
<file path=[Content_Types].xml><?xml version="1.0" encoding="utf-8"?>
<Types xmlns="http://schemas.openxmlformats.org/package/2006/content-types">
  <Default ContentType="application/vnd.openxmlformats-package.relationships+xml" Extension="rels"/>
  <Default ContentType="application/xml" Extension="xml"/>
  <Override ContentType="application/vnd.openxmlformats-officedocument.spreadsheetml.styles+xml" PartName="/xl/styles.xml"/>
  <Override ContentType="application/vnd.openxmlformats-officedocument.theme+xml" PartName="/xl/theme/theme1.xml"/>
  <Override ContentType="application/vnd.openxmlformats-package.core-properties+xml" PartName="/docProps/core.xml"/>
  <Override ContentType="application/vnd.openxmlformats-officedocument.extended-properties+xml" PartName="/docProps/app.xml"/>
  <Override ContentType="application/vnd.openxmlformats-officedocument.spreadsheetml.worksheet+xml" PartName="/xl/worksheets/sheet1.xml"/>
  <Override ContentType="application/vnd.openxmlformats-officedocument.spreadsheetml.sheet.main+xml" PartName="/xl/workbook.xml"/>
</Types>
</file>

<file path=_rels/.rels><Relationships xmlns="http://schemas.openxmlformats.org/package/2006/relationships"><Relationship Id="rId1" Target="xl/workbook.xml" Type="http://schemas.openxmlformats.org/officeDocument/2006/relationships/officeDocument" /><Relationship Id="rId2" Target="docProps/core.xml" Type="http://schemas.openxmlformats.org/package/2006/relationships/metadata/core-properties" /><Relationship Id="rId3" Target="docProps/app.xml" Type="http://schemas.openxmlformats.org/officeDocument/2006/relationships/extended-properties" /></Relationships>
</file>

<file path=xl/workbook.xml><?xml version="1.0" encoding="utf-8"?>
<workbook xmlns:r="http://schemas.openxmlformats.org/officeDocument/2006/relationships" xmlns="http://schemas.openxmlformats.org/spreadsheetml/2006/main">
  <workbookPr/>
  <workbookProtection/>
  <bookViews>
    <workbookView activeTab="0" autoFilterDateGrouping="1" firstSheet="0" minimized="0" showHorizontalScroll="1" showSheetTabs="1" showVerticalScroll="1" tabRatio="600" visibility="visible"/>
  </bookViews>
  <sheets>
    <sheet name="Sheet1" sheetId="1" state="visible" r:id="rId1"/>
  </sheets>
  <definedNames/>
  <calcPr calcId="124519" fullCalcOnLoad="1"/>
</workbook>
</file>

<file path=xl/styles.xml><?xml version="1.0" encoding="utf-8"?>
<styleSheet xmlns="http://schemas.openxmlformats.org/spreadsheetml/2006/main">
  <numFmts count="0"/>
  <fonts count="2">
    <font>
      <name val="Calibri"/>
      <family val="2"/>
      <color theme="1"/>
      <sz val="11"/>
      <scheme val="minor"/>
    </font>
    <font>
      <b val="1"/>
    </font>
  </fonts>
  <fills count="2">
    <fill>
      <patternFill/>
    </fill>
    <fill>
      <patternFill patternType="gray125"/>
    </fill>
  </fills>
  <borders count="2">
    <border>
      <left/>
      <right/>
      <top/>
      <bottom/>
      <diagonal/>
    </border>
    <border>
      <left style="thin"/>
      <right style="thin"/>
      <top style="thin"/>
      <bottom style="thin"/>
      <diagonal/>
    </border>
  </borders>
  <cellStyleXfs count="1">
    <xf borderId="0" fillId="0" fontId="0" numFmtId="0"/>
  </cellStyleXfs>
  <cellXfs count="2">
    <xf borderId="0" fillId="0" fontId="0" numFmtId="0" pivotButton="0" quotePrefix="0" xfId="0"/>
    <xf applyAlignment="1" borderId="1" fillId="0" fontId="1" numFmtId="0" pivotButton="0" quotePrefix="0" xfId="0">
      <alignment horizontal="center" vertical="top"/>
    </xf>
  </cellXfs>
  <cellStyles count="1">
    <cellStyle builtinId="0" hidden="0" name="Normal" xfId="0"/>
  </cellStyles>
  <tableStyles count="0" defaultPivotStyle="PivotStyleLight16" defaultTableStyle="TableStyleMedium9"/>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Id="rId1" Target="/xl/worksheets/sheet1.xml" Type="http://schemas.openxmlformats.org/officeDocument/2006/relationships/worksheet" /><Relationship Id="rId2" Target="styles.xml" Type="http://schemas.openxmlformats.org/officeDocument/2006/relationships/styles" /><Relationship Id="rId3" Target="theme/theme1.xml" Type="http://schemas.openxmlformats.org/officeDocument/2006/relationships/theme" /></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sheetPr>
    <outlinePr summaryBelow="1" summaryRight="1"/>
    <pageSetUpPr/>
  </sheetPr>
  <dimension ref="A1:H10696"/>
  <sheetViews>
    <sheetView workbookViewId="0">
      <selection activeCell="A1" sqref="A1"/>
    </sheetView>
  </sheetViews>
  <sheetFormatPr baseColWidth="8" defaultRowHeight="15"/>
  <sheetData>
    <row r="1">
      <c r="A1" s="1" t="inlineStr">
        <is>
          <t>ID</t>
        </is>
      </c>
      <c r="B1" s="1" t="inlineStr">
        <is>
          <t>Title</t>
        </is>
      </c>
      <c r="C1" s="1" t="inlineStr">
        <is>
          <t>Body</t>
        </is>
      </c>
      <c r="D1" s="1" t="inlineStr">
        <is>
          <t>Score</t>
        </is>
      </c>
      <c r="E1" s="1" t="inlineStr">
        <is>
          <t>Comments</t>
        </is>
      </c>
      <c r="F1" s="1" t="inlineStr">
        <is>
          <t>Link</t>
        </is>
      </c>
      <c r="G1" s="1" t="inlineStr">
        <is>
          <t>Date</t>
        </is>
      </c>
      <c r="H1" s="1" t="inlineStr">
        <is>
          <t>flair</t>
        </is>
      </c>
    </row>
    <row r="2">
      <c r="A2" t="inlineStr">
        <is>
          <t>1rv5e1</t>
        </is>
      </c>
      <c r="B2" t="inlineStr">
        <is>
          <t>Well... that didn't go to plan.</t>
        </is>
      </c>
      <c r="C2" t="inlineStr">
        <is>
          <t>So.. I don't go out partying at all, really -- this is the first time since been a diabetic. However been 18, and hanging with a friend yesterday we decided to just go out and have some fun. So, I take my blood test kit and insulin (T1) with me and just said to myself that I would check it.
Well.. that plan didn't work. By around 10pm my BG was around 20 mmol.. so I injected myself with 12 units of insulin and carried on to the next club we wanted to visit. In hindsight, I should have called it a night now -- however I was already very pissed. I was drinking Coke and Vodka/JD all night, so not a great combination.
In the next club we just went all out and drunk loads, and then, the next thing I remember hanging on this light table thing and then laying in the bouncers office puking all over the place. Then, I was in Accident and Emergency. Having now sobered up I have checked my BG meter and it appears I managed to get up to &amp;gt;35mmol as my meter just says HI at around midnight. 
Its now 10PM today, and I have just managed to get it below 8mmol.
So;
- I've lived and learnt.
- If I go out again I should drink much less, and try enjoy the night the same.
- Act like a designated driver?
Has any other young T1 diabetics got any tips in this area? I feel terrible for wasting the time of the hospital/ambulance.</t>
        </is>
      </c>
      <c r="D2" t="n">
        <v>13</v>
      </c>
      <c r="E2" t="n">
        <v>38</v>
      </c>
      <c r="F2">
        <f>HYPERLINK("https://www.reddit.com/r/diabetes/comments/1rv5e1/well_that_didnt_go_to_plan/")</f>
        <v/>
      </c>
      <c r="G2" t="inlineStr">
        <is>
          <t>2013-12-01 14:12:04</t>
        </is>
      </c>
      <c r="H2" t="inlineStr">
        <is>
          <t>Type 1</t>
        </is>
      </c>
    </row>
    <row r="3">
      <c r="A3" t="inlineStr">
        <is>
          <t>272ugu</t>
        </is>
      </c>
      <c r="B3" t="inlineStr">
        <is>
          <t>Question for Omnipod users</t>
        </is>
      </c>
      <c r="C3" t="inlineStr">
        <is>
          <t xml:space="preserve">Hi all. 
tl;dr: has anyone ever had the Omnipod fail to deliver insulin without any sort of error or obvious sign?
Long:
So I've been on the Omnipod for 3 days now...meaning I had to do my first pod swap today (right before dinner).  I bolused for dinner shortly after but now, 2.5 hours later, my sugar is high and, seemingly, rising.  Per the instructions, I tested for ketones and they came out "moderate," but I otherwise feel fine and, frankly, haven't tested my ketones in over 15 years so I have no idea if they're ALWAYS "moderate" when I'm hyper.  
I wondered if I had a bad insertion but the cannula appears to be inserted...there is no wetness or insulin smell so it doesn't appear as though the insulin is going anywhere other than into my skin.
So now I'm not sure whether I simply didn't take enough insulin, whether I need to give it more time, whether I need to pull the whole thing off and re-do it.  If it needs to be redone, so it goes...I guess I'm mostly just concerned that it could "invisible" problems with basically no way of knowing besides going hyper. 
Thanks!
**EDIT:** 2 hours and an additional correction later and it seems to be coming back in line.  Sorry for the false alarm...I was just frustrated.  Even after 20 years and *knowing* these things happen.  Thanks to everyone who read this and at least considered the question.  That said, if anyone has any thoughts, feel free to share.  </t>
        </is>
      </c>
      <c r="D3" t="n">
        <v>5</v>
      </c>
      <c r="E3" t="n">
        <v>5</v>
      </c>
      <c r="F3">
        <f>HYPERLINK("https://www.reddit.com/r/diabetes/comments/272ugu/question_for_omnipod_users/")</f>
        <v/>
      </c>
      <c r="G3" t="inlineStr">
        <is>
          <t>2014-06-01 19:33:06</t>
        </is>
      </c>
      <c r="H3" t="inlineStr">
        <is>
          <t>Type 1</t>
        </is>
      </c>
    </row>
    <row r="4">
      <c r="A4" t="inlineStr">
        <is>
          <t>28n9b1</t>
        </is>
      </c>
      <c r="B4" t="inlineStr">
        <is>
          <t>Tired of this disease</t>
        </is>
      </c>
      <c r="C4" t="inlineStr">
        <is>
          <t>I've been diabetic for almost 18 years, and earlier this year my 6 year old son was diagnosed.  We've been able to control his really well, thankfully.  His first endo visit since being diagnosed 4 months ago was an a1c of 6.1.  But I seem to be struggling.  I've been on a pump for 8 years, and my body needs so much insulin I'm on U500 concentrated.  The last few weeks I can't for the life of me keep my sugar in the proper range.  It's either too low (my wife woke me up the other night when I was sweating profusely, almost non-responsive, and my BG was 22) or way the heck too high (my sugar is 328 right now even though I haven't even eaten anything today).  As diabetics, we all reach that point where we tire of the constant, never-ending roller coaster. I'm just tired.  I'm looking forward to the progress with the bionic pumps these days, but we've all been promised such advances for decades.  I'm not looking for a pity party.  I'll pick myself up and keep trying to keep in range.  I guess I just needed to vent.</t>
        </is>
      </c>
      <c r="D4" t="n">
        <v>18</v>
      </c>
      <c r="E4" t="n">
        <v>20</v>
      </c>
      <c r="F4">
        <f>HYPERLINK("https://www.reddit.com/r/diabetes/comments/28n9b1/tired_of_this_disease/")</f>
        <v/>
      </c>
      <c r="G4" t="inlineStr">
        <is>
          <t>2014-06-20 08:03:35</t>
        </is>
      </c>
      <c r="H4" t="inlineStr">
        <is>
          <t>Type 1</t>
        </is>
      </c>
    </row>
    <row r="5">
      <c r="A5" t="inlineStr">
        <is>
          <t>28ulxr</t>
        </is>
      </c>
      <c r="B5" t="inlineStr">
        <is>
          <t>My Grand Scheme (T1)</t>
        </is>
      </c>
      <c r="C5" t="inlineStr">
        <is>
          <t>So I want to get in on this artificial pancreas hype. Unfortunately I live in California, where such technology is "illegal" or at least not available. I plan to head up to Vancouver where rumor has it I can get a prescription for an Animas Vibe (http://animascorp.co.uk/animasVibe/animas-vibe-and-cgm-system  )....I plan to get a PO box up in canada with auto forwarding for all my USA based shipments etc. Does anyone have advice on this effort to circumnavigate the FDA?
Edit: anyone know when the vibe will be approved in the usa?</t>
        </is>
      </c>
      <c r="D5" t="n">
        <v>0</v>
      </c>
      <c r="E5" t="n">
        <v>23</v>
      </c>
      <c r="F5">
        <f>HYPERLINK("https://www.reddit.com/r/diabetes/comments/28ulxr/my_grand_scheme_t1/")</f>
        <v/>
      </c>
      <c r="G5" t="inlineStr">
        <is>
          <t>2014-06-22 22:31:21</t>
        </is>
      </c>
      <c r="H5" t="inlineStr">
        <is>
          <t>Type 1</t>
        </is>
      </c>
    </row>
    <row r="6">
      <c r="A6" t="inlineStr">
        <is>
          <t>28v44v</t>
        </is>
      </c>
      <c r="B6" t="inlineStr">
        <is>
          <t>Type 1 diabetes and blisters from hiking</t>
        </is>
      </c>
      <c r="C6" t="inlineStr">
        <is>
          <t>Me and my boyfriend (age 23, type 1 diabetes for 20 years, good control) went on a very long hike on the weekend. It was for charity, the hike was 104km non stop but we stopped after 77km because of blisters.  
Stupidly, we also signed up to volunteer at Glastonbury festival this week, leaving tomorrow (Tuesday - we finished the hike Sunday morning). We spoke to the organisers and they said they can give my bf a job where he is sitting down.  
As a precaution, he went to the doctors this morning. The doctor told him on no uncertain terms that he shouldn't go because most of the blisters are open. He said he needs to rest them all week and soak his feet twice a day. I think we can manage to do the foot soak, since we can get hot water at our campsite. We can minimise moving as much as possible but obviously we might have to do quite a bit as the festival is about a mile wide. But we will sit down to watch acts etc and he'll be sat down whilst working. There is also a hospital on site since there are about 150,000 people at the festival.
We are torn! My boyfriend has good control, how likely is it that something might happen to his feet? blaaaaaah :(</t>
        </is>
      </c>
      <c r="D6" t="n">
        <v>12</v>
      </c>
      <c r="E6" t="n">
        <v>16</v>
      </c>
      <c r="F6">
        <f>HYPERLINK("https://www.reddit.com/r/diabetes/comments/28v44v/type_1_diabetes_and_blisters_from_hiking/")</f>
        <v/>
      </c>
      <c r="G6" t="inlineStr">
        <is>
          <t>2014-06-23 04:22:48</t>
        </is>
      </c>
      <c r="H6" t="inlineStr">
        <is>
          <t>Type 1</t>
        </is>
      </c>
    </row>
    <row r="7">
      <c r="A7" t="inlineStr">
        <is>
          <t>28vac5</t>
        </is>
      </c>
      <c r="B7" t="inlineStr">
        <is>
          <t>My Mom recentley got diagnosed with diabetes, what can i do to help her?</t>
        </is>
      </c>
      <c r="C7" t="inlineStr">
        <is>
          <t>Still waiting to hear what type, will update soon.  
Edit: it's type 2</t>
        </is>
      </c>
      <c r="D7" t="n">
        <v>3</v>
      </c>
      <c r="E7" t="n">
        <v>7</v>
      </c>
      <c r="F7">
        <f>HYPERLINK("https://www.reddit.com/r/diabetes/comments/28vac5/my_mom_recentley_got_diagnosed_with_diabetes_what/")</f>
        <v/>
      </c>
      <c r="G7" t="inlineStr">
        <is>
          <t>2014-06-23 06:04:53</t>
        </is>
      </c>
      <c r="H7" t="inlineStr">
        <is>
          <t>Type 2</t>
        </is>
      </c>
    </row>
    <row r="8">
      <c r="A8" t="inlineStr">
        <is>
          <t>28wicu</t>
        </is>
      </c>
      <c r="B8" t="inlineStr">
        <is>
          <t>Type 1</t>
        </is>
      </c>
      <c r="C8" t="inlineStr">
        <is>
          <t>I've had have perpheral neauropathy for3 years. The first summer my feet were red and hot, it felt like walking on rocks barefoot. The next summer it was moving into my ankles and calfs. Feels like my angles were sprained and I walked through stinging needles. All the time. This summer it's moving up into my knees and hips. Very painful hard to sleep.It's pain to walk. Legs don't co-ordinate properly. All they can offer is pills Lyica which had lots of side affects. I would rather not take them. Is there any other relief?</t>
        </is>
      </c>
      <c r="D8" t="n">
        <v>3</v>
      </c>
      <c r="E8" t="n">
        <v>3</v>
      </c>
      <c r="F8">
        <f>HYPERLINK("https://www.reddit.com/r/diabetes/comments/28wicu/type_1/")</f>
        <v/>
      </c>
      <c r="G8" t="inlineStr">
        <is>
          <t>2014-06-23 13:17:43</t>
        </is>
      </c>
      <c r="H8" t="inlineStr">
        <is>
          <t>Type 1</t>
        </is>
      </c>
    </row>
    <row r="9">
      <c r="A9" t="inlineStr">
        <is>
          <t>28xwrt</t>
        </is>
      </c>
      <c r="B9" t="inlineStr">
        <is>
          <t>21 year old female with T1 diabetes and an overprotective mother in need of advice!</t>
        </is>
      </c>
      <c r="C9" t="inlineStr">
        <is>
          <t xml:space="preserve">I'm hoping I can find some advice on what I should do about my situation. I'm a 21 year old who's had type 1 diabetes for 12 years. When I was first diagnosed, age 9, my mom was always on top of helping me check my sugar, drawing up my insulin, counting my carbs, etc. She turned into supermom, and I'm very appreciative that she did that for me as a young child who's life had to suddenly change. 
Although as I got older and very capable of controlling my own diabetes, she wouldn't allow me to hangout with friends, go on school trips, or anything that would mean her not being able to hover over me and make sure I was actually doing what I had to do. It would get extremely irritating, especially as a high school student who had good grades, good a1c levels every doctors appointment, and who wanted to enjoy her teenage years despite having diabetes. It would get to the point where I felt like I had to rebel just to be able to have fun and enjoy myself. 
When it came time to apply to colleges and graduation, I was thinking to myself -this is my chance to finally cut the cord and prove to her that I'm an adult and am capable of taking care of myself-, but I was wrong. I got accepted to ASU. When I told my mom, she threatened to take me to court for her to obtain guardianship over me until I'm 25. She had been preparing for the day I told I was moving away for college. At the time all this happen I was 17. I fell into deep depression, I grew to hate having diabetes with passion and developed the mindset that I would never be able to do anything with my life because of it. 
I ended up going to a near by community college, and at 18 I starting getting professional help for my depression and ever since I've been feeling a lot better about myself, but I still haven't been able to get over the hatred I have for diabetes. My mom still treats me like a child, blowing up my phone when I'm out having fun, blowing up my friends phones, and even to the point where she'll check my meter when I get home. I cant even drive without her making a big deal before I walk out of my house. It's very stressful and I've tried talking to her about it but it all goes in one ear and out the other. 
I just don't know what else I can do to make her realize that I'm not a child anymore and that she needs to let me live my own life. I love my mom to death and I'd do anything for her but I'm to the point where I feel like cutting all ties with her is the only option for me to be able to exceed in life. I don't want to lose my mom but she's holding me back. 
So please, I'm open to any advice on what I should do? Also has anyone else felt as if their parents are overprotective because of your diabetes? Feel free to share! 
Edit:
Thank you for all the replies! I'm at work right now so I'll try my hardest to reply.
Also, I should have mentioned that i am currently using the NovoLog FlexPen.
I will definitely keep everyone updated! I plan on trying one thing at a time. Moving is still an option, but I would rather try out other options in hopes she'll change. I only have 1 more semester of school before transferring to San Diego, so moving out is going to happen without a doubt.  </t>
        </is>
      </c>
      <c r="D9" t="n">
        <v>18</v>
      </c>
      <c r="E9" t="n">
        <v>34</v>
      </c>
      <c r="F9">
        <f>HYPERLINK("https://www.reddit.com/r/diabetes/comments/28xwrt/21_year_old_female_with_t1_diabetes_and_an/")</f>
        <v/>
      </c>
      <c r="G9" t="inlineStr">
        <is>
          <t>2014-06-23 22:23:39</t>
        </is>
      </c>
      <c r="H9" t="inlineStr">
        <is>
          <t>Type 1</t>
        </is>
      </c>
    </row>
    <row r="10">
      <c r="A10" t="inlineStr">
        <is>
          <t>290qi0</t>
        </is>
      </c>
      <c r="B10" t="inlineStr">
        <is>
          <t>Experience with Januvia for T2?</t>
        </is>
      </c>
      <c r="C10" t="inlineStr">
        <is>
          <t>Hey fellow /r/diabetes users, I have a couple questions for you regarding this tricky medication! So I've been a diagnosed diabetic for almost a year now, with an emphasis on diagnosed. I've probably had diabetes for MUCH longer that, but that was when I finally dragged myself in for blood labs and got the diagnosis. I was diagnosed with PCOS when I was 16, so I've taken Metformin since then with the levels gradually increased from 500mg 2x per day to 1000mg in the morning and 1500mg in the evening now. My A1C at initial diagnosis was 13.7 which of course was extremely high and I've slowly wittled it down to 7.9 as of May and went from almost 260 to 200lb since last August. I have also been on 50units of Insulin at night since April.
My real problem now is that my doctor hasn't been satisfied with the steady drop I've been taking with my sugar levels and I keep getting more medications thrown at me as of late, including Neurontin for the noticeable Neuropathy setting into my toes. At first I was placed on the 5mcg of Byetta, but was having an absolutely horrible time with the nausea and not to mention the extra needle sticking daily. Now he has placed me on Januvia 100g once per day and I am a little worried. I keep reading around that it has some pretty nasty issues associated with it including links to it and pancreatic cancer and other cancers.
My question is- have any of you been on this medication for a long set of time? Have you experienced any abnormal complications with it? I still have the nausea and diarrhea involved, but I hear that is pretty typical when starting it. Is this something you'd warn away from? 
Thanks so much ya'll :) As a newbie to a lot of this, it just worries me to have such a huge medication cocktail to take. Let me know what you think about it! I definitely want to know if it noticeably helped you with your sugar levels.</t>
        </is>
      </c>
      <c r="D10" t="n">
        <v>1</v>
      </c>
      <c r="E10" t="n">
        <v>4</v>
      </c>
      <c r="F10">
        <f>HYPERLINK("https://www.reddit.com/r/diabetes/comments/290qi0/experience_with_januvia_for_t2/")</f>
        <v/>
      </c>
      <c r="G10" t="inlineStr">
        <is>
          <t>2014-06-24 18:45:25</t>
        </is>
      </c>
      <c r="H10" t="inlineStr">
        <is>
          <t>Type 2</t>
        </is>
      </c>
    </row>
    <row r="11">
      <c r="A11" t="inlineStr">
        <is>
          <t>290vka</t>
        </is>
      </c>
      <c r="B11" t="inlineStr">
        <is>
          <t>T2s - does anyone have contradicting A1Cs or fasting glucose compared to postprandial?</t>
        </is>
      </c>
      <c r="C11" t="inlineStr">
        <is>
          <t>"prediabetic" here whose PCP didn't really ease my worries. My A1C was a 5.4% and I've had fasting levels of 111, 95, 99, 87 mg/dL (in the past 4 days). I know this isn't the place for "medical advice" so I'll ask if any confirmed type 2s have low/normal A1Cs or fasting levels while still having high post prandial readings (my 4 hour post readings have been hovering at 100). 
Any cause for concern? The 111 mg/dL reading was at the PCP and the lower fasting readings have been with a Reli-On Prime meter. Since this is the cheapest of the cheap meters, could I be getting an inaccurate reading?
EDIT: Spelling
EDIT#2: I should also mention that I am a 21 year old college student who has eaten little debbies for almost every meal this past semester with no family history of diabetes</t>
        </is>
      </c>
      <c r="D11" t="n">
        <v>2</v>
      </c>
      <c r="E11" t="n">
        <v>2</v>
      </c>
      <c r="F11">
        <f>HYPERLINK("https://www.reddit.com/r/diabetes/comments/290vka/t2s_does_anyone_have_contradicting_a1cs_or/")</f>
        <v/>
      </c>
      <c r="G11" t="inlineStr">
        <is>
          <t>2014-06-24 19:42:52</t>
        </is>
      </c>
      <c r="H11" t="inlineStr">
        <is>
          <t>Type 2</t>
        </is>
      </c>
    </row>
    <row r="12">
      <c r="A12" t="inlineStr">
        <is>
          <t>292zx8</t>
        </is>
      </c>
      <c r="B12" t="inlineStr">
        <is>
          <t>story about an awesome type 1 diabetic entrepreneur</t>
        </is>
      </c>
      <c r="C12" t="inlineStr">
        <is>
          <t>Hey everyone - I work for WeWork, a collaborative community for creators, small businesses and entrepreneurs, and wrote this piece on one of our members, David Weingard. He founded a company called Fit4D which offers support to and health coaching for diabetics (type 1s and 2s). As a type 1 diabetic myself, his business is particularly close to my heart - Would love for y'all to check it out and share if you like - David's an awesome guy. 
http://www.wework.com/magazine/members/diabetes-fit4d-david-weingard-entrepreneur-member-spotlight/</t>
        </is>
      </c>
      <c r="D12" t="n">
        <v>9</v>
      </c>
      <c r="E12" t="n">
        <v>1</v>
      </c>
      <c r="F12">
        <f>HYPERLINK("https://www.reddit.com/r/diabetes/comments/292zx8/story_about_an_awesome_type_1_diabetic/")</f>
        <v/>
      </c>
      <c r="G12" t="inlineStr">
        <is>
          <t>2014-06-25 12:15:19</t>
        </is>
      </c>
      <c r="H12" t="inlineStr">
        <is>
          <t>Type 1</t>
        </is>
      </c>
    </row>
    <row r="13">
      <c r="A13" t="inlineStr">
        <is>
          <t>2934b8</t>
        </is>
      </c>
      <c r="B13" t="inlineStr">
        <is>
          <t>Female 25, type 1, weight gain</t>
        </is>
      </c>
      <c r="C13" t="inlineStr">
        <is>
          <t xml:space="preserve">I was disgnosed about 3 months ago after being admitted to the ICU for DKA(fun). I am 5'3" and weighed 98 pounds at the time. After a month I was at 110 pounds, but my last doctor's appointment I was at 100. I cannot for the life of me keep on weight. I've never had this problem. 7 years ago I was diagnosed with type 2(I'm still confused...) and I weighed 180. Lost weight,  lost health insurance so I thought I was good to go! (I know, dumb). 
Do you guys have any tips? I stay on a strict eating schedule, eat up to 60 carbs for lunch and dinner....I'm just aggravated with myself and the comments I constantly hear from friends, family and strangers about needing to eat a cheese burger. </t>
        </is>
      </c>
      <c r="D13" t="n">
        <v>3</v>
      </c>
      <c r="E13" t="n">
        <v>3</v>
      </c>
      <c r="F13">
        <f>HYPERLINK("https://www.reddit.com/r/diabetes/comments/2934b8/female_25_type_1_weight_gain/")</f>
        <v/>
      </c>
      <c r="G13" t="inlineStr">
        <is>
          <t>2014-06-25 12:54:37</t>
        </is>
      </c>
      <c r="H13" t="inlineStr">
        <is>
          <t>Type 1</t>
        </is>
      </c>
    </row>
    <row r="14">
      <c r="A14" t="inlineStr">
        <is>
          <t>294o5w</t>
        </is>
      </c>
      <c r="B14" t="inlineStr">
        <is>
          <t>T1 Sleeping a lot, sugar levels controlled</t>
        </is>
      </c>
      <c r="C14" t="inlineStr">
        <is>
          <t xml:space="preserve">My blood sugars have been pretty good,  but I haven't been on insulin a long time.  On some days I sleep normal,  but occasionally I will sleep all day and have a hard time sleeping at night.  My blood sugar will be pretty normal when I wake so I don't think high sugar is the issue.  My thyroid levels are normal so I don't know what else it would be.  I've always been a night owl but sleeping 13 hours on some days doesn't feel right.   Anyone else have similar issues? </t>
        </is>
      </c>
      <c r="D14" t="n">
        <v>1</v>
      </c>
      <c r="E14" t="n">
        <v>8</v>
      </c>
      <c r="F14">
        <f>HYPERLINK("https://www.reddit.com/r/diabetes/comments/294o5w/t1_sleeping_a_lot_sugar_levels_controlled/")</f>
        <v/>
      </c>
      <c r="G14" t="inlineStr">
        <is>
          <t>2014-06-25 23:13:21</t>
        </is>
      </c>
      <c r="H14" t="inlineStr">
        <is>
          <t>Type 1</t>
        </is>
      </c>
    </row>
    <row r="15">
      <c r="A15" t="inlineStr">
        <is>
          <t>2968o8</t>
        </is>
      </c>
      <c r="B15" t="inlineStr">
        <is>
          <t>I got serious hypoglycemia at morning.</t>
        </is>
      </c>
      <c r="C15" t="inlineStr">
        <is>
          <t xml:space="preserve">It went almost to zero and I was just lucky to get my self together and help my self.
Anyways its evening now and I'm still feeling numb and hypo symptoms.
My right hand feels like its weightless all the time and my lips are numb also my forehead is tingling. Sugar been at around 7 whole day after the episode (12hrs).
Anyone else have prolonged symptoms after hypo episode?
Did I get a brain injury? </t>
        </is>
      </c>
      <c r="D15" t="n">
        <v>2</v>
      </c>
      <c r="E15" t="n">
        <v>5</v>
      </c>
      <c r="F15">
        <f>HYPERLINK("https://www.reddit.com/r/diabetes/comments/2968o8/i_got_serious_hypoglycemia_at_morning/")</f>
        <v/>
      </c>
      <c r="G15" t="inlineStr">
        <is>
          <t>2014-06-26 11:57:20</t>
        </is>
      </c>
      <c r="H15" t="inlineStr">
        <is>
          <t>Type 1</t>
        </is>
      </c>
    </row>
    <row r="16">
      <c r="A16" t="inlineStr">
        <is>
          <t>296k43</t>
        </is>
      </c>
      <c r="B16" t="inlineStr">
        <is>
          <t>Can anyone explain why I was having lows one year before the diagnosis?</t>
        </is>
      </c>
      <c r="C16" t="inlineStr">
        <is>
          <t>Recently I remembered this: one year before I diagnosed as T1, I was occasionally having lows. I was probably not having highs at that time(I'm diagnosed in same week when thirst and urination started) but I was having lows and for that reason when I was on a long trip or something I was having some candies/chocolate etc. with me. I remember this saving my life -- I was biking to work and I suddenly had a low. Another hard time that I remember was that one night I was woke up by a low, my hands were shaking like crazy etc. and I had very hard time moving to fridge and eating whatever I find.
Some of other memories were more than one year ago. Note that I was not using any medications until I diagnosed as T1 and started using insulin.
So my question is how could that happen? I was not using insulin or any other medication so how could I have low BG? Can anyone explain this to me?
Thanks.</t>
        </is>
      </c>
      <c r="D16" t="n">
        <v>3</v>
      </c>
      <c r="E16" t="n">
        <v>13</v>
      </c>
      <c r="F16">
        <f>HYPERLINK("https://www.reddit.com/r/diabetes/comments/296k43/can_anyone_explain_why_i_was_having_lows_one_year/")</f>
        <v/>
      </c>
      <c r="G16" t="inlineStr">
        <is>
          <t>2014-06-26 13:39:07</t>
        </is>
      </c>
      <c r="H16" t="inlineStr">
        <is>
          <t>Type 1</t>
        </is>
      </c>
    </row>
    <row r="17">
      <c r="A17" t="inlineStr">
        <is>
          <t>2998ur</t>
        </is>
      </c>
      <c r="B17" t="inlineStr">
        <is>
          <t>Possibility of T2 diabetes?</t>
        </is>
      </c>
      <c r="C17" t="inlineStr">
        <is>
          <t xml:space="preserve">Hello, I found this subreddit after reading that TIFU post and it got me wondering about the possibility of me having diabetes.
* almost all my uncles and aunts on my dad's side of the family have T2 diabetes, including my dad
* immediate family on my mom's side has no known case of diabetes
* I'm of Indian descent
* mid-teens, born in Canada
I guess what i'm wondering the most is if there's a chance of me having diabetes right now, or if it'll develop later on, or I might not even get it? I know the best way is to get checked by a doctor, but i'm not sure of the procedure. I talked to my parents about it and they said they'll get me checked the next time I go to our family doctor (who I rarely see). Is it necessary to see a Dr right away or does it not matter at a young age?
</t>
        </is>
      </c>
      <c r="D17" t="n">
        <v>3</v>
      </c>
      <c r="E17" t="n">
        <v>4</v>
      </c>
      <c r="F17">
        <f>HYPERLINK("https://www.reddit.com/r/diabetes/comments/2998ur/possibility_of_t2_diabetes/")</f>
        <v/>
      </c>
      <c r="G17" t="inlineStr">
        <is>
          <t>2014-06-27 10:34:08</t>
        </is>
      </c>
      <c r="H17" t="inlineStr">
        <is>
          <t>Type 2</t>
        </is>
      </c>
    </row>
    <row r="18">
      <c r="A18" t="inlineStr">
        <is>
          <t>299oqw</t>
        </is>
      </c>
      <c r="B18" t="inlineStr">
        <is>
          <t>Help with my mother's T1 Diabetes</t>
        </is>
      </c>
      <c r="C18" t="inlineStr">
        <is>
          <t>Hi everyone!
Sorry if this isn't great but this is my first post.
For reference, I am not a diabetic.
As it says in the title, I'm seeking a bit of help with my mother's diabetes.  She takes decent care of her diabetes but she struggles.  I've had to get her out of insulin shock numerous times in the past but she drastically improved before I went off to my first year of college and haven't had to do that since.  I want to help get her into even better shape before I have to go back.  Her main problems are trying to start exercise and improving her diet.  We're both trying to be healthier so I would really appreciate any tips, advice, and recipes you could offer.
Thank you for anything you can offer!</t>
        </is>
      </c>
      <c r="D18" t="n">
        <v>0</v>
      </c>
      <c r="E18" t="n">
        <v>7</v>
      </c>
      <c r="F18">
        <f>HYPERLINK("https://www.reddit.com/r/diabetes/comments/299oqw/help_with_my_mothers_t1_diabetes/")</f>
        <v/>
      </c>
      <c r="G18" t="inlineStr">
        <is>
          <t>2014-06-27 13:16:11</t>
        </is>
      </c>
      <c r="H18" t="inlineStr">
        <is>
          <t>Type 1</t>
        </is>
      </c>
    </row>
    <row r="19">
      <c r="A19" t="inlineStr">
        <is>
          <t>299ukn</t>
        </is>
      </c>
      <c r="B19" t="inlineStr">
        <is>
          <t>Adding Bydureon to Meds</t>
        </is>
      </c>
      <c r="C19" t="inlineStr">
        <is>
          <t xml:space="preserve">I just got my latest bloodwork back, and the news wasn't awesome. I previously had an A1C of 6.6, but now it's 7.8. I think this is partially because I've been a little lax with my diet, and partially because my doctor reduced my meds after my last A1C. 
I have a new doctor (the old one left the practice) who is also a diabetes educator (win!), and he increased my metformin back up to 1000mg 2x/day and added Bydureon. I've been averaging in the 180s mg/dl and I'm hoping this will get me back under 120 where I belong, and also help me lose some weight.
I did a search on this sub and saw nothing but great things about it. I also saw an article that Bydureon pens are coming, but what I got from the pharmacy was vials and syringes that I have to fill. 
Any advice? </t>
        </is>
      </c>
      <c r="D19" t="n">
        <v>1</v>
      </c>
      <c r="E19" t="n">
        <v>2</v>
      </c>
      <c r="F19">
        <f>HYPERLINK("https://www.reddit.com/r/diabetes/comments/299ukn/adding_bydureon_to_meds/")</f>
        <v/>
      </c>
      <c r="G19" t="inlineStr">
        <is>
          <t>2014-06-27 14:15:29</t>
        </is>
      </c>
      <c r="H19" t="inlineStr">
        <is>
          <t>Type 2</t>
        </is>
      </c>
    </row>
    <row r="20">
      <c r="A20" t="inlineStr">
        <is>
          <t>299uum</t>
        </is>
      </c>
      <c r="B20" t="inlineStr">
        <is>
          <t>A little demoralized today</t>
        </is>
      </c>
      <c r="C20" t="inlineStr">
        <is>
          <t>A bit of background. I was upgraded from Pre-Diabetic to full T2 Diabetic in October 2013 and went from 500mg of Metformin a day twice a day. I had been working to get my consumption of carbs down and worked doubly hard after that fateful doctor's visit.
It has been really hard because I'm Chinese and rice and noodles are so ingrained in my diet. I did really well for a while and got my fasting blood sugar down to normal at my last two tests.
Recently, I've found myself craving carbs and once I start, I can't stop. I've been having the worst cravings during the day at work, and the handful of nuts becomes the handful of nut plus a handful of rice crackers to two handsful of rice crackers to three.
Or worse, I am gravitating to the fun sized candy bars at the office. I've never been a candy person! I like chocolate, but again have never been the type of person that must have chocolate, yet I am eating a sweet almost every night after dinner, rationalizing "It's glycemic load, not index."
And my morning sugars are 115 - 130. *cry*
Help! Is this type of "relapse" normal??</t>
        </is>
      </c>
      <c r="D20" t="n">
        <v>2</v>
      </c>
      <c r="E20" t="n">
        <v>10</v>
      </c>
      <c r="F20">
        <f>HYPERLINK("https://www.reddit.com/r/diabetes/comments/299uum/a_little_demoralized_today/")</f>
        <v/>
      </c>
      <c r="G20" t="inlineStr">
        <is>
          <t>2014-06-27 14:18:36</t>
        </is>
      </c>
      <c r="H20" t="inlineStr">
        <is>
          <t>Type 2</t>
        </is>
      </c>
    </row>
    <row r="21">
      <c r="A21" t="inlineStr">
        <is>
          <t>29ayez</t>
        </is>
      </c>
      <c r="B21" t="inlineStr">
        <is>
          <t>Could stress, depression, and lack of sleep relate to high/low BGs?</t>
        </is>
      </c>
      <c r="C21" t="inlineStr">
        <is>
          <t>For about the past month my blood sugar has been averaging very high; corrections don't bring it down until much later even after changing my infusion sight (I wear a Medtronic 530g) and insulin. But for the length of this time I've been very stressed and also rather depressed, which has also led to sleep deprivation. Could this be why I've been high lately? Thanks for your help</t>
        </is>
      </c>
      <c r="D21" t="n">
        <v>4</v>
      </c>
      <c r="E21" t="n">
        <v>4</v>
      </c>
      <c r="F21">
        <f>HYPERLINK("https://www.reddit.com/r/diabetes/comments/29ayez/could_stress_depression_and_lack_of_sleep_relate/")</f>
        <v/>
      </c>
      <c r="G21" t="inlineStr">
        <is>
          <t>2014-06-27 23:04:17</t>
        </is>
      </c>
      <c r="H21" t="inlineStr">
        <is>
          <t>Type 1</t>
        </is>
      </c>
    </row>
    <row r="22">
      <c r="A22" t="inlineStr">
        <is>
          <t>29ayr3</t>
        </is>
      </c>
      <c r="B22" t="inlineStr">
        <is>
          <t>Any teenage/young adult diabetics willing to form a support group?</t>
        </is>
      </c>
      <c r="C22" t="inlineStr">
        <is>
          <t>Ive been a T1 diabetic for a year and a half and I find my supprt circle is incredibly small. My family helps as they can, but only another diabetic can relate to the problems you go through. Most online support groups are geared toward T2 middle aged adults and not so much for the younger generations. Anyone willing to start a group pm me. We can kik :)!</t>
        </is>
      </c>
      <c r="D22" t="n">
        <v>5</v>
      </c>
      <c r="E22" t="n">
        <v>4</v>
      </c>
      <c r="F22">
        <f>HYPERLINK("https://www.reddit.com/r/diabetes/comments/29ayr3/any_teenageyoung_adult_diabetics_willing_to_form/")</f>
        <v/>
      </c>
      <c r="G22" t="inlineStr">
        <is>
          <t>2014-06-27 23:10:08</t>
        </is>
      </c>
      <c r="H22" t="inlineStr">
        <is>
          <t>Type 1</t>
        </is>
      </c>
    </row>
    <row r="23">
      <c r="A23" t="inlineStr">
        <is>
          <t>29bpij</t>
        </is>
      </c>
      <c r="B23" t="inlineStr">
        <is>
          <t>Quick question about high BG reading.</t>
        </is>
      </c>
      <c r="C23" t="inlineStr">
        <is>
          <t>Last night at 11 pm it was 228. Was at the movies and had a hot dog and popcorn, so I wasn't too surprised. I took my 1000mg of Metformin at 8:30pm. 
This morning at 8am it was 114. I'm happy, but it's never dropped like that before. Is this normal? Is it possible I got a bad reading last night?  
Usually, it's around 140 at night, so I'm a bit curious. 
Thanks, all!</t>
        </is>
      </c>
      <c r="D23" t="n">
        <v>3</v>
      </c>
      <c r="E23" t="n">
        <v>5</v>
      </c>
      <c r="F23">
        <f>HYPERLINK("https://www.reddit.com/r/diabetes/comments/29bpij/quick_question_about_high_bg_reading/")</f>
        <v/>
      </c>
      <c r="G23" t="inlineStr">
        <is>
          <t>2014-06-28 08:09:19</t>
        </is>
      </c>
      <c r="H23" t="inlineStr">
        <is>
          <t>Type 2</t>
        </is>
      </c>
    </row>
    <row r="24">
      <c r="A24" t="inlineStr">
        <is>
          <t>29cdte</t>
        </is>
      </c>
      <c r="B24" t="inlineStr">
        <is>
          <t>Type 1 The Pump</t>
        </is>
      </c>
      <c r="C24" t="inlineStr">
        <is>
          <t>There are so many advantages to wearing a pump.You put in how many carbs you're eating and the pump knows exactly how much insulin you need. It devides the shot, half now and half later. If you don't like what your eating, cancell and later shot. Or if you want more, or desert change and second half and add more. If your in a business meeting and know when your having lunch you can program it to give yourself a shot when you want it delivered. No one knows. People think your texting when your giving yourself a shot. You can be anywhere, any time. The pump also makes grafts and looks for patterns. If you need help there is a number on the back and a help line can walk you through every step. You give them the cereal number on the back and they can see what your doing, with any problem your having.</t>
        </is>
      </c>
      <c r="D24" t="n">
        <v>0</v>
      </c>
      <c r="E24" t="n">
        <v>2</v>
      </c>
      <c r="F24">
        <f>HYPERLINK("https://www.reddit.com/r/diabetes/comments/29cdte/type_1_the_pump/")</f>
        <v/>
      </c>
      <c r="G24" t="inlineStr">
        <is>
          <t>2014-06-28 13:16:30</t>
        </is>
      </c>
      <c r="H24" t="inlineStr">
        <is>
          <t>Type 1</t>
        </is>
      </c>
    </row>
    <row r="25">
      <c r="A25" t="inlineStr">
        <is>
          <t>29ekvk</t>
        </is>
      </c>
      <c r="B25" t="inlineStr">
        <is>
          <t>I'm a Type-2, use insulin, get no benefit from metformin (Glucophage). Are there others like me?</t>
        </is>
      </c>
      <c r="C25" t="inlineStr">
        <is>
          <t>I tried it for a long time. When I start metformin, I don't feel well -- tired and a little depressed. I started out with 250 mg./day, increased the dose very slowly, until I got up to 2000 mg./day, stayed with that dose for many months, hoping I would need less insulin. No benefit. I had bad dreams all night, every night when taking metformin. They stopped when I stopped the metformin. Are others here metformin non-responders?</t>
        </is>
      </c>
      <c r="D25" t="n">
        <v>2</v>
      </c>
      <c r="E25" t="n">
        <v>25</v>
      </c>
      <c r="F25">
        <f>HYPERLINK("https://www.reddit.com/r/diabetes/comments/29ekvk/im_a_type2_use_insulin_get_no_benefit_from/")</f>
        <v/>
      </c>
      <c r="G25" t="inlineStr">
        <is>
          <t>2014-06-29 10:23:39</t>
        </is>
      </c>
      <c r="H25" t="inlineStr">
        <is>
          <t>Type 2</t>
        </is>
      </c>
    </row>
    <row r="26">
      <c r="A26" t="inlineStr">
        <is>
          <t>29evg4</t>
        </is>
      </c>
      <c r="B26" t="inlineStr">
        <is>
          <t>Bolusing for pizza???</t>
        </is>
      </c>
      <c r="C26" t="inlineStr">
        <is>
          <t>Hey guys, 
recently I've been on a kick trying to get tighter control of things and being more careful and aware of my bolusing. The Dexcom is awesome for helping figure out how to deal with certain foods, but one I'm still struggling with a bit is pizza. Just the regular ol' hand tossed cheesy kind. I can read on the box all day long about serving sizes and carbs but we all know how that doesn't seem to really mean much when it comes to the pizza/pasta spike...
I've managed to not hit the first high that I used to get from just taking a straight bolus by splitting it up. about 60-70% up front and the remainder over a half or hour depending on how much I've eaten. This evening I've managed to sit right at about 140 (where I was pre meal) for about 3 hours, but I'm expecting to still have a bit of a spike in an hour or so. 
How do you guys handle a bit of pizza? Does anyone know why despite counting the carbs we usually end up needing extra to cover it? I know the fat slows down absorption, but is it converting to glucose or something? Is there a way to count that to be able to proactively correct it?</t>
        </is>
      </c>
      <c r="D26" t="n">
        <v>1</v>
      </c>
      <c r="E26" t="n">
        <v>12</v>
      </c>
      <c r="F26">
        <f>HYPERLINK("https://www.reddit.com/r/diabetes/comments/29evg4/bolusing_for_pizza/")</f>
        <v/>
      </c>
      <c r="G26" t="inlineStr">
        <is>
          <t>2014-06-29 12:27:26</t>
        </is>
      </c>
      <c r="H26" t="inlineStr">
        <is>
          <t>Type 1</t>
        </is>
      </c>
    </row>
    <row r="27">
      <c r="A27" t="inlineStr">
        <is>
          <t>29fri1</t>
        </is>
      </c>
      <c r="B27" t="inlineStr">
        <is>
          <t>Getting Serious About My Diabetes [UPDATE]</t>
        </is>
      </c>
      <c r="C27" t="inlineStr">
        <is>
          <t>Original post here:
http://www.reddit.com/r/diabetes/comments/23it4n/getting_serious_about_my_diabetes_looking_for_help/
So my current doctor referred me to a diabetes learning/counselling class and I've been to two so far. From my understanding there are to be four classes. The first class was pretty basic, covered everything I already knew about diabetes but the second one went better and I learned a few things about reading labels and basically counting total carbs instead of just watching the sugar. The class gave me a blood sugar monitor, 20 test strips and 6 needles (comes in a cartridge I just load into the device).
I also found out that my A1C (from April) was 8.3 and my blood sugar level is not very good (obviously). My day starts off pretty high, around 230, it reached 320 2 hours after lunch and dipped down to 173 before dinner. The class instructor wants me to try eating a little carb snack before bed in hopes to lower my morning sugars and I'm getting myself on a low carb intake diet so hopefully my numbers will go down. Forgot to mention that I'm on Metformin 1000mg in morning, 1500mg with dinner.
I feel a bit better now that I'm getting on the right track. Does anyone happen to know of any good programs out there similar to Calorie King with carb info or anything? Thanks for all the help so far!</t>
        </is>
      </c>
      <c r="D27" t="n">
        <v>1</v>
      </c>
      <c r="E27" t="n">
        <v>3</v>
      </c>
      <c r="F27">
        <f>HYPERLINK("https://www.reddit.com/r/diabetes/comments/29fri1/getting_serious_about_my_diabetes_update/")</f>
        <v/>
      </c>
      <c r="G27" t="inlineStr">
        <is>
          <t>2014-06-29 18:41:56</t>
        </is>
      </c>
      <c r="H27" t="inlineStr">
        <is>
          <t>Type 2</t>
        </is>
      </c>
    </row>
    <row r="28">
      <c r="A28" t="inlineStr">
        <is>
          <t>29goxi</t>
        </is>
      </c>
      <c r="B28" t="inlineStr">
        <is>
          <t>Bad experiences with sucralose (splenda)?</t>
        </is>
      </c>
      <c r="C28" t="inlineStr">
        <is>
          <t xml:space="preserve">Hi folks, type 2 diabetic here.
I was taking an interstate trip driving in my car. I needed a boost so I bought a Rockstar energy drink that advertised zero sugar and zero carbs. OK, I'm driving along and I take a few sips... and I immediately start to feel my blood sugar spiking - woozy, tired, and not alert. The opposite effect of consuming an energy drink. I eventually stopped and ate some protein. I checked the ingredients of the can and saw sucralose.
Has anyone here had bad experiences with sucralose (splenda)? (basically you consumed it but found that your blood sugar went up instead of staying down)? My quick googling shows that yes this may be a real thing.
I also thought that the '-ose' ingredients were all sugar (glucose, fructose, lactose...sucralose)? </t>
        </is>
      </c>
      <c r="D28" t="n">
        <v>1</v>
      </c>
      <c r="E28" t="n">
        <v>12</v>
      </c>
      <c r="F28">
        <f>HYPERLINK("https://www.reddit.com/r/diabetes/comments/29goxi/bad_experiences_with_sucralose_splenda/")</f>
        <v/>
      </c>
      <c r="G28" t="inlineStr">
        <is>
          <t>2014-06-30 03:44:07</t>
        </is>
      </c>
      <c r="H28" t="inlineStr">
        <is>
          <t>Type 2</t>
        </is>
      </c>
    </row>
    <row r="29">
      <c r="A29" t="inlineStr">
        <is>
          <t>29h88n</t>
        </is>
      </c>
      <c r="B29" t="inlineStr">
        <is>
          <t>T1D Parents of Reddit: How do you cope?</t>
        </is>
      </c>
      <c r="C29" t="inlineStr">
        <is>
          <t>About seven months ago, our five year old was diagnosed. Initially, I felt like I had a good grip on things, and while I worried about her, it wasn't consuming.
Fast forward a bit...a few months ago, my wife inadvertently gave 3 units of Novolog instead of 3 units of Lantus. We were up until 4:30 in the morning doing q15 minute fingersticks and giving oral glucose. Fortunately, she never dipped below the mid 60s.
But since that night, though, my worrying has escalated. I know my wife won't make that error again, and we've since moved the Lantus to a separate location so they can't be mixed up. But I feel like I'm *constantly* worried about our daughter. Sometimes to the point of nausea.
Sometimes it almost feels like a PTSD response, and just hearing the beep of the meter or click of the lancet will make me anxious.
I'm not big on group speaking, so the thought of a parents group doesn't sound appealing to me.
How do you all manage the worry when it comes to your kids T1D? Thanks!
TL;DR: Daddy constantly worries about his little girl and needs help without group therapy.</t>
        </is>
      </c>
      <c r="D29" t="n">
        <v>3</v>
      </c>
      <c r="E29" t="n">
        <v>11</v>
      </c>
      <c r="F29">
        <f>HYPERLINK("https://www.reddit.com/r/diabetes/comments/29h88n/t1d_parents_of_reddit_how_do_you_cope/")</f>
        <v/>
      </c>
      <c r="G29" t="inlineStr">
        <is>
          <t>2014-06-30 08:17:02</t>
        </is>
      </c>
      <c r="H29" t="inlineStr">
        <is>
          <t>Type 1</t>
        </is>
      </c>
    </row>
    <row r="30">
      <c r="A30" t="inlineStr">
        <is>
          <t>29irl2</t>
        </is>
      </c>
      <c r="B30" t="inlineStr">
        <is>
          <t>Do any of you type 1s have a problem with love handles?</t>
        </is>
      </c>
      <c r="C30" t="inlineStr">
        <is>
          <t>Like... I can't decide if it's scar tissue from the 14+ years of being on a pump and inserting there, or the 17+ years of injecting there in general. Or... You know, just a shitty diet. Does anyone else have a problem like this? 
I'm Miss Zero Self Control when it comes to low blood sugars, too. Roller coastered 29, 395, 32, 425 all of yesterday. Sooo you know. My diet blows in that respect.</t>
        </is>
      </c>
      <c r="D30" t="n">
        <v>8</v>
      </c>
      <c r="E30" t="n">
        <v>40</v>
      </c>
      <c r="F30">
        <f>HYPERLINK("https://www.reddit.com/r/diabetes/comments/29irl2/do_any_of_you_type_1s_have_a_problem_with_love/")</f>
        <v/>
      </c>
      <c r="G30" t="inlineStr">
        <is>
          <t>2014-06-30 17:30:25</t>
        </is>
      </c>
      <c r="H30" t="inlineStr">
        <is>
          <t>Type 1</t>
        </is>
      </c>
    </row>
    <row r="31">
      <c r="A31" t="inlineStr">
        <is>
          <t>29iuk5</t>
        </is>
      </c>
      <c r="B31" t="inlineStr">
        <is>
          <t>T1D and slender tone belt?</t>
        </is>
      </c>
      <c r="C31" t="inlineStr">
        <is>
          <t xml:space="preserve">Hey guys, so I am a type one diabetic, have been for about 13 years now. I just purchased a slender tone belt and am about 150 lbs and 5'7" and I use a Minimed revel. The slender tone says it isn't suitable for diabetics that use insulin... Why not? Is it dangerous to use? What will happen? I was really looking forward to trying it out... </t>
        </is>
      </c>
      <c r="D31" t="n">
        <v>0</v>
      </c>
      <c r="E31" t="n">
        <v>2</v>
      </c>
      <c r="F31">
        <f>HYPERLINK("https://www.reddit.com/r/diabetes/comments/29iuk5/t1d_and_slender_tone_belt/")</f>
        <v/>
      </c>
      <c r="G31" t="inlineStr">
        <is>
          <t>2014-06-30 18:02:43</t>
        </is>
      </c>
      <c r="H31" t="inlineStr">
        <is>
          <t>Type 1</t>
        </is>
      </c>
    </row>
    <row r="32">
      <c r="A32" t="inlineStr">
        <is>
          <t>29jk84</t>
        </is>
      </c>
      <c r="B32" t="inlineStr">
        <is>
          <t>One huge diagnosis, one huge turnaround</t>
        </is>
      </c>
      <c r="C32" t="inlineStr">
        <is>
          <t>Late April doing a simple blood test on a whim and they called me back to do a pee sample, phone call came in and AC1 10.3 and BG at 224.  They informed me on a Friday and I was just rollercoasting all weekend.   Popping 1000mg metformin/day since.  I lurked like no other, this board and another really flipped everything on end.  I first started looking at my diet, eliminating everything bad, I was given hardly any information, and it was either go learn it or be left in the dark.  Dr didn't say I needed to test, but wanted to check back in 2 months.  I finally stumbled about /r/keto and everything seem to make sense.  Pills have been ok, maybe 1 BM issue a week so far.  Diet has been drastically changed, and just today I found the results of my 2nd blood work.  AC1 dropped to 6.1, Fasting BG to 90 and avg at 128.  I've dropped 27 lbs, and expect many many more to fall with increasing exercise and diet management.  
Only questions I have is how much damage might have happened, and looking to my future on how long I can maintain this.  I know eventually my pancreas will give up, and I'll have to do a lot more to be balanced and healthy.  
There's some regret of course but it's just that.  Nothing I can do now besides correct the course.  
I've tried typing up something before, but just didn't till now.  Saying thanks for the support seems so little when compared to how much I have learned.</t>
        </is>
      </c>
      <c r="D32" t="n">
        <v>9</v>
      </c>
      <c r="E32" t="n">
        <v>4</v>
      </c>
      <c r="F32">
        <f>HYPERLINK("https://www.reddit.com/r/diabetes/comments/29jk84/one_huge_diagnosis_one_huge_turnaround/")</f>
        <v/>
      </c>
      <c r="G32" t="inlineStr">
        <is>
          <t>2014-06-30 23:20:23</t>
        </is>
      </c>
      <c r="H32" t="inlineStr">
        <is>
          <t>Type 2</t>
        </is>
      </c>
    </row>
    <row r="33">
      <c r="A33" t="inlineStr">
        <is>
          <t>29lb6l</t>
        </is>
      </c>
      <c r="B33" t="inlineStr">
        <is>
          <t>Dexcom G4 "Interference"</t>
        </is>
      </c>
      <c r="C33" t="inlineStr">
        <is>
          <t>I got my Dexcom at the beginning of the month, and it worked great...until Sunday. I keep getting the "out of range" indicator and I get hardly any readings (like one or two in 8 hours).
Before you ask: yes, I have called tech support, and they sent me a new transmitter. That didn't solve the problem, so now they're sending me a new receiver.
The question I have is about interference with the dexcom signal. When I call tech support about this, they always ask about whether I'm near computers, bluetooth devices, wifi routers, etc. I was wondering if anyone has actually had significant issues (i.e less than the occasional dropped point or two) because of being next to their computer, phone, or whatever?
My argument has been that it worked for a whole month before this without issue, and nothing in my house has changed, so that shouldn't be the cause. Overall, it sounds more like tech support BS to me.</t>
        </is>
      </c>
      <c r="D33" t="n">
        <v>1</v>
      </c>
      <c r="E33" t="n">
        <v>6</v>
      </c>
      <c r="F33">
        <f>HYPERLINK("https://www.reddit.com/r/diabetes/comments/29lb6l/dexcom_g4_interference/")</f>
        <v/>
      </c>
      <c r="G33" t="inlineStr">
        <is>
          <t>2014-07-01 13:15:09</t>
        </is>
      </c>
      <c r="H33" t="inlineStr">
        <is>
          <t>Type 1</t>
        </is>
      </c>
    </row>
    <row r="34">
      <c r="A34" t="inlineStr">
        <is>
          <t>29m9xj</t>
        </is>
      </c>
      <c r="B34" t="inlineStr">
        <is>
          <t>Why do the Sure T infusions sets have a shorter recommended use time?</t>
        </is>
      </c>
      <c r="C34" t="inlineStr">
        <is>
          <t>Why is it that the Sure T sets need to be changed every 2 days instead of 3 for the other sets? I recently changed from the quick set and love the Sure T's. I know it is a steel needle instead of a plastic cannula, but how does that change their lifespan? Is it a big risk to leave them in for 3 days instead of 2 if my numbers are still doing well?</t>
        </is>
      </c>
      <c r="D34" t="n">
        <v>2</v>
      </c>
      <c r="E34" t="n">
        <v>1</v>
      </c>
      <c r="F34">
        <f>HYPERLINK("https://www.reddit.com/r/diabetes/comments/29m9xj/why_do_the_sure_t_infusions_sets_have_a_shorter/")</f>
        <v/>
      </c>
      <c r="G34" t="inlineStr">
        <is>
          <t>2014-07-01 19:42:50</t>
        </is>
      </c>
      <c r="H34" t="inlineStr">
        <is>
          <t>Type 1</t>
        </is>
      </c>
    </row>
    <row r="35">
      <c r="A35" t="inlineStr">
        <is>
          <t>29obgx</t>
        </is>
      </c>
      <c r="B35" t="inlineStr">
        <is>
          <t>T:Slim Random Occlusion Alarms</t>
        </is>
      </c>
      <c r="C35" t="inlineStr">
        <is>
          <t>Hey Folks, wanted to check in... I have had a T:Slim since november now and recently I have been getting randmo occlusion alarms usually every time I replace a cartridge and sometimes more than that. I am using inset 3 foot long 6cm plastic infusion sets.
Usually there are no kinks in the tubing and I can clear the occlusion by pulling off and putting back in the cartridge, but I wanted to check in... is anyone else having this problem? Any idea what I might be doing wrong?</t>
        </is>
      </c>
      <c r="D35" t="n">
        <v>3</v>
      </c>
      <c r="E35" t="n">
        <v>1</v>
      </c>
      <c r="F35">
        <f>HYPERLINK("https://www.reddit.com/r/diabetes/comments/29obgx/tslim_random_occlusion_alarms/")</f>
        <v/>
      </c>
      <c r="G35" t="inlineStr">
        <is>
          <t>2014-07-02 12:25:03</t>
        </is>
      </c>
      <c r="H35" t="inlineStr">
        <is>
          <t>Type 1</t>
        </is>
      </c>
    </row>
    <row r="36">
      <c r="A36" t="inlineStr">
        <is>
          <t>29ojr7</t>
        </is>
      </c>
      <c r="B36" t="inlineStr">
        <is>
          <t>Emergency in Portugal - any help appreciated!</t>
        </is>
      </c>
      <c r="C36" t="inlineStr">
        <is>
          <t xml:space="preserve">Hi all,
I'm currently sitting in A&amp;amp;E in a Portuguese hospital where I am on holiday with my boyfriend.  I had horribly high ketones all day (up to 6 mmol/L) with lots of vomiting.
My boyfriend took me to the local hospital after they rose back up again (from 1.6 to 4.8 in one hour) but the staff don't seem concerned about the ketones. They have put me on a fluid drip for dehydration &amp;amp; gave me a shot of insulin. I just tested my own ketones and they are 6.7. Boyfriend has gone back to the hotel to get more insulin for my pump but I'm getting really scared. 
Please help!
Edit 3/7/14: Thank you so much for all your reassurance. I got my ketones down using my pump, feeling much better now so hopefully I'll be out soon :-) </t>
        </is>
      </c>
      <c r="D36" t="n">
        <v>12</v>
      </c>
      <c r="E36" t="n">
        <v>11</v>
      </c>
      <c r="F36">
        <f>HYPERLINK("https://www.reddit.com/r/diabetes/comments/29ojr7/emergency_in_portugal_any_help_appreciated/")</f>
        <v/>
      </c>
      <c r="G36" t="inlineStr">
        <is>
          <t>2014-07-02 13:42:55</t>
        </is>
      </c>
      <c r="H36" t="inlineStr">
        <is>
          <t>Type 1</t>
        </is>
      </c>
    </row>
    <row r="37">
      <c r="A37" t="inlineStr">
        <is>
          <t>29ropy</t>
        </is>
      </c>
      <c r="B37" t="inlineStr">
        <is>
          <t>Question about protein in urine</t>
        </is>
      </c>
      <c r="C37" t="inlineStr">
        <is>
          <t xml:space="preserve">Hi everyone
I went to the endo about six months ago and they found traces of protein in my urine. Both my endo and the primary care physician weren't too worried about it and said that with better control it should go away. 
My kidney function was normal and there was nothing said about kidney disease. 
Have any of you experienced this before and if so did it get better with better diabetes control? My A1C was high but I've been averaging around 120 with decent blood pressure. 
Is this reversible or the beginning of kidney disease? 
Again, docs aren't concerned but just want me to get better blood sugar control. </t>
        </is>
      </c>
      <c r="D37" t="n">
        <v>1</v>
      </c>
      <c r="E37" t="n">
        <v>0</v>
      </c>
      <c r="F37">
        <f>HYPERLINK("https://www.reddit.com/r/diabetes/comments/29ropy/question_about_protein_in_urine/")</f>
        <v/>
      </c>
      <c r="G37" t="inlineStr">
        <is>
          <t>2014-07-03 13:10:22</t>
        </is>
      </c>
      <c r="H37" t="inlineStr">
        <is>
          <t>Type 2</t>
        </is>
      </c>
    </row>
    <row r="38">
      <c r="A38" t="inlineStr">
        <is>
          <t>29sklc</t>
        </is>
      </c>
      <c r="B38" t="inlineStr">
        <is>
          <t>Terrified that I may have type 2 diabetes. Debilitating mental illness for most of my life and now this? Long read...</t>
        </is>
      </c>
      <c r="C38" t="inlineStr">
        <is>
          <t>Hi everyone,
So I'm a 26 year old male who is classified as obese on the BMI scale. In the past few months, I've noticed myself drinking a lot more but I attributed to dry mouth from a psychotropic medication called Trazodone for sleep and also a sudden chain smoking habit. I carry a big water bottle outside with me when I go to smoke so my mouth doesn't dry up.
But just recently, I've noticed how many times I've been urinating a day. It's usually clear to a light yellow color and a lot of it. So I asked my father yesterday if diabetes runs in his side of the family because I know it doesn't on my Mother's side. He told me yes, my aunt had it, my grandmother had it, and my great grandmother had it. He didn't know what type they were but he got me a script for a full blood test which is happening on Saturday and I am scared as hell.
I've been diagnosed with several mental illnesses since I was 11 and have been on and off so many medications. When I started Zoloft at 11, I gained quite a bit of weight but it eventually started coming off.  I stayed on that medication for years until 2009 where I was switched to Pristiq (which is like Effexor) and that made me gain weight at first but again, I was down to a normal weight shortly thereafter. In 2011 is where the big weight gain began. I was a normal weight, eating like your average human being but then I was put on a drug called Gabapentin which is very much known for weight gain. I gained 50 lbs within 3 months and it didn't stop. Flash forward to 2013, I was put on Abilify, another weight gainer and after a few months on that, I was up to 275lbs (6'1"). My major depression along with my other anxiety disorders became such a burden on me that I left work and eventually received social security disability. If anyone knows what major depression is like, they'll understand that while it's always present, there are times where you'll be able to mildly function and there are times where even taking a shower or brushing your teeth seems like climbing Mt. Everest.
In Mid-may of this year, I was at a functioning point where I decided to turn my life around. I was going to the gym at least 4 times a week, doing cardio and resistance training. Eating very well. And then all of the sudden, the depression came back and hit me and I became inactive again.
I became so depressed that I began chain smoking, as I mentioned above. I smoke about a pack a day now. It's horrible, I hate it but it's seemed to be my only crutch. So yesterday, before my conversation with my father, diabetes wasn't even on my mind. It was actually a great day because it was the first time I saw a new cognitive behavioral therapist, we discussed my body image issues and how my goals were to manage this depression, get back to the gym and get healthy. I was feeling so hopeful.
But shortly after that, I was becoming frustrated with my mouth drying out so I did some research and all signs pointed to diabetes. I kept drinking more water, peeing about after fifteen minutes, and even had a panic attack after speaking with my Dad because I know things were not looking good for me.
As far as other common symptoms go, there seems to be no blurred vision or unexpected weight loss. But I now know the major two and a lot of the time- I experience them.
I know I mentioned that I am obese, there is some family history and I do have native american blood on my father's side. But I've been trying to reason with myself (in a constant state of panic) that perhaps this IS just dry mouth from one of my medications and maybe I have a compulsion to drink a lot water just because. Maybe it could be a combination between dry mouth and chain smoking which could also be another compulsion to drink water. I do have two anxiety disorders and it seemed before that whenever I got anxious, I had to pee. Anxiety urination is apparently a real thing as well. However, thirst and frequent urination is the telltale sign of diabetes. 
I couldn't sleep last night. The panic got to me. Today I was depressed so I woke up for a while, tried to watch a movie but just went back to sleep because I didn't want to deal with thinking about it.
The one interesting thing that I noticed last night was that I didn't eat all day (probably because I smoke a lot during the day) but when I forced myself to eat a salad late at night, the dry mouth definitely lessened. I didn't feel "thirsty", but I kept grabbing for my water bottle anyway. So maybe it does have something to do with OCD, drinking a lot of water for whatever reason and just urinating because I drink a lot of water.
And I would also like to know what excessive thirst is compared to dry mouth. I don't have cotton mouth, my tongue doesn't feel completely dry. And it's never really been like a thirst that say you may have on a hot summer day and you want to grab an Iced Tea.
But here's the thing, many of you may not be able to sympathize with me and that's fine. There is a lot of stigma in mental illness but I am being completely honest when I tell you it's controlled my life since I was 11. Taking this step to do cognitive behavioral therapy was huge for me because my psychiatrist told me we're running out of options and even wanted to refer me to an electroconvulsive specialist.
I know T2 diabetes is not a death sentence if you don't make it one. But living will mental illness and then adding this on top of it? It's like- I'm sorry my medication made me gain so much weight, I'm sorry that I became inactive due to clinical depression, but what kind of "god" would do this to me? I think that's just me venting because I'm scared and angry.
I've read about managing T2 diabetes. I have a general understanding of what you need to do to control it. But how am I going to work simultaneously with a new therapist to manage my mental illness? Mental illness can't just take a back seat if I'm diagnosed with T2. I'm not even sure this therapy is going to work and my psychiatrist says my next option would be shock therapy?! Damn.
I hope at least some one out there can sympathize.
Bottom line is, I don't know if I have it. I spoke to one of my T1 diabetic friends yesterday and he says he's almost certain I don't but I think maybe he was just trying to calm me down before I find out that I do. My father says his guess is that it's unlikely but wants me to get tested immediately. Sister says, "You probably don't have it". My Mother says, "Drinking lots of water and peeing clear is healthy!" She's funny.
I spoke to some of you on IRC last night and you seem like a great bunch of people. The most common thing I heard was, "see a doctor" and of course I was expecting that. I'm just on edge.
I'd like to hear from some of you that maybe I don't have it but I have a feeling I'll get responses like "only your doctor can tell you". But man, the waiting... especially with anxiety disorders. I have to go on Sunday for the full blood workup and I don't know how fast I'll get them back and that's just the beginning. Others on IRC were mentioning oral glucose tests (or something along those lines) and possibly other tests to be sure.
I know I've said it plenty of times, but I am scared. Being diagnosed at a young age may even lead to complications in my 30s or 40s. It's all just overwhelming.
**tl;dr**: I can't really summarize everything I spoke about that easily but I'm young and scared of T2 because of having to managing it with my mental illnesses.
P.s. I have thing about my finger tips. They're really sensitive and I hate the sight of any blood. Just so I'm prepared, are there any glucose meters that don't require pinching your fingertips to draw blood? I feel like I've seen an infomercial about one. Maybe I'll do some more research. *sigh*</t>
        </is>
      </c>
      <c r="D38" t="n">
        <v>1</v>
      </c>
      <c r="E38" t="n">
        <v>4</v>
      </c>
      <c r="F38">
        <f>HYPERLINK("https://www.reddit.com/r/diabetes/comments/29sklc/terrified_that_i_may_have_type_2_diabetes/")</f>
        <v/>
      </c>
      <c r="G38" t="inlineStr">
        <is>
          <t>2014-07-03 19:00:49</t>
        </is>
      </c>
      <c r="H38" t="inlineStr">
        <is>
          <t>Type 2</t>
        </is>
      </c>
    </row>
    <row r="39">
      <c r="A39" t="inlineStr">
        <is>
          <t>29vpdf</t>
        </is>
      </c>
      <c r="B39" t="inlineStr">
        <is>
          <t>type 1 18 y/o on pump and Lantus.</t>
        </is>
      </c>
      <c r="C39" t="inlineStr">
        <is>
          <t>Trying something new out since my last a1c's(8.9 and 9.1) are not heading in the right direction. Anyone else try something like this with results?</t>
        </is>
      </c>
      <c r="D39" t="n">
        <v>2</v>
      </c>
      <c r="E39" t="n">
        <v>5</v>
      </c>
      <c r="F39">
        <f>HYPERLINK("https://www.reddit.com/r/diabetes/comments/29vpdf/type_1_18_yo_on_pump_and_lantus/")</f>
        <v/>
      </c>
      <c r="G39" t="inlineStr">
        <is>
          <t>2014-07-04 22:34:37</t>
        </is>
      </c>
      <c r="H39" t="inlineStr">
        <is>
          <t>Type 1</t>
        </is>
      </c>
    </row>
    <row r="40">
      <c r="A40" t="inlineStr">
        <is>
          <t>29weip</t>
        </is>
      </c>
      <c r="B40" t="inlineStr">
        <is>
          <t>Hypo, seizure and now trouble with memory..</t>
        </is>
      </c>
      <c r="C40" t="inlineStr">
        <is>
          <t>I recently had a hypo (1.7) then took a dive to the floor, fitted for about 10 secs and then stiffened up for another 5 seconds. My partner saw it all. Anyway paramedics came, went to emergency, discharged after they checked my heart etc. But now I have noticed I am having trouble with my memory. I forget things more than normal, I am a bit vague and trip over finding the right word or interpreting what I read. This has been going on for a week now. My GP didn't seem to think it was an issue, but it is extremely frustrating. 
Has this happened to anyone else? If so how long until my words come back?</t>
        </is>
      </c>
      <c r="D40" t="n">
        <v>4</v>
      </c>
      <c r="E40" t="n">
        <v>5</v>
      </c>
      <c r="F40">
        <f>HYPERLINK("https://www.reddit.com/r/diabetes/comments/29weip/hypo_seizure_and_now_trouble_with_memory/")</f>
        <v/>
      </c>
      <c r="G40" t="inlineStr">
        <is>
          <t>2014-07-05 07:46:45</t>
        </is>
      </c>
      <c r="H40" t="inlineStr">
        <is>
          <t>Type 1</t>
        </is>
      </c>
    </row>
    <row r="41">
      <c r="A41" t="inlineStr">
        <is>
          <t>29z8g9</t>
        </is>
      </c>
      <c r="B41" t="inlineStr">
        <is>
          <t>Type II, finally quit smoking. Now What?</t>
        </is>
      </c>
      <c r="C41" t="inlineStr">
        <is>
          <t>When I found out I gave up drinking immediately. It's taken me over a year to quit smoking but I did it and I'm finally feeling like I can start getting better. 
I've tried to eat right as much as possible but lately I'm having some problems. The feeling is returning to me feet so that's a good thing but lately I've been having to pee in the middle of the night, a lot. This weekend however, it has been amplified by bowls that seem to go nowhere. 
I will poop once, maybe twice in the morning and then nothing all day but I feel like I need to poop and I know I'm eating more than what's coming out. My stomach is swelling and it is getting very uncomfortable. 
I am about to go to the store and get some bran cereal and a laxative. Has anyone else had this happen? How did you fix it?</t>
        </is>
      </c>
      <c r="D41" t="n">
        <v>9</v>
      </c>
      <c r="E41" t="n">
        <v>12</v>
      </c>
      <c r="F41">
        <f>HYPERLINK("https://www.reddit.com/r/diabetes/comments/29z8g9/type_ii_finally_quit_smoking_now_what/")</f>
        <v/>
      </c>
      <c r="G41" t="inlineStr">
        <is>
          <t>2014-07-06 10:10:53</t>
        </is>
      </c>
      <c r="H41" t="inlineStr">
        <is>
          <t>Type 2</t>
        </is>
      </c>
    </row>
    <row r="42">
      <c r="A42" t="inlineStr">
        <is>
          <t>2a30qq</t>
        </is>
      </c>
      <c r="B42" t="inlineStr">
        <is>
          <t>Confession</t>
        </is>
      </c>
      <c r="C42" t="inlineStr">
        <is>
          <t>Sometimes, like today.. I've been extremely depressed. After lunch I got the dreaded "No insulin" message from my pump. Instead of going home and letting my boss know I would be a bit late.. I continued to go to work. I felt that I deserved what I got and to feel like shit for not filling my resevoir sooner.
So basically, I've begun using high blood sugars as a form of self harm. I've never been the self harming type. But lately, if I do something stupid or go out and forget something, then I don't go out of my way to fix it. I feel like I should know better and therefore deserve what I get.</t>
        </is>
      </c>
      <c r="D42" t="n">
        <v>3</v>
      </c>
      <c r="E42" t="n">
        <v>6</v>
      </c>
      <c r="F42">
        <f>HYPERLINK("https://www.reddit.com/r/diabetes/comments/2a30qq/confession/")</f>
        <v/>
      </c>
      <c r="G42" t="inlineStr">
        <is>
          <t>2014-07-07 14:11:01</t>
        </is>
      </c>
      <c r="H42" t="inlineStr">
        <is>
          <t>Type 1</t>
        </is>
      </c>
    </row>
    <row r="43">
      <c r="A43" t="inlineStr">
        <is>
          <t>2a3200</t>
        </is>
      </c>
      <c r="B43" t="inlineStr">
        <is>
          <t>Just Discovered</t>
        </is>
      </c>
      <c r="C43" t="inlineStr">
        <is>
          <t xml:space="preserve">Sort of.   My old doctor got a reading of 129 for me and said I should come back for a second test. Then closed his practice. 6 months later I got my blood work for my new doc and I had a 134 with an A1C of 7.5
I know those reading from logging onto Quest. My Dr appointment is Friday.
I've already give away my stash of Pepsi Throwback and I'll be dusting off the gym clothes tonight.  Good Bye white rice at the Vietnamese resturant
This isn't going to mix well with high blood pressure
</t>
        </is>
      </c>
      <c r="D43" t="n">
        <v>2</v>
      </c>
      <c r="E43" t="n">
        <v>14</v>
      </c>
      <c r="F43">
        <f>HYPERLINK("https://www.reddit.com/r/diabetes/comments/2a3200/just_discovered/")</f>
        <v/>
      </c>
      <c r="G43" t="inlineStr">
        <is>
          <t>2014-07-07 14:22:04</t>
        </is>
      </c>
      <c r="H43" t="inlineStr">
        <is>
          <t>Type 2</t>
        </is>
      </c>
    </row>
    <row r="44">
      <c r="A44" t="inlineStr">
        <is>
          <t>2a33ka</t>
        </is>
      </c>
      <c r="B44" t="inlineStr">
        <is>
          <t>Why does it take more insulin to bring down a high than it would have to cover the original carbs?</t>
        </is>
      </c>
      <c r="C44" t="inlineStr">
        <is>
          <t xml:space="preserve">I was diagnosed with type 1 a little less than a year ago and I'm still fine tuning my control. I tried pizza a few days ago for the first time since diagnosis and had pretty good results. Last night I tried pizza again and underestimated the number of carbs, so my BG went high. Not a big deal, its a learning experience and I use that info to be better next time. But the amount of insulin it took to bring me back down confuses me.
I use a 1:12 ratio and gave myself 6 units to cover 72g. However, it ended up taking 24 units of insulin across 4 boluses to finally bring me back down, and I didn't have a low afterwords. Now, I can understand if I got it wrong, but its just hard to imagine that 4 slices from a pizza [this size](http://media-cdn.tripadvisor.com/media/photo-s/02/d1/e7/1c/z-pizza.jpg) had 360g carbs. I used the restaurant's [nutrition calculator](http://zpizza.com/nutrition) and it predicts the 72g of carb mentioned above. Of course that's an estimate, but it can't be 20% of the actual carbs can it? 
This isn't the first time it has taken way more insulin to bring me back down than it would have to keep me in range in the first place. I've had it happen with with curries and other types of food as well. Does this make sense to you guys? Or maybe there's something else going on that I don't understand? </t>
        </is>
      </c>
      <c r="D44" t="n">
        <v>5</v>
      </c>
      <c r="E44" t="n">
        <v>19</v>
      </c>
      <c r="F44">
        <f>HYPERLINK("https://www.reddit.com/r/diabetes/comments/2a33ka/why_does_it_take_more_insulin_to_bring_down_a/")</f>
        <v/>
      </c>
      <c r="G44" t="inlineStr">
        <is>
          <t>2014-07-07 14:36:00</t>
        </is>
      </c>
      <c r="H44" t="inlineStr">
        <is>
          <t>Type 1</t>
        </is>
      </c>
    </row>
    <row r="45">
      <c r="A45" t="inlineStr">
        <is>
          <t>2a4rcb</t>
        </is>
      </c>
      <c r="B45" t="inlineStr">
        <is>
          <t>Taking insulin/testing in public?</t>
        </is>
      </c>
      <c r="C45" t="inlineStr">
        <is>
          <t xml:space="preserve">If you need to use insulin or test your BS and are in public, like say a restaurant how do you handle that? Do you do it in the public bathroom?
</t>
        </is>
      </c>
      <c r="D45" t="n">
        <v>6</v>
      </c>
      <c r="E45" t="n">
        <v>42</v>
      </c>
      <c r="F45">
        <f>HYPERLINK("https://www.reddit.com/r/diabetes/comments/2a4rcb/taking_insulintesting_in_public/")</f>
        <v/>
      </c>
      <c r="G45" t="inlineStr">
        <is>
          <t>2014-07-08 03:04:13</t>
        </is>
      </c>
      <c r="H45" t="inlineStr">
        <is>
          <t>Type 2</t>
        </is>
      </c>
    </row>
    <row r="46">
      <c r="A46" t="inlineStr">
        <is>
          <t>2a52mn</t>
        </is>
      </c>
      <c r="B46" t="inlineStr">
        <is>
          <t>Just a Clumsy Sort of Morning...</t>
        </is>
      </c>
      <c r="C46" t="inlineStr">
        <is>
          <t>I tend to only post when diabetes annoys me, and this morning was just the worst.
My work recently switched health insurance providers, and whereas my Novolog used to be covered pretty decently, now it's treated as a high-tier prescription with only a small amount covered. Whatever, no big deal. I went ahead and thought of that and got a vial to cover me while I figure out my options with the new plan.
This morning, I bring my Omnipod supplies and new insulin vial to work to change. As I took out the bottle to draw my insulin, it slipped from my fingers and fell on the granite countertop, only about a foot or so. But, of course, it shattered. I took the syringe and tried to sop up whatever I could (of course I felt like a drug addict doing this, praying the cleaning crew had actually cleaned there). So I have enough insulin for the next 3 days, with the whole vial wasted.
If that wasn't bad enough, I stepped to the side to take off my old pod (I like to pull it off while the new one is priming, maybe that's just me), and of course, I'm wearing a white shirt tucked into a gray skirt. When I go to put the new pod on, I look down and feel like I'm in Shaun of the Dead:
http://i.imgur.com/kYlCVMI.gif
All over. I never bleed from changing sites, but TODAY of all days, my old site started bleeding out all over my clothes.
Faceslam all over the place. This is why I can't have nice things.
Hope everyone has an awesome Tuesday!</t>
        </is>
      </c>
      <c r="D46" t="n">
        <v>17</v>
      </c>
      <c r="E46" t="n">
        <v>22</v>
      </c>
      <c r="F46">
        <f>HYPERLINK("https://www.reddit.com/r/diabetes/comments/2a52mn/just_a_clumsy_sort_of_morning/")</f>
        <v/>
      </c>
      <c r="G46" t="inlineStr">
        <is>
          <t>2014-07-08 06:15:49</t>
        </is>
      </c>
      <c r="H46" t="inlineStr">
        <is>
          <t>Type 1</t>
        </is>
      </c>
    </row>
    <row r="47">
      <c r="A47" t="inlineStr">
        <is>
          <t>2a5655</t>
        </is>
      </c>
      <c r="B47" t="inlineStr">
        <is>
          <t>Didn't eat for 18 hours... blood sugar level still relatively high?</t>
        </is>
      </c>
      <c r="C47" t="inlineStr">
        <is>
          <t>Hi! First of all, I have an appointment for a throughout test at the doc tomorrow but I'm really worried.
They checked my blood sugar level today and it was around 112, BUT the last time I eat was 18 hours ago. So I fasted relatively long before the test... would you guys say this is a clear indicator for diabetes? :( Also, the day before I fasted I eat less then usual, mostly salad and a few slices of bread.</t>
        </is>
      </c>
      <c r="D47" t="n">
        <v>0</v>
      </c>
      <c r="E47" t="n">
        <v>6</v>
      </c>
      <c r="F47">
        <f>HYPERLINK("https://www.reddit.com/r/diabetes/comments/2a5655/didnt_eat_for_18_hours_blood_sugar_level_still/")</f>
        <v/>
      </c>
      <c r="G47" t="inlineStr">
        <is>
          <t>2014-07-08 06:57:57</t>
        </is>
      </c>
      <c r="H47" t="inlineStr">
        <is>
          <t>Type 2</t>
        </is>
      </c>
    </row>
    <row r="48">
      <c r="A48" t="inlineStr">
        <is>
          <t>2a7733</t>
        </is>
      </c>
      <c r="B48" t="inlineStr">
        <is>
          <t>An update on my current situation</t>
        </is>
      </c>
      <c r="C48" t="inlineStr">
        <is>
          <t>My insulin needs seem to have changed significantly since I was first diagnosed. My Lantus has gone down from 24 units to 17 units which gives a fasting glucose level of 5.3 mmol/l and my ratio of NovaRapid has gone from 1 unit per 20g to 1 unit per 7g. My latest HbA1C result was 5.4 as of a month ago so I am obviously getting the hang of managing this thing</t>
        </is>
      </c>
      <c r="D48" t="n">
        <v>7</v>
      </c>
      <c r="E48" t="n">
        <v>4</v>
      </c>
      <c r="F48">
        <f>HYPERLINK("https://www.reddit.com/r/diabetes/comments/2a7733/an_update_on_my_current_situation/")</f>
        <v/>
      </c>
      <c r="G48" t="inlineStr">
        <is>
          <t>2014-07-08 18:28:01</t>
        </is>
      </c>
      <c r="H48" t="inlineStr">
        <is>
          <t>Type 1</t>
        </is>
      </c>
    </row>
    <row r="49">
      <c r="A49" t="inlineStr">
        <is>
          <t>2a7dh4</t>
        </is>
      </c>
      <c r="B49" t="inlineStr">
        <is>
          <t>Wondering about altitude changes and insulin needs</t>
        </is>
      </c>
      <c r="C49" t="inlineStr">
        <is>
          <t xml:space="preserve">I'm headed to Colorado soon, which is a much higher elevation than I'm accustomed to.  Last time I was there I was pregnant and the higher altitude wiped me out and almost made me pass out once.  Now i return, not pregnant, but with a semi-recent diagnosis of type 1 diabetes, and I wonder how altitude affects bg and insulin needs.  
What has your experience been with traveling to high altitudes?  Will I need a lower basal rate? Should I just expect to test constantly? </t>
        </is>
      </c>
      <c r="D49" t="n">
        <v>2</v>
      </c>
      <c r="E49" t="n">
        <v>6</v>
      </c>
      <c r="F49">
        <f>HYPERLINK("https://www.reddit.com/r/diabetes/comments/2a7dh4/wondering_about_altitude_changes_and_insulin_needs/")</f>
        <v/>
      </c>
      <c r="G49" t="inlineStr">
        <is>
          <t>2014-07-08 19:36:37</t>
        </is>
      </c>
      <c r="H49" t="inlineStr">
        <is>
          <t>Type 1</t>
        </is>
      </c>
    </row>
    <row r="50">
      <c r="A50" t="inlineStr">
        <is>
          <t>2a89uz</t>
        </is>
      </c>
      <c r="B50" t="inlineStr">
        <is>
          <t>Can I feel hypoglycemic with higher numbers if I am use to really high numbers?</t>
        </is>
      </c>
      <c r="C50" t="inlineStr">
        <is>
          <t>This might be a weird question but can someone who usually has very high numbers have symptoms of hypoglycemia when their numbers get much lower for them but still higher then they should be?
*Hope I am making sense lol</t>
        </is>
      </c>
      <c r="D50" t="n">
        <v>1</v>
      </c>
      <c r="E50" t="n">
        <v>8</v>
      </c>
      <c r="F50">
        <f>HYPERLINK("https://www.reddit.com/r/diabetes/comments/2a89uz/can_i_feel_hypoglycemic_with_higher_numbers_if_i/")</f>
        <v/>
      </c>
      <c r="G50" t="inlineStr">
        <is>
          <t>2014-07-09 04:00:24</t>
        </is>
      </c>
      <c r="H50" t="inlineStr">
        <is>
          <t>Type 2</t>
        </is>
      </c>
    </row>
    <row r="51">
      <c r="A51" t="inlineStr">
        <is>
          <t>2a8c3x</t>
        </is>
      </c>
      <c r="B51" t="inlineStr">
        <is>
          <t>My first week after diagnosis and weight loss</t>
        </is>
      </c>
      <c r="C51" t="inlineStr">
        <is>
          <t xml:space="preserve">I have recently been diagnosed with Type 2 Diabetes which my Doctor and I agree is a result of my weight and diet. I was 6 feet and 1 inch and 290 pounds July 3rd in the Doctor's office. This was a wake up call for me, my diet previously consisted of fatty foods, lots of sugar, lots of junk candy food and white breads. Generous sauces on meats, pasta as well. I would also graze almost all evening and some afternoons. Almost no healthy foods, veggies consisted of potatoes and carrots mostly and maybe some peas once in awhile. Even breakfasts were sugary cereals. 
Since then I have completely changed my diet. Breakfasts are either one packet of Oatmeal, the plain regular kind and a greek yogurt. Lunches are spinach salads or wraps with spinach and either chicken or tuna with hummus. Almonds for a snack. I have had some sun chips but very little. I have drastically reduced my portions as well. Supper is Haddock, Chicken, Salmon on the BBQ without sauces. I had a lean hamburger on a slice of whole grain bread last night with cheese and a spinach salad as well with mushrooms, broccoli and celery. Also lots and lots of veggies this week, Mushrooms, Broccoli, cabbage, peppers in my stir fry, stuff like that. I will put a little turkey bacon in my wrap as well. I always hated vegetables but i have discovered it is preparation and I am enjoying them right now.
So my question is my scale now reads 280 pounds this morning from 290 a week ago. I don't believe for a second this is sustainable but is a quick early weight loss healthy? I expect I will balance out as I adjust to the new diet as well. I still drink a couple of cups of coffee in the morning with 1% milk and lots of water since the medication (Metformin - 250 mg twice a day for the first week) is causing some mild diarrhea and water is good for me anyway. I'm not starving between meals and my energy is actually better lately.
Just looking for some thoughts on if I am doing anything wrong. I do not believe I have omitted anything. I have also started walking 3 to 4 km's a day but that has only been the last three days. I am doing a lot of reading and research as well to make sure my food choices are better. 
TL:DR - Drastically changed my diet from all junk to a much healthier once since my diagnosis and I have lost 10 pounds in a week. Is that normal?
EDIT - Thank you everyone, I got some great info and cleared up some misconceptions as well. I really appreciate all the feedback. Seems like a really supportive community here. </t>
        </is>
      </c>
      <c r="D51" t="n">
        <v>1</v>
      </c>
      <c r="E51" t="n">
        <v>20</v>
      </c>
      <c r="F51">
        <f>HYPERLINK("https://www.reddit.com/r/diabetes/comments/2a8c3x/my_first_week_after_diagnosis_and_weight_loss/")</f>
        <v/>
      </c>
      <c r="G51" t="inlineStr">
        <is>
          <t>2014-07-09 04:41:24</t>
        </is>
      </c>
      <c r="H51" t="inlineStr">
        <is>
          <t>Type 2</t>
        </is>
      </c>
    </row>
    <row r="52">
      <c r="A52" t="inlineStr">
        <is>
          <t>2a8ua1</t>
        </is>
      </c>
      <c r="B52" t="inlineStr">
        <is>
          <t>Is a non-diabetic A1C a realistic goal for T2? How long did it take to reach your A1C goal?</t>
        </is>
      </c>
      <c r="C52" t="inlineStr">
        <is>
          <t>I was diagnosed T2 March 2014 with an 11.3 A1C. My GP put me on 1000mg Metformin per day and 10mg atorvastatin for high cholesterol found at the same time. I made some changes in lifestyle and diet in response. In April using the Bayer A1CNow kit I tested 8.6, then in July I tested 6.8, a marked flattening of the downward trend. I've dropped 12 pounds over this time period. While I'm confident I can hit the recommended 6.5 at my next test interval, my real goal by the end of this year is 5.5, but I'm concerned that I'm not realistic because I can't find much on the web about diabetics hitting the normal A1C range other than "it would be nice, but here are the real recommended [higher] ranges for diabetics".
Over 98% of the time I test (3-6 times per day), my two-hour post-prandial bg is under 110, pre-prandial ranges from 65-90, depending upon whether I've just exercised and/or skipping a meal or not. I'm cautiously waiting for the "honeymoon period" I've read about to expire and my numbers to blow up, and watching myself for the fatigue I've read about where people just give up their routines, but knock on wood, those haven't occurred yet. This disease scares the crap out of me; I have young kids and I must find a way to work around this condition so I can raise them.
Question 1: Is the 4.5-6.0 normal A1C range a realistic goal?
Question 2: If you set an A1C goal (no matter what the goal is) and reached it, what was the goal, how long did it take, and how long did you sustain the goal?</t>
        </is>
      </c>
      <c r="D52" t="n">
        <v>3</v>
      </c>
      <c r="E52" t="n">
        <v>10</v>
      </c>
      <c r="F52">
        <f>HYPERLINK("https://www.reddit.com/r/diabetes/comments/2a8ua1/is_a_nondiabetic_a1c_a_realistic_goal_for_t2_how/")</f>
        <v/>
      </c>
      <c r="G52" t="inlineStr">
        <is>
          <t>2014-07-09 08:28:05</t>
        </is>
      </c>
      <c r="H52" t="inlineStr">
        <is>
          <t>Type 2</t>
        </is>
      </c>
    </row>
    <row r="53">
      <c r="A53" t="inlineStr">
        <is>
          <t>2a8zt2</t>
        </is>
      </c>
      <c r="B53" t="inlineStr">
        <is>
          <t>T1 Pregnancy</t>
        </is>
      </c>
      <c r="C53" t="inlineStr">
        <is>
          <t>I am currently 28 weeks along in my first pregnancy, and I have to say I have been pleasantly surprised with how well it's gone! If you're thinking about it for the future, my best advice is to read Cheryl Alkon's book (linked here) and get a pump and cgm, if feasible.
http://www.amazon.com/Balancing-Pregnancy-Pre-existing-Diabetes-Cheryl/dp/1932603328/ref=la_B0034MJSPY_sp-atf_image_1_1?s=books&amp;amp;ie=UTF8&amp;amp;qid=1404922458&amp;amp;sr=1-1
I just got back from the Endo with a 5.6 A1c-- best ever in my 20 years of T1, a number I thought was an urban Diabeetus legend. Having a teeny tiny person depending on your control is a good motivator. Little bebe is growing right on schedule, and doctors have been surprisingly pleasant and reassuring. I expected to be completely stressed for the duration of the pregnancy, but I've actually been enjoying it.
Just wanted to share for ladies who, like myself, have a lot of fear and anxiety about pregnancy with Type 1. You can do it if you want to!</t>
        </is>
      </c>
      <c r="D53" t="n">
        <v>39</v>
      </c>
      <c r="E53" t="n">
        <v>25</v>
      </c>
      <c r="F53">
        <f>HYPERLINK("https://www.reddit.com/r/diabetes/comments/2a8zt2/t1_pregnancy/")</f>
        <v/>
      </c>
      <c r="G53" t="inlineStr">
        <is>
          <t>2014-07-09 09:20:43</t>
        </is>
      </c>
      <c r="H53" t="inlineStr">
        <is>
          <t>Type 1</t>
        </is>
      </c>
    </row>
    <row r="54">
      <c r="A54" t="inlineStr">
        <is>
          <t>2a9flm</t>
        </is>
      </c>
      <c r="B54" t="inlineStr">
        <is>
          <t>A pen and paper game based on living with diabetes...</t>
        </is>
      </c>
      <c r="C54" t="inlineStr">
        <is>
          <t>Would have a set of rules which makes FATAL look simple.</t>
        </is>
      </c>
      <c r="D54" t="n">
        <v>0</v>
      </c>
      <c r="E54" t="n">
        <v>3</v>
      </c>
      <c r="F54">
        <f>HYPERLINK("https://www.reddit.com/r/diabetes/comments/2a9flm/a_pen_and_paper_game_based_on_living_with_diabetes/")</f>
        <v/>
      </c>
      <c r="G54" t="inlineStr">
        <is>
          <t>2014-07-09 11:43:58</t>
        </is>
      </c>
      <c r="H54" t="inlineStr">
        <is>
          <t>Type 1</t>
        </is>
      </c>
    </row>
    <row r="55">
      <c r="A55" t="inlineStr">
        <is>
          <t>2a9t0k</t>
        </is>
      </c>
      <c r="B55" t="inlineStr">
        <is>
          <t>Needed: Good documentation about ignoring Type 1 procedures</t>
        </is>
      </c>
      <c r="C55" t="inlineStr">
        <is>
          <t>Here's the deal: we have an eight-year-old daughter who is very responsible with her Type-1 management -- when she's with my wife and I.
Unfortunately, she spends half the time with her mother (my ex) who pays lip service to management, but takes every shortcut possible. The procedures that our endo laid out for lows are ignored, replaced with "oh, just have a Glucose Quick Stick" (something the endo specifically said not to use).
We try and make my daughter understand that while doing something like that on occasion for a borderline case might not hurt anything, repeatedly doing it every time she has a low at her mother's is going to have a negative effect over time.
What I'm looking for is something that I can show to her listing out what can happen. Basically, something that can impress on her the importance of proper management and showing the consequences of ignoring her doctors.</t>
        </is>
      </c>
      <c r="D55" t="n">
        <v>8</v>
      </c>
      <c r="E55" t="n">
        <v>13</v>
      </c>
      <c r="F55">
        <f>HYPERLINK("https://www.reddit.com/r/diabetes/comments/2a9t0k/needed_good_documentation_about_ignoring_type_1/")</f>
        <v/>
      </c>
      <c r="G55" t="inlineStr">
        <is>
          <t>2014-07-09 13:43:18</t>
        </is>
      </c>
      <c r="H55" t="inlineStr">
        <is>
          <t>Type 1</t>
        </is>
      </c>
    </row>
    <row r="56">
      <c r="A56" t="inlineStr">
        <is>
          <t>2aa9pz</t>
        </is>
      </c>
      <c r="B56" t="inlineStr">
        <is>
          <t>I think I have Type 2 Diabetes, help!</t>
        </is>
      </c>
      <c r="C56" t="inlineStr">
        <is>
          <t>I am a 20 year old girl. For over a year now I've had a lot of health issues for seemingly no reason. One of my symptoms has been rapid weight gain, unexplained by diet as I've actually had very little appetite during most of this time. I've gained ~70 pounds (like half my original body weight) and my many doctors are baffled as to why this has happened.
I was sent to a endocrinologist when my family doctor noticed I had high insulin levels. This doc said I was insulin resistant and put me on Metformin, which I have been taking religiously for almost 3 months now despite the fact that it gives me terrible side effects. The endo ordered more blood tests, one of which has just been mailed to me. My glucose level was 165, high enough that I'll likely be told I'm diabetic the next time I visit the doctor.
Because I live in the middle of nowhere and there aren't a lot of great hospitals around, I won't get to see my endocrinologist until mid-September. When I called to ask about the test results I was told to increase my Metformin dosage but the nurse was unable to give me any more information. Needless to say, I'm pretty anxious.
So the question I have for you redditors is what the fuck am I supposed to do in the meantime? I have very little knowledge about diabetes and I don't want to make things worse. Are there things I'm not supposed to eat? Do I need one of those machines that pricks my finger to test my sugar? I'm feeling very lost and would love to hear any advice. Thank you to anybody who took the time to read this.</t>
        </is>
      </c>
      <c r="D56" t="n">
        <v>5</v>
      </c>
      <c r="E56" t="n">
        <v>7</v>
      </c>
      <c r="F56">
        <f>HYPERLINK("https://www.reddit.com/r/diabetes/comments/2aa9pz/i_think_i_have_type_2_diabetes_help/")</f>
        <v/>
      </c>
      <c r="G56" t="inlineStr">
        <is>
          <t>2014-07-09 16:31:49</t>
        </is>
      </c>
      <c r="H56" t="inlineStr">
        <is>
          <t>Type 2</t>
        </is>
      </c>
    </row>
    <row r="57">
      <c r="A57" t="inlineStr">
        <is>
          <t>2acn7p</t>
        </is>
      </c>
      <c r="B57" t="inlineStr">
        <is>
          <t>How can I have a conversation with my SO about getting checked for T2?</t>
        </is>
      </c>
      <c r="C57" t="inlineStr">
        <is>
          <t xml:space="preserve">I'm worried that my SO (22/M) might have T2. He has been complaining for at least 6 months that he is always tired, his stomach always hurts, he always has a headache, he's always hungry, and he's always thirsty. 
He also has constant problems with his feet and legs, which brings me back to my aunt who had T2 and died from poor management 5-6 years ago. He gets infections and ingrown nails constantly, and his hands and feet are always cold and clammy like he gets no circulation. 
I know most of these symptoms are generic and broad, but he weighs 330lbs after putting on 100lbs in 4 years and he's very inactive. He doesn't work and he spends most of his day on the couch. He also eats a lot of candy and soda, and he snacks constantly. His paternal side of the family has rampant T2, to the point where almost everyone over age 30 has it. 
We've been talking about starting a gym membership and trying the keto diet together, which I think will help. I already run daily and count calories and I'd love to get him to join me. 
However, he doesn't want to go to the doctor until he's had a few months to lose weight because he's sensitive about his size. He's also terrified of needles. How can I approach this sensitively and let him know that it's really important to me that he gets checked out? If he has T2, I don't want him waiting 6 months and changing his diet without supervision and ending up really sick from it.
And if he does have T2, what can I do to be a supportive SO? 
Thanks for your help, I appreciate it. </t>
        </is>
      </c>
      <c r="D57" t="n">
        <v>3</v>
      </c>
      <c r="E57" t="n">
        <v>19</v>
      </c>
      <c r="F57">
        <f>HYPERLINK("https://www.reddit.com/r/diabetes/comments/2acn7p/how_can_i_have_a_conversation_with_my_so_about/")</f>
        <v/>
      </c>
      <c r="G57" t="inlineStr">
        <is>
          <t>2014-07-10 10:58:28</t>
        </is>
      </c>
      <c r="H57" t="inlineStr">
        <is>
          <t>Type 2</t>
        </is>
      </c>
    </row>
    <row r="58">
      <c r="A58" t="inlineStr">
        <is>
          <t>2ae04t</t>
        </is>
      </c>
      <c r="B58" t="inlineStr">
        <is>
          <t>How to get pump site to stay in?</t>
        </is>
      </c>
      <c r="C58" t="inlineStr">
        <is>
          <t>I'm a pole vaulter, a gymnast, and a very active person in general. I recently started pumping with the t:slim pump, and it's been great, except for one thing. The site starts peeling any time I start sweating, playing soccer, especially while vaulting and flipping. I switched infusion sets to the angled set from the 90^o infusion set. It stays in a little better, but still peels and falls out. Any way I can keep the site in? I'm considering dropping the pump and just sticking with pens.</t>
        </is>
      </c>
      <c r="D58" t="n">
        <v>2</v>
      </c>
      <c r="E58" t="n">
        <v>7</v>
      </c>
      <c r="F58">
        <f>HYPERLINK("https://www.reddit.com/r/diabetes/comments/2ae04t/how_to_get_pump_site_to_stay_in/")</f>
        <v/>
      </c>
      <c r="G58" t="inlineStr">
        <is>
          <t>2014-07-10 18:55:21</t>
        </is>
      </c>
      <c r="H58" t="inlineStr">
        <is>
          <t>Type 1</t>
        </is>
      </c>
    </row>
    <row r="59">
      <c r="A59" t="inlineStr">
        <is>
          <t>2af50f</t>
        </is>
      </c>
      <c r="B59" t="inlineStr">
        <is>
          <t>Newcomer diabetes question [Type 2]</t>
        </is>
      </c>
      <c r="C59" t="inlineStr">
        <is>
          <t xml:space="preserve">Hello, I have wondered for awhile if I might have Type 2 or be pre-diabetic; primarily because I can't get enough water in a day (gulping down glass after glass), and have other symptoms, like fatigue and I am slightly overweight, and Asian-American. I became even more concerned because I started noticing a sweet taste in my mouth. I took it upon myself to do some research, and bought a meter from the local drug store. 
*I know that I should visit a doctor (and would love to), but please understand that I am recently unemployed and without insurance.*
---
I just tested myself under these circumstances:  
**4:00PM**:Exercised for ~30 minutes (this was unrelated to the test but I think it may contribute to the results; I exercise approximately once a week, but went a bit hard today)  
**4:30PM**: Snack (1 serving of instant grits, 100 calories)  
**6:30PM**: Tested for the first time (after checking control level on meter), read **88mg/dL**.  
**Post-test**: Pretty hungry, 1 serving of grits was a pretty light snack for me
---
**So basically, I did my first test after fairly strenuous exercise and a light snack, and ended up with a seemingly normal glucose level.** Of course, I'm wondering if this number is a non-diabetic number, or an up-and-down thanks to exercise and weird eating habits number. Again, I realize that this is not the ideal way to go about a diagnosis, but at the moment, I don't have much choice. Any advice is welcome. 
I realize that one test is not enough to come to very conclusive results - I plan to do more tests (fasting, 1 hour, etc.) throughout the next few days, but I wanted to see what you guys think of that number based on the circumstances.
</t>
        </is>
      </c>
      <c r="D59" t="n">
        <v>2</v>
      </c>
      <c r="E59" t="n">
        <v>4</v>
      </c>
      <c r="F59">
        <f>HYPERLINK("https://www.reddit.com/r/diabetes/comments/2af50f/newcomer_diabetes_question_type_2/")</f>
        <v/>
      </c>
      <c r="G59" t="inlineStr">
        <is>
          <t>2014-07-11 05:26:03</t>
        </is>
      </c>
      <c r="H59" t="inlineStr">
        <is>
          <t>Type 2</t>
        </is>
      </c>
    </row>
    <row r="60">
      <c r="A60" t="inlineStr">
        <is>
          <t>2afo96</t>
        </is>
      </c>
      <c r="B60" t="inlineStr">
        <is>
          <t>HumaLog in the car overnight (in Phoenix). How to know if it's any good?</t>
        </is>
      </c>
      <c r="C60" t="inlineStr">
        <is>
          <t>So, we left a vial of humalog in the car last night. For those who aren't familiar with the Phoenix area, it's hot. Especially in July. 
Should we assume that it's no longer potent? Should we try it and see if the blood sugars stay stable? As an aside, we're on the OmniPod, so "trying it" means at last 85 units going into the OmniPod. If it's bad, I guess it doesn't matter how many units we'd "waste". Altho it would potentially mean wasting a pod.
Thanks for any input/thoughts on the matter.</t>
        </is>
      </c>
      <c r="D60" t="n">
        <v>0</v>
      </c>
      <c r="E60" t="n">
        <v>8</v>
      </c>
      <c r="F60">
        <f>HYPERLINK("https://www.reddit.com/r/diabetes/comments/2afo96/humalog_in_the_car_overnight_in_phoenix_how_to/")</f>
        <v/>
      </c>
      <c r="G60" t="inlineStr">
        <is>
          <t>2014-07-11 09:07:17</t>
        </is>
      </c>
      <c r="H60" t="inlineStr">
        <is>
          <t>Type 1</t>
        </is>
      </c>
    </row>
    <row r="61">
      <c r="A61" t="inlineStr">
        <is>
          <t>2agee9</t>
        </is>
      </c>
      <c r="B61" t="inlineStr">
        <is>
          <t>Question about grants for my 5 yr old's expenses....recently T1.</t>
        </is>
      </c>
      <c r="C61" t="inlineStr">
        <is>
          <t>I have been T1 for 17 yrs and my 5 yr old was recently diagnosed. He also has Nephrotic syndrome (kidneys). So the bills are piling up. I have read about grants to cover the initial costs of T1 treatment, and I have seen numbers that indicate I may literally be just out of the income range to qualify with 4 kids on one income but that doesn't mean I can afford it. Can anyone recommend how to apply for these and how to deal with income limit questions? I am in OH USA. Thanks!!</t>
        </is>
      </c>
      <c r="D61" t="n">
        <v>5</v>
      </c>
      <c r="E61" t="n">
        <v>2</v>
      </c>
      <c r="F61">
        <f>HYPERLINK("https://www.reddit.com/r/diabetes/comments/2agee9/question_about_grants_for_my_5_yr_olds/")</f>
        <v/>
      </c>
      <c r="G61" t="inlineStr">
        <is>
          <t>2014-07-11 13:10:39</t>
        </is>
      </c>
      <c r="H61" t="inlineStr">
        <is>
          <t>Type 1</t>
        </is>
      </c>
    </row>
    <row r="62">
      <c r="A62" t="inlineStr">
        <is>
          <t>2agfkf</t>
        </is>
      </c>
      <c r="B62" t="inlineStr">
        <is>
          <t>High Fasting Number. Any ideas?</t>
        </is>
      </c>
      <c r="C62" t="inlineStr">
        <is>
          <t>Hi,
I was diagnosed type 2 a few months ago. I've been able to control my glucose level during the day (I test with a meter two hours after eating and my number is always between 125 and 140). My limit in carbs per meal is 30g.
However, my fasting reading is also around 130.
I'm ten pounds overweight by my BMI (I'm 6'-4" 220).
I don't get the recommended amount of exercise (30 min. brisk walking five times a week) although I exercise more now than I ever have.
I do have a snack in the evening (around 10 or 11) of twenty or so almonds or a Greek yogurt, within my carb limits. I always take my fasting test after nine hours.
What should I concentrate on to lower my fasting number?</t>
        </is>
      </c>
      <c r="D62" t="n">
        <v>3</v>
      </c>
      <c r="E62" t="n">
        <v>10</v>
      </c>
      <c r="F62">
        <f>HYPERLINK("https://www.reddit.com/r/diabetes/comments/2agfkf/high_fasting_number_any_ideas/")</f>
        <v/>
      </c>
      <c r="G62" t="inlineStr">
        <is>
          <t>2014-07-11 13:22:24</t>
        </is>
      </c>
      <c r="H62" t="inlineStr">
        <is>
          <t>Type 2</t>
        </is>
      </c>
    </row>
    <row r="63">
      <c r="A63" t="inlineStr">
        <is>
          <t>2am8qe</t>
        </is>
      </c>
      <c r="B63" t="inlineStr">
        <is>
          <t>TI How high was your A1C and your BG# when you were first diagnosed?</t>
        </is>
      </c>
      <c r="C63" t="inlineStr">
        <is>
          <t>for me my A1c told the machine it was unreadable because it was so high and my BG# was 856. this was back in dec of this year and the funny thing was i didn't pass out at all or get the slightest bit nauseous. now my last reading was 100 and my A1C is down to a 5.8</t>
        </is>
      </c>
      <c r="D63" t="n">
        <v>8</v>
      </c>
      <c r="E63" t="n">
        <v>52</v>
      </c>
      <c r="F63">
        <f>HYPERLINK("https://www.reddit.com/r/diabetes/comments/2am8qe/ti_how_high_was_your_a1c_and_your_bg_when_you/")</f>
        <v/>
      </c>
      <c r="G63" t="inlineStr">
        <is>
          <t>2014-07-13 15:43:15</t>
        </is>
      </c>
      <c r="H63" t="inlineStr">
        <is>
          <t>Type 1</t>
        </is>
      </c>
    </row>
    <row r="64">
      <c r="A64" t="inlineStr">
        <is>
          <t>2amgx2</t>
        </is>
      </c>
      <c r="B64" t="inlineStr">
        <is>
          <t>On insulin for he last 3 months, should I still expect weight gain?</t>
        </is>
      </c>
      <c r="C64" t="inlineStr">
        <is>
          <t xml:space="preserve">I was diagnosed with type 1 on April 11th. Since then, my Lantus has been decreased to 14 units from 22, and I'm also on 4 units of Humalog. Before official diagnosis, I went from about 212 lbs to 168 and have never been more satisfied with my appearance. After 3 months I've had no weight gain, is it still possible? </t>
        </is>
      </c>
      <c r="D64" t="n">
        <v>1</v>
      </c>
      <c r="E64" t="n">
        <v>6</v>
      </c>
      <c r="F64">
        <f>HYPERLINK("https://www.reddit.com/r/diabetes/comments/2amgx2/on_insulin_for_he_last_3_months_should_i_still/")</f>
        <v/>
      </c>
      <c r="G64" t="inlineStr">
        <is>
          <t>2014-07-13 17:15:22</t>
        </is>
      </c>
      <c r="H64" t="inlineStr">
        <is>
          <t>Type 1</t>
        </is>
      </c>
    </row>
    <row r="65">
      <c r="A65" t="inlineStr">
        <is>
          <t>2amp2j</t>
        </is>
      </c>
      <c r="B65" t="inlineStr">
        <is>
          <t>Muscle Ache +3mo after DKA event -- Any ideas/experiences?</t>
        </is>
      </c>
      <c r="C65" t="inlineStr">
        <is>
          <t>(Important:  Going to lots of doctors.  Been to lots of hospitals.  In no way seeking direct medical advice nearly as much as papers, case studies, or personal experiences that reflect what seems to be a bizarre presentation.)
Hello all.  I was your textbook uncontrolled 15+ A1C case that just thought it'd be OK to drink a lot and pee some more for about three years.  Well, that caught up with me, and I had a pleasant incidence of Diabetic Ketoacidosis.  Somewhat surprisingly, that gave me religion something fierce, and a few dozen fingersticks a day plus an eventual Dexcom upgrade got my average blood sugar to around 130 within weeks and my A1C to below 6.9 within a few months.  Huzzah.
Problem is, I've developed some sort of muscle pain in my lower body (originally) and spreading higher (more recently).  My legs went into Edema almost immediately upon treatment for the DKA, which resolved nicely after a week with Lasix.  More serious has been the pain, which I'd assumed was some sort of neuropathy.  We've been treating with all sorts of things -- Gabapentin, Lyrica, Nortriptalyne, and eventually some pretty hardcore opiates which caused some awful side effects of their own.  (Withdrawal.  Just say no.)  But, and here's the key, it's only now, about three months in, that people are realizing that diabetic neuropathy does not present as a muscular pain that can be "massaged" away.
I've withstood several hospitalizations and I do in fact appear to be some sort of medical mystery.  I'm curious if anyone else has had an experience of lower extremity muscle ache, really focused on wherever pressure is being applied, that eventually spreads upwards on bad days towards the back, fingers, wrists, and forearms.
What is this?  I'd hoped it was insulin neuritis, due to the incredibly rapid onset of insulin control (and frankly, too much insulin).  But nobody seems to know and I'm open to suggestions to forward to the ever growing army of doctors that aren't really sure what they're looking at.
Edit:  Small unusual detail.  30yr old adult onset Type 1, that, after DKA event, now lacks GAD65 antibodies and is expressing significant (i.e. normal) levels of C-Peptide.</t>
        </is>
      </c>
      <c r="D65" t="n">
        <v>1</v>
      </c>
      <c r="E65" t="n">
        <v>0</v>
      </c>
      <c r="F65">
        <f>HYPERLINK("https://www.reddit.com/r/diabetes/comments/2amp2j/muscle_ache_3mo_after_dka_event_any/")</f>
        <v/>
      </c>
      <c r="G65" t="inlineStr">
        <is>
          <t>2014-07-13 18:50:20</t>
        </is>
      </c>
      <c r="H65" t="inlineStr">
        <is>
          <t>Type 1.5/LADA</t>
        </is>
      </c>
    </row>
    <row r="66">
      <c r="A66" t="inlineStr">
        <is>
          <t>2an84n</t>
        </is>
      </c>
      <c r="B66" t="inlineStr">
        <is>
          <t>Please help me. I am killing myself, and I feel powerless to stop it.</t>
        </is>
      </c>
      <c r="C66" t="inlineStr">
        <is>
          <t xml:space="preserve">T1 since 2007, Lantus and Novolog, 21 years old. Sorry in advance for the wall of text, I have a lot to get out.
I’m so out of control and I have no idea where to begin to fix myself. It’s diabetes burnout, but not just for a week or a day- I’ve been battling this since last September (though it probably started before then, it’s hard to tell). 
I rarely check my blood sugar- once, twice a week maybe. I don’t take Novolog when I should, every time I eat. I just skip it most of the time. I Take my Lantus every day, to be able to function, and Novolog when I feel really sick from high blood sugar, but I don’t take care of myself. I haven’t seen my endocrinologist in a year. I don’t know my weekly average, my A1C, ketones, nothing. Why?
I’ve lost motivation… but I think it goes deeper than that. I’ve lost the **will**. I am so unbelievably tired of trying to make my body cooperate with me that I just can’t make myself do it anymore. I used to think that it was a form of diabulimia- because I lost weight and it made me feel good, so I just didn’t bother to fix my blood sugar. But I gained the weight back, and nothing’s changed. 
I’m killing myself, I know it. I feel sick. I’m exhausted all the time. I’m constantly angry and frustrated, easily upset by anything and everything, and I hurt my friends and family with my anger and my attitude. I can’t memorize or concentrate properly.
I thought that going off the pump would help. I was on the Omnipod, and the upgrade had given me all sorts of problems. I was just done. I was hoping that going on MDI would make me snap back into action and take control. I was wrong- MDI ended up having the opposite effect. My control worsened and was out of my hands pretty quickly. Now it’s not financially feasible for me to go back on a pump or use a CGM. 
I live with my boyfriend of 2.5 years and my family (mom, dad, brother). My boyfriend has been nothing but supportive of me, and I am so grateful for that. He knows some of the story in terms of my control, but not everything- he thinks I’ve solved the problem. My brother and dad keep out of my business, rarely mentioning my blood sugar or anything, but my mother is on the other side of the coin. Ever since my diagnosis she has been relentless in nagging me about everything related to my diabetes, and she is the type of person that makes you want to do the opposite of what she asks. I keep most things from here because I’m afraid of the inevitable shit-storm she’ll raise (which, as has happened before, does nothing for my health and everything possible to decrease my self-esteem). It’s not her fault, but I’m definitely not comfortable talking to her about anything diabetes-related. 
So, long story short, I’m in a hole and I don’t know how to get out of it. I’m weak, and frustrated, and angry at myself for finding my way into this position. I want to feel good again, without feeling like I’m all alone in the world, that I’m singled out for my disease. I hate the feeling I get when my coworker tells me that taking injections is gross. I hate the shaking of a low blood sugar, having to explain to my boss why I have to sit down in the middle of time-sensitive work, feeling so frustrated when I have an unexplained high blood sugar. I hate this disease, but I have to find a way to be ok. I need help, I can’t do this alone. What do I do?
</t>
        </is>
      </c>
      <c r="D66" t="n">
        <v>6</v>
      </c>
      <c r="E66" t="n">
        <v>19</v>
      </c>
      <c r="F66">
        <f>HYPERLINK("https://www.reddit.com/r/diabetes/comments/2an84n/please_help_me_i_am_killing_myself_and_i_feel/")</f>
        <v/>
      </c>
      <c r="G66" t="inlineStr">
        <is>
          <t>2014-07-13 22:46:16</t>
        </is>
      </c>
      <c r="H66" t="inlineStr">
        <is>
          <t>Type 1</t>
        </is>
      </c>
    </row>
    <row r="67">
      <c r="A67" t="inlineStr">
        <is>
          <t>2anor9</t>
        </is>
      </c>
      <c r="B67" t="inlineStr">
        <is>
          <t>T1d for 5 years, A1c is 7. Any beneficial supplements I should take?</t>
        </is>
      </c>
      <c r="C67" t="inlineStr">
        <is>
          <t>I've read about magnesium deficiency and also vitamin d deficiency but more in newer diabetics.</t>
        </is>
      </c>
      <c r="D67" t="n">
        <v>0</v>
      </c>
      <c r="E67" t="n">
        <v>15</v>
      </c>
      <c r="F67">
        <f>HYPERLINK("https://www.reddit.com/r/diabetes/comments/2anor9/t1d_for_5_years_a1c_is_7_any_beneficial/")</f>
        <v/>
      </c>
      <c r="G67" t="inlineStr">
        <is>
          <t>2014-07-14 04:03:44</t>
        </is>
      </c>
      <c r="H67" t="inlineStr">
        <is>
          <t>Type 1</t>
        </is>
      </c>
    </row>
    <row r="68">
      <c r="A68" t="inlineStr">
        <is>
          <t>2aoczq</t>
        </is>
      </c>
      <c r="B68" t="inlineStr">
        <is>
          <t>How long do the side effects of metformin last.</t>
        </is>
      </c>
      <c r="C68" t="inlineStr">
        <is>
          <t xml:space="preserve">
I just got the script on Friday and started the 500mg pills on Saturday. Suinday nights pills had my stomach sounding like a thunderstorm and resulted in some diarrhea. Will this get better in time. Is there any way to mitigate?  I took Sunday's pill with dinner and was fine for about 3 hours. Would a snack help when the grumbling stomach and diarrhea start? </t>
        </is>
      </c>
      <c r="D68" t="n">
        <v>3</v>
      </c>
      <c r="E68" t="n">
        <v>27</v>
      </c>
      <c r="F68">
        <f>HYPERLINK("https://www.reddit.com/r/diabetes/comments/2aoczq/how_long_do_the_side_effects_of_metformin_last/")</f>
        <v/>
      </c>
      <c r="G68" t="inlineStr">
        <is>
          <t>2014-07-14 09:08:55</t>
        </is>
      </c>
      <c r="H68" t="inlineStr">
        <is>
          <t>Type 2</t>
        </is>
      </c>
    </row>
    <row r="69">
      <c r="A69" t="inlineStr">
        <is>
          <t>2aontc</t>
        </is>
      </c>
      <c r="B69" t="inlineStr">
        <is>
          <t>Weird morning phenomenon...</t>
        </is>
      </c>
      <c r="C69" t="inlineStr">
        <is>
          <t>Soo maybe you guys have some insight to this. I get morning phenomenon only on weekdays. But I'm thinking maybe it has something to do with my breakfast times, weekdays I eat 20g carb for breakfast (2 pieces little big bread with PB and 5g of protein shake) at 630am and take 4u NovoRapid. 
Weekends I don't get up until 8 (sleep in to 7am out of bed at 8. Yes I laze for an hour when I don't work heh) and usually eat breakfast around 9 usually 20-30g carbs. 1:10 ratio works great on weekends even if I eat more carbs but I have to do 1:5 weekday mornings or I have high BG all morning. 
Anyone have ideas on why this is?</t>
        </is>
      </c>
      <c r="D69" t="n">
        <v>1</v>
      </c>
      <c r="E69" t="n">
        <v>11</v>
      </c>
      <c r="F69">
        <f>HYPERLINK("https://www.reddit.com/r/diabetes/comments/2aontc/weird_morning_phenomenon/")</f>
        <v/>
      </c>
      <c r="G69" t="inlineStr">
        <is>
          <t>2014-07-14 10:49:18</t>
        </is>
      </c>
      <c r="H69" t="inlineStr">
        <is>
          <t>Type 1</t>
        </is>
      </c>
    </row>
    <row r="70">
      <c r="A70" t="inlineStr">
        <is>
          <t>2aoprf</t>
        </is>
      </c>
      <c r="B70" t="inlineStr">
        <is>
          <t>Just psyched after my endo appointment today</t>
        </is>
      </c>
      <c r="C70" t="inlineStr">
        <is>
          <t>I was diagnosed last December with an a1c of 12.1 and cholesterol numbers all out of whack due to the high bg levels. In the face of their dietary advice to go 'low fat' as much as possible, I continued to eat 4-6 whole eggs/day, put coconut oil in my coffee, avocado and olive oils all over my salads, etc, and couldn't wait for the results I got today.
7 months after diagnosis my a1c is 5.7, Total Cholesterol 3.75, HDL 1.34, LDL 2.06, HDL Ratio 3, Blood Pressure 118/68.
My family doctor, endo, diabetes nurse, and dietician/diabetes educator have now all called me a poster boy for type 1's and are just blown away with how tight my control is - a reading outside the 4-7 range is maybe 1/50 at most.
Basically I just came here to brag! Tight control isn't impossible. Get educated, eat healthy (which for a T1 should be low carb), exercise regularly, save the carbs for after the exercise, test, test, test, and live by Dr. Bernstein's Law of Small Numbers!</t>
        </is>
      </c>
      <c r="D70" t="n">
        <v>0</v>
      </c>
      <c r="E70" t="n">
        <v>3</v>
      </c>
      <c r="F70">
        <f>HYPERLINK("https://www.reddit.com/r/diabetes/comments/2aoprf/just_psyched_after_my_endo_appointment_today/")</f>
        <v/>
      </c>
      <c r="G70" t="inlineStr">
        <is>
          <t>2014-07-14 11:07:03</t>
        </is>
      </c>
      <c r="H70" t="inlineStr">
        <is>
          <t>Type 1</t>
        </is>
      </c>
    </row>
    <row r="71">
      <c r="A71" t="inlineStr">
        <is>
          <t>2asphh</t>
        </is>
      </c>
      <c r="B71" t="inlineStr">
        <is>
          <t>Got my first post-diagnosis A1C results today</t>
        </is>
      </c>
      <c r="C71" t="inlineStr">
        <is>
          <t>I was diagnosed with Type 1 Diabetes on April 22nd this year. I was admitted to the hospital with a BG of 31mmol and an A1C of 16.0.
I got my results of an A1C test done a week ago and just under 3 months after my initial diagnosis I'm proud to say it's at a healthy 6.6!
Just wanted to share my excitement with you guys and say what a helpful and friendly community this is. I truly appreciate all the tips and advice I've read over the last 3 months and I hope to learn a lot more in the future.</t>
        </is>
      </c>
      <c r="D71" t="n">
        <v>5</v>
      </c>
      <c r="E71" t="n">
        <v>6</v>
      </c>
      <c r="F71">
        <f>HYPERLINK("https://www.reddit.com/r/diabetes/comments/2asphh/got_my_first_postdiagnosis_a1c_results_today/")</f>
        <v/>
      </c>
      <c r="G71" t="inlineStr">
        <is>
          <t>2014-07-15 13:55:51</t>
        </is>
      </c>
      <c r="H71" t="inlineStr">
        <is>
          <t>Type 1</t>
        </is>
      </c>
    </row>
    <row r="72">
      <c r="A72" t="inlineStr">
        <is>
          <t>2ata7f</t>
        </is>
      </c>
      <c r="B72" t="inlineStr">
        <is>
          <t>I am scared and need help...Please somebody help me...</t>
        </is>
      </c>
      <c r="C72" t="inlineStr">
        <is>
          <t xml:space="preserve">Five years ago I was Dx'ed with Gastroparesis, but I am scared that it's not Gastroparesis. Here is what is going on. Anytime I get any kind of infection I wind up in the Hospital. I get a simple yeast infection and end up hospitalized for 4-7 days. Now I am sick to my stomach and vomit a kind of foamy acid almost daily. But then there are the times like this past week. It always starts when I wake up and begin throwing up I can always tell if I can not stop I need to go to the ER. Doctors just want to get me in and out. I went to the hospital on Tuesday and got out yesterday. I had a UTI and was sick the whole time. I checked myself out AMA. It is my belief that they were not giving my my pain meds but, keeping them. I have had the Gastric Empty and was told I had early stage Gastroparesis. Never told how fast or slow my digesting was. There is a difference in the way I throw up and I can always tell if I can not do it myself. I have all the same meds that the hospital gives me but for some reason I just can not keep myself from vomiting and when I know I can handle it I want out of hospital. I have had camera's down my throat doctor just did that about 3 weeks ago and said it had a small blemish in my tummy but it looked good. Why does this keep happening to me? I really have few problems eating (except beef). I never throw up food and the vomiting is from way deep and it is very violent. I have vomited contents the should have been way deep in my digestive tract. This effects my body temp too. It's 105 out and I am bundled in bed freezing. This last time it happened so very fast and each time it happens it gets more violent. I am scared and while it is happening I really do feel that it is killing me. My blood pressure becomes very erratic. With BP going from 140's/80-90's to 190's/ 90's I have no vanes left they have to do pick lines and my depression is very hard and there are times when I really do wish death would take me away from all of this. What is happening to me? </t>
        </is>
      </c>
      <c r="D72" t="n">
        <v>1</v>
      </c>
      <c r="E72" t="n">
        <v>0</v>
      </c>
      <c r="F72">
        <f>HYPERLINK("https://www.reddit.com/r/diabetes/comments/2ata7f/i_am_scared_and_need_helpplease_somebody_help_me/")</f>
        <v/>
      </c>
      <c r="G72" t="inlineStr">
        <is>
          <t>2014-07-15 17:18:58</t>
        </is>
      </c>
      <c r="H72" t="inlineStr">
        <is>
          <t>Type 1</t>
        </is>
      </c>
    </row>
    <row r="73">
      <c r="A73" t="inlineStr">
        <is>
          <t>2atu5y</t>
        </is>
      </c>
      <c r="B73" t="inlineStr">
        <is>
          <t>Detoxing/Cleansing while diabetic</t>
        </is>
      </c>
      <c r="C73" t="inlineStr">
        <is>
          <t xml:space="preserve">Type 2 diabetic. After being diagnosed 3 1/2 months ago, I've got my numbers in order. Weight is perfect, I've more than halved my aic from 13.6 to 5.8. I avoid virtually all processed foods, beverages already. 
My next goal is to detoxify/cleanse … but I am concerned that a 3-5 day "detox" will conflict with the diabetes. Clearly a "non-diabetic" cleanse (i.e.: cabbage juice / fasting) is not a great approach.
Does anyone have advice on what has worked for them?
</t>
        </is>
      </c>
      <c r="D73" t="n">
        <v>1</v>
      </c>
      <c r="E73" t="n">
        <v>2</v>
      </c>
      <c r="F73">
        <f>HYPERLINK("https://www.reddit.com/r/diabetes/comments/2atu5y/detoxingcleansing_while_diabetic/")</f>
        <v/>
      </c>
      <c r="G73" t="inlineStr">
        <is>
          <t>2014-07-15 20:48:25</t>
        </is>
      </c>
      <c r="H73" t="inlineStr">
        <is>
          <t>Type 2</t>
        </is>
      </c>
    </row>
    <row r="74">
      <c r="A74" t="inlineStr">
        <is>
          <t>2auo70</t>
        </is>
      </c>
      <c r="B74" t="inlineStr">
        <is>
          <t>Got my A1c today and it was 5.0 (type 1) and I just had to share that. Super happy with myself! Lots of it is thanks to you guys.</t>
        </is>
      </c>
      <c r="C74" t="inlineStr">
        <is>
          <t>Took some time off from school to get my diabetes under control and, well, I would say its under control now :D</t>
        </is>
      </c>
      <c r="D74" t="n">
        <v>26</v>
      </c>
      <c r="E74" t="n">
        <v>40</v>
      </c>
      <c r="F74">
        <f>HYPERLINK("https://www.reddit.com/r/diabetes/comments/2auo70/got_my_a1c_today_and_it_was_50_type_1_and_i_just/")</f>
        <v/>
      </c>
      <c r="G74" t="inlineStr">
        <is>
          <t>2014-07-16 05:05:24</t>
        </is>
      </c>
      <c r="H74" t="inlineStr">
        <is>
          <t>Type 1</t>
        </is>
      </c>
    </row>
    <row r="75">
      <c r="A75" t="inlineStr">
        <is>
          <t>2ax441</t>
        </is>
      </c>
      <c r="B75" t="inlineStr">
        <is>
          <t>Insulin absorption issues?</t>
        </is>
      </c>
      <c r="C75" t="inlineStr">
        <is>
          <t xml:space="preserve">I've been on my pump for just over 5 years. I practice pretty regular rotation (R ab, L ab, L butt, R butt) to keep the scar tissue to a minimum. However, I have noticed some spotty absorption in the past few months with some of my sites, and have experienced more failed sites. On my rear, it's also occasionally difficult to insert the site through the skin. I use the Minimed Silhouettes with my pump. 
Any tips on helping absorption and preventing/healing scar tissue or lipohypertrophy? </t>
        </is>
      </c>
      <c r="D75" t="n">
        <v>1</v>
      </c>
      <c r="E75" t="n">
        <v>4</v>
      </c>
      <c r="F75">
        <f>HYPERLINK("https://www.reddit.com/r/diabetes/comments/2ax441/insulin_absorption_issues/")</f>
        <v/>
      </c>
      <c r="G75" t="inlineStr">
        <is>
          <t>2014-07-16 19:43:26</t>
        </is>
      </c>
      <c r="H75" t="inlineStr">
        <is>
          <t>Type 1</t>
        </is>
      </c>
    </row>
    <row r="76">
      <c r="A76" t="inlineStr">
        <is>
          <t>2ayl9z</t>
        </is>
      </c>
      <c r="B76" t="inlineStr">
        <is>
          <t>Just got my first HA1C results back. Seems like I'm doing good!</t>
        </is>
      </c>
      <c r="C76" t="inlineStr">
        <is>
          <t>Was diagnosed a little over 3 months ago.    
Numbers when diagnosed:    
* Greater than 700 mg/dL Glucose (&amp;gt;500 mg/dL average)    
* 13.9 HA1C    
Numbers from yesterday's test:    
* 120 mg/dL average    
* 5.8 HA1C    
I know there are a lot of similar posts here about people's statuses, but I think it's encouraging. :)</t>
        </is>
      </c>
      <c r="D76" t="n">
        <v>14</v>
      </c>
      <c r="E76" t="n">
        <v>11</v>
      </c>
      <c r="F76">
        <f>HYPERLINK("https://www.reddit.com/r/diabetes/comments/2ayl9z/just_got_my_first_ha1c_results_back_seems_like_im/")</f>
        <v/>
      </c>
      <c r="G76" t="inlineStr">
        <is>
          <t>2014-07-17 08:26:57</t>
        </is>
      </c>
      <c r="H76" t="inlineStr">
        <is>
          <t>Type 2</t>
        </is>
      </c>
    </row>
    <row r="77">
      <c r="A77" t="inlineStr">
        <is>
          <t>2b0z4r</t>
        </is>
      </c>
      <c r="B77" t="inlineStr">
        <is>
          <t>Help with recently diagnosed nephew, T1</t>
        </is>
      </c>
      <c r="C77" t="inlineStr">
        <is>
          <t>My 2 year old nephew was diagnosed with Type 1 just a few days ago.  
I don't want him growing up having to be treated differently than my own kids when it comes to things like birthday cakes, treats, etc.. What are some good food options that he will be able to enjoy that everyone else will also enjoy? Should I make sugar free birthday cakes and cookies? Are there certain things I should avoid when watching him? Is there any advice I can give to his parents?
[Here are the tougher parts of my family leaving the hospital today](http://i.imgur.com/peMamo8.jpg)</t>
        </is>
      </c>
      <c r="D77" t="n">
        <v>3</v>
      </c>
      <c r="E77" t="n">
        <v>18</v>
      </c>
      <c r="F77">
        <f>HYPERLINK("https://www.reddit.com/r/diabetes/comments/2b0z4r/help_with_recently_diagnosed_nephew_t1/")</f>
        <v/>
      </c>
      <c r="G77" t="inlineStr">
        <is>
          <t>2014-07-17 23:28:07</t>
        </is>
      </c>
      <c r="H77" t="inlineStr">
        <is>
          <t>Type 1</t>
        </is>
      </c>
    </row>
    <row r="78">
      <c r="A78" t="inlineStr">
        <is>
          <t>2b11ob</t>
        </is>
      </c>
      <c r="B78" t="inlineStr">
        <is>
          <t>Diagnosed with T1 at 23 yrs old last month at death's door, due to masked symptoms. Is my story uncommon for late-onset T1?</t>
        </is>
      </c>
      <c r="C78" t="inlineStr">
        <is>
          <t>Twenty-three year old here, quite familiar with diabetes as my genetically identical twin got diagnosed 16 years ago.  I've always known the odds of getting it were 50/50, but I figured I was in the clear at my age.
I started a fast-paced, exercise-intensive dishwashing job about six months ago, have sleeping problems, and it has been an intense summer where I live.  Some time since I started this job, my pancreas began to lose function.  
I attributed my increasing exhaustion to the sudden change in my sedentary lifestyle. When I started to sleep long, long hours, and feel sleepy all the time, I wrote it off to a new manifestation of my long running sleep problems- though usually I have been an insomniac.  My constant hunger and thirst, I attributed once again to my job, and the sweltering summer.
The first danger sign was when my friends started commenting on my sudden weight loss, which I hadn't noticed on my particularly skinny frame.  I only took thing seriously last month when I had to quit my job last month due to low availability of hours, and went job hunting.  My symptoms did not go away, and walking in the summer heat to apply for jobs was a monumental task.  After a point, I was going to apply for a job literally a block away from where I live- and I had to sit and rest on a bench halfway there.  Literally couldn't walk more than 100 feet without a break.  Realized something was fundamentally wrong, and I got a friend to take me to an urgent care clinic that evening.  To my shock, the nurse weighed me at 79 lbs, as opposed to my normal 115- confusing, as I'd been eating much better than usual working in a restaurant.
Explaining my symptoms to a doctor, I had myself diagnosed before he did.  My twin caught his diabetes super early, and I hadn't associated my textbook symptoms properly with the disease til I said them aloud, since he went through none of this.  The diagnosis: Diabetes, probably Type 1, extreme DKA, go straight to the emergency room, do not pass go.
Turns out I'd been in DKA for at least 3 solid months.  Spent about a week in ICU being pumped with fluids, got out of hospital a couple weeks ago, and have been recovering at my father's, trying to put weight back on and get used to my new diet.  Can't apply for any jobs while I'm here, desperate as I am to make rent, but I've had enough major medical catastrophes in my life to recognize the importance of a proper recovery.
How does the usual late-onset T1 diagnosis go?  Is this a particularly extreme case?  I figure T1 diabetes as a diagnosis must be frequently overlooked in people my age.  Any similar stories?
TLDR:  Starting a new, exhausting job at the same time my pancreas started failing obfuscated my symptoms and left me in DKA for at least 3 months, too starved and dehydrated to walk 100 feet at a time.</t>
        </is>
      </c>
      <c r="D78" t="n">
        <v>4</v>
      </c>
      <c r="E78" t="n">
        <v>15</v>
      </c>
      <c r="F78">
        <f>HYPERLINK("https://www.reddit.com/r/diabetes/comments/2b11ob/diagnosed_with_t1_at_23_yrs_old_last_month_at/")</f>
        <v/>
      </c>
      <c r="G78" t="inlineStr">
        <is>
          <t>2014-07-18 00:14:03</t>
        </is>
      </c>
      <c r="H78" t="inlineStr">
        <is>
          <t>Type 1</t>
        </is>
      </c>
    </row>
    <row r="79">
      <c r="A79" t="inlineStr">
        <is>
          <t>2b1du0</t>
        </is>
      </c>
      <c r="B79" t="inlineStr">
        <is>
          <t>Diabetes to me feels like hell just because of medication side effects.</t>
        </is>
      </c>
      <c r="C79" t="inlineStr">
        <is>
          <t>Firstly, sorry for the 'new' account. I didn't want people that follow me on my main account to read this as I wanted to talk about side effects and problems I've been having without grossing them out, I feel that most of you will understand this and will have been through the side effects I've been experiencing.
I found out I was a T2 diabetic in Nov/Dec 2009, firstly I was 'diet' controlled for the first few years, and over the last couple of years have become controlled by tablets, probably due to my lack of self control, I'm a *bad* diabetic and I'm not going to lie to you, I comfort eat, however my meals are good and my portion sizes are good.
Now my weight has been all over the places, and obviously as most people hear, I need to loose weight, easy, right? 
No. I struggle with myself on a daily basis and my motivation STINKS, It doesn't help I suffer from terrible depression and anxiety as well, so I feel that most of the time I am stuck in a rut. It gets *even* worse when the medication that I am prescribed for diabetes has side effects that make me want to die inside every time I leave my front door to do some exercise.  
Currently I am on:
- Metformin 2000mg 
- Gliclazide 160mg
Then just for the side effects of Metformin I have to take:
- Omeprazole 20mg (Acid reflux)
- Loperamide 2mg (an hour before exercise) 
Then I have the joys of Lisinopril 10mg for high blood pressure. (Plus medications for birth control and depression)
The Metformin seems to be the worst in terms of side effects, acid reflux came and lasted for weeks and every time I go out and do anything in terms of exercise for more than 10 minutes I need to go to the toilet there and then, which can lead to some embarrassing bush experiences, it's not pretty, it makes me want to die inside because I can't seem to lead a 'normal' life without shitting myself, the Loperamide doesn't seem to help much, the doctor told me to play with timings of taking it first of all it was 15 minutes before exercise, then I tried 30, then 45 and now an hour and still no joy with it, my bowels just explode.  
I was put on the Gliclazide about a month ago in preparation for possible switch from Metformin to injections of some kind, but I still have to wait for my appointment (6th Aug) with the diabetic nurse, it'll be the first time I've ever seen one. However I hear from a lot of people that the Gliclazide has the side effect of weight gain. It seems to be a constant battle, getting told to loose weight then get given weight gaining drugs.
Sorry for this long winded post, I just needed to vent and get this whole mess out of my head, nearly 5 years on and I feel like I'm a pensioner with the amount of medications I take and the lack of progress I've made, partly due to fault of my own and I believe partly due to the lack of support from doctors. 
So, I guess what I really want to know is, has anyone else experienced these side effects? How did you cope with them? Any positive or encouraging stories for me?
Thank you for reading if you got this far, it's really appreciated.</t>
        </is>
      </c>
      <c r="D79" t="n">
        <v>0</v>
      </c>
      <c r="E79" t="n">
        <v>42</v>
      </c>
      <c r="F79">
        <f>HYPERLINK("https://www.reddit.com/r/diabetes/comments/2b1du0/diabetes_to_me_feels_like_hell_just_because_of/")</f>
        <v/>
      </c>
      <c r="G79" t="inlineStr">
        <is>
          <t>2014-07-18 04:20:07</t>
        </is>
      </c>
      <c r="H79" t="inlineStr">
        <is>
          <t>Type 2</t>
        </is>
      </c>
    </row>
    <row r="80">
      <c r="A80" t="inlineStr">
        <is>
          <t>2b27xg</t>
        </is>
      </c>
      <c r="B80" t="inlineStr">
        <is>
          <t>nice to see hard work pay off</t>
        </is>
      </c>
      <c r="C80" t="inlineStr">
        <is>
          <t>6 months ago, I had my worst A1C ever at 7.8.  I started hitting the gym, then started reading things on /r/fitness, I read up on the SL 5x5 program, and did that, combined with running as a warmup/cooldown.
I lost a bunch of weight (~20 lbs) but have gained some back so I'm at -7 now.  Of course, the losses were fat, and the gains were muscle, so that's all good.  Lost 3 inches off the waist, and my basal, bolus and sensitivity numbers all decreased (probably need to tweak them again, as I'm subliminally compensating for my new lower rates by inputting fewer carbs)
I had my appointment with my endo today and got the A1C of 6.5.  Plus blood pressure dropped.  Plus cholesterol dropped.  Plus ... well all the results aren't in yet, just the ones the lab can turn around quickly (15 minute labs are awesome).
It's about time for me to switch programs, pick up an extra day or two in the gym, and see if I can continue.  I've got an appointment with a nutritionist to talk about the details of cutting, etc.  I've read a bunch, but talking to someone about how this interacts with diabetes would be helpful.</t>
        </is>
      </c>
      <c r="D80" t="n">
        <v>2</v>
      </c>
      <c r="E80" t="n">
        <v>6</v>
      </c>
      <c r="F80">
        <f>HYPERLINK("https://www.reddit.com/r/diabetes/comments/2b27xg/nice_to_see_hard_work_pay_off/")</f>
        <v/>
      </c>
      <c r="G80" t="inlineStr">
        <is>
          <t>2014-07-18 10:17:20</t>
        </is>
      </c>
      <c r="H80" t="inlineStr">
        <is>
          <t>Type 1</t>
        </is>
      </c>
    </row>
    <row r="81">
      <c r="A81" t="inlineStr">
        <is>
          <t>2b2kr7</t>
        </is>
      </c>
      <c r="B81" t="inlineStr">
        <is>
          <t>Shower Raising BG</t>
        </is>
      </c>
      <c r="C81" t="inlineStr">
        <is>
          <t>Does this happen to anyone else? When I was first diagnosed, I was told that a hot shower could cause your BG to *drop*, and that is something I experienced on several occasions. Four years down the line, the honeymoon phase is over, I am better about exercise and eating right and developing a perfectionist mindset. But now when I take a hot shower, my BG spikes upwards, every. single. time. I have no idea why, it is the strangest thing. I used to think it had something to do with water or soap affecting my dexcom sensor, but over the past three months I have diligently monitored my BG when I shower. When I go swimming in a lukewarm pool, my BG is fine, so I am convinced it is the hot water. It just hopped from 209 to 241 during my shower. What the hell? Does this happen to anyone else? Any knowledge on the subject?</t>
        </is>
      </c>
      <c r="D81" t="n">
        <v>2</v>
      </c>
      <c r="E81" t="n">
        <v>8</v>
      </c>
      <c r="F81">
        <f>HYPERLINK("https://www.reddit.com/r/diabetes/comments/2b2kr7/shower_raising_bg/")</f>
        <v/>
      </c>
      <c r="G81" t="inlineStr">
        <is>
          <t>2014-07-18 12:18:57</t>
        </is>
      </c>
      <c r="H81" t="inlineStr">
        <is>
          <t>Type 1</t>
        </is>
      </c>
    </row>
    <row r="82">
      <c r="A82" t="inlineStr">
        <is>
          <t>2b4vht</t>
        </is>
      </c>
      <c r="B82" t="inlineStr">
        <is>
          <t>Hypos while traveling at (non extreme) higher altitudes????</t>
        </is>
      </c>
      <c r="C82" t="inlineStr">
        <is>
          <t>I think I saw a thread a while back about the effect higher altitudes has on insulin, but I'm traveling on mobile and can't find it.... anyways, I got on a plane from Texas yesterday and landed in Boston. I then proceeded to eat 135(!!!!!!!) Carbs/sugar without taking a single bolus because my sugars would not stay up! (This was between about 10 pm and 4 am) even now sitting in a car I'm dropping at an unusual rate.....has anyone else noticed a decreased need in basal/insulin:carb factor when they're traveling in higher altitudes than they're accustomed to? 
I do use a pump... I'm wondering if maybe I should take my reservoir/tubing out and maybe try to decompress them??</t>
        </is>
      </c>
      <c r="D82" t="n">
        <v>1</v>
      </c>
      <c r="E82" t="n">
        <v>7</v>
      </c>
      <c r="F82">
        <f>HYPERLINK("https://www.reddit.com/r/diabetes/comments/2b4vht/hypos_while_traveling_at_non_extreme_higher/")</f>
        <v/>
      </c>
      <c r="G82" t="inlineStr">
        <is>
          <t>2014-07-19 07:58:56</t>
        </is>
      </c>
      <c r="H82" t="inlineStr">
        <is>
          <t>Type 1</t>
        </is>
      </c>
    </row>
    <row r="83">
      <c r="A83" t="inlineStr">
        <is>
          <t>2b6qut</t>
        </is>
      </c>
      <c r="B83" t="inlineStr">
        <is>
          <t>Diabetes and becoming a police officer?</t>
        </is>
      </c>
      <c r="C83" t="inlineStr">
        <is>
          <t>So I just discovered this sub-reddit and have been diabetic for 12 years now and have been interested in police work since I was 6. I was just wondering, for any officers here, how do you go about becoming a cop with being T1D and are there any extra steps you have to take?</t>
        </is>
      </c>
      <c r="D83" t="n">
        <v>3</v>
      </c>
      <c r="E83" t="n">
        <v>8</v>
      </c>
      <c r="F83">
        <f>HYPERLINK("https://www.reddit.com/r/diabetes/comments/2b6qut/diabetes_and_becoming_a_police_officer/")</f>
        <v/>
      </c>
      <c r="G83" t="inlineStr">
        <is>
          <t>2014-07-19 21:23:45</t>
        </is>
      </c>
      <c r="H83" t="inlineStr">
        <is>
          <t>Type 1</t>
        </is>
      </c>
    </row>
    <row r="84">
      <c r="A84" t="inlineStr">
        <is>
          <t>2b72uj</t>
        </is>
      </c>
      <c r="B84" t="inlineStr">
        <is>
          <t>Retinopathy bout 2</t>
        </is>
      </c>
      <c r="C84" t="inlineStr">
        <is>
          <t>Woke up with what appears to be a second burst vessel in my left eye. I'm really down about this and feel like shit. Any advice before I can see a doctor on Monday?</t>
        </is>
      </c>
      <c r="D84" t="n">
        <v>5</v>
      </c>
      <c r="E84" t="n">
        <v>9</v>
      </c>
      <c r="F84">
        <f>HYPERLINK("https://www.reddit.com/r/diabetes/comments/2b72uj/retinopathy_bout_2/")</f>
        <v/>
      </c>
      <c r="G84" t="inlineStr">
        <is>
          <t>2014-07-20 00:44:53</t>
        </is>
      </c>
      <c r="H84" t="inlineStr">
        <is>
          <t>Type 1</t>
        </is>
      </c>
    </row>
    <row r="85">
      <c r="A85" t="inlineStr">
        <is>
          <t>2b8ivj</t>
        </is>
      </c>
      <c r="B85" t="inlineStr">
        <is>
          <t>HELP - Type 1 friend vomiting and fasting for Ramadan</t>
        </is>
      </c>
      <c r="C85" t="inlineStr">
        <is>
          <t>Hey, I've got a friend with Type 1 diabetes. He's Muslim and has been fasting for Ramadan. Last night, he ate a bunch of junk food and very little else, and then he was up last night vomiting. I don't think he's eaten or drunk anything since. Right now he's still asleep.
I'm extremely worried about him, but my other friend, who lives with him and is therefore presumably more knowledgeable about his situation than I, told me very sternly not to wake him up. Should I do it anyway?
BTW, he uses an insulin pump, if that changes anything.
EDIT: I'm a moron, of course I should wake him up. I did. He seems to be okay.</t>
        </is>
      </c>
      <c r="D85" t="n">
        <v>2</v>
      </c>
      <c r="E85" t="n">
        <v>18</v>
      </c>
      <c r="F85">
        <f>HYPERLINK("https://www.reddit.com/r/diabetes/comments/2b8ivj/help_type_1_friend_vomiting_and_fasting_for/")</f>
        <v/>
      </c>
      <c r="G85" t="inlineStr">
        <is>
          <t>2014-07-20 13:41:34</t>
        </is>
      </c>
      <c r="H85" t="inlineStr">
        <is>
          <t>Type 1</t>
        </is>
      </c>
    </row>
    <row r="86">
      <c r="A86" t="inlineStr">
        <is>
          <t>2b9ki3</t>
        </is>
      </c>
      <c r="B86" t="inlineStr">
        <is>
          <t>Question about insurance lapse from switching jobs. Help!</t>
        </is>
      </c>
      <c r="C86" t="inlineStr">
        <is>
          <t>So my fiancee is very actively looking to change jobs. She is type 1 diabetic and uses Lantus and Novalog, both in pen form. The thing that she is really worried about is the fact that for nearly any job, when you switch there is a 90 day period before your insurance kicks in. I am wondering if anything exists to help people make this transition and make sure they have enough insulin to make it through those three months. She has a ton of the Lantus, test strips, and pen tips. so the Novalog would be the problem.
TL;DR
Trying to see if there is any way to get some extra insulin to cover a possible 90 day lapse in insurance coverage due to getting a new job.
PS. We are in the state of Michigan, she is 28, and there isn't a financial hardship issue. Just worried about paying full price on insulin without prescription coverage, we hear it is outrageous.</t>
        </is>
      </c>
      <c r="D86" t="n">
        <v>3</v>
      </c>
      <c r="E86" t="n">
        <v>4</v>
      </c>
      <c r="F86">
        <f>HYPERLINK("https://www.reddit.com/r/diabetes/comments/2b9ki3/question_about_insurance_lapse_from_switching/")</f>
        <v/>
      </c>
      <c r="G86" t="inlineStr">
        <is>
          <t>2014-07-20 20:44:05</t>
        </is>
      </c>
      <c r="H86" t="inlineStr">
        <is>
          <t>Type 1</t>
        </is>
      </c>
    </row>
    <row r="87">
      <c r="A87" t="inlineStr">
        <is>
          <t>2bbsx1</t>
        </is>
      </c>
      <c r="B87" t="inlineStr">
        <is>
          <t>T1 not sure if DKA or not.</t>
        </is>
      </c>
      <c r="C87" t="inlineStr">
        <is>
          <t>I have no test strips to figure out what my bg is. i've basically been going by pulse. Lately (past two or three days) i've been very nauseous, and my pulse is just racing. I puked today, but i have not puked a whole bunch like i would if i was dka. but i feel like it's happening despite taking my insulin properly and whatnot. i don't have the confusion and kind of vertigo that comes with it, nor the light sensitivity. I do however have a bad taste in my mouth. I'm trying to figure out whether I need to go to the hospital or not. 
Please, no questions about why i don't have test strips, i'm working on it. 
Thanks everyone who answered my question even after i left for the hospital, thanks everyone i'm ok now.</t>
        </is>
      </c>
      <c r="D87" t="n">
        <v>0</v>
      </c>
      <c r="E87" t="n">
        <v>22</v>
      </c>
      <c r="F87">
        <f>HYPERLINK("https://www.reddit.com/r/diabetes/comments/2bbsx1/t1_not_sure_if_dka_or_not/")</f>
        <v/>
      </c>
      <c r="G87" t="inlineStr">
        <is>
          <t>2014-07-21 13:20:49</t>
        </is>
      </c>
      <c r="H87" t="inlineStr">
        <is>
          <t>Type 1</t>
        </is>
      </c>
    </row>
    <row r="88">
      <c r="A88" t="inlineStr">
        <is>
          <t>2bd5nn</t>
        </is>
      </c>
      <c r="B88" t="inlineStr">
        <is>
          <t>Reversal of Complications (and my introduction)</t>
        </is>
      </c>
      <c r="C88" t="inlineStr">
        <is>
          <t>Hi all, new here (diagnosed type 1 age 20 in March of this year with a1c of 12 and little to no cpeptide).
I believe my diabetes was slow to progress, as I can recall minor symptoms over the past couple of years, but nothing that had me worried (until some sudden weight loss, hence seeing my doctor). 
After starting treatment I noticed some awful foot and leg pain. Got a battery of nerve tests done - nothing came back abnormal. These tests included vibration tests, pain detection, motor function, and finally a nerve conduction test. But, the discomfort was very real. Final diagnosis was that my nerves are simply getting used to normal sugar levels ('treatment neuropathy'). 
Also, a urine test at diagnosis revealed over 1000 in I forget which unit of albumin. The doctor said under 2 is expected. 
After these months of good control (a1c of 5.8 - I check my blood very frequently (8 -10 X daily) and eat well), two subsequent urine tests showed I went from 1000 to 153 to now 23. The doctor expects it to drop to 0 any time soon.
Also, the pain has definitely dialed down!
Ps. Got eyes checked, all good.
_____________________________________
Tl;dr: I had heard many PWD speak of complications healing/reversing given a proper environment of good blood sugars, and am happy to say this is definitely true in my case as well.</t>
        </is>
      </c>
      <c r="D88" t="n">
        <v>5</v>
      </c>
      <c r="E88" t="n">
        <v>3</v>
      </c>
      <c r="F88">
        <f>HYPERLINK("https://www.reddit.com/r/diabetes/comments/2bd5nn/reversal_of_complications_and_my_introduction/")</f>
        <v/>
      </c>
      <c r="G88" t="inlineStr">
        <is>
          <t>2014-07-21 21:16:19</t>
        </is>
      </c>
      <c r="H88" t="inlineStr">
        <is>
          <t>Type 1</t>
        </is>
      </c>
    </row>
    <row r="89">
      <c r="A89" t="inlineStr">
        <is>
          <t>2bfvl5</t>
        </is>
      </c>
      <c r="B89" t="inlineStr">
        <is>
          <t>Diabetes and pensions</t>
        </is>
      </c>
      <c r="C89" t="inlineStr">
        <is>
          <t>Hey. Im a type one diabetic. My control isnt too bad, not great, not terrible but i was diagnosed when i was 10, in 1995.
Im about to start working a more serious job, i've only worked crappy jobs in the past but this is my first decent paid career job. One thing im unsure about and wondered what other peoples opinions were on pensions? I've never paid into one in the past.
I guess im kind of a pessimist and might have a different opinion if i had a kid or was married. But with the age of pensions seemingly getting higher and higher. I am i stupid for thinking its not worth it? As in with a probable shorter life span.
(Living in the UK)
edit: a few people have mentioned, and its my fault for not saying. But i would look into alternatives to a pension and would still look to plan ahead. But more through my life as opose to having to wait to 65, or by the time im that age it could be 70!</t>
        </is>
      </c>
      <c r="D89" t="n">
        <v>1</v>
      </c>
      <c r="E89" t="n">
        <v>6</v>
      </c>
      <c r="F89">
        <f>HYPERLINK("https://www.reddit.com/r/diabetes/comments/2bfvl5/diabetes_and_pensions/")</f>
        <v/>
      </c>
      <c r="G89" t="inlineStr">
        <is>
          <t>2014-07-22 15:50:57</t>
        </is>
      </c>
      <c r="H89" t="inlineStr">
        <is>
          <t>Type 1</t>
        </is>
      </c>
    </row>
    <row r="90">
      <c r="A90" t="inlineStr">
        <is>
          <t>2bj3ch</t>
        </is>
      </c>
      <c r="B90" t="inlineStr">
        <is>
          <t>Omnipod and thin people.</t>
        </is>
      </c>
      <c r="C90" t="inlineStr">
        <is>
          <t xml:space="preserve">Hello all,
I just got back from the doctor and I was told that I am too thin for the Omnipod insulin pump. Is this a valid reason to not get this pump? I have been struggling with energy and my insulin shots lately. I have also seen many reviews and pictures of people who claim that this pump works on people of all sizes. I am 5"4' girl who weighs 115 pounds. 
</t>
        </is>
      </c>
      <c r="D90" t="n">
        <v>8</v>
      </c>
      <c r="E90" t="n">
        <v>18</v>
      </c>
      <c r="F90">
        <f>HYPERLINK("https://www.reddit.com/r/diabetes/comments/2bj3ch/omnipod_and_thin_people/")</f>
        <v/>
      </c>
      <c r="G90" t="inlineStr">
        <is>
          <t>2014-07-23 13:34:36</t>
        </is>
      </c>
      <c r="H90" t="inlineStr">
        <is>
          <t>Type 1</t>
        </is>
      </c>
    </row>
    <row r="91">
      <c r="A91" t="inlineStr">
        <is>
          <t>2bkdn7</t>
        </is>
      </c>
      <c r="B91" t="inlineStr">
        <is>
          <t>Lows all day and suddenly dropped to 48 mg/dl before bed with no symptoms? [T1]</t>
        </is>
      </c>
      <c r="C91" t="inlineStr">
        <is>
          <t>My blood sugar had been pretty alright all day today, until around 4 when I felt myself starting to go low. I drank some hot chocolate (that's what was available) and then went home from work. I was home for about 30 minutes when I felt low again, so I drank some sugary iced tea; still didn't go back up, so I drank more. An hour later went low again, drank one of those glucose shot things (a god-send if you ask me!). Hour later, same deal. Finally thought it was stabilized and I'm about to go to bed when I feel kind of in-between low and high. I tested and I was 48 mg/dl. I'm barely feeling symptoms at this point, so I definitely wasn't expecting to see that. Trying to ride it out right now. I drank orange juice, soda, ate a tortilla (getting some of those complex carbs this time), etc.
Has this happened to anyone? No matter how much I consume, my blood sugar won't stay at a normal level. I hadn't moved around very much today and barely took any insulin. The only thing I can think of that might have possibly been a factor is that it was 90 degrees and 100% humidity?
P.S. Sorry for the ranting...blood sugar's low ;)
TL/DR: My blood sugar has been going low every hour on the hour, and now before bed I dropped to 48 mg/dl with no symptoms.
EDIT: 7/24 12:29 AM
My blood sugar went up! About half an hour has past and, I'm at 148. That means I can go to sleep(!!), and hopefully the other carbs I consumed will hold me over through the night. Also, quite ironically, I'm feeling low now. :P</t>
        </is>
      </c>
      <c r="D91" t="n">
        <v>1</v>
      </c>
      <c r="E91" t="n">
        <v>3</v>
      </c>
      <c r="F91">
        <f>HYPERLINK("https://www.reddit.com/r/diabetes/comments/2bkdn7/lows_all_day_and_suddenly_dropped_to_48_mgdl/")</f>
        <v/>
      </c>
      <c r="G91" t="inlineStr">
        <is>
          <t>2014-07-23 21:17:20</t>
        </is>
      </c>
      <c r="H91" t="inlineStr">
        <is>
          <t>Type 1</t>
        </is>
      </c>
    </row>
    <row r="92">
      <c r="A92" t="inlineStr">
        <is>
          <t>2bkzgl</t>
        </is>
      </c>
      <c r="B92" t="inlineStr">
        <is>
          <t>Recently diagnosed T1 - 16</t>
        </is>
      </c>
      <c r="C92" t="inlineStr">
        <is>
          <t xml:space="preserve">Hi,
I was just wondering how did everyone feel when they were first diagnosed and if they are any good 'life hacks' that can help me with living my life. 
So here's my story.
In February I start loosing a lot of weight. I thought this was just natural because I'm a teenager and I assumed my body was just changing. Throughout this year I have being going to the gym which is also why I never took notice of this sign. I then had final exams which I also thought was impacting my body. I was frequently urinating and drinking a lot. After my exams it continued and I eventually went to the doctor who had no idea that anything was wrong with me. I insisted that he did a blood test because I prior to seeing him I had searched online what what happened with my body and the only thing I could find was diabetes. I did a urine test and I had a very high amount of sugar in there. I was rushed to hospital and stabilized and now I'm here. I don't feel any different and I've lived my life the same as I did before I had it. Am I still in shock or am I just over it? I find my MDI's really easy and I know that they're doing me a lot of good which is why I dont mind them. 
After loosing the weight: http://i.imgur.com/dEwYa11.jpg
I felt so good about my body and now I keep being told I'm going to 'put the weight back on I lost'. I don't understand how I will because I do exercise and my diet is the best it has ever being. I eat everything in the correct proportion and stuff.
Thanks. </t>
        </is>
      </c>
      <c r="D92" t="n">
        <v>2</v>
      </c>
      <c r="E92" t="n">
        <v>20</v>
      </c>
      <c r="F92">
        <f>HYPERLINK("https://www.reddit.com/r/diabetes/comments/2bkzgl/recently_diagnosed_t1_16/")</f>
        <v/>
      </c>
      <c r="G92" t="inlineStr">
        <is>
          <t>2014-07-24 03:09:59</t>
        </is>
      </c>
      <c r="H92" t="inlineStr">
        <is>
          <t>Type 1</t>
        </is>
      </c>
    </row>
    <row r="93">
      <c r="A93" t="inlineStr">
        <is>
          <t>2bluzf</t>
        </is>
      </c>
      <c r="B93" t="inlineStr">
        <is>
          <t>Night time insulin shots not working, has anyone else experienced this? (T1)</t>
        </is>
      </c>
      <c r="C93" t="inlineStr">
        <is>
          <t xml:space="preserve">Sorry in advance for the long post. I have asked my endo 3 times about this issue and he doesn't seem to understand what my problem is...
For some reason it seems like anytime I take an insulin injection after 9pm or so it does not work. I currently take 10 units of Lantus in the morning and am using an Apidra pen for my fast acting. I work long hours during the day so I normally eat breakfast in the morning then just have a snack of 10-20 carbs in the afternoon so I do not have to inject. I get home around 7pm and often do not get a chance to eat until 9 or so. I try and limit my meals to 60 carbs max but in the morning when I check my bg  its as if I never took the injection. I just do not understand how the time could effect how my insulin works. 
I am 24, in great shape, slim built, typically only eat 80-100 carbs a day max, and I normally only have to inject 2-3 times a day. I do not feel like I could be developing insulin resistance and at any other time of day my injection will take just fine but I swear the later in the night it is the less likely the injection will work. Its becoming a real problem because sometimes I fall asleep before I get a chance to check my bg and end up waking up with 200+ mg/dl. 
Has anyone else experienced this? Any suggestions are appreciated! </t>
        </is>
      </c>
      <c r="D93" t="n">
        <v>4</v>
      </c>
      <c r="E93" t="n">
        <v>18</v>
      </c>
      <c r="F93">
        <f>HYPERLINK("https://www.reddit.com/r/diabetes/comments/2bluzf/night_time_insulin_shots_not_working_has_anyone/")</f>
        <v/>
      </c>
      <c r="G93" t="inlineStr">
        <is>
          <t>2014-07-24 09:32:20</t>
        </is>
      </c>
      <c r="H93" t="inlineStr">
        <is>
          <t>Type 1</t>
        </is>
      </c>
    </row>
    <row r="94">
      <c r="A94" t="inlineStr">
        <is>
          <t>2bne3a</t>
        </is>
      </c>
      <c r="B94" t="inlineStr">
        <is>
          <t>Upset &amp;amp; Scared</t>
        </is>
      </c>
      <c r="C94" t="inlineStr">
        <is>
          <t>Hey /r/diabetes
I'm not really sure what I'm trying to accomplish with this post.  I'm 22 and I've been a T1 for around 10 years now, and I'm fucking up so hard.
A fair warning, this will probably just turn into me ranting and a lot of this might not be completely relevant to diabetes.
A little background I suppose: I've never really been super close to my parents.  When I was diagnosed they were more upset than I was.  I had a good friend with diabetes, I knew it would entail a better diet, pricking my fingers and taking shots.  I was never afraid of needles so I was okay with this. 
But my parents, man.
They were so upset.  I know it's awful to say, but I remember feeling pretty fucking angry with them (and likely still harbor some animosity towards them) for being so clearly upset; I felt like **I** was the one who had to "be strong" for them.  If I didn't cry, what right did they have to?  
I sort of tried to "shut out" my parents from my diabetes treatment.  My moms brother had diabetes growing up and is now experiencing awful side effects so she knows how bad it can get.  Every time I would have a high blood sugar she would say stuff like "ugh, you *have got* to get that sugar down!  You don't want to end up like your uncle!" As sure as I am that she meant well, it pissed me off too.  The tone of how she would say things was the worst I think.  Like she was angry at me, as if I weren't fucking *trying* to handle this fucking disease.  I started just lying about my sugars to her.  When she would ask what my sugar was in order to record it in my little glucose journal I would tell her sugars that were a fair bit lower than they were.  She had no idea how shitty my sugars were.  I'm talking I would test at 22.7 and tell her I was 9.2.  Granted, I would still try to account my insulin for being higher than normal, but without her help it was hard.  I was 12 at the time and was quite literally trying to do everything myself (it felt like, anyways).
I was overwhelmed to say the least.
Fast forward to highschool.  in HS, I turned into a *very* shy kid, whereas in middle school I was a relatively social creature.  I lost many of my middle school friends in HS.  Sure, they would still say hi and such when we saw eachother, but when I would be invited somewhere I wouldn't go.  Looking back, I was probably self-conscious about my diabetes.  
You know how drinking typically starts in HS?  My mom was having none of it.  Now, I know, most responsible parents would do the same: not have it happen at all.  Guess what: kids will find a way to get it regardless.  I tried being honest with my parents about it: "yes, there will be drinking at this party tonight.  Oh, I can't go now?  Alright fuck you then, next time I'm going to lie.  Would you be able to get me a few beers?  That way at least you know how much and what I'm drinking?  I can at least *pretend* to be normal?  No?  Alright, fuck you then.  Instead of you getting me a 6-pack, I'll find another way to get a 12-pack".  
After having the fear of god put into me by my parents about drinking ("YOU CAN'T DRINK, YOU'RE A DIABETIC!  PEOPLE WON'T BE ABLE TO TELL IF YOU'RE DRUNK OR HAVING A LOW BLOODSUGAR AND YOU'LL DIE!") and finally getting drunk for the first time near the end of grade 10, I realized, "hey, you know what?  I'm *not* dead! In fact, I had a pretty good time.  After I had a few drinks I had no problem testing my blood in front of a room of people either.  Maybe this stuff isn't so bad!"
I started drinking a lot.  Like, every weekend. Just getting absolutely wasted.  My parents had absolutely no idea how much I was getting drunk.  Party Friday?  I'll tell my parents we're going to a movie, then staying at my buddies place.  Party Saturday?  Oh, my friends parents are gone and wants me to chill.  No, we won't be drinking.
Fuck, I'm getting off track.
Anyways, the drinking was a problem.  To be honest, I still drink quite a bit.  Typically at least one "binge-drink" (12 or more pints in a night) per week.
I'm getting kind of tired of typing so I'm going to wrap this up.
I'm 22, still living at home and am not managing my diabetes nearly as well as I should be.  I haven't had my A1C tested in, probably if I'm being realistic, 3 years.  
I'm not sure how related to Diabetes all this is, but I occasionally feel short of breathe.  The right side of my abdomen has a swollen patch (I'm assuming it's my liver).  I've made an appointment with a doctor for tomorrow about the lump at least.
I really want to get my health back on track, but have no idea where to start.  
Can someone, *anyone* offer me any advice?  Who should I talk to?  Where do I start?
I live in Ontario, if that makes a difference in your advice.
I apologize for the long post, but appreciated anyone reading and any advice is greatly appreciated.
Thanks in advance.</t>
        </is>
      </c>
      <c r="D94" t="n">
        <v>9</v>
      </c>
      <c r="E94" t="n">
        <v>13</v>
      </c>
      <c r="F94">
        <f>HYPERLINK("https://www.reddit.com/r/diabetes/comments/2bne3a/upset_scared/")</f>
        <v/>
      </c>
      <c r="G94" t="inlineStr">
        <is>
          <t>2014-07-24 17:52:58</t>
        </is>
      </c>
      <c r="H94" t="inlineStr">
        <is>
          <t>Type 1</t>
        </is>
      </c>
    </row>
    <row r="95">
      <c r="A95" t="inlineStr">
        <is>
          <t>2bpsn2</t>
        </is>
      </c>
      <c r="B95" t="inlineStr">
        <is>
          <t>Best low cost meter/strips</t>
        </is>
      </c>
      <c r="C95" t="inlineStr">
        <is>
          <t xml:space="preserve">I'm sure this has been discussed several times before, but I was very recently diagnosed as T2 and need to get a good, cheap meter/strips for testing. What are your thoughts on a good meter with cheap strips. Are the Relion meters from Walmart any good? </t>
        </is>
      </c>
      <c r="D95" t="n">
        <v>1</v>
      </c>
      <c r="E95" t="n">
        <v>0</v>
      </c>
      <c r="F95">
        <f>HYPERLINK("https://www.reddit.com/r/diabetes/comments/2bpsn2/best_low_cost_meterstrips/")</f>
        <v/>
      </c>
      <c r="G95" t="inlineStr">
        <is>
          <t>2014-07-25 12:00:39</t>
        </is>
      </c>
      <c r="H95" t="inlineStr">
        <is>
          <t>Type 2</t>
        </is>
      </c>
    </row>
    <row r="96">
      <c r="A96" t="inlineStr">
        <is>
          <t>2bpuko</t>
        </is>
      </c>
      <c r="B96" t="inlineStr">
        <is>
          <t>Meters and strips?</t>
        </is>
      </c>
      <c r="C96" t="inlineStr">
        <is>
          <t xml:space="preserve">I am very recently diagnosed as a T2. I need to get a meter and strips for testing but I am on a tight budget. Are the Relion meters from Walmart any good? Are there any similar meter/strip combinations in the same price range that are better? Please help! </t>
        </is>
      </c>
      <c r="D96" t="n">
        <v>3</v>
      </c>
      <c r="E96" t="n">
        <v>9</v>
      </c>
      <c r="F96">
        <f>HYPERLINK("https://www.reddit.com/r/diabetes/comments/2bpuko/meters_and_strips/")</f>
        <v/>
      </c>
      <c r="G96" t="inlineStr">
        <is>
          <t>2014-07-25 12:18:50</t>
        </is>
      </c>
      <c r="H96" t="inlineStr">
        <is>
          <t>Type 2</t>
        </is>
      </c>
    </row>
    <row r="97">
      <c r="A97" t="inlineStr">
        <is>
          <t>2bweop</t>
        </is>
      </c>
      <c r="B97" t="inlineStr">
        <is>
          <t>Blood sugar seems to be rising without eating food</t>
        </is>
      </c>
      <c r="C97" t="inlineStr">
        <is>
          <t xml:space="preserve">So I've noticed over the past few days that my BS seems to rise at around 10 p.m and it's happened today again.
* At 9:40 it was 6.8
* 10:06pm I and it'd risen to 8.6 so I wanted to keep an eye on it
* 10:15pm it was 9.9 so I took 3 units of novarapid (This is more than I would usually take for 9.9 but for the last few days my BS has been rising outrageously at this time)  and exercised a bit
* 10:42pm it was 9.2
* 11:08pm it was 13.1.WTFed and took 3 more novarapid
* 12:05 it was 13.3. WTFed again and took another 3 novarapid
It's now 1:10 and my BS is 9.2 and I expect that it'll be going down quite quickly since I've taken 9 units of novarapid overall.
Anyway, does anyone have any possible explanations for this rise? The last time I had eaten was about 8 o'clock when I ate a few biscuits with peanut butter and nutella on them and my blood sugar was pretty much fine about 2 hours after this.
BTW I take 1 unit of novarapid to 12 carbs if I would eat around this time so it seems strange that it took so much insulin to get it down.
</t>
        </is>
      </c>
      <c r="D97" t="n">
        <v>1</v>
      </c>
      <c r="E97" t="n">
        <v>17</v>
      </c>
      <c r="F97">
        <f>HYPERLINK("https://www.reddit.com/r/diabetes/comments/2bweop/blood_sugar_seems_to_be_rising_without_eating_food/")</f>
        <v/>
      </c>
      <c r="G97" t="inlineStr">
        <is>
          <t>2014-07-27 17:17:00</t>
        </is>
      </c>
      <c r="H97" t="inlineStr">
        <is>
          <t>Type 1</t>
        </is>
      </c>
    </row>
    <row r="98">
      <c r="A98" t="inlineStr">
        <is>
          <t>2bwre3</t>
        </is>
      </c>
      <c r="B98" t="inlineStr">
        <is>
          <t>TYPE II CURE?</t>
        </is>
      </c>
      <c r="C98" t="inlineStr">
        <is>
          <t>Is this article legit? Can type II be cured with this treatment?
http://www.cancertutor.com/diabetes_type_ii/</t>
        </is>
      </c>
      <c r="D98" t="n">
        <v>0</v>
      </c>
      <c r="E98" t="n">
        <v>9</v>
      </c>
      <c r="F98">
        <f>HYPERLINK("https://www.reddit.com/r/diabetes/comments/2bwre3/type_ii_cure/")</f>
        <v/>
      </c>
      <c r="G98" t="inlineStr">
        <is>
          <t>2014-07-27 19:39:08</t>
        </is>
      </c>
      <c r="H98" t="inlineStr">
        <is>
          <t>Type 2</t>
        </is>
      </c>
    </row>
    <row r="99">
      <c r="A99" t="inlineStr">
        <is>
          <t>2bxdc5</t>
        </is>
      </c>
      <c r="B99" t="inlineStr">
        <is>
          <t>Joining the club today</t>
        </is>
      </c>
      <c r="C99" t="inlineStr">
        <is>
          <t>Hi all, im 33 from the UK, been having a rough couple of months feeling crappy and exhausted, went to the doctors 3 weeks ago, suspected diabetes (im the last male in my entire family who isnt type 1)
After the hospital lost 3 hba1 blood samples i finally got sent for a glucose tolerance test 2 weeks ago, blood sugar was 9 after fasting and 16 after the glucose, the hospital didnt bother to do anything with the results so I didnt know, 2 weeks later this last friday I went back feeling terrible still and the doctor had to manually go into hospital records to find the result.
Today I have my first appointment with the diabetic nurse, bit nervous, but also happy to finally know why I feel like death and exited to feel my old self again :)</t>
        </is>
      </c>
      <c r="D99" t="n">
        <v>1</v>
      </c>
      <c r="E99" t="n">
        <v>5</v>
      </c>
      <c r="F99">
        <f>HYPERLINK("https://www.reddit.com/r/diabetes/comments/2bxdc5/joining_the_club_today/")</f>
        <v/>
      </c>
      <c r="G99" t="inlineStr">
        <is>
          <t>2014-07-28 00:32:38</t>
        </is>
      </c>
      <c r="H99" t="inlineStr">
        <is>
          <t>Type 1</t>
        </is>
      </c>
    </row>
    <row r="100">
      <c r="A100" t="inlineStr">
        <is>
          <t>2bxuze</t>
        </is>
      </c>
      <c r="B100" t="inlineStr">
        <is>
          <t>Recently diagnosed as Type 2 with 15 A1C and 300 blood sugar - not sure what to do</t>
        </is>
      </c>
      <c r="C100" t="inlineStr">
        <is>
          <t>Had my physical on Friday in the morning (40 years old), had my list of questions and changes for my Dr.  We went through all this and he mentioned that Type 2 could be the cause of them, but being that I do triathlons, train 4-7 hrs/week and don't eat completely bad he said if was a long shot and not to worry.
At 5:30pm he sends my labs that show an A1C of 15, fasting blood sugar of 300 and comments that I need to start Metformin and he was going to make an appointment with their onsite dietitian in the next week.
I had a meltdown on this, lost it.  What the hell?
My brother is Type 1, one of his daughters is Type 1 and I have a long family history of Type 1 and Type 2, but I figured if my lifestyle was ok I would prevent it.  Wrong.
I am in the weeds on this, anybody make some comments on the following?  Been cruising reddit for a while, I see the amazing people on here, any comments welcome.
1.  Metformin brings down A1C by only ~10-20%?  How is that going to help me?
2.  Dr. made no mention of checking blood sugar?
3.  When I exercise I usually mix by own gatorade, sometimes use saltstick or fizz.  What do I do now?
4.  I occasionally binge on syrup pancakes, very large bowls of bananas+peanut butter+ice cream after big rides/tris...can I do this anymore?
5.  My brother and niece can dose based on what they are eating, I certainly don't want to do injections/pump, but other than that do Type2 people just take the hit when they want a sugar based food like ice cream/cake/etc?</t>
        </is>
      </c>
      <c r="D100" t="n">
        <v>1</v>
      </c>
      <c r="E100" t="n">
        <v>0</v>
      </c>
      <c r="F100">
        <f>HYPERLINK("https://www.reddit.com/r/diabetes/comments/2bxuze/recently_diagnosed_as_type_2_with_15_a1c_and_300/")</f>
        <v/>
      </c>
      <c r="G100" t="inlineStr">
        <is>
          <t>2014-07-28 05:55:32</t>
        </is>
      </c>
      <c r="H100" t="inlineStr">
        <is>
          <t>Type 2</t>
        </is>
      </c>
    </row>
    <row r="101">
      <c r="A101" t="inlineStr">
        <is>
          <t>2by11z</t>
        </is>
      </c>
      <c r="B101" t="inlineStr">
        <is>
          <t>Switching back to MDI from pump....Is it worth doing?</t>
        </is>
      </c>
      <c r="C101" t="inlineStr">
        <is>
          <t>I just wanted to get everyone's opinion on this.  I have been on the pump for a little over a year.  I love the ease of use and convenience.  Since having surgery to remove cancer from one of my kidneys, my insulin needs have gone through the roof.  I went from around 90 units a day to almost 300 units a day.  Because of the amount being used, I had to switch to Humulin R (U-500) insulin.  While I have been successful in pumping and my a1C is good.  Around 6.3.  Prior to my surgery, my a1C's were in the 5.4 range.  
I guess that is a lot of background to ask...is it worth switching back to MDI with normal u100 insulin (novolog)?  I think that the Humulin R is causing weight gain and severe peripheral edema.  What do you guys think?  Switch or no?</t>
        </is>
      </c>
      <c r="D101" t="n">
        <v>6</v>
      </c>
      <c r="E101" t="n">
        <v>14</v>
      </c>
      <c r="F101">
        <f>HYPERLINK("https://www.reddit.com/r/diabetes/comments/2by11z/switching_back_to_mdi_from_pumpis_it_worth_doing/")</f>
        <v/>
      </c>
      <c r="G101" t="inlineStr">
        <is>
          <t>2014-07-28 07:06:42</t>
        </is>
      </c>
      <c r="H101" t="inlineStr">
        <is>
          <t>Type 1.5/LADA</t>
        </is>
      </c>
    </row>
    <row r="102">
      <c r="A102" t="inlineStr">
        <is>
          <t>2bzgyj</t>
        </is>
      </c>
      <c r="B102" t="inlineStr">
        <is>
          <t>I got diabetes and I'm f*cking scared ...</t>
        </is>
      </c>
      <c r="C102" t="inlineStr">
        <is>
          <t>I went to my doc a few weeks ago because I had the flu ... Nothing big. He ordered blood samples, mainly because we hadn't checked them in a while, so why not.  
Yesterday I went to discuss the samples. I was prepared for some "You should smoke a little less" or "You really should do a tiny bit of sports", but I was totally not prepared for "Did you know you're a diabetic?"  
I managed to keep calm, told the doc that I didn't and got all of the what-does-this-mean-talk. I couldn't listen much after "You're a diabetic", though.  
I'm scared. I'm totally scared. I never had some serious illness in my whole life. I fell here and then, I broke some bones a few times ... but nothing like that.  
I just don't know what to do now. It's like being on autopilot or something. The doc wrote me a prescription for Metformin.  
When my mom called earlier and asked me about my blood samples I ... just lied. I'm not much of a liar, but I couldn't help it. I told here that everything's fine, nothing to worry about. And at the moment it feels like I can't tell anyone ever. I'm not even sure why I feel that way. But I'm scared, I would need someone to talk to, and I really just can't.  
Not even sure why I'm posting this here.  
Have you been scared, too? Are you still? What am I to do now?</t>
        </is>
      </c>
      <c r="D102" t="n">
        <v>2</v>
      </c>
      <c r="E102" t="n">
        <v>8</v>
      </c>
      <c r="F102">
        <f>HYPERLINK("https://www.reddit.com/r/diabetes/comments/2bzgyj/i_got_diabetes_and_im_fcking_scared/")</f>
        <v/>
      </c>
      <c r="G102" t="inlineStr">
        <is>
          <t>2014-07-28 14:50:05</t>
        </is>
      </c>
      <c r="H102" t="inlineStr">
        <is>
          <t>Type 2</t>
        </is>
      </c>
    </row>
    <row r="103">
      <c r="A103" t="inlineStr">
        <is>
          <t>2bzn46</t>
        </is>
      </c>
      <c r="B103" t="inlineStr">
        <is>
          <t>how to manage post-meal highs?</t>
        </is>
      </c>
      <c r="C103" t="inlineStr">
        <is>
          <t>Hi all,
I'm relatively new T1D and I'm currently doing MDI, Humalog + Lantus. Let's say I counted the carbs perfectly and I injected just the perfect amount of Humalog. (e.g. my BG will be 110-120 after 2 hours) Still, I'm having 200+ before 2-2.5 hours(e.g. before rapid-acting insulin finishes it's work).
That really happened one time. I didn't take extra insulin after seeing ~200 after 1 hour and after 2 hours I was around ~120. Most of the time I'm having really high numbers before rapid-acting insulin is done.
So I'm wondering if there's anything I can/should do about it? Is this a normal thing or do I need to eat slowly or do something else?
Thanks in advance.
EDIT: I'm taking rapid-acting just before starting to eat.</t>
        </is>
      </c>
      <c r="D103" t="n">
        <v>4</v>
      </c>
      <c r="E103" t="n">
        <v>13</v>
      </c>
      <c r="F103">
        <f>HYPERLINK("https://www.reddit.com/r/diabetes/comments/2bzn46/how_to_manage_postmeal_highs/")</f>
        <v/>
      </c>
      <c r="G103" t="inlineStr">
        <is>
          <t>2014-07-28 15:45:58</t>
        </is>
      </c>
      <c r="H103" t="inlineStr">
        <is>
          <t>Type 1</t>
        </is>
      </c>
    </row>
    <row r="104">
      <c r="A104" t="inlineStr">
        <is>
          <t>2c12gi</t>
        </is>
      </c>
      <c r="B104" t="inlineStr">
        <is>
          <t>no need for basal?</t>
        </is>
      </c>
      <c r="C104" t="inlineStr">
        <is>
          <t>I was frustrated of getting low whenever I walk for 5 minutes or do other physical activities so I started dropping my basal intake. I was also having lows in the middle of night occasionally.
Even after dropping basal intake I was still not happy with occasional lows(I don't want to eat once in every one or two hours) and yesterday, just to test and see how things going, I stopped taking basal completely. And it worked really well.
Just to give an example, I slept at 2AM and my BG was 137. I wake up at 11AM and it was 138. This is awesome, because if I could have fixed it in 110 I'd have 110 in the morning. Apparently I didn't have "dawn phenomenon".
Yesterday I tested several times without eating anything and I observed that my BG most of the time is not dropping and does not get higher either.
So I'm a bit confused about basal intake. Can anyone clarify things for me? Is there a reason to still use basal insulin if I'm not having higher BG levels without eating anything?
Thanks.
PS. I'm using Humalog for rapid-acting and Lantus for basal.</t>
        </is>
      </c>
      <c r="D104" t="n">
        <v>4</v>
      </c>
      <c r="E104" t="n">
        <v>22</v>
      </c>
      <c r="F104">
        <f>HYPERLINK("https://www.reddit.com/r/diabetes/comments/2c12gi/no_need_for_basal/")</f>
        <v/>
      </c>
      <c r="G104" t="inlineStr">
        <is>
          <t>2014-07-29 02:30:26</t>
        </is>
      </c>
      <c r="H104" t="inlineStr">
        <is>
          <t>Type 1</t>
        </is>
      </c>
    </row>
    <row r="105">
      <c r="A105" t="inlineStr">
        <is>
          <t>2c40bi</t>
        </is>
      </c>
      <c r="B105" t="inlineStr">
        <is>
          <t>Obtaining a Canadian Animas Vibe as a US resident</t>
        </is>
      </c>
      <c r="C105" t="inlineStr">
        <is>
          <t>So my girlfriend has Type 1, currently uses the Ping, and needs to get a new one soon. She's been waiting for the FDA to give the go ahead on the Vibe forever (as I'm sure many of you have). I live really close to the Canadian border and work so close I can see the Great White North from my office. It pains me everyday to see those smug Canadians walking around with their Vibes just a few meters away. 
I want to know what is stopping me from going to Canada with a fist full of cash and acquiring a Vibe to bring back? The sites and whatnot are the same as the Ping yes?
Forgive me if I come off as overly ignorant. I promise you this is coming from a place of love for my girlfriend, and the Diabetes community.</t>
        </is>
      </c>
      <c r="D105" t="n">
        <v>1</v>
      </c>
      <c r="E105" t="n">
        <v>2</v>
      </c>
      <c r="F105">
        <f>HYPERLINK("https://www.reddit.com/r/diabetes/comments/2c40bi/obtaining_a_canadian_animas_vibe_as_a_us_resident/")</f>
        <v/>
      </c>
      <c r="G105" t="inlineStr">
        <is>
          <t>2014-07-29 21:01:01</t>
        </is>
      </c>
      <c r="H105" t="inlineStr">
        <is>
          <t>Type 1</t>
        </is>
      </c>
    </row>
    <row r="106">
      <c r="A106" t="inlineStr">
        <is>
          <t>2c5ajy</t>
        </is>
      </c>
      <c r="B106" t="inlineStr">
        <is>
          <t>Last A1C is 6.0!</t>
        </is>
      </c>
      <c r="C106" t="inlineStr">
        <is>
          <t>My latest A1C is down to 6 from 6.8 and 7.4 before that testing every 3 months.  I started at 13.something back in 1998 and I've been fighting my way down ever since.  The major changes I've made that have made a big impact is reducing my carbs to only 5% of my calories.  I had been a little higher.  That means I cook all my own food from fresh ingredients.  I've dropped 65 pounds from that diet change and now I am able to exercise regularly without too much discomfort.  I was almost 400lbs and they keep dropping off (so far).
The change that made the biggest difference in my glucose levels though was switching to 12.7mm needles from the 6.5mm.  My sugars dropped to under 100 almost immediately and now rest around 75 give or take.  I've been able to stop taking humalog and I am reducing my lantus.
I just wanted to share some success.  Keep up hope!</t>
        </is>
      </c>
      <c r="D106" t="n">
        <v>65</v>
      </c>
      <c r="E106" t="n">
        <v>23</v>
      </c>
      <c r="F106">
        <f>HYPERLINK("https://www.reddit.com/r/diabetes/comments/2c5ajy/last_a1c_is_60/")</f>
        <v/>
      </c>
      <c r="G106" t="inlineStr">
        <is>
          <t>2014-07-30 08:13:25</t>
        </is>
      </c>
      <c r="H106" t="inlineStr">
        <is>
          <t>Type 2</t>
        </is>
      </c>
    </row>
    <row r="107">
      <c r="A107" t="inlineStr">
        <is>
          <t>2c5gxr</t>
        </is>
      </c>
      <c r="B107" t="inlineStr">
        <is>
          <t>"Undiagnosed" with Type-2? Huh?</t>
        </is>
      </c>
      <c r="C107" t="inlineStr">
        <is>
          <t>My previous primary care doctor retired a number of months ago and I finally got in to see my new doctor yesterday.  We went over all my health history and when we get to the Type-2 diagnosis he asked me about it.  Said my previous doctor had diagnosed me about 5 yrs ago and put me on metformin (which I learned I was allergic to).  Since stopping that, I've pretty much controlled my BG with diet and exercise.  Have lost about 130 lbs.  I still have a long way to go with my weight, but my BG is reasonable, usually ranging from the 100s to sometimes as high as 140s after eating.
Doc says my A1C has always been good (all the readings they had were 6.1 or below.  Says I'm not diabetic.
Is this possible?  Can you be diagnosed or determined not to be diabetic solely on your A1C score???</t>
        </is>
      </c>
      <c r="D107" t="n">
        <v>1</v>
      </c>
      <c r="E107" t="n">
        <v>11</v>
      </c>
      <c r="F107">
        <f>HYPERLINK("https://www.reddit.com/r/diabetes/comments/2c5gxr/undiagnosed_with_type2_huh/")</f>
        <v/>
      </c>
      <c r="G107" t="inlineStr">
        <is>
          <t>2014-07-30 09:15:17</t>
        </is>
      </c>
      <c r="H107" t="inlineStr">
        <is>
          <t>Type 2</t>
        </is>
      </c>
    </row>
    <row r="108">
      <c r="A108" t="inlineStr">
        <is>
          <t>2c5lc3</t>
        </is>
      </c>
      <c r="B108" t="inlineStr">
        <is>
          <t>Using pen insulin for pump</t>
        </is>
      </c>
      <c r="C108" t="inlineStr">
        <is>
          <t>I'm pretty new to my pump, got my t:slim a few weeks back.  However I am almost dry on my last Novolog vial.  I still have plenty of pens left over however.  I've noticed that without a pen needle in place, the tip of a pen looks similar to the top of a regular vial.  Would i be able to draw insulin from the pen as I would with a vial? My endo's office only tells me to use vials, but I assume that's because they have to be medically correct.  Is there anything wrong with drawing the pen insulin as if it were a vial?  Thanks.</t>
        </is>
      </c>
      <c r="D108" t="n">
        <v>3</v>
      </c>
      <c r="E108" t="n">
        <v>5</v>
      </c>
      <c r="F108">
        <f>HYPERLINK("https://www.reddit.com/r/diabetes/comments/2c5lc3/using_pen_insulin_for_pump/")</f>
        <v/>
      </c>
      <c r="G108" t="inlineStr">
        <is>
          <t>2014-07-30 09:53:55</t>
        </is>
      </c>
      <c r="H108" t="inlineStr">
        <is>
          <t>Type 1</t>
        </is>
      </c>
    </row>
    <row r="109">
      <c r="A109" t="inlineStr">
        <is>
          <t>2c6x3t</t>
        </is>
      </c>
      <c r="B109" t="inlineStr">
        <is>
          <t>Having fruity breath, next doctors appointment is monday :(</t>
        </is>
      </c>
      <c r="C109" t="inlineStr">
        <is>
          <t>I'm a type one, have been for 15 years. This past year I have had a weird, slightly sweet breath lasting for a few days about three times. The closest app I could get with my doctor is on monday. I was hoping someone might know more here in the mean time. 
I just checked my blood, I'm 5.2mmol/93mgdl. Generally I have pretty good control and hover around 7-10/126-180
Thanks!  
edit: Just like last time! Breath is gone in about a week. Doctor had no clue what was up and wasn't very helpful.</t>
        </is>
      </c>
      <c r="D109" t="n">
        <v>9</v>
      </c>
      <c r="E109" t="n">
        <v>20</v>
      </c>
      <c r="F109">
        <f>HYPERLINK("https://www.reddit.com/r/diabetes/comments/2c6x3t/having_fruity_breath_next_doctors_appointment_is/")</f>
        <v/>
      </c>
      <c r="G109" t="inlineStr">
        <is>
          <t>2014-07-30 16:58:42</t>
        </is>
      </c>
      <c r="H109" t="inlineStr">
        <is>
          <t>Type 1</t>
        </is>
      </c>
    </row>
    <row r="110">
      <c r="A110" t="inlineStr">
        <is>
          <t>2c8rp7</t>
        </is>
      </c>
      <c r="B110" t="inlineStr">
        <is>
          <t>Low sodium not the answer to hypertension and can make diabetes and insulin resistance worse?</t>
        </is>
      </c>
      <c r="C110" t="inlineStr">
        <is>
          <t>Given that hypertension is typically associated with insulin resistance (and type 2) and one of the automatic approaches to handling hypertension is to limit sodium intake [I thought it would be useful to link to a dissenting voice](http://authoritynutrition.com/how-much-sodium-per-day/) especially as it seems to accord with my personal experience (as a hypertensive type 2) and the claim made in the article that low sodium can actually make both diabetes and insulin resistance worse.
I have no opinion on how valid the arguments made are other than that they accord with my personal experience that low sodium had little (no) impact on my hypertension.</t>
        </is>
      </c>
      <c r="D110" t="n">
        <v>3</v>
      </c>
      <c r="E110" t="n">
        <v>0</v>
      </c>
      <c r="F110">
        <f>HYPERLINK("https://www.reddit.com/r/diabetes/comments/2c8rp7/low_sodium_not_the_answer_to_hypertension_and_can/")</f>
        <v/>
      </c>
      <c r="G110" t="inlineStr">
        <is>
          <t>2014-07-31 07:53:26</t>
        </is>
      </c>
      <c r="H110" t="inlineStr">
        <is>
          <t>Type 2</t>
        </is>
      </c>
    </row>
    <row r="111">
      <c r="A111" t="inlineStr">
        <is>
          <t>2caydm</t>
        </is>
      </c>
      <c r="B111" t="inlineStr">
        <is>
          <t>How do I help my friend see a doctor? (Type 2 possible)</t>
        </is>
      </c>
      <c r="C111" t="inlineStr">
        <is>
          <t>I have been friends with "Brian" since grade school. We have been though a lot together, good and bad, and I want to be old man best friends and have our wives complain about us for decades to come.
Brian is in his mid 30's with a wife and two young children. About 5 years ago he confided in me that his doctor told him his blood sugar was high and his A1C was really high to. (He didn't give me the numbers). He went on a health kick that lasted about a month. AFAIK he has done nothing about this in the last 5 years in terms of getting a physical. He is overweight but not obese. His diet is not absolutely terrible but could be better, and he doesn't exercise much. (complains he has no time between job and kids).  
I have mentioned to him a few times over the last few years that he should go back and get his blood work done but he is dismissive. Essentially his argument is that he doesn't need to do anything until he shows symptoms, and he isn't showing any. I don't want this to create a wedge between us, but at the same time I want my friend to find out if he has diabetes and get it under control.
What will happen to him if he goes uncontrolled for too long? Will he just pass out one day at the grocery store and then it will be too late? Please help me help my friend. Thank you.</t>
        </is>
      </c>
      <c r="D111" t="n">
        <v>1</v>
      </c>
      <c r="E111" t="n">
        <v>2</v>
      </c>
      <c r="F111">
        <f>HYPERLINK("https://www.reddit.com/r/diabetes/comments/2caydm/how_do_i_help_my_friend_see_a_doctor_type_2/")</f>
        <v/>
      </c>
      <c r="G111" t="inlineStr">
        <is>
          <t>2014-07-31 20:28:22</t>
        </is>
      </c>
      <c r="H111" t="inlineStr">
        <is>
          <t>Type 2</t>
        </is>
      </c>
    </row>
    <row r="112">
      <c r="A112" t="inlineStr">
        <is>
          <t>2cc072</t>
        </is>
      </c>
      <c r="B112" t="inlineStr">
        <is>
          <t>T1 and losing weight.</t>
        </is>
      </c>
      <c r="C112" t="inlineStr">
        <is>
          <t xml:space="preserve">Does anyone have any success stories of losing weight with type one? It seems like any time I begin to, a series of hypos will come and knock me flat on my face. Sometimes I cheat and give myself extra insulin too, I just can't help it. Chocolate is like my forbidden fruit! </t>
        </is>
      </c>
      <c r="D112" t="n">
        <v>10</v>
      </c>
      <c r="E112" t="n">
        <v>14</v>
      </c>
      <c r="F112">
        <f>HYPERLINK("https://www.reddit.com/r/diabetes/comments/2cc072/t1_and_losing_weight/")</f>
        <v/>
      </c>
      <c r="G112" t="inlineStr">
        <is>
          <t>2014-08-01 06:22:53</t>
        </is>
      </c>
      <c r="H112" t="inlineStr">
        <is>
          <t>Type 1</t>
        </is>
      </c>
    </row>
    <row r="113">
      <c r="A113" t="inlineStr">
        <is>
          <t>2cceiy</t>
        </is>
      </c>
      <c r="B113" t="inlineStr">
        <is>
          <t>A simple trick that has helped my lower my average BG T1</t>
        </is>
      </c>
      <c r="C113" t="inlineStr">
        <is>
          <t>So whenever I set my target BG lower than 110 I get a lot of lows, but now I try aiming for 90 when there is no carbs in me. So when I bolus I still aim for 110 but when I check again 3-4 hours after eating my target bolus is at 90 a pump with its insulin on board feature is extremely helpful with this.</t>
        </is>
      </c>
      <c r="D113" t="n">
        <v>4</v>
      </c>
      <c r="E113" t="n">
        <v>0</v>
      </c>
      <c r="F113">
        <f>HYPERLINK("https://www.reddit.com/r/diabetes/comments/2cceiy/a_simple_trick_that_has_helped_my_lower_my/")</f>
        <v/>
      </c>
      <c r="G113" t="inlineStr">
        <is>
          <t>2014-08-01 08:53:15</t>
        </is>
      </c>
      <c r="H113" t="inlineStr">
        <is>
          <t>Type 1</t>
        </is>
      </c>
    </row>
    <row r="114">
      <c r="A114" t="inlineStr">
        <is>
          <t>2cdfg8</t>
        </is>
      </c>
      <c r="B114" t="inlineStr">
        <is>
          <t>Have we seen any progress on a cure for type 1?</t>
        </is>
      </c>
      <c r="C114" t="inlineStr">
        <is>
          <t>):</t>
        </is>
      </c>
      <c r="D114" t="n">
        <v>1</v>
      </c>
      <c r="E114" t="n">
        <v>18</v>
      </c>
      <c r="F114">
        <f>HYPERLINK("https://www.reddit.com/r/diabetes/comments/2cdfg8/have_we_seen_any_progress_on_a_cure_for_type_1/")</f>
        <v/>
      </c>
      <c r="G114" t="inlineStr">
        <is>
          <t>2014-08-01 14:36:44</t>
        </is>
      </c>
      <c r="H114" t="inlineStr">
        <is>
          <t>Type 1</t>
        </is>
      </c>
    </row>
    <row r="115">
      <c r="A115" t="inlineStr">
        <is>
          <t>2cfd2b</t>
        </is>
      </c>
      <c r="B115" t="inlineStr">
        <is>
          <t>T2, 2000 calorie deficit, gained 2 pounds. Ain't nobody got time for that!</t>
        </is>
      </c>
      <c r="C115" t="inlineStr">
        <is>
          <t xml:space="preserve">Hello everybody!
Ok, so my overall question is:  what is going on that I haven’t lost weight?
Now, the backstory:
I used to weigh over 600 pounds.  I now weigh right at 400 pounds.  One might be so inclined as to ask how I did that so I’ll tell you:  the old fashioned deniers way.  I completely ignored the fact that I had diabetes, ate whatever I wanted to and still lost weight.  Best diet ever…until I got DKA, Fournier’s gangrene, nearly died, my ball sack exploded…it was a bad week.  
So, that happened in November of last year.  Since then I’ve been on my medication (12 units of Novolog per meal and 44 units of Levemir twice a day) (for the most part) like I should be.  I haven’t really gained or lost any weight since November.  I’ve been having some…issues…over the past 2 months and I decided it was time.  I dedicated myself to the cause.  I’ve been tracking my foods on My Fitness Pal, I’ve changed what I eat so I eat more protein and veggies and MUCH less pasta/carbs.  Overall I’ve reduced my caloric intake so most days I have inbetween a 500 calorie and a 1500 calorie deficit.  
Also, 3 weeks ago I found a walking buddy at my new job.  He and I started walking 3 days a week.  I decided that wasn’t enough and I started walking on the days where he and I weren’t.  So, for the past 3 weeks I have walked 6 days a week and one my 6th day I walk twice to make up for the day I missed.  Week 1 I started at 1.5 miles.  Week 2 we bumped it up to 2 miles.  Week three we “accidentally” walked three miles the first day and over the course of the week I started doing C25K.  I completed W1D1 on Thursday night and W1D2 last night and after finishing it last night I walked another mile and jogged about another .75 miles for a grant total of about 979 calories. 
Now, here’s the problem:  my caloric deficit yesterday was a little over 2,000 calories after my jog/walk and I gained 2 pounds.  Collectively over the past three weeks I have not lost a single pound.  I went from 400 to 412 to  407 to 410 to 402 to 400 back to 402.  I weight on the same scale at the same time every day, nothing has changed.  
I’m really struggling with this.  This is the longest I have been on any exercise routine and I actually, truth be known, kind of like it.  I’ve found my workout buddy so if I quit I feel like I’m going to let him down so I CAN’T quit…but I’m extremely discouraged.  It sucks putting in a lot of effort only to get nothing back.  
I hear things from “starvation mode” to “it’s the amount of insulin you take” but I can’t not take my insulin.  I just feel really stuck.  
</t>
        </is>
      </c>
      <c r="D115" t="n">
        <v>2</v>
      </c>
      <c r="E115" t="n">
        <v>12</v>
      </c>
      <c r="F115">
        <f>HYPERLINK("https://www.reddit.com/r/diabetes/comments/2cfd2b/t2_2000_calorie_deficit_gained_2_pounds_aint/")</f>
        <v/>
      </c>
      <c r="G115" t="inlineStr">
        <is>
          <t>2014-08-02 07:52:28</t>
        </is>
      </c>
      <c r="H115" t="inlineStr">
        <is>
          <t>Type 2</t>
        </is>
      </c>
    </row>
    <row r="116">
      <c r="A116" t="inlineStr">
        <is>
          <t>2cgfdp</t>
        </is>
      </c>
      <c r="B116" t="inlineStr">
        <is>
          <t>[T1] A few questions on Insulin types, Weight Gain, Injection sites</t>
        </is>
      </c>
      <c r="C116" t="inlineStr">
        <is>
          <t>Hey redditors! I was diagnosed type 1 a year ago at 19 years of age. The doctors prescribed me Novomix 30 (I'm in the UK) and I take that twice a day. At first, things were going well and I was able to maintain a very good A1C @ 5.2. Early on it was mentioned that I would eventually switch to a different insulin that I would have to inject 4 times a day, but it never happened and I've been using novomix for a year.
In the first week of using Insulin, I gained 11 pounds despite a very strict diet and from then I've continued to gain weight to the point where i'm in super, super bad shape right now. I've also had zits constantly. As things have progressed, I've found it harder and harder to control my blood levels and I'm injecting the novomix more often now and injection sites are becoming tricky for me. I'm getting to the doctors ASAP now that I'm starting to feel awful throughout the day and my average levels are slowly rising. When I brought up these issues last time at my doctors they referred me to a course that would teach me how to count carbs and then told to increase my units, however I never received any course information in the mail. Plus, I've been putting this stuff off as I've been really, really busy.
So my questions are:
 What's the general opinion on novomix 30? 
What has your experience been like with it?
My injection sites seem to stop absorbing insulin despite me rotating them often, do you have any tips for this?
What's with the INSANE weight gain? 
What's with the constant zits?
I'll be bringing this all up at my appointment, I'd just like to hear some first hand experiences with this stuff and I'm getting really, really tired of this situation. Thanks for reading!</t>
        </is>
      </c>
      <c r="D116" t="n">
        <v>1</v>
      </c>
      <c r="E116" t="n">
        <v>0</v>
      </c>
      <c r="F116">
        <f>HYPERLINK("https://www.reddit.com/r/diabetes/comments/2cgfdp/t1_a_few_questions_on_insulin_types_weight_gain/")</f>
        <v/>
      </c>
      <c r="G116" t="inlineStr">
        <is>
          <t>2014-08-02 15:18:56</t>
        </is>
      </c>
      <c r="H116" t="inlineStr">
        <is>
          <t>Type 1</t>
        </is>
      </c>
    </row>
    <row r="117">
      <c r="A117" t="inlineStr">
        <is>
          <t>2chhm0</t>
        </is>
      </c>
      <c r="B117" t="inlineStr">
        <is>
          <t>Recently diagnosed, need advice! T1!</t>
        </is>
      </c>
      <c r="C117" t="inlineStr">
        <is>
          <t xml:space="preserve">I'm 16, and I live in denver, CO. I was diagnosed roughly three weeks ago. I've had wonderful help from the Barbara Davis Center (a state of the art diabetes center) and they have made the initial blow easier. I am on novolog and lantus, but I digress. I had symptoms for 6 months, including intense abdominal pain and stomach irritation. I lost 60 pounds and was extremely thirsty. I went to my pediatrician and he told me not to worry because I was "A little chunky anyway." Didn't take any pee samples and didn't take blood samples. He then sent me to a pediatric GI and I had an upper endoscopy to see if I could figure out the source of the stomach pain. The next day I left for Mexico, which both doctors said was fine. When I returned, the test results were late, and I had a fasting blood sugar of 364. We talked to the GI and he told us not to worry about my levels and told us to maybe see an endocrinologist. Thankfully, my sister is an ND and had us get to a hospital immediately. Before the hospital I went back to see my pediatrician, whose office didn't want to take me because they were "wrapping up" on a Friday. My sugar was 640 at the hospital and my A1C was 15. I'm thinking of filing a grievance with the medical board, but do I have a case? Also, any other advice on the subject helps. A lot. On another note, I lost energy and interest and was told to go to her apt and prescribed antidepressants that have become obsolete now that I'm on insulin. </t>
        </is>
      </c>
      <c r="D117" t="n">
        <v>1</v>
      </c>
      <c r="E117" t="n">
        <v>0</v>
      </c>
      <c r="F117">
        <f>HYPERLINK("https://www.reddit.com/r/diabetes/comments/2chhm0/recently_diagnosed_need_advice_t1/")</f>
        <v/>
      </c>
      <c r="G117" t="inlineStr">
        <is>
          <t>2014-08-02 23:47:15</t>
        </is>
      </c>
      <c r="H117" t="inlineStr">
        <is>
          <t>Type 1</t>
        </is>
      </c>
    </row>
    <row r="118">
      <c r="A118" t="inlineStr">
        <is>
          <t>2ci90z</t>
        </is>
      </c>
      <c r="B118" t="inlineStr">
        <is>
          <t>Hi, Im new, at age of 20. Any tips, and how do you keep logs?</t>
        </is>
      </c>
      <c r="C118" t="inlineStr">
        <is>
          <t>what should I know that the doctor might not tell? 
How you go by logging everything you do?
Do you keep records of where you did shots?</t>
        </is>
      </c>
      <c r="D118" t="n">
        <v>1</v>
      </c>
      <c r="E118" t="n">
        <v>14</v>
      </c>
      <c r="F118">
        <f>HYPERLINK("https://www.reddit.com/r/diabetes/comments/2ci90z/hi_im_new_at_age_of_20_any_tips_and_how_do_you/")</f>
        <v/>
      </c>
      <c r="G118" t="inlineStr">
        <is>
          <t>2014-08-03 08:22:30</t>
        </is>
      </c>
      <c r="H118" t="inlineStr">
        <is>
          <t>Type 1</t>
        </is>
      </c>
    </row>
    <row r="119">
      <c r="A119" t="inlineStr">
        <is>
          <t>2cl9yp</t>
        </is>
      </c>
      <c r="B119" t="inlineStr">
        <is>
          <t>A1C down to 4.9</t>
        </is>
      </c>
      <c r="C119" t="inlineStr">
        <is>
          <t>I am elated! But I am guessing this a honeymoon thing?  I was diagnosed 4 months ago at A1C of 8.0. We'll see if I can keep it down.</t>
        </is>
      </c>
      <c r="D119" t="n">
        <v>1</v>
      </c>
      <c r="E119" t="n">
        <v>0</v>
      </c>
      <c r="F119">
        <f>HYPERLINK("https://www.reddit.com/r/diabetes/comments/2cl9yp/a1c_down_to_49/")</f>
        <v/>
      </c>
      <c r="G119" t="inlineStr">
        <is>
          <t>2014-08-04 07:34:07</t>
        </is>
      </c>
      <c r="H119" t="inlineStr">
        <is>
          <t>Type 2</t>
        </is>
      </c>
    </row>
    <row r="120">
      <c r="A120" t="inlineStr">
        <is>
          <t>2cm1fe</t>
        </is>
      </c>
      <c r="B120" t="inlineStr">
        <is>
          <t>[T2] Special K</t>
        </is>
      </c>
      <c r="C120" t="inlineStr">
        <is>
          <t>So my gran has type 2 diabetes and was informed by her dietician than special k was great for her. I have heard that the opposite is true, is the dietician right?</t>
        </is>
      </c>
      <c r="D120" t="n">
        <v>0</v>
      </c>
      <c r="E120" t="n">
        <v>2</v>
      </c>
      <c r="F120">
        <f>HYPERLINK("https://www.reddit.com/r/diabetes/comments/2cm1fe/t2_special_k/")</f>
        <v/>
      </c>
      <c r="G120" t="inlineStr">
        <is>
          <t>2014-08-04 11:44:11</t>
        </is>
      </c>
      <c r="H120" t="inlineStr">
        <is>
          <t>Type 2</t>
        </is>
      </c>
    </row>
    <row r="121">
      <c r="A121" t="inlineStr">
        <is>
          <t>2cpz4v</t>
        </is>
      </c>
      <c r="B121" t="inlineStr">
        <is>
          <t>Impenetrable Wall - Sugars not going down past it - Ketones?</t>
        </is>
      </c>
      <c r="C121" t="inlineStr">
        <is>
          <t>Final Edit: Hey all.. I think I've kind of come to the conclusion that my basal rate is way off. I'm going to be correcting this over the coming days and hopefully this will all be behind me. Thanks for the advice.
Hello all, I've been having bad control recently and went to the hospital too. I'm not DKA so they left me to control my insulin myself.... They then did tons of tests to make sure I didn't have an infection and that literally everything else in my body was OK. Then they released me... Now I've been sitting here for about 24 hours trying to get my blood glucose below 13-14 (270-288 for my american friends).. And I can't. No matter what I eat or don't eat.
Gave myself 6 units of humalog straight up from 15, might drop to 11 but then jumps back to 13-14-15. Ate breakfast. Had 9 units of humalog, went from 14-14. More corrections later and its still not going down. Last dosage was 6Us correction. Sitting at 14 again (288). 
I've got dinner sitting here now... Should I just go for another correction straight up and wait it out? Or should I eat? I don't know man. I don't even know if I should go back to the hospital or not. I'm really confused as to whats best. The doc's told me I was fine. 
EDIT: Drinking a lot of fluid too, but not out of thirst, more like out of wanting to cover my bases for whatever's causing this. I assume it's ketones...
EDIT2: Gave myself 6 more units correction... my last 6 was almost 2hrs ago. Sitting at 15mmol/L. Not going to eat yet... by the way, I am not a big man, I'm 140lbs and 5'10</t>
        </is>
      </c>
      <c r="D121" t="n">
        <v>7</v>
      </c>
      <c r="E121" t="n">
        <v>22</v>
      </c>
      <c r="F121">
        <f>HYPERLINK("https://www.reddit.com/r/diabetes/comments/2cpz4v/impenetrable_wall_sugars_not_going_down_past_it/")</f>
        <v/>
      </c>
      <c r="G121" t="inlineStr">
        <is>
          <t>2014-08-05 13:23:41</t>
        </is>
      </c>
      <c r="H121" t="inlineStr">
        <is>
          <t>Type 1</t>
        </is>
      </c>
    </row>
    <row r="122">
      <c r="A122" t="inlineStr">
        <is>
          <t>2cshil</t>
        </is>
      </c>
      <c r="B122" t="inlineStr">
        <is>
          <t>Pen users, how do you remember to change spot?</t>
        </is>
      </c>
      <c r="C122" t="inlineStr">
        <is>
          <t>The tip is:
When rotating sites within one injection area, keep injections about an 
inch (or two finger widths) apart. 
I cant remember where I did the last shot, should I be logging this and how?</t>
        </is>
      </c>
      <c r="D122" t="n">
        <v>2</v>
      </c>
      <c r="E122" t="n">
        <v>5</v>
      </c>
      <c r="F122">
        <f>HYPERLINK("https://www.reddit.com/r/diabetes/comments/2cshil/pen_users_how_do_you_remember_to_change_spot/")</f>
        <v/>
      </c>
      <c r="G122" t="inlineStr">
        <is>
          <t>2014-08-06 07:46:47</t>
        </is>
      </c>
      <c r="H122" t="inlineStr">
        <is>
          <t>Type 1</t>
        </is>
      </c>
    </row>
    <row r="123">
      <c r="A123" t="inlineStr">
        <is>
          <t>2ctt8c</t>
        </is>
      </c>
      <c r="B123" t="inlineStr">
        <is>
          <t>Got my A1C back</t>
        </is>
      </c>
      <c r="C123" t="inlineStr">
        <is>
          <t>It was 6.0!</t>
        </is>
      </c>
      <c r="D123" t="n">
        <v>36</v>
      </c>
      <c r="E123" t="n">
        <v>17</v>
      </c>
      <c r="F123">
        <f>HYPERLINK("https://www.reddit.com/r/diabetes/comments/2ctt8c/got_my_a1c_back/")</f>
        <v/>
      </c>
      <c r="G123" t="inlineStr">
        <is>
          <t>2014-08-06 14:59:06</t>
        </is>
      </c>
      <c r="H123" t="inlineStr">
        <is>
          <t>Type 1</t>
        </is>
      </c>
    </row>
    <row r="124">
      <c r="A124" t="inlineStr">
        <is>
          <t>2ctuhk</t>
        </is>
      </c>
      <c r="B124" t="inlineStr">
        <is>
          <t>[TYPE 1] Denied Novolog Pen because I don't have Doctor Authorization [HELP]</t>
        </is>
      </c>
      <c r="C124" t="inlineStr">
        <is>
          <t>I got denied my insulin when I called it in. I tried to get Doctor Authorization, but they said it would take 14 days! I just ran out of medicine. Anything I could do to get medicine/ keep my bloodsugar under control? (I am currently on a no carb diet)</t>
        </is>
      </c>
      <c r="D124" t="n">
        <v>3</v>
      </c>
      <c r="E124" t="n">
        <v>6</v>
      </c>
      <c r="F124">
        <f>HYPERLINK("https://www.reddit.com/r/diabetes/comments/2ctuhk/type_1_denied_novolog_pen_because_i_dont_have/")</f>
        <v/>
      </c>
      <c r="G124" t="inlineStr">
        <is>
          <t>2014-08-06 15:11:27</t>
        </is>
      </c>
      <c r="H124" t="inlineStr">
        <is>
          <t>Type 1</t>
        </is>
      </c>
    </row>
    <row r="125">
      <c r="A125" t="inlineStr">
        <is>
          <t>2ctzls</t>
        </is>
      </c>
      <c r="B125" t="inlineStr">
        <is>
          <t>Just got diagnosed with Type 2 . Have no idea how to go about it.</t>
        </is>
      </c>
      <c r="C125" t="inlineStr">
        <is>
          <t>Hey guys , 
So got my results today , 140 Blood level and 7.2 H1Ac levels. Well i was unfit and borderline for a year now so no surprises here but at the age of 21 , i feel as if my life has come to a standstill. I have a family history of Type 2 and also suffer from Hyperthyroid. 
I have no one to turn to as i don't want to disclose this just yet.. I guess i just came here to see if you guys could help me come to terms with this..</t>
        </is>
      </c>
      <c r="D125" t="n">
        <v>2</v>
      </c>
      <c r="E125" t="n">
        <v>12</v>
      </c>
      <c r="F125">
        <f>HYPERLINK("https://www.reddit.com/r/diabetes/comments/2ctzls/just_got_diagnosed_with_type_2_have_no_idea_how/")</f>
        <v/>
      </c>
      <c r="G125" t="inlineStr">
        <is>
          <t>2014-08-06 16:02:51</t>
        </is>
      </c>
      <c r="H125" t="inlineStr">
        <is>
          <t>Type 2</t>
        </is>
      </c>
    </row>
    <row r="126">
      <c r="A126" t="inlineStr">
        <is>
          <t>2cupa7</t>
        </is>
      </c>
      <c r="B126" t="inlineStr">
        <is>
          <t>Prospective insulin pump user - could you help me understand the Dexcom combos?</t>
        </is>
      </c>
      <c r="C126" t="inlineStr">
        <is>
          <t>My doctor wants me to go on the pump. Medi-jector went out altogether after 2013 and it's time to make the transition.
Doc is pushing the Accu-chek one hard without any discussion of any others. "They're a big company and smaller ones often go out of business." This isn't a good argument, considering Medtronic has most of the market. 
I told the Accu-Chek salesperson that I want to wait for a Dexcom combo to come out (I'm a Dexcom user). She told me that it won't come out until 2016. Does anyone have information on this? I emailed Tandem, but thought I'd ask here.
Anyway, what about the Vibe? Is this still not available in the US? With the combos, do you still have to use a Dexcom transmitter or is the transmitter actually integrated into the pump? My impression of the Vibe is that the receive is the only "combo" part. Is this correct? 
All of this is a bit overwhelming. I don't want to end up with a lemon, but I'm confused. 
Thanks in advance.</t>
        </is>
      </c>
      <c r="D126" t="n">
        <v>1</v>
      </c>
      <c r="E126" t="n">
        <v>7</v>
      </c>
      <c r="F126">
        <f>HYPERLINK("https://www.reddit.com/r/diabetes/comments/2cupa7/prospective_insulin_pump_user_could_you_help_me/")</f>
        <v/>
      </c>
      <c r="G126" t="inlineStr">
        <is>
          <t>2014-08-06 20:40:28</t>
        </is>
      </c>
      <c r="H126" t="inlineStr">
        <is>
          <t>Type 1</t>
        </is>
      </c>
    </row>
    <row r="127">
      <c r="A127" t="inlineStr">
        <is>
          <t>2cvz6s</t>
        </is>
      </c>
      <c r="B127" t="inlineStr">
        <is>
          <t>Having good A1C with bad carb counting is possible? (my story inside)</t>
        </is>
      </c>
      <c r="C127" t="inlineStr">
        <is>
          <t>I just got my test results and my A1C is 5.7!! This is amazing and I'm surprised, because I was starting to think that I have bad control. Most of the time I'm having more than 200 after meals(but almost never more than 250). But I think I do two things right which helped me have this awesome A1C:
* I always fix my BG when I have more than 150 after meals. I tested and figured that one unit drops my BG around ~100. For example, if I'm at 160 after a meal, I'm taking one unit(my pen doesn't inject half a unit) and after one hour(which supposed to make me around 110) I'm eating a small piece of chocolate(increases my BG around ~40) or something like that and I'm having 100 after two hours. I don't eat anything if I'm 200 etc. (only problem with this approach is that I'm having lots of injections for corrections ;-( )
* I never sleep with high bg. I test two hours before going to bed and make correction doses similarly.
* Without talking to my doctor, I experimented with my basal ratios and found a great ratio that works really well for me. (see my previous post for more about this)
It turns out this worked great. Not only I had great A1C, but I also had only one low this week. (it was very bad though, I hit 30 while sleeping)
If you have similar tactics, I'd like to hear.
Have a good A1C!</t>
        </is>
      </c>
      <c r="D127" t="n">
        <v>0</v>
      </c>
      <c r="E127" t="n">
        <v>0</v>
      </c>
      <c r="F127">
        <f>HYPERLINK("https://www.reddit.com/r/diabetes/comments/2cvz6s/having_good_a1c_with_bad_carb_counting_is/")</f>
        <v/>
      </c>
      <c r="G127" t="inlineStr">
        <is>
          <t>2014-08-07 07:56:43</t>
        </is>
      </c>
      <c r="H127" t="inlineStr">
        <is>
          <t>Type 1</t>
        </is>
      </c>
    </row>
    <row r="128">
      <c r="A128" t="inlineStr">
        <is>
          <t>2cwwzw</t>
        </is>
      </c>
      <c r="B128" t="inlineStr">
        <is>
          <t>I never even considered looking for this sub. This is great.</t>
        </is>
      </c>
      <c r="C128" t="inlineStr">
        <is>
          <t>Hey all! I'm a T1 and just realized that there HAD to be a /r/diabetes and now I'm here! I am 20 and am on my 12th year of the betes. Just thought I would drop in and introduce myself a little. I don't know too many other diabetics IRL so it'd be nice to see what some of you are up to and how you are doing with life!:D</t>
        </is>
      </c>
      <c r="D128" t="n">
        <v>16</v>
      </c>
      <c r="E128" t="n">
        <v>4</v>
      </c>
      <c r="F128">
        <f>HYPERLINK("https://www.reddit.com/r/diabetes/comments/2cwwzw/i_never_even_considered_looking_for_this_sub_this/")</f>
        <v/>
      </c>
      <c r="G128" t="inlineStr">
        <is>
          <t>2014-08-07 12:58:51</t>
        </is>
      </c>
      <c r="H128" t="inlineStr">
        <is>
          <t>Type 1</t>
        </is>
      </c>
    </row>
    <row r="129">
      <c r="A129" t="inlineStr">
        <is>
          <t>2cxe5w</t>
        </is>
      </c>
      <c r="B129" t="inlineStr">
        <is>
          <t>24yo diagnosed as type one (1.5?) last week and feeling overwhelmed</t>
        </is>
      </c>
      <c r="C129" t="inlineStr">
        <is>
          <t xml:space="preserve">Hello /r/diabetes, last week I was hospitalized with DKA and diagnosed with Type 1 diabetes. No one I know is diabetic and I have no family history, so I dont really have anyone I can talk to about this who can relate. I dont want to worry my friends and family but, im honestly a little scared. Can anyone offer advice for adjusting to the diabetic lifestyle? Any input on foods to eat, managing BG levels, exercise, or anything at all would be greatly appreciated. 
</t>
        </is>
      </c>
      <c r="D129" t="n">
        <v>3</v>
      </c>
      <c r="E129" t="n">
        <v>14</v>
      </c>
      <c r="F129">
        <f>HYPERLINK("https://www.reddit.com/r/diabetes/comments/2cxe5w/24yo_diagnosed_as_type_one_15_last_week_and/")</f>
        <v/>
      </c>
      <c r="G129" t="inlineStr">
        <is>
          <t>2014-08-07 15:37:07</t>
        </is>
      </c>
      <c r="H129" t="inlineStr">
        <is>
          <t>Type 1.5/LADA</t>
        </is>
      </c>
    </row>
    <row r="130">
      <c r="A130" t="inlineStr">
        <is>
          <t>2cxvvg</t>
        </is>
      </c>
      <c r="B130" t="inlineStr">
        <is>
          <t>Omnipod and Insulin waste</t>
        </is>
      </c>
      <c r="C130" t="inlineStr">
        <is>
          <t>Not sure if people here know this little trick, so I figured I'd share it. I've heard of people complaining about insulin is wasted with the Omnipod. If a pod fails, or if you overfill it and don't use all of it, the insulin is gone forever. This isn't true though. On the opposite side of the cannula, there should be a little tiny hole in the corner. Just stick a regular syringe and draw out the remaining insulin. I do it all the time. Saves me alot of money. Can post pics if anyone is having a hard time seeing what I am talking about.
Sorry if this trick is really well known. I did a search on the subreddit and not alot came up :P</t>
        </is>
      </c>
      <c r="D130" t="n">
        <v>5</v>
      </c>
      <c r="E130" t="n">
        <v>4</v>
      </c>
      <c r="F130">
        <f>HYPERLINK("https://www.reddit.com/r/diabetes/comments/2cxvvg/omnipod_and_insulin_waste/")</f>
        <v/>
      </c>
      <c r="G130" t="inlineStr">
        <is>
          <t>2014-08-07 18:45:10</t>
        </is>
      </c>
      <c r="H130" t="inlineStr">
        <is>
          <t>Type 1</t>
        </is>
      </c>
    </row>
    <row r="131">
      <c r="A131" t="inlineStr">
        <is>
          <t>2cyfj9</t>
        </is>
      </c>
      <c r="B131" t="inlineStr">
        <is>
          <t>Set Backs- Type 1</t>
        </is>
      </c>
      <c r="C131" t="inlineStr">
        <is>
          <t xml:space="preserve">I'm a type 1 on pump, diagnosed 4 years ago. My HbA1c is great. Just when I think I'm getting the hang of it, I get a blood sugar of 40- something that I'm prone to when I'm in better control. And to top it off, my ophthalomogist told me last week that I did have one spot on my retina but that I didn't need any laser treatment. Overall I don't let being diabetic bring me down,  but sometimes I just feel like that no matter I do- I'm going to get complications. 
Do you ever feel this way? </t>
        </is>
      </c>
      <c r="D131" t="n">
        <v>3</v>
      </c>
      <c r="E131" t="n">
        <v>5</v>
      </c>
      <c r="F131">
        <f>HYPERLINK("https://www.reddit.com/r/diabetes/comments/2cyfj9/set_backs_type_1/")</f>
        <v/>
      </c>
      <c r="G131" t="inlineStr">
        <is>
          <t>2014-08-07 22:35:40</t>
        </is>
      </c>
      <c r="H131" t="inlineStr">
        <is>
          <t>Type 1</t>
        </is>
      </c>
    </row>
    <row r="132">
      <c r="A132" t="inlineStr">
        <is>
          <t>2d1ebr</t>
        </is>
      </c>
      <c r="B132" t="inlineStr">
        <is>
          <t>DIABETIC COOKING SHOW! (ABC news)</t>
        </is>
      </c>
      <c r="C132" t="inlineStr">
        <is>
          <t>Hey guys!
I just wanted to share my awesome DIABETIC COOKING SHOW that was aired on ABC news twice! Recipes are not only FREE, but are creative and full of satire. I welcome you guys to enjoy them and to share them with your friends and family. I need some support to keep these videos coming. I'm trying to reach out to as many  diabetics as possible and to people that care about eating well.
www.healthresetmeals.com
Yours truly, 
The Glucose Chef</t>
        </is>
      </c>
      <c r="D132" t="n">
        <v>26</v>
      </c>
      <c r="E132" t="n">
        <v>3</v>
      </c>
      <c r="F132">
        <f>HYPERLINK("https://www.reddit.com/r/diabetes/comments/2d1ebr/diabetic_cooking_show_abc_news/")</f>
        <v/>
      </c>
      <c r="G132" t="inlineStr">
        <is>
          <t>2014-08-08 19:26:44</t>
        </is>
      </c>
      <c r="H132" t="inlineStr">
        <is>
          <t>Type 1</t>
        </is>
      </c>
    </row>
    <row r="133">
      <c r="A133" t="inlineStr">
        <is>
          <t>2d1u8l</t>
        </is>
      </c>
      <c r="B133" t="inlineStr">
        <is>
          <t>I got the T1 blues...</t>
        </is>
      </c>
      <c r="C133" t="inlineStr">
        <is>
          <t xml:space="preserve">I've had a few days where my sugar's ranged in the mid-100s to low-200s, with some inexplicable highs (one in the 300s). Yesterday, I had a 220 where I did 3 units of Novolog; some insulin I'd taken for a snack earlier that afternoon reacted about the same time the 3 units did, leading to a reading of 36. All of this while trying to readjust my Lantus (morning dosages of ~25 units, trying 26 or so the last few days). So essentially, I've been doing more insulin to get worse results. 
On top of all this, I mentioned the 36 to my mom last night, and her immediate response was to ask whether I've been monitoring my sugars and insulin intake. I know logically that she asks this not out of the smug ignorance that many non-diabetics have about such matters, as if our sugars would be perfect if we do the math right every time, but as a loving mother concerned about her son's health and happiness, especially after the year I've had diabetes-wise; still, I got a tiny bit defensive when answering her, and I'm not feeling so great about that. (Mom, if you're reading this, my bad.) 
Is anyone else just have a crappy couple of days diabetes wise? Hell, a crappy couple of months/years? </t>
        </is>
      </c>
      <c r="D133" t="n">
        <v>8</v>
      </c>
      <c r="E133" t="n">
        <v>6</v>
      </c>
      <c r="F133">
        <f>HYPERLINK("https://www.reddit.com/r/diabetes/comments/2d1u8l/i_got_the_t1_blues/")</f>
        <v/>
      </c>
      <c r="G133" t="inlineStr">
        <is>
          <t>2014-08-08 23:04:41</t>
        </is>
      </c>
      <c r="H133" t="inlineStr">
        <is>
          <t>Type 1</t>
        </is>
      </c>
    </row>
    <row r="134">
      <c r="A134" t="inlineStr">
        <is>
          <t>2d2rhn</t>
        </is>
      </c>
      <c r="B134" t="inlineStr">
        <is>
          <t>Anyone know what's up?</t>
        </is>
      </c>
      <c r="C134" t="inlineStr">
        <is>
          <t>So basically I usually give like 3 units of humalog with my meals (type1) , but for the last two days I've had to give like 6-8 units and I have been eating barely any carbs, my blood sugar won't come down. It's not injection site or bad insulin. After doing some research I feel like it might be thyroid related , but I guess I'll just make a dr appointment Monday . Any feedback or knowledge would be appreciated. Today all I ate was a salad 4 hours ago and I've already had like 15 units of humalog , which is nuts for me . The nurse I have appointments with says I take the least insulin for a type 1 that she sees but now something is weird ...thanks
tl;dr: giving insulin+not eating =still high blood sugar</t>
        </is>
      </c>
      <c r="D134" t="n">
        <v>0</v>
      </c>
      <c r="E134" t="n">
        <v>7</v>
      </c>
      <c r="F134">
        <f>HYPERLINK("https://www.reddit.com/r/diabetes/comments/2d2rhn/anyone_know_whats_up/")</f>
        <v/>
      </c>
      <c r="G134" t="inlineStr">
        <is>
          <t>2014-08-09 09:00:42</t>
        </is>
      </c>
      <c r="H134" t="inlineStr">
        <is>
          <t>Type 1</t>
        </is>
      </c>
    </row>
    <row r="135">
      <c r="A135" t="inlineStr">
        <is>
          <t>2d35c4</t>
        </is>
      </c>
      <c r="B135" t="inlineStr">
        <is>
          <t>Newly diagnosed and still figuring it out.</t>
        </is>
      </c>
      <c r="C135" t="inlineStr">
        <is>
          <t>I was diagnosed when I ended up in the ER about 2 weeks ago. I had gone in because of kidney pain, and they discovered my blood glucose was high. The doctors there were VERY unhelpful on advice for after I left. The only food the doctor could suggest I could eat was hard boiled  eggs.  My doctor and the nutritionist he sent me to weren't much better.  I also got no information about what was going to happen, like my eyesight going blurry. Also, my doctor gave me a medication and told me to come back in a month.  They never even told me what type of diabetes I have. I assume type 2.
All in all, I have been having to try to find information on the internet, and am still confused about a lot of it. I am hoping this group can help me, and that people are willing to answer some questions for now.
1. I have always been a healthy eater, but often have no appetite, which is only more suppressed by several medications.  Even before this I had trouble eating enough calories in a day. Many times I would get to the end of the day and find I had only had 500-600 calories. This actually caused me to gain weight in the past. My problem now is that I've been told to eat very small amounts of carbs and pretty much no sugars. Since lean meat and veggies really don't have many calories, I am still finding myself short.  How can I add enough calories without adding too many sugars or carbs? Fatty meats are unappealing to me, and more than a small amount of diary makes me sick.
2. I have been noticing that my numbers are high in the morning and drop from there.  Usually about 250 when I get up, then down to about 120 by bedtime.  Through some testing I have figured out that the high morning numbers are likely the somogi effect. I have tried eating protein just before bed, and that did not seem to help. I also tried taking my second metformin dose earlier, but I am afraid to take it less than 9 hours apart since they told me to take it 12 hours apart.
3. Are there any more surprises I am likely to run into like my eyesight going blurry?  I'd also like to know at what point it is safe to get new glasses without them likely to change soon since my insurance only pays for them every 2 years.
Thanks in advance for any help and information.
Edit: I failed to mention that I also have Fibromyalgia, hypothyroidism, anxiety/depression, and severe allergies, which means I am on several other medications as well as the metformin.</t>
        </is>
      </c>
      <c r="D135" t="n">
        <v>1</v>
      </c>
      <c r="E135" t="n">
        <v>20</v>
      </c>
      <c r="F135">
        <f>HYPERLINK("https://www.reddit.com/r/diabetes/comments/2d35c4/newly_diagnosed_and_still_figuring_it_out/")</f>
        <v/>
      </c>
      <c r="G135" t="inlineStr">
        <is>
          <t>2014-08-09 11:41:41</t>
        </is>
      </c>
      <c r="H135" t="inlineStr">
        <is>
          <t>Type 2</t>
        </is>
      </c>
    </row>
    <row r="136">
      <c r="A136" t="inlineStr">
        <is>
          <t>2d3m8h</t>
        </is>
      </c>
      <c r="B136" t="inlineStr">
        <is>
          <t>My boyfriend's cousin has just been diagnosed as T1 at 23. I'm also 23 &amp;amp; T1, but can't think of the most useful advice!</t>
        </is>
      </c>
      <c r="C136" t="inlineStr">
        <is>
          <t>I know this must sound completely ridiculous (same age, same diagnosis) but I was much younger than her when diagnosed, so I guess I'm looking for some practical tips that anyone diagnosed at a similar age would have appreciated! 
Thank you all in advance :-)</t>
        </is>
      </c>
      <c r="D136" t="n">
        <v>2</v>
      </c>
      <c r="E136" t="n">
        <v>12</v>
      </c>
      <c r="F136">
        <f>HYPERLINK("https://www.reddit.com/r/diabetes/comments/2d3m8h/my_boyfriends_cousin_has_just_been_diagnosed_as/")</f>
        <v/>
      </c>
      <c r="G136" t="inlineStr">
        <is>
          <t>2014-08-09 14:56:56</t>
        </is>
      </c>
      <c r="H136" t="inlineStr">
        <is>
          <t>Type 1</t>
        </is>
      </c>
    </row>
    <row r="137">
      <c r="A137" t="inlineStr">
        <is>
          <t>2d84op</t>
        </is>
      </c>
      <c r="B137" t="inlineStr">
        <is>
          <t>How do you keep nighttime numbers from going high? (T1)</t>
        </is>
      </c>
      <c r="C137" t="inlineStr">
        <is>
          <t>Lately, I have had a problem with nighttime numbers spiking. Not insanely, but to the high 100's or so, maybe 200 at worst. I generally eat a high protein dinner, but I am afraid of doing a square-wave bolus through the night when protein's effects on my BG are fairly unpredictable - I'd certainly rather go a bit high than low. Other obvious solutions would be to eat earlier or eat smaller dinners, but I was hoping to hear other suggestions.
My daytime control at this point is very tight (between 100-140 probably 80% of the time) but the nighttime numbers are bringing up my average, causing my A1c's to be in the low 7's.
What do you guys do?</t>
        </is>
      </c>
      <c r="D137" t="n">
        <v>3</v>
      </c>
      <c r="E137" t="n">
        <v>9</v>
      </c>
      <c r="F137">
        <f>HYPERLINK("https://www.reddit.com/r/diabetes/comments/2d84op/how_do_you_keep_nighttime_numbers_from_going_high/")</f>
        <v/>
      </c>
      <c r="G137" t="inlineStr">
        <is>
          <t>2014-08-11 04:17:44</t>
        </is>
      </c>
      <c r="H137" t="inlineStr">
        <is>
          <t>Type 1</t>
        </is>
      </c>
    </row>
    <row r="138">
      <c r="A138" t="inlineStr">
        <is>
          <t>2db54c</t>
        </is>
      </c>
      <c r="B138" t="inlineStr">
        <is>
          <t>Helping A Teenage Diabetic</t>
        </is>
      </c>
      <c r="C138" t="inlineStr">
        <is>
          <t>My last A1C was 8.1 and I was wondering if anyone who has dealt with Diabetes throughout their teenage years could help me by giving any advice to help better manage my numbers</t>
        </is>
      </c>
      <c r="D138" t="n">
        <v>5</v>
      </c>
      <c r="E138" t="n">
        <v>22</v>
      </c>
      <c r="F138">
        <f>HYPERLINK("https://www.reddit.com/r/diabetes/comments/2db54c/helping_a_teenage_diabetic/")</f>
        <v/>
      </c>
      <c r="G138" t="inlineStr">
        <is>
          <t>2014-08-11 22:05:34</t>
        </is>
      </c>
      <c r="H138" t="inlineStr">
        <is>
          <t>Type 1</t>
        </is>
      </c>
    </row>
    <row r="139">
      <c r="A139" t="inlineStr">
        <is>
          <t>2dbdpx</t>
        </is>
      </c>
      <c r="B139" t="inlineStr">
        <is>
          <t>Parents of Type 1s: How do you convey the seriousness of proper care w/out scaring your child?</t>
        </is>
      </c>
      <c r="C139" t="inlineStr">
        <is>
          <t>Backstory: my child was diagnosed at 18 months. She is now 8 years old. She doesn't know anything different than finger pokes and needles.
My spouse and I want to make sure that she avoids any teenage rebellious phases in the future. We also want her to make good choices regarding her health (commensurate with her age--we're not about to abandon her or anything). Perhaps we have been too open/harsh in talking with her about the consequences of failing to check her blood frequently, avoiding unhealthy diet, etc.
Last night, she dropped this heart-breaking line on me when we were talking about my 91-year old grandmother (who is having typical health problems of someone her age): "I probably won't live very long because of my diabetes." I tried to convince her that with proper care, she will live just as long as anybody else.
How have you imparted responsibility to your children so they can help take care of themselves?</t>
        </is>
      </c>
      <c r="D139" t="n">
        <v>3</v>
      </c>
      <c r="E139" t="n">
        <v>9</v>
      </c>
      <c r="F139">
        <f>HYPERLINK("https://www.reddit.com/r/diabetes/comments/2dbdpx/parents_of_type_1s_how_do_you_convey_the/")</f>
        <v/>
      </c>
      <c r="G139" t="inlineStr">
        <is>
          <t>2014-08-12 00:10:23</t>
        </is>
      </c>
      <c r="H139" t="inlineStr">
        <is>
          <t>Type 1</t>
        </is>
      </c>
    </row>
    <row r="140">
      <c r="A140" t="inlineStr">
        <is>
          <t>2dbgqv</t>
        </is>
      </c>
      <c r="B140" t="inlineStr">
        <is>
          <t>Husband newly diagnosed - how can I help?</t>
        </is>
      </c>
      <c r="C140" t="inlineStr">
        <is>
          <t>He went to the doctor for an unrelated issue and standard blood draws showed a blood glucose of at least 500. So, off to the emergency room, where they pumped him full of saline and gave him metformin. 
I feel bad that I didn't notice before - he's been getting up to go to the bathroom at night a lot in the past few weeks, and complaining about feeling ill when he drinks soda. Funny thing, he's recently been trying to be healthier and lost a lot of weight. 
So, I don't really know what he can eat (he's got an appt tomorrow and will probably be referred to a dietitian) and the whole thing is kind of scary. Advice?</t>
        </is>
      </c>
      <c r="D140" t="n">
        <v>7</v>
      </c>
      <c r="E140" t="n">
        <v>9</v>
      </c>
      <c r="F140">
        <f>HYPERLINK("https://www.reddit.com/r/diabetes/comments/2dbgqv/husband_newly_diagnosed_how_can_i_help/")</f>
        <v/>
      </c>
      <c r="G140" t="inlineStr">
        <is>
          <t>2014-08-12 01:06:50</t>
        </is>
      </c>
      <c r="H140" t="inlineStr">
        <is>
          <t>Type 2</t>
        </is>
      </c>
    </row>
    <row r="141">
      <c r="A141" t="inlineStr">
        <is>
          <t>2dbp9y</t>
        </is>
      </c>
      <c r="B141" t="inlineStr">
        <is>
          <t>Type II Diabetic: dental health concern</t>
        </is>
      </c>
      <c r="C141" t="inlineStr">
        <is>
          <t>Since getting diagnosed with diabetes for the last 4 years, alongwith every other thing that has started deteriorating. My teeth are the major part of my body that have been effected. I brush twice a day. I use that toothpaste for extra sensitive gums/teeth too. I change my brush almost every 4-6 months.
I've since had to have 2 root canals and cappings; they still hurt like hell. Even after the root canal.
I've since developed so many cavities and have had them filled; about 3.
And all the rest of my remaining teeth are usually just always sensitive/hurting.
I'm sick of all dentist visits all the time.
My hba1c is always under 6% since the last 2 years.
That's supposed to be good, right?
I don't know what's causing my teeth to go bad though?</t>
        </is>
      </c>
      <c r="D141" t="n">
        <v>4</v>
      </c>
      <c r="E141" t="n">
        <v>8</v>
      </c>
      <c r="F141">
        <f>HYPERLINK("https://www.reddit.com/r/diabetes/comments/2dbp9y/type_ii_diabetic_dental_health_concern/")</f>
        <v/>
      </c>
      <c r="G141" t="inlineStr">
        <is>
          <t>2014-08-12 03:52:47</t>
        </is>
      </c>
      <c r="H141" t="inlineStr">
        <is>
          <t>Type 2</t>
        </is>
      </c>
    </row>
    <row r="142">
      <c r="A142" t="inlineStr">
        <is>
          <t>2dcpc5</t>
        </is>
      </c>
      <c r="B142" t="inlineStr">
        <is>
          <t>Type 1 and metformin/symlin?</t>
        </is>
      </c>
      <c r="C142" t="inlineStr">
        <is>
          <t>Just curious if anyone on here has had success with metformin with type 1. I've been trying to take my diabetes care to the next level (hoping for an A1c in the 6's next time!) and asked my doctor about symlin. He is a t1d himself and was worried about me taking symlin because of the hypos and I live by myself in a new city away from the dr and my family now. I've been taking metformin to try to lower my insulin needs, but I'm really not seeing a difference. My daily basal amount is about 55u, and my boluses are at 1:5 insulin:carb. I've been on metformin about 6 months and don't see any differences in these amounts and my past two a1c have still been a lot higher than I want. I'm going to be changing endos to one in my new city (at my next appointment in 3 months) and am considering asking her about symlin, but I'm still wary of the hypos.
Does anyone have advice or experiences they can share with metformin and/or symlin and t1? Thanks!</t>
        </is>
      </c>
      <c r="D142" t="n">
        <v>4</v>
      </c>
      <c r="E142" t="n">
        <v>8</v>
      </c>
      <c r="F142">
        <f>HYPERLINK("https://www.reddit.com/r/diabetes/comments/2dcpc5/type_1_and_metforminsymlin/")</f>
        <v/>
      </c>
      <c r="G142" t="inlineStr">
        <is>
          <t>2014-08-12 10:30:49</t>
        </is>
      </c>
      <c r="H142" t="inlineStr">
        <is>
          <t>Type 1</t>
        </is>
      </c>
    </row>
    <row r="143">
      <c r="A143" t="inlineStr">
        <is>
          <t>2dcs6r</t>
        </is>
      </c>
      <c r="B143" t="inlineStr">
        <is>
          <t>(Type 1) Kind of an odd question...</t>
        </is>
      </c>
      <c r="C143" t="inlineStr">
        <is>
          <t xml:space="preserve">First off: I'm 28, female, reasonably healthy low carb diet (I seek alternatives to bread/potatoes/rice/etc, but I'm not keto), and pretty active (gym schedule subject to college schedule). Diagnosed a year ago with Type 1. 
A week ago I had an emergency surgery. In the process of arriving at the ER and going through a bunch of tests to figure out what was wrong...I found out i have one kidney. Obviously this would necessitate close watch on kidney function as I get older; but is there anything else that I must do as a person with one kidney and diabetes?  Is there anyone else out there that has this same situation? Or know someone who does?  Have they been reasonably "normal" or had any complications, etc, that i should be aware of?  I will let my Endo know, but I figured I will ask all of you lovely people, too. 
If you're curious: I had a hernia with an ovary and fallopian tube in torsion (translation: shit be twisted). My surgery doc said that in 30 years that she's practiced, she's never seen that before.  
I'm a bit of a rare bird, I guess.
Thanks for reading! : )
Edit: Other medical details: Besides insulin (novolog/lantus), i take levothyroxin daily. My blood pressure is normal so far. </t>
        </is>
      </c>
      <c r="D143" t="n">
        <v>17</v>
      </c>
      <c r="E143" t="n">
        <v>11</v>
      </c>
      <c r="F143">
        <f>HYPERLINK("https://www.reddit.com/r/diabetes/comments/2dcs6r/type_1_kind_of_an_odd_question/")</f>
        <v/>
      </c>
      <c r="G143" t="inlineStr">
        <is>
          <t>2014-08-12 10:54:34</t>
        </is>
      </c>
      <c r="H143" t="inlineStr">
        <is>
          <t>Type 1</t>
        </is>
      </c>
    </row>
    <row r="144">
      <c r="A144" t="inlineStr">
        <is>
          <t>2dctre</t>
        </is>
      </c>
      <c r="B144" t="inlineStr">
        <is>
          <t>Sell me on ACE inhibitor, Or dont.</t>
        </is>
      </c>
      <c r="C144" t="inlineStr">
        <is>
          <t>Having my quarterly endo appointment at the end of this month, last appointment we talked about considering adding an ACE inhibitor to my regime. Ive looked into them since then and am really on the fence. There doesn't seem to many drawbacks, Im interested to hear if anyone here has had experience using ACE inhibitors.
Numbers for reference from last labs in May.
Hba1c: 5.3
Microalbumin urine: &amp;lt;0.6
Creatine, Urine: 69.8
M/C Ratio: &amp;lt;9
GFR: 151
Total Cholesteral: 157
Trigs: 48
HDL: 52
LDL:95
[Today's Dexcom screen for fun too, currently restarting sensor](http://imgur.com/H3g9nqH)</t>
        </is>
      </c>
      <c r="D144" t="n">
        <v>8</v>
      </c>
      <c r="E144" t="n">
        <v>18</v>
      </c>
      <c r="F144">
        <f>HYPERLINK("https://www.reddit.com/r/diabetes/comments/2dctre/sell_me_on_ace_inhibitor_or_dont/")</f>
        <v/>
      </c>
      <c r="G144" t="inlineStr">
        <is>
          <t>2014-08-12 11:08:17</t>
        </is>
      </c>
      <c r="H144" t="inlineStr">
        <is>
          <t>Type 1</t>
        </is>
      </c>
    </row>
    <row r="145">
      <c r="A145" t="inlineStr">
        <is>
          <t>2de6ly</t>
        </is>
      </c>
      <c r="B145" t="inlineStr">
        <is>
          <t>Insulin Dependent T2- Trying to get right again. Tell me your successes? Give me your advice?</t>
        </is>
      </c>
      <c r="C145" t="inlineStr">
        <is>
          <t>Some background- I'm in my 20's and was diagnosed T2 in 2002. I was originally on metformin and had moderate success. I moved to insulin later and was on detemir and novolog for 2 years. I lost my insurance, got pancreatitus, and finally got back on metformin. Then I got knocked up, oops, and back on insulin I went. We've been tying oral combinations since my daughter and no luck. Yesterday my blood work came back horrifying. A1c is 9.2% Triglycerides are 1263 and I've gained ten pounds. 
Today I joined a gym, started Lantus and Novolog, and Fenofibrate and Lovaza. 
The meds should do their job I get that. I have a ton of questions about everything else. 
What major lifestyle changes helped you the most? Do you work out? How did weight loss play into your treatment? Do you follow a specific diet or carb count? How do you stay motivated? I've never been controlled without insulin. This is not super common as I understand with T2 and hope there is someone else in the wide world that also is and has had success getting their stuff together.</t>
        </is>
      </c>
      <c r="D145" t="n">
        <v>6</v>
      </c>
      <c r="E145" t="n">
        <v>21</v>
      </c>
      <c r="F145">
        <f>HYPERLINK("https://www.reddit.com/r/diabetes/comments/2de6ly/insulin_dependent_t2_trying_to_get_right_again/")</f>
        <v/>
      </c>
      <c r="G145" t="inlineStr">
        <is>
          <t>2014-08-12 18:27:39</t>
        </is>
      </c>
      <c r="H145" t="inlineStr">
        <is>
          <t>Type 2</t>
        </is>
      </c>
    </row>
    <row r="146">
      <c r="A146" t="inlineStr">
        <is>
          <t>2de95m</t>
        </is>
      </c>
      <c r="B146" t="inlineStr">
        <is>
          <t>Bolus:Basal ratio and weight loss.</t>
        </is>
      </c>
      <c r="C146" t="inlineStr">
        <is>
          <t>Hi guys,
I'm trying to lose some body fat at the moment, and I was wondering if anyone had some info about the different effects of Basal vs Bolus and weight gain.
I feel as though I've hit just about my lowest possible dose with my low-carb diet, but I can reduce my basal and increase bolus to cover high-protein meals, or I can increase my basal and take less bolus throughout the day. Both of these strategies give me good control.
Which would be optimal for fat loss, though?
Additional info: Male, 23, Type 1, Injections, on 22u of Lantus every morning and Novorapid with large meals. Rarely more than 6u of Novorapid per day total.
Thanks!!</t>
        </is>
      </c>
      <c r="D146" t="n">
        <v>2</v>
      </c>
      <c r="E146" t="n">
        <v>9</v>
      </c>
      <c r="F146">
        <f>HYPERLINK("https://www.reddit.com/r/diabetes/comments/2de95m/bolusbasal_ratio_and_weight_loss/")</f>
        <v/>
      </c>
      <c r="G146" t="inlineStr">
        <is>
          <t>2014-08-12 18:53:21</t>
        </is>
      </c>
      <c r="H146" t="inlineStr">
        <is>
          <t>Type 1</t>
        </is>
      </c>
    </row>
    <row r="147">
      <c r="A147" t="inlineStr">
        <is>
          <t>2dev2r</t>
        </is>
      </c>
      <c r="B147" t="inlineStr">
        <is>
          <t>I figure this is as good a place as any... (Type 1 Insulin Pump)</t>
        </is>
      </c>
      <c r="C147" t="inlineStr">
        <is>
          <t>I won't say much about it here since there's a huge story on the actual page but... In short: My Insulin Pump has broken, is not under warranty, and my insurance only covers supplies, not the cost of a new pump, which is $7000.00.
Visit link for at least a slightly humorous story... the rest is up to you. :)
http://www.gofundme.com/cyl7gw</t>
        </is>
      </c>
      <c r="D147" t="n">
        <v>2</v>
      </c>
      <c r="E147" t="n">
        <v>1</v>
      </c>
      <c r="F147">
        <f>HYPERLINK("https://www.reddit.com/r/diabetes/comments/2dev2r/i_figure_this_is_as_good_a_place_as_any_type_1/")</f>
        <v/>
      </c>
      <c r="G147" t="inlineStr">
        <is>
          <t>2014-08-12 22:47:48</t>
        </is>
      </c>
      <c r="H147" t="inlineStr">
        <is>
          <t>Type 1</t>
        </is>
      </c>
    </row>
    <row r="148">
      <c r="A148" t="inlineStr">
        <is>
          <t>2dfp86</t>
        </is>
      </c>
      <c r="B148" t="inlineStr">
        <is>
          <t>Newly diagnosed type 2 and have some (stupid) questions</t>
        </is>
      </c>
      <c r="C148" t="inlineStr">
        <is>
          <t>My insurance does not cover a nutritioinist, so Im left with many little questions. Questions that I feel are time consuming for my doctor- perfect for a nutritionist.... After a bout of hysterical frustration, my husband said, "there's a subreddit for everything!!" and suggested I try here.
I really have no idea how to eat well. I'm not a sweets person. I hate candy, though i love plain old chocolate. I can eat like 2 mini cupcakes, but end up tossing out half an actual cupcake. I never thought I was a bad eater, but I definitely think I'm an over-eater. One of the first signs of me being sick was that I just couldn't eat. Apparently my liver and spleen are very swollen and its crowding my  tummy forcing me to eat less (still plenty) 
So far Ive switched to brown rice, wheat breads, avoiding fast foods, but there are times like when I'm at work and forgot my lunch that I still eat out. Ive been sticking to Chipotle (very close to my work) is that good? Whats better to eat there or not, like should I just say no to sour cream? A couple of times Ive ventured over to chick fil a and getting the wrap with spicy sauce- would a different sauce be healthier? Is ground turkey really better than ground beef? What if they have the same fat percentage? I switched to whole grain spaghetti- should I just avoid spaghetti in general or is the whole grain one okay? I treat french fires like death. I just don't touch them anymore. Can anyone give me other options for when I'm out and about? My doc kinda scared me off Subway bc of the bread. I haven't had a soda in months and its fine, I don't like the diet colas but I like water just fine.
At home I've made switches like plain sweet potatoes compared to mashed potatoes, I pack my lunch everyday and bring fruit to snack on, but now (well meaning) people are correcting me in public about how a peach is just as bad for diabetics as french fries.  Well then which fruits are okay? I've got a bunch of teenagers at work and they love me and mean well, but I'll fix a lunch of leftover steak and grilled veggies like zuch and squash and the kids will be like "Aren't you not supposed to eat red meat" Well the truth is I just don't know... Am I not. My boss is diabetic and says he's on the paleo diet- isn't that a lot of red meat?
Its been about 2 months- my sugars have gone from the high 400s to wavering around 100-140 depending on the day, this has been for the past two weeks. But I feel like I might stand a chance of getting below 100 and getting rid of the high trend warnings on my glucometer, but I just don't know the little bits to make my diet more effective.
Any tips would be great! Like if your at Mcdonalds get a wrap. If you think "obviously she would know this..." No I don't, please say it. Believe me I feel like I cant trust anything I put in my mouth... 
Thank you.</t>
        </is>
      </c>
      <c r="D148" t="n">
        <v>3</v>
      </c>
      <c r="E148" t="n">
        <v>16</v>
      </c>
      <c r="F148">
        <f>HYPERLINK("https://www.reddit.com/r/diabetes/comments/2dfp86/newly_diagnosed_type_2_and_have_some_stupid/")</f>
        <v/>
      </c>
      <c r="G148" t="inlineStr">
        <is>
          <t>2014-08-13 06:39:17</t>
        </is>
      </c>
      <c r="H148" t="inlineStr">
        <is>
          <t>Type 2</t>
        </is>
      </c>
    </row>
    <row r="149">
      <c r="A149" t="inlineStr">
        <is>
          <t>2dgak4</t>
        </is>
      </c>
      <c r="B149" t="inlineStr">
        <is>
          <t>MiniMed Pump users, is it possible to change the default BG when using the Bolus Wizard?</t>
        </is>
      </c>
      <c r="C149" t="inlineStr">
        <is>
          <t>Ya know what I mean, you go to bolus and enter your blood sugar, and by default it is set to 60. I'd prefer if it was set to 90 because I'm lazy and don't wanna scroll so much every time I bolus. Is this possible to change?</t>
        </is>
      </c>
      <c r="D149" t="n">
        <v>1</v>
      </c>
      <c r="E149" t="n">
        <v>11</v>
      </c>
      <c r="F149">
        <f>HYPERLINK("https://www.reddit.com/r/diabetes/comments/2dgak4/minimed_pump_users_is_it_possible_to_change_the/")</f>
        <v/>
      </c>
      <c r="G149" t="inlineStr">
        <is>
          <t>2014-08-13 09:58:06</t>
        </is>
      </c>
      <c r="H149" t="inlineStr">
        <is>
          <t>Type 1</t>
        </is>
      </c>
    </row>
    <row r="150">
      <c r="A150" t="inlineStr">
        <is>
          <t>2dhakp</t>
        </is>
      </c>
      <c r="B150" t="inlineStr">
        <is>
          <t>How did you accept diabetes? (Type 1)</t>
        </is>
      </c>
      <c r="C150" t="inlineStr">
        <is>
          <t xml:space="preserve">I've been a diabetic for 7 years and still haven't accepted that I am. I haven't gotten past it and was just wondering how others did if they have. 
Please and thank you. </t>
        </is>
      </c>
      <c r="D150" t="n">
        <v>2</v>
      </c>
      <c r="E150" t="n">
        <v>11</v>
      </c>
      <c r="F150">
        <f>HYPERLINK("https://www.reddit.com/r/diabetes/comments/2dhakp/how_did_you_accept_diabetes_type_1/")</f>
        <v/>
      </c>
      <c r="G150" t="inlineStr">
        <is>
          <t>2014-08-13 15:09:28</t>
        </is>
      </c>
      <c r="H150" t="inlineStr">
        <is>
          <t>Type 1</t>
        </is>
      </c>
    </row>
    <row r="151">
      <c r="A151" t="inlineStr">
        <is>
          <t>2dit19</t>
        </is>
      </c>
      <c r="B151" t="inlineStr">
        <is>
          <t>Tour de Cure</t>
        </is>
      </c>
      <c r="C151" t="inlineStr">
        <is>
          <t>I thought this would be a great place to put this. So I'm taking part in an 80km ride in Adelaide in January for Research towards a cure for Juvenile Diabetes. This will be my first ride that I have done for Diabetes, and will be a test for me.
Every dollar raised will help find a cure for the millions living with Type 1, including myself. 
I'm setting a target of $3,500, but hoping to smash that!!!
Help turn Type 1 into Type none
Here is the link to my page:
http://www.jdrf.org.au/DavidLindsey#sthash.PHhFvDXs</t>
        </is>
      </c>
      <c r="D151" t="n">
        <v>2</v>
      </c>
      <c r="E151" t="n">
        <v>0</v>
      </c>
      <c r="F151">
        <f>HYPERLINK("https://www.reddit.com/r/diabetes/comments/2dit19/tour_de_cure/")</f>
        <v/>
      </c>
      <c r="G151" t="inlineStr">
        <is>
          <t>2014-08-14 01:38:18</t>
        </is>
      </c>
      <c r="H151" t="inlineStr">
        <is>
          <t>Type 1</t>
        </is>
      </c>
    </row>
    <row r="152">
      <c r="A152" t="inlineStr">
        <is>
          <t>2dk4b1</t>
        </is>
      </c>
      <c r="B152" t="inlineStr">
        <is>
          <t>Need Opinions on Pros and Cons of CGM.</t>
        </is>
      </c>
      <c r="C152" t="inlineStr">
        <is>
          <t>Hey guys, I have had liveabetes since 2007. I currently use the medtronic minimed pump and I am curious to the pros and cons of the CGM. My biggest concern is I do not have a lot of body fat and live a pretty active lifestyle. If I could get some recommendations to put the sensor that isn't really in the way and would allow for me to continue to be active without the worries of pulling the sensor out that would be great! Thanks Guys!</t>
        </is>
      </c>
      <c r="D152" t="n">
        <v>3</v>
      </c>
      <c r="E152" t="n">
        <v>24</v>
      </c>
      <c r="F152">
        <f>HYPERLINK("https://www.reddit.com/r/diabetes/comments/2dk4b1/need_opinions_on_pros_and_cons_of_cgm/")</f>
        <v/>
      </c>
      <c r="G152" t="inlineStr">
        <is>
          <t>2014-08-14 10:46:28</t>
        </is>
      </c>
      <c r="H152" t="inlineStr">
        <is>
          <t>Type 1</t>
        </is>
      </c>
    </row>
    <row r="153">
      <c r="A153" t="inlineStr">
        <is>
          <t>2dmigk</t>
        </is>
      </c>
      <c r="B153" t="inlineStr">
        <is>
          <t>Sigh, I'm in bed, I can feel myself going hypo, but I'm too lazy to get up and treat it.</t>
        </is>
      </c>
      <c r="C153" t="inlineStr">
        <is>
          <t>Ever been there? I'm there right now.
I would bet anybody $10 I am +/-5 of 55 mg/dl.</t>
        </is>
      </c>
      <c r="D153" t="n">
        <v>27</v>
      </c>
      <c r="E153" t="n">
        <v>30</v>
      </c>
      <c r="F153">
        <f>HYPERLINK("https://www.reddit.com/r/diabetes/comments/2dmigk/sigh_im_in_bed_i_can_feel_myself_going_hypo_but/")</f>
        <v/>
      </c>
      <c r="G153" t="inlineStr">
        <is>
          <t>2014-08-15 04:14:45</t>
        </is>
      </c>
      <c r="H153" t="inlineStr">
        <is>
          <t>Type 1</t>
        </is>
      </c>
    </row>
    <row r="154">
      <c r="A154" t="inlineStr">
        <is>
          <t>2dnu28</t>
        </is>
      </c>
      <c r="B154" t="inlineStr">
        <is>
          <t>what is the healthiest way you have found to deal with a low? [type 1]</t>
        </is>
      </c>
      <c r="C154" t="inlineStr">
        <is>
          <t>i use to drink a can of soda. but now im trying to eat healthier so now i tried switching to powerade or gaterade. but is there something you do that could be healthier?</t>
        </is>
      </c>
      <c r="D154" t="n">
        <v>3</v>
      </c>
      <c r="E154" t="n">
        <v>13</v>
      </c>
      <c r="F154">
        <f>HYPERLINK("https://www.reddit.com/r/diabetes/comments/2dnu28/what_is_the_healthiest_way_you_have_found_to_deal/")</f>
        <v/>
      </c>
      <c r="G154" t="inlineStr">
        <is>
          <t>2014-08-15 12:38:29</t>
        </is>
      </c>
      <c r="H154" t="inlineStr">
        <is>
          <t>Type 1</t>
        </is>
      </c>
    </row>
    <row r="155">
      <c r="A155" t="inlineStr">
        <is>
          <t>2duwg3</t>
        </is>
      </c>
      <c r="B155" t="inlineStr">
        <is>
          <t>New T2 having first hypo episode..</t>
        </is>
      </c>
      <c r="C155" t="inlineStr">
        <is>
          <t>I just checked my sugar because I felt shakey and I'm at 58.  Ate a snickers and went down to 57. How long will it take to come back up? I'm stuck at work and have nothing else to take.  I'm on 2x500 Janumet and 90 units of lantus a day.</t>
        </is>
      </c>
      <c r="D155" t="n">
        <v>3</v>
      </c>
      <c r="E155" t="n">
        <v>4</v>
      </c>
      <c r="F155">
        <f>HYPERLINK("https://www.reddit.com/r/diabetes/comments/2duwg3/new_t2_having_first_hypo_episode/")</f>
        <v/>
      </c>
      <c r="G155" t="inlineStr">
        <is>
          <t>2014-08-17 21:23:39</t>
        </is>
      </c>
      <c r="H155" t="inlineStr">
        <is>
          <t>Type 2</t>
        </is>
      </c>
    </row>
    <row r="156">
      <c r="A156" t="inlineStr">
        <is>
          <t>2dvq1a</t>
        </is>
      </c>
      <c r="B156" t="inlineStr">
        <is>
          <t>Does anyone else have this going on?</t>
        </is>
      </c>
      <c r="C156" t="inlineStr">
        <is>
          <t>Every ~6-12 months my carb to insulin ratio does a back flip and lands in some new weird position.  I find this out by either bottoming out all of a sudden or waking up one morning to a friendly reading of 600+.  Here lately it's doing this new thing where it tries to bottom out on me when I'm a sleep, and when I'm awake it tries to sky rocket.  I've put myself on a 6 carb a day diet (15g = 1 carb) and I am still having to take very big shots to deal with the small meal portions.  If I stay up late, I just eat sandwiches every few hours to keep myself from bottoming out.  So just curious... anyone else feel like their body is out to kill them?</t>
        </is>
      </c>
      <c r="D156" t="n">
        <v>2</v>
      </c>
      <c r="E156" t="n">
        <v>24</v>
      </c>
      <c r="F156">
        <f>HYPERLINK("https://www.reddit.com/r/diabetes/comments/2dvq1a/does_anyone_else_have_this_going_on/")</f>
        <v/>
      </c>
      <c r="G156" t="inlineStr">
        <is>
          <t>2014-08-18 05:54:06</t>
        </is>
      </c>
      <c r="H156" t="inlineStr">
        <is>
          <t>Type 1</t>
        </is>
      </c>
    </row>
    <row r="157">
      <c r="A157" t="inlineStr">
        <is>
          <t>2dy0r2</t>
        </is>
      </c>
      <c r="B157" t="inlineStr">
        <is>
          <t>Being Brittle-a poem about being T1D</t>
        </is>
      </c>
      <c r="C157" t="inlineStr">
        <is>
          <t xml:space="preserve">I just hate you so much.   
I think of the times that I used to think of you as an honest and true love and thought quite possibly healthy.  
You do nothing but cause me pain and now you are a terrorist.  
You are a notorious thief because you steal money from the family and just blow it on yourself.  
You have physically hurt me so much that I am left with permanent scars.  
Each time you decide to act out on your own, you chop off years of my life.    
I don’t know what else to do. I talk to authorities about you and I am put to blame.    
I try to cook you meals that you love and you just throw it all in the trash, against the wall, or in my face.    
I have other friends that are struggling with something similar but we are so different that I often still feel so alone.    
You make me weak. You take my strength. The dependency you cause me to have on other people is humiliating.     
You try to take my walk and my sight. You stalk me even though you know you have me in your clutches.     
You make my life a living hell.    
 Even when I was pregnant, you decided to act out and kept me from enjoying the gifts that I so looked forward to all my life.  
I don’t know how to explain you to people because most people that aren’t in this similar struggle don’t get you. I am not your grandma’s relationship.  
I try to explain you to my kids but they don’t get how damaging and controlling you are. They think you only bring   forth sweetness and medicine to heal.   
I am so scared that you might one day decide to harm them. I don’t know what I would do if you did that.  
I lack sleep because of you. I can’t remember the last time I got a full night’s sleep because I worry of your attack that could leave me in a dying coma.  
When I try to be healthy, you just sneer at me and beat me until I am too weak to help myself.  
People who are sincere think they know you and talk about you often but they have no clue how much of a   stranger you are to them and how much you destroy my life.    
I stay in silence because if I can’t be an advocate for myself, I can’t be an advocate for others.   
I am at my wit’s end and I think about leaving you all the time but then I remember, I am stuck with you, because   you have made me so weak that I can’t even help myself.  
I am caged. I am trapped.  
</t>
        </is>
      </c>
      <c r="D157" t="n">
        <v>7</v>
      </c>
      <c r="E157" t="n">
        <v>2</v>
      </c>
      <c r="F157">
        <f>HYPERLINK("https://www.reddit.com/r/diabetes/comments/2dy0r2/being_brittlea_poem_about_being_t1d/")</f>
        <v/>
      </c>
      <c r="G157" t="inlineStr">
        <is>
          <t>2014-08-18 19:23:10</t>
        </is>
      </c>
      <c r="H157" t="inlineStr">
        <is>
          <t>Type 1</t>
        </is>
      </c>
    </row>
    <row r="158">
      <c r="A158" t="inlineStr">
        <is>
          <t>2dzgmu</t>
        </is>
      </c>
      <c r="B158" t="inlineStr">
        <is>
          <t>My Daughter's First Diaversary</t>
        </is>
      </c>
      <c r="C158" t="inlineStr">
        <is>
          <t>My 4 year old's first diaversary is today, and I am so torn up over it.  I keep thinking back to how one year ago today, we'd never poked her little fingers, ever.  And now they're calloused and tough.  She's adjusted better than I have.  We bought an ice cream cake to give diabetes the big F you tonight, but really I just want to crawl into bed and cry.</t>
        </is>
      </c>
      <c r="D158" t="n">
        <v>1</v>
      </c>
      <c r="E158" t="n">
        <v>4</v>
      </c>
      <c r="F158">
        <f>HYPERLINK("https://www.reddit.com/r/diabetes/comments/2dzgmu/my_daughters_first_diaversary/")</f>
        <v/>
      </c>
      <c r="G158" t="inlineStr">
        <is>
          <t>2014-08-19 07:24:57</t>
        </is>
      </c>
      <c r="H158" t="inlineStr">
        <is>
          <t>Type 1</t>
        </is>
      </c>
    </row>
    <row r="159">
      <c r="A159" t="inlineStr">
        <is>
          <t>2e16u6</t>
        </is>
      </c>
      <c r="B159" t="inlineStr">
        <is>
          <t>On right track w/T2, so relieved</t>
        </is>
      </c>
      <c r="C159" t="inlineStr">
        <is>
          <t xml:space="preserve">First post-T2 diagnosis doc visit yesterday and I just got the good news, none else to share who'd understand how thrilled I am.
After 3 months of more exercise, fewer carbs and no Coca Cola:
A1c from 13.4 to 6.7
Cholest. "returned to normal levels" of 126 - and good Chol. up by 20.
My new motto: Make Better Choices. </t>
        </is>
      </c>
      <c r="D159" t="n">
        <v>16</v>
      </c>
      <c r="E159" t="n">
        <v>6</v>
      </c>
      <c r="F159">
        <f>HYPERLINK("https://www.reddit.com/r/diabetes/comments/2e16u6/on_right_track_wt2_so_relieved/")</f>
        <v/>
      </c>
      <c r="G159" t="inlineStr">
        <is>
          <t>2014-08-19 16:44:10</t>
        </is>
      </c>
      <c r="H159" t="inlineStr">
        <is>
          <t>Type 2</t>
        </is>
      </c>
    </row>
    <row r="160">
      <c r="A160" t="inlineStr">
        <is>
          <t>2e20ez</t>
        </is>
      </c>
      <c r="B160" t="inlineStr">
        <is>
          <t>Brown rice is awesome</t>
        </is>
      </c>
      <c r="C160" t="inlineStr">
        <is>
          <t>I am so thrilled and excited to tell all the rice eaters out there that Brown rice has reduced my blood sugar levels to 6.5 or sometimes 6.9
If your staple food is rice, try using Brown Basmati Rice...it's really helping me a lot.</t>
        </is>
      </c>
      <c r="D160" t="n">
        <v>1</v>
      </c>
      <c r="E160" t="n">
        <v>9</v>
      </c>
      <c r="F160">
        <f>HYPERLINK("https://www.reddit.com/r/diabetes/comments/2e20ez/brown_rice_is_awesome/")</f>
        <v/>
      </c>
      <c r="G160" t="inlineStr">
        <is>
          <t>2014-08-19 22:05:08</t>
        </is>
      </c>
      <c r="H160" t="inlineStr">
        <is>
          <t>Type 2</t>
        </is>
      </c>
    </row>
    <row r="161">
      <c r="A161" t="inlineStr">
        <is>
          <t>2e362j</t>
        </is>
      </c>
      <c r="B161" t="inlineStr">
        <is>
          <t>JDRF: Encapsulation</t>
        </is>
      </c>
      <c r="C161" t="inlineStr">
        <is>
          <t>https://www.youtube.com/watch?v=mAjFVtymkmc#t=26
I am typing this post while having a low (I will treat it immediately but it just hit me!) so this beta cell trial is even more of a thing I hope moves forward and helps create type none. :snicker:</t>
        </is>
      </c>
      <c r="D161" t="n">
        <v>12</v>
      </c>
      <c r="E161" t="n">
        <v>9</v>
      </c>
      <c r="F161">
        <f>HYPERLINK("https://www.reddit.com/r/diabetes/comments/2e362j/jdrf_encapsulation/")</f>
        <v/>
      </c>
      <c r="G161" t="inlineStr">
        <is>
          <t>2014-08-20 08:20:32</t>
        </is>
      </c>
      <c r="H161" t="inlineStr">
        <is>
          <t>Type 1</t>
        </is>
      </c>
    </row>
    <row r="162">
      <c r="A162" t="inlineStr">
        <is>
          <t>2e4i93</t>
        </is>
      </c>
      <c r="B162" t="inlineStr">
        <is>
          <t>New A1c "record"!! - T1</t>
        </is>
      </c>
      <c r="C162" t="inlineStr">
        <is>
          <t>After 15.5 years of Type 1 my A1c is 6.7!!!  Wooo!! ::Happy Dance::  I've been stuck between 7.0 and 7.5 for about the past 6-7 years!</t>
        </is>
      </c>
      <c r="D162" t="n">
        <v>33</v>
      </c>
      <c r="E162" t="n">
        <v>13</v>
      </c>
      <c r="F162">
        <f>HYPERLINK("https://www.reddit.com/r/diabetes/comments/2e4i93/new_a1c_record_t1/")</f>
        <v/>
      </c>
      <c r="G162" t="inlineStr">
        <is>
          <t>2014-08-20 15:28:24</t>
        </is>
      </c>
      <c r="H162" t="inlineStr">
        <is>
          <t>Type 1</t>
        </is>
      </c>
    </row>
    <row r="163">
      <c r="A163" t="inlineStr">
        <is>
          <t>2e6m9m</t>
        </is>
      </c>
      <c r="B163" t="inlineStr">
        <is>
          <t>(T2) Kicking the shit out of Diabetes (First ever 3 month results)</t>
        </is>
      </c>
      <c r="C163" t="inlineStr">
        <is>
          <t>Had my 3 monther (first one ever) last week. Went from 7.6% A1C (USA) to 5.4% with only diet/exercise. WIN
Also everything else is in normal ranges aside from Vit. D and cholesterol. I have to cut down on saturated fats (cheese) which sucks but doable. I thought my kidneys were going but apparently that is not the case at all as that came back as &amp;lt;1 (whatever the unit is for protein in urine).
So all in all, great news. Just got diagnosed with gout though so my diet is continually shrinking. It sucks cause I love red meat. Like...love.
Figured you guys/gals would understand the most so, yay for me and good luck to the rest of you!
Edit: Just to add to the awesome here. I went from 280lbs. to 230lbs within that 3 month span.</t>
        </is>
      </c>
      <c r="D163" t="n">
        <v>18</v>
      </c>
      <c r="E163" t="n">
        <v>10</v>
      </c>
      <c r="F163">
        <f>HYPERLINK("https://www.reddit.com/r/diabetes/comments/2e6m9m/t2_kicking_the_shit_out_of_diabetes_first_ever_3/")</f>
        <v/>
      </c>
      <c r="G163" t="inlineStr">
        <is>
          <t>2014-08-21 07:44:03</t>
        </is>
      </c>
      <c r="H163" t="inlineStr">
        <is>
          <t>Type 2</t>
        </is>
      </c>
    </row>
    <row r="164">
      <c r="A164" t="inlineStr">
        <is>
          <t>2e6mpl</t>
        </is>
      </c>
      <c r="B164" t="inlineStr">
        <is>
          <t>Foot pain, could it be neuropathy?</t>
        </is>
      </c>
      <c r="C164" t="inlineStr">
        <is>
          <t>Hi there. I have a doctors appointment tomorrow and I am starting to worry about neuropathy. I am not sure though, as mostly I have heard of this pain being like pins and needles and what I am feeling is different. What does it actually feel like? I plan to bring it up tomorrow but I want to describe it correctly to my doctor so this is a trial run. The pain is in my right foot on the bottom outer side, in the squishy part... It feels sort of like a charlie horse, but not as intense. It does come and go. I rock climb, and the shoes are tight (I know... tight shoes are bad, but I promise I wear them looser than the average climber) and a bit curved so you can step on the holds correctly. I am hoping it is just soreness from the funky shoes, but I have had the same style of shoes for almost a year, and this is just starting up. 
TL:DR What does neuropathy feel like to those that actually have experienced it? Is the old pins and needles description accurate? Could it be described as a charlie horse or am I just being paranoid?</t>
        </is>
      </c>
      <c r="D164" t="n">
        <v>3</v>
      </c>
      <c r="E164" t="n">
        <v>9</v>
      </c>
      <c r="F164">
        <f>HYPERLINK("https://www.reddit.com/r/diabetes/comments/2e6mpl/foot_pain_could_it_be_neuropathy/")</f>
        <v/>
      </c>
      <c r="G164" t="inlineStr">
        <is>
          <t>2014-08-21 07:48:23</t>
        </is>
      </c>
      <c r="H164" t="inlineStr">
        <is>
          <t>Type 1</t>
        </is>
      </c>
    </row>
    <row r="165">
      <c r="A165" t="inlineStr">
        <is>
          <t>2e6mw0</t>
        </is>
      </c>
      <c r="B165" t="inlineStr">
        <is>
          <t>DAE get random red spots?</t>
        </is>
      </c>
      <c r="C165" t="inlineStr">
        <is>
          <t>I've been Type 1 for about three 1/2 years. I can't recall when it started, but certainly over the past year or so I've been getting painless, flat red bumps / spots / circles. They're sparse enough in terms of body coverage that I wouldn't really call it a "rash", but when I get them they generally all come together (that is, I never just have ONE over my whole body). They're totally flat - nothing is inside them. Individual ones go away after maybe 10 days, but they crop up again in different areas. They don't itch or have any sensation. I currently have one behind my ear, two on my neck, &amp;amp; one on my shoulder. Other places I've seen them have been my ankles, elbows, forearms.
I know, I know, "go to a doctor." I'm living in China and never get good care here (language barrier, rushed in and out, and so on). I just want to know if other people have had this ~ thanks!</t>
        </is>
      </c>
      <c r="D165" t="n">
        <v>1</v>
      </c>
      <c r="E165" t="n">
        <v>3</v>
      </c>
      <c r="F165">
        <f>HYPERLINK("https://www.reddit.com/r/diabetes/comments/2e6mw0/dae_get_random_red_spots/")</f>
        <v/>
      </c>
      <c r="G165" t="inlineStr">
        <is>
          <t>2014-08-21 07:50:03</t>
        </is>
      </c>
      <c r="H165" t="inlineStr">
        <is>
          <t>Type 1</t>
        </is>
      </c>
    </row>
    <row r="166">
      <c r="A166" t="inlineStr">
        <is>
          <t>2e8qxo</t>
        </is>
      </c>
      <c r="B166" t="inlineStr">
        <is>
          <t>Fellow diabetics, as a type 1 diabetic heading into college how do you manage drinking and your blood sugars?</t>
        </is>
      </c>
      <c r="C166" t="inlineStr">
        <is>
          <t>please help</t>
        </is>
      </c>
      <c r="D166" t="n">
        <v>3</v>
      </c>
      <c r="E166" t="n">
        <v>16</v>
      </c>
      <c r="F166">
        <f>HYPERLINK("https://www.reddit.com/r/diabetes/comments/2e8qxo/fellow_diabetics_as_a_type_1_diabetic_heading/")</f>
        <v/>
      </c>
      <c r="G166" t="inlineStr">
        <is>
          <t>2014-08-21 19:51:25</t>
        </is>
      </c>
      <c r="H166" t="inlineStr">
        <is>
          <t>Type 1</t>
        </is>
      </c>
    </row>
    <row r="167">
      <c r="A167" t="inlineStr">
        <is>
          <t>2ead11</t>
        </is>
      </c>
      <c r="B167" t="inlineStr">
        <is>
          <t>After 4 years, I am insulin free!</t>
        </is>
      </c>
      <c r="C167" t="inlineStr">
        <is>
          <t xml:space="preserve">In 2010, I started a twice daily insulin regimen to get my blood sugar under control. I flirted with exercise but couldn't keep it in my schedule. On April 29th, my A1C was 9.6. 
Today, after losing 40 lbs since 4/29, my A1C was 6.1 and I am officially off of insulin and only on a oral medication (but hopefully not for much longer). My endo was shocked. He said he would never in a million years have believed that I could have gotten results so quickly but he was proud and wished all of his patients would get the kick in the rear that I did (long story, but I'm having multiple surgeries this year not related to diabetes but that I have to lose weight prior to). 
I can not express how happy I am. I cried when he handed me the paper with my A1C result on it and he said "Go home, put this on your refrigerator, you've earned it!" </t>
        </is>
      </c>
      <c r="D167" t="n">
        <v>43</v>
      </c>
      <c r="E167" t="n">
        <v>15</v>
      </c>
      <c r="F167">
        <f>HYPERLINK("https://www.reddit.com/r/diabetes/comments/2ead11/after_4_years_i_am_insulin_free/")</f>
        <v/>
      </c>
      <c r="G167" t="inlineStr">
        <is>
          <t>2014-08-22 09:05:59</t>
        </is>
      </c>
      <c r="H167" t="inlineStr">
        <is>
          <t>Type 2</t>
        </is>
      </c>
    </row>
    <row r="168">
      <c r="A168" t="inlineStr">
        <is>
          <t>2eadzy</t>
        </is>
      </c>
      <c r="B168" t="inlineStr">
        <is>
          <t>T1: Getting a Dexcom for my child on Medicaid</t>
        </is>
      </c>
      <c r="C168" t="inlineStr">
        <is>
          <t>I've been working for 5 months now on getting a Dexcom for my 4 year old.  She is on IL Medicaid ("KidCare").  The first battle was finding a Medical Supply Company who both carries Dexcom and bills Medicaid.  Found one.  They submitted a claim to Medicaid, and Medicaid keeps claiming that either they don't have the proper documents to send the denial letter or that they can't send it directly to me (her mom) and must instead send it to the medical supplier.  I can't appeal their decision until I get the rejection letter.  I feel like they're intentionally keeping the rejection letter from me so that I can't appeal.  I am relentless, but polite.  I am firm, but try to be kind.  I have finally contacted 2 state representatives and our governor asking for letters of support to get the Dexcom for my daughter.  Putting her on private insurance isn't an option.  Dexcom has no financial assistance programs, and I did find a grant company (Will's Way) that can help us with the start up costs of a Dexcom, but not the cost of sensors.  Does anyone have any other suggestions or advise on getting a Dexcom approved through Medicaid?  Any success stories or general tips?  Thanks!</t>
        </is>
      </c>
      <c r="D168" t="n">
        <v>5</v>
      </c>
      <c r="E168" t="n">
        <v>5</v>
      </c>
      <c r="F168">
        <f>HYPERLINK("https://www.reddit.com/r/diabetes/comments/2eadzy/t1_getting_a_dexcom_for_my_child_on_medicaid/")</f>
        <v/>
      </c>
      <c r="G168" t="inlineStr">
        <is>
          <t>2014-08-22 09:15:07</t>
        </is>
      </c>
      <c r="H168" t="inlineStr">
        <is>
          <t>Type 1</t>
        </is>
      </c>
    </row>
    <row r="169">
      <c r="A169" t="inlineStr">
        <is>
          <t>2eakd6</t>
        </is>
      </c>
      <c r="B169" t="inlineStr">
        <is>
          <t>High morning blood sugars</t>
        </is>
      </c>
      <c r="C169" t="inlineStr">
        <is>
          <t>Does anyone else have much higher blood glucose readings in the morning than in the afternoon/evenings?  What do you do to control that?
Here are my readings from the past week or so.  Morning readings are fasting since supper the night before.  Evening readings are before supper.
8/17:  180 am / 147 pm
8/18:  204 am / 153 pm
8/19:  168 am / 130 pm
8/20:  163 am / 131 pm
8/21:  162 am / 127 pm
8/22:  206 am
My last A1C was 7.4 and my doctor is giving me three months to bring it down before he puts me on insulin so I'm trying to work hard on my diet (no cheating) and losing weight.</t>
        </is>
      </c>
      <c r="D169" t="n">
        <v>2</v>
      </c>
      <c r="E169" t="n">
        <v>5</v>
      </c>
      <c r="F169">
        <f>HYPERLINK("https://www.reddit.com/r/diabetes/comments/2eakd6/high_morning_blood_sugars/")</f>
        <v/>
      </c>
      <c r="G169" t="inlineStr">
        <is>
          <t>2014-08-22 10:13:44</t>
        </is>
      </c>
      <c r="H169" t="inlineStr">
        <is>
          <t>Type 2</t>
        </is>
      </c>
    </row>
    <row r="170">
      <c r="A170" t="inlineStr">
        <is>
          <t>2eapep</t>
        </is>
      </c>
      <c r="B170" t="inlineStr">
        <is>
          <t>Wanting some insight into the Diabetes Protocol by Dr.Kenneth Pullman</t>
        </is>
      </c>
      <c r="C170" t="inlineStr">
        <is>
          <t>I am a newly diagnosed Type II diabetic. I am currently on 4 different oral medications but do not take insulin shots. I recently came across the diabetesprotocol.com website that makes claims that diabetes can be reversed naturally and no medications will be needed. When I started looking for reviews of the system I found websites like http://ncsafeharbor.org/diabetes-protocol-review-is-it-scam-or-worth-real-diabetes-protocol-reviews/ that came across as a exactly that...a scam. For example, I went to just http://ncsafeharbor.org/ and it was links to a number of "is it a scam" links that proclaim no, and here is how to order.
The book for it is $40, but I don't want to be suckered in to some hoax, and while my brain says, "this is bogus", the newly diagnosed part of my mind is desperately wanting to find some answer that is contrary to what the doctors are telling me.
So, has anyone here read the program by Dr. Pullman?  Has anyone tried it? If so what were your experiences?</t>
        </is>
      </c>
      <c r="D170" t="n">
        <v>2</v>
      </c>
      <c r="E170" t="n">
        <v>3</v>
      </c>
      <c r="F170">
        <f>HYPERLINK("https://www.reddit.com/r/diabetes/comments/2eapep/wanting_some_insight_into_the_diabetes_protocol/")</f>
        <v/>
      </c>
      <c r="G170" t="inlineStr">
        <is>
          <t>2014-08-22 10:59:41</t>
        </is>
      </c>
      <c r="H170" t="inlineStr">
        <is>
          <t>Type 2</t>
        </is>
      </c>
    </row>
    <row r="171">
      <c r="A171" t="inlineStr">
        <is>
          <t>2egvq4</t>
        </is>
      </c>
      <c r="B171" t="inlineStr">
        <is>
          <t>Oh well, CRAP.</t>
        </is>
      </c>
      <c r="C171" t="inlineStr">
        <is>
          <t>So, I woke up this morning and checked my BG. It was 24.5 (~440). REALLY crappy, I know, I deserved it (I ate a big piece of chocolate cake before going to bed, bad diabetic, I know). I've never been THAT high on my pump, so I took the 20 units of insulin needed to correct it (according to my pump settings). About an hour later, I feel my BG dropping fast. I just checked and I'm at 11.8 (~210) but according to my pump, I still have 13 units of insulin in my body that has yet to work. Should I be freaking out? Or should I just wait and see how low I get?</t>
        </is>
      </c>
      <c r="D171" t="n">
        <v>1</v>
      </c>
      <c r="E171" t="n">
        <v>6</v>
      </c>
      <c r="F171">
        <f>HYPERLINK("https://www.reddit.com/r/diabetes/comments/2egvq4/oh_well_crap/")</f>
        <v/>
      </c>
      <c r="G171" t="inlineStr">
        <is>
          <t>2014-08-24 13:10:44</t>
        </is>
      </c>
      <c r="H171" t="inlineStr">
        <is>
          <t>Type 1</t>
        </is>
      </c>
    </row>
    <row r="172">
      <c r="A172" t="inlineStr">
        <is>
          <t>2eh82w</t>
        </is>
      </c>
      <c r="B172" t="inlineStr">
        <is>
          <t>Type 1, fuck carbs</t>
        </is>
      </c>
      <c r="C172" t="inlineStr">
        <is>
          <t>So I am a type 1 diabetic and was diagnosed a few months ago, though I knew earlier.
I am sick of taking insulin with my meals, and if I understand it is primarily to deal with carbs, so what if I were to eat a low- or no-carb diet?
Could I quit taking the insulin?
Would it be expensive, safe, healthy?</t>
        </is>
      </c>
      <c r="D172" t="n">
        <v>4</v>
      </c>
      <c r="E172" t="n">
        <v>86</v>
      </c>
      <c r="F172">
        <f>HYPERLINK("https://www.reddit.com/r/diabetes/comments/2eh82w/type_1_fuck_carbs/")</f>
        <v/>
      </c>
      <c r="G172" t="inlineStr">
        <is>
          <t>2014-08-24 15:23:05</t>
        </is>
      </c>
      <c r="H172" t="inlineStr">
        <is>
          <t>Type 1</t>
        </is>
      </c>
    </row>
    <row r="173">
      <c r="A173" t="inlineStr">
        <is>
          <t>2ehm37</t>
        </is>
      </c>
      <c r="B173" t="inlineStr">
        <is>
          <t>Type 1 (24/F), bad anxiety about my insulin</t>
        </is>
      </c>
      <c r="C173" t="inlineStr">
        <is>
          <t xml:space="preserve">I've been a type 1 diabetic for 9 years. I check my blood sugar 6-9 times a day (more if I have any episodes). I feel like I have a mini panic attack every time I take my insulin. I'm terrified of accidently taking my Lantus twice, so I go through so many things for my once a day shot I think its becoming obsessive-compulsive (check off shot reminder app, mark syringe used with sharpie, read out loud "Lantus," say out loud "31 1/2 units," return to a different spot in the fridge, ect). Even through all this extensiveness some times I still doubt myself or worry that I took it already absent-mindedly (as if). When I take my humalog, unless I say the amount I'm taking out loud a few times or make a serious mental note of it (which is easy to forget to do when you're pulling in 3-5 shots a day) I FREAK OUT that maybe I took a Lantus sized dose or just way too much accidently. This is getting annoying, I'm thinking I need antideppresants or something. Anyone else deal with anything like this? Any advice? 
TL;DR: Every time I take my insulin I'm terrified that I'm going to make a huge life-threatening mistake. </t>
        </is>
      </c>
      <c r="D173" t="n">
        <v>2</v>
      </c>
      <c r="E173" t="n">
        <v>21</v>
      </c>
      <c r="F173">
        <f>HYPERLINK("https://www.reddit.com/r/diabetes/comments/2ehm37/type_1_24f_bad_anxiety_about_my_insulin/")</f>
        <v/>
      </c>
      <c r="G173" t="inlineStr">
        <is>
          <t>2014-08-24 17:58:11</t>
        </is>
      </c>
      <c r="H173" t="inlineStr">
        <is>
          <t>Type 1</t>
        </is>
      </c>
    </row>
    <row r="174">
      <c r="A174" t="inlineStr">
        <is>
          <t>2ei3qe</t>
        </is>
      </c>
      <c r="B174" t="inlineStr">
        <is>
          <t>Type 1 diabetic and Software Engineer. I thought I had a brilliant idea for an app more than 17 months ago. It's now ready for a preview.</t>
        </is>
      </c>
      <c r="C174" t="inlineStr">
        <is>
          <t>I have type 1 diabetes and I had a brilliant idea for an application to help diabetics do better. Well, at least that's what I thought at the timeThis was in March 2013 and we're now in August 2014. I've been working on this project pretty every evening since then and I'm not sure anymore if my idea is any good. 
In a few words (buzz word alert), it's applying behavioral science to diabetes management to help motivate exploration/ownership and, eventually, better control. Most of my ideas haven't been implemented yet but it's in a state where one of the core feature is done. 
If you're a T1D (it could be for type 2 as well but I'm focusing on T1s for now), have a Dexcom G4 and run a Mac (I have alternatives to get the data uploaded from a Linux/Windows box but it requires some technical skills), you could try the preview. 
For more info, you can read my awkward announcement blog post here: [http://blog.mygluk.it/posts/introduction/](http://blog.mygluk.it/posts/introduction/)
and follow the "Getting started" steps here: [http://www.mygluk.it/](http://www.mygluk.it/).
I hope that if you fit the profile, you'll be curious and give it a try. If you do, please send me a comment, here or by email (contact links are available from the app). 
*Update: this is a side-project so I'm probably going to be only responsive during evenings (pacific time)/weekends most of the time. Thanks for understanding.*
*Update 2: It looks like a few people tried but no one could successfully get their dexcom data uploaded using Glukloader. That's what I get for testing with only one receiver/on Mac. My poor excuse is that it's not easy to find people that have this and are willing to test. I'm working with a few individuals to fix some issues and, hopefully, increase the success rate. Sorry again!* 
*Update 3: If you've had issues with Glukloader becoming unresponsive, it might be because of a critical bug due to it not handling a case of no user events (which are: injections, carbs, exercise). I have user events because I track my carbs/insulin with my Dexcom so I didn't catch it from my testing. I'll look at it to find the fix later this evening. The current workaround would be to log your last injection/meal on your receiver and try again.*
*Update 4: Thanks to Chicken_beard, I fixed the critical bug that was causing Glukloader to because unresponsive and blocking the data sync from going through. Additionally, there seems to be a bug in some cases related to timezones. If the times don't line up, that's probably it. I'm looking into it now. More details in the [Glukloader 1.0-rc11 blog post](http://blog.mygluk.it/posts/glukloader-1.0-rc11/).*
*Update 5: Screwed up the link to the latest version. It's actually https://www.dropbox.com/s/b10xp67bgv635jc/glukloader%201.0-rc11.dmg?dl=1. I'll fix the landing page/blog when I get home this evening (August 26th, PST).*
*Update 6: Link fixed on the blog/glukit landing page.*
*Update 7: I have a time parsing/interpretation bug. I think my understanding of the dexcom data was flawed and now that I'm seeing what's on other devices, I have to revisit. Not sure how long it's going to take me to figure it out but I'll post an update when I do and there's going to be a new version of Glukloader to fix it.*
*Update 8: It turns out Glukloader 1.0-rc11 wasn't built with my fix like I thought it was. I have a good build now with the fix as Glukloader 1.0-rc12. The link was updated on Glukit/blog but here's the direct link for convenience:  https://www.dropbox.com/s/dynukh1ofmvsst5/glukloader%201.0-rc12.dmg?dl=1. Oh and I'm still working on the time parsing bug and looking at logs from people who've been having issues. Thanks for the anonymous donation too! Much appreciated.*
**Final update: Time resolution bugs fixed. A big thank you to chickenbeard for testing each one of my numerous builds. I also added Growl notifications for better user feedback during syncs (thanks edwhittle for the suggestion). The feedback from this first previous was pretty awesome. I'm working on bug fixes/implementing some of my wishes as well as some of your suggestions. I'll post again in /r/diabetes when I've made significant improvements but feel free to keep the conversations going and, importantly, use it. Here's the link detailing the changes in the more recent build of Glukloader: http://blog.mygluk.it/posts/glukloader-1.0-rc20/. You should download it as soon as possible.**</t>
        </is>
      </c>
      <c r="D174" t="n">
        <v>23</v>
      </c>
      <c r="E174" t="n">
        <v>61</v>
      </c>
      <c r="F174">
        <f>HYPERLINK("https://www.reddit.com/r/diabetes/comments/2ei3qe/type_1_diabetic_and_software_engineer_i_thought_i/")</f>
        <v/>
      </c>
      <c r="G174" t="inlineStr">
        <is>
          <t>2014-08-24 21:20:39</t>
        </is>
      </c>
      <c r="H174" t="inlineStr">
        <is>
          <t>Type 1</t>
        </is>
      </c>
    </row>
    <row r="175">
      <c r="A175" t="inlineStr">
        <is>
          <t>2ejp7s</t>
        </is>
      </c>
      <c r="B175" t="inlineStr">
        <is>
          <t>G4 - Replace Sensor Soon Message</t>
        </is>
      </c>
      <c r="C175" t="inlineStr">
        <is>
          <t>I am coming up on 7 days with my first sensor, but it's working perfectly (been within 5% of my blood reading almost at all times) and I don't want to have to change it. Is there anything I need to do before I hit the 7 day mark to make sure I can keep using it longer?</t>
        </is>
      </c>
      <c r="D175" t="n">
        <v>4</v>
      </c>
      <c r="E175" t="n">
        <v>5</v>
      </c>
      <c r="F175">
        <f>HYPERLINK("https://www.reddit.com/r/diabetes/comments/2ejp7s/g4_replace_sensor_soon_message/")</f>
        <v/>
      </c>
      <c r="G175" t="inlineStr">
        <is>
          <t>2014-08-25 10:33:49</t>
        </is>
      </c>
      <c r="H175" t="inlineStr">
        <is>
          <t>Type 1</t>
        </is>
      </c>
    </row>
    <row r="176">
      <c r="A176" t="inlineStr">
        <is>
          <t>2ek3to</t>
        </is>
      </c>
      <c r="B176" t="inlineStr">
        <is>
          <t>Huge success!!</t>
        </is>
      </c>
      <c r="C176" t="inlineStr">
        <is>
          <t>This time last year, my fiance's A1C was a little above 10 and he was using insulin pens. In January of this year, he got a t:slim pump and it has been AMAZING. We got his results today from his appointment last week, and his A1C is at 5.7!!! We're so excited/relieved.</t>
        </is>
      </c>
      <c r="D176" t="n">
        <v>19</v>
      </c>
      <c r="E176" t="n">
        <v>8</v>
      </c>
      <c r="F176">
        <f>HYPERLINK("https://www.reddit.com/r/diabetes/comments/2ek3to/huge_success/")</f>
        <v/>
      </c>
      <c r="G176" t="inlineStr">
        <is>
          <t>2014-08-25 12:44:23</t>
        </is>
      </c>
      <c r="H176" t="inlineStr">
        <is>
          <t>Type 1</t>
        </is>
      </c>
    </row>
    <row r="177">
      <c r="A177" t="inlineStr">
        <is>
          <t>2ek4e8</t>
        </is>
      </c>
      <c r="B177" t="inlineStr">
        <is>
          <t>A1C 4.9! Whoo!</t>
        </is>
      </c>
      <c r="C177" t="inlineStr">
        <is>
          <t xml:space="preserve">My lowest one ever, and my first under 5.1! Ye olde diet and exercise route is working great! I ramped my exercise up to 4x/week and I think that's what got me over the 5 hump.
My fasting is a little high, but it's always been that way, I think I've got some Dawn Phenomenon going on. 
Of course, then I get back to the office and get an email saying there's going to be birthday cake ;) </t>
        </is>
      </c>
      <c r="D177" t="n">
        <v>32</v>
      </c>
      <c r="E177" t="n">
        <v>21</v>
      </c>
      <c r="F177">
        <f>HYPERLINK("https://www.reddit.com/r/diabetes/comments/2ek4e8/a1c_49_whoo/")</f>
        <v/>
      </c>
      <c r="G177" t="inlineStr">
        <is>
          <t>2014-08-25 12:49:33</t>
        </is>
      </c>
      <c r="H177" t="inlineStr">
        <is>
          <t>Type 2</t>
        </is>
      </c>
    </row>
    <row r="178">
      <c r="A178" t="inlineStr">
        <is>
          <t>2el4sf</t>
        </is>
      </c>
      <c r="B178" t="inlineStr">
        <is>
          <t>Type 1 - shin spots? Hoping for some guidance</t>
        </is>
      </c>
      <c r="C178" t="inlineStr">
        <is>
          <t>I'm type 1 since 2008, and over the past year I've developed some pretty awful looking red spots on my shins, ankles, calves. They don't hurt or itch, but they look like rug burn or, in one case, a bruise that doesn't go away. I fly a lot for my job and I'm worried - I've started wearing compression socks while I fly for circulation, but I'm hoping for some guidance. Is this something I should be terrified about, or just talk about at my next endo appointment? My a1c has been hanging around the mid 7% for a while (hard to eat well when you are on the road all the time :p).</t>
        </is>
      </c>
      <c r="D178" t="n">
        <v>6</v>
      </c>
      <c r="E178" t="n">
        <v>14</v>
      </c>
      <c r="F178">
        <f>HYPERLINK("https://www.reddit.com/r/diabetes/comments/2el4sf/type_1_shin_spots_hoping_for_some_guidance/")</f>
        <v/>
      </c>
      <c r="G178" t="inlineStr">
        <is>
          <t>2014-08-25 18:39:10</t>
        </is>
      </c>
      <c r="H178" t="inlineStr">
        <is>
          <t>Type 1</t>
        </is>
      </c>
    </row>
    <row r="179">
      <c r="A179" t="inlineStr">
        <is>
          <t>2enx82</t>
        </is>
      </c>
      <c r="B179" t="inlineStr">
        <is>
          <t>(problem) Stuff doesn't stick to me</t>
        </is>
      </c>
      <c r="C179" t="inlineStr">
        <is>
          <t xml:space="preserve">I have a problem, whenever i try to put my pump infusion set and sensor the sticky doesn't stay stuck to me, it just comes right off 50% of the time.... how does everyone keep their stuff attached? </t>
        </is>
      </c>
      <c r="D179" t="n">
        <v>2</v>
      </c>
      <c r="E179" t="n">
        <v>11</v>
      </c>
      <c r="F179">
        <f>HYPERLINK("https://www.reddit.com/r/diabetes/comments/2enx82/problem_stuff_doesnt_stick_to_me/")</f>
        <v/>
      </c>
      <c r="G179" t="inlineStr">
        <is>
          <t>2014-08-26 14:11:12</t>
        </is>
      </c>
      <c r="H179" t="inlineStr">
        <is>
          <t>Type 1</t>
        </is>
      </c>
    </row>
    <row r="180">
      <c r="A180" t="inlineStr">
        <is>
          <t>2erwfk</t>
        </is>
      </c>
      <c r="B180" t="inlineStr">
        <is>
          <t>Dexcom G4 Placement?</t>
        </is>
      </c>
      <c r="C180" t="inlineStr">
        <is>
          <t>I got my G4 last Monday and put my first sensor on the front of my abdomen, about 4 inches left of the belly button. Accuracy was flawless. I put the second sensor on this morning more toward my left flank/side and accuracy has been good (way better than my Enlite) but not nearly as good as it was last week. Anyone else find that certain parts of the abdomen/sides are way better than others?</t>
        </is>
      </c>
      <c r="D180" t="n">
        <v>1</v>
      </c>
      <c r="E180" t="n">
        <v>5</v>
      </c>
      <c r="F180">
        <f>HYPERLINK("https://www.reddit.com/r/diabetes/comments/2erwfk/dexcom_g4_placement/")</f>
        <v/>
      </c>
      <c r="G180" t="inlineStr">
        <is>
          <t>2014-08-27 16:51:33</t>
        </is>
      </c>
      <c r="H180" t="inlineStr">
        <is>
          <t>Type 1</t>
        </is>
      </c>
    </row>
    <row r="181">
      <c r="A181" t="inlineStr">
        <is>
          <t>2eshrk</t>
        </is>
      </c>
      <c r="B181" t="inlineStr">
        <is>
          <t>I never want to wake up in the morning.</t>
        </is>
      </c>
      <c r="C181" t="inlineStr">
        <is>
          <t>T1 for 15 years, diagnosed at 16 , decent control, but getting brittle as of late. For as long as I have had diabetes it has always been a struggle to get out of bed in the morning. I am just so tired. This is regardless of blood sugar and it doesnt matter how early or late I go to bed. Does anyone else deal with this? There are days where I just want to sleep all day and on the weekends when I sleep in, I feel like I have so much more energy. I would love to wake up for work and not be so exhausted.</t>
        </is>
      </c>
      <c r="D181" t="n">
        <v>11</v>
      </c>
      <c r="E181" t="n">
        <v>21</v>
      </c>
      <c r="F181">
        <f>HYPERLINK("https://www.reddit.com/r/diabetes/comments/2eshrk/i_never_want_to_wake_up_in_the_morning/")</f>
        <v/>
      </c>
      <c r="G181" t="inlineStr">
        <is>
          <t>2014-08-27 20:40:16</t>
        </is>
      </c>
      <c r="H181" t="inlineStr">
        <is>
          <t>Type 1</t>
        </is>
      </c>
    </row>
    <row r="182">
      <c r="A182" t="inlineStr">
        <is>
          <t>2esnei</t>
        </is>
      </c>
      <c r="B182" t="inlineStr">
        <is>
          <t>Brand New Type 2</t>
        </is>
      </c>
      <c r="C182" t="inlineStr">
        <is>
          <t>So today I found out I have Type 2 Diabetes. Sucks, but ok. I can deal with this. No panic, no pretend, let's do this! I've spent today doing a LOT of reading and I'm so very confused. A1C, good/bad carbs and sugar. Types of sugar/carbs. Glucose. Sugar levels. Meters. WTH, I have no idea what I'm reading and I could really, really use the Average-Jane version. Is there a user friendly source somewhere I can read or like a how-to guide? And shopping, good lord shopping. I spent 3 hours shopping/googleing what I **think** I can eat anymore. So very, very confused.</t>
        </is>
      </c>
      <c r="D182" t="n">
        <v>5</v>
      </c>
      <c r="E182" t="n">
        <v>9</v>
      </c>
      <c r="F182">
        <f>HYPERLINK("https://www.reddit.com/r/diabetes/comments/2esnei/brand_new_type_2/")</f>
        <v/>
      </c>
      <c r="G182" t="inlineStr">
        <is>
          <t>2014-08-27 21:47:23</t>
        </is>
      </c>
      <c r="H182" t="inlineStr">
        <is>
          <t>Type 2</t>
        </is>
      </c>
    </row>
    <row r="183">
      <c r="A183" t="inlineStr">
        <is>
          <t>2esy9w</t>
        </is>
      </c>
      <c r="B183" t="inlineStr">
        <is>
          <t>Boyfriend's mother with T1 had low sugar in her sleep and went unconscious. 3 days and hasn't woken up.</t>
        </is>
      </c>
      <c r="C183" t="inlineStr">
        <is>
          <t>My boyfriend's mom has Type 1 diabetes and her blood sugar slipped into a dangerously low range (I think 11?) while she was sleeping. Her husband found her unresponsive in the morning and she was rushed to the hospital. Her blood sugar has been stabilized, she's able to breathe on her own but has been intubated as a precaution, but she didn't wake up.
Day 1 and 2 were uneventful. An EEG and MRI showed "nonspecific" results, and it doesn't look like she's braindead.
Today, however, there was a change. When the nurse was changing the tape holding her tubes in place, she pulled back in response to the pain. Her eyes have also begun roving back and forth, though they don't respond to light stimuli. At one point when her husband was on the phone nearby, her eyes seemed to flutter open and closed.
The doctors don't really have anything to say yet, other than we have to wait... so I ask you this... Has anyone here had something similar happen to a loved one, or has had something similar happen to themselves? Should I be preparing for the worst, or is her sudden change in pain response a good sign?
Thanks.</t>
        </is>
      </c>
      <c r="D183" t="n">
        <v>59</v>
      </c>
      <c r="E183" t="n">
        <v>50</v>
      </c>
      <c r="F183">
        <f>HYPERLINK("https://www.reddit.com/r/diabetes/comments/2esy9w/boyfriends_mother_with_t1_had_low_sugar_in_her/")</f>
        <v/>
      </c>
      <c r="G183" t="inlineStr">
        <is>
          <t>2014-08-28 00:35:11</t>
        </is>
      </c>
      <c r="H183" t="inlineStr">
        <is>
          <t>Type 1</t>
        </is>
      </c>
    </row>
    <row r="184">
      <c r="A184" t="inlineStr">
        <is>
          <t>2euwqk</t>
        </is>
      </c>
      <c r="B184" t="inlineStr">
        <is>
          <t>The Diabetes Protocol?</t>
        </is>
      </c>
      <c r="C184" t="inlineStr">
        <is>
          <t>I just watched a long video on this that ended with an offer to buy a book.  I was just wondering if anybody here has tried it.  The reason I ask is because I've been burned by this sort of thing before with a book that claimed it could reverse diabetes but basically was just suggesting you become a vegetarian. I can't find any reviews on this that seem legit.  Has anyone checked this out?</t>
        </is>
      </c>
      <c r="D184" t="n">
        <v>1</v>
      </c>
      <c r="E184" t="n">
        <v>11</v>
      </c>
      <c r="F184">
        <f>HYPERLINK("https://www.reddit.com/r/diabetes/comments/2euwqk/the_diabetes_protocol/")</f>
        <v/>
      </c>
      <c r="G184" t="inlineStr">
        <is>
          <t>2014-08-28 14:04:08</t>
        </is>
      </c>
      <c r="H184" t="inlineStr">
        <is>
          <t>Type 2</t>
        </is>
      </c>
    </row>
    <row r="185">
      <c r="A185" t="inlineStr">
        <is>
          <t>2ev1dy</t>
        </is>
      </c>
      <c r="B185" t="inlineStr">
        <is>
          <t>Diabetes, exercise calories/carbs</t>
        </is>
      </c>
      <c r="C185" t="inlineStr">
        <is>
          <t>Hi, I am type 2 and am trying to keep it under control with diet. Doc said 45 carb meals three times a day, and three snacks at 15 carbs. 1200 calories in a day.
So if I do exercises, like 20 minutes three times on the elliptical I am burning at least 600 calories in that hour. Do I eat more carbs to make up for it? So confused.</t>
        </is>
      </c>
      <c r="D185" t="n">
        <v>1</v>
      </c>
      <c r="E185" t="n">
        <v>7</v>
      </c>
      <c r="F185">
        <f>HYPERLINK("https://www.reddit.com/r/diabetes/comments/2ev1dy/diabetes_exercise_caloriescarbs/")</f>
        <v/>
      </c>
      <c r="G185" t="inlineStr">
        <is>
          <t>2014-08-28 14:47:35</t>
        </is>
      </c>
      <c r="H185" t="inlineStr">
        <is>
          <t>Type 2</t>
        </is>
      </c>
    </row>
    <row r="186">
      <c r="A186" t="inlineStr">
        <is>
          <t>2evmle</t>
        </is>
      </c>
      <c r="B186" t="inlineStr">
        <is>
          <t>I need help paying for Doctor vists and Diabetic supplies. What are my options?</t>
        </is>
      </c>
      <c r="C186" t="inlineStr">
        <is>
          <t>I'm a T1 24 year old living in Mississippi.  I'm currently unemployed and I've moved back in with my parents.  My parents support me with meals and a place to stay but that's about all they can afford.  When i was employed I was able to see an Endocrinologist and found out I have a pituitary tumor and I would need to take medication in order to shrink the tumor.  Now that I'm unemployed I can't afford medication.  I haven't tested my blood sugar in months and I've been trying to only take my insulin once a day instead of 3 times a day, the amount my doctor put me on.  My parents live in a very small town, We have one store if that gives you an idea.  I dont own a vehicle so ive been unable to travel to find work elsewhere.  Ive made several calls trying to get help or suggestions on what to do but nothing has worked.  If anyone else has been in the same boat and has some suggestions please let me know.   Thank You.</t>
        </is>
      </c>
      <c r="D186" t="n">
        <v>0</v>
      </c>
      <c r="E186" t="n">
        <v>6</v>
      </c>
      <c r="F186">
        <f>HYPERLINK("https://www.reddit.com/r/diabetes/comments/2evmle/i_need_help_paying_for_doctor_vists_and_diabetic/")</f>
        <v/>
      </c>
      <c r="G186" t="inlineStr">
        <is>
          <t>2014-08-28 18:18:14</t>
        </is>
      </c>
      <c r="H186" t="inlineStr">
        <is>
          <t>Type 1</t>
        </is>
      </c>
    </row>
    <row r="187">
      <c r="A187" t="inlineStr">
        <is>
          <t>2evwp1</t>
        </is>
      </c>
      <c r="B187" t="inlineStr">
        <is>
          <t>Teen seeking advice - always have high bloodsugar</t>
        </is>
      </c>
      <c r="C187" t="inlineStr">
        <is>
          <t>Long story short, I'm 15 and up until the past 3 or so months had a decent a1C (usually low 7 - could be better but still decent). Also, I've had type 1 since I was 2 years old. 
However, now I honestly can't remember the last time I've been below 200. I check every meal, snack, etc., bolus when needed and use the pumps carb and blood sugar calculator.  I have upped basal, lowered I:C ratios, changed my insulin sensitivity, nothing is working. 
I've eaten very similar breakfasts for quite some time now, around 68-75 grams. At the end of last school year (May) I did usually 4.5-5 units and was fine at lunch. However, now whether I do 5 units or 10 I'm high 200's, low 300's. No matter how much I bolus I seem to always be in that range. 
The endo made some changes, but it's been a month and nothing has helped. I upped everything too, and that doesn't work either. I don't know what to do and it's very frustrating because I feel like no matter that I do, it won't mak a difference. 
Tips or suggestions? Thanks!
Also  sorry for formatting and spelling - on mobile.</t>
        </is>
      </c>
      <c r="D187" t="n">
        <v>0</v>
      </c>
      <c r="E187" t="n">
        <v>22</v>
      </c>
      <c r="F187">
        <f>HYPERLINK("https://www.reddit.com/r/diabetes/comments/2evwp1/teen_seeking_advice_always_have_high_bloodsugar/")</f>
        <v/>
      </c>
      <c r="G187" t="inlineStr">
        <is>
          <t>2014-08-28 20:05:52</t>
        </is>
      </c>
      <c r="H187" t="inlineStr">
        <is>
          <t>Type 1</t>
        </is>
      </c>
    </row>
    <row r="188">
      <c r="A188" t="inlineStr">
        <is>
          <t>2evyck</t>
        </is>
      </c>
      <c r="B188" t="inlineStr">
        <is>
          <t>Diagnosed with T2 last week.</t>
        </is>
      </c>
      <c r="C188" t="inlineStr">
        <is>
          <t>I was diagnosed with T2 last thursday. I am on metformin now.
I got my results the day after my visit. My glucose was at 182 after fasting. My A1C was at 10.3 and I don't have a clue what that means. Everything else in my metabolic panel was in the standard range. My Doctor said it hasn't damaged my organs yet. 
She gave me some paperwork on how to eat better, but she said she wasn't worried about me cutting carbs. She was far more concerned with my lack of exercise. I stated doing what she asked of me the next morning.
It's all very overwhelming. I have an appointment with the hospitals specialist in a couple weeks. I guess all I can do for now is what I've been instructed to do. 
I understand I need to be careful of carbs, sugars, starches, etc. I've seen a few people talk about fats. Can anyone clarify the trouble fatty (not sugary) foods can cause?
Edit: Thank you all so much. You have no idea how much your kindness means to me. &amp;lt;3</t>
        </is>
      </c>
      <c r="D188" t="n">
        <v>4</v>
      </c>
      <c r="E188" t="n">
        <v>10</v>
      </c>
      <c r="F188">
        <f>HYPERLINK("https://www.reddit.com/r/diabetes/comments/2evyck/diagnosed_with_t2_last_week/")</f>
        <v/>
      </c>
      <c r="G188" t="inlineStr">
        <is>
          <t>2014-08-28 20:24:22</t>
        </is>
      </c>
      <c r="H188" t="inlineStr">
        <is>
          <t>Type 2</t>
        </is>
      </c>
    </row>
    <row r="189">
      <c r="A189" t="inlineStr">
        <is>
          <t>2ezt5h</t>
        </is>
      </c>
      <c r="B189" t="inlineStr">
        <is>
          <t>What's a significant difference in the amount of sugar in grams per 100 ml</t>
        </is>
      </c>
      <c r="C189" t="inlineStr">
        <is>
          <t>Hi
I bought these tins of sliced peaches that says "~31% less sugar". I think this works out to about 2.9 grams less per 100 ml compared to their normal tinned peaches in juice. Is that a significant difference or would it not make a real difference to your blood sugar? If not, what sort of difference would it have to be?
Thanks</t>
        </is>
      </c>
      <c r="D189" t="n">
        <v>0</v>
      </c>
      <c r="E189" t="n">
        <v>36</v>
      </c>
      <c r="F189">
        <f>HYPERLINK("https://www.reddit.com/r/diabetes/comments/2ezt5h/whats_a_significant_difference_in_the_amount_of/")</f>
        <v/>
      </c>
      <c r="G189" t="inlineStr">
        <is>
          <t>2014-08-30 02:36:57</t>
        </is>
      </c>
      <c r="H189" t="inlineStr">
        <is>
          <t>Type 2</t>
        </is>
      </c>
    </row>
    <row r="190">
      <c r="A190" t="inlineStr">
        <is>
          <t>2f1dha</t>
        </is>
      </c>
      <c r="B190" t="inlineStr">
        <is>
          <t>Omnipod and Irritation from Cannula</t>
        </is>
      </c>
      <c r="C190" t="inlineStr">
        <is>
          <t>While I have a pod in, I can feel where the cannula goes in almost constantly. It's not painful, more itchy, but it's starting to drive me out of my mind. It's worse when there's pressure on the pod or when I move certain ways, but I can almost always feel it. It's worse in some spots than others, but I can't use the same couple small spots every time.
Do other people get this to the point that it really bothers them?
Are there other places I could put the pod that this would happen less?
(I've tried leg, stomach, butt, side, lower back, and torso or butt have been by far the worst)
Are there any skin care things that wold help?</t>
        </is>
      </c>
      <c r="D190" t="n">
        <v>2</v>
      </c>
      <c r="E190" t="n">
        <v>6</v>
      </c>
      <c r="F190">
        <f>HYPERLINK("https://www.reddit.com/r/diabetes/comments/2f1dha/omnipod_and_irritation_from_cannula/")</f>
        <v/>
      </c>
      <c r="G190" t="inlineStr">
        <is>
          <t>2014-08-30 15:08:19</t>
        </is>
      </c>
      <c r="H190" t="inlineStr">
        <is>
          <t>Type 1</t>
        </is>
      </c>
    </row>
    <row r="191">
      <c r="A191" t="inlineStr">
        <is>
          <t>2f1tlt</t>
        </is>
      </c>
      <c r="B191" t="inlineStr">
        <is>
          <t>Type 1 diabetes and Cannabis</t>
        </is>
      </c>
      <c r="C191" t="inlineStr">
        <is>
          <t>Does anyone in this subreddit have any experience with smoking marijuana as a diabetic? Im really curious as to how it affects your blood sugar or insulin resistance. Do you think it is a safe activity for a Type 1 diabetic?</t>
        </is>
      </c>
      <c r="D191" t="n">
        <v>10</v>
      </c>
      <c r="E191" t="n">
        <v>46</v>
      </c>
      <c r="F191">
        <f>HYPERLINK("https://www.reddit.com/r/diabetes/comments/2f1tlt/type_1_diabetes_and_cannabis/")</f>
        <v/>
      </c>
      <c r="G191" t="inlineStr">
        <is>
          <t>2014-08-30 18:27:02</t>
        </is>
      </c>
      <c r="H191" t="inlineStr">
        <is>
          <t>Type 1</t>
        </is>
      </c>
    </row>
    <row r="192">
      <c r="A192" t="inlineStr">
        <is>
          <t>2f73ph</t>
        </is>
      </c>
      <c r="B192" t="inlineStr">
        <is>
          <t>Treatment is doing less as time goes on - type 2</t>
        </is>
      </c>
      <c r="C192" t="inlineStr">
        <is>
          <t xml:space="preserve">Just want to make this as quick as I can:
I started treatment for my type 2 on 25u Levimir once a night and 500mg metformin XR twice a day. This was back in November. When my initial testing was done, my doctor said that my pancreas was making insulin, but not enough to keep up. For about 4-5 months after treatment I could still eat poor foods at times and I would be very surprised to see over 200 after 2 hours of eating. Also to note during this time I would drop to 80~ if I didn't eat dinner within say 6-7 hours after lunch. I never get any sort of lows anymore.
Fast forward to these last few months my sugars are an absolute wreck. I have been upped to 35 Levimir at night, and 1000mg metformin XR twice a day. This didn't help much. After speaking with the doc again he out me on humalog 5u with my biggest meal to see what it would do. This can help but doesn't help much. When I test nowadays after eating any amount of carbs I'm surprised if I'm less than 200. If I eat anything with carbs it just kills me now. Back at the beginning of treatment I could eat pizza and be fine at night. Now, I can eat the same thing, use 10u humalog and be 300+ at night easy, and low to mid 200 the next morning. Since noticing the highly increased numbers I've lost about 18lbs (260 to low 240) which has not had an affect.
The only way I can seem to be remotely low (low to mid 100s) is to have 0 carb at night, but still use 5u insulin.
In dumbfounded of why all of a sudden I can't eat carbs anymore. Does anyone have any experiences like this? I've got another apt scheduled for sep 11 but this is driving me nuts until then. Is it possible my pancreas has decided to stop helping along the way? 
</t>
        </is>
      </c>
      <c r="D192" t="n">
        <v>2</v>
      </c>
      <c r="E192" t="n">
        <v>33</v>
      </c>
      <c r="F192">
        <f>HYPERLINK("https://www.reddit.com/r/diabetes/comments/2f73ph/treatment_is_doing_less_as_time_goes_on_type_2/")</f>
        <v/>
      </c>
      <c r="G192" t="inlineStr">
        <is>
          <t>2014-09-01 13:38:28</t>
        </is>
      </c>
      <c r="H192" t="inlineStr">
        <is>
          <t>Type 2</t>
        </is>
      </c>
    </row>
    <row r="193">
      <c r="A193" t="inlineStr">
        <is>
          <t>2f7toy</t>
        </is>
      </c>
      <c r="B193" t="inlineStr">
        <is>
          <t>[T1] My pump just broke...need help!</t>
        </is>
      </c>
      <c r="C193" t="inlineStr">
        <is>
          <t>Hi all!
My pump just decided to totally give (MiniMed Paradigm 723), of course, at 8 pm on Labor Day. I called the company, and they said they'd send a new one, but because of the holiday, I won't get it until Wednesday morning. That means two nights and one day without a pump. I have long-acting insulin in my fridge, though honestly I'm not sure if it's expired or not. Assuming it isn't, what's a good ratio for long acting insulin vs. a basal rate? I can't reach any kind of doctor right now, so I'm just wondering if anyone else here has some experience. (I also, of course, have short-acting Novolog). Thanks.</t>
        </is>
      </c>
      <c r="D193" t="n">
        <v>3</v>
      </c>
      <c r="E193" t="n">
        <v>17</v>
      </c>
      <c r="F193">
        <f>HYPERLINK("https://www.reddit.com/r/diabetes/comments/2f7toy/t1_my_pump_just_brokeneed_help/")</f>
        <v/>
      </c>
      <c r="G193" t="inlineStr">
        <is>
          <t>2014-09-01 18:05:56</t>
        </is>
      </c>
      <c r="H193" t="inlineStr">
        <is>
          <t>Type 1</t>
        </is>
      </c>
    </row>
    <row r="194">
      <c r="A194" t="inlineStr">
        <is>
          <t>2f88o5</t>
        </is>
      </c>
      <c r="B194" t="inlineStr">
        <is>
          <t>How long until pill for T1?</t>
        </is>
      </c>
      <c r="C194" t="inlineStr">
        <is>
          <t>I'm sure some fo you follow this more closely than I do, but how long is it estimated to be before a pill is able to help type 1 diabetics?
I here that it rarely can now with a  specific type and a specific medication starting with "m"...anyone know?
But still, how long until no more injections?</t>
        </is>
      </c>
      <c r="D194" t="n">
        <v>2</v>
      </c>
      <c r="E194" t="n">
        <v>11</v>
      </c>
      <c r="F194">
        <f>HYPERLINK("https://www.reddit.com/r/diabetes/comments/2f88o5/how_long_until_pill_for_t1/")</f>
        <v/>
      </c>
      <c r="G194" t="inlineStr">
        <is>
          <t>2014-09-01 20:46:44</t>
        </is>
      </c>
      <c r="H194" t="inlineStr">
        <is>
          <t>Type 1</t>
        </is>
      </c>
    </row>
    <row r="195">
      <c r="A195" t="inlineStr">
        <is>
          <t>2f8cq3</t>
        </is>
      </c>
      <c r="B195" t="inlineStr">
        <is>
          <t>Yay! Lowered my A1C by 4.</t>
        </is>
      </c>
      <c r="C195" t="inlineStr">
        <is>
          <t>I'm a fourteen year old diabetic, have been since second grade (minus the age). Recently about three months ago I was persuaded into getting an insulin pump which I really didn't want to do due to hypoglycemic fears and fear of switching entirely. My mom pushed me into doing it and I have been wearing it since. About two years ago my A1C was pushing 13, I averaged 350 and I had terrible aches and trouble sleeping. I was failing a lot of classes for my freshman year and was not doing well. I felt "normal" at 300 and low at 200. After getting my pump and adjusting, I have been put on a 1:4 ratio and 1:40 correction ratio, this was HUGE. I was scared, thought "Oh no the doctors are all wrong I just wasn't given the correct amount and they assumed that the old me was GIVING the correct amount!" - still unconvinced I had to deal with it due to all the monitored stuff. About a month later I was entirely adjusted with my average being around 200 and a lot lower, I felt better, slept better, and my stomach was never queasy. About a month after that, my average because 130. I was fine, I felt so much better. The last month I had completely done everything on my own, in excitement for the doctors appointment which was ahead of me (three days ago). Needless to say, my A1C was 8.3. My mom hugged me and I felt so much better, we went to the gas station and grabbed a couple diet cokes and went down to the river to just relax a bit. I've never been so proud of myself and am just excited that this has happened to me. I'm still en route to kick my fear of low blood sugars and keep adjusting my insulin to the point it's correct. Thank you for all the support! - If you would like to talk to me about something related to diabetes I can sure help. Just really proud of myself and would love to see someone else get to the point I'm at.</t>
        </is>
      </c>
      <c r="D195" t="n">
        <v>55</v>
      </c>
      <c r="E195" t="n">
        <v>9</v>
      </c>
      <c r="F195">
        <f>HYPERLINK("https://www.reddit.com/r/diabetes/comments/2f8cq3/yay_lowered_my_a1c_by_4/")</f>
        <v/>
      </c>
      <c r="G195" t="inlineStr">
        <is>
          <t>2014-09-01 21:34:36</t>
        </is>
      </c>
      <c r="H195" t="inlineStr">
        <is>
          <t>Type 1</t>
        </is>
      </c>
    </row>
    <row r="196">
      <c r="A196" t="inlineStr">
        <is>
          <t>2fa369</t>
        </is>
      </c>
      <c r="B196" t="inlineStr">
        <is>
          <t>Going to Thailand. Should I get a watch with an alarm? [type 1]</t>
        </is>
      </c>
      <c r="C196" t="inlineStr">
        <is>
          <t xml:space="preserve">Hi to my fellow betes tribes people!
I'm going to be heading to thailand in a little over a month for my honeymoon. During that time (as well as the wedding) I'll be off of my insulin pump and taking Lantus and Novolog via pens. The pens are not a problem. I've used pens before. The problem is the vast time difference between Los Angeles (where I live) and Thailand. 
I've figured out what time I can take my insulin here that's at a decent time and is also at a decent time there. But the flight over to Thailand is where it gets difficult. It's a 15 hour flight followed by a 3 hour flight followed by a 1 hour flight. During that time I'll obviously need to take some Lantus. I was thinking about getting a watch that I can set a few alarms on so that way I don't screw up my insulin times. The watch would be set to LA time and remain that way while on my trip. So do you guys know of any good watches to go with or do you have a better method that I should use?
Also, does anyone remember what that little pack thingy is called that keeps insulin cold? I'd like to get one of those as well but can't remember what they are called. </t>
        </is>
      </c>
      <c r="D196" t="n">
        <v>3</v>
      </c>
      <c r="E196" t="n">
        <v>9</v>
      </c>
      <c r="F196">
        <f>HYPERLINK("https://www.reddit.com/r/diabetes/comments/2fa369/going_to_thailand_should_i_get_a_watch_with_an/")</f>
        <v/>
      </c>
      <c r="G196" t="inlineStr">
        <is>
          <t>2014-09-02 11:15:36</t>
        </is>
      </c>
      <c r="H196" t="inlineStr">
        <is>
          <t>Type 1</t>
        </is>
      </c>
    </row>
    <row r="197">
      <c r="A197" t="inlineStr">
        <is>
          <t>2faekc</t>
        </is>
      </c>
      <c r="B197" t="inlineStr">
        <is>
          <t>I got a job because I have diabetes....</t>
        </is>
      </c>
      <c r="C197" t="inlineStr">
        <is>
          <t xml:space="preserve">Recently I went to a job interview, all was going well, then came the question "any medical conditions we should know about?" (many a diabetics nightmare when it comes to interview questions, as an ignorance to the disease could impact on your chances on securing the job) how and ever, I said proudly, I'm a Type 1 diabetic! my interviewer raised his head from my application paper taken aback, intrigued by the tone in which I said it. I explained to him as to why I see it as a positive. Many Diabetics are faced with daily challenges that they need to overcome in order to successfully complete their day. many of these challenges can directly be applied to any job situation and the fact that we *have* to undertake these duties on the daily, basically to survive, means that implementing them into a professional situation should be a cake walk...(mmmm cake). I explained to him that I had developed a whole host of skills that would be beneficial to the job as a direct result of my diagnosis.
*Time management
*Organisational skills
*Responsible
*Foresight
*Data entry :P
*Discipline 
*etc
My interviewer was clearly not expecting that type of response to a question that I simply could have answered **"NO"** to. Just thought I'd share this with the community as an example to show that, just because you have diabetes, don't let that stop you doing anything! :)
**TL;DR** long story short, I ended up getting the job because I have diabetes. </t>
        </is>
      </c>
      <c r="D197" t="n">
        <v>81</v>
      </c>
      <c r="E197" t="n">
        <v>36</v>
      </c>
      <c r="F197">
        <f>HYPERLINK("https://www.reddit.com/r/diabetes/comments/2faekc/i_got_a_job_because_i_have_diabetes/")</f>
        <v/>
      </c>
      <c r="G197" t="inlineStr">
        <is>
          <t>2014-09-02 12:57:18</t>
        </is>
      </c>
      <c r="H197" t="inlineStr">
        <is>
          <t>Type 1</t>
        </is>
      </c>
    </row>
    <row r="198">
      <c r="A198" t="inlineStr">
        <is>
          <t>2fc4n8</t>
        </is>
      </c>
      <c r="B198" t="inlineStr">
        <is>
          <t>x-post from r/AskReddit</t>
        </is>
      </c>
      <c r="C198" t="inlineStr">
        <is>
          <t xml:space="preserve">I'm new to reddit so I'm not sure if I'm cross-posting correctly but I just shared my "how I got diabetes story" in response the question "Redditors who've awoken from a coma, what was it like?" Hopefully the link is enough: http://www.reddit.com/r/AskReddit/comments/2faz5m/serious_redditors_whove_awoken_from_a_coma_what/ </t>
        </is>
      </c>
      <c r="D198" t="n">
        <v>1</v>
      </c>
      <c r="E198" t="n">
        <v>2</v>
      </c>
      <c r="F198">
        <f>HYPERLINK("https://www.reddit.com/r/diabetes/comments/2fc4n8/xpost_from_raskreddit/")</f>
        <v/>
      </c>
      <c r="G198" t="inlineStr">
        <is>
          <t>2014-09-02 23:56:58</t>
        </is>
      </c>
      <c r="H198" t="inlineStr">
        <is>
          <t>Type 1</t>
        </is>
      </c>
    </row>
    <row r="199">
      <c r="A199" t="inlineStr">
        <is>
          <t>2fc9tb</t>
        </is>
      </c>
      <c r="B199" t="inlineStr">
        <is>
          <t>Haven't visited a doctor since 2011. It's the small victories..</t>
        </is>
      </c>
      <c r="C199" t="inlineStr">
        <is>
          <t>I got deeply depressed in 2011 when I found out my income was cut to zero due to government policy, so I studied 2,5 years without any income. I had to live on my wife's money and that didn't exactly go with my morale. I was really sloppy at measuring my BS, so I had no idea what my long term BS was.
Now finally slapped myself and started to get things sorted.
HbA1c 6.8! (For the record in EU anything below 7.0 is considered OK, I know some like to think that 5 - 5.5 is optimal).
But yeah, I feel relieved.</t>
        </is>
      </c>
      <c r="D199" t="n">
        <v>4</v>
      </c>
      <c r="E199" t="n">
        <v>3</v>
      </c>
      <c r="F199">
        <f>HYPERLINK("https://www.reddit.com/r/diabetes/comments/2fc9tb/havent_visited_a_doctor_since_2011_its_the_small/")</f>
        <v/>
      </c>
      <c r="G199" t="inlineStr">
        <is>
          <t>2014-09-03 01:33:35</t>
        </is>
      </c>
      <c r="H199" t="inlineStr">
        <is>
          <t>Type 1</t>
        </is>
      </c>
    </row>
    <row r="200">
      <c r="A200" t="inlineStr">
        <is>
          <t>2fcryl</t>
        </is>
      </c>
      <c r="B200" t="inlineStr">
        <is>
          <t>My First HB1AC Result!!</t>
        </is>
      </c>
      <c r="C200" t="inlineStr">
        <is>
          <t>I was diagnoised in May, with a Hb1ac of 12.4. Been such a roller coaster, it feels so hard at times, and other so easy (too easy). Anyhow, got my blood test results back and they were 6.3. I thought I was happy. but doctor said that the normal diabetic range is 6.5-7? Does 6.3 imply I am having to many hypos? Or is 6.3 fine? I always see people with results around 5.8 even as low as 5.5? Should I be worried?</t>
        </is>
      </c>
      <c r="D200" t="n">
        <v>2</v>
      </c>
      <c r="E200" t="n">
        <v>3</v>
      </c>
      <c r="F200">
        <f>HYPERLINK("https://www.reddit.com/r/diabetes/comments/2fcryl/my_first_hb1ac_result/")</f>
        <v/>
      </c>
      <c r="G200" t="inlineStr">
        <is>
          <t>2014-09-03 06:28:26</t>
        </is>
      </c>
      <c r="H200" t="inlineStr">
        <is>
          <t>Type 1</t>
        </is>
      </c>
    </row>
    <row r="201">
      <c r="A201" t="inlineStr">
        <is>
          <t>2fdpro</t>
        </is>
      </c>
      <c r="B201" t="inlineStr">
        <is>
          <t>Scientists discover how to ‘switch off’ autoimmune diseases</t>
        </is>
      </c>
      <c r="C201" t="inlineStr">
        <is>
          <t>Father of 12 yr old T1. [Does anybody know any more about this study?](http://www.bris.ac.uk/news/2014/september/autoimmune-disease.html)
Would be absolutely incredible to retrain the immune system and stop autoimmune diseases in their tracks!
edit: stole from r/glutenfree</t>
        </is>
      </c>
      <c r="D201" t="n">
        <v>2</v>
      </c>
      <c r="E201" t="n">
        <v>1</v>
      </c>
      <c r="F201">
        <f>HYPERLINK("https://www.reddit.com/r/diabetes/comments/2fdpro/scientists_discover_how_to_switch_off_autoimmune/")</f>
        <v/>
      </c>
      <c r="G201" t="inlineStr">
        <is>
          <t>2014-09-03 11:50:29</t>
        </is>
      </c>
      <c r="H201" t="inlineStr">
        <is>
          <t>Type 1</t>
        </is>
      </c>
    </row>
    <row r="202">
      <c r="A202" t="inlineStr">
        <is>
          <t>2fhmmz</t>
        </is>
      </c>
      <c r="B202" t="inlineStr">
        <is>
          <t>waking up with sweet taste in mouth??</t>
        </is>
      </c>
      <c r="C202" t="inlineStr">
        <is>
          <t>I was diagnosed about a month ago. I brush and use mouth wash before bed but when I wake up it tastes like I had a sip of something sweet. I know when you have a high bg your breath can smell fruity. is this something that happens with high bg?</t>
        </is>
      </c>
      <c r="D202" t="n">
        <v>2</v>
      </c>
      <c r="E202" t="n">
        <v>4</v>
      </c>
      <c r="F202">
        <f>HYPERLINK("https://www.reddit.com/r/diabetes/comments/2fhmmz/waking_up_with_sweet_taste_in_mouth/")</f>
        <v/>
      </c>
      <c r="G202" t="inlineStr">
        <is>
          <t>2014-09-04 13:50:27</t>
        </is>
      </c>
      <c r="H202" t="inlineStr">
        <is>
          <t>Type 2</t>
        </is>
      </c>
    </row>
    <row r="203">
      <c r="A203" t="inlineStr">
        <is>
          <t>2fk3mb</t>
        </is>
      </c>
      <c r="B203" t="inlineStr">
        <is>
          <t>Questions for type 1's doing the keto diet. Troubles with blood sugar going up...</t>
        </is>
      </c>
      <c r="C203" t="inlineStr">
        <is>
          <t xml:space="preserve">I'm a type 1 diabetic finishing up my 3rd week of keto. My blood sugars were awesome the first 2 weeks or so and now I'm having crazy problems with high blood sugars over night and in the morning (I've never had a strong dawn phenomenon before, plus this starts after dinner). I had my overnight basal perfect, my sugars were crazy stable all night those first 2 weeks. Now, my blood sugar starts to rise after dinner, doesn't respond to corrections. I wake up in the middle of the night and I'm 160-180 (high for me since going on keto, they were really stable between 80-115 all night), I do a correction dose (or multiple depending on how many times I wake up) and, while it keeps me from spiking much higher, it doesn't bring me down at all. This lasts through breakfast and usually dissipates by late morning (10 or 11) when my sugars go nack to being awesome until after dinner. I end up taking extra in my corrections, plus bolusing a for my breakfast, which I wasn't having to do at all for those first 2 weeks, and I'm still not coming below 140 or so until mid morning.
Has anyone had this experience with keto? Did it pass and level out? It's driving me nuts. 
My reading has led me to physiological insulin resistance, but I can't seem to find a ton of info on it. My doctor isn't keto savvy, so while I'm keeping her in the loop on my diet, she's not helpful with questions like this. </t>
        </is>
      </c>
      <c r="D203" t="n">
        <v>3</v>
      </c>
      <c r="E203" t="n">
        <v>36</v>
      </c>
      <c r="F203">
        <f>HYPERLINK("https://www.reddit.com/r/diabetes/comments/2fk3mb/questions_for_type_1s_doing_the_keto_diet/")</f>
        <v/>
      </c>
      <c r="G203" t="inlineStr">
        <is>
          <t>2014-09-05 08:44:00</t>
        </is>
      </c>
      <c r="H203" t="inlineStr">
        <is>
          <t>Type 1</t>
        </is>
      </c>
    </row>
    <row r="204">
      <c r="A204" t="inlineStr">
        <is>
          <t>2flet9</t>
        </is>
      </c>
      <c r="B204" t="inlineStr">
        <is>
          <t>I need help motivating my 15 year old brother to eat right and take his T1 diabetes more seriously.</t>
        </is>
      </c>
      <c r="C204" t="inlineStr">
        <is>
          <t>Hello r/diabetes. This is is my first time here and it will be a long one, but myself and my family would really appreciate any help that you can offer.
Basically, my 15 year old brother was diagnosed with type 1 diabetes 2 years ago. He is very active and healthy and is a very good cricketer and rugby player. (UK) He normally manages his blood very well and is very vigilant. Unfortunately, he has had three very serious fits over the past 4-6 months, due to his blood sugar crashing in the mornings. 
The fits have always occurred after he has played a lot of sport over the past few days and then not eaten enough before going to bed that night. He then wakes up at 6 am and his levels drop like a stone. 
He has no idea he has had a fit until he comes round. So for him, he thinks that we are all massively overreacting and trying to get on his back. 
His last fit was this Wednesday morning at 6 am and I had to sit for an hour and listen to the most horrifying noises coming from my brother as he thrashed, convulsed and choked for 25 minutes and then wouldn't come round again for another 30, as my elder brother, dad and mum all rallied round and kept him alive, essentially. 
As a family, we cannot let this happen again, my mum can't handle it and she is waking up at 4 am every morning at the moment, just to be sure he hasn't fucking died in the night. It is horrible.
His issue is that he starts to go low and then doesn't want to eat proper things. He will reach for chocolate cookies and fruit juice as an alternative. My elder brother and I are very fitness conscious, so we know that fruit juice and processed sugar are pretty terrible. He also has a dietician who seems to think that the solution is whole meal bread and sugar packed cereal bars. I am no dietician, but surely there is a more balanced and nutritional option?
I know I am rambling, but I need some help. What are some fool-proof snacks that will keep his blood sugar healthy and not have it crash? And secondly, how can my family and I, spin his diabetes and his diet in a more positive light? He isn't on a pump yet, but we need to get him to be more aware of his eating and how he can positively influence it, rather than him looking at his diabetes as a curse? He is growing up and wants to start training and looking good. I want to make him see that athletes need to stay healthy and not eating is not a solution.
Please reddit, I need you! :) I can't have him fit again. 
P.S Apologies is this has already been answered, or there are answers. I can't find much.</t>
        </is>
      </c>
      <c r="D204" t="n">
        <v>1</v>
      </c>
      <c r="E204" t="n">
        <v>16</v>
      </c>
      <c r="F204">
        <f>HYPERLINK("https://www.reddit.com/r/diabetes/comments/2flet9/i_need_help_motivating_my_15_year_old_brother_to/")</f>
        <v/>
      </c>
      <c r="G204" t="inlineStr">
        <is>
          <t>2014-09-05 16:23:42</t>
        </is>
      </c>
      <c r="H204" t="inlineStr">
        <is>
          <t>Type 1</t>
        </is>
      </c>
    </row>
    <row r="205">
      <c r="A205" t="inlineStr">
        <is>
          <t>2fliv9</t>
        </is>
      </c>
      <c r="B205" t="inlineStr">
        <is>
          <t>I accidentally took my Victoza twice today, should I worry?</t>
        </is>
      </c>
      <c r="C205" t="inlineStr">
        <is>
          <t>I accidentally took my Victoza twice today.  I normally take at night, but I was up all night (world of warcraft) and took it at 5 am this morning.  I absentmindedly took my evening meds just now and did the Victoza too.
I don't think it's going to cause blood sugar issues.  Heaven forbid my blood sugar ever approaches anything normal!  
Is there anything I should be watching for, or should I be freaking out?
Sorry I am a dumbass and I have no brain most of the time.</t>
        </is>
      </c>
      <c r="D205" t="n">
        <v>2</v>
      </c>
      <c r="E205" t="n">
        <v>4</v>
      </c>
      <c r="F205">
        <f>HYPERLINK("https://www.reddit.com/r/diabetes/comments/2fliv9/i_accidentally_took_my_victoza_twice_today_should/")</f>
        <v/>
      </c>
      <c r="G205" t="inlineStr">
        <is>
          <t>2014-09-05 17:09:13</t>
        </is>
      </c>
      <c r="H205" t="inlineStr">
        <is>
          <t>Type 2</t>
        </is>
      </c>
    </row>
    <row r="206">
      <c r="A206" t="inlineStr">
        <is>
          <t>2flkes</t>
        </is>
      </c>
      <c r="B206" t="inlineStr">
        <is>
          <t>Losing weight with Type 1</t>
        </is>
      </c>
      <c r="C206" t="inlineStr">
        <is>
          <t xml:space="preserve">This is a X-post from /r/loseit and I figured I would maybe get more specific advice here :)
So in July I was diagnosed with Type 1 Diabetes as a 21yo female. Before diagnosis I had lost a lot of weight and was probably 115lbs , down from my normal 125. Now I am taking an obscene amount of insulin to bring down my blood sugars (Base 12, 10, 14 Humalog  but I usually end up with sliding scale adjustments 14, 14, 18 then 25 lantus) and My doctor says I cannot work out until my numbers are better. I also need to eat 60g of carbs a meal, and then 3 15-20g snacks. Due to this I have put on heaps of weight and with everything that has been happening I am just so frustrated. I have tried lowering carbs &amp;amp; insulin slightly but this causing a crazy fluctuation in the sugars and I am so lost. I also eat relatively healthy with 2 eggs and whole wheat toast for breakfast, veggies, chicken, rice, salad, and a few cut up bits of potato fries and coffee with splenda &amp;amp; skim milk for my most common food consumption. I am lost and too poor to buy better fitting clothes so I was hoping you would have any advice.
Thanks!
</t>
        </is>
      </c>
      <c r="D206" t="n">
        <v>10</v>
      </c>
      <c r="E206" t="n">
        <v>13</v>
      </c>
      <c r="F206">
        <f>HYPERLINK("https://www.reddit.com/r/diabetes/comments/2flkes/losing_weight_with_type_1/")</f>
        <v/>
      </c>
      <c r="G206" t="inlineStr">
        <is>
          <t>2014-09-05 17:26:12</t>
        </is>
      </c>
      <c r="H206" t="inlineStr">
        <is>
          <t>Type 1</t>
        </is>
      </c>
    </row>
    <row r="207">
      <c r="A207" t="inlineStr">
        <is>
          <t>2fon8l</t>
        </is>
      </c>
      <c r="B207" t="inlineStr">
        <is>
          <t>Advice on how to deal with weddings with diabetes?</t>
        </is>
      </c>
      <c r="C207" t="inlineStr">
        <is>
          <t xml:space="preserve">Ive had type 2 diabetes and I have to go to a wedding for the first time since being diagnosed. I am not on insulin, ive been doing pretty well with diet and pills (my doctor has me testing my bg once in the morning everyday). there will be bbq and cake obviously….. does anyone have any advice? can i get away with a small piece of cake and not eat the frosting? how bad would it be for me to have bbq?
UPDATE: i had lots of fun at the wedding! i had  a bbq sandwich or two and a slice of cake with no frosting and the next day my blood sugar was fine!. sorry i didnt respond sooner. </t>
        </is>
      </c>
      <c r="D207" t="n">
        <v>2</v>
      </c>
      <c r="E207" t="n">
        <v>7</v>
      </c>
      <c r="F207">
        <f>HYPERLINK("https://www.reddit.com/r/diabetes/comments/2fon8l/advice_on_how_to_deal_with_weddings_with_diabetes/")</f>
        <v/>
      </c>
      <c r="G207" t="inlineStr">
        <is>
          <t>2014-09-06 18:31:49</t>
        </is>
      </c>
      <c r="H207" t="inlineStr">
        <is>
          <t>Type 2</t>
        </is>
      </c>
    </row>
    <row r="208">
      <c r="A208" t="inlineStr">
        <is>
          <t>2fr57x</t>
        </is>
      </c>
      <c r="B208" t="inlineStr">
        <is>
          <t>Hello! I need some help finding an article or information on the immediate symptoms your body while having high bg</t>
        </is>
      </c>
      <c r="C208" t="inlineStr">
        <is>
          <t>As the title says, I can only really find information on hyperglycemia and the long term affects but I am in need of what immediately happens having high bg for a night or a few hours. I know it can make you drowsy and stuff but is there any other symptoms like your eyes becoming blood shot or what not? Thank you and I love you all!</t>
        </is>
      </c>
      <c r="D208" t="n">
        <v>1</v>
      </c>
      <c r="E208" t="n">
        <v>7</v>
      </c>
      <c r="F208">
        <f>HYPERLINK("https://www.reddit.com/r/diabetes/comments/2fr57x/hello_i_need_some_help_finding_an_article_or/")</f>
        <v/>
      </c>
      <c r="G208" t="inlineStr">
        <is>
          <t>2014-09-07 15:02:01</t>
        </is>
      </c>
      <c r="H208" t="inlineStr">
        <is>
          <t>Type 1</t>
        </is>
      </c>
    </row>
    <row r="209">
      <c r="A209" t="inlineStr">
        <is>
          <t>2fwfet</t>
        </is>
      </c>
      <c r="B209" t="inlineStr">
        <is>
          <t>T1 Question comment</t>
        </is>
      </c>
      <c r="C209" t="inlineStr">
        <is>
          <t>I'm slow to internalize some aspects of diabetes--particularly so when convention preconditions a belief in these aspects.  
In this case, I'm talking about the time it takes for my body to absorb the carbs I eat.  My belief was that in the 1-2 hour range, I'd pretty much see the effect.  Perhaps a high-fat meal would delay that by an hour or so.  Perhaps a larger meal would as well.  However 1-4 hours does not seem to be the case for me all the time.  Sometimes I think my body takes 8-12 hours to receive the full effect of a meal.  This, of course, throws me off when I'm testing in the 1-2 hour range and fooling myself into thinking certain foods are (miraculously) "OK" (e.g. pizza).  Obviously, this is a big problem when those extended hours occur while I'm asleep.  
Does this mesh with what other's believe?
What factors affect absorption times?</t>
        </is>
      </c>
      <c r="D209" t="n">
        <v>2</v>
      </c>
      <c r="E209" t="n">
        <v>4</v>
      </c>
      <c r="F209">
        <f>HYPERLINK("https://www.reddit.com/r/diabetes/comments/2fwfet/t1_question_comment/")</f>
        <v/>
      </c>
      <c r="G209" t="inlineStr">
        <is>
          <t>2014-09-09 05:16:28</t>
        </is>
      </c>
      <c r="H209" t="inlineStr">
        <is>
          <t>Type 1</t>
        </is>
      </c>
    </row>
    <row r="210">
      <c r="A210" t="inlineStr">
        <is>
          <t>2fxqh4</t>
        </is>
      </c>
      <c r="B210" t="inlineStr">
        <is>
          <t>New With a Bunch of Questions</t>
        </is>
      </c>
      <c r="C210" t="inlineStr">
        <is>
          <t>Hi everyone,
This is my first post, although I've been reading this site for several weeks. And I'm so very sorry that it ended up being such a LONG post :(
I was diagnosed T2 diabetic by my ob/gyn at a regular yearly check-up about 6 weeks ago - she noticed that I hadn't had blood work done in a long time, so she ordered it - which led to "You're diabetic. Contact your family doctor." (I wish she would have been gentler about telling me - it was devastating to hear it so abruptly.) So, my A1C was 8.2%. I had no idea what that meant, and I still don't know just how bad that is. I don't know a lot of things.
I finally got in to see my (new) family doctor (GP) 3 weeks after I was diagnosed. During that time I had already started eating low carb. My doctor gave me a 40 minute "New Diabetes Patient" visit - where he explained what diabetes is and then drew a picture of a salad plate (he said to get rid of all of my dinner plates) and then drew a line dividing the plate in half. I was supposed to eat 1/2 a plate of vegetables. In the other half of the circle he drew a line to divide that in half. One part was supposed to be protein - the size of a deck of cards, and the other section was for carbohydrates, including pastas, grains, and sweets. I was so confused. My husband has been eating low carb for 9 months and has lost 60 pounds, his blood pressure has never been lower (120/78) and his blood sugar has gone from pre-diabetic to completely normal. When I told the doctor this he said to absolutely not go on an Atkins (or any) low carb diet because, sure I'd lose some weight maybe, but that it just wasn't something people could benefit from, let alone maintain. I don't agree with that…but I'm unsure of myself because I don't want to end up not listening to him and then damage my organs.
I'm 42 years old and I have panic disorder with agoraphobia. 5 years ago I got a new doctor to treat that and they put me on a blood pressure medicine, a beta-blocker, called Toprol. She ordered standard bloodwork, including an A1C, and my blood glucose was fine. Not perfect, but fine. About 2 months later I had my yearly physical and got a call from the doctor that my blood glucose and cholesterol numbers must have been incorrect because they had skyrocketed from last year, so go in and get rechecked. I didn't do that. I was afraid they'd take me off of the Toprol, which essentially cured my panic attacks. I was not at all concerned about the blood glucose - just the cholesterol, because I never used sugar - I mean, we didn't even keep any in our house - and I only ever ate once a day. I was, however, very overweight from the antidepressants I had been taking. (Close to 300 pounds on a 5'4" frame.) I swore up and down that I didn't overeat - but nobody ever believed me. Antidepressants DO cause weight gain for me - but my new doctor said that's not true. (I had not had a yearly physical since 5 years ago when the told me the cholesterol and BG were so high because I was terrified that they'd make me stop taking the Toprol - that is how terrifying panic attacks are!)
So, fast forward to my first appointment with the new GP, and I mention the Toprol - and he said that there was no way it could have caused my diabetes because diabetes is something that you get after 15 to 20 years of abusing your body. (I didn't think that sounded like me…but who am I to argue?) He gave me no literature on diabetes, and basically the only thing I walked out of that appointment with was a Freestyle Lite monitor and 10 test strips. He never even told me how often to test myself - or when, or what the results would mean. I am still befuddled/confused/unsure/scared.
So, I decided to stick with low carb. I don't know if I've lost any weight yet - it's only been 10 days. (And of course my appointment was on a Friday afternoon and OF COURSE the nurse forgot to call in my Rx for test strips - so I only had the ten that came with the kit until the following Tuesday, because Monday was a holiday —- this is the kind of luck I have in my life.) I don't know how often to test so - for instance - on Wednesday of last week I blew through 17 test strips.
My morning test numbers are all over the place - ranging from 136 to 164. Then again, I don't sleep very well - some nights might be 3 hours, and (very rarely) some nights might be 9 hours (like last night, which was only the 2nd time I'd slept longer than 4 hours in weeks.) I don't understand what those morning test numbers are trying to tell me.
I have to take my medicine in the morning (and evening), and I truly believe it is raising my BG - so that it affects my post-breakfast number. For instance, I bought those Glucerna shakes and I woke up at a fasting BG of 142 and then 2 hours after my medicine and that shake my BG was 256. I freaked out and gave the Glucerna's to my 11 year old son, vowing never to touch them again. But was it the Glucerna or the Toprol? Well, on Thursday, I woke up at 136, took the Toprol, then waited 2 hours to take my pre-breakfast BG, which was by then 190, and 90 minutes after a low carb breakfast, it was 166. I'm so confused. :( Why did it go up from 136 to 190 if I hadn't eaten anything? (I did drink my morning decaf coffee, which when I tested, did nothing to my BG numbers.)
Gosh, I realize that this post is all over the place, but I am really overwhelmed!!
I started testing my BG before meals, at 90 minutes, and then again at 2 hours after. Was that the right thing to do? I did that because initially I tested every 30 minutes after I ate something to see where the highest number would be and where it started dropping. It's highest at 90 minutes - so should I be reporting that number, or the 2 hour number, which is always lower? And if so - why is mine higher at 90 minutes when everything I read says to test at 2 hours? Shouldn't 2 hours be the highest?
The highest post-meal 2 hour BG I've gotten was 187 - how bad is that? (This doesn't include the terrible Glucerna shake day.)
Why is my morning fasting number higher than it should be? What SHOULD it be? I know from the ADA blood sugar diary that a persons target blood sugar ranges are 80 to 120 before meals, but it doesn't say anything about where it should be when fasting overnight (or on 3 hours of sleep - whichever I get.) :( I could cry.
Now, the issue of test strips. I was prescribed 100 for the month. I told the nurse that I would need much more than that, so she sent the pharmacy an rx for 300 test strips, but wrote the instructions to test 3x daily. (Which … I dont understand - how am I supposed to figure out which foods do what to my BG with only 3 strips a day?) The pharmacy gave me 100 test strips because that's what she wrote … 3 a day at 30 days is 90, so I got 100. I immediately contacted the nurse who said she'd rewrite it and send in a new Rx - so she rewrote it for 5x a day, and then the pharmacy wouldn't fill it. So, it's been less than a week and I'm already at about 57 strips used. What do I do when I run out? Just not test? Buy them off of eBay? Try to come up with $188 to pay cash for them at Rite-Aid? (insert sobbing sound here.) :(
I consider myself to be a semi-intelligent person, so I hate that all of this has me confused. I don't have any friends because of my anxiety problems, so I only have my husband for support, which I'm grateful for, but I hate feeling so overwhelmed…and he's got enough stressors in his life with work and our family that I haven't been as open with him about how scared I am in order to save him some stress. I started having nightmares where I'd start crying - and would wake to my husband holding me and the sound of myself crying. What is going on with me??? :(
I'm terrified. What happens if I accidentally drink or eat something that has sugar in it? What will happen? I must have had diabetes for at least 18 to 24 months because I have some neuropathy in my feet, and I had about 7 episodes of very blurry vision. (How high do you think my BG got in order to have blurred vision like that?) I haven't had the blurred vision since my OB/Gyn first told me I was diabetic and I changed what I was eating. (Also, I am now eating several times a day instead of just once.) But, what damage did I do to my internal organs having gone undiagnosed for possibly 2 years - and why didn't my GP ask that, either? I'm supposed to go back to see him in 1 month…what is he hoping to find in one month?
One final thing. In January I got very sick. I lost about 45 pounds. I was basically just nauseous for an entire month and couldn't eat anything. I'd wake up every 4 hours with my heart pounding some nights. I was exhausted and slept as much as possible. I couldn't think straight or concentrate on things. About 2 weeks into this I went to Urgent Care and the doctor gave me Zofran for the nausea but that was all. Do you think that might have been related to untreated diabetes? (I only waited for so long to see a doctor because my sister had been sick for a week with nausea being her primary symptom - I just thought I had the same "flu" she had…only mine lasted for a month.)
Okay, well, I've rambled on so long and I do apologize so much for that - a terrible first impression, I know - but I really needed to get some of this stuff out. Thank you so much if you read this far!</t>
        </is>
      </c>
      <c r="D210" t="n">
        <v>1</v>
      </c>
      <c r="E210" t="n">
        <v>6</v>
      </c>
      <c r="F210">
        <f>HYPERLINK("https://www.reddit.com/r/diabetes/comments/2fxqh4/new_with_a_bunch_of_questions/")</f>
        <v/>
      </c>
      <c r="G210" t="inlineStr">
        <is>
          <t>2014-09-09 12:51:57</t>
        </is>
      </c>
      <c r="H210" t="inlineStr">
        <is>
          <t>Type 2</t>
        </is>
      </c>
    </row>
    <row r="211">
      <c r="A211" t="inlineStr">
        <is>
          <t>2fy2rn</t>
        </is>
      </c>
      <c r="B211" t="inlineStr">
        <is>
          <t>Suddenly waking up at weird hours (3am-5am). Any insights?</t>
        </is>
      </c>
      <c r="C211" t="inlineStr">
        <is>
          <t xml:space="preserve">About 2 weeks ago, I started waking up at really early hours-- 3am to 5am-- with no prompting, after which I can't fall asleep anymore. I feel sleepy again a couple of hours after, which is troublesome because it's when my day is supposed to start. It's starting to take a toll on me. All in all, I'm getting 4-6 hours of solid sleep. Before, I was getting 7-8hours.
Anyone else that have gone through a phase like this? Any advice? </t>
        </is>
      </c>
      <c r="D211" t="n">
        <v>1</v>
      </c>
      <c r="E211" t="n">
        <v>8</v>
      </c>
      <c r="F211">
        <f>HYPERLINK("https://www.reddit.com/r/diabetes/comments/2fy2rn/suddenly_waking_up_at_weird_hours_3am5am_any/")</f>
        <v/>
      </c>
      <c r="G211" t="inlineStr">
        <is>
          <t>2014-09-09 14:39:10</t>
        </is>
      </c>
      <c r="H211" t="inlineStr">
        <is>
          <t>Type 2</t>
        </is>
      </c>
    </row>
    <row r="212">
      <c r="A212" t="inlineStr">
        <is>
          <t>2fyuoe</t>
        </is>
      </c>
      <c r="B212" t="inlineStr">
        <is>
          <t>T1 Diabetic and running a 5k. Need advice.</t>
        </is>
      </c>
      <c r="C212" t="inlineStr">
        <is>
          <t>I have been a T1 Diabetic for 10 years. I am relatively healthy and 23 years old. I am running my second 5k ever on Saturday. I need some good advice on how to properly prepare myself so I don't drift into hypoglycemia during my run. Last 5k I did, I let my blood sugar run high (too high) and ended up being extremely dehydrated the whole time. Please help! And, if it wasn't clear, I'm a novice runner.</t>
        </is>
      </c>
      <c r="D212" t="n">
        <v>1</v>
      </c>
      <c r="E212" t="n">
        <v>7</v>
      </c>
      <c r="F212">
        <f>HYPERLINK("https://www.reddit.com/r/diabetes/comments/2fyuoe/t1_diabetic_and_running_a_5k_need_advice/")</f>
        <v/>
      </c>
      <c r="G212" t="inlineStr">
        <is>
          <t>2014-09-09 19:09:07</t>
        </is>
      </c>
      <c r="H212" t="inlineStr">
        <is>
          <t>Type 1</t>
        </is>
      </c>
    </row>
    <row r="213">
      <c r="A213" t="inlineStr">
        <is>
          <t>2fyzy2</t>
        </is>
      </c>
      <c r="B213" t="inlineStr">
        <is>
          <t>T1D Girlfriend's blood sugar needs some helping, non T1D asking for advice</t>
        </is>
      </c>
      <c r="C213" t="inlineStr">
        <is>
          <t>So I have been dating a T1D girl for about a year now and when we started dating her T1C changed from 11.2 to 8.6 (I'm not sure how much of an improvement that is, but from what she told me lower is better). The last couple of months she's had troubles keep her blood sugar (bs) low. We are both college students (19 years old each) but live 2 hours away, which can make it challenging for her to stay within in the acceptable bs levels (80-130? from what I know). She uses a pump most of the time but when she's waiting for more supplies to come in and she's run out of them she turns to shots. I think shots have been much more effective for her. She usually places the pumps in her waist area, sometimes her upper arm if she wants her waist to take a break. She seems to be allergic to the adhesive so that doesn't help too much. I'm here pretty much to ask you diabetic redditors on words of advice since sometimes the insulin won't lower her bs much and she sometimes forgets to test her bs. She's active (works out about 6 hours a week) and eats healthy. Keep in mind I'm not diabetic myself so some of the terminology you use may have to be dumbed down a bit for me.  Thanks in advance!</t>
        </is>
      </c>
      <c r="D213" t="n">
        <v>8</v>
      </c>
      <c r="E213" t="n">
        <v>10</v>
      </c>
      <c r="F213">
        <f>HYPERLINK("https://www.reddit.com/r/diabetes/comments/2fyzy2/t1d_girlfriends_blood_sugar_needs_some_helping/")</f>
        <v/>
      </c>
      <c r="G213" t="inlineStr">
        <is>
          <t>2014-09-09 20:03:57</t>
        </is>
      </c>
      <c r="H213" t="inlineStr">
        <is>
          <t>Type 1</t>
        </is>
      </c>
    </row>
    <row r="214">
      <c r="A214" t="inlineStr">
        <is>
          <t>2fzf2b</t>
        </is>
      </c>
      <c r="B214" t="inlineStr">
        <is>
          <t>Getting rid of the discolouration caused by Acanthosis Nigricans?</t>
        </is>
      </c>
      <c r="C214" t="inlineStr">
        <is>
          <t>With many type 2 diabetics darkening of areas such as; the back and sides of the neck, underarms, and inner thighs is quite common.
My blood sugar levels are now stable and I have been put off all my diabetic medication.
I still have this embarrassing problem and I've tried using medicated creams recommended by dermatologists but they just don't seem to work. 
I hate this problem and it is SO embarrassing. Has anyone here been able to get rid of the discolouration? If so what products have you used?</t>
        </is>
      </c>
      <c r="D214" t="n">
        <v>2</v>
      </c>
      <c r="E214" t="n">
        <v>1</v>
      </c>
      <c r="F214">
        <f>HYPERLINK("https://www.reddit.com/r/diabetes/comments/2fzf2b/getting_rid_of_the_discolouration_caused_by/")</f>
        <v/>
      </c>
      <c r="G214" t="inlineStr">
        <is>
          <t>2014-09-09 23:17:56</t>
        </is>
      </c>
      <c r="H214" t="inlineStr">
        <is>
          <t>Type 2</t>
        </is>
      </c>
    </row>
    <row r="215">
      <c r="A215" t="inlineStr">
        <is>
          <t>2g8q39</t>
        </is>
      </c>
      <c r="B215" t="inlineStr">
        <is>
          <t>How do you wear your pump with a suit?</t>
        </is>
      </c>
      <c r="C215" t="inlineStr">
        <is>
          <t>Hi Guys,
I've just switched to pump therapy after many years of MDI. I'm loving the control I can achieve with the pump but like anything new, there are some things that I need to get used to or figure out. I've been searching online for ways to wear the pump with a tucked-in shirt or more specifically, a suit, but I haven't found much apart from cutting a hole in my pants pocket (I'm a guy so the bra clip plan doesn't apply). 
So a question to all the suit wearers out there: how do you wear your pump with a suit?</t>
        </is>
      </c>
      <c r="D215" t="n">
        <v>1</v>
      </c>
      <c r="E215" t="n">
        <v>2</v>
      </c>
      <c r="F215">
        <f>HYPERLINK("https://www.reddit.com/r/diabetes/comments/2g8q39/how_do_you_wear_your_pump_with_a_suit/")</f>
        <v/>
      </c>
      <c r="G215" t="inlineStr">
        <is>
          <t>2014-09-12 15:26:23</t>
        </is>
      </c>
      <c r="H215" t="inlineStr">
        <is>
          <t>Type 1</t>
        </is>
      </c>
    </row>
    <row r="216">
      <c r="A216" t="inlineStr">
        <is>
          <t>2g9efy</t>
        </is>
      </c>
      <c r="B216" t="inlineStr">
        <is>
          <t>[T2] Fasting Under 100 for 1st Time Since Diagnosis</t>
        </is>
      </c>
      <c r="C216" t="inlineStr">
        <is>
          <t>I've been very diligent about exercising, losing weight and watching what I eat.  I'm really excited to say, it's paying off!  My 30-day average is still about 108, 14-day fasting sugar average is 102, but over the last 7, it's 97!  Overall average has dropped from 119 to 110.
I just did a little experiment with my dinner where I ate a lot more carbs than I normally do, and my 2-hour post-pran was 110!  I was diagnosed pre-diabetic (doc said diabetic, but A1C was 6.4, just under the cutoff for full-blown T2) in the middle of June (following surgery in late May) and have been working very hard to help myself get better.  It seems to be working and I'm excited!  I just had to share!
If anyone is interested, I've been walking between 15-18 miles a week, eating between 1,200-1,500 calories per day and have cut out all major sources of refined sugar/carbs.  I'm down about 30 pounds at the moment and planning to lose another 50 or so.  I've just started body-weight strength training, too.  
If there are any pre-T2s out there, you can do it, too!</t>
        </is>
      </c>
      <c r="D216" t="n">
        <v>16</v>
      </c>
      <c r="E216" t="n">
        <v>6</v>
      </c>
      <c r="F216">
        <f>HYPERLINK("https://www.reddit.com/r/diabetes/comments/2g9efy/t2_fasting_under_100_for_1st_time_since_diagnosis/")</f>
        <v/>
      </c>
      <c r="G216" t="inlineStr">
        <is>
          <t>2014-09-12 20:14:48</t>
        </is>
      </c>
      <c r="H216" t="inlineStr">
        <is>
          <t>Type 2</t>
        </is>
      </c>
    </row>
    <row r="217">
      <c r="A217" t="inlineStr">
        <is>
          <t>2gdyg2</t>
        </is>
      </c>
      <c r="B217" t="inlineStr">
        <is>
          <t>Type 1's - how do you feel about having kids?</t>
        </is>
      </c>
      <c r="C217" t="inlineStr">
        <is>
          <t>I recently told my mom that I don't know if I will have biological children. My thought process behind this is that I was diagnosed when I was so young and struggled with diabetes for many years. It IS a manageable disease, but if I did have kids and any or all of them had diabetes I would absolutely hate myself. My mom got really offended at this. I think she took it as me blaming my parents for having it, though I don't at all. Once I explained the difference - she and dad didn't know that they carried a gene that caused the predisposition, and I know I have it - she calmed down. She said (obviously) it will ultimately be up to me and my future husband to decide and she knew I could love any child as my own. Honestly, I have always wanted kids and will consider all of my choices when the time is right. 
So, my fellow type 1's, do/did you factor your diabetes into your decision to have children?</t>
        </is>
      </c>
      <c r="D217" t="n">
        <v>2</v>
      </c>
      <c r="E217" t="n">
        <v>16</v>
      </c>
      <c r="F217">
        <f>HYPERLINK("https://www.reddit.com/r/diabetes/comments/2gdyg2/type_1s_how_do_you_feel_about_having_kids/")</f>
        <v/>
      </c>
      <c r="G217" t="inlineStr">
        <is>
          <t>2014-09-14 11:29:08</t>
        </is>
      </c>
      <c r="H217" t="inlineStr">
        <is>
          <t>Type 1</t>
        </is>
      </c>
    </row>
    <row r="218">
      <c r="A218" t="inlineStr">
        <is>
          <t>2ghn6v</t>
        </is>
      </c>
      <c r="B218" t="inlineStr">
        <is>
          <t>Question about Insulin per grams of carbs ratio while active.</t>
        </is>
      </c>
      <c r="C218" t="inlineStr">
        <is>
          <t xml:space="preserve">So I have no problems with my levels, but I'm just wondering how this works.
+++
When I was diagnosed 13ish years ago, my doctor had me taking roughly 1 unit of humalog for every 15 grams of carbohydrates that I consumed, and it worked great for me.  I would slightly adjust the number to 10-20 grams of carbs depending on how picky my body was that month.
+++
I'm now taking almost an identical dose to what I was taking a long time ago but now I run.
+++
I take 8 units of humalog and 28 units of lantus, in the morning, followed by 2 units of humalog for lunch and dinner.
+++
The difference is that I now run (a lot), and I am now eating about 300 grams of carbs for lunch consistently, with no spike to my blood sugar.  I threw the 1 unit to 15 grams thing way out the window a long time ago.
+++
I do not understand how this makes it so I do not need to take insulin.
As far as I know the insulin is moving the sugars in the blood to my muscles.  How do my muscles pull the sugar out of my blood without the use of insulin and why do I not spike?  
It seems like the muscles wouldn't be able to pull in the sugar that quickly from 1 meal to have my blood stay pretty stable.  Why does exercise stabilize my blood sugars this much?
</t>
        </is>
      </c>
      <c r="D218" t="n">
        <v>1</v>
      </c>
      <c r="E218" t="n">
        <v>9</v>
      </c>
      <c r="F218">
        <f>HYPERLINK("https://www.reddit.com/r/diabetes/comments/2ghn6v/question_about_insulin_per_grams_of_carbs_ratio/")</f>
        <v/>
      </c>
      <c r="G218" t="inlineStr">
        <is>
          <t>2014-09-15 12:53:32</t>
        </is>
      </c>
      <c r="H218" t="inlineStr">
        <is>
          <t>Type 1</t>
        </is>
      </c>
    </row>
    <row r="219">
      <c r="A219" t="inlineStr">
        <is>
          <t>2gi2ky</t>
        </is>
      </c>
      <c r="B219" t="inlineStr">
        <is>
          <t>Pump injection sites with little fat.</t>
        </is>
      </c>
      <c r="C219" t="inlineStr">
        <is>
          <t>Hey everybody, finally decided to create a Reddit account when I found this subreddit. I've been type 1 since I was 12 and am now 21. I've been using the 21in quick set paradigm tubing with my insulin pump since I've been on the pump (about 7 years). 
This might sound bad, but I have only used my stomach for my pump sites because I have always been afraid of using my legs and I have very little fat on my arms. I have used my upper butt before but it only seemed to work 1/2 of the times I tried and it was pretty uncomfortable since I mainly wear jeans.
Recently I have been getting back into shape and my stomach fat is disappearing and now it seems that I'm hitting stuff every time I inject. I know there's a different inserter than the quick serter, but I'm hesitant to use that one as well (guess it just looks intimidating). Any advice? I appreciate it very much!!</t>
        </is>
      </c>
      <c r="D219" t="n">
        <v>2</v>
      </c>
      <c r="E219" t="n">
        <v>9</v>
      </c>
      <c r="F219">
        <f>HYPERLINK("https://www.reddit.com/r/diabetes/comments/2gi2ky/pump_injection_sites_with_little_fat/")</f>
        <v/>
      </c>
      <c r="G219" t="inlineStr">
        <is>
          <t>2014-09-15 15:07:23</t>
        </is>
      </c>
      <c r="H219" t="inlineStr">
        <is>
          <t>Type 1</t>
        </is>
      </c>
    </row>
    <row r="220">
      <c r="A220" t="inlineStr">
        <is>
          <t>2girgx</t>
        </is>
      </c>
      <c r="B220" t="inlineStr">
        <is>
          <t>Bydureon - When will I notice the effect?</t>
        </is>
      </c>
      <c r="C220" t="inlineStr">
        <is>
          <t xml:space="preserve">Hey folks, 
I found a new endo I really like, and I asked him, given my history and the research I had read, if I could try Bydureon.  He totally agreed it was the right treatment based on my history (he also thanked me for being so well-read and making his job easy!).
He warned me, however, that stopping Januvia and starting Bydureon may result in me having elevated readings for up to six weeks as I built up stores of exenatide in my fat tissue.  
So I just took my third injection Saturday.  My numbers are not sky-high, they're only slightly higher than they were on Januvia, and I'm not seeing any difference in things like the dawn phenomenon, etc.
Does this experience match that of others?  As my endo said, should I be expecting a better return on investment in the weeks ahead?  </t>
        </is>
      </c>
      <c r="D220" t="n">
        <v>1</v>
      </c>
      <c r="E220" t="n">
        <v>3</v>
      </c>
      <c r="F220">
        <f>HYPERLINK("https://www.reddit.com/r/diabetes/comments/2girgx/bydureon_when_will_i_notice_the_effect/")</f>
        <v/>
      </c>
      <c r="G220" t="inlineStr">
        <is>
          <t>2014-09-15 19:09:46</t>
        </is>
      </c>
      <c r="H220" t="inlineStr">
        <is>
          <t>Type 2</t>
        </is>
      </c>
    </row>
    <row r="221">
      <c r="A221" t="inlineStr">
        <is>
          <t>2gl7mi</t>
        </is>
      </c>
      <c r="B221" t="inlineStr">
        <is>
          <t>Help - Insanely rapid heart-rate when low?</t>
        </is>
      </c>
      <c r="C221" t="inlineStr">
        <is>
          <t xml:space="preserve">Hey,
I had a really scary experience the on Sunday evening, which has left me a little shaken. 
My diabetes is generally really well controlled, but the last week or so, due to moving house and starting a new uni course, everything has been a little up in the air. 
I was high before bed on Sunday and had a little insulin to adjust (~10pm) but clearly took too much and woke up in a really bad way about midnight.
I could feel my heart racing in my sleep and as I came to, I really started freaking out because my heart was going nuts. I mean, really nuts. My heart-rate was easily over 230 bpm (a guess, but a conservative guess, I think it was genuinely a lot higher), and it was beating so hard my stomach was shaking and my vision was throbbing with each beat. But it also didn't feel like normal beating, it was super mechanical feeling, but twitchy and also like, ticking? I can't explain the feeling other than by comparing it crassly (sorry, maybe NSFW) to the mechanical/muscular side of having an orgasm if that makes sense, but in my heart rather than my genitals, and obviously not remotely nice.. I was also in a really weird sort of stupor and couldn't function right, I was really worried but woke my partner up and just said phone 999.
Anyway, by the time the ambulance arrived, it had calmed down, and was beating around 160 when they first took my pulse, and then dropped to 102 bmp when I had an ecg done. I was coming round from my hypo at this stage too.
The paramedics said that they thought the rapid heart rate was simply due to the body panicking trying to wake me up, and then said it could have been a panic attack, and were acting as though they were there for the hypo. But I didn't need help with coming round, I rang them because of the feeling of my heart when I woke up. I tried explaining that it definitely wasn't a panic attack, and that I have never, ever experienced my heart doing anything like that, or even remotely similar. 
I am not exaggerating when I say that I thought I was dying, it felt like my heart was beating so fast it was just going to break. I have had panic attacks, been skydiving, and ran in a half marathon and never even come close to my heart beating like that. It is singularly the worst feeling I have ever, ever experienced. 
Has anyone here experienced something similar? Or does anyone know what this was or why it happened? The ecg does say on it 'UNCONFIRMED: Sinus Tachycardia', and I have always had a fast heart rate so I guess this could be an option, but would that have caused something like this? I thought that that wasn't particularly serious? 
Sorry this was so long, I have a doctors appointment tomorrow to chat, but I can't stop thinking about it. I could really do with some reassurance.
Thanks
**TL;DR** - Went low in my sleep, woke up with heart-beating so insanely fast I thought I was going to die (not exaggerating) </t>
        </is>
      </c>
      <c r="D221" t="n">
        <v>0</v>
      </c>
      <c r="E221" t="n">
        <v>7</v>
      </c>
      <c r="F221">
        <f>HYPERLINK("https://www.reddit.com/r/diabetes/comments/2gl7mi/help_insanely_rapid_heartrate_when_low/")</f>
        <v/>
      </c>
      <c r="G221" t="inlineStr">
        <is>
          <t>2014-09-16 12:37:08</t>
        </is>
      </c>
      <c r="H221" t="inlineStr">
        <is>
          <t>Type 1</t>
        </is>
      </c>
    </row>
    <row r="222">
      <c r="A222" t="inlineStr">
        <is>
          <t>2gnhtu</t>
        </is>
      </c>
      <c r="B222" t="inlineStr">
        <is>
          <t>I'm a T2 Diabetic, i've been using insulin and a needle for about 2 years now and i'm trying to get a pen but no DR will get one for me</t>
        </is>
      </c>
      <c r="C222" t="inlineStr">
        <is>
          <t>My current doctor tells me that it's for old people only. I have no problem with the needle and vial but it's easier to keep a pen in my pocket than to have a vial and worry about it falling out of the pouch. What is my course of action?</t>
        </is>
      </c>
      <c r="D222" t="n">
        <v>5</v>
      </c>
      <c r="E222" t="n">
        <v>42</v>
      </c>
      <c r="F222">
        <f>HYPERLINK("https://www.reddit.com/r/diabetes/comments/2gnhtu/im_a_t2_diabetic_ive_been_using_insulin_and_a/")</f>
        <v/>
      </c>
      <c r="G222" t="inlineStr">
        <is>
          <t>2014-09-17 05:01:36</t>
        </is>
      </c>
      <c r="H222" t="inlineStr">
        <is>
          <t>Type 2</t>
        </is>
      </c>
    </row>
    <row r="223">
      <c r="A223" t="inlineStr">
        <is>
          <t>2gp31m</t>
        </is>
      </c>
      <c r="B223" t="inlineStr">
        <is>
          <t>T1 Late growth question</t>
        </is>
      </c>
      <c r="C223" t="inlineStr">
        <is>
          <t>Basically I've had type 1 diabetes since I was 14, I am now 20 and am at the same height (5'9") I was when I was 14. My control has been fairly poor to be honest and I've read recently that high blood sugar in relation to type 1 diabetes can delay growth from puberty, I was wondering if I get my levels consistently under control if I might experience a late growth spurt? Hopefully someone has experience on this subject, thanks</t>
        </is>
      </c>
      <c r="D223" t="n">
        <v>1</v>
      </c>
      <c r="E223" t="n">
        <v>4</v>
      </c>
      <c r="F223">
        <f>HYPERLINK("https://www.reddit.com/r/diabetes/comments/2gp31m/t1_late_growth_question/")</f>
        <v/>
      </c>
      <c r="G223" t="inlineStr">
        <is>
          <t>2014-09-17 13:57:38</t>
        </is>
      </c>
      <c r="H223" t="inlineStr">
        <is>
          <t>Type 1</t>
        </is>
      </c>
    </row>
    <row r="224">
      <c r="A224" t="inlineStr">
        <is>
          <t>2gqddv</t>
        </is>
      </c>
      <c r="B224" t="inlineStr">
        <is>
          <t>T1 Frustrated With Mother Always Invalidating Feelings</t>
        </is>
      </c>
      <c r="C224" t="inlineStr">
        <is>
          <t>I apologize in advance if my post gets too long! Anyway, I’m 20 and a newly diagnosed Type One. It was a miracle that it was found out so early and I suppose in the long run it’s better I know now. My college was doing a nursing fair where they were testing blood sugars and blood pressure. I participated and my fasting sugar was 151. I was sick so I asked if that might be why but the professor came over and told me to see my primary doctor as soon as possible. My mother is an advanced practice nurse who specializes in diabetes and has done this for over 25 years. Of course, I called her first and we checked it later. A normal reading of 85 or something like that. Later that week, we did a Costco health fair and it was checked again. For the second time I had an abnormal reading. At this point we were alarmed so she sent me to get lab work done through my doctor and they told me that I was pre-diabetic. This didn’t make any sense as I’m very thin so she had me do another round of tests checking for Type One. Obviously it was positive so here I am, first of my entire family (including all my relatives) to have it. You would think that my mother having worked in this field for so long would have a good understanding of what it’s like. Sadly, she’s probably the worst person for me to talk to. 
In the earlier stages when I was crying and struggling with things I could tell she knew I was struggling but she had no idea how to comfort me. She spends hours with her patients teaching them how to manage but I rarely get a moment’s time with her before she tells me I’m being neurotic. For example, I wasn’t really taught how to properly give an injection or test so there were many times I was frustrated and in tears because I couldn’t get enough blood. When this happens I’m pretty much ignored. My A1C is currently at 6.1, however I’d like it lower. She thinks I’m crazy for wanting stricter control and keeps threatening to put me in a psych ward because I don’t want to eat carb heavy. She’s convinced I’m going to get sick because I don’t want to eat any grains. I take B vitamins to make up for some of this difference. Anyway, she just doesn’t understand that eating is never a situation where I can eat what I want. It’s careful calculation and consideration on how it will effect my sugars. The larger the carb amounts get, the more I’m guessing. I get told I’m being “crazy, a baby, get over myself” because I’m frustrated that eating something like a few fish sticks ends up sending me into the 200’s. I don’t want to live off of salad but generally for me even with insulin, anything more than 15 carbs puts my postprandials really high. I’m not really looking for any sympathy but just some people who can relate to feeling frustrating with all of this. I’m so good at controlling it but that doesn’t mean it’s not overwhelming and sometimes I just want a break. It’s been about six months and I haven’t talked to anyone else with diabetes type one or two. I guess I felt like this was the only place I could find other people who deal with what I have. Thanks for listening.</t>
        </is>
      </c>
      <c r="D224" t="n">
        <v>4</v>
      </c>
      <c r="E224" t="n">
        <v>10</v>
      </c>
      <c r="F224">
        <f>HYPERLINK("https://www.reddit.com/r/diabetes/comments/2gqddv/t1_frustrated_with_mother_always_invalidating/")</f>
        <v/>
      </c>
      <c r="G224" t="inlineStr">
        <is>
          <t>2014-09-17 21:20:42</t>
        </is>
      </c>
      <c r="H224" t="inlineStr">
        <is>
          <t>Type 1</t>
        </is>
      </c>
    </row>
    <row r="225">
      <c r="A225" t="inlineStr">
        <is>
          <t>2gqju0</t>
        </is>
      </c>
      <c r="B225" t="inlineStr">
        <is>
          <t>Intramuscular injections?</t>
        </is>
      </c>
      <c r="C225" t="inlineStr">
        <is>
          <t xml:space="preserve">Hi, I've been a type 1 for 8 years, the last two of them being on a ketogenic diet (low carb, high fat, moderate protein). I want to start eating carbs in the morning, and keep the rest of the day low carb. Some people have recommended using intramuscular injections with Humalog in order to avoid an initial glucose spike and get the insulin working faster. 
How do you do intramuscular injections, and how do you know you've injected directly into the muscle and not in the fat tissue? 
P.S.: I've thought of injecting in my triceps, which seems pretty visible. Would it be right?
</t>
        </is>
      </c>
      <c r="D225" t="n">
        <v>2</v>
      </c>
      <c r="E225" t="n">
        <v>14</v>
      </c>
      <c r="F225">
        <f>HYPERLINK("https://www.reddit.com/r/diabetes/comments/2gqju0/intramuscular_injections/")</f>
        <v/>
      </c>
      <c r="G225" t="inlineStr">
        <is>
          <t>2014-09-17 22:41:50</t>
        </is>
      </c>
      <c r="H225" t="inlineStr">
        <is>
          <t>Type 1</t>
        </is>
      </c>
    </row>
    <row r="226">
      <c r="A226" t="inlineStr">
        <is>
          <t>2gr568</t>
        </is>
      </c>
      <c r="B226" t="inlineStr">
        <is>
          <t>Loosing Control and anxiety</t>
        </is>
      </c>
      <c r="C226" t="inlineStr">
        <is>
          <t>Hi All, Ive been a Type one for around 14 years, since i was 11, however in the last year i have really cracked down on my control and have resorted to a low carb Diet and manged to get great control of my diabetes.
However about 3 months ago i have a really bad Hypo in the middle of the night, i woke up with a BS of 1.9, drank about a liter of coke and 40 mins later i was still 2.1 it took a lot more sugar to get me up from that and i was on the edge of loosing consciousness, i have no idea what caused this as the only insulin that should have been in my system was Levmir. my Doc suggested maybe i hit a muscle and this is what caused the Hypo.
Before this i had never really been scared of Hypos and always just delt with them, ever since this incident now anytime i feel my BS dropping or even going remotely low i start to feel very anxious and cant sit still fidget and start to get a tight chest and generally panic. often testing every few minutes or eatting sugar when im not low yet or just generally overdoing the amount of sugar i eat.
on top of this i feel recently the action of my Novarapid has changed, previously it would peak at around the 2 hour mark and that would be it, now however im noting significant drops in blood sugar around the 3 hour mark and slow drops all the way to 5 hours. 
ive also split my dose of Lemir from 48 units in the evening to 14 units in the morning and 21 units in the evening.
my NovoRapid requirements have dropped off a lot i was taking 14/16 units per 30G carbs i now seem to be taking 6/7 units for 30 grams of carbs but due to the delayed action of the novorapid my BS stays above 10 untill the middle of hour 3.
i have lost around 4/5 stone since starting to low carb an i imagine this is reducing any insulin resistance ive built up.
i recently was on holiday to spain that caused me so much stress i nearly broke down, the first day there i suffered a awful hypo in the evening that required me to use Glucogel and several other forms of sugar. the rest of this holiday i spent bouncing low and high because i just couldnt manged my sugar levels outside of my routine, i had no idea how many carbs were in my food and no idea what my insulin ratio was, and was purposely doing low. this has caused my anxiety to get worse, since coming home form holiday and into my routine ive stabilized my blood sugar levels again, but have been having trouble sleeping and have found my self staying up every night till 1 or 2 am to check my blood sugar isnt going to plumet again.
the worst part is the anxiety i feel seems to manufator a feeling of a hypo in me, which then increased the worry i feel about going low.
the last Hypo i had i over tested duing it and couldnt stop eatting.
a question i have though is how long is sugar supposed to take to act. i was 5.3 and dropping and i drank make 2 mouthfulls of lucosade and 10 mins later i was 4.6, i only had 8 units of insulin in me at the time and had ate a full 30 Carb meal, so i had some more sugar, and it wasnt until 40/50 mins later i seen my BS spike high and fast, seeing this has only increased my worrying about going low, surely this means if i caught myself hitting around 3.1 i could drop to under 2 before i see the sugar start to work?
im supposed to go on a honeymoon in april and this is causing me a lot of stress as im not sure i can handle 2 weeks out of routine. if anyone has any advice id really appreciate it.
Thanks</t>
        </is>
      </c>
      <c r="D226" t="n">
        <v>2</v>
      </c>
      <c r="E226" t="n">
        <v>4</v>
      </c>
      <c r="F226">
        <f>HYPERLINK("https://www.reddit.com/r/diabetes/comments/2gr568/loosing_control_and_anxiety/")</f>
        <v/>
      </c>
      <c r="G226" t="inlineStr">
        <is>
          <t>2014-09-18 04:51:30</t>
        </is>
      </c>
      <c r="H226" t="inlineStr">
        <is>
          <t>Type 1</t>
        </is>
      </c>
    </row>
    <row r="227">
      <c r="A227" t="inlineStr">
        <is>
          <t>2gryyu</t>
        </is>
      </c>
      <c r="B227" t="inlineStr">
        <is>
          <t>Confusing A1c??</t>
        </is>
      </c>
      <c r="C227" t="inlineStr">
        <is>
          <t>Just got my A1c today.  It was 5.2.  Not that I'm complaining, but I was astonished.  I just don't see how it's possible. Given the blood glucose readings I see every day, I was expecting something around 7. Dawn phenomenon is driving me crazy, shooting me up to 180 or 200 almost every morning.  I was dreading the appointment, sure I'd walk away with a prescription for Lantus or something.
Any thoughts?  Has anyone else felt like their A1c didn't reflect their reality?  I told my doctor that it baffled me and that my daily numbers just didn't match up to that.  I asked if maybe my hemoglobin is short lived or something, throwing the test off.  She didn't think that was the case.  
Anyway, just not sure what to think.  Wondering what others would surmise.
(I'm a type 2.  On metformin, low carbin' it, and exercise.  Can't think of what other info I should share.)</t>
        </is>
      </c>
      <c r="D227" t="n">
        <v>4</v>
      </c>
      <c r="E227" t="n">
        <v>7</v>
      </c>
      <c r="F227">
        <f>HYPERLINK("https://www.reddit.com/r/diabetes/comments/2gryyu/confusing_a1c/")</f>
        <v/>
      </c>
      <c r="G227" t="inlineStr">
        <is>
          <t>2014-09-18 10:00:42</t>
        </is>
      </c>
      <c r="H227" t="inlineStr">
        <is>
          <t>Type 2</t>
        </is>
      </c>
    </row>
    <row r="228">
      <c r="A228" t="inlineStr">
        <is>
          <t>2gsz1z</t>
        </is>
      </c>
      <c r="B228" t="inlineStr">
        <is>
          <t>Dumb Question</t>
        </is>
      </c>
      <c r="C228" t="inlineStr">
        <is>
          <t>Hi guys, I had a dumb but genuine question. I read somewhere that when we drink alcohol our glucose creation goes down as liver is busy breaking alcohol. Does that mean we can have high carb food when we are drinking.Again pardon me if it's a stupid question. Btw I am T2.</t>
        </is>
      </c>
      <c r="D228" t="n">
        <v>2</v>
      </c>
      <c r="E228" t="n">
        <v>16</v>
      </c>
      <c r="F228">
        <f>HYPERLINK("https://www.reddit.com/r/diabetes/comments/2gsz1z/dumb_question/")</f>
        <v/>
      </c>
      <c r="G228" t="inlineStr">
        <is>
          <t>2014-09-18 15:17:23</t>
        </is>
      </c>
      <c r="H228" t="inlineStr">
        <is>
          <t>Type 2</t>
        </is>
      </c>
    </row>
    <row r="229">
      <c r="A229" t="inlineStr">
        <is>
          <t>2gtaas</t>
        </is>
      </c>
      <c r="B229" t="inlineStr">
        <is>
          <t>Please help and forgive the plea.</t>
        </is>
      </c>
      <c r="C229" t="inlineStr">
        <is>
          <t xml:space="preserve">Hello everyone,
I've been a diabetic for over half my life (I'm 28) and for the past 10 years I've had no insurance and things are getting somewhat dire. I'm asking for help via GoFundMe ([http://www.gofundme.com/epqbww](http://www.gofundme.com/epqbww)) I've emailed many insulin pump manufacturers about my predicament and one finally gave me the idea to try this.
I'm not sure if this is plausible or not but in my current situation it is worth trying because I've exhausted every other option.
Please forgive this "begging", I feel disrespectful for having to do so because it's awkward for both parties but I feel right now to be around to enjoy life with my family, it's a necessity. Please forgive this post.
Thanks to all that can offer anything, even words of encouragement. If anyone has any questions please feel to ask, I'm not shy about any question or providing proof of anything.
Thank you in advance.
</t>
        </is>
      </c>
      <c r="D229" t="n">
        <v>1</v>
      </c>
      <c r="E229" t="n">
        <v>0</v>
      </c>
      <c r="F229">
        <f>HYPERLINK("https://www.reddit.com/r/diabetes/comments/2gtaas/please_help_and_forgive_the_plea/")</f>
        <v/>
      </c>
      <c r="G229" t="inlineStr">
        <is>
          <t>2014-09-18 17:06:12</t>
        </is>
      </c>
      <c r="H229" t="inlineStr">
        <is>
          <t>Type 1</t>
        </is>
      </c>
    </row>
    <row r="230">
      <c r="A230" t="inlineStr">
        <is>
          <t>2gvget</t>
        </is>
      </c>
      <c r="B230" t="inlineStr">
        <is>
          <t>T2 hypoglycaemic without medication.</t>
        </is>
      </c>
      <c r="C230" t="inlineStr">
        <is>
          <t>Hi, 
I was diagnosed last year December with T2 Diabetes. My doctor prescribed me Metformin 2000. I declined the usage, because I wanted to get my sugar under control with diet.
It caused some friction between me and my doctor etc. 3 weeks after diagnosis I brought my sugar down from 14.5 (261mg/dl) to a solid 4-5 (72-90mg/dl).
The problem is, I become hypoglycaemic very often. I don't do any sport so far, which I'm planning to start very soon. 
I've spoken to my doctor about it, but she told me it’s quite common and I should eat more (I have). 
If I don't eat something every 4 hours, I get low sugar, start shaking, lose my temper etc. It even drops after meals sometimes. 
It happens at night occasionally, my legs are soaking and my sweat smells awful. I eat a hell of a lot, in the beginning I was on a 100 carb diet, but it’s increased to 200 or even more at times. 
I'm planning to get back into weight training and power walking. This in the long run, will mean more food, but how much more must I eat to keep my sugar levels up?
Does anybody have similar experiences?
Chuck</t>
        </is>
      </c>
      <c r="D230" t="n">
        <v>2</v>
      </c>
      <c r="E230" t="n">
        <v>32</v>
      </c>
      <c r="F230">
        <f>HYPERLINK("https://www.reddit.com/r/diabetes/comments/2gvget/t2_hypoglycaemic_without_medication/")</f>
        <v/>
      </c>
      <c r="G230" t="inlineStr">
        <is>
          <t>2014-09-19 09:34:53</t>
        </is>
      </c>
      <c r="H230" t="inlineStr">
        <is>
          <t>Type 2</t>
        </is>
      </c>
    </row>
    <row r="231">
      <c r="A231" t="inlineStr">
        <is>
          <t>2gvs4m</t>
        </is>
      </c>
      <c r="B231" t="inlineStr">
        <is>
          <t>Recently diaganosed type 2 with the A1c blues.</t>
        </is>
      </c>
      <c r="C231" t="inlineStr">
        <is>
          <t>Hi! First time poster here, I found out in August 1 that my a1c level was at 8.3. My GP wanted to have me test again this week to see what my numbers are at before putting me on metformin. I've been excercising, carb counting and seeing different specialists. My test results came in today at 6.4 which I feel like I should be happy about, but experiencing a low mood today. I am sure this will pass and I will just keep plugging away. 
I'm also have high cholesterol and those numbers were about the same as the last test. I haven't told my family yet, because my sister is an RN and my parents have always been very active and are in good health. I feel like telling them will cause them to criticise me and my habits. I am making positive changes, but I know it's going to come up when I pass on dessert or something else I'm avoiding. I was wondering if anyone has had similar situations that were dealt with positively? Thanks!</t>
        </is>
      </c>
      <c r="D231" t="n">
        <v>1</v>
      </c>
      <c r="E231" t="n">
        <v>3</v>
      </c>
      <c r="F231">
        <f>HYPERLINK("https://www.reddit.com/r/diabetes/comments/2gvs4m/recently_diaganosed_type_2_with_the_a1c_blues/")</f>
        <v/>
      </c>
      <c r="G231" t="inlineStr">
        <is>
          <t>2014-09-19 11:20:38</t>
        </is>
      </c>
      <c r="H231" t="inlineStr">
        <is>
          <t>Type 2</t>
        </is>
      </c>
    </row>
    <row r="232">
      <c r="A232" t="inlineStr">
        <is>
          <t>2gxfsd</t>
        </is>
      </c>
      <c r="B232" t="inlineStr">
        <is>
          <t>Diagnosed two years ago today.</t>
        </is>
      </c>
      <c r="C232" t="inlineStr">
        <is>
          <t>Two years ago today I was a junior in high school and I woke up and went about my day normally. My mother had been telling me for a few weeks or so that she thought I looked lethargic and almost sickly, in a way. I brushed her off. Later that day, I was actually faking sick, being the dipshit that I was, and the school nurse asked me if there was a family history of diabetes. I left school and about an hour later I was diagnosed with Type 1 Diabetes when my mother took me to the doctor. 
Life hasn't changed all that much. I eat a lot of junk food and I'm still a string bean. I just give shots and check my BS daily now. It sort of just becomes your identity. It sounds cliche, but I guess that's just the way she goes.
Anyway, I'm not sure why I felt compelled to post this. Thanks for reading, though.</t>
        </is>
      </c>
      <c r="D232" t="n">
        <v>12</v>
      </c>
      <c r="E232" t="n">
        <v>9</v>
      </c>
      <c r="F232">
        <f>HYPERLINK("https://www.reddit.com/r/diabetes/comments/2gxfsd/diagnosed_two_years_ago_today/")</f>
        <v/>
      </c>
      <c r="G232" t="inlineStr">
        <is>
          <t>2014-09-19 22:17:49</t>
        </is>
      </c>
      <c r="H232" t="inlineStr">
        <is>
          <t>Type 1</t>
        </is>
      </c>
    </row>
    <row r="233">
      <c r="A233" t="inlineStr">
        <is>
          <t>2gxx8k</t>
        </is>
      </c>
      <c r="B233" t="inlineStr">
        <is>
          <t>Low carb ketogenic diet and insulin resistance?</t>
        </is>
      </c>
      <c r="C233" t="inlineStr">
        <is>
          <t xml:space="preserve">Does anyone else find that insulin resistance gets a little moody when doing a low carb diet, of the ketogenic type?
I'm a type 1 diabetic and f I switch from a ''normal'' diet to a ketogenic one (under 20g of carbs a day) I'll probably need 1 unit of insulin per meal on the first day, then it will go up to about 3 units per meal, occasionally in a few days it will go up to 4, then back to 2... 
Is there a ''carb range'' (a number of carbs per day) that makes your insulin needs stable? It seems that a ketogenic diet can make you a bit insulin resistant, from what I've seen or read. </t>
        </is>
      </c>
      <c r="D233" t="n">
        <v>5</v>
      </c>
      <c r="E233" t="n">
        <v>14</v>
      </c>
      <c r="F233">
        <f>HYPERLINK("https://www.reddit.com/r/diabetes/comments/2gxx8k/low_carb_ketogenic_diet_and_insulin_resistance/")</f>
        <v/>
      </c>
      <c r="G233" t="inlineStr">
        <is>
          <t>2014-09-20 03:44:13</t>
        </is>
      </c>
      <c r="H233" t="inlineStr">
        <is>
          <t>Type 1</t>
        </is>
      </c>
    </row>
    <row r="234">
      <c r="A234" t="inlineStr">
        <is>
          <t>2gz92n</t>
        </is>
      </c>
      <c r="B234" t="inlineStr">
        <is>
          <t>Anyone else have a constant case of rage? T1</t>
        </is>
      </c>
      <c r="C234" t="inlineStr">
        <is>
          <t xml:space="preserve">Does anyone else has a constant case of the hulk-smsahes like i do? I find that even when my sugars are normal i'm constantly angry, quick to anger, and constantly irritable. and i can't even contain it like i used to. it more often than not makes me depressed because i lash out at people i care about and sometimes i don't even realize i'm doing it. it's even worse if i'm on a low. </t>
        </is>
      </c>
      <c r="D234" t="n">
        <v>9</v>
      </c>
      <c r="E234" t="n">
        <v>34</v>
      </c>
      <c r="F234">
        <f>HYPERLINK("https://www.reddit.com/r/diabetes/comments/2gz92n/anyone_else_have_a_constant_case_of_rage_t1/")</f>
        <v/>
      </c>
      <c r="G234" t="inlineStr">
        <is>
          <t>2014-09-20 13:36:47</t>
        </is>
      </c>
      <c r="H234" t="inlineStr">
        <is>
          <t>Type 1</t>
        </is>
      </c>
    </row>
    <row r="235">
      <c r="A235" t="inlineStr">
        <is>
          <t>2h2411</t>
        </is>
      </c>
      <c r="B235" t="inlineStr">
        <is>
          <t>Can't get my blood sugar down, first time ever</t>
        </is>
      </c>
      <c r="C235" t="inlineStr">
        <is>
          <t>Been diabetic for three months.
I guess I've been in the honeymoon phase or whatever, I had a lot of lows and they constantly kept adjusting my doses smaller and smaller.
I had one weekend where I was out with friends and I forgot my insulin. I didn't want to be a party pooper or whatever so I didn't take it that night, and had a lot of beers and greasy bar food.
Before this, my levels were really good. I was always "in the zone" 90-110 ish and my last A1C was 6.0.
It's been about a week and my levels cannot get below 200. They're usually between 250 and 300. Saw 350 once. Lowest I've seen during this peroid has been 180. I kind of thought maybe the insulin was bad or exposed to extreme temperatures or something, but I'm now on my second Humalog pen and it's still sky high. 
I haven't adjusted my daily basal dose of Lantus, but corrections in addition to my regular meal dose of Humalog are doing absolutely nothing to lower it.
Probably will call and make an appointment with my endo tomorrow but I wanted some impressions from longtime T1s first.</t>
        </is>
      </c>
      <c r="D235" t="n">
        <v>3</v>
      </c>
      <c r="E235" t="n">
        <v>14</v>
      </c>
      <c r="F235">
        <f>HYPERLINK("https://www.reddit.com/r/diabetes/comments/2h2411/cant_get_my_blood_sugar_down_first_time_ever/")</f>
        <v/>
      </c>
      <c r="G235" t="inlineStr">
        <is>
          <t>2014-09-21 12:34:32</t>
        </is>
      </c>
      <c r="H235" t="inlineStr">
        <is>
          <t>Type 1</t>
        </is>
      </c>
    </row>
    <row r="236">
      <c r="A236" t="inlineStr">
        <is>
          <t>2h2vlc</t>
        </is>
      </c>
      <c r="B236" t="inlineStr">
        <is>
          <t>Type 1 Diabetic on birth control. Having a hard time with high blood sugars.</t>
        </is>
      </c>
      <c r="C236" t="inlineStr">
        <is>
          <t>Hey guys! I've been a diabetic for about 4 years now and I've been on my birth control for maybe about 6 months now. My lantus dose has gone from 14 to now 19 in the past year. Anyone else have a big dose increase like that when they were put on birth control? I'm still having a hard time adjusting to it, because before bed I've been having numbers in the 200's. Pretty sure I could up my dose even higher...
I have to say this year has been the toughest for me with dealing with my diabetes and I have never dealt with such high and constant numbers. My insurance just recently changed too, so I'm going to try and see my endocrinologist hopefully early October.
I'm sorry if this post seems kind of all over the place, I'm just trying to get back on top of it and need some advice. Thanks!</t>
        </is>
      </c>
      <c r="D236" t="n">
        <v>3</v>
      </c>
      <c r="E236" t="n">
        <v>9</v>
      </c>
      <c r="F236">
        <f>HYPERLINK("https://www.reddit.com/r/diabetes/comments/2h2vlc/type_1_diabetic_on_birth_control_having_a_hard/")</f>
        <v/>
      </c>
      <c r="G236" t="inlineStr">
        <is>
          <t>2014-09-21 17:05:13</t>
        </is>
      </c>
      <c r="H236" t="inlineStr">
        <is>
          <t>Type 1</t>
        </is>
      </c>
    </row>
    <row r="237">
      <c r="A237" t="inlineStr">
        <is>
          <t>2h4gok</t>
        </is>
      </c>
      <c r="B237" t="inlineStr">
        <is>
          <t>[T1] Question about past control</t>
        </is>
      </c>
      <c r="C237" t="inlineStr">
        <is>
          <t xml:space="preserve">This may sound like a total noob question, but it's been bothering me. Can past bad control come back to haunt you? I regularly have all my blood/urine tests done and everything is fine - but can things show up later from past bad control? </t>
        </is>
      </c>
      <c r="D237" t="n">
        <v>5</v>
      </c>
      <c r="E237" t="n">
        <v>7</v>
      </c>
      <c r="F237">
        <f>HYPERLINK("https://www.reddit.com/r/diabetes/comments/2h4gok/t1_question_about_past_control/")</f>
        <v/>
      </c>
      <c r="G237" t="inlineStr">
        <is>
          <t>2014-09-22 06:19:10</t>
        </is>
      </c>
      <c r="H237" t="inlineStr">
        <is>
          <t>Type 1</t>
        </is>
      </c>
    </row>
    <row r="238">
      <c r="A238" t="inlineStr">
        <is>
          <t>2h5499</t>
        </is>
      </c>
      <c r="B238" t="inlineStr">
        <is>
          <t>Getting my A1C under control</t>
        </is>
      </c>
      <c r="C238" t="inlineStr">
        <is>
          <t>http://imgur.com/qZOFgSo
I learned that I was diabetic in March this year. My initial A1C was 12.1. As my doctor said, it was, "off the charts." I was put on Metformin and insulin that day.
Last Friday, I met with him to review my latest labs and here are the results. Since March, I've lost over 55 lbs and have become way more active and eating cleaner than I think I ever have in my life. 
I've been off insulin for a couple months now and my doctor told me that I should stop taking the Metformin and to keep doing what I've been doing. Needless to say, I'm feeling damn good about myself.
Edit: I rarely post, so I screwed up linking the image. Bah!</t>
        </is>
      </c>
      <c r="D238" t="n">
        <v>12</v>
      </c>
      <c r="E238" t="n">
        <v>5</v>
      </c>
      <c r="F238">
        <f>HYPERLINK("https://www.reddit.com/r/diabetes/comments/2h5499/getting_my_a1c_under_control/")</f>
        <v/>
      </c>
      <c r="G238" t="inlineStr">
        <is>
          <t>2014-09-22 10:04:07</t>
        </is>
      </c>
      <c r="H238" t="inlineStr">
        <is>
          <t>Type 2</t>
        </is>
      </c>
    </row>
    <row r="239">
      <c r="A239" t="inlineStr">
        <is>
          <t>2h57dh</t>
        </is>
      </c>
      <c r="B239" t="inlineStr">
        <is>
          <t>Ten year old sister just got diagnosed with type one, what sort of things can I do/tell to help her? Any important information I should have?</t>
        </is>
      </c>
      <c r="C239" t="inlineStr">
        <is>
          <t>So as the title says my ten year old sister just got diagnose with type one diabetes. It's a pretty big shock to us all as nobody in our close family has type one (an aunt has type two but that's as far as it goes) and she's currently in hospital for an overnight stay taking tests. She isn't a fan of needles and most likely isn't going to enjoy the insulin shots every day.
What sort of things can I do or tell her to try and make things better for her? I don't really know what to do or say other than 'everything is going to be okay' (which while true doesn't really help).
Also I'd love important facts and info about your experience with diabetes if you're okay with sharing. I know it's manageable but how does it factor into your every day life? Was there any problems at school with it? Stuff like that.
Thanks in advance.</t>
        </is>
      </c>
      <c r="D239" t="n">
        <v>5</v>
      </c>
      <c r="E239" t="n">
        <v>23</v>
      </c>
      <c r="F239">
        <f>HYPERLINK("https://www.reddit.com/r/diabetes/comments/2h57dh/ten_year_old_sister_just_got_diagnosed_with_type/")</f>
        <v/>
      </c>
      <c r="G239" t="inlineStr">
        <is>
          <t>2014-09-22 10:30:12</t>
        </is>
      </c>
      <c r="H239" t="inlineStr">
        <is>
          <t>Type 1</t>
        </is>
      </c>
    </row>
    <row r="240">
      <c r="A240" t="inlineStr">
        <is>
          <t>2h7aj0</t>
        </is>
      </c>
      <c r="B240" t="inlineStr">
        <is>
          <t>School Nurse Trouble</t>
        </is>
      </c>
      <c r="C240" t="inlineStr">
        <is>
          <t>My daughter just started middle school (6th grade, T1, diagnosed age 4, insulin pens -Humalog/Lantus), and we are having tons of trouble this year with the nurse/health aide. The nurse covers a few schools, so she has a health aide instead most of the time. We are having more trouble working together than any year since Bella has been in school. It doesn't help that she is having these unexplained highs. Today, for instance, she was at 96 before she went off to school - ate nothing in between as far as I or the school can tell, and was 500 at lunch. I told the health aide what Bella had eaten for breakfast (eggs and 15 g. sized glass of oj to treat the low number she had previously), and her breakfast number, and said "I can't explain it! Do you have any ideas?" hoping to brainstorm how we can keep this from happening, and she basically said, "I don't know," and hung up. I can't tell if she doesn't care, or if she thinks that I stuff Bella's pockets full of candy corn and tell her she has to eat it all every day. Her lunch was 35 carbs (a Lunchable, carrots, tomatoes), and the health aide said, "That's a very big bolus. Do you want me to give her all that insulin?" There isn't really an alternative, if we want her sugar to come down! She seems to disapprove of the amount of insulin Bella gets, but she's on a 1:4 ratio, per her last doctor's visit, so really every bolus is fairly large. She was having lows in the morning at the beginning of the year, so the nurse and I discussed changing her ratio to 1:5 for school, and I thought we had done it, but just today I found out that they had only used the changed dosage one time, because they feel that any change at all requires a new doctor's order. Yet when I call the endo to tell them this, and ask for advice, they say that the orders they sent specify that parents are allowed to modify ratios by 5 units either way, and that I should "develop a relationship with the nurse/aide and let them know that we are all on the same side". I don't know how, since the nurse/aide appear not to trust me, and the doctor won't speak with them. I am at my wits' end.
They are so weird that we discussed low snacks at the beginning of the year and last year's nurse (same district) had recommended Smarties, which this year's nurse said were a good idea. I sent them in at the beginning of the year, but the nurse on the phone today told me that they hadn't been using them because this year's state guidelines only specifically mention Sweet Tarts. Argh!
Does anyone else have experience dealing with difficult school situations? This is so frustrating, and I don't know what to do!</t>
        </is>
      </c>
      <c r="D240" t="n">
        <v>9</v>
      </c>
      <c r="E240" t="n">
        <v>37</v>
      </c>
      <c r="F240">
        <f>HYPERLINK("https://www.reddit.com/r/diabetes/comments/2h7aj0/school_nurse_trouble/")</f>
        <v/>
      </c>
      <c r="G240" t="inlineStr">
        <is>
          <t>2014-09-22 22:07:09</t>
        </is>
      </c>
      <c r="H240" t="inlineStr">
        <is>
          <t>Type 1</t>
        </is>
      </c>
    </row>
    <row r="241">
      <c r="A241" t="inlineStr">
        <is>
          <t>2h93th</t>
        </is>
      </c>
      <c r="B241" t="inlineStr">
        <is>
          <t>Do you celebrate your diabetes anniversary?</t>
        </is>
      </c>
      <c r="C241" t="inlineStr">
        <is>
          <t>Hi all,
I've been living with type 1 diabetes for 16 years. Today, someone asked me if I celebrate my diabetes anniversary each year. They said, "Do you celebrate living well another year?"
Is that offensive to you?
Thoughts? 
-e</t>
        </is>
      </c>
      <c r="D241" t="n">
        <v>10</v>
      </c>
      <c r="E241" t="n">
        <v>37</v>
      </c>
      <c r="F241">
        <f>HYPERLINK("https://www.reddit.com/r/diabetes/comments/2h93th/do_you_celebrate_your_diabetes_anniversary/")</f>
        <v/>
      </c>
      <c r="G241" t="inlineStr">
        <is>
          <t>2014-09-23 11:38:37</t>
        </is>
      </c>
      <c r="H241" t="inlineStr">
        <is>
          <t>Type 1</t>
        </is>
      </c>
    </row>
    <row r="242">
      <c r="A242" t="inlineStr">
        <is>
          <t>2h9w8u</t>
        </is>
      </c>
      <c r="B242" t="inlineStr">
        <is>
          <t>Experiencing T2 symptoms while job hunting for position where bathroom breaks are infrequent. Worried about how to cope &amp;amp; what to reveal to potential employer.</t>
        </is>
      </c>
      <c r="C242" t="inlineStr">
        <is>
          <t xml:space="preserve">For the past few months I noticed the onset of T2 symptoms like increased thirst, more frequent urination (every 1-2 hours), less clear vision requiring glasses almost full time vs. just reading glasses before, headaches after consuming carbs (have since tried to reduce carb intake) and some fatigue.   
I've made an appointment with my doctor who I see twice a year and I suspect my blood glucose levels have escalated from pre-diabetes to full blown diabetes, but the problem is the appointment is not for another 3 weeks and I urgently need a job now.   One of my job applications was replied to this week and I need to get back to them on my availability .. it's for a call center position which I know isn't great due to the stress, structured shifts, timed breaks, etc... in fact I'm worried about this job because from the job ad, it seems that breaks are every 2-2.5 hours which in my case of suspected uncontrolled diabetes, is too long to hold out, especially when dealing with angry customers and high stress.
So I wonder if I should consider getting Depends undergarments in case I can't leave my desk and they are really rigid about break times.   My other concern is that I have a doctor's appointment once the job (have to have blood and urine tests done soon) would start and it conflicts with the work schedule...when do I bring that up...now during the application stage or later once hired?
One more thing...does Metformin, a medication I read is often prescribed to T2 patients, reduce the frequency of urination once blood glucose levels are lowered?   </t>
        </is>
      </c>
      <c r="D242" t="n">
        <v>5</v>
      </c>
      <c r="E242" t="n">
        <v>17</v>
      </c>
      <c r="F242">
        <f>HYPERLINK("https://www.reddit.com/r/diabetes/comments/2h9w8u/experiencing_t2_symptoms_while_job_hunting_for/")</f>
        <v/>
      </c>
      <c r="G242" t="inlineStr">
        <is>
          <t>2014-09-23 15:48:30</t>
        </is>
      </c>
      <c r="H242" t="inlineStr">
        <is>
          <t>Type 2</t>
        </is>
      </c>
    </row>
    <row r="243">
      <c r="A243" t="inlineStr">
        <is>
          <t>2hb2oe</t>
        </is>
      </c>
      <c r="B243" t="inlineStr">
        <is>
          <t>Prepping for cheat meal</t>
        </is>
      </c>
      <c r="C243" t="inlineStr">
        <is>
          <t>I tried looking at the different threads on how best to "cheat", so to speak. The best advice so far is to "own" your cheat meal instead of the other way around to avoid setting yourself up for failure. 
From the threads I see, most of the other advice revolve around adjusting insulin for the meal. But as a type 2 not on insulin, I'm hoping for more specific advice.
Is a lengthier exercise session my best bet? I take Metformin at 10am/10pm usually, should I move it closer to dinner time just that once (~7-8pm)?
I'm not planning to go all-out on the carbs, but I will definitely have more than the usual... like a little grain, or some dessert. My usual fare are (non-starchy) veggies and some protein (meat or vege meat). 
As I am very new to the diabetic balancing game, I've been admittedly afraid to experiment outside what I know are safe bets. But I feel it's time to explore outside that, hence this post.
Thanks in advance, and sorry if I missed a thread that deals w/ this same topic.</t>
        </is>
      </c>
      <c r="D243" t="n">
        <v>1</v>
      </c>
      <c r="E243" t="n">
        <v>7</v>
      </c>
      <c r="F243">
        <f>HYPERLINK("https://www.reddit.com/r/diabetes/comments/2hb2oe/prepping_for_cheat_meal/")</f>
        <v/>
      </c>
      <c r="G243" t="inlineStr">
        <is>
          <t>2014-09-23 23:21:53</t>
        </is>
      </c>
      <c r="H243" t="inlineStr">
        <is>
          <t>Type 2</t>
        </is>
      </c>
    </row>
    <row r="244">
      <c r="A244" t="inlineStr">
        <is>
          <t>2hc12h</t>
        </is>
      </c>
      <c r="B244" t="inlineStr">
        <is>
          <t>Frequent urination at night despite normal blood sugar levels?</t>
        </is>
      </c>
      <c r="C244" t="inlineStr">
        <is>
          <t>A little about me: Type 1 diabetic for 20 years; had some bad periods (as in an A1C of ~14 bad), but now my A1C has been steadily hovering at the 6-7 level for several years now.
I've been experiencing a strange pattern that I haven't been able to find much info about on the web - My urination has increased slowly over the years, from what I assume to be just complications of my disease. However in the past week or so, I've been waking up 3-4 times in the middle of the night to pee, even when my blood sugar levels are in the optimal range each time. I've stopped drinking liquids several hours before going to bed, but my body nonetheless seems to be producing urine nonstop - requiring me to get up every 2-3 hours.
In addition to the above symptoms, I've also noticed that after I get up in the mornings, I'm able to go an abnormally long time without urinating, even when drinking multiple cups of coffee/water. When I previously did this, I'd have to go at around 9am during my daily work schedule - Now I can reach about 11am before I even feel an urge. So I must be getting really dehydrated throughout the night...
Anyone have an idea? Or even experienced something similar? I'm desperate to find a solution as this is becoming incredibly disruptive to my sleep schedule.
Thanks!</t>
        </is>
      </c>
      <c r="D244" t="n">
        <v>3</v>
      </c>
      <c r="E244" t="n">
        <v>11</v>
      </c>
      <c r="F244">
        <f>HYPERLINK("https://www.reddit.com/r/diabetes/comments/2hc12h/frequent_urination_at_night_despite_normal_blood/")</f>
        <v/>
      </c>
      <c r="G244" t="inlineStr">
        <is>
          <t>2014-09-24 07:46:42</t>
        </is>
      </c>
      <c r="H244" t="inlineStr">
        <is>
          <t>Type 1</t>
        </is>
      </c>
    </row>
    <row r="245">
      <c r="A245" t="inlineStr">
        <is>
          <t>2hgbq2</t>
        </is>
      </c>
      <c r="B245" t="inlineStr">
        <is>
          <t>Advice to the new boy in school</t>
        </is>
      </c>
      <c r="C245" t="inlineStr">
        <is>
          <t>About ten years ago I was diagnosed with T2. Over the summer I started rapidly losing weight from 305 to 266. I assumed is was due to increased activity and less eating. Turns out my body was burning fat because I was running at glucose levels of 500+. I had two small strokes 11 days ago and that's when they discovered my glucose and the fact that my A1C went from 7.6 to 13.6. I'm now on 4X per day insulin. I'd accept any helpful hints.</t>
        </is>
      </c>
      <c r="D245" t="n">
        <v>6</v>
      </c>
      <c r="E245" t="n">
        <v>5</v>
      </c>
      <c r="F245">
        <f>HYPERLINK("https://www.reddit.com/r/diabetes/comments/2hgbq2/advice_to_the_new_boy_in_school/")</f>
        <v/>
      </c>
      <c r="G245" t="inlineStr">
        <is>
          <t>2014-09-25 11:30:19</t>
        </is>
      </c>
      <c r="H245" t="inlineStr">
        <is>
          <t>Type 2</t>
        </is>
      </c>
    </row>
    <row r="246">
      <c r="A246" t="inlineStr">
        <is>
          <t>2hgxth</t>
        </is>
      </c>
      <c r="B246" t="inlineStr">
        <is>
          <t>Any tips for getting my diabetes back under control?</t>
        </is>
      </c>
      <c r="C246" t="inlineStr">
        <is>
          <t>Hiya. I'm a 17 year old Type 1 diabetic. I was diagnosed in Feb. 2010 - back then I had perfect control of my diabetes. 
I regularly checked my glucose levels which were usually between 5-9 mmol/l, I measured the food I ate on a scale.. everything was great. 
About 3 years later things started to go downhill, and this slope has continued since. My HbA1c has risen from a ~6.5 to 9.0 (latest test was a couple of days ago). I've become EXTREMELY lazy with everything. I measure my glucose about once per day, which I usually do only because I feel my glucose levels are high (and after measuring they usually are around 10-15 mmol/l). I eat more than I should and my meals are crap (eg. french fries, mashed potatoes, cappucinos, stuff like that.), I'm very picky about what I eat.
I live with my family and their lifestyle is affecting me. I have poor willpower when they bring soda, candy and stuff like that home. I succumb to it.
I don't weigh my food anymore, I take my insulin shots about 10 minutes after I ate a meal. I give myself additional insulin shots when sugar is high. Over the years I've maintained my 78kg weight. I'm afraid I can't bring myself back to the former glory. On the 3month checkup with my doctor, I give her a faked test-list for the past few weeks, and I'm not even generous with the glucose levels I write down on it.
I know of all the bad sides of diabetes and what it can bring you if not controlled (sad part: I'm going to nursing school). I just feel helpless, I've lost any will to care about myself. 
If anyone has any tips, or has been through something like this, I'd appreciate any advice you can give.</t>
        </is>
      </c>
      <c r="D246" t="n">
        <v>13</v>
      </c>
      <c r="E246" t="n">
        <v>13</v>
      </c>
      <c r="F246">
        <f>HYPERLINK("https://www.reddit.com/r/diabetes/comments/2hgxth/any_tips_for_getting_my_diabetes_back_under/")</f>
        <v/>
      </c>
      <c r="G246" t="inlineStr">
        <is>
          <t>2014-09-25 14:45:03</t>
        </is>
      </c>
      <c r="H246" t="inlineStr">
        <is>
          <t>Type 1</t>
        </is>
      </c>
    </row>
    <row r="247">
      <c r="A247" t="inlineStr">
        <is>
          <t>2hhd4i</t>
        </is>
      </c>
      <c r="B247" t="inlineStr">
        <is>
          <t>Parent of a newly diagnosed Type 1, need advice</t>
        </is>
      </c>
      <c r="C247" t="inlineStr">
        <is>
          <t xml:space="preserve">A few weeks ago my son had been ill for a few days, he started hyperventilating and then become unresponsive. We took him to the emergency room, where they rushed him to a children's hospital. They told us his blood sugar was over 800 and his PH was 6.76. He was in a coma for two days. They diagnosed his condition as DKA and told us he is a type 1 diabetic. 
We went to the diabetes clinic after he was released where they taught us how to give him shots and count his carbs. They also ran some tests. So, yesterday we had a follow up appointment where they told us that he should be positive for at  least one type of anitbody. They said almost all kids are, but he is not. 
They are still quite sure that it is type 1 (they said type 2 does not present this way and he is otherwise healthy), but no one is saying what it means that he does not have these antibodies. I do not know if this is something we should be concerned about. 
If anyone is familiar with this kind of situation, I would love some insight as to what this means.  </t>
        </is>
      </c>
      <c r="D247" t="n">
        <v>1</v>
      </c>
      <c r="E247" t="n">
        <v>14</v>
      </c>
      <c r="F247">
        <f>HYPERLINK("https://www.reddit.com/r/diabetes/comments/2hhd4i/parent_of_a_newly_diagnosed_type_1_need_advice/")</f>
        <v/>
      </c>
      <c r="G247" t="inlineStr">
        <is>
          <t>2014-09-25 17:16:18</t>
        </is>
      </c>
      <c r="H247" t="inlineStr">
        <is>
          <t>Type 1</t>
        </is>
      </c>
    </row>
    <row r="248">
      <c r="A248" t="inlineStr">
        <is>
          <t>2hhu3u</t>
        </is>
      </c>
      <c r="B248" t="inlineStr">
        <is>
          <t>Made recent switch to insulin pump. Incredibly... underwhelmed...</t>
        </is>
      </c>
      <c r="C248" t="inlineStr">
        <is>
          <t>Quick background: type 1 diabetic for five years now, I've been on lantus/novolog pens since. Never had an a1c higher than 7.0 (not great, but definitely better than most).
So a few days ago, I made the transition to an insulin pump. I kept hearing about how amazing it was and everything else, so I went ahead to give it a try. Insurance thankfully fully covered it and now I'm attached to a tslim with novolog. 
The past few days have been.... interesting to say the least. That is, I find it VERY difficult to break from my sugar highs after eating, almost having to do 1.5x the bolus I would otherwise use on pens. I've frequently had to double the rates on the basal temporarily at certain points as well and it's been particularly annoying and highly ineffective. At first I thought it was just a bad first site. So I switched it over to another, and now the same thing is happening again. I had a potato and a glass of milk, and I was low at the time. Something that 15 units should EASILY handle for me. 
On the pump, I'm currently sitting at 200 mg/dL and I've already injected 25 units as BOLUS with no improvement. I don't know if I have another bad spot or I'm just not understanding how this technology works. But after being told by nearly EVERY doctor I've spoken with that I need to be on a pump, I caved. And yet, I've been miserable the past five days, I'm about to declare fuck it and go back to my pens which I KNOW work fine with LESS insulin. 
I otherwise use a dexcom g4 sensor which allows me to react rather well to changes in my blood sugar. 
Am I doing something wrong or is this just part of the adjustment? 
Current hourly basal is set to 1.45, matching to what would be my 32 units of lantus. 
The positive I can give is that at least my sugars have been stable. High, but stable. 
....I seriously want my pens back if this is as good as it gets :&amp;lt;</t>
        </is>
      </c>
      <c r="D248" t="n">
        <v>9</v>
      </c>
      <c r="E248" t="n">
        <v>36</v>
      </c>
      <c r="F248">
        <f>HYPERLINK("https://www.reddit.com/r/diabetes/comments/2hhu3u/made_recent_switch_to_insulin_pump_incredibly/")</f>
        <v/>
      </c>
      <c r="G248" t="inlineStr">
        <is>
          <t>2014-09-25 20:14:28</t>
        </is>
      </c>
      <c r="H248" t="inlineStr">
        <is>
          <t>Type 1</t>
        </is>
      </c>
    </row>
    <row r="249">
      <c r="A249" t="inlineStr">
        <is>
          <t>2hinr3</t>
        </is>
      </c>
      <c r="B249" t="inlineStr">
        <is>
          <t>Antibody test "weakly positive", LADA?</t>
        </is>
      </c>
      <c r="C249" t="inlineStr">
        <is>
          <t>I know I am being impatient because there will be more testing I am sure (but not for months until the next appointment). Today though we found out that my partner has tested weakly positive in his antibody test.
Should that make us assume it's probably LADA? Does anyone know anyone who tested weakly positive for the antibodies but in the end was just plain old type 2?
He is young to be getting diabetes type 2 (late 20s) but he was obese at the time he was diagnosed (he's just overweight now).</t>
        </is>
      </c>
      <c r="D249" t="n">
        <v>4</v>
      </c>
      <c r="E249" t="n">
        <v>10</v>
      </c>
      <c r="F249">
        <f>HYPERLINK("https://www.reddit.com/r/diabetes/comments/2hinr3/antibody_test_weakly_positive_lada/")</f>
        <v/>
      </c>
      <c r="G249" t="inlineStr">
        <is>
          <t>2014-09-26 04:08:18</t>
        </is>
      </c>
      <c r="H249" t="inlineStr">
        <is>
          <t>Type 1.5/LADA</t>
        </is>
      </c>
    </row>
    <row r="250">
      <c r="A250" t="inlineStr">
        <is>
          <t>2hk89j</t>
        </is>
      </c>
      <c r="B250" t="inlineStr">
        <is>
          <t>tubing damage? tips?</t>
        </is>
      </c>
      <c r="C250" t="inlineStr">
        <is>
          <t xml:space="preserve">started my pump yesterday! and i have a question, check this album out: [the tubing where it connects to the capsule](http://imgur.com/a/E4BVk)
so the tube is kind of discolored and crooked like it has been yanked. does this happen normally? should i be concerned? sugars are under control so it's not broken -- yet. insulin is definitely flowing.
also is this preventable? tips? halp. </t>
        </is>
      </c>
      <c r="D250" t="n">
        <v>2</v>
      </c>
      <c r="E250" t="n">
        <v>5</v>
      </c>
      <c r="F250">
        <f>HYPERLINK("https://www.reddit.com/r/diabetes/comments/2hk89j/tubing_damage_tips/")</f>
        <v/>
      </c>
      <c r="G250" t="inlineStr">
        <is>
          <t>2014-09-26 13:53:07</t>
        </is>
      </c>
      <c r="H250" t="inlineStr">
        <is>
          <t>Type 1</t>
        </is>
      </c>
    </row>
    <row r="251">
      <c r="A251" t="inlineStr">
        <is>
          <t>2hklt1</t>
        </is>
      </c>
      <c r="B251" t="inlineStr">
        <is>
          <t>Partner just diagnosed with type 1 - good starting points for research / advice?</t>
        </is>
      </c>
      <c r="C251" t="inlineStr">
        <is>
          <t>So, my partner was diagnosed with type 1 diabetes today, in quite dramatic circumstances (investigative bloods at lunch time, in A&amp;amp;E for treatment of DKA three hours later). She's now safe and sound on a specialist ward, but obviously there's a lot to take in, and the main thing I've realised is how little I actually know about an illness I previously thought I was at least reasonably au-fait with.
I know there are lots of posts like this, but the web is awash with enormous amounts of information, much of it contradictory, and we won't get to see the specialist who can answer all of our questions for a few days.
I wondered if there are any resources anyone can point me to that you feel are a good starting point. I know it's going to take months, possibly even years, to take in all the information we need to know, but any good links or general pieces of advice for a partner of someone with type 1, especially with regards to coping with those first few weeks and the anxieties they can bring for both parties, would be super appreciated.</t>
        </is>
      </c>
      <c r="D251" t="n">
        <v>1</v>
      </c>
      <c r="E251" t="n">
        <v>1</v>
      </c>
      <c r="F251">
        <f>HYPERLINK("https://www.reddit.com/r/diabetes/comments/2hklt1/partner_just_diagnosed_with_type_1_good_starting/")</f>
        <v/>
      </c>
      <c r="G251" t="inlineStr">
        <is>
          <t>2014-09-26 16:12:39</t>
        </is>
      </c>
      <c r="H251" t="inlineStr">
        <is>
          <t>Type 1</t>
        </is>
      </c>
    </row>
    <row r="252">
      <c r="A252" t="inlineStr">
        <is>
          <t>2hl512</t>
        </is>
      </c>
      <c r="B252" t="inlineStr">
        <is>
          <t>Family Won't Accept My Recent T1D Diagnosis...Advice?</t>
        </is>
      </c>
      <c r="C252" t="inlineStr">
        <is>
          <t xml:space="preserve">To start: I'm a 22 year old female who just received a type 1 diabetes and hashimoto's thyroiditis diagnosis earlier this year. This past January, I paid a visit to the emergency room at a nearby hospital after having spent weeks waiting for a "cold" to pass. I was experiencing shortness of breath, blurred vision, disorientation, trembles, frequent urination, and eventually, I was unable to hold down anything that passed my lips. I went in assuming I had the flu or pneumonia since I went to the campus clinic just a week prior and wasn't alerted of any conditions that were life threatening. FFW to the emergency room and I have a team of nurses swarming me, mentioning that my case looks like type 1 diabetes. I was distraught. My family was immediately on the defense about this, and began demanding second opinions from day one. My diabetes team has provided a mountain of evidence to support this diagnosis, including: highlighted charts of my A1C in the months preceding my visit, a GAD antibody test, which showed I have the antibodies linked to type 1 diabetes, and a low c-peptide count, which suggests that my pancreas is making little to no insulin. I recently earned my B.S. in Health Science, so my health has become one of my most important priorities, even more so with my t1d and hashi's diagnoses. This gives me all the more reason to double and triple check any of the information that's being given to me by my medical team. I know I have type 1 diabetes. I've accepted it. I even try to have fun with it. It's just been very difficult not to talk myself out of this realization when I have family members telling me it's a misdiagnosis. Is there anything I'm missing? Is this a common response to this diagnosis? How might you deal with these interactions? To add a bit of context, my mom is very religious and believes in praying sickness away. She has made comments about distant friends who have 'cured' their type 1 diabetes with 'natural' remedies (I believe she can't distinguish the different types). She is very against insulin therapy. She has recently been diagnosed with type 2 diabetes and hasn't done much to change the behaviors that got her there. She's lost a few loved ones, including her father, from diabetes complications and I believe that's where her fears might be rooted. I just want to find a means of communicating that get her to a.)acknowledge my non-preventable, incurable (currently) t1d and b.)take control of her t2d. I made a Reddit account just to make this post, so any help/advice is appreciated :)
edit: I forgot, my first A1C following my hospital visit was a 5.7% and I recently got it up to a 5.9%. I hardly ever go low, but my team wants me to wear a CGM and doesn't believe I'm being honest about the frequency of my low blood sugars. I keep screaming "Honeymoon!!" but they aren't listening--am I really too low? </t>
        </is>
      </c>
      <c r="D252" t="n">
        <v>8</v>
      </c>
      <c r="E252" t="n">
        <v>33</v>
      </c>
      <c r="F252">
        <f>HYPERLINK("https://www.reddit.com/r/diabetes/comments/2hl512/family_wont_accept_my_recent_t1d_diagnosisadvice/")</f>
        <v/>
      </c>
      <c r="G252" t="inlineStr">
        <is>
          <t>2014-09-26 20:03:36</t>
        </is>
      </c>
      <c r="H252" t="inlineStr">
        <is>
          <t>Type 1</t>
        </is>
      </c>
    </row>
    <row r="253">
      <c r="A253" t="inlineStr">
        <is>
          <t>2ho06r</t>
        </is>
      </c>
      <c r="B253" t="inlineStr">
        <is>
          <t>I need help checking blood sugars regularly.</t>
        </is>
      </c>
      <c r="C253" t="inlineStr">
        <is>
          <t>I've been type 3c since fall 2013(age 17 as of writing this). I am starting to have trouble checking my blood sugars before meals. I try to check at least twice a day, once morning, once dinner. The problem I have is I develop extreme hunger pains and will just eat an hour before dinner, and then I wont check as I know the numbers will be off. I know I have to check, my parents try to guilt me, but it more often makes me resent them. I would love to get a constant meter if possible, but until then how could I get into a better checking habit?
Thanks</t>
        </is>
      </c>
      <c r="D253" t="n">
        <v>5</v>
      </c>
      <c r="E253" t="n">
        <v>21</v>
      </c>
      <c r="F253">
        <f>HYPERLINK("https://www.reddit.com/r/diabetes/comments/2ho06r/i_need_help_checking_blood_sugars_regularly/")</f>
        <v/>
      </c>
      <c r="G253" t="inlineStr">
        <is>
          <t>2014-09-27 19:26:33</t>
        </is>
      </c>
      <c r="H253" t="inlineStr">
        <is>
          <t>Type 1</t>
        </is>
      </c>
    </row>
    <row r="254">
      <c r="A254" t="inlineStr">
        <is>
          <t>2hr5rw</t>
        </is>
      </c>
      <c r="B254" t="inlineStr">
        <is>
          <t>Maintaining low-carb diet?</t>
        </is>
      </c>
      <c r="C254" t="inlineStr">
        <is>
          <t>Type II, Metformin, diet, excercise
Has anyone else had any problems maintaining a low-carb diet?  I was sticking to 30g (ish) of carbs per meal as a max, prescribed by a nutritionist.  If I knew I was having a no-carb breakfast, I'd eat a slightly higher carb lunch (no more than 45, as okayed by the nutritionist), and a lower carb dinner.  My BG has been in the described range by the nutritionist (60-130 before a meal, and 70-180 after), but I always found myself above 100 but below 180 after eating (usually around 140).  
Since April, I have been training for Couch-to-5K and I am now running 2.75 miles three nights a week and tomorrow will jump to 3 miles.  Since I have been using my BG as my meter to what I can eat, I've lately left the low-carb and been eating more than recommended, but staying within the BG guidelines.  I overate at a work potluck (no one knows I'm a diabetic) and had a BG of 212.  I walked on my break, and it went down to 140.  
The good news is that the running kept me really stable and improved my cardio and weight, the bad news is, it isn't working anymore.  I have plateaued on the weightloss for six weeks, and my BG is creeping up again.  
Should I go back to the 30g/meal and deal with lows as they occur?  The worst thing that I have added back into my diet right now is the tea.  I drink chai tea with honey, once or twice a day.  Should I just cut it completely since I am seeing higher numbers again?  Do I need to run MORE to keep up the balancing act?  Do I need to change the activity?  I have a 5K in mid-October (ColorRun) and after that I'm looking at fencing and Zumba to replace two nights of running/week.  
Any advice would be greatly helpful.  I have to have my labs done for my 6-month (now going on eight... oops) follow up since my diagnosis in February.  I'm a little concerned that my A1c is going to be crap again since I have had a few spikes over 180 in my BG.
**TL;DR:  Was doing good on low-carb, started running, started eating more carbs because I was in the guidelines, but now it's creeping back up.  What to do?**</t>
        </is>
      </c>
      <c r="D254" t="n">
        <v>1</v>
      </c>
      <c r="E254" t="n">
        <v>11</v>
      </c>
      <c r="F254">
        <f>HYPERLINK("https://www.reddit.com/r/diabetes/comments/2hr5rw/maintaining_lowcarb_diet/")</f>
        <v/>
      </c>
      <c r="G254" t="inlineStr">
        <is>
          <t>2014-09-28 19:48:41</t>
        </is>
      </c>
      <c r="H254" t="inlineStr">
        <is>
          <t>Type 2</t>
        </is>
      </c>
    </row>
    <row r="255">
      <c r="A255" t="inlineStr">
        <is>
          <t>2hrqw5</t>
        </is>
      </c>
      <c r="B255" t="inlineStr">
        <is>
          <t>Hi from the hospital</t>
        </is>
      </c>
      <c r="C255" t="inlineStr">
        <is>
          <t>First, YAY Scottish NHS!
I have been T2 for about 2 years and found myself with a BG of 28 after a week of 15s. GP surgery was closed all week, moving to a new premises. After phoning NHS24, they sent an ambulance out and I got a nice ride to the hospital.
I now feel like a pincushion, spent the night here. My brain was so muddled up that I forgot to pack my metre.  I should have at least packed my own lancet, the ones they use here go incredibly deep and hit like a truck. 
Food could be better. At least all the bread is wholemeal. For breakfast I was given bran flakes with a packet of real sugar. Last thing I need, with a waking BG of 14.8.</t>
        </is>
      </c>
      <c r="D255" t="n">
        <v>1</v>
      </c>
      <c r="E255" t="n">
        <v>8</v>
      </c>
      <c r="F255">
        <f>HYPERLINK("https://www.reddit.com/r/diabetes/comments/2hrqw5/hi_from_the_hospital/")</f>
        <v/>
      </c>
      <c r="G255" t="inlineStr">
        <is>
          <t>2014-09-29 00:27:26</t>
        </is>
      </c>
      <c r="H255" t="inlineStr">
        <is>
          <t>Type 2</t>
        </is>
      </c>
    </row>
    <row r="256">
      <c r="A256" t="inlineStr">
        <is>
          <t>2hshg8</t>
        </is>
      </c>
      <c r="B256" t="inlineStr">
        <is>
          <t>Can you test too much?</t>
        </is>
      </c>
      <c r="C256" t="inlineStr">
        <is>
          <t>I was recently diagnosed type 2. It doesn't so much run in my family as it marches in like Sherman's army and burns everything to the ground. My parents are long time diabetics, my mother is medicated and my father is insulin dependent. I'm getting a lot of good information from them but I'm getting some advice that I'm not so sure about. They think that I test too often. Until I'm under control I'm testing when I wake up, before meals, an hour after the meal and two hours after. I'm logging all of this plus what I eat and when I work out and when I take my meds. I'm trying to see how these things affect me and I'm of the opinion that there can't be too much information. Am I testing too much, can you?
Thanks!</t>
        </is>
      </c>
      <c r="D256" t="n">
        <v>1</v>
      </c>
      <c r="E256" t="n">
        <v>25</v>
      </c>
      <c r="F256">
        <f>HYPERLINK("https://www.reddit.com/r/diabetes/comments/2hshg8/can_you_test_too_much/")</f>
        <v/>
      </c>
      <c r="G256" t="inlineStr">
        <is>
          <t>2014-09-29 07:33:42</t>
        </is>
      </c>
      <c r="H256" t="inlineStr">
        <is>
          <t>Type 2</t>
        </is>
      </c>
    </row>
    <row r="257">
      <c r="A257" t="inlineStr">
        <is>
          <t>2hshpm</t>
        </is>
      </c>
      <c r="B257" t="inlineStr">
        <is>
          <t>Complications thread</t>
        </is>
      </c>
      <c r="C257" t="inlineStr">
        <is>
          <t>Please list your complications, your history of A1Cs, and how long you have had diabetes (also which type).  
Thanks.
EDIT:  I am mostly curious how bad control has to be before you start to get complications.  So if you don't have any complications I am less interested in your post.</t>
        </is>
      </c>
      <c r="D257" t="n">
        <v>3</v>
      </c>
      <c r="E257" t="n">
        <v>55</v>
      </c>
      <c r="F257">
        <f>HYPERLINK("https://www.reddit.com/r/diabetes/comments/2hshpm/complications_thread/")</f>
        <v/>
      </c>
      <c r="G257" t="inlineStr">
        <is>
          <t>2014-09-29 07:36:37</t>
        </is>
      </c>
      <c r="H257" t="inlineStr">
        <is>
          <t>Type 1</t>
        </is>
      </c>
    </row>
    <row r="258">
      <c r="A258" t="inlineStr">
        <is>
          <t>2hsjaq</t>
        </is>
      </c>
      <c r="B258" t="inlineStr">
        <is>
          <t>Blood Sugar higher the day after starting exercise (walking)?</t>
        </is>
      </c>
      <c r="C258" t="inlineStr">
        <is>
          <t>Recently diagnosed type 2 (about 2 weeks ago). On metformin and I eat low carb. My fasting levels have been pretty stable since diagnosis at about 130. Yesterday I started exercising in the form of going for a walk. I walked 1.5 miles. And today my fasting was at 157. Tested again a couple hours later after my morning walk (still fasting, just had water) and it's 146. 
Any thoughts? Nothing else has changed since yesterday besides the exercise. It was my understanding that exercise should actually cause my BG to be lower as exercising causing my body to use up the excess glucose.</t>
        </is>
      </c>
      <c r="D258" t="n">
        <v>5</v>
      </c>
      <c r="E258" t="n">
        <v>7</v>
      </c>
      <c r="F258">
        <f>HYPERLINK("https://www.reddit.com/r/diabetes/comments/2hsjaq/blood_sugar_higher_the_day_after_starting/")</f>
        <v/>
      </c>
      <c r="G258" t="inlineStr">
        <is>
          <t>2014-09-29 07:53:48</t>
        </is>
      </c>
      <c r="H258" t="inlineStr">
        <is>
          <t>Type 2</t>
        </is>
      </c>
    </row>
    <row r="259">
      <c r="A259" t="inlineStr">
        <is>
          <t>2hzw8y</t>
        </is>
      </c>
      <c r="B259" t="inlineStr">
        <is>
          <t>Happy Diaversary to Me</t>
        </is>
      </c>
      <c r="C259" t="inlineStr">
        <is>
          <t>Three years ago today.  A few months ago, I finally began to understand there is no right way to do this D thing.  We each have to handle it the way we handle it.  Nonetheless, there are plenty of folks out there who are going to try to convince you they have the answer.  I devoured information from the online communities when I was first diagnosed and it really helped....to a point.  Now I notice so much being said that I totally disagree with, but I'm getting better at keeping my fingers off the keyboard in those situations.  Best of luck to each and every one of you as we all continue to navigate this effed-up BG road.</t>
        </is>
      </c>
      <c r="D259" t="n">
        <v>22</v>
      </c>
      <c r="E259" t="n">
        <v>8</v>
      </c>
      <c r="F259">
        <f>HYPERLINK("https://www.reddit.com/r/diabetes/comments/2hzw8y/happy_diaversary_to_me/")</f>
        <v/>
      </c>
      <c r="G259" t="inlineStr">
        <is>
          <t>2014-10-01 08:16:51</t>
        </is>
      </c>
      <c r="H259" t="inlineStr">
        <is>
          <t>Type 1</t>
        </is>
      </c>
    </row>
    <row r="260">
      <c r="A260" t="inlineStr">
        <is>
          <t>2i1niz</t>
        </is>
      </c>
      <c r="B260" t="inlineStr">
        <is>
          <t>Crazy amount of hair loss 4 months after diagnosis. Can anyone shed some light on this or relate?</t>
        </is>
      </c>
      <c r="C260" t="inlineStr">
        <is>
          <t>Ive been noticing a dramatic increase in the amount of hair I've been seeing on the pillow and in the shower. So I used a drain catcher and did a normal wash in the shower just to see how much I was shedding. Easily over 100+ in that shower. Freaking me out because while I don't have a receding hairline, I did check out my crown and it looks very thin. This is super sudden and unexpected. I have been very stressed and so that certainly could be a contributing factor. Also background: diagnosed type 1 may 20th,  with BS of 700+, A1C was 14.5. Got that down to a 7 by the time university started back up at the beginning of September,  everything seemed as under control as it could be until this hairloss. Im extrenely anxious about it and I could use some help.</t>
        </is>
      </c>
      <c r="D260" t="n">
        <v>6</v>
      </c>
      <c r="E260" t="n">
        <v>12</v>
      </c>
      <c r="F260">
        <f>HYPERLINK("https://www.reddit.com/r/diabetes/comments/2i1niz/crazy_amount_of_hair_loss_4_months_after/")</f>
        <v/>
      </c>
      <c r="G260" t="inlineStr">
        <is>
          <t>2014-10-01 17:35:30</t>
        </is>
      </c>
      <c r="H260" t="inlineStr">
        <is>
          <t>Type 1</t>
        </is>
      </c>
    </row>
    <row r="261">
      <c r="A261" t="inlineStr">
        <is>
          <t>2i4g9k</t>
        </is>
      </c>
      <c r="B261" t="inlineStr">
        <is>
          <t>There is a roughly 1/250,000 chance our pancreases can produce insulin again but...</t>
        </is>
      </c>
      <c r="C261" t="inlineStr">
        <is>
          <t>It will be in uncontrolled amounts from a tumor.
http://www.google.com/url?sa=t&amp;amp;rct=j&amp;amp;q=&amp;amp;esrc=s&amp;amp;source=web&amp;amp;cd=9&amp;amp;cad=rja&amp;amp;uact=8&amp;amp;ved=0CGIQFjAI&amp;amp;url=http%3A%2F%2Fwww.sciedu.ca%2Fjournal%2Findex.php%2Fcrcp%2Farticle%2Fdownload%2F3950%2F2600&amp;amp;ei=lrItVKu6F9W5ggTF1YD4Cw&amp;amp;usg=AFQjCNEwSlfk5IvsV6SscfzIPIoj2t6zLg&amp;amp;sig2=N1HigCTeAQAd1co583CMIA</t>
        </is>
      </c>
      <c r="D261" t="n">
        <v>1</v>
      </c>
      <c r="E261" t="n">
        <v>0</v>
      </c>
      <c r="F261">
        <f>HYPERLINK("https://www.reddit.com/r/diabetes/comments/2i4g9k/there_is_a_roughly_1250000_chance_our_pancreases/")</f>
        <v/>
      </c>
      <c r="G261" t="inlineStr">
        <is>
          <t>2014-10-02 13:18:38</t>
        </is>
      </c>
      <c r="H261" t="inlineStr">
        <is>
          <t>Type 1</t>
        </is>
      </c>
    </row>
    <row r="262">
      <c r="A262" t="inlineStr">
        <is>
          <t>2i4n9j</t>
        </is>
      </c>
      <c r="B262" t="inlineStr">
        <is>
          <t>How do you cope with highs/lows?? (T1)</t>
        </is>
      </c>
      <c r="C262" t="inlineStr">
        <is>
          <t>It really bothers me to get highs and lows. When I get a high like 250 I just lose my shit. I start thinking about all the pain and burninng and think this whole life is completely f**d...Are you guys all mentally doing ok, does it bother you as much as it bothers me?</t>
        </is>
      </c>
      <c r="D262" t="n">
        <v>0</v>
      </c>
      <c r="E262" t="n">
        <v>4</v>
      </c>
      <c r="F262">
        <f>HYPERLINK("https://www.reddit.com/r/diabetes/comments/2i4n9j/how_do_you_cope_with_highslows_t1/")</f>
        <v/>
      </c>
      <c r="G262" t="inlineStr">
        <is>
          <t>2014-10-02 14:19:24</t>
        </is>
      </c>
      <c r="H262" t="inlineStr">
        <is>
          <t>Type 1</t>
        </is>
      </c>
    </row>
    <row r="263">
      <c r="A263" t="inlineStr">
        <is>
          <t>2i4oe4</t>
        </is>
      </c>
      <c r="B263" t="inlineStr">
        <is>
          <t>Real talk on the cure no bs... (t1)</t>
        </is>
      </c>
      <c r="C263" t="inlineStr">
        <is>
          <t>I am at the point where I dont think there will be a cure in our life times and heres why I think that. Look at all the universitys (ivy leagues), the military, the government in general, ALL the research done and no cure still!! Do you really believe that between ALL the billions of dollars of research done, all the brilliant minds (harvard etc)...you really dont think they could have already cured it?? lets be real...they can cure it. The pharma companys are extremely powerful and must not want a cure. You think thats a conspiracy then fine....explain why there are onlyyy 2 long actings on the market, and why humalog isnt even that fast acting compared to whats coming out. Funny how new drugs come out at the end of a patent cycle...seems like their business interests come wayyyyyyy before human life....hit me.
IF you have some reason as to why a cure will be here soon i would love to hear your educated optimism!</t>
        </is>
      </c>
      <c r="D263" t="n">
        <v>0</v>
      </c>
      <c r="E263" t="n">
        <v>18</v>
      </c>
      <c r="F263">
        <f>HYPERLINK("https://www.reddit.com/r/diabetes/comments/2i4oe4/real_talk_on_the_cure_no_bs_t1/")</f>
        <v/>
      </c>
      <c r="G263" t="inlineStr">
        <is>
          <t>2014-10-02 14:29:29</t>
        </is>
      </c>
      <c r="H263" t="inlineStr">
        <is>
          <t>Type 1</t>
        </is>
      </c>
    </row>
    <row r="264">
      <c r="A264" t="inlineStr">
        <is>
          <t>2i4w78</t>
        </is>
      </c>
      <c r="B264" t="inlineStr">
        <is>
          <t>Whelp I got diagnosed an hour ago</t>
        </is>
      </c>
      <c r="C264" t="inlineStr">
        <is>
          <t xml:space="preserve">I just went to the doctor for something minor and then come out getting told my blood sugar is over 400. I have no idea what is going on I go in monday for more blood work. My doctor gave me a script for pills to take till then. Im 20 years old 6'2 ~250 lb and now diabetic. I'd love any advice because my family is kinda freaking out and I'm not really worried. 
</t>
        </is>
      </c>
      <c r="D264" t="n">
        <v>3</v>
      </c>
      <c r="E264" t="n">
        <v>17</v>
      </c>
      <c r="F264">
        <f>HYPERLINK("https://www.reddit.com/r/diabetes/comments/2i4w78/whelp_i_got_diagnosed_an_hour_ago/")</f>
        <v/>
      </c>
      <c r="G264" t="inlineStr">
        <is>
          <t>2014-10-02 15:41:33</t>
        </is>
      </c>
      <c r="H264" t="inlineStr">
        <is>
          <t>Type 2</t>
        </is>
      </c>
    </row>
    <row r="265">
      <c r="A265" t="inlineStr">
        <is>
          <t>2i6q6w</t>
        </is>
      </c>
      <c r="B265" t="inlineStr">
        <is>
          <t>Hi, it's me again. I was offered the job but haven't revealed my need for frequent toilet breaks yet. Details inside.</t>
        </is>
      </c>
      <c r="C265" t="inlineStr">
        <is>
          <t>The last time I submitted a post, I received some empathetic advice from many of you and for that, I'm thankful.  As you may recall or if you check my posting history, I was worried about taking frequent breaks due to suspected uncontrolled diabetes type 2.  I submitted blood and urine for testing but unfortunately my doctor postponed our appointment so I have to wait yet another 2 weeks.  In the meantime I received a job offer to start earlier than that.
I need to get back to the company today with my decision.  When I spoke to a the manager about accepting their offer, I forgot to mention the breaks issue.  This is a job that states candidates are expected to sit for prolonged periods.  I wonder at what point I should tell them.  My gut says to clear it up in advance but I don't know if I want to reveal a medical condition now, especially something like diabetes...could be a red flag that they decided to use against me to withdraw the offer.  Then again, if I'm sitting in the training class and later in their office and they notice the frequent interruptions, they'll know something's up.
What would you do in my position at this point?  I need to face this issue head on at the risk of remaining unemployed.</t>
        </is>
      </c>
      <c r="D265" t="n">
        <v>3</v>
      </c>
      <c r="E265" t="n">
        <v>4</v>
      </c>
      <c r="F265">
        <f>HYPERLINK("https://www.reddit.com/r/diabetes/comments/2i6q6w/hi_its_me_again_i_was_offered_the_job_but_havent/")</f>
        <v/>
      </c>
      <c r="G265" t="inlineStr">
        <is>
          <t>2014-10-03 06:36:36</t>
        </is>
      </c>
      <c r="H265" t="inlineStr">
        <is>
          <t>Type 2</t>
        </is>
      </c>
    </row>
    <row r="266">
      <c r="A266" t="inlineStr">
        <is>
          <t>2i82fy</t>
        </is>
      </c>
      <c r="B266" t="inlineStr">
        <is>
          <t>Teacher injecting at work. (Type 1)</t>
        </is>
      </c>
      <c r="C266" t="inlineStr">
        <is>
          <t xml:space="preserve">I work in a secondary school (in the UK) and was asked today by an administrator (on behalf of the head teacher apparently) if I'd be able to do my injections in the ladies instead of in the canteen. She said some people found it a bit "bleurgh" around food. I had mixed feelings (and found the conversation quite stressful in itself) and at the time just explained that I need to see my food before I do the injection so I know how much insulin I need. She then said, "Ah, I don't know what to do then" and I said I'd keep it in mind. Interested to know if anyone else has had this happen to them and what they did about it and also what people think about it in general.
</t>
        </is>
      </c>
      <c r="D266" t="n">
        <v>21</v>
      </c>
      <c r="E266" t="n">
        <v>42</v>
      </c>
      <c r="F266">
        <f>HYPERLINK("https://www.reddit.com/r/diabetes/comments/2i82fy/teacher_injecting_at_work_type_1/")</f>
        <v/>
      </c>
      <c r="G266" t="inlineStr">
        <is>
          <t>2014-10-03 14:11:29</t>
        </is>
      </c>
      <c r="H266" t="inlineStr">
        <is>
          <t>Type 1</t>
        </is>
      </c>
    </row>
    <row r="267">
      <c r="A267" t="inlineStr">
        <is>
          <t>2ib1aw</t>
        </is>
      </c>
      <c r="B267" t="inlineStr">
        <is>
          <t>Thank you!</t>
        </is>
      </c>
      <c r="C267" t="inlineStr">
        <is>
          <t xml:space="preserve">I just wanted to say thank you to everyone who participates in this community!  I was recently diagnosed type 2 with a fasting level of 244.  Two weeks later it was already down a bit to 194.  
I have always been needle-phobic so when I learned I would need to test every day I was very upset.  I started with the OneTouch Delica lancing device and it was always painful, so I only got up the courage to do it twice (not good, I know).  After sifting through several months worth of comments on here, I bought an Accu-check FastClix and it is amazing!  Such a difference!  I already tested twice today :)
I am still having trouble getting the blood to go into the little strip to get a reading, but I'll get there.  At least now I'm getting enough and it doesn't hurt but for a split second!
So, I just wanted to say thank you!  Thank you guys all so much for making this a little easier to deal with for me.  You don't know how much this means to someone that really doesn't have anyone close that understands.  </t>
        </is>
      </c>
      <c r="D267" t="n">
        <v>11</v>
      </c>
      <c r="E267" t="n">
        <v>2</v>
      </c>
      <c r="F267">
        <f>HYPERLINK("https://www.reddit.com/r/diabetes/comments/2ib1aw/thank_you/")</f>
        <v/>
      </c>
      <c r="G267" t="inlineStr">
        <is>
          <t>2014-10-04 14:14:11</t>
        </is>
      </c>
      <c r="H267" t="inlineStr">
        <is>
          <t>Type 2</t>
        </is>
      </c>
    </row>
    <row r="268">
      <c r="A268" t="inlineStr">
        <is>
          <t>2ibggx</t>
        </is>
      </c>
      <c r="B268" t="inlineStr">
        <is>
          <t>Mismanaged T1D since I was diagnosed 12 years ago, what's going to happen?</t>
        </is>
      </c>
      <c r="C268" t="inlineStr">
        <is>
          <t>I'll give some insight to my situation, i'm 22, Male, around 6ft 2'', 12st 7, from the UK and have had diabetes since just before my 11th birthday.
Rebelled against it, not to prove anything just thought I knew better. My diet has been 100% not monitored and not controlled I have basically eaten whatever I want and more than likely a lot lot worse than the average person but until recently haven't given it much thought as it hasn't physically caused any visible issues for me.
I've just been in bed and noticed of late despite my good circulation I seem to be getting cold feet more often than I used to, I used to see a black spot in my left eye quite often and am recently really struggling to see things as well as I used to be able to, i'll shift concentration onto my right eye where my left eye is my 'Good eye' (Born with one pupil larger than the other, have very slight turn in right eye unless looking at me hard you would not be able to tell) just so I can see things properly.
What I need to know is, where do I go from here, do you feel like these are issues that may be starting to develop, what about yourselves? Has anyone who's had diabetes for over 10 years or so got any stories about what's happened with them, and maybe any stories of poor management but no bad sort of results.
Thanks for any input</t>
        </is>
      </c>
      <c r="D268" t="n">
        <v>3</v>
      </c>
      <c r="E268" t="n">
        <v>8</v>
      </c>
      <c r="F268">
        <f>HYPERLINK("https://www.reddit.com/r/diabetes/comments/2ibggx/mismanaged_t1d_since_i_was_diagnosed_12_years_ago/")</f>
        <v/>
      </c>
      <c r="G268" t="inlineStr">
        <is>
          <t>2014-10-04 17:04:24</t>
        </is>
      </c>
      <c r="H268" t="inlineStr">
        <is>
          <t>Type 1</t>
        </is>
      </c>
    </row>
    <row r="269">
      <c r="A269" t="inlineStr">
        <is>
          <t>2ictag</t>
        </is>
      </c>
      <c r="B269" t="inlineStr">
        <is>
          <t>Anticipatory treatment of lows based on G4 trend?</t>
        </is>
      </c>
      <c r="C269" t="inlineStr">
        <is>
          <t>I have found that my G4 lags my finger stuck readings by about 15 minutes. As a result, if I'm heading low quickly, I might see a reading of, say, 125 but with a 15 point decrease (with the rate of decline increasing) and know that I am perhaps only 5-10 minutes from a hypo. As a result, I've started doing things like treating at that point, even if I have no symptoms yet.
I have found that this has somewhat reduced my hypos, which is especially important as using the G4 has brought my average bg lower, and this has mildly reduced crazy rebound spikes, though those are harder to mitigate. Any of you guys do this?</t>
        </is>
      </c>
      <c r="D269" t="n">
        <v>5</v>
      </c>
      <c r="E269" t="n">
        <v>13</v>
      </c>
      <c r="F269">
        <f>HYPERLINK("https://www.reddit.com/r/diabetes/comments/2ictag/anticipatory_treatment_of_lows_based_on_g4_trend/")</f>
        <v/>
      </c>
      <c r="G269" t="inlineStr">
        <is>
          <t>2014-10-05 06:34:39</t>
        </is>
      </c>
      <c r="H269" t="inlineStr">
        <is>
          <t>Type 1</t>
        </is>
      </c>
    </row>
    <row r="270">
      <c r="A270" t="inlineStr">
        <is>
          <t>2id86v</t>
        </is>
      </c>
      <c r="B270" t="inlineStr">
        <is>
          <t>Breathalyzer device for testing blood glucose?</t>
        </is>
      </c>
      <c r="C270" t="inlineStr">
        <is>
          <t xml:space="preserve">I've read about some devices such as the one in this link: 
http://www.wggb.com/2013/12/04/new-breathalyzer-technology-shows-promise-for-diabetes-patients/
What do you guys think about the pros/cons of a device such as this compared to finger pricking, assuming it's just as accurate? Personally, I think it would be life changing. </t>
        </is>
      </c>
      <c r="D270" t="n">
        <v>0</v>
      </c>
      <c r="E270" t="n">
        <v>9</v>
      </c>
      <c r="F270">
        <f>HYPERLINK("https://www.reddit.com/r/diabetes/comments/2id86v/breathalyzer_device_for_testing_blood_glucose/")</f>
        <v/>
      </c>
      <c r="G270" t="inlineStr">
        <is>
          <t>2014-10-05 09:41:03</t>
        </is>
      </c>
      <c r="H270" t="inlineStr">
        <is>
          <t>Type 2</t>
        </is>
      </c>
    </row>
    <row r="271">
      <c r="A271" t="inlineStr">
        <is>
          <t>2ieki0</t>
        </is>
      </c>
      <c r="B271" t="inlineStr">
        <is>
          <t>Posted a while ago about the yeast infection from the pits of hell.. I just want to vent a little bit. [NSFW]</t>
        </is>
      </c>
      <c r="C271" t="inlineStr">
        <is>
          <t>I have  now had a yeast infection for a year now...
I've tried so many different prescribed medicines, different amounts of doses, and (safe) home remedies. My endo says that my sugars aren't really bad enough to be effecting this.
I wear the correct underwear, shower a lot, clean carefully with unscented soap, let it dry, not wear tight clothing often, use unscented feminine products, and do any other precaution you could possibly think of. It's so awkward in sexual situations with my boyfriend, who is completely aware of my situation and supports me, because I feel so disgusting with it and unsexy. My lack of confidence in sexual situations makes him feel like he's doing something wrong, or that he's not good enough no matter how many times I tell him other wise. I bet this next part is completely TMI, but I'm gonna tell you anyways just because I need to vent. I took a shower at his house and he went down on me afterwords for the first time ever. I really enjoyed it and he said he did too. I made him brush his teeth after words because I don't want him getting thrush, which I also have. My whole body  is basically a pit of yeast, according to my doctor. 
My gyno is stumped, my primary care doctor is stumped, and so is my endo. They are actually sending me to an infectious disease doctor. I feel like I'm going to cry just typing this. I'm so frustrated. Diabetes has caused so many problems in my body and I hate it. Sorry if it seems that I'm overreacting or being over dramatic, but I am literally done.
A question also. So can my boyfriend be affected by this?
Thank you so much.</t>
        </is>
      </c>
      <c r="D271" t="n">
        <v>8</v>
      </c>
      <c r="E271" t="n">
        <v>19</v>
      </c>
      <c r="F271">
        <f>HYPERLINK("https://www.reddit.com/r/diabetes/comments/2ieki0/posted_a_while_ago_about_the_yeast_infection_from/")</f>
        <v/>
      </c>
      <c r="G271" t="inlineStr">
        <is>
          <t>2014-10-05 17:54:37</t>
        </is>
      </c>
      <c r="H271" t="inlineStr">
        <is>
          <t>Type 1</t>
        </is>
      </c>
    </row>
    <row r="272">
      <c r="A272" t="inlineStr">
        <is>
          <t>2iful9</t>
        </is>
      </c>
      <c r="B272" t="inlineStr">
        <is>
          <t>Trying to work out what this is?</t>
        </is>
      </c>
      <c r="C272" t="inlineStr">
        <is>
          <t>I start to feel drained just before lunch, then I eat something and I usually feel a lot better; sometimes I feel extremely sleepy before lunch (or after lunch). I'm wondering, is this diabetic related? Does this sound familiar to anyone or should I be looking elsewhere?
I was diagnosed with diabetes Type II some years ago. So far, I'm controlling it with diet, which seems to be working according to the HA1C blood tests I do every year.</t>
        </is>
      </c>
      <c r="D272" t="n">
        <v>3</v>
      </c>
      <c r="E272" t="n">
        <v>8</v>
      </c>
      <c r="F272">
        <f>HYPERLINK("https://www.reddit.com/r/diabetes/comments/2iful9/trying_to_work_out_what_this_is/")</f>
        <v/>
      </c>
      <c r="G272" t="inlineStr">
        <is>
          <t>2014-10-06 04:53:18</t>
        </is>
      </c>
      <c r="H272" t="inlineStr">
        <is>
          <t>Type 2</t>
        </is>
      </c>
    </row>
    <row r="273">
      <c r="A273" t="inlineStr">
        <is>
          <t>2ihc4x</t>
        </is>
      </c>
      <c r="B273" t="inlineStr">
        <is>
          <t>T1 - long time manual injection user thinking about switching to pump/CGM</t>
        </is>
      </c>
      <c r="C273" t="inlineStr">
        <is>
          <t>Hi all - I've got an appointment with my endocrinologist tomorrow and I'm thinking about switching from two types of pens and 6-10x daily injections to a pump/CGM system.  I've been T1 for about 17 years and have always used injections.
For those of you who made the switch, how has it changed things for you?  Are your A1Cs better?  I'm also a very active person; is it easy to take off and on for sports/lifting/running/sex/etc.?  Does it leave an obvious bulge where it's inserted underneath your clothes if you are in good shape and wear good-fitting clothes?
edit: Thanks for the comments everyone!  I will explore the option at my appt.</t>
        </is>
      </c>
      <c r="D273" t="n">
        <v>2</v>
      </c>
      <c r="E273" t="n">
        <v>16</v>
      </c>
      <c r="F273">
        <f>HYPERLINK("https://www.reddit.com/r/diabetes/comments/2ihc4x/t1_long_time_manual_injection_user_thinking_about/")</f>
        <v/>
      </c>
      <c r="G273" t="inlineStr">
        <is>
          <t>2014-10-06 13:07:32</t>
        </is>
      </c>
      <c r="H273" t="inlineStr">
        <is>
          <t>Type 1</t>
        </is>
      </c>
    </row>
    <row r="274">
      <c r="A274" t="inlineStr">
        <is>
          <t>2iix2o</t>
        </is>
      </c>
      <c r="B274" t="inlineStr">
        <is>
          <t>My 12-year old niece is in PICU right now, and the doctors have diagnosed Type 1 diabetes. Need some hand-holding, and some information.</t>
        </is>
      </c>
      <c r="C274" t="inlineStr">
        <is>
          <t xml:space="preserve">On Friday she was diagnosed with a double ear infection, and put on antibiotics.  Tonight she started acting and speaking incoherently.  Her parents called 911, and she is now in PICU.
Could her ear infection have "touched off" the diab?  Am I silly to hope that the ear infection could have caused her blood sugar to go so high, and that she might not have Type 1 diab at all?
I have done about 15 minutes of googling, and will go back to it after I post this.  But I sure would appreciate some of your insights.  This is such a shock.
Edit 1 -- thank you all!
Edit 2 -- she is improving.  Her sugars (don't know if that's the correct term, but you guys know what I mean) were 900 when she was admitted; she is now at 294.  She is intubated and sedated.  Her arms are tied to the bed.   She is not yet responding to commands.  They inserted something into the bone of her leg last night, I guess to administer medicine more quickly, and IV's in both arms, and a catheter.  They are now putting a port into an artery so that they don't have to keep poking her.  She has a team of drs and nurses, and there is someone with her every minute.  They did a catscan of her brain, and it was good.  Her lungs are fine, too, and so I'm not too sure about why she's intubated.  
Dammit, she's only 12 years old.  Her father was adopted as a baby, so we don't know about his biological parents' medical history, but there is no diabetes in the rest of her family.  I realize that for the most part, we don't know why people get diabetes, and yet it's still a shock.  Thanks again, everybody, for  your kindness in responding to my post.  P.S.  Why the hell would someone downvote this.
</t>
        </is>
      </c>
      <c r="D274" t="n">
        <v>3</v>
      </c>
      <c r="E274" t="n">
        <v>4</v>
      </c>
      <c r="F274">
        <f>HYPERLINK("https://www.reddit.com/r/diabetes/comments/2iix2o/my_12year_old_niece_is_in_picu_right_now_and_the/")</f>
        <v/>
      </c>
      <c r="G274" t="inlineStr">
        <is>
          <t>2014-10-06 21:07:17</t>
        </is>
      </c>
      <c r="H274" t="inlineStr">
        <is>
          <t>Type 1</t>
        </is>
      </c>
    </row>
    <row r="275">
      <c r="A275" t="inlineStr">
        <is>
          <t>2ijbqh</t>
        </is>
      </c>
      <c r="B275" t="inlineStr">
        <is>
          <t>I feel like I'm going down the wrong road again...</t>
        </is>
      </c>
      <c r="C275" t="inlineStr">
        <is>
          <t>I went on vacation two weeks ago and ate a lot for the entire 10 days I was gone. When I came back and weighed myself I didn't gain any weight. 
Since then I've not been consistent with my exercise and diet. I feel like the fact that I "got away" with eating badly while on vacation has gone to my head.
Another thing is that since I've come back, while I'm on the treadmill, the calve of my left leg sort of feels "stressed" after a bit. I don't know how to explain this better, but I feel like that's psychological. 
I want to mentally get myself back in line because I worked so hard to overcome my BED and lose 25kgs. I don't want to gain all that back. :(</t>
        </is>
      </c>
      <c r="D275" t="n">
        <v>5</v>
      </c>
      <c r="E275" t="n">
        <v>4</v>
      </c>
      <c r="F275">
        <f>HYPERLINK("https://www.reddit.com/r/diabetes/comments/2ijbqh/i_feel_like_im_going_down_the_wrong_road_again/")</f>
        <v/>
      </c>
      <c r="G275" t="inlineStr">
        <is>
          <t>2014-10-07 00:06:51</t>
        </is>
      </c>
      <c r="H275" t="inlineStr">
        <is>
          <t>Type 2</t>
        </is>
      </c>
    </row>
    <row r="276">
      <c r="A276" t="inlineStr">
        <is>
          <t>2iklat</t>
        </is>
      </c>
      <c r="B276" t="inlineStr">
        <is>
          <t>Awareness/prevention help with type 2 Diabetes.</t>
        </is>
      </c>
      <c r="C276" t="inlineStr">
        <is>
          <t>Hello all, 
My father was recently (this weekend, after a trip to the hospital, and emergency surgery) diagnosed with Type 2 Diabetes. He is 51, slightly (15-20lbs) overweight, and not the healthiest eater in the world. Not sure how it will be managed, we're just in the initial stages of recovery, and setting up appointments with the GP.  
Also, My Grandmother (his Mother) has lived with Type 2 diabetes for as long as I've known her. She is 69 and leads a healthy, active lifestyle, and simply manages her diabetes with diet and exercise.  
Excuse me if I am wrong/misunderstand, but I think this puts me at a genetic pre-disposition for type 2 myself.
I am 27, male, about 25lbs overweight (Not sure what overweight is, I just go by the Navy enlistment requirements, for a 6'4" male, I am 240, and the reqs are 216). 
I am not one to worry about such things Almost all of my family has had some form of cancer, and some have died from it, and a few have diabetes, and there's enough genetic excitement to make a hypochondriac fall comatose. I just live my life as I can, and take things as they come.
But my wife is now concerned, and she wants to take preventative measures. What are some of the best things that I can do for myself to help prevent myself from the path that led my father to the ER Sunday morning?
Thanks so much for reading my wall of text!</t>
        </is>
      </c>
      <c r="D276" t="n">
        <v>2</v>
      </c>
      <c r="E276" t="n">
        <v>9</v>
      </c>
      <c r="F276">
        <f>HYPERLINK("https://www.reddit.com/r/diabetes/comments/2iklat/awarenessprevention_help_with_type_2_diabetes/")</f>
        <v/>
      </c>
      <c r="G276" t="inlineStr">
        <is>
          <t>2014-10-07 09:19:43</t>
        </is>
      </c>
      <c r="H276" t="inlineStr">
        <is>
          <t>Type 2</t>
        </is>
      </c>
    </row>
    <row r="277">
      <c r="A277" t="inlineStr">
        <is>
          <t>2io6q9</t>
        </is>
      </c>
      <c r="B277" t="inlineStr">
        <is>
          <t>Concerned about Type 1 Friend eating unhealthily</t>
        </is>
      </c>
      <c r="C277" t="inlineStr">
        <is>
          <t xml:space="preserve">My friend was diagnosed with Type 1 diabetes in February this year, and started eating better after being diagnosed (less sweets/chocolate/takeout, more vegetables). However the last few months they have gone back to their old comfort eating habits, eating a lot of chocolate and icecream daily, and ordering pizza 2-3 times a week.
They inject insulin accordingly but I'm concerned of the long term health effects if they don't eat a balanced diet. What could happen to them? Apart from weight gain, are there other problems that can happen because of the diabetes? Or are they only at risk of the same problems any non-diabetic person would have?
I don't want them to get sick because they're falling into old habits.
Edit: Thank for setting my mind at ease. If the only risk is "normal" risk, then I guess I don't have as much to worry about as I thought. Every single thing I read online said that Type Ones need a balanced diet, and nothing told me what would happen in that situation, only about hypos and hyperglycaemic. BTW number 4 on the etiquette list says "Do offer to join me in healthy lifestyle choices". Also, it's really not up to any of you how much I care about or worry about my friends. Me asking a community what happens if my friends does xyz is not giving them unsolicited advice.
</t>
        </is>
      </c>
      <c r="D277" t="n">
        <v>1</v>
      </c>
      <c r="E277" t="n">
        <v>7</v>
      </c>
      <c r="F277">
        <f>HYPERLINK("https://www.reddit.com/r/diabetes/comments/2io6q9/concerned_about_type_1_friend_eating_unhealthily/")</f>
        <v/>
      </c>
      <c r="G277" t="inlineStr">
        <is>
          <t>2014-10-08 09:14:59</t>
        </is>
      </c>
      <c r="H277" t="inlineStr">
        <is>
          <t>Type 1</t>
        </is>
      </c>
    </row>
    <row r="278">
      <c r="A278" t="inlineStr">
        <is>
          <t>2ip5mr</t>
        </is>
      </c>
      <c r="B278" t="inlineStr">
        <is>
          <t>seasons changing</t>
        </is>
      </c>
      <c r="C278" t="inlineStr">
        <is>
          <t>I have a theory that temperature makes an impact on my sugars. Every year since diagnosis twice a year when the temperature is just right 70ish (farenheit) during the day and not too cold at night my sugars go haywire. I increase my basal until the temperature becomes too hot/cold average then drop it back down again. The only problem is that I always forget. So this post is a warning to those about to reach those temperatures and trying to figure out why their BG has been high.</t>
        </is>
      </c>
      <c r="D278" t="n">
        <v>2</v>
      </c>
      <c r="E278" t="n">
        <v>5</v>
      </c>
      <c r="F278">
        <f>HYPERLINK("https://www.reddit.com/r/diabetes/comments/2ip5mr/seasons_changing/")</f>
        <v/>
      </c>
      <c r="G278" t="inlineStr">
        <is>
          <t>2014-10-08 14:12:52</t>
        </is>
      </c>
      <c r="H278" t="inlineStr">
        <is>
          <t>Type 1</t>
        </is>
      </c>
    </row>
    <row r="279">
      <c r="A279" t="inlineStr">
        <is>
          <t>2iuas9</t>
        </is>
      </c>
      <c r="B279" t="inlineStr">
        <is>
          <t>How does the 500 rule work?</t>
        </is>
      </c>
      <c r="C279" t="inlineStr">
        <is>
          <t xml:space="preserve">Hello, I've heard about the [500 rule](http://www.diabetesnet.com/food-diabetes/carb-counting/500-rule) for diabetics who wants to calculate how much insulin they should take for a certain amount of carbohydrates.
But how does the rule work? Why should you divide your daily insulin consumption on the number 500? What is the science behind it? :)
</t>
        </is>
      </c>
      <c r="D279" t="n">
        <v>1</v>
      </c>
      <c r="E279" t="n">
        <v>3</v>
      </c>
      <c r="F279">
        <f>HYPERLINK("https://www.reddit.com/r/diabetes/comments/2iuas9/how_does_the_500_rule_work/")</f>
        <v/>
      </c>
      <c r="G279" t="inlineStr">
        <is>
          <t>2014-10-10 02:09:49</t>
        </is>
      </c>
      <c r="H279" t="inlineStr">
        <is>
          <t>Type 1</t>
        </is>
      </c>
    </row>
    <row r="280">
      <c r="A280" t="inlineStr">
        <is>
          <t>2j1jq3</t>
        </is>
      </c>
      <c r="B280" t="inlineStr">
        <is>
          <t>Found via FB: Type 1 Diabetic Insulin Dependent Stickers</t>
        </is>
      </c>
      <c r="C280" t="inlineStr">
        <is>
          <t xml:space="preserve">I heard about this via a thread on Facebook and bought a set of 10 stickers right away: [Type 1 Diabetic Insulin Dependent Stickers](https://www.etsy.com/listing/206825328/type-1-diabetic-insulin-dependent)!
I have a Dexcom CGM and wear an Omnipod which has a personal data manager (PDM). I've been wanting something that IDs them both as medical equipment just I case they're lost or stolen. Before I had a Medtronic Paradigm pump and, as that was attached to me, there wasn't the fear that I might lose it.
Just sharing in case someone else needs something like this. </t>
        </is>
      </c>
      <c r="D280" t="n">
        <v>5</v>
      </c>
      <c r="E280" t="n">
        <v>2</v>
      </c>
      <c r="F280">
        <f>HYPERLINK("https://www.reddit.com/r/diabetes/comments/2j1jq3/found_via_fb_type_1_diabetic_insulin_dependent/")</f>
        <v/>
      </c>
      <c r="G280" t="inlineStr">
        <is>
          <t>2014-10-12 10:55:51</t>
        </is>
      </c>
      <c r="H280" t="inlineStr">
        <is>
          <t>Type 1</t>
        </is>
      </c>
    </row>
    <row r="281">
      <c r="A281" t="inlineStr">
        <is>
          <t>2j2xb7</t>
        </is>
      </c>
      <c r="B281" t="inlineStr">
        <is>
          <t>New full Marathon personal record today at 2:44!</t>
        </is>
      </c>
      <c r="C281" t="inlineStr">
        <is>
          <t>Just thought I would tell my story.
I ran the long beach full marathon today and came in 7th place out of 4000, 2nd place in my age group.
I normally have been taking 9 units of humalog in the morning and 28 units of lantus, to go with about 65ish grams of carbs for breakfast.
I woke up at 63, and immediately took 3 units of humalog. I ate 2 peanut butter and jelly sandwiches, a banana and a 32 oz gatorade.
I probably started my race with a blood sugar close to 270.
I consumed 2.5 packs of shot bloks 48grams per pack, and probably about 40oz of gatorade.
Felt great, and checked my blood sugar at the finish line for a happy number of 103.
Ate breakfast/lunch (60 grams) of carbs and took my normal lantus.
Very happy with my blood sugar and times today (doesn't always end this well).
Ran a 2:44:28, or 6:16/mile average pace.
http://www.strava.com/activities/206655988
Does anyone know of a group like the biking team, "team type 1" but for running?  I would love a diabetic sponsor.
Also does anyone know of any other diabetic marathoners at an actual pro level?</t>
        </is>
      </c>
      <c r="D281" t="n">
        <v>31</v>
      </c>
      <c r="E281" t="n">
        <v>14</v>
      </c>
      <c r="F281">
        <f>HYPERLINK("https://www.reddit.com/r/diabetes/comments/2j2xb7/new_full_marathon_personal_record_today_at_244/")</f>
        <v/>
      </c>
      <c r="G281" t="inlineStr">
        <is>
          <t>2014-10-12 19:34:36</t>
        </is>
      </c>
      <c r="H281" t="inlineStr">
        <is>
          <t>Type 1</t>
        </is>
      </c>
    </row>
    <row r="282">
      <c r="A282" t="inlineStr">
        <is>
          <t>2j5hlc</t>
        </is>
      </c>
      <c r="B282" t="inlineStr">
        <is>
          <t>Is this doing well?</t>
        </is>
      </c>
      <c r="C282" t="inlineStr">
        <is>
          <t>I was diagnosed T2 on September 24th fasting at 313 with an A1C of 11.7.  I'm on Janumet 50/500 twice daily and I've completely overhauled my diet, 15 to 30 carbs per meal. I've lost about 5 pounds from 165 to 160. I'm walking about 3 miles a day and trying to get into the gym for weights three days a week.
As of today my 7 day average is 123, 14 day average is 135 and 30 day average is 156. I haven't bee over 120 in a couple days now.
My biggest fear is that my doctor will want to put me on Victoza. I hate needles with a passion so if I can avoid that and maybe one day be able to manage with just diet and exercise that would be perfect.
How have I done so far?
Thanks!</t>
        </is>
      </c>
      <c r="D282" t="n">
        <v>1</v>
      </c>
      <c r="E282" t="n">
        <v>10</v>
      </c>
      <c r="F282">
        <f>HYPERLINK("https://www.reddit.com/r/diabetes/comments/2j5hlc/is_this_doing_well/")</f>
        <v/>
      </c>
      <c r="G282" t="inlineStr">
        <is>
          <t>2014-10-13 14:04:27</t>
        </is>
      </c>
      <c r="H282" t="inlineStr">
        <is>
          <t>Type 2</t>
        </is>
      </c>
    </row>
    <row r="283">
      <c r="A283" t="inlineStr">
        <is>
          <t>2j5v1s</t>
        </is>
      </c>
      <c r="B283" t="inlineStr">
        <is>
          <t>Gliclazide after meal?</t>
        </is>
      </c>
      <c r="C283" t="inlineStr">
        <is>
          <t>Hello guys, i was diagnosed recently with Type 2. what's the effect of gliclazide after a meal? sometimes i forgot about it that i take it with metformin. its supposed to be 30min before meal right? sometimes i take it just a few minutes before breakfast and sometimes i totally forgot about it that i take it with metformin. I know im being irresponsible but thats the last time it will happen. (hopefully)</t>
        </is>
      </c>
      <c r="D283" t="n">
        <v>0</v>
      </c>
      <c r="E283" t="n">
        <v>3</v>
      </c>
      <c r="F283">
        <f>HYPERLINK("https://www.reddit.com/r/diabetes/comments/2j5v1s/gliclazide_after_meal/")</f>
        <v/>
      </c>
      <c r="G283" t="inlineStr">
        <is>
          <t>2014-10-13 16:04:15</t>
        </is>
      </c>
      <c r="H283" t="inlineStr">
        <is>
          <t>Type 2</t>
        </is>
      </c>
    </row>
    <row r="284">
      <c r="A284" t="inlineStr">
        <is>
          <t>2j5wck</t>
        </is>
      </c>
      <c r="B284" t="inlineStr">
        <is>
          <t>Low Carb Type 1 Diabetics - Novolog vs. Humalog</t>
        </is>
      </c>
      <c r="C284" t="inlineStr">
        <is>
          <t>Has anyone noticed a difference in these? Does one insulin impact your diet differently? I was a lifelong novolog user but recently switched to humalog...I feel like I am using almost double!! I am curious if one works better with low carb diet.</t>
        </is>
      </c>
      <c r="D284" t="n">
        <v>2</v>
      </c>
      <c r="E284" t="n">
        <v>17</v>
      </c>
      <c r="F284">
        <f>HYPERLINK("https://www.reddit.com/r/diabetes/comments/2j5wck/low_carb_type_1_diabetics_novolog_vs_humalog/")</f>
        <v/>
      </c>
      <c r="G284" t="inlineStr">
        <is>
          <t>2014-10-13 16:16:32</t>
        </is>
      </c>
      <c r="H284" t="inlineStr">
        <is>
          <t>Type 1</t>
        </is>
      </c>
    </row>
    <row r="285">
      <c r="A285" t="inlineStr">
        <is>
          <t>2j718v</t>
        </is>
      </c>
      <c r="B285" t="inlineStr">
        <is>
          <t>DAE go on a "DiaVacay" during Thanksgiving?</t>
        </is>
      </c>
      <c r="C285" t="inlineStr">
        <is>
          <t>Not a complete vacay... I always correct high blood sugars but:
"Thanksgiving dinner? Second helping? I think I should bolus/inject this much. Here's an extra 75% of that dose just because Thanksgiving."
2 hours later... 19.2 mmo/l (346 mg/dl)
"Fuck it, Thanksgiving, not my fault" Proceeds to drain 3/4 of the reservoir/pen while eating pumpkin pie and whipped cream while also crying</t>
        </is>
      </c>
      <c r="D285" t="n">
        <v>6</v>
      </c>
      <c r="E285" t="n">
        <v>5</v>
      </c>
      <c r="F285">
        <f>HYPERLINK("https://www.reddit.com/r/diabetes/comments/2j718v/dae_go_on_a_diavacay_during_thanksgiving/")</f>
        <v/>
      </c>
      <c r="G285" t="inlineStr">
        <is>
          <t>2014-10-13 23:39:46</t>
        </is>
      </c>
      <c r="H285" t="inlineStr">
        <is>
          <t>Type 1</t>
        </is>
      </c>
    </row>
    <row r="286">
      <c r="A286" t="inlineStr">
        <is>
          <t>2j74to</t>
        </is>
      </c>
      <c r="B286" t="inlineStr">
        <is>
          <t>Does anyone else have tattoos?</t>
        </is>
      </c>
      <c r="C286" t="inlineStr">
        <is>
          <t>Hi guys, I'm fairly new to reddit, and for some reason it never occurred to me that there would be a diabetes group with others who share my experiences. I'm a somewhat self-destructive Type 1 of 8 years (diagnosed at 16), a metal musician, and tattooed. It sounds crazy, but having a giant expensive wound is GREAT motivation for BG control. I am lucky and have had minimal complications/scarring. Anyone else out there reckless enough to brave the infection risk and get inked?
Here are a couple images of my forearm:
[Main](http://imgur.com/g1EVNK2)
[Serpent head closeup](http://imgur.com/SeyiOrk)</t>
        </is>
      </c>
      <c r="D286" t="n">
        <v>3</v>
      </c>
      <c r="E286" t="n">
        <v>8</v>
      </c>
      <c r="F286">
        <f>HYPERLINK("https://www.reddit.com/r/diabetes/comments/2j74to/does_anyone_else_have_tattoos/")</f>
        <v/>
      </c>
      <c r="G286" t="inlineStr">
        <is>
          <t>2014-10-14 00:40:12</t>
        </is>
      </c>
      <c r="H286" t="inlineStr">
        <is>
          <t>Type 1</t>
        </is>
      </c>
    </row>
    <row r="287">
      <c r="A287" t="inlineStr">
        <is>
          <t>2j7rmf</t>
        </is>
      </c>
      <c r="B287" t="inlineStr">
        <is>
          <t>Insulin Pump on the NHS?</t>
        </is>
      </c>
      <c r="C287" t="inlineStr">
        <is>
          <t>Is it possible to get an Insulin Pump on the NHS? From what I have seen many people tend to self-fund.</t>
        </is>
      </c>
      <c r="D287" t="n">
        <v>3</v>
      </c>
      <c r="E287" t="n">
        <v>11</v>
      </c>
      <c r="F287">
        <f>HYPERLINK("https://www.reddit.com/r/diabetes/comments/2j7rmf/insulin_pump_on_the_nhs/")</f>
        <v/>
      </c>
      <c r="G287" t="inlineStr">
        <is>
          <t>2014-10-14 06:46:54</t>
        </is>
      </c>
      <c r="H287" t="inlineStr">
        <is>
          <t>Type 1</t>
        </is>
      </c>
    </row>
    <row r="288">
      <c r="A288" t="inlineStr">
        <is>
          <t>2j98yv</t>
        </is>
      </c>
      <c r="B288" t="inlineStr">
        <is>
          <t>I Hope You Find This Motivational For Yourself</t>
        </is>
      </c>
      <c r="C288" t="inlineStr">
        <is>
          <t xml:space="preserve">I was diagnosed with Type 2 on 2/15/14 - A1C at 7.6.  I am a 54 year old male with a BMI of 28.2.  Holy *hit that scared the *rap out of me.  
Once I stopped feeling sorry for myself, I eliminated sugar completely (yes completely).  I restricted carbs to small daily portion.  More importantly, I increased workout (strength training and cardio) to 1 hour every day!  Yes, every single *ricking day.
I checked my A1C on 6/26/14 - A1C at 4.9.  I had also lost 28 pounds and 5 inches on my waist. My BMI was now 24.6 I felt good, but did not know if this was a honeymoon period or for real.
I checked A1C on 10/13/14 - A1C at 4.9.  My weight and BMI were holding at the same reduced levels as on 6/26. I am hoping this means my life changes may just beat this thing!
Anyway, I hope this inspires other T2s who need motivation.
</t>
        </is>
      </c>
      <c r="D288" t="n">
        <v>9</v>
      </c>
      <c r="E288" t="n">
        <v>15</v>
      </c>
      <c r="F288">
        <f>HYPERLINK("https://www.reddit.com/r/diabetes/comments/2j98yv/i_hope_you_find_this_motivational_for_yourself/")</f>
        <v/>
      </c>
      <c r="G288" t="inlineStr">
        <is>
          <t>2014-10-14 14:39:25</t>
        </is>
      </c>
      <c r="H288" t="inlineStr">
        <is>
          <t>Type 2</t>
        </is>
      </c>
    </row>
    <row r="289">
      <c r="A289" t="inlineStr">
        <is>
          <t>2jc0b6</t>
        </is>
      </c>
      <c r="B289" t="inlineStr">
        <is>
          <t>T1 Diabetes and ICBC</t>
        </is>
      </c>
      <c r="C289" t="inlineStr">
        <is>
          <t>I am getting my drivers license in British Columbia and am curious of how people have had dealing with ICBC (Insurance Corporation of British Columbia). Any help is greatly appreciated!</t>
        </is>
      </c>
      <c r="D289" t="n">
        <v>2</v>
      </c>
      <c r="E289" t="n">
        <v>10</v>
      </c>
      <c r="F289">
        <f>HYPERLINK("https://www.reddit.com/r/diabetes/comments/2jc0b6/t1_diabetes_and_icbc/")</f>
        <v/>
      </c>
      <c r="G289" t="inlineStr">
        <is>
          <t>2014-10-15 10:06:56</t>
        </is>
      </c>
      <c r="H289" t="inlineStr">
        <is>
          <t>Type 1</t>
        </is>
      </c>
    </row>
    <row r="290">
      <c r="A290" t="inlineStr">
        <is>
          <t>2jd3te</t>
        </is>
      </c>
      <c r="B290" t="inlineStr">
        <is>
          <t>Why does back of Dayquil/Nyquil say not for diabetics?</t>
        </is>
      </c>
      <c r="C290" t="inlineStr">
        <is>
          <t>I have a head cold so i took a dayquil but on the back of the box it says "do not take if you have diabetes. Im t1. why does it say that?</t>
        </is>
      </c>
      <c r="D290" t="n">
        <v>3</v>
      </c>
      <c r="E290" t="n">
        <v>6</v>
      </c>
      <c r="F290">
        <f>HYPERLINK("https://www.reddit.com/r/diabetes/comments/2jd3te/why_does_back_of_dayquilnyquil_say_not_for/")</f>
        <v/>
      </c>
      <c r="G290" t="inlineStr">
        <is>
          <t>2014-10-15 15:51:40</t>
        </is>
      </c>
      <c r="H290" t="inlineStr">
        <is>
          <t>Type 1</t>
        </is>
      </c>
    </row>
    <row r="291">
      <c r="A291" t="inlineStr">
        <is>
          <t>2jd5jz</t>
        </is>
      </c>
      <c r="B291" t="inlineStr">
        <is>
          <t>T1 Diabetic - Recently found without any knowledge that i had in previously.</t>
        </is>
      </c>
      <c r="C291" t="inlineStr">
        <is>
          <t xml:space="preserve">22 years old, South Asian. Mostly lived in the States. 
I found out recently that i have T1, and that i had ketoacidocis and my blood sugar was plateau'd at 500. They said i'd be in a coma were it not for some quick timed action. But i had no idea i had diabetes, let alone type 1. my diet wasnt excessive or sugary, it just happened and i have no idea how to deal with this. I take insulin twice a day, i take pills too. but i have chronic pain in my abdomen. Any response to me, in any form would be HIGHLY appreciated. 
again i m fairly new and i m open to learning this, please be forgiving and patient. </t>
        </is>
      </c>
      <c r="D291" t="n">
        <v>1</v>
      </c>
      <c r="E291" t="n">
        <v>13</v>
      </c>
      <c r="F291">
        <f>HYPERLINK("https://www.reddit.com/r/diabetes/comments/2jd5jz/t1_diabetic_recently_found_without_any_knowledge/")</f>
        <v/>
      </c>
      <c r="G291" t="inlineStr">
        <is>
          <t>2014-10-15 16:07:37</t>
        </is>
      </c>
      <c r="H291" t="inlineStr">
        <is>
          <t>Type 1</t>
        </is>
      </c>
    </row>
    <row r="292">
      <c r="A292" t="inlineStr">
        <is>
          <t>2jej8c</t>
        </is>
      </c>
      <c r="B292" t="inlineStr">
        <is>
          <t>I need some advice about tomorrow</t>
        </is>
      </c>
      <c r="C292" t="inlineStr">
        <is>
          <t xml:space="preserve">I have been rather stressed lately from events that have happened recently (getting into a minor car crash about 2 weeks ago among other things) and I haven't gotten any sleep this night and I have class presentation tomorrow and my depression is starting act up and I was wondering if I should miss my class tomorrow. My blood sugar is extremely weird when I got no sleep especially since my body likes to get more then 9 hours of sleep.
TLDR: Should I got so class tomorrow even though I am worried about myself and blood sugar?
</t>
        </is>
      </c>
      <c r="D292" t="n">
        <v>1</v>
      </c>
      <c r="E292" t="n">
        <v>5</v>
      </c>
      <c r="F292">
        <f>HYPERLINK("https://www.reddit.com/r/diabetes/comments/2jej8c/i_need_some_advice_about_tomorrow/")</f>
        <v/>
      </c>
      <c r="G292" t="inlineStr">
        <is>
          <t>2014-10-16 02:17:08</t>
        </is>
      </c>
      <c r="H292" t="inlineStr">
        <is>
          <t>Type 1</t>
        </is>
      </c>
    </row>
    <row r="293">
      <c r="A293" t="inlineStr">
        <is>
          <t>2jg2ro</t>
        </is>
      </c>
      <c r="B293" t="inlineStr">
        <is>
          <t>T1 Excessive Sweating</t>
        </is>
      </c>
      <c r="C293" t="inlineStr">
        <is>
          <t>Hi,
Being diagnosed for a few months or whatever but started I've college. All good, going really well. Since then it feels like I excessively sweat all the time. Maybe it's just nerves. Naturally i'm not a confident person yet idk. 
During the day. I'd say maybe an hour or so after having a shower i'll start and a sweat patch appears(It doesn't smell, it just smells of my deodorant). Then later in the day I sweat more slowly(naturally i guess). 
At home I get on with work and usually just sit in some loose clothes and will get a sweatpatch at about 7pm(couple hours after i get in) and it will be really bad. I took my top off and just sat and noticed a drop of swear run down my body(gross right).
I've looked around the internet and just can't see any sort of corrolation to diabetes but just wondering if anyone who is t1 gets this? My sugars are perfect and i'm still in my honeymoon phase(still producing insulin). 
I've being told by doctors and other people that i'm more prone to develop things like celiac disease and have an overactive thyroid. I've searched online and only thing I can't find anything except Hyperhidrosis which is a symptom of an overative thyroid. I've being told that I may have celiac but i'd consider. I don't want to jump to conclusions but is there any reason for this sweating. 
Regards</t>
        </is>
      </c>
      <c r="D293" t="n">
        <v>4</v>
      </c>
      <c r="E293" t="n">
        <v>4</v>
      </c>
      <c r="F293">
        <f>HYPERLINK("https://www.reddit.com/r/diabetes/comments/2jg2ro/t1_excessive_sweating/")</f>
        <v/>
      </c>
      <c r="G293" t="inlineStr">
        <is>
          <t>2014-10-16 12:31:42</t>
        </is>
      </c>
      <c r="H293" t="inlineStr">
        <is>
          <t>Type 1</t>
        </is>
      </c>
    </row>
    <row r="294">
      <c r="A294" t="inlineStr">
        <is>
          <t>2jh2vh</t>
        </is>
      </c>
      <c r="B294" t="inlineStr">
        <is>
          <t>My best friend should not be alive.</t>
        </is>
      </c>
      <c r="C294" t="inlineStr">
        <is>
          <t>I'm sorry, by the way, if I can't give as much information as you guys would like, but I just want to know what, if anything, I can do to help.
My best friend is 30, and has been diabetic for...a little under a decade now, I think. Maybe he was 22? I don't remember for sure. But anyway.
The basic thing is this: he goes back and forth, and has up and down days, like everyone else does, I assume. But I called him yesterday night (we spend almost every Thursday hanging out with another friend), and the first thing he said was that he was going to the hospital. Apparently, his blood sugar hit an all-time low, and he lost consciousness, fell, and cracked his head open. His wife found him and called 911, the ambulance came, and tested him, and apparently his blood sugar was at 3 mg/dL, or 0.16 mmol/L, apparently? (I don't know the numbers as well as I should, but the gadgets here use mg/dL, so.) I asked him how he was alive then, and I asked him again today when we visited him in the hospital, and his blood sugar was at a relatively normal resting rate of ~300. (I say "normal". I mean "normal for him".)
I guess my question is two-fold: first of all, how the fuck can he still be alive, and second, is there anything I can do? I mean, frankly, I don't trust his wife to be on top of things, she's a bit of a dunce when it comes to frankly anything, and she was reacting to this latest round of hospitalization by saying that she would just order him to eat what *she* approved of. I had to explain to her that attempting that would be way out of line. (Especially because she smokes.)
I just want to help my friend. Can anyone give me any advice?</t>
        </is>
      </c>
      <c r="D294" t="n">
        <v>1</v>
      </c>
      <c r="E294" t="n">
        <v>2</v>
      </c>
      <c r="F294">
        <f>HYPERLINK("https://www.reddit.com/r/diabetes/comments/2jh2vh/my_best_friend_should_not_be_alive/")</f>
        <v/>
      </c>
      <c r="G294" t="inlineStr">
        <is>
          <t>2014-10-16 18:04:40</t>
        </is>
      </c>
      <c r="H294" t="inlineStr">
        <is>
          <t>Type 2</t>
        </is>
      </c>
    </row>
    <row r="295">
      <c r="A295" t="inlineStr">
        <is>
          <t>2jhdvx</t>
        </is>
      </c>
      <c r="B295" t="inlineStr">
        <is>
          <t>Why am i not needing insulin?</t>
        </is>
      </c>
      <c r="C295" t="inlineStr">
        <is>
          <t>Hey guys, so a couple days ago I started waking up real low and being low all the time, even after cutting back on insulin. well today i had work, and before work i had to eat so i got a slice of pizza (theyre really big, 75g of carbs). as an experiment, i didnt take any insulin for it and 3 hours later into my shift when i checked i was at 108. I just tried eating another 15g carb snack and 25 minutes later i was at 112.  the only insulin in my body at this point is my lantus.
anyone have any insight as to whats going on? it feels weird not taking insulin for food but whenever i do now i go low after, and not taking it results in okay levels.
Edit: some general info
17 years old, t1, diagnosed for about 4 months ago so still in my honeymoon.</t>
        </is>
      </c>
      <c r="D295" t="n">
        <v>1</v>
      </c>
      <c r="E295" t="n">
        <v>8</v>
      </c>
      <c r="F295">
        <f>HYPERLINK("https://www.reddit.com/r/diabetes/comments/2jhdvx/why_am_i_not_needing_insulin/")</f>
        <v/>
      </c>
      <c r="G295" t="inlineStr">
        <is>
          <t>2014-10-16 19:57:17</t>
        </is>
      </c>
      <c r="H295" t="inlineStr">
        <is>
          <t>Type 1</t>
        </is>
      </c>
    </row>
    <row r="296">
      <c r="A296" t="inlineStr">
        <is>
          <t>2jhwog</t>
        </is>
      </c>
      <c r="B296" t="inlineStr">
        <is>
          <t>Do you ever feel alone and depressed? Let's just talk about it.</t>
        </is>
      </c>
      <c r="C296" t="inlineStr">
        <is>
          <t>I'm a type 1 since I was 11. That means that now, that I'm 19, I've been a diabetic for more than 8 years. And my feelings since a few years ago have always been the same. 
I feel alone. Diabetes requires constant awareness, and makes you mature way before than normal teenagers. You walk through the world being the only person around you that has to inject everyday, checks his blood sugar everyday, tracks his diet everyday. Sometimes I feel sick. And I don't think it's crazy to feel like that. 
I probably need some diabetic friends. Someone that doesn't make me feel so strange in this not-that-open-minded society where people look at you differently just because you have to bring a syringe to a social meeting. Sometimes you're just tired of the tyranny of genetics. Sometimes you just want to ask (to someone, to anyone, to yourself, believing in a superior being or not) why is it happening to you. 
I sometimes think I seriously qualify for diabetic depression. But I want to think that this age is difficult, the people of my age are just immature and it will eventually get better.
What's your story? What helped you?</t>
        </is>
      </c>
      <c r="D296" t="n">
        <v>19</v>
      </c>
      <c r="E296" t="n">
        <v>39</v>
      </c>
      <c r="F296">
        <f>HYPERLINK("https://www.reddit.com/r/diabetes/comments/2jhwog/do_you_ever_feel_alone_and_depressed_lets_just/")</f>
        <v/>
      </c>
      <c r="G296" t="inlineStr">
        <is>
          <t>2014-10-17 00:01:27</t>
        </is>
      </c>
      <c r="H296" t="inlineStr">
        <is>
          <t>Type 1</t>
        </is>
      </c>
    </row>
    <row r="297">
      <c r="A297" t="inlineStr">
        <is>
          <t>2jlc6r</t>
        </is>
      </c>
      <c r="B297" t="inlineStr">
        <is>
          <t>I need rapid insulin with 0.5 or 0.75 dose increments...</t>
        </is>
      </c>
      <c r="C297" t="inlineStr">
        <is>
          <t xml:space="preserve">I'm a T1D and I've started to run. I do a low carb diet and I'm finding that a lot of times I need to inject less than 1 unit of Humalog (Kwikpen), because with 1 unit I will probably be low (60), and without insulin I'll obviously be high (160 or 170). 
Is there any way I can inject my insulin in tiny doses?
PS: Problem is I have two boxes of Humalog Kwikpen in my fridge. </t>
        </is>
      </c>
      <c r="D297" t="n">
        <v>7</v>
      </c>
      <c r="E297" t="n">
        <v>15</v>
      </c>
      <c r="F297">
        <f>HYPERLINK("https://www.reddit.com/r/diabetes/comments/2jlc6r/i_need_rapid_insulin_with_05_or_075_dose/")</f>
        <v/>
      </c>
      <c r="G297" t="inlineStr">
        <is>
          <t>2014-10-18 00:52:18</t>
        </is>
      </c>
      <c r="H297" t="inlineStr">
        <is>
          <t>Type 1</t>
        </is>
      </c>
    </row>
    <row r="298">
      <c r="A298" t="inlineStr">
        <is>
          <t>2jqqn7</t>
        </is>
      </c>
      <c r="B298" t="inlineStr">
        <is>
          <t>Warrior Diet with Type 1 Diabetes</t>
        </is>
      </c>
      <c r="C298" t="inlineStr">
        <is>
          <t xml:space="preserve">Has anyone tried the warrior diet (one meal a day)? I am planning on trying this...fasting during the day with tons of water leading up to one large meal around 6:00 each night. Wondering if anyone has had good results with blood sugar and weight loss. I am female, 23, 5'3 140 lbs...just trying to lose the 10 lbs that I have gained from stress eating ---extra insulin. </t>
        </is>
      </c>
      <c r="D298" t="n">
        <v>4</v>
      </c>
      <c r="E298" t="n">
        <v>5</v>
      </c>
      <c r="F298">
        <f>HYPERLINK("https://www.reddit.com/r/diabetes/comments/2jqqn7/warrior_diet_with_type_1_diabetes/")</f>
        <v/>
      </c>
      <c r="G298" t="inlineStr">
        <is>
          <t>2014-10-19 18:08:31</t>
        </is>
      </c>
      <c r="H298" t="inlineStr">
        <is>
          <t>Type 1</t>
        </is>
      </c>
    </row>
    <row r="299">
      <c r="A299" t="inlineStr">
        <is>
          <t>2jqx1o</t>
        </is>
      </c>
      <c r="B299" t="inlineStr">
        <is>
          <t>OneTouch showed readings of 33, 27, 203, and 140 within a 30 second testing freak-out</t>
        </is>
      </c>
      <c r="C299" t="inlineStr">
        <is>
          <t>Obviously the freakout was prompted by the 33. Turns out my blood sugar was *actually* around 140ish. 
At what point is it reasonable to sue glucometer makers to hell and back? This is utter bullshit. The first two readings should have been all the verification I needed (actually, I shouldn't have even needed two separate readings, let alone 4 -- novel idea, right?). Luckily my Dexcom was indicating ~140, so after the 140 reading, I tried again, hit 139, and knew it had to be a false alarm.
I'm thankful for the benefits of glucometers and the fact that I'm not living with this disease in the middle ages. But the fact that a company can sell this oftentimes shitty and ineffective device for a hefty profit, under arbitrary benchmarks (the ol' +/- 20% error, my ass) is infuriating. This model supposedly compares alright to other glucometers according to one of the recent comparison charts. Knowing that there are ones that can't even maintain +/- 50% accuracy and are still being sold just makes this ten times worse.
I'm going to go calm down with some more humalog to compensate for the juice I had senselessly chugged.
tl;dr OneTouch can get fucked.</t>
        </is>
      </c>
      <c r="D299" t="n">
        <v>7</v>
      </c>
      <c r="E299" t="n">
        <v>23</v>
      </c>
      <c r="F299">
        <f>HYPERLINK("https://www.reddit.com/r/diabetes/comments/2jqx1o/onetouch_showed_readings_of_33_27_203_and_140/")</f>
        <v/>
      </c>
      <c r="G299" t="inlineStr">
        <is>
          <t>2014-10-19 19:13:55</t>
        </is>
      </c>
      <c r="H299" t="inlineStr">
        <is>
          <t>Type 1</t>
        </is>
      </c>
    </row>
    <row r="300">
      <c r="A300" t="inlineStr">
        <is>
          <t>2jrhg8</t>
        </is>
      </c>
      <c r="B300" t="inlineStr">
        <is>
          <t>Recently diagnosed(type 2). I have a few questions</t>
        </is>
      </c>
      <c r="C300" t="inlineStr">
        <is>
          <t>Hey guys. I recently was diagnose with type 2 diabetes, I'm taking janumet 50 mg/500 mg twice a day and will switch to 1000 mg twice a day after 10 days. I am also taking farixiga 10 mg. 
My A1C HPLC was 11.5
My glucose was at 328 MG/DL.
I am very new to this and pretty worried in general. I hadn't even heard that I might have a problem. Anyhow, onto the questions
My biggest sugary weakness has always been sugary drinks. Sodas, sports drinks, juice. I like it all. I need to completely cut them out because I have difficulty moderating myself around them. However, I found this "Glaceau fruit water" that tastes alright and doesn't have any carbs listed but has splenda in it. I've been reading and see that it might be associated with digestion problems and spikes in blood sugar. Is this a common occurance, should I stay away from all artificial sweeteners also?
Onto question 2. I received a contour next meter from my doctor. I understand diabetes is expensive but these testing strips and lancets are ridiculously expensive if I want to check my blood sugar 1-2 times a day. Is there any particular meter that people recommend for long term cost efficiency?
Question 3: In taking my blood sugar regularly, I have gone from that 300 mark in my test to around 220 in four days, and I fluctuate between there and 150. Sometimes when I hit 150 I feel just awful, like I don't want to move and my head feels slugish, but sometimes I've left great at that same level. Is there any reason people can think of for this discrepency? It doesn't seem to correlate with times eating, and I've been sticking to keto friendly foods for all my meals.</t>
        </is>
      </c>
      <c r="D300" t="n">
        <v>4</v>
      </c>
      <c r="E300" t="n">
        <v>11</v>
      </c>
      <c r="F300">
        <f>HYPERLINK("https://www.reddit.com/r/diabetes/comments/2jrhg8/recently_diagnosedtype_2_i_have_a_few_questions/")</f>
        <v/>
      </c>
      <c r="G300" t="inlineStr">
        <is>
          <t>2014-10-19 23:26:08</t>
        </is>
      </c>
      <c r="H300" t="inlineStr">
        <is>
          <t>Type 2</t>
        </is>
      </c>
    </row>
    <row r="301">
      <c r="A301" t="inlineStr">
        <is>
          <t>2jrlb0</t>
        </is>
      </c>
      <c r="B301" t="inlineStr">
        <is>
          <t>Just got my new insulin pen...</t>
        </is>
      </c>
      <c r="C301" t="inlineStr">
        <is>
          <t>...and I'm seriously needle phobic. I was 100% convinced I could do this today, but I go into abject fear when it comes time to have any sort of needle penetrating me.
Sigh. Just thought I'd share. This bastard is going to sit here in front of me until I man up and go through with it.</t>
        </is>
      </c>
      <c r="D301" t="n">
        <v>7</v>
      </c>
      <c r="E301" t="n">
        <v>18</v>
      </c>
      <c r="F301">
        <f>HYPERLINK("https://www.reddit.com/r/diabetes/comments/2jrlb0/just_got_my_new_insulin_pen/")</f>
        <v/>
      </c>
      <c r="G301" t="inlineStr">
        <is>
          <t>2014-10-20 00:29:29</t>
        </is>
      </c>
      <c r="H301" t="inlineStr">
        <is>
          <t>Type 2</t>
        </is>
      </c>
    </row>
    <row r="302">
      <c r="A302" t="inlineStr">
        <is>
          <t>2jsrdc</t>
        </is>
      </c>
      <c r="B302" t="inlineStr">
        <is>
          <t>Just discovered A1C level of 5.7%- has anyone experienced similar symptoms?</t>
        </is>
      </c>
      <c r="C302" t="inlineStr">
        <is>
          <t>Hello,
I'm a 23 y/o male.  I rowed in high school and college and am in good shape/continue exercising.  I've been experiencing some symptoms that (I thought) pertained to blood sugar, and I was curious if anyone had similar experiences.
I've lived a healthy lifestyle- no significant ailments to report, I'm hardly ever sick, and I've never had problems with blood sugar previously.  About a month ago I returned from a 12 hour road trip and began experiencing what (felt like) stroke symptoms: my tongue, hands and feet began tingling, my vision became blurred, speech began to slur slightly, I was confused and disoriented and the only sensation I could compare it to was intoxication.  I eventually concluded that during the road trip, I had consumed 4-5 diet sodas to stay awake (I don't normally drink soda, but I did when I was a 14-15), and after the symptoms resided the following day I concluded that soda was something I should simply stay away from.
However, I've developed similar symptoms nearly every time I've consumed sugar since then.  It's been about a month, and the pattern seems to be fairly exact- every time I have sugar in any form (chocolate, brown sugar with oatmeal, cheesecake, etc.) I begin to feel dizzy, disoriented, my hands and feet tingle, occasionally my toes feel as if they're curling inwards towards the soles.  
I had a physical last week, and the results from my bloodwork/urine sample came back this morning.  Low blood-pressure, low cholesterol, but an A1C level of 5.7%.  The receptionist over the phone explained that this qualified as pre-diabetes, and that I should monitor by diet and exercise and return for another blood test in six months.  I mentioned the bad reactions to sugar that I've been having, and she said "like I said, avoid sugar, exercise regularly and control your diet.  We'll see you in six months."
**TLDR** I'm young, healthy, and exercising regularly already.  Is having very bad reactions to sugar (or preservatives, as I imagine are contained in diet soda) common with pre-diabetes?</t>
        </is>
      </c>
      <c r="D302" t="n">
        <v>2</v>
      </c>
      <c r="E302" t="n">
        <v>16</v>
      </c>
      <c r="F302">
        <f>HYPERLINK("https://www.reddit.com/r/diabetes/comments/2jsrdc/just_discovered_a1c_level_of_57_has_anyone/")</f>
        <v/>
      </c>
      <c r="G302" t="inlineStr">
        <is>
          <t>2014-10-20 09:48:17</t>
        </is>
      </c>
      <c r="H302" t="inlineStr">
        <is>
          <t>Type 2</t>
        </is>
      </c>
    </row>
    <row r="303">
      <c r="A303" t="inlineStr">
        <is>
          <t>2jsztj</t>
        </is>
      </c>
      <c r="B303" t="inlineStr">
        <is>
          <t>So disappointing....</t>
        </is>
      </c>
      <c r="C303" t="inlineStr">
        <is>
          <t xml:space="preserve">So I've been dealing with "pre diabetes" now for about 2 years. 
My initial diagnosis was:
Fasting: 6.0
A1C: 6.4
OGTT: 14
(so two measures suggesting pre-diabetes and one suggesting full blown type 2). At the time the ogtt of 14 didn't make much sense, so I took it as an anomaly. 
So I just went to have my blood work done and it included the OGTT this time (since its been about 2 years). I won't get hte results until next week, but I used my glucose meter to test my sugars at the 2 hour mark (shortly after they drew blood the second time). 
A1C: 5.8 (based on my last blood test 3 months ago)
Fasting: 4.4 (based on my last blood test 3 months ago)
OGTT: 17 (based on my glucose meter after doing the 75g ogtt today).
I won't get a "official" confirmation on what my OGTT is until next week when I get my results, but the glucometer, even if it's off somewhat, still suggests type 2 diabetes. 
It's so frustrating to have a A1C that is now in "normal" range, a fasting that is well within "normal" range and a 2h OGTT that is well withing "type 2 diabetes" (not pre-diabetes, but full blown type 2). 
</t>
        </is>
      </c>
      <c r="D303" t="n">
        <v>6</v>
      </c>
      <c r="E303" t="n">
        <v>25</v>
      </c>
      <c r="F303">
        <f>HYPERLINK("https://www.reddit.com/r/diabetes/comments/2jsztj/so_disappointing/")</f>
        <v/>
      </c>
      <c r="G303" t="inlineStr">
        <is>
          <t>2014-10-20 10:59:39</t>
        </is>
      </c>
      <c r="H303" t="inlineStr">
        <is>
          <t>Type 2</t>
        </is>
      </c>
    </row>
    <row r="304">
      <c r="A304" t="inlineStr">
        <is>
          <t>2jto4c</t>
        </is>
      </c>
      <c r="B304" t="inlineStr">
        <is>
          <t>My sister makes jewelry inspired by her 3-year old with T1D. Proceeds go to JDRF. Please take a look.</t>
        </is>
      </c>
      <c r="C304" t="inlineStr">
        <is>
          <t xml:space="preserve">She has an original blog about her life and coping with her daughter's diagnosis when she was a 2 years old. It includes frugal tips for crafts, quick meals, and more. 
https://www.facebook.com/KaseysKupboard
http://www.kaseyskupboard.blogspot.com/
That stemmed to making jewelry. Proceeds go towards JDRF, and the company supports other awareness with bracelets including Alzheimer's, cancer, and Rett's Syndrome. 
https://www.facebook.com/Ls1Drop
https://www.etsy.com/shop/Ls1Drop?ref=shop_sugg
I'm not asking for likes or for customers although, I'm sure she would appreciate it. Just wanted to promote a company for a great cause. Thank you!  </t>
        </is>
      </c>
      <c r="D304" t="n">
        <v>0</v>
      </c>
      <c r="E304" t="n">
        <v>0</v>
      </c>
      <c r="F304">
        <f>HYPERLINK("https://www.reddit.com/r/diabetes/comments/2jto4c/my_sister_makes_jewelry_inspired_by_her_3year_old/")</f>
        <v/>
      </c>
      <c r="G304" t="inlineStr">
        <is>
          <t>2014-10-20 14:18:14</t>
        </is>
      </c>
      <c r="H304" t="inlineStr">
        <is>
          <t>Type 1</t>
        </is>
      </c>
    </row>
    <row r="305">
      <c r="A305" t="inlineStr">
        <is>
          <t>2juhcw</t>
        </is>
      </c>
      <c r="B305" t="inlineStr">
        <is>
          <t>Pus just came gushing out my toe and I'm freaking out right now</t>
        </is>
      </c>
      <c r="C305" t="inlineStr">
        <is>
          <t>I have an appointment to see a doctor tomorrow morning, just wrapped my toe up after spraying cologne (all I have) all over it after washing it.
So for the past 5 days I've had a dull stabbing pain in one side of my big  toe, I thought it was the nail stabbing but I can't see any cuts and the nail doesn't really look like it's jabbing into anything.
I'm Type 1, diagnosed 9 years ago and a college aged guy.
The side of my toe that hurts went hard and shiny, felt kinda smooth too. There was some yellow discoloration (tiny spot) where I guess the pain was originating from, I moved the skin back a bit to see if the nail was stabbing into anything as the pain had picked up and just by my finger touching the toe a flood of off-white pus came gushing out the side of my toe.
Needless to say as some one with anxiety I'm fighting the urge to vomit right now but it's 3 AM and there's not much else I can do that I haven't done before.
My question is, if this is just a minor toe infection or something I should be worried about.
You see I have gastritis and it makes me feel like shit 24/7, so much so I can't tell if I'm high or low needless to say I haven't been moving out of bed much for like six months...
Is this the start of the whole diabetic-leg-amputation horror show?
**tl;dr** side of my toe got hard and shiny, touched it and it flooded pus, seeing doc tomorrow, haven't been exercising, is my foot gonna fall off?
edit: I have had these exact same symptoms before maybe 2 years ago but the pain went after 2 days and there was never any pus.
edit 2:
Aaand now there's a dull ache in my foot, I'm not sure if that's from anxiety or what
final edit:
Went to the doc today, all's fine it's just a local infection. I get to keep ^and^worry^about my legs for another day.</t>
        </is>
      </c>
      <c r="D305" t="n">
        <v>1</v>
      </c>
      <c r="E305" t="n">
        <v>7</v>
      </c>
      <c r="F305">
        <f>HYPERLINK("https://www.reddit.com/r/diabetes/comments/2juhcw/pus_just_came_gushing_out_my_toe_and_im_freaking/")</f>
        <v/>
      </c>
      <c r="G305" t="inlineStr">
        <is>
          <t>2014-10-20 18:40:25</t>
        </is>
      </c>
      <c r="H305" t="inlineStr">
        <is>
          <t>Type 1</t>
        </is>
      </c>
    </row>
    <row r="306">
      <c r="A306" t="inlineStr">
        <is>
          <t>2jvfbj</t>
        </is>
      </c>
      <c r="B306" t="inlineStr">
        <is>
          <t>Some useful material for new Type 2s.</t>
        </is>
      </c>
      <c r="C306" t="inlineStr">
        <is>
          <t>I thought it would be useful to provide pointers to some of the information I found useful when I was first diagnosed.
[Firstly we have our own /u/alan_s's blog and particularly his post on getting started.](http://loraldiabetes.blogspot.com.au/2006/10/d-day.html) I found this really useful getting started with managing my diabetes after despairing that my fasting blood glucose hadn't improved (I was, of course, measuring the wrong thing: I should have been checking my post-meal spike).
Next is the [bloodsugar 101 web site.](http://www.phlaunt.com/) If I was going to put together a diabetes web site this is what I would hope to be able to create. Jenny Rhul provides advice and guidance and then backs it up by citing and linking to pertinent research. I bought both her bloodsugar 101 and diet 101 books and found them both helpful in ensuring I built a successful diet to manage my diabetes that I wasn't fanatically fragile about maintaining.
And finally the father of them all: [Dr Bernstein](http://www.diabetes-solution.net/). Bernstein is the ultimate source of a lot of the good advice you'll get from diabetics, including me, who successfully manage their diabetes: measure your blood glucose, control you carbs, the law of small numbers and so on. His book, [The New Diabetes Solution](http://www.diabetes-solution.net/diabetessolution.php) should be required reading for all diabetics.
Whilst many find him overly strict you can't argue with his results: he was diagnosed in the 1940s, by the time he was 35 he was effectively given 5 years to live so he made some radical changes, reversed all but one his diabetic complications, became a doctor in his mid-40s in order to promote his approach and now, in his 80s he runs a successful diabetes clinic.
Feel free to add to this list!</t>
        </is>
      </c>
      <c r="D306" t="n">
        <v>13</v>
      </c>
      <c r="E306" t="n">
        <v>9</v>
      </c>
      <c r="F306">
        <f>HYPERLINK("https://www.reddit.com/r/diabetes/comments/2jvfbj/some_useful_material_for_new_type_2s/")</f>
        <v/>
      </c>
      <c r="G306" t="inlineStr">
        <is>
          <t>2014-10-21 02:00:38</t>
        </is>
      </c>
      <c r="H306" t="inlineStr">
        <is>
          <t>Type 2</t>
        </is>
      </c>
    </row>
    <row r="307">
      <c r="A307" t="inlineStr">
        <is>
          <t>2jzdyi</t>
        </is>
      </c>
      <c r="B307" t="inlineStr">
        <is>
          <t>Hospitalized recently - now sugar all over the place</t>
        </is>
      </c>
      <c r="C307" t="inlineStr">
        <is>
          <t>So I was hospitalized for something mostly unrelated to my T2 (though my blood sugar was pretty damn high).
They stopped my metformin, along with my blood pressure med (lisinopril), and switched to just giving me insulin before every meal.
I was there for 4 days. I restarted my metformin once I was released, but my blood sugar is all over the place - I saw 148 at work earlier, 297 last night, 263 right now. and everything in-between. Of course, my blood pressure spiked while I was there, and they couldn't figure out why (so they started IV blood thinners, which brought down the BP, but not the pulse - I don't even know what the hell they were thinking, I gave them a full list of my meds and even showed them the bottles when I was admitted to the ER).
How long does metformin take to start working again? I'm on 1000mg 2x/day, the discharge instructions stated 500mg 1x/day (but also stated 5mg lisinopril 1x/day when I'm on 20mg, along with adding another blood pressure med to the mix - my normal doctor's reaction to that was "so are they trying to kill you?"). The swings have had me feeling like absolute shit.
Prior to the hospital visit, it was semi-controlled - generally in the low to mid 100s.
tl;dr how long does metformin take to start working after you've been off of it for about a week?</t>
        </is>
      </c>
      <c r="D307" t="n">
        <v>1</v>
      </c>
      <c r="E307" t="n">
        <v>6</v>
      </c>
      <c r="F307">
        <f>HYPERLINK("https://www.reddit.com/r/diabetes/comments/2jzdyi/hospitalized_recently_now_sugar_all_over_the_place/")</f>
        <v/>
      </c>
      <c r="G307" t="inlineStr">
        <is>
          <t>2014-10-22 04:10:43</t>
        </is>
      </c>
      <c r="H307" t="inlineStr">
        <is>
          <t>Type 2</t>
        </is>
      </c>
    </row>
    <row r="308">
      <c r="A308" t="inlineStr">
        <is>
          <t>2jzvvb</t>
        </is>
      </c>
      <c r="B308" t="inlineStr">
        <is>
          <t>Support? Help? I don't know. T2.</t>
        </is>
      </c>
      <c r="C308" t="inlineStr">
        <is>
          <t xml:space="preserve">The beginning of the month went to ER for abscesses. Got admitted and surgery happened. Came to and nurse said 'Surprise you got diabetes.' Been out of hospital a week. Everything seemed to be fine. Checking my BG regulating like a boss. Woke up two hours ago covered in blood. The drain site was bleeding infected blood. Called surgeon got any appointment for later today. But I'm still scared. Any advice? Anything? Sorry if rambley. I'm shaken. Not stirred. </t>
        </is>
      </c>
      <c r="D308" t="n">
        <v>2</v>
      </c>
      <c r="E308" t="n">
        <v>2</v>
      </c>
      <c r="F308">
        <f>HYPERLINK("https://www.reddit.com/r/diabetes/comments/2jzvvb/support_help_i_dont_know_t2/")</f>
        <v/>
      </c>
      <c r="G308" t="inlineStr">
        <is>
          <t>2014-10-22 07:47:18</t>
        </is>
      </c>
      <c r="H308" t="inlineStr">
        <is>
          <t>Type 2</t>
        </is>
      </c>
    </row>
    <row r="309">
      <c r="A309" t="inlineStr">
        <is>
          <t>2k08vt</t>
        </is>
      </c>
      <c r="B309" t="inlineStr">
        <is>
          <t>Drugs made my friend stop making insulin, now I have diabetes and I'm worried they'll do that to me.</t>
        </is>
      </c>
      <c r="C309" t="inlineStr">
        <is>
          <t>They found sugar in my urine when I went to go renew my CDL. So I went to and got my first tests done by my new doctor. I've been borderline for a while now as confirmed by my old doctor (I moved and can no longer go to him), but this time my new doctor is worried because my blood sugar was 245. 
My sister thinks the doctor is a quack (he failed to diagnose my ear infection at the same appointment) and has warned me not to go on meds so soon because one of our best friends went on meds for diabetes and her body stopped producing her own insulin. 
And feedback on this situation from you people who've dealt with diabetes longer? Do diabetes meds usually do this?</t>
        </is>
      </c>
      <c r="D309" t="n">
        <v>0</v>
      </c>
      <c r="E309" t="n">
        <v>10</v>
      </c>
      <c r="F309">
        <f>HYPERLINK("https://www.reddit.com/r/diabetes/comments/2k08vt/drugs_made_my_friend_stop_making_insulin_now_i/")</f>
        <v/>
      </c>
      <c r="G309" t="inlineStr">
        <is>
          <t>2014-10-22 09:40:16</t>
        </is>
      </c>
      <c r="H309" t="inlineStr">
        <is>
          <t>Type 2</t>
        </is>
      </c>
    </row>
    <row r="310">
      <c r="A310" t="inlineStr">
        <is>
          <t>2k0djc</t>
        </is>
      </c>
      <c r="B310" t="inlineStr">
        <is>
          <t>[Type 2] How often do you check your blood sugar?</t>
        </is>
      </c>
      <c r="C310" t="inlineStr">
        <is>
          <t xml:space="preserve">Hi! I'm a new type 2 and was diagnosed in early pregnancy, so my experience with diabetes has been a little different. I'm wondering what a day in the life of a "normal" type 2 diabetic is like. Both my grandfather and father-in-law are type 2s, but I honestly can't remember ever seeing them check their blood sugar levels. Maybe they were just private about it, or maybe not. I know my father-in-law seemed surprised that I was required to test so often, but I did explain that they are much stricter during pregnancy. So I'm wondering, what your testing looks like? And also, what are your blood sugar "goals"? My endo wants me to be between 75 and 130 (2 hours after meals), but did state that those restrictions are typically stricter than a regular type 2. </t>
        </is>
      </c>
      <c r="D310" t="n">
        <v>0</v>
      </c>
      <c r="E310" t="n">
        <v>13</v>
      </c>
      <c r="F310">
        <f>HYPERLINK("https://www.reddit.com/r/diabetes/comments/2k0djc/type_2_how_often_do_you_check_your_blood_sugar/")</f>
        <v/>
      </c>
      <c r="G310" t="inlineStr">
        <is>
          <t>2014-10-22 10:20:04</t>
        </is>
      </c>
      <c r="H310" t="inlineStr">
        <is>
          <t>Type 2</t>
        </is>
      </c>
    </row>
    <row r="311">
      <c r="A311" t="inlineStr">
        <is>
          <t>2k19et</t>
        </is>
      </c>
      <c r="B311" t="inlineStr">
        <is>
          <t>Munchies when my blood sugar is low ; any easy fixes?</t>
        </is>
      </c>
      <c r="C311" t="inlineStr">
        <is>
          <t>EDIT: When my blood sugar gets low, even after I eat or drink something to regulate it, I get irrationally hungry. Is there a way to tide that feeling over until my blood sugar goes back up?</t>
        </is>
      </c>
      <c r="D311" t="n">
        <v>2</v>
      </c>
      <c r="E311" t="n">
        <v>6</v>
      </c>
      <c r="F311">
        <f>HYPERLINK("https://www.reddit.com/r/diabetes/comments/2k19et/munchies_when_my_blood_sugar_is_low_any_easy_fixes/")</f>
        <v/>
      </c>
      <c r="G311" t="inlineStr">
        <is>
          <t>2014-10-22 14:44:17</t>
        </is>
      </c>
      <c r="H311" t="inlineStr">
        <is>
          <t>Type 1</t>
        </is>
      </c>
    </row>
    <row r="312">
      <c r="A312" t="inlineStr">
        <is>
          <t>2k32s5</t>
        </is>
      </c>
      <c r="B312" t="inlineStr">
        <is>
          <t>Type 1, Levemir and Intermittent Fasting</t>
        </is>
      </c>
      <c r="C312" t="inlineStr">
        <is>
          <t xml:space="preserve">I'm a type 1 who uses a single injection of 15 units of Levemir in the morning. Intermittent fasting keeps me awake and alert during the morning, while having breakfast makes me tired. The thing is that I have 6 hours of class every morning and I want to be sure that my BS won't fall into the hypo range while on class. 
Should I make any adjustments to my basal dose? Maybe injecting it in another time of the day?
Thanks. </t>
        </is>
      </c>
      <c r="D312" t="n">
        <v>1</v>
      </c>
      <c r="E312" t="n">
        <v>3</v>
      </c>
      <c r="F312">
        <f>HYPERLINK("https://www.reddit.com/r/diabetes/comments/2k32s5/type_1_levemir_and_intermittent_fasting/")</f>
        <v/>
      </c>
      <c r="G312" t="inlineStr">
        <is>
          <t>2014-10-23 03:53:39</t>
        </is>
      </c>
      <c r="H312" t="inlineStr">
        <is>
          <t>Type 1</t>
        </is>
      </c>
    </row>
    <row r="313">
      <c r="A313" t="inlineStr">
        <is>
          <t>2k33gg</t>
        </is>
      </c>
      <c r="B313" t="inlineStr">
        <is>
          <t>Retinopathy surgery 2.0</t>
        </is>
      </c>
      <c r="C313" t="inlineStr">
        <is>
          <t>Morning /r/diabetes, reporting in port my second surgery on my left eye.  Much more straight forward this time around, saline oil was removed and replaced with a gas bubble.  I've to posture for 10 days, and have a risk of retinal detachment, but other than that things are looking up.  I sghould have my A1C in the afternoon too (cringe).
Starting the path back to an active life.  Long slow journey ahead though.</t>
        </is>
      </c>
      <c r="D313" t="n">
        <v>5</v>
      </c>
      <c r="E313" t="n">
        <v>11</v>
      </c>
      <c r="F313">
        <f>HYPERLINK("https://www.reddit.com/r/diabetes/comments/2k33gg/retinopathy_surgery_20/")</f>
        <v/>
      </c>
      <c r="G313" t="inlineStr">
        <is>
          <t>2014-10-23 04:06:21</t>
        </is>
      </c>
      <c r="H313" t="inlineStr">
        <is>
          <t>Type 1</t>
        </is>
      </c>
    </row>
    <row r="314">
      <c r="A314" t="inlineStr">
        <is>
          <t>2k365o</t>
        </is>
      </c>
      <c r="B314" t="inlineStr">
        <is>
          <t>Reducing fasting glucose numbers</t>
        </is>
      </c>
      <c r="C314" t="inlineStr">
        <is>
          <t>I have "impaired glucose tolerance" officially, but I've done enough diabetic-range home glucose tests that I'm pretty sure I am actually Type 2. I take 1000mg of metformin ER each day, follow a low carb diet, and exercise. My latest A1C was 5.6; my doctor is happy.
I'm not as happy, though, because my fasting numbers each morning are high (120's into low 130's). I've read about dawn phenomenon; I'm thinking that's my problem. I've tried snacks before bed, which didn't help, and often made the morning number higher. 
Anyone else have experience with fasting numbers higher than your average? Should I just look at my A1C, relax, and ignore individual readings like my doctor is doing? Or, should I be worried that my fasting numbers are heralding overall higher numbers in the future, and should I be doing something about them now? If so, what can I do about them short of more meds (which I doubt my doc will do, because A1C)?</t>
        </is>
      </c>
      <c r="D314" t="n">
        <v>1</v>
      </c>
      <c r="E314" t="n">
        <v>6</v>
      </c>
      <c r="F314">
        <f>HYPERLINK("https://www.reddit.com/r/diabetes/comments/2k365o/reducing_fasting_glucose_numbers/")</f>
        <v/>
      </c>
      <c r="G314" t="inlineStr">
        <is>
          <t>2014-10-23 04:52:42</t>
        </is>
      </c>
      <c r="H314" t="inlineStr">
        <is>
          <t>Type 2</t>
        </is>
      </c>
    </row>
    <row r="315">
      <c r="A315" t="inlineStr">
        <is>
          <t>2k4kjd</t>
        </is>
      </c>
      <c r="B315" t="inlineStr">
        <is>
          <t>Type 1 diabetic in a 21 year fight. I feel like the fight is almost over.</t>
        </is>
      </c>
      <c r="C315" t="inlineStr">
        <is>
          <t>I have been a T-1 diabetic for 21 years now (diagnosed at 12 years old). I also suffer from depression and bi-polar disorder all of my life because of it. When I was younger my mother use to tell me, “If you don’t take care of yourself you are not going to live past 30”. She would then list off all of the complications that I would get. So I’ve lived in state of fear most of my life. I went through a divorce 4 years ago and became a huge binge drinker. When I would drink it was only on the weekends and I would drink A LOT. My depression has improved a ton in the past year and a half. I no longer have suicidal thoughts and have had a positive outlook on life. I feel like I take great care of myself. Test 8-10 times a day. A1C always in the low 6’s (last one was 6.3). Workout 6 days a week 45 mins a day. Just recently I was diagnosed with diabetic neuropathy and it has had a devastating impact on my mental health. I just don’t understand how this could happen. I mean I work my ass off to get my A1C’s at a normal level. My doctor has prescribed Cymbalta for the pain but I am afraid to take it because of the side effects of antidepressants. I used to take Lexapro and those side effects were awful. My depression has come back full force and I am scared for my future. At this point, I really feel like giving up. This 21 year fight has taken a toll on me physically and emotionally and I feel like I have no more fight left in me.</t>
        </is>
      </c>
      <c r="D315" t="n">
        <v>7</v>
      </c>
      <c r="E315" t="n">
        <v>31</v>
      </c>
      <c r="F315">
        <f>HYPERLINK("https://www.reddit.com/r/diabetes/comments/2k4kjd/type_1_diabetic_in_a_21_year_fight_i_feel_like/")</f>
        <v/>
      </c>
      <c r="G315" t="inlineStr">
        <is>
          <t>2014-10-23 12:55:52</t>
        </is>
      </c>
      <c r="H315" t="inlineStr">
        <is>
          <t>Type 1</t>
        </is>
      </c>
    </row>
    <row r="316">
      <c r="A316" t="inlineStr">
        <is>
          <t>2k5hji</t>
        </is>
      </c>
      <c r="B316" t="inlineStr">
        <is>
          <t>Good exercise routine for a diabetic?</t>
        </is>
      </c>
      <c r="C316" t="inlineStr">
        <is>
          <t>I have type 2 diabetes and am not really sure what amount of exercise I should do in order to keep my sugars low. I'm overweight as well and my last a1c was 8.3 and I want to kick this in the ass. Any suggestions? Also I tend to over do it on the carbs and I am trying to ween myself off of so many. Any good rules about carbs per meal? Other considerations?</t>
        </is>
      </c>
      <c r="D316" t="n">
        <v>1</v>
      </c>
      <c r="E316" t="n">
        <v>8</v>
      </c>
      <c r="F316">
        <f>HYPERLINK("https://www.reddit.com/r/diabetes/comments/2k5hji/good_exercise_routine_for_a_diabetic/")</f>
        <v/>
      </c>
      <c r="G316" t="inlineStr">
        <is>
          <t>2014-10-23 17:49:20</t>
        </is>
      </c>
      <c r="H316" t="inlineStr">
        <is>
          <t>Type 2</t>
        </is>
      </c>
    </row>
    <row r="317">
      <c r="A317" t="inlineStr">
        <is>
          <t>2k68jw</t>
        </is>
      </c>
      <c r="B317" t="inlineStr">
        <is>
          <t>Kind of new to diabetes and struggling</t>
        </is>
      </c>
      <c r="C317" t="inlineStr">
        <is>
          <t xml:space="preserve">I was 19 when I was diagnosed with diabetes. At 5ft3in I weighed in at 210lbs/96kgs. I had gained weight from my anti-psychotic Risperdal. Risperdal is also known to cause blood sugar levels to rise. This, coupled with my bad lifestyle led me to develop type 2 diabetes. 
My doctor had cut the dose of Risperdal in half in May 2014. Since then I've lost 30kgs through clean eating and regular exercise. I know it seems like a lot, but you have to keep in mind that I was not moving *at all* before and eating a lot of fast food and drinking a lot of soda. My blood sugar had reached normal levels and I didn't need to take my diabetes medicine any more. I go to the doctor every 2 months and it's almost like I don't have diabetes.
However, for the past 3 days I've had some sort of relapse. I've not been exercising and I've also been binging non-stop. I've been eating chocolate, chips, all that bad stuff. I've been stressed with school. I can feel a small diabetes boil popping up and I feel tired.
I don't really monitor my blood sugar levels at home but I'm 100% sure my blood sugar has risen. I've never talked to anyone about my diabetes before and I'm a bit uneducated on the subject. I want to stop myself from this binging spree and go back to normal. So I have one question:
**How can I get my blood sugar levels back to normal without the help of medicine? **
Should I just carry on and exercise and eat healthy as normal? Should I drink a lot more water today to *cleanse* my system? 
Please help. 
</t>
        </is>
      </c>
      <c r="D317" t="n">
        <v>2</v>
      </c>
      <c r="E317" t="n">
        <v>15</v>
      </c>
      <c r="F317">
        <f>HYPERLINK("https://www.reddit.com/r/diabetes/comments/2k68jw/kind_of_new_to_diabetes_and_struggling/")</f>
        <v/>
      </c>
      <c r="G317" t="inlineStr">
        <is>
          <t>2014-10-23 22:44:32</t>
        </is>
      </c>
      <c r="H317" t="inlineStr">
        <is>
          <t>Type 2</t>
        </is>
      </c>
    </row>
    <row r="318">
      <c r="A318" t="inlineStr">
        <is>
          <t>2k8bix</t>
        </is>
      </c>
      <c r="B318" t="inlineStr">
        <is>
          <t>Diagnosed T1 at 25, how common is that and why so late?</t>
        </is>
      </c>
      <c r="C318" t="inlineStr">
        <is>
          <t>Hi all, I'm new to this subreddit and relatively new to diabetes. I was diagnosed with diabetes last December, at 25, with BG levels above 600, after losing about 50 lbs. I had been feeling exhausted and sick for a month or so, but thought I was just overworking myself. My father, who was diagnosed with T1 in his mid 40s, was the one who told me to check my blood sugar and then go to the Dr (after asking a few seemingly innocuous questions about how I felt). I went on metformin for a while, then actos. Neither did anything for me except give me what felt like strange headaches. I went on insulin last in March and have been consistently between 85 and 120 since, and I feel like I keep improving. My father and I are the only cases known to me of T1 in my family. My question is, how common is it to develop T1 so late? I've read a good deal of diabetes literature, but I haven't seen much that deals with adult onset T1. Thanks!</t>
        </is>
      </c>
      <c r="D318" t="n">
        <v>3</v>
      </c>
      <c r="E318" t="n">
        <v>36</v>
      </c>
      <c r="F318">
        <f>HYPERLINK("https://www.reddit.com/r/diabetes/comments/2k8bix/diagnosed_t1_at_25_how_common_is_that_and_why_so/")</f>
        <v/>
      </c>
      <c r="G318" t="inlineStr">
        <is>
          <t>2014-10-24 13:45:48</t>
        </is>
      </c>
      <c r="H318" t="inlineStr">
        <is>
          <t>Type 1</t>
        </is>
      </c>
    </row>
    <row r="319">
      <c r="A319" t="inlineStr">
        <is>
          <t>2k8n4q</t>
        </is>
      </c>
      <c r="B319" t="inlineStr">
        <is>
          <t>recommendations for part d insurance longtime T2</t>
        </is>
      </c>
      <c r="C319" t="inlineStr">
        <is>
          <t>I need to change my part D insurer. I was with Humana Walmart but they were so bad I have to find something else.I live out in the sticks so my choices are: SilverScript, Cigna-HealthSpring, EnvisionRx,United American and Transamerica. Anyone have any experience with these that they'd like to share?
thanks,</t>
        </is>
      </c>
      <c r="D319" t="n">
        <v>1</v>
      </c>
      <c r="E319" t="n">
        <v>0</v>
      </c>
      <c r="F319">
        <f>HYPERLINK("https://www.reddit.com/r/diabetes/comments/2k8n4q/recommendations_for_part_d_insurance_longtime_t2/")</f>
        <v/>
      </c>
      <c r="G319" t="inlineStr">
        <is>
          <t>2014-10-24 15:36:51</t>
        </is>
      </c>
      <c r="H319" t="inlineStr">
        <is>
          <t>Type 2</t>
        </is>
      </c>
    </row>
    <row r="320">
      <c r="A320" t="inlineStr">
        <is>
          <t>2k9t6j</t>
        </is>
      </c>
      <c r="B320" t="inlineStr">
        <is>
          <t>How much does protein really affect your blood sugar?</t>
        </is>
      </c>
      <c r="C320" t="inlineStr">
        <is>
          <t xml:space="preserve">Maybe a 30% of the grams get converted into glucose? Maybe a 50%? I've seen a curious diversity of opinions. </t>
        </is>
      </c>
      <c r="D320" t="n">
        <v>4</v>
      </c>
      <c r="E320" t="n">
        <v>12</v>
      </c>
      <c r="F320">
        <f>HYPERLINK("https://www.reddit.com/r/diabetes/comments/2k9t6j/how_much_does_protein_really_affect_your_blood/")</f>
        <v/>
      </c>
      <c r="G320" t="inlineStr">
        <is>
          <t>2014-10-25 01:14:48</t>
        </is>
      </c>
      <c r="H320" t="inlineStr">
        <is>
          <t>Type 1</t>
        </is>
      </c>
    </row>
    <row r="321">
      <c r="A321" t="inlineStr">
        <is>
          <t>2kce70</t>
        </is>
      </c>
      <c r="B321" t="inlineStr">
        <is>
          <t>Glukit Looking for Devs</t>
        </is>
      </c>
      <c r="C321" t="inlineStr">
        <is>
          <t>I'd like to thank you guys in /r/diabetes for [trying glukit a few months ago](http://www.reddit.com/r/diabetes/comments/2ei3qe/type_1_diabetic_and_software_engineer_i_thought_i/). [Glukit](http://www.mygluk.it/) is now a lot better for it (for one, it works for more people than just myself). 
It should be functional for most people that meet the requirements but there are a lot of exciting features in the backlog. 
So, I'd like to call out today for glukit users (or potential users) that are also developers. If you're interested in implementing some of the next features, I'd love to talk to you.
More details (including the way to get in touch) can be found in this [blog post](http://blog.mygluk.it/posts/call-out-to-devs/).  
Cheers!</t>
        </is>
      </c>
      <c r="D321" t="n">
        <v>3</v>
      </c>
      <c r="E321" t="n">
        <v>0</v>
      </c>
      <c r="F321">
        <f>HYPERLINK("https://www.reddit.com/r/diabetes/comments/2kce70/glukit_looking_for_devs/")</f>
        <v/>
      </c>
      <c r="G321" t="inlineStr">
        <is>
          <t>2014-10-25 20:53:21</t>
        </is>
      </c>
      <c r="H321" t="inlineStr">
        <is>
          <t>Type 1</t>
        </is>
      </c>
    </row>
    <row r="322">
      <c r="A322" t="inlineStr">
        <is>
          <t>2kcwdi</t>
        </is>
      </c>
      <c r="B322" t="inlineStr">
        <is>
          <t>Type 1 hypo question.</t>
        </is>
      </c>
      <c r="C322" t="inlineStr">
        <is>
          <t>Hey all, just found this sub, so apologies if this has been explained elsewhere!
I'll TLDR this as the post was a bit rambling:
*Has anyone else suffered from fit like symptoms while having a hypo?*
This morning at about 2am, my fiancé had a pretty bad hypo (I think it got as low as &amp;lt;2 mmol, because I was scrambling about I didn't get an accurate reading for a solid minute, at which time she was 3.4 mmol, probably released from the liver, peaking at 5.something)
Not a big deal in itself, we've had it before, even had one that was as low as below 1.5 and she's always bounced back.
But today, it was different - she woke up shouting for me, then as soon as I'd woken up -bam!- she had what seemed like a fit! 
Arms rigid, one to the side one parallel to the body, eyes closed, jaws clenched, snorting, dribbling, body spasming, peed the bed.
I'll be honest I was pretty damn terrified.
Well anyway, it ended up fine, bloods came back to 5.4 and she was awake enough to start drinking a nice fizzy drink, and the rest was easy.
Definitely going to get the adrenaline needle when I can!
But its never been like that before, ever.
We think its because we corrected for high bloods but didn't take into account sex!
I think I'm posting just for reassurance more than anything - has anyone else suffered from these symptoms when having a hypo?
Is there a possibility of her having longer lasting damage because of this fit? (It lasted about two minutes)
Can it ever happen like that again? And what the hell caused it to be a fit, and not the normal incoherence?
Is there anything I can do or give that will aid her recovery this morning, as she has a pretty sore head after all that! 
Thank you, I'm off to wake up her up and get breakfast so apologies if I reply slowly!
-Edit-
I would just like to thank everyone for their kind words, good advice and sharing their experiences! 
The biggest fear for me was the actual seizing, and as strange as it is for me to say I'm glad it's not as uncommon as I feared!
Thanks all! :) x</t>
        </is>
      </c>
      <c r="D322" t="n">
        <v>8</v>
      </c>
      <c r="E322" t="n">
        <v>19</v>
      </c>
      <c r="F322">
        <f>HYPERLINK("https://www.reddit.com/r/diabetes/comments/2kcwdi/type_1_hypo_question/")</f>
        <v/>
      </c>
      <c r="G322" t="inlineStr">
        <is>
          <t>2014-10-26 02:13:51</t>
        </is>
      </c>
      <c r="H322" t="inlineStr">
        <is>
          <t>Type 1</t>
        </is>
      </c>
    </row>
    <row r="323">
      <c r="A323" t="inlineStr">
        <is>
          <t>2kd1ys</t>
        </is>
      </c>
      <c r="B323" t="inlineStr">
        <is>
          <t>Type 1 diabetic here, a little question for you</t>
        </is>
      </c>
      <c r="C323" t="inlineStr">
        <is>
          <t>How much do your diabetes supplies cost in your country? In Finland, they are so cheap, but i've heard a lots of things that you guys are having problems with the prices. Also do you get some money as support? or some insurance?
Just wondering, 15-year-old diabetic here. ^.^</t>
        </is>
      </c>
      <c r="D323" t="n">
        <v>16</v>
      </c>
      <c r="E323" t="n">
        <v>63</v>
      </c>
      <c r="F323">
        <f>HYPERLINK("https://www.reddit.com/r/diabetes/comments/2kd1ys/type_1_diabetic_here_a_little_question_for_you/")</f>
        <v/>
      </c>
      <c r="G323" t="inlineStr">
        <is>
          <t>2014-10-26 04:22:44</t>
        </is>
      </c>
      <c r="H323" t="inlineStr">
        <is>
          <t>Type 1</t>
        </is>
      </c>
    </row>
    <row r="324">
      <c r="A324" t="inlineStr">
        <is>
          <t>2kd8fs</t>
        </is>
      </c>
      <c r="B324" t="inlineStr">
        <is>
          <t>T1 infection advice needed</t>
        </is>
      </c>
      <c r="C324" t="inlineStr">
        <is>
          <t xml:space="preserve">So I've got a skin infection and it's on my face and on the skin beneath my hair. I am on Flucloxacillin as an antibiotic and Fucidin cream. Have been using them for a week as prescribed by the doctor. 
It hasn't improved. If anything it's worse,  the side of my head is weeping a yellow liquid a lot. Its a Sunday and the surgery is shut. My blood sugars are all over the place. It's painful. What should I do? </t>
        </is>
      </c>
      <c r="D324" t="n">
        <v>2</v>
      </c>
      <c r="E324" t="n">
        <v>5</v>
      </c>
      <c r="F324">
        <f>HYPERLINK("https://www.reddit.com/r/diabetes/comments/2kd8fs/t1_infection_advice_needed/")</f>
        <v/>
      </c>
      <c r="G324" t="inlineStr">
        <is>
          <t>2014-10-26 06:24:31</t>
        </is>
      </c>
      <c r="H324" t="inlineStr">
        <is>
          <t>Type 1</t>
        </is>
      </c>
    </row>
    <row r="325">
      <c r="A325" t="inlineStr">
        <is>
          <t>2kgddy</t>
        </is>
      </c>
      <c r="B325" t="inlineStr">
        <is>
          <t>Switching from Low Carb to ''mid-carb''.</t>
        </is>
      </c>
      <c r="C325" t="inlineStr">
        <is>
          <t xml:space="preserve">After two years in a ketogenic diet, I'm going back to a more normal diet, with a maximum of 100g HC a day. I'll get around 60-80 most days. Reasons are my intense physical activity and, why not, because I want to enjoy carbs again. The thing is I don't know what to expect in terms of insulin sensitivy. With low carb I was doing a single shot of Levemir a day (15 units) and having very little humalog (1 unit a meal most times). 
I know how to match insulin/carb ratios accordingly, but I don't know what to expect in terms of basal insulin. 
What should I expect? Any useful advice in general?
Thank you. </t>
        </is>
      </c>
      <c r="D325" t="n">
        <v>1</v>
      </c>
      <c r="E325" t="n">
        <v>3</v>
      </c>
      <c r="F325">
        <f>HYPERLINK("https://www.reddit.com/r/diabetes/comments/2kgddy/switching_from_low_carb_to_midcarb/")</f>
        <v/>
      </c>
      <c r="G325" t="inlineStr">
        <is>
          <t>2014-10-27 04:17:00</t>
        </is>
      </c>
      <c r="H325" t="inlineStr">
        <is>
          <t>Type 1</t>
        </is>
      </c>
    </row>
    <row r="326">
      <c r="A326" t="inlineStr">
        <is>
          <t>2kguwc</t>
        </is>
      </c>
      <c r="B326" t="inlineStr">
        <is>
          <t>My T1 SO likely has Celiac disease...</t>
        </is>
      </c>
      <c r="C326" t="inlineStr">
        <is>
          <t xml:space="preserve">Thanks in advance. I'm a non-diabetic girlfriend to a Type 1 diabetic. He had blood work last week, and, surprise! His Celiac antibody count was sky high. He has not had an endoscopy yet, but we're pretty sure with medical/family history (his sister has Celiac, and he already has Hypothyroidism in addition to T1), and his blood results he does have it. He's not particularly surprised, and seems to be handling the news pretty well. 
Now, my younger sister was diagnosed with Celiac 12 years ago (way before gluten free was "cool", and let me tell you if you think GF food now is bad, it was terrible back then!), so I am well versed in the medically necessary gluten free lifestyle. I am well aware of what Celiac does to your body, how important it is to follow the diet even if you don't feel sick when you eat gluten, I know what to look for on the ingredient labels. I have already made it clear he needs to continue eating gluten until he gets the endoscopy and a final positive diagnosis, or he can end up with a false negative biopsy. 
We're a relatively new relationship, so I am still learning about T1 as it is. He has been absolutely amazing answering my questions and being willing to talk about it with me for sometimes an hour or more at a time. I know about Celiac, I'm learning about T1, Is there any additional things I need to know about T1 and Celiac together? Will he be more sensitive or prone to symptoms to gluten than a non-diabetic? I'm assuming his villi will take longer to heal than say my sister's did. Is he at a more increased risk for any complications from either disease with both? He's on injections right now, in the process of switching to a pump, but he's been having a lot of unexplained lows he chalked up to overcompensating insulin dosages or exercising too hard/fast. Could his weird lows have been from lack of absorption due to damaged villi? I want to support him the best I can through this, he's already joked that if he has to eat GF he will be sending me pictures of ingredient labels to have me check, haha. 
Thank you! </t>
        </is>
      </c>
      <c r="D326" t="n">
        <v>2</v>
      </c>
      <c r="E326" t="n">
        <v>2</v>
      </c>
      <c r="F326">
        <f>HYPERLINK("https://www.reddit.com/r/diabetes/comments/2kguwc/my_t1_so_likely_has_celiac_disease/")</f>
        <v/>
      </c>
      <c r="G326" t="inlineStr">
        <is>
          <t>2014-10-27 07:52:50</t>
        </is>
      </c>
      <c r="H326" t="inlineStr">
        <is>
          <t>Type 1</t>
        </is>
      </c>
    </row>
    <row r="327">
      <c r="A327" t="inlineStr">
        <is>
          <t>2khnlf</t>
        </is>
      </c>
      <c r="B327" t="inlineStr">
        <is>
          <t>Resources for significant other of T1 Diabetic</t>
        </is>
      </c>
      <c r="C327" t="inlineStr">
        <is>
          <t>My boyfriend is 28 and has had type 1 diabetes since he was 9 years old. I want to know everything I can in order to help him. This past weekend on vacation he lost consciousness and I had to call 911. His blood sugar was 54, but he has been conscious before around 30-40. This was a very scary situation, and the first time he has ever blacked out. The paramedics were able to get his blood levels up enough that he regained consciousness without needing an IV or having to go to the ER. Before the ordeal I took his blood sugar and was able to feed him some raisins and bread. I thought I was doing everything right- but he still passed out. The EMT's said he was lucky I was there. I can't help worrying about what would have happened if I wasn't.... if he was alone at home (we don't live together), driving somewhere alone, etc. 
I've read many articles about taking care of a loved one with diabetes, but still feel like I don't know very much. Are there any classes I can take? Any good books? Can he do anything in case of an emergency if I am not there? I'd appreciate any information; I want to help prevent something like this blackout from happening again and learn exactly how I can help him. Thanks!</t>
        </is>
      </c>
      <c r="D327" t="n">
        <v>5</v>
      </c>
      <c r="E327" t="n">
        <v>7</v>
      </c>
      <c r="F327">
        <f>HYPERLINK("https://www.reddit.com/r/diabetes/comments/2khnlf/resources_for_significant_other_of_t1_diabetic/")</f>
        <v/>
      </c>
      <c r="G327" t="inlineStr">
        <is>
          <t>2014-10-27 12:06:05</t>
        </is>
      </c>
      <c r="H327" t="inlineStr">
        <is>
          <t>Type 1</t>
        </is>
      </c>
    </row>
    <row r="328">
      <c r="A328" t="inlineStr">
        <is>
          <t>2khz69</t>
        </is>
      </c>
      <c r="B328" t="inlineStr">
        <is>
          <t>The small victories. [winning diabetes]</t>
        </is>
      </c>
      <c r="C328" t="inlineStr">
        <is>
          <t>Treated myself to a Grande White Mocha from Starbucks (only have them once in a blue moon cause daaaaaaamn it's a lot of sugar!) Split my 7 unit bolus in half with a dual wave (Minimed). In 3 hours never went above 115. Yessssssss!</t>
        </is>
      </c>
      <c r="D328" t="n">
        <v>15</v>
      </c>
      <c r="E328" t="n">
        <v>9</v>
      </c>
      <c r="F328">
        <f>HYPERLINK("https://www.reddit.com/r/diabetes/comments/2khz69/the_small_victories_winning_diabetes/")</f>
        <v/>
      </c>
      <c r="G328" t="inlineStr">
        <is>
          <t>2014-10-27 13:42:20</t>
        </is>
      </c>
      <c r="H328" t="inlineStr">
        <is>
          <t>Type 1</t>
        </is>
      </c>
    </row>
    <row r="329">
      <c r="A329" t="inlineStr">
        <is>
          <t>2kk6v2</t>
        </is>
      </c>
      <c r="B329" t="inlineStr">
        <is>
          <t>What to expect when you're expecting (your honeymoon period to end).</t>
        </is>
      </c>
      <c r="C329" t="inlineStr">
        <is>
          <t>So last night I went to bed after detaching my pump...and forgot to reattach. I was disconnected for 7 hours and woke up this morning to be 123mg/dL.
It's been a little over a year since my diagnosis last summer..and I'm wondering what to expect from the inevitable end to my honeymoon period. My daily intake of insulin rarely peeks above 30u, what kinds of bullshit will I have to deal with once this all ends? How much more difficult does it get?</t>
        </is>
      </c>
      <c r="D329" t="n">
        <v>3</v>
      </c>
      <c r="E329" t="n">
        <v>6</v>
      </c>
      <c r="F329">
        <f>HYPERLINK("https://www.reddit.com/r/diabetes/comments/2kk6v2/what_to_expect_when_youre_expecting_your/")</f>
        <v/>
      </c>
      <c r="G329" t="inlineStr">
        <is>
          <t>2014-10-28 04:58:11</t>
        </is>
      </c>
      <c r="H329" t="inlineStr">
        <is>
          <t>Type 1</t>
        </is>
      </c>
    </row>
    <row r="330">
      <c r="A330" t="inlineStr">
        <is>
          <t>2kk9cd</t>
        </is>
      </c>
      <c r="B330" t="inlineStr">
        <is>
          <t>[T2] BG jump after changing Metformin brand?</t>
        </is>
      </c>
      <c r="C330" t="inlineStr">
        <is>
          <t xml:space="preserve">I've been diagnosed T2 in June this year, with HbA1c of 10. Doc put me on metformin 2x500mg per day, which along with diet changes (&amp;lt;15g carbs/meal before dinner then up to ~60g in the evening) and exercise seems to have done the trick, reducing my HbA1c to 6.1 last month. Up until about a week ago I was enjoying meter readings of 4-7mmol/l, occasionally 8-9 if I indulged in pizza or something. 
 I got a new generic brand of metformin when I last got my prescription filled, and 3 days after starting on that I've seen my bg readings jump up by a solid 1mmol/l. Morning readings were ~5 and now they are ~6. Before meals I was 4-5 and now 5-6. After meals are now regularly hitting 8s.
This happened literally overnight and has been the same since. My diet does not vary that much, especially at breakfast/lunch as I'm really carb sensitive before dinner. I initially thought I was coming down with a cold or something but more than a week later my sugars are still up by a steady 1mmol/l and I'm not sick :/ my digestive system has also reverted to just-started-metformin chaos. 
The pharmacist has offered to swap a box of meds for me to see if it helps but I wondered if anyone else had experienced anything similar?
Edit: not sure why this is being downvoted? </t>
        </is>
      </c>
      <c r="D330" t="n">
        <v>1</v>
      </c>
      <c r="E330" t="n">
        <v>3</v>
      </c>
      <c r="F330">
        <f>HYPERLINK("https://www.reddit.com/r/diabetes/comments/2kk9cd/t2_bg_jump_after_changing_metformin_brand/")</f>
        <v/>
      </c>
      <c r="G330" t="inlineStr">
        <is>
          <t>2014-10-28 05:30:11</t>
        </is>
      </c>
      <c r="H330" t="inlineStr">
        <is>
          <t>Type 2</t>
        </is>
      </c>
    </row>
    <row r="331">
      <c r="A331" t="inlineStr">
        <is>
          <t>2klijl</t>
        </is>
      </c>
      <c r="B331" t="inlineStr">
        <is>
          <t>Insurance finally came through. Getting my CGM on Thursday! I am so excited.</t>
        </is>
      </c>
      <c r="C331" t="inlineStr">
        <is>
          <t>My secondary insurance covered the balance of my CGM and supplies. I got the shipping notification yesterday and it is due to arrive Thursday. A week before my next Endo appt! With its help I can get my A1C down where it should be. Hurray for me!</t>
        </is>
      </c>
      <c r="D331" t="n">
        <v>12</v>
      </c>
      <c r="E331" t="n">
        <v>9</v>
      </c>
      <c r="F331">
        <f>HYPERLINK("https://www.reddit.com/r/diabetes/comments/2klijl/insurance_finally_came_through_getting_my_cgm_on/")</f>
        <v/>
      </c>
      <c r="G331" t="inlineStr">
        <is>
          <t>2014-10-28 12:15:22</t>
        </is>
      </c>
      <c r="H331" t="inlineStr">
        <is>
          <t>Type 1</t>
        </is>
      </c>
    </row>
    <row r="332">
      <c r="A332" t="inlineStr">
        <is>
          <t>2knfgf</t>
        </is>
      </c>
      <c r="B332" t="inlineStr">
        <is>
          <t>Big, multi-part fuck up [Type 1]</t>
        </is>
      </c>
      <c r="C332" t="inlineStr">
        <is>
          <t>So I'm 17 and taking a gap year in a high school in Asuncion, Paraguay between high school and college.  Before leaving the States, I bought a years worth of humalog and lantus to carry with me (cause i didn't want to deal with trying to get my american insurance to pay a pharmacy in south america and suchlike).  This was my first fuck up.  So I flew down there without incident and arrived at my host family's house tired and confused as shit (my Spanish was garbage at this point) and I asked if i could put my meds in the fridge.  I put a year's worth of insulin in the fridge door and forgot about it.  Three weeks later when the humalog that I had brought down in my pocket ran out i went to grab a new vial and found out that they were all frozen.  
So things kinda went downhill from here. As you probably know, Insulin denatures after being frozen and thawed, so I now had about 25,000$ worth of vials full of what was now water sitting in my fridge.  After freaking out after seeing ice on the box i pulled out one of the vials and shot some into my leg, but four hours later it was clear it wasn't doing anything.  Neither of my host parents were home and my internet connection is iffy at best so I was pretty much on my own.  So I walked a couple blocks from my house (and at this point my sugar is high and steadily rising) to a mall where I found a Pharmacy, the problem with this was that the Pharmacy didn't carry any of the american brands of insulin, so I paid 150,000 of the local currency (about USD) and took home two different vials of some Argentinian insulin brand.  
I got home and decided I'd test out what I'd bought, so I gave five units of one of the two vials and set about watching tv and checking my sugar every half hour.  two hours later and my sugar was still steadily rising (upwards of 500 at this point --yikes) so i figured the stuff I had given was an analogue to Lantus, and i was pretty tired of having my sugar be high as a kite, so i gave a bunch of my good Humalog that I had brought down on the plane and went back to watching kids cartoons in Spanish.  About an hour later, both doses of insulin kicked at the same time (I know know that I was using a South American version of humulin, a short acting insulin that works from about 2.5 hrs to 5.5 hrs) and my sugar shot down fast.  I didnt notice because i wasnt really paying attention and by the time i checked it I was at 38.  I stumbled down the stairs, tore open the fridge, grabbed a two liter bottle of Fanta, and was about to start chugging it when my host mom (she was back from work at this point) sprints into the kitchen, swipes the bottle out of my hands, and starts yelling in an incomprehensible mix of Spanish and the little English she knows about how i have to be healthy and sugar is bad for diabetics.  At this point, with the combination of my bad Spanish and my low sugar, i realized there was no way in hell i was gonna be able to explain what was going on well enough for her to give me the bottle back, so I said I'd be back soon and staggered out the door making for a corner store half a block from my house.  I got there, bought two liter-bags of strawberry yogurt, sucked them both down in about 20 seconds, and collapsed on the side of the street.  
A couple minutes later I came around and walked back to the house and went to sleep to relax and ride out the impending high.  the next morning i gave some more of my precious humalog and found that i had a working internet connection.  I did some googling and found out that i had bought humulin and humulin NPH, and then i figured out how to manage with those (I also sent my parents a carefully worded email explaining the situation).   
Cut to today, two months later, and my sugars are fine, if not as good as they had been, my spanish has improved a ton, and I've explained to my host mom what a low blood sugar is.</t>
        </is>
      </c>
      <c r="D332" t="n">
        <v>9</v>
      </c>
      <c r="E332" t="n">
        <v>6</v>
      </c>
      <c r="F332">
        <f>HYPERLINK("https://www.reddit.com/r/diabetes/comments/2knfgf/big_multipart_fuck_up_type_1/")</f>
        <v/>
      </c>
      <c r="G332" t="inlineStr">
        <is>
          <t>2014-10-28 22:40:59</t>
        </is>
      </c>
      <c r="H332" t="inlineStr">
        <is>
          <t>Type 1</t>
        </is>
      </c>
    </row>
    <row r="333">
      <c r="A333" t="inlineStr">
        <is>
          <t>2knuyo</t>
        </is>
      </c>
      <c r="B333" t="inlineStr">
        <is>
          <t>Father just got diagnosed with diabetes.</t>
        </is>
      </c>
      <c r="C333" t="inlineStr">
        <is>
          <t xml:space="preserve">My father is 52 years old and was diagnosed with diabetes. A little background, he is 5" 10 165 and there is no history of Type 2 diabetes in the family.  I am an EMT so I have a vague familiarity on how everything works.  I am just looking on how he should change his diet and how to help him.  He drinks way more soda (diet) than water everyday.  Also, my mother died of breast cancer 7 years ago so obviously he is very worried about leaving his kids to soon.  Basically I am asking for advice and how to get through to him that this needs to be addressed seriously and that he needs to take care of himself.  Thank you.   </t>
        </is>
      </c>
      <c r="D333" t="n">
        <v>2</v>
      </c>
      <c r="E333" t="n">
        <v>6</v>
      </c>
      <c r="F333">
        <f>HYPERLINK("https://www.reddit.com/r/diabetes/comments/2knuyo/father_just_got_diagnosed_with_diabetes/")</f>
        <v/>
      </c>
      <c r="G333" t="inlineStr">
        <is>
          <t>2014-10-29 03:16:03</t>
        </is>
      </c>
      <c r="H333" t="inlineStr">
        <is>
          <t>Type 2</t>
        </is>
      </c>
    </row>
    <row r="334">
      <c r="A334" t="inlineStr">
        <is>
          <t>2kolqs</t>
        </is>
      </c>
      <c r="B334" t="inlineStr">
        <is>
          <t>T1D thinking about Dexcom. What are your thoughts on Dexcom CGM?</t>
        </is>
      </c>
      <c r="C334" t="inlineStr">
        <is>
          <t>Hey there guys.  I'm thinking of trying out Dexcom and I was wondering if I could get current/former Dexcom-users thoughts on it?  I had a CGM a few years back through Medtronic and it wasn't the best experience--I've heard from my doctor and other diabetics that they've since made HUGE improvements, but I want to look at other brands too.
So yeah... what's Dexcom like?  Is it weird having another device in addition to a pump (if you have a pump that is)?  What's your favorite part?  Least favorite?  Anything would help.
Thanks!</t>
        </is>
      </c>
      <c r="D334" t="n">
        <v>3</v>
      </c>
      <c r="E334" t="n">
        <v>14</v>
      </c>
      <c r="F334">
        <f>HYPERLINK("https://www.reddit.com/r/diabetes/comments/2kolqs/t1d_thinking_about_dexcom_what_are_your_thoughts/")</f>
        <v/>
      </c>
      <c r="G334" t="inlineStr">
        <is>
          <t>2014-10-29 08:35:59</t>
        </is>
      </c>
      <c r="H334" t="inlineStr">
        <is>
          <t>Type 1</t>
        </is>
      </c>
    </row>
    <row r="335">
      <c r="A335" t="inlineStr">
        <is>
          <t>2ktzwl</t>
        </is>
      </c>
      <c r="B335" t="inlineStr">
        <is>
          <t>Skin Care for Abdomen (T1 w/pump)?</t>
        </is>
      </c>
      <c r="C335" t="inlineStr">
        <is>
          <t>Hi all,
I've been pumping for about 14 years, primarily using the front and sides of the abdomen and being pretty good about rotating, but I am finding that certain skin areas are more taut or hard than others, and have absorption problems occasionally. Do you have any advice, creams, techniques, etc, for working on those areas? I don't really have enough fat on my arms or thighs to switch to there and really don't want to use my butt.</t>
        </is>
      </c>
      <c r="D335" t="n">
        <v>2</v>
      </c>
      <c r="E335" t="n">
        <v>12</v>
      </c>
      <c r="F335">
        <f>HYPERLINK("https://www.reddit.com/r/diabetes/comments/2ktzwl/skin_care_for_abdomen_t1_wpump/")</f>
        <v/>
      </c>
      <c r="G335" t="inlineStr">
        <is>
          <t>2014-10-30 16:36:19</t>
        </is>
      </c>
      <c r="H335" t="inlineStr">
        <is>
          <t>Type 1</t>
        </is>
      </c>
    </row>
    <row r="336">
      <c r="A336" t="inlineStr">
        <is>
          <t>2kwcin</t>
        </is>
      </c>
      <c r="B336" t="inlineStr">
        <is>
          <t>Severe, sudden insulin resistance. Desperate for answers.</t>
        </is>
      </c>
      <c r="C336" t="inlineStr">
        <is>
          <t xml:space="preserve">Hello r/diabetes, 
I am struggling with an issue that I can't find much of anything on through google and am hoping someone might have some ideas for me. First, my background: I'm a 24 year old female, diagnosed with type 1 at age 7, have mostly pumped since diagnosis with a few breaks to do MDI here and there (usually during vacations at the beach). My most recent A1C was 6.0. I follow a very strict low carb diet. I weigh 115 pounds and work out daily - mostly strength training. I use a Dexcom CGM at all times. 
Over the past few weeks, I have developed a SEVERE resistance to insulin. It's absolutely insane. My blood sugar will suddenly spike for no reason and then stay over 200, sometimes over 300, for hours and hours regardless of how much insulin I take/how much water I drink. For an example, one unit of insulin usually brings my BG down 55-65 points. This morning (over the course of 4 hours), I have given NINE units for a persistent BG of 200-220 and have seen absolutely no drop. Nothing about my lifestyle or health has changed - I'm not sick and have not been sick. This problem has seemingly come out of nowhere. 
What I have tried so far:
-Changing pump sets (meaning, different types of sets as well as different body locations)
-Changing pumps themselves (I have switched back and forth from tSlim to Medtronic; I have the same problems on both)
-Taking off the pump and using long acting insulin (Lantus)
-Changing insulin vials (and pens, when I've tried MDI)
This is making me sick daily, I've missed tons of work, and I just don't know what to do. I have contacted my doctor - he has no ideas and his answer is basically "diabetes isn't always easy to understand." Very frustrating, as these are not just a few random, mild highs - they are persistent, very high BG (my usual range is 80-100, so 200 is very high for me) that do NOT respond to insulin. 
Any - and I mean any - ideas would be so appreciated. I am absolutely desperate here. Every time I bolus/give an injection it's like I'm just giving water. I just don't understand. 
I'm happy to provide any relevant details I may have forgotten to include here. 
Thank you. 
</t>
        </is>
      </c>
      <c r="D336" t="n">
        <v>3</v>
      </c>
      <c r="E336" t="n">
        <v>18</v>
      </c>
      <c r="F336">
        <f>HYPERLINK("https://www.reddit.com/r/diabetes/comments/2kwcin/severe_sudden_insulin_resistance_desperate_for/")</f>
        <v/>
      </c>
      <c r="G336" t="inlineStr">
        <is>
          <t>2014-10-31 09:44:22</t>
        </is>
      </c>
      <c r="H336" t="inlineStr">
        <is>
          <t>Type 1</t>
        </is>
      </c>
    </row>
    <row r="337">
      <c r="A337" t="inlineStr">
        <is>
          <t>2kxaud</t>
        </is>
      </c>
      <c r="B337" t="inlineStr">
        <is>
          <t>Just got my first real post-Dexcom A1c!</t>
        </is>
      </c>
      <c r="C337" t="inlineStr">
        <is>
          <t>6.7, very pleased. My A1c's have ranged from 6.7-7.5 (only once at 7.5) for the past several years, but I think were artificially lower because I went low more often. Last A1c from the summer was 7.3.
Have been on the G4 since August and have had noticeably fewer lows - at this point I'm going low (&amp;lt;70) about twice a week if that - so this is even better.
The G4 + nightscout has been a huge help in stopping highs and lows before they get too far out of hand.</t>
        </is>
      </c>
      <c r="D337" t="n">
        <v>3</v>
      </c>
      <c r="E337" t="n">
        <v>0</v>
      </c>
      <c r="F337">
        <f>HYPERLINK("https://www.reddit.com/r/diabetes/comments/2kxaud/just_got_my_first_real_postdexcom_a1c/")</f>
        <v/>
      </c>
      <c r="G337" t="inlineStr">
        <is>
          <t>2014-10-31 14:33:12</t>
        </is>
      </c>
      <c r="H337" t="inlineStr">
        <is>
          <t>Type 1</t>
        </is>
      </c>
    </row>
    <row r="338">
      <c r="A338" t="inlineStr">
        <is>
          <t>2kxjub</t>
        </is>
      </c>
      <c r="B338" t="inlineStr">
        <is>
          <t>How much insulin did you use?</t>
        </is>
      </c>
      <c r="C338" t="inlineStr">
        <is>
          <t>Lets play a game reddit.
Tell us, your insulin intake for the day of halloween. Also tell us your normal daily dose
Eg: 79u(50u)</t>
        </is>
      </c>
      <c r="D338" t="n">
        <v>2</v>
      </c>
      <c r="E338" t="n">
        <v>13</v>
      </c>
      <c r="F338">
        <f>HYPERLINK("https://www.reddit.com/r/diabetes/comments/2kxjub/how_much_insulin_did_you_use/")</f>
        <v/>
      </c>
      <c r="G338" t="inlineStr">
        <is>
          <t>2014-10-31 15:59:38</t>
        </is>
      </c>
      <c r="H338" t="inlineStr">
        <is>
          <t>Type 1</t>
        </is>
      </c>
    </row>
    <row r="339">
      <c r="A339" t="inlineStr">
        <is>
          <t>2kylfj</t>
        </is>
      </c>
      <c r="B339" t="inlineStr">
        <is>
          <t>White flashes and flickering vision after drinking a lot of alcohol [T1]</t>
        </is>
      </c>
      <c r="C339" t="inlineStr">
        <is>
          <t xml:space="preserve">Hey guys. I've only been drunk two times this year (once at the start of the year and last night), and I've noticed that after drinking my vision gets all kinds of weird. First off, I have large white marks that consistently appear in the same place whenever I shut my eyes. 
When my eyes are open, my vision flickers rapidly in my peripheral area and there's tiny white spots here and there. I'm also seeing dark spots and white flickers every now and then. This happened more aggressively last night than last time, which I assume is because I drank a lot more. I was managing my sugars fairly well throughout the evening however and was only a tiny bit high after eating at one point. My question is- does anyone else experience this? I've only drank alcohol twice since my diagnosis two years ago so this is new- and very weird to me. It's still persisting right now despite me being sober for a few hours now. I would consider myself well researched on alcohol and diabetes which is why I make it a habit not to drink apart from important social occasions such as Halloween.
Thanks for listening! </t>
        </is>
      </c>
      <c r="D339" t="n">
        <v>2</v>
      </c>
      <c r="E339" t="n">
        <v>2</v>
      </c>
      <c r="F339">
        <f>HYPERLINK("https://www.reddit.com/r/diabetes/comments/2kylfj/white_flashes_and_flickering_vision_after/")</f>
        <v/>
      </c>
      <c r="G339" t="inlineStr">
        <is>
          <t>2014-11-01 00:13:08</t>
        </is>
      </c>
      <c r="H339" t="inlineStr">
        <is>
          <t>Type 1</t>
        </is>
      </c>
    </row>
    <row r="340">
      <c r="A340" t="inlineStr">
        <is>
          <t>2kytvj</t>
        </is>
      </c>
      <c r="B340" t="inlineStr">
        <is>
          <t>So my Levemir dosing is a bit weird.</t>
        </is>
      </c>
      <c r="C340" t="inlineStr">
        <is>
          <t xml:space="preserve">I use 16 units of Levemir every morning, and only 4 at night. Most people I see here use equal amounts, like 10 in the morning and 10 at night. Am I doing it wrong? 
</t>
        </is>
      </c>
      <c r="D340" t="n">
        <v>2</v>
      </c>
      <c r="E340" t="n">
        <v>9</v>
      </c>
      <c r="F340">
        <f>HYPERLINK("https://www.reddit.com/r/diabetes/comments/2kytvj/so_my_levemir_dosing_is_a_bit_weird/")</f>
        <v/>
      </c>
      <c r="G340" t="inlineStr">
        <is>
          <t>2014-11-01 03:23:24</t>
        </is>
      </c>
      <c r="H340" t="inlineStr">
        <is>
          <t>Type 1</t>
        </is>
      </c>
    </row>
    <row r="341">
      <c r="A341" t="inlineStr">
        <is>
          <t>2kz8u1</t>
        </is>
      </c>
      <c r="B341" t="inlineStr">
        <is>
          <t>New A1C!</t>
        </is>
      </c>
      <c r="C341" t="inlineStr">
        <is>
          <t>I've been diabetic for a very long time.  Last August I finally found an endocrinologist and got moved from a very old insulin regimen to insulin pens.  When I first went in my A1C was a 9.2.  I went back this week and it's come down after only 3 months to a 6.6!  I'm super excited and wanted to share!</t>
        </is>
      </c>
      <c r="D341" t="n">
        <v>36</v>
      </c>
      <c r="E341" t="n">
        <v>6</v>
      </c>
      <c r="F341">
        <f>HYPERLINK("https://www.reddit.com/r/diabetes/comments/2kz8u1/new_a1c/")</f>
        <v/>
      </c>
      <c r="G341" t="inlineStr">
        <is>
          <t>2014-11-01 07:41:06</t>
        </is>
      </c>
      <c r="H341" t="inlineStr">
        <is>
          <t>Type 1</t>
        </is>
      </c>
    </row>
    <row r="342">
      <c r="A342" t="inlineStr">
        <is>
          <t>2l1wdc</t>
        </is>
      </c>
      <c r="B342" t="inlineStr">
        <is>
          <t>High after breakfast.</t>
        </is>
      </c>
      <c r="C342" t="inlineStr">
        <is>
          <t xml:space="preserve">I have a 10:1 ratio for lunch and dinner, but I can't seem to get my bolus right for breakfast. Everything I eat a couple hours after waking up sends me sky high. I ate 15 grams of carbs and I had 3 units to see a 227 mg/dl spike. 
I eat two tiny slices of integral (edit: whole wheat) bread (7,5 each) and some ham.
I also use 16 units of levemir in the morning and 4 at night. Maybe I need to lower my morning dose and up my night dose? </t>
        </is>
      </c>
      <c r="D342" t="n">
        <v>6</v>
      </c>
      <c r="E342" t="n">
        <v>14</v>
      </c>
      <c r="F342">
        <f>HYPERLINK("https://www.reddit.com/r/diabetes/comments/2l1wdc/high_after_breakfast/")</f>
        <v/>
      </c>
      <c r="G342" t="inlineStr">
        <is>
          <t>2014-11-02 01:03:43</t>
        </is>
      </c>
      <c r="H342" t="inlineStr">
        <is>
          <t>Type 1</t>
        </is>
      </c>
    </row>
    <row r="343">
      <c r="A343" t="inlineStr">
        <is>
          <t>2l25qy</t>
        </is>
      </c>
      <c r="B343" t="inlineStr">
        <is>
          <t>Hypoglycemic seizures?</t>
        </is>
      </c>
      <c r="C343" t="inlineStr">
        <is>
          <t>Yesterday I had experienced for the first time something that terrified me. I was having a normal day, checking my e-mails, when my sight suddently started to blur and my body started shaking involuntarily, so I decided to sit on my bed. The shaking didn't stop, though, and I started to freak out and scream till I end up on the ground. After a while my father heard me and came up to help me, and as soon as he got where I was and helped me standing up, I started to feel better and was able to walk down the stairs and check my glucose: it was 37! 
The thing is: it was 37, I had a preseizure and I still had enough luck to be conscious to check my glucose and ingest some sugar, how is this possible? I had never imagined that this could have happened and now it won't leave my mind, I am terrified it could be another autoimmune disorder. Has anybody else also experienced this? Is this a normal symptom or should I see a neurologist/doctor?
Any help will be appreciated, thanks in advance!</t>
        </is>
      </c>
      <c r="D343" t="n">
        <v>2</v>
      </c>
      <c r="E343" t="n">
        <v>12</v>
      </c>
      <c r="F343">
        <f>HYPERLINK("https://www.reddit.com/r/diabetes/comments/2l25qy/hypoglycemic_seizures/")</f>
        <v/>
      </c>
      <c r="G343" t="inlineStr">
        <is>
          <t>2014-11-02 04:37:45</t>
        </is>
      </c>
      <c r="H343" t="inlineStr">
        <is>
          <t>Type 1</t>
        </is>
      </c>
    </row>
    <row r="344">
      <c r="A344" t="inlineStr">
        <is>
          <t>2l2kv4</t>
        </is>
      </c>
      <c r="B344" t="inlineStr">
        <is>
          <t>Can we (T1's) drink sugar-roasted coffee? (Like Torrefacto)</t>
        </is>
      </c>
      <c r="C344" t="inlineStr">
        <is>
          <t xml:space="preserve">Without bolusing, of course. I mean if it has any net carbs. </t>
        </is>
      </c>
      <c r="D344" t="n">
        <v>1</v>
      </c>
      <c r="E344" t="n">
        <v>2</v>
      </c>
      <c r="F344">
        <f>HYPERLINK("https://www.reddit.com/r/diabetes/comments/2l2kv4/can_we_t1s_drink_sugarroasted_coffee_like/")</f>
        <v/>
      </c>
      <c r="G344" t="inlineStr">
        <is>
          <t>2014-11-02 08:01:21</t>
        </is>
      </c>
      <c r="H344" t="inlineStr">
        <is>
          <t>Type 1</t>
        </is>
      </c>
    </row>
    <row r="345">
      <c r="A345" t="inlineStr">
        <is>
          <t>2l35o5</t>
        </is>
      </c>
      <c r="B345" t="inlineStr">
        <is>
          <t>Steroid Eyedrops messing up numbers (T1)</t>
        </is>
      </c>
      <c r="C345" t="inlineStr">
        <is>
          <t>Hi all,
I started taking a steroid eyedrop Friday night to deal with some redness inside my eyelid. Ever since, my numbers have been fairly out of control, insulin resistance has been very high, and I've changed my set so it's not a bad set.
I know that oral steroids mess up blood sugars, but I've taken topical steroids before with no ill effect. Has anyone noticed this issue with steroid eyedrops? I'm only using like a drop or two inside my eyelid.</t>
        </is>
      </c>
      <c r="D345" t="n">
        <v>1</v>
      </c>
      <c r="E345" t="n">
        <v>4</v>
      </c>
      <c r="F345">
        <f>HYPERLINK("https://www.reddit.com/r/diabetes/comments/2l35o5/steroid_eyedrops_messing_up_numbers_t1/")</f>
        <v/>
      </c>
      <c r="G345" t="inlineStr">
        <is>
          <t>2014-11-02 11:29:05</t>
        </is>
      </c>
      <c r="H345" t="inlineStr">
        <is>
          <t>Type 1</t>
        </is>
      </c>
    </row>
    <row r="346">
      <c r="A346" t="inlineStr">
        <is>
          <t>2l36dv</t>
        </is>
      </c>
      <c r="B346" t="inlineStr">
        <is>
          <t>Snacks On-the-Go?</t>
        </is>
      </c>
      <c r="C346" t="inlineStr">
        <is>
          <t>Ever since I started cutting carbs, I have gone from gaining weight to losing weight. I want to gain weight, so I think a big part of that is that I have been unable to find a healthy, diabetic-friendly on-the-go snack to eat while I'm at school. Anybody have suggestions?</t>
        </is>
      </c>
      <c r="D346" t="n">
        <v>1</v>
      </c>
      <c r="E346" t="n">
        <v>4</v>
      </c>
      <c r="F346">
        <f>HYPERLINK("https://www.reddit.com/r/diabetes/comments/2l36dv/snacks_onthego/")</f>
        <v/>
      </c>
      <c r="G346" t="inlineStr">
        <is>
          <t>2014-11-02 11:35:30</t>
        </is>
      </c>
      <c r="H346" t="inlineStr">
        <is>
          <t>Type 2</t>
        </is>
      </c>
    </row>
    <row r="347">
      <c r="A347" t="inlineStr">
        <is>
          <t>2l3hbb</t>
        </is>
      </c>
      <c r="B347" t="inlineStr">
        <is>
          <t>any 'maybe' diabetics out there?</t>
        </is>
      </c>
      <c r="C347" t="inlineStr">
        <is>
          <t xml:space="preserve">last year the doctor i was seeing thought i had diabetes. i tested in at a 317 once (a blood glucose test) and was never able to go to get my labs done, but self-monitored for a month. no matter how stupidly i ate, i stayed at a 90 like constantly. i was quite a hypochondriac and thought i was in dka a couple of times and went to the er- this was beforei could get my monitor- and i was at a lovely 95 the entire time, but i kept falling to 30s and 40s and having dangerous episodes.
i'm really happy that i'm not diabetic, my mom always taunted me that i was going to die of diabetes by the time i turned 35 (i'm 27). diabetes runs in our family, though.
and we're all fat. my diet ranges from 'okay' to days like today where i eat/consume, like, too much sugar. 
i'm no health saint when it comes to diet, especially lately.
and i have a lot of trouble with my health, but i have fears about my right foot because what if i get type 2 and it goes uncaught and i have to cut my foot off?
the social stigma scares me more than the disease, and i know that's dumb.
but it's weird. it's weird that i have, like, literally all the secondary symptoms of diabetes and no high blood sugar.
i know i should get it together, dietwise, so that i don't actually get it. 
Has anyone eluded a diabetes diagnosis?
</t>
        </is>
      </c>
      <c r="D347" t="n">
        <v>0</v>
      </c>
      <c r="E347" t="n">
        <v>11</v>
      </c>
      <c r="F347">
        <f>HYPERLINK("https://www.reddit.com/r/diabetes/comments/2l3hbb/any_maybe_diabetics_out_there/")</f>
        <v/>
      </c>
      <c r="G347" t="inlineStr">
        <is>
          <t>2014-11-02 13:13:31</t>
        </is>
      </c>
      <c r="H347" t="inlineStr">
        <is>
          <t>Type 2</t>
        </is>
      </c>
    </row>
    <row r="348">
      <c r="A348" t="inlineStr">
        <is>
          <t>2l4glz</t>
        </is>
      </c>
      <c r="B348" t="inlineStr">
        <is>
          <t>I think i want to try a pump, but I use a TON of insulin.</t>
        </is>
      </c>
      <c r="C348" t="inlineStr">
        <is>
          <t>So my therapist showed me her brand new Minimed and CGM and for the first time in my life I actually want to try a pump. It seems so awesome to be able to have a little screen that shows you your blood sugar. 
My fear is that I've been T1 for 40 years and I am overweight, so I use a ton of insulin. Like 70u Lantus at bedtime and about 100 units of Humalog most days.
Would be curious to hear from anyone on a pump with high insulin needs. Can it be done?</t>
        </is>
      </c>
      <c r="D348" t="n">
        <v>1</v>
      </c>
      <c r="E348" t="n">
        <v>17</v>
      </c>
      <c r="F348">
        <f>HYPERLINK("https://www.reddit.com/r/diabetes/comments/2l4glz/i_think_i_want_to_try_a_pump_but_i_use_a_ton_of/")</f>
        <v/>
      </c>
      <c r="G348" t="inlineStr">
        <is>
          <t>2014-11-02 18:58:17</t>
        </is>
      </c>
      <c r="H348" t="inlineStr">
        <is>
          <t>Type 1</t>
        </is>
      </c>
    </row>
    <row r="349">
      <c r="A349" t="inlineStr">
        <is>
          <t>2l4or5</t>
        </is>
      </c>
      <c r="B349" t="inlineStr">
        <is>
          <t>uneven lantus absorption</t>
        </is>
      </c>
      <c r="C349" t="inlineStr">
        <is>
          <t>So lately I've been having issues with going low after breakfast and before morning tea/lunch and also with going high while asleep.
Right now I'm taking 20 units of lantus in the morning and my morning carb ratio is 2:1 (mostly because my lantus from the previous morning is all but depleted and dawn phenomena).
Based on my fast acting novarapid taking approximately 3 hours to act (I think my peak is somewhere between the 1.5-2 hour range) my level will be fine 3 hours after taking it, however it continues to slowly drop after those 3 hours until the afternoon where my level then slowly rises up. 
I can also go to bed at 7 and then wake up at 3am and be around 11 (even if I take a few units before bed).
I'm going fairly low-carb overall and most of the time when im seeing these rises its when I know i've definitly not eaten anything with significant carbs for a while.
Does anyone else have issues with lantus absorbing faster in the beginning and not lasting the full 24 hours, or with novorapid acting time being &amp;gt; 3 hours (even if the peak is around 1.5-2 hours).
I have been doing quite a bit of cycling (150-200km a week) of late but no matter how I seem to adjust my lantus I cant really get it to not absorb fast and then last the full 24 hours</t>
        </is>
      </c>
      <c r="D349" t="n">
        <v>3</v>
      </c>
      <c r="E349" t="n">
        <v>6</v>
      </c>
      <c r="F349">
        <f>HYPERLINK("https://www.reddit.com/r/diabetes/comments/2l4or5/uneven_lantus_absorption/")</f>
        <v/>
      </c>
      <c r="G349" t="inlineStr">
        <is>
          <t>2014-11-02 20:24:07</t>
        </is>
      </c>
      <c r="H349" t="inlineStr">
        <is>
          <t>Type 1</t>
        </is>
      </c>
    </row>
    <row r="350">
      <c r="A350" t="inlineStr">
        <is>
          <t>2l554w</t>
        </is>
      </c>
      <c r="B350" t="inlineStr">
        <is>
          <t>Want to die? t1</t>
        </is>
      </c>
      <c r="C350" t="inlineStr">
        <is>
          <t>Do any of you t1s out there just want to die and give up this whole gig. Realistaclly we will have this disease for the rest of out lives. What are you going to do in your life thats worth living for? Theres billions of other people out there, dont worry they will cover you in your career etc. Why are you so eager to stay alive?</t>
        </is>
      </c>
      <c r="D350" t="n">
        <v>0</v>
      </c>
      <c r="E350" t="n">
        <v>29</v>
      </c>
      <c r="F350">
        <f>HYPERLINK("https://www.reddit.com/r/diabetes/comments/2l554w/want_to_die_t1/")</f>
        <v/>
      </c>
      <c r="G350" t="inlineStr">
        <is>
          <t>2014-11-03 00:23:28</t>
        </is>
      </c>
      <c r="H350" t="inlineStr">
        <is>
          <t>Type 1</t>
        </is>
      </c>
    </row>
    <row r="351">
      <c r="A351" t="inlineStr">
        <is>
          <t>2l57t9</t>
        </is>
      </c>
      <c r="B351" t="inlineStr">
        <is>
          <t>Is underarm hair laser treatment safe for a T2 diabetic?</t>
        </is>
      </c>
      <c r="C351" t="inlineStr">
        <is>
          <t>Hi! I was diagnosed with type 2 diabetes this year. Thanks to my medication, my HbA1c has dropped from 12 to 9 in 10 months. I take 16 units of Lantus every morning, and Metgluco twice a day.
Recently, I've been meaning to have laser underarm hair treatment. I've gotten mixed opinions. One doctor, who is more cautious, says that it doesn't seem to be a good idea. Another says that it should be fine, unless my skin is sensitive. The worst that could happen are infections and burns, according to them.
Has anyone tried laser hair removal? What was your experience like? I'd really love to, but I'm torn now.</t>
        </is>
      </c>
      <c r="D351" t="n">
        <v>2</v>
      </c>
      <c r="E351" t="n">
        <v>9</v>
      </c>
      <c r="F351">
        <f>HYPERLINK("https://www.reddit.com/r/diabetes/comments/2l57t9/is_underarm_hair_laser_treatment_safe_for_a_t2/")</f>
        <v/>
      </c>
      <c r="G351" t="inlineStr">
        <is>
          <t>2014-11-03 01:17:11</t>
        </is>
      </c>
      <c r="H351" t="inlineStr">
        <is>
          <t>Type 2</t>
        </is>
      </c>
    </row>
    <row r="352">
      <c r="A352" t="inlineStr">
        <is>
          <t>2l60zg</t>
        </is>
      </c>
      <c r="B352" t="inlineStr">
        <is>
          <t>Daylight Savings Time Switch and Poor Sugars</t>
        </is>
      </c>
      <c r="C352" t="inlineStr">
        <is>
          <t>I've noticed that after the DST switch, my sugars have been crawling up early morning and during dinner time. I switched my pump time over first thing Sunday morning, but I can tell my body clearly has not adjusted yet (woke up an hour early today). 
Should I start messing with my basal rates, or wait it out and give my body a few days to adjust?</t>
        </is>
      </c>
      <c r="D352" t="n">
        <v>3</v>
      </c>
      <c r="E352" t="n">
        <v>7</v>
      </c>
      <c r="F352">
        <f>HYPERLINK("https://www.reddit.com/r/diabetes/comments/2l60zg/daylight_savings_time_switch_and_poor_sugars/")</f>
        <v/>
      </c>
      <c r="G352" t="inlineStr">
        <is>
          <t>2014-11-03 08:17:17</t>
        </is>
      </c>
      <c r="H352" t="inlineStr">
        <is>
          <t>Type 1</t>
        </is>
      </c>
    </row>
    <row r="353">
      <c r="A353" t="inlineStr">
        <is>
          <t>2l6rqc</t>
        </is>
      </c>
      <c r="B353" t="inlineStr">
        <is>
          <t>What to do when I screw up.</t>
        </is>
      </c>
      <c r="C353" t="inlineStr">
        <is>
          <t>I just realized a little bit ago that I screwed up my carb count for my lunch meal. I'm allowed 45 and what I thought was a half portion from my local Panera was a full portion. So I wound up eating around 68 carbs. 
I tested before the meal at 110, an hour after at 212 and 2 hours after at 161.
Is there anything I could do to get the numbers down faster or mitigate the spike?
Thanks!</t>
        </is>
      </c>
      <c r="D353" t="n">
        <v>0</v>
      </c>
      <c r="E353" t="n">
        <v>4</v>
      </c>
      <c r="F353">
        <f>HYPERLINK("https://www.reddit.com/r/diabetes/comments/2l6rqc/what_to_do_when_i_screw_up/")</f>
        <v/>
      </c>
      <c r="G353" t="inlineStr">
        <is>
          <t>2014-11-03 12:01:36</t>
        </is>
      </c>
      <c r="H353" t="inlineStr">
        <is>
          <t>Type 2</t>
        </is>
      </c>
    </row>
    <row r="354">
      <c r="A354" t="inlineStr">
        <is>
          <t>2l9rel</t>
        </is>
      </c>
      <c r="B354" t="inlineStr">
        <is>
          <t>I had some success last night with my blood sugars.</t>
        </is>
      </c>
      <c r="C354" t="inlineStr">
        <is>
          <t>I was diagnosed as a Type 2 diabetic in August 2013 as a 35 year old male at 5'8" and 250 lbs.
I started with a pretty regular exercise regimen back in May of this year when my doctor prescribed 30 mins of impactive exercise 3 days a week.  Most weeks I get more than that in, usually at least 3 hours/week.  I am on 1000mg of Metformin and 2.5mg of Glipizide twice a day.  No insulin.  I told my doctor that my goal is to be able to control the diabetes with diet and exercise.
Yesterday was weightlifting day for me before I went to work so I crunched that out hard, took my early day meds, ate lunch, packed supper and evening meds, and went to work.
I usually take my evening meds during my supper break at 8PM.  Last night I forgot completely until 12:30 AM.  When I remembered I went to my toolbox, checked my blood sugar (which I thought would be extremely high) and found that my glucose level was at 97mg/dl!
I may well be on my way to sending my body back to self regulation!  I hope this is an appropriate place to post this, as it feels like an important win for me.
Thanks for viewing all.  I feel like I wanted to tell someone.  Now I am off for a run to my local polling place to vote.</t>
        </is>
      </c>
      <c r="D354" t="n">
        <v>5</v>
      </c>
      <c r="E354" t="n">
        <v>3</v>
      </c>
      <c r="F354">
        <f>HYPERLINK("https://www.reddit.com/r/diabetes/comments/2l9rel/i_had_some_success_last_night_with_my_blood_sugars/")</f>
        <v/>
      </c>
      <c r="G354" t="inlineStr">
        <is>
          <t>2014-11-04 08:06:42</t>
        </is>
      </c>
      <c r="H354" t="inlineStr">
        <is>
          <t>Type 2</t>
        </is>
      </c>
    </row>
    <row r="355">
      <c r="A355" t="inlineStr">
        <is>
          <t>2lajzl</t>
        </is>
      </c>
      <c r="B355" t="inlineStr">
        <is>
          <t>So I was reclassified as T1.5 today...</t>
        </is>
      </c>
      <c r="C355" t="inlineStr">
        <is>
          <t>Diagnosed as Type 2 in June this year with HbA1C of 10, got that down to 6.1 in September with a combination of metformin, diet (low-ish carb but not to the point of ketosis) and exercise. 
Doctor decided to run some antibody tests to check the T2 diagnosis since I was young (31), not overweight and had a decent normal diet, and also that my symptoms originally came on suddenly (within a few weeks). I have also seen my blood glucose readings rise by about 1mmol/l across the board in the last few weeks, though it seems to be going back down again slightly now. Today I got the results back that I have positive GAD antibodies (at ~100U/ml) so I'm being reclassified as T1.5. They ran another antibody test which was apparently negative (I think it was islet cells but not sure) which I think makes the progression to insulin dependence slower?
I've got an appointment with the consultant endocrinologist in a couple weeks to discuss things. I'm aware that I'll need insulin at some point but when that is the case will I be indistinguishable from other T1s? If there are any other T1.5s out there that can give me some insight into the road ahead, I'd love to hear about it!</t>
        </is>
      </c>
      <c r="D355" t="n">
        <v>2</v>
      </c>
      <c r="E355" t="n">
        <v>5</v>
      </c>
      <c r="F355">
        <f>HYPERLINK("https://www.reddit.com/r/diabetes/comments/2lajzl/so_i_was_reclassified_as_t15_today/")</f>
        <v/>
      </c>
      <c r="G355" t="inlineStr">
        <is>
          <t>2014-11-04 12:01:00</t>
        </is>
      </c>
      <c r="H355" t="inlineStr">
        <is>
          <t>Type 1.5/LADA</t>
        </is>
      </c>
    </row>
    <row r="356">
      <c r="A356" t="inlineStr">
        <is>
          <t>2lamof</t>
        </is>
      </c>
      <c r="B356" t="inlineStr">
        <is>
          <t>Superbolusing</t>
        </is>
      </c>
      <c r="C356" t="inlineStr">
        <is>
          <t>Does anyone else try this? I had [read about this idea of covering foods that make you spike by adding some future basal into your meal bolus](http://www.diabetesnet.com/diabetes-technology/blue-skying/super-bolus) a while ago and sort of forgot about it. I'd been eating apples and spiking after lunch all week so I decided to try it. So far, 2.5 hours past lunch and my CGM has been reading between 90 and 100 the whole time.</t>
        </is>
      </c>
      <c r="D356" t="n">
        <v>1</v>
      </c>
      <c r="E356" t="n">
        <v>0</v>
      </c>
      <c r="F356">
        <f>HYPERLINK("https://www.reddit.com/r/diabetes/comments/2lamof/superbolusing/")</f>
        <v/>
      </c>
      <c r="G356" t="inlineStr">
        <is>
          <t>2014-11-04 12:22:39</t>
        </is>
      </c>
      <c r="H356" t="inlineStr">
        <is>
          <t>Type 1</t>
        </is>
      </c>
    </row>
    <row r="357">
      <c r="A357" t="inlineStr">
        <is>
          <t>2layja</t>
        </is>
      </c>
      <c r="B357" t="inlineStr">
        <is>
          <t>Splitting basal doses over 7 units in several injections, is it effective?</t>
        </is>
      </c>
      <c r="C357" t="inlineStr">
        <is>
          <t>I read that Dr. Bernstein advocates this. I use 16 units of Levemir in the morning and sometimes I don't really get to the promised 12 hours of length. Will my basal profile improve if I split this injections in two injections of 7 units and one of 2? Does it work well with you? Thanks!</t>
        </is>
      </c>
      <c r="D357" t="n">
        <v>1</v>
      </c>
      <c r="E357" t="n">
        <v>1</v>
      </c>
      <c r="F357">
        <f>HYPERLINK("https://www.reddit.com/r/diabetes/comments/2layja/splitting_basal_doses_over_7_units_in_several/")</f>
        <v/>
      </c>
      <c r="G357" t="inlineStr">
        <is>
          <t>2014-11-04 14:04:05</t>
        </is>
      </c>
      <c r="H357" t="inlineStr">
        <is>
          <t>Type 1</t>
        </is>
      </c>
    </row>
    <row r="358">
      <c r="A358" t="inlineStr">
        <is>
          <t>2lb9hh</t>
        </is>
      </c>
      <c r="B358" t="inlineStr">
        <is>
          <t>animas vibe vs medtronic paradigm veo</t>
        </is>
      </c>
      <c r="C358" t="inlineStr">
        <is>
          <t>Can anyone compare the two, currently on MDI and thinking of switching to a pump as I'm having trouble with changing insulin requirements throughout the day (particular with long aerobic exercise).
I'm in Australia and it looks like these are the main pumps available, there is the DANA R i think its called also but a quick look at that one didnt look as favourable as these other 2.
Can anyone comment on each of these particular in terms of adjusting insulin / ease of use when exercising?
Currently I can't get a CGM unless I shell out for it, I'm considering doing this and have calculated it would be about $5000 a year in supplies (excluding the actual cgm itself) assuming I use the sensors for the recommended timeframes.</t>
        </is>
      </c>
      <c r="D358" t="n">
        <v>1</v>
      </c>
      <c r="E358" t="n">
        <v>3</v>
      </c>
      <c r="F358">
        <f>HYPERLINK("https://www.reddit.com/r/diabetes/comments/2lb9hh/animas_vibe_vs_medtronic_paradigm_veo/")</f>
        <v/>
      </c>
      <c r="G358" t="inlineStr">
        <is>
          <t>2014-11-04 15:35:57</t>
        </is>
      </c>
      <c r="H358" t="inlineStr">
        <is>
          <t>Type 1</t>
        </is>
      </c>
    </row>
    <row r="359">
      <c r="A359" t="inlineStr">
        <is>
          <t>2lbyf1</t>
        </is>
      </c>
      <c r="B359" t="inlineStr">
        <is>
          <t>Was diagnosed with type 2 in April with a blood glucose level of 28/mmol (504 mg/dl) - About to come off all meds</t>
        </is>
      </c>
      <c r="C359" t="inlineStr">
        <is>
          <t>1 year ago I woke up and couldn't move my body. I spent a month in and out of the hospital trying to figure out what was wrong. Turns out I have a very rare for of vasculitis and they put me on a steroid. The steroid caused my blood glucose levels to spike and in april of this year I was diagnosed with steroid induced type 2 diabetes. This happened cause I kept blacking out which I was told could have led me going into a coma. About a week after I was diagnosed I lost my vision for 2 weeks.
My background. I am a 24 year old female for my entire life have always been overweight. I have always been active up until about 2 years ago. In November of 2013 I was roughly 255lbs. The night I got released from the hospital, once they brought my blood glucose levels down, I instantly changed my life. I went home and threw out all the bad food in my house (actually I brought it to school and gave it to starving students). I started riding my bike daily and doing a 30 mile ride once a week. Half way through summer I accomplished a 50 mile ride alone. I joined a gym and go 5-6 days a week for strength training and took up running for awhile but found this too hard on my joints so I stick to cycling. I eat a pretty strict diet (although being in school this gets hard and I definitely have days where I slip up) but I definitely don't eat candy or drink soda or eat sweets. 
I have gone from weighting 255 to 210 but have also developed a lot of muscle.I do not like the scale because it doesn't measure things properly. I recently took a body fat percentage test and found out im only about 8% higher than average which was nice. I've gone from a size 18-20 to a size 12-14 and a size XL / XXL to a medium or large. Here are some pictures for reference.
http://imgur.com/EUcC0EK
I was put on metformin and after 3 months of being diagnosed I did a A1C Test and my results came back as 6.4/mmol (115.3mg/dl) 3 months after that (September) I went back and my results came back as 5.2/mmol (93.6/mg/dl). I am now on a very low dosage of metformin and was told if i keep up what I am doing, in a few months I can completely come off.
I turned my life around in 6 month and I am very happy. I have no friends at my age that understand what any of this means and I just stubbled upon this subreddit and had to share.</t>
        </is>
      </c>
      <c r="D359" t="n">
        <v>13</v>
      </c>
      <c r="E359" t="n">
        <v>19</v>
      </c>
      <c r="F359">
        <f>HYPERLINK("https://www.reddit.com/r/diabetes/comments/2lbyf1/was_diagnosed_with_type_2_in_april_with_a_blood/")</f>
        <v/>
      </c>
      <c r="G359" t="inlineStr">
        <is>
          <t>2014-11-04 19:26:23</t>
        </is>
      </c>
      <c r="H359" t="inlineStr">
        <is>
          <t>Type 2</t>
        </is>
      </c>
    </row>
    <row r="360">
      <c r="A360" t="inlineStr">
        <is>
          <t>2lcsuy</t>
        </is>
      </c>
      <c r="B360" t="inlineStr">
        <is>
          <t>When do you guys take your Bolus insulin</t>
        </is>
      </c>
      <c r="C360" t="inlineStr">
        <is>
          <t xml:space="preserve">I've been using a Freestyle Libre for the last fortnight and I've for the first time had access to trend graphs. 
One thing that I've noticed is that even though my bolus doses are on the whole pretty accurate, that I'm still spiking quite high before the bolus does it's thing and brings my BG's back down. 
So, my question is. Do you guys take your insulin just as you eat and accept this spike, or inject 5-10 mins before you eat and run the risk of eating less, food being late and going low but eliminating the spike. 
I eat low carb mostly, so my post meal spike isn't massive 9mmol/l or so, but I'd rather not spike if I can. 
Honestly, I can't wait for Ultra rapid insulins. I really get screwed since they tend to stay active for 3h after injecting and can drop me quite quickly if I become more active. </t>
        </is>
      </c>
      <c r="D360" t="n">
        <v>6</v>
      </c>
      <c r="E360" t="n">
        <v>20</v>
      </c>
      <c r="F360">
        <f>HYPERLINK("https://www.reddit.com/r/diabetes/comments/2lcsuy/when_do_you_guys_take_your_bolus_insulin/")</f>
        <v/>
      </c>
      <c r="G360" t="inlineStr">
        <is>
          <t>2014-11-05 02:13:49</t>
        </is>
      </c>
      <c r="H360" t="inlineStr">
        <is>
          <t>Type 1</t>
        </is>
      </c>
    </row>
    <row r="361">
      <c r="A361" t="inlineStr">
        <is>
          <t>2lfjxq</t>
        </is>
      </c>
      <c r="B361" t="inlineStr">
        <is>
          <t>Type 1 - glucose swing</t>
        </is>
      </c>
      <c r="C361" t="inlineStr">
        <is>
          <t>Hey everyone, 
My child has TYPE 1 diabetes and lately they've been having morning lows with very little nighttime insulin given. 
At supper time we give them 1-1 NR-NPH and find their glucose to fall between 2-3 mmol/L in the morning. 
They get 4-20 NR-NPH in the morning for the day. 
They get the recommended amount of carbs / sugars at their bedtime snack.
Would this type of swing be normal?
(And yes, we've been speaking with the doctors who are helping to adjust their insulin levels - just wanted to see if anyone else has encountered this scenario)
 Thanks,
f</t>
        </is>
      </c>
      <c r="D361" t="n">
        <v>1</v>
      </c>
      <c r="E361" t="n">
        <v>4</v>
      </c>
      <c r="F361">
        <f>HYPERLINK("https://www.reddit.com/r/diabetes/comments/2lfjxq/type_1_glucose_swing/")</f>
        <v/>
      </c>
      <c r="G361" t="inlineStr">
        <is>
          <t>2014-11-05 18:03:46</t>
        </is>
      </c>
      <c r="H361" t="inlineStr">
        <is>
          <t>Type 1</t>
        </is>
      </c>
    </row>
    <row r="362">
      <c r="A362" t="inlineStr">
        <is>
          <t>2lfjyc</t>
        </is>
      </c>
      <c r="B362" t="inlineStr">
        <is>
          <t>Traveling within Canada!</t>
        </is>
      </c>
      <c r="C362" t="inlineStr">
        <is>
          <t>Hi! I just got my pump in March and this is my first time flying with my pump. The reason I am flying is to go do my annual visit with my endocrinologist. I am flying from Thunder Bay, Ontario to Winnipeg, Manitoba. I am leaving at 5:30 AM on Monday and my flight gets in at home at midnight on Tuesday, so I'm literally gone for less than 24 hours.
Are there any special pump considerations I should be aware of before doing this? 
What should I bring? (i.e., how much insulin, syringes? um... I don't know, what should I bring!)</t>
        </is>
      </c>
      <c r="D362" t="n">
        <v>1</v>
      </c>
      <c r="E362" t="n">
        <v>6</v>
      </c>
      <c r="F362">
        <f>HYPERLINK("https://www.reddit.com/r/diabetes/comments/2lfjyc/traveling_within_canada/")</f>
        <v/>
      </c>
      <c r="G362" t="inlineStr">
        <is>
          <t>2014-11-05 18:03:56</t>
        </is>
      </c>
      <c r="H362" t="inlineStr">
        <is>
          <t>Type 1</t>
        </is>
      </c>
    </row>
    <row r="363">
      <c r="A363" t="inlineStr">
        <is>
          <t>2lfz2m</t>
        </is>
      </c>
      <c r="B363" t="inlineStr">
        <is>
          <t>TYPE 1 DIABETES RIDE</t>
        </is>
      </c>
      <c r="C363" t="inlineStr">
        <is>
          <t>Hey there, 
               So I have been a Type 1 Diabetic for nearly 7 years now, and I will be participating in an 80km ride in South Australia in January next year. This will be my first big ride and any of this kind, so I am hoping to make this the best first ride possible.
I am in need of donations, not only will these donations go towards finding a cure for Type 1 Diabetes, but they will also go to helping to get me over to South Australia and getting my bike over there as well. 
Any donations would be helpful, and share with this with anyone you know to spread the word.
Donations can be made at www.jdrf.org.au/DavidLindsey
Thanks :)</t>
        </is>
      </c>
      <c r="D363" t="n">
        <v>2</v>
      </c>
      <c r="E363" t="n">
        <v>0</v>
      </c>
      <c r="F363">
        <f>HYPERLINK("https://www.reddit.com/r/diabetes/comments/2lfz2m/type_1_diabetes_ride/")</f>
        <v/>
      </c>
      <c r="G363" t="inlineStr">
        <is>
          <t>2014-11-05 20:30:10</t>
        </is>
      </c>
      <c r="H363" t="inlineStr">
        <is>
          <t>Type 1</t>
        </is>
      </c>
    </row>
    <row r="364">
      <c r="A364" t="inlineStr">
        <is>
          <t>2lh0nt</t>
        </is>
      </c>
      <c r="B364" t="inlineStr">
        <is>
          <t>Beyond elated. Latest A1C results.</t>
        </is>
      </c>
      <c r="C364" t="inlineStr">
        <is>
          <t>I'm a type 1, had it for 22 years. I started eating a ketogenic diet almost 3 months ago. [My blood sugars stabilized immediately.](http://imgur.com/a/jWrzS) I have been so anxious to get my A1C. On 8/5, 10 days before going low carb, my A1C was 6.9%. Today, it is 5.8%. I am ecstatic. Always wanted an A1C this low, but never thought it would be possible.</t>
        </is>
      </c>
      <c r="D364" t="n">
        <v>10</v>
      </c>
      <c r="E364" t="n">
        <v>16</v>
      </c>
      <c r="F364">
        <f>HYPERLINK("https://www.reddit.com/r/diabetes/comments/2lh0nt/beyond_elated_latest_a1c_results/")</f>
        <v/>
      </c>
      <c r="G364" t="inlineStr">
        <is>
          <t>2014-11-06 05:47:11</t>
        </is>
      </c>
      <c r="H364" t="inlineStr">
        <is>
          <t>Type 1</t>
        </is>
      </c>
    </row>
    <row r="365">
      <c r="A365" t="inlineStr">
        <is>
          <t>2lh2bv</t>
        </is>
      </c>
      <c r="B365" t="inlineStr">
        <is>
          <t>So frustrated [RANT]</t>
        </is>
      </c>
      <c r="C365" t="inlineStr">
        <is>
          <t>Hi all, long time lurker first time poster and all that.
So I've only been diagnosed for a few months now, last A1C was at 8.5, down from 13. I was feeling pretty good at the last appointment. Then this week happened.
I've been high (350+) and low (60s) multiple times a day, and cannot figure out what the hell is going on!
I changed my humalog pen to try to fight the highs, but then I just ended up going low from my lantus when I didn't feel like eating... because I was high.
I don't know what to do. My next appointment is in 2 weeks and I am so scared that the A1C will be up. I also feel like shit from the constant back and forth.
I wish I had a CGM and pump, but I feel like even if I did have them that this sort of stuff would still happen.
Ugh.</t>
        </is>
      </c>
      <c r="D365" t="n">
        <v>2</v>
      </c>
      <c r="E365" t="n">
        <v>10</v>
      </c>
      <c r="F365">
        <f>HYPERLINK("https://www.reddit.com/r/diabetes/comments/2lh2bv/so_frustrated_rant/")</f>
        <v/>
      </c>
      <c r="G365" t="inlineStr">
        <is>
          <t>2014-11-06 06:06:28</t>
        </is>
      </c>
      <c r="H365" t="inlineStr">
        <is>
          <t>Type 1</t>
        </is>
      </c>
    </row>
    <row r="366">
      <c r="A366" t="inlineStr">
        <is>
          <t>2lk4rz</t>
        </is>
      </c>
      <c r="B366" t="inlineStr">
        <is>
          <t>Is it bad that when I'm high or low, I rarely have symptoms?</t>
        </is>
      </c>
      <c r="C366" t="inlineStr">
        <is>
          <t>I always hear about people getting cold or feeling weak when they're low, but I feel absolutely nothing. One time I was in my 35's and i didnt know but luckily it was time for me to test and correct it before I got too low.
The same thing goes for high too - i don't feel moody or thirsty. I don't know why tgough but I don't feel thirsty before i test and find out im high, but once i find out im high I start feeling thirsty.
Does this happen to anybody else? is it bad that I don't feel symptoms ?
EDIT: I don't know if this matters, but im Type 1</t>
        </is>
      </c>
      <c r="D366" t="n">
        <v>3</v>
      </c>
      <c r="E366" t="n">
        <v>7</v>
      </c>
      <c r="F366">
        <f>HYPERLINK("https://www.reddit.com/r/diabetes/comments/2lk4rz/is_it_bad_that_when_im_high_or_low_i_rarely_have/")</f>
        <v/>
      </c>
      <c r="G366" t="inlineStr">
        <is>
          <t>2014-11-06 22:52:46</t>
        </is>
      </c>
      <c r="H366" t="inlineStr">
        <is>
          <t>Type 1</t>
        </is>
      </c>
    </row>
    <row r="367">
      <c r="A367" t="inlineStr">
        <is>
          <t>2lon39</t>
        </is>
      </c>
      <c r="B367" t="inlineStr">
        <is>
          <t>Does hypoglycemias decrease insulin sentivity?</t>
        </is>
      </c>
      <c r="C367" t="inlineStr">
        <is>
          <t xml:space="preserve">Hi, I've been having some hypos overnight, and at the same time my basal needs have been increasing during the day. Could this be related? Do you need more insulin after a hypo? Thank you! </t>
        </is>
      </c>
      <c r="D367" t="n">
        <v>1</v>
      </c>
      <c r="E367" t="n">
        <v>3</v>
      </c>
      <c r="F367">
        <f>HYPERLINK("https://www.reddit.com/r/diabetes/comments/2lon39/does_hypoglycemias_decrease_insulin_sentivity/")</f>
        <v/>
      </c>
      <c r="G367" t="inlineStr">
        <is>
          <t>2014-11-08 08:41:08</t>
        </is>
      </c>
      <c r="H367" t="inlineStr">
        <is>
          <t>Type 1</t>
        </is>
      </c>
    </row>
    <row r="368">
      <c r="A368" t="inlineStr">
        <is>
          <t>2lppsx</t>
        </is>
      </c>
      <c r="B368" t="inlineStr">
        <is>
          <t>DAE feel nauseous when they work out without a perfect blood sugar?</t>
        </is>
      </c>
      <c r="C368" t="inlineStr">
        <is>
          <t>It seems like I used to be able to work out and have my BG at just about anything and feel fine, but ever since I've gotten tighter control(a1c from 7.5is down to 6.2), and become more sensitive to elevated numbers it seems like if I work out at anything but a steady 90-110, I feel horrible and end up having to cut my work out short. (Today I was dropping a little from 160-120, I had to quit after a half hour cause I was pretty sure Id be sick if I kept going. It was probably the drop that made it as bad as it was today) doesn't seem to matter when or what I eat before, just what number my sugar is. Ideally I'd be at that level all the time, but you know how that type 1 is sometimes. 
Do you guys get this sensitive to a slight elevated number while you're working out? How do you deal with it? I'm doing mostly machine weights as per suggestion from my nutritionist.</t>
        </is>
      </c>
      <c r="D368" t="n">
        <v>17</v>
      </c>
      <c r="E368" t="n">
        <v>16</v>
      </c>
      <c r="F368">
        <f>HYPERLINK("https://www.reddit.com/r/diabetes/comments/2lppsx/dae_feel_nauseous_when_they_work_out_without_a/")</f>
        <v/>
      </c>
      <c r="G368" t="inlineStr">
        <is>
          <t>2014-11-08 15:02:57</t>
        </is>
      </c>
      <c r="H368" t="inlineStr">
        <is>
          <t>Type 1</t>
        </is>
      </c>
    </row>
    <row r="369">
      <c r="A369" t="inlineStr">
        <is>
          <t>2lq5hk</t>
        </is>
      </c>
      <c r="B369" t="inlineStr">
        <is>
          <t>I need serious help with motivation</t>
        </is>
      </c>
      <c r="C369" t="inlineStr">
        <is>
          <t xml:space="preserve">I've been a type one diabetic for 10 years now. For the first 5 years or so I was in pretty good control but recently I've spiraled out of control. It's bad. I haven't been taking my bloodsugar regularly, my endo took me off my pump and I only take my shots sporadically. They can't even red my A1C accurately because it's so high. I want to be a better diabetic but I have no motivation to take care of myself. I'm so afraid of the future but I just can't do it, I'm too overwhelmed. I feel so emasculated and shameful for not being able to do something so simple to take care of myself. I have no idea what's wrong with me. I know this wonderful subreddit is normally very positive but I really feel like I needed to vent to other diabetics. Thanks for listening.  </t>
        </is>
      </c>
      <c r="D369" t="n">
        <v>11</v>
      </c>
      <c r="E369" t="n">
        <v>10</v>
      </c>
      <c r="F369">
        <f>HYPERLINK("https://www.reddit.com/r/diabetes/comments/2lq5hk/i_need_serious_help_with_motivation/")</f>
        <v/>
      </c>
      <c r="G369" t="inlineStr">
        <is>
          <t>2014-11-08 17:50:10</t>
        </is>
      </c>
      <c r="H369" t="inlineStr">
        <is>
          <t>Type 1</t>
        </is>
      </c>
    </row>
    <row r="370">
      <c r="A370" t="inlineStr">
        <is>
          <t>2lqkat</t>
        </is>
      </c>
      <c r="B370" t="inlineStr">
        <is>
          <t>First post-diagnoses A1C</t>
        </is>
      </c>
      <c r="C370" t="inlineStr">
        <is>
          <t xml:space="preserve">Hey guys! So I was recently diagnosed with T1 in July of this year and when my first A1C was taken it was 18 :(
I just got the results of my next A1c and it was 8.8 and I wasn't sure if I was happy it was lower or sad that it still kind of sucked. I guess i'm just wanting to talk to people who can relate haha
I guess I need to ease up the carbs but dang-flabbit I love me some carbs
</t>
        </is>
      </c>
      <c r="D370" t="n">
        <v>4</v>
      </c>
      <c r="E370" t="n">
        <v>8</v>
      </c>
      <c r="F370">
        <f>HYPERLINK("https://www.reddit.com/r/diabetes/comments/2lqkat/first_postdiagnoses_a1c/")</f>
        <v/>
      </c>
      <c r="G370" t="inlineStr">
        <is>
          <t>2014-11-08 20:45:33</t>
        </is>
      </c>
      <c r="H370" t="inlineStr">
        <is>
          <t>Type 1</t>
        </is>
      </c>
    </row>
    <row r="371">
      <c r="A371" t="inlineStr">
        <is>
          <t>2lro5v</t>
        </is>
      </c>
      <c r="B371" t="inlineStr">
        <is>
          <t>Can one build up a tolerance to metformin?</t>
        </is>
      </c>
      <c r="C371" t="inlineStr">
        <is>
          <t>A little background... about 18 months ago I was diagnosed as type 2 when I went in for my annual checkup and my A1C was 12.6.  My doctor put me on 2000 mg of metformin per day and the results have been fantastic.  Along with diet and exercise I was able to get my A1C down to 5.6 within about six months, and a year later it is 5.7.  Obviously, I'm very happy.
My question though, is can I build up a tolerance to the drug?  I haven't had any luck googling this question, so I'm hoping someone here might know the answer.
My doctor and I talked about reducing my prescription, but I'm not really excited about changing something that is working and he is comfortable leaving the prescription as it is.
FWIW: I'm 51 years old, so if it takes decades to build up a tolerance, I'm okay with that.  I'm more concerned about losing control while I'm still young(ish).</t>
        </is>
      </c>
      <c r="D371" t="n">
        <v>1</v>
      </c>
      <c r="E371" t="n">
        <v>7</v>
      </c>
      <c r="F371">
        <f>HYPERLINK("https://www.reddit.com/r/diabetes/comments/2lro5v/can_one_build_up_a_tolerance_to_metformin/")</f>
        <v/>
      </c>
      <c r="G371" t="inlineStr">
        <is>
          <t>2014-11-09 07:58:19</t>
        </is>
      </c>
      <c r="H371" t="inlineStr">
        <is>
          <t>Type 2</t>
        </is>
      </c>
    </row>
    <row r="372">
      <c r="A372" t="inlineStr">
        <is>
          <t>2ltvk0</t>
        </is>
      </c>
      <c r="B372" t="inlineStr">
        <is>
          <t>Exercise, with extremely high blood sugar??</t>
        </is>
      </c>
      <c r="C372" t="inlineStr">
        <is>
          <t>So we have all been there. Everything is going great and all of a sudden out of the nowhere, BAM! 470 (26 mmo/l).
Unlike a lot of people on here, I do not feel the high blood sugar.  My body is very comfortable at that level for some reason (my A1c is 7.0).
Now this is an extremely rare number for me, but yes it does happen.
So with just my normal lantus in my system with no signs of my blood sugar dropping in the next few hours, I take 4 units of humalog.  
Now normally this will take me down 50 mg/dl per unit so I would still be around 270.  This will also take a very long time to get my number down.  I don't even think I would start to see my sugar drop for at least 25-30 minutes.
But, I took 4 units of humalog, and immediately went out the door for a 5 mile easy run.
I ran 5 miles and was back in exactly 35 minutes from when I injected.  I tested my blood sugar and it is now at 180, and still dropping, where if I did not run, I would have had to have taken around 7 units of humalog and would have still been sitting around 420 mg/dl, 35 minutes later.
Obviously, it looks like running with insulin looks like the better option here as I am only in the very very high range for maybe 20 minutes as opposed to 80 minutes.
So here is my question:  Is exercising with high blood sugar for a short amount of time doing more damage (I assume my muscles are sucking in the sugar/insulin naturally), or is it better to sit on my @#$ for 80 minutes with very high sugar and then go run, once it is back to normal?</t>
        </is>
      </c>
      <c r="D372" t="n">
        <v>4</v>
      </c>
      <c r="E372" t="n">
        <v>14</v>
      </c>
      <c r="F372">
        <f>HYPERLINK("https://www.reddit.com/r/diabetes/comments/2ltvk0/exercise_with_extremely_high_blood_sugar/")</f>
        <v/>
      </c>
      <c r="G372" t="inlineStr">
        <is>
          <t>2014-11-09 20:27:54</t>
        </is>
      </c>
      <c r="H372" t="inlineStr">
        <is>
          <t>Type 1</t>
        </is>
      </c>
    </row>
    <row r="373">
      <c r="A373" t="inlineStr">
        <is>
          <t>2lv4dr</t>
        </is>
      </c>
      <c r="B373" t="inlineStr">
        <is>
          <t>Fundraising for JDRF Walk for the Cure</t>
        </is>
      </c>
      <c r="C373" t="inlineStr">
        <is>
          <t>We just registered our family for our first JDRF Walk for the Cure.  Both my daughter and I are Type 1.  I know the JDRF is a group many of you may already be supporting, but if you don't already support the JDRF and would like to; it would mean a lot to my family and I to reach our fundraising goal.  I'm going to begin soliciting my friends/family on Friday (World Diabetes Day), but I wanted to post the link here, too, in case anyone is inclined to help.  Our team name is the Jumping Giraffe (my daughter is 4, and it was her choice).  Thanks for considering supporting us!  http://www2.jdrf.org/goto/jumpinggiraffes1
(I'm also open to any/all fundraising tips and suggestions)</t>
        </is>
      </c>
      <c r="D373" t="n">
        <v>2</v>
      </c>
      <c r="E373" t="n">
        <v>0</v>
      </c>
      <c r="F373">
        <f>HYPERLINK("https://www.reddit.com/r/diabetes/comments/2lv4dr/fundraising_for_jdrf_walk_for_the_cure/")</f>
        <v/>
      </c>
      <c r="G373" t="inlineStr">
        <is>
          <t>2014-11-10 07:17:07</t>
        </is>
      </c>
      <c r="H373" t="inlineStr">
        <is>
          <t>Type 1</t>
        </is>
      </c>
    </row>
    <row r="374">
      <c r="A374" t="inlineStr">
        <is>
          <t>2lv56n</t>
        </is>
      </c>
      <c r="B374" t="inlineStr">
        <is>
          <t>Magnesium for insulin sensitivity?</t>
        </is>
      </c>
      <c r="C374" t="inlineStr">
        <is>
          <t xml:space="preserve">Has anyone taken succesfully a magnesium supplement to improve their insulin resistance? If so, what time of the day did you choose? </t>
        </is>
      </c>
      <c r="D374" t="n">
        <v>1</v>
      </c>
      <c r="E374" t="n">
        <v>5</v>
      </c>
      <c r="F374">
        <f>HYPERLINK("https://www.reddit.com/r/diabetes/comments/2lv56n/magnesium_for_insulin_sensitivity/")</f>
        <v/>
      </c>
      <c r="G374" t="inlineStr">
        <is>
          <t>2014-11-10 07:24:37</t>
        </is>
      </c>
      <c r="H374" t="inlineStr">
        <is>
          <t>Type 1</t>
        </is>
      </c>
    </row>
    <row r="375">
      <c r="A375" t="inlineStr">
        <is>
          <t>2lvqae</t>
        </is>
      </c>
      <c r="B375" t="inlineStr">
        <is>
          <t>High blood sugar + essay to write = no concentration</t>
        </is>
      </c>
      <c r="C375" t="inlineStr">
        <is>
          <t>Blood sugar was 260 at noon, up to 280 at 12:40 and is now 250. Took my correction dose, now just waiting it out I guess. But I'm trying to work on an essay that's due tomorrow and it's just not happening. I can't focus, my head hurts and I just want to take a nap. 
Just needed to tell someone who understands. Some days I just want to give up. :(</t>
        </is>
      </c>
      <c r="D375" t="n">
        <v>20</v>
      </c>
      <c r="E375" t="n">
        <v>16</v>
      </c>
      <c r="F375">
        <f>HYPERLINK("https://www.reddit.com/r/diabetes/comments/2lvqae/high_blood_sugar_essay_to_write_no_concentration/")</f>
        <v/>
      </c>
      <c r="G375" t="inlineStr">
        <is>
          <t>2014-11-10 10:27:21</t>
        </is>
      </c>
      <c r="H375" t="inlineStr">
        <is>
          <t>Type 1</t>
        </is>
      </c>
    </row>
    <row r="376">
      <c r="A376" t="inlineStr">
        <is>
          <t>2lwr9r</t>
        </is>
      </c>
      <c r="B376" t="inlineStr">
        <is>
          <t>Losing my vision</t>
        </is>
      </c>
      <c r="C376" t="inlineStr">
        <is>
          <t xml:space="preserve">I've been striggling through surgery after surgery and set back after set back. My eyes have Advanced prolific diabetic retinopathy its slowly been taking my eye sight over the last year and I don''t know what turn to take next. I'm at the end of my rope and the person who was heloing me has their own issues to deal with and they will be leaving my side to help shortly. I don't afree with it but i/s what they want to do. I'm out of work can only read on my computer by the magnifying progran abd a set of reading glasses as thick as coke bottles. Because  my support is no longer willing to help and get me through a long healing process I feel that I', about to be homeless I applied for diability but it takes months to be approved.  I', stressed out beyond belieg this paragraph is the tip odf an iceberg that has been melting for a long time.  I don;t know that Ill get any help from this or what I can do but Im desperate and  losing hope in a future. Doubt anyone has a real answer. Our job/ econimic system is why Im in this position. Without Obama's Anerican Care Act I would be blind right now. But still healing from all this has set me in the waiting room of questioning my postion and what actionscan be taken. If anyone has any suggestions I would be more than thirlled to try any one of them. Thanks, maybe I'll be seeing in 5 months or maybe not but I just need to get to that time and sort it out. Help....? </t>
        </is>
      </c>
      <c r="D376" t="n">
        <v>31</v>
      </c>
      <c r="E376" t="n">
        <v>15</v>
      </c>
      <c r="F376">
        <f>HYPERLINK("https://www.reddit.com/r/diabetes/comments/2lwr9r/losing_my_vision/")</f>
        <v/>
      </c>
      <c r="G376" t="inlineStr">
        <is>
          <t>2014-11-10 15:30:18</t>
        </is>
      </c>
      <c r="H376" t="inlineStr">
        <is>
          <t>Type 1</t>
        </is>
      </c>
    </row>
    <row r="377">
      <c r="A377" t="inlineStr">
        <is>
          <t>2lwsjy</t>
        </is>
      </c>
      <c r="B377" t="inlineStr">
        <is>
          <t>Relatively new type 1 with tingling in feet</t>
        </is>
      </c>
      <c r="C377" t="inlineStr">
        <is>
          <t>Occasionally my feet tingle and have that pins and needles feeling. I cut my foot once, but I saw a doctor used the antibacterial cream. My control is not great, but it's not bad either. I struggle with dawn phenomenon but my highest a1c has been 7.5. I was just diagnosed July 2013, so surely this couldn't be neuropathy, right?</t>
        </is>
      </c>
      <c r="D377" t="n">
        <v>1</v>
      </c>
      <c r="E377" t="n">
        <v>3</v>
      </c>
      <c r="F377">
        <f>HYPERLINK("https://www.reddit.com/r/diabetes/comments/2lwsjy/relatively_new_type_1_with_tingling_in_feet/")</f>
        <v/>
      </c>
      <c r="G377" t="inlineStr">
        <is>
          <t>2014-11-10 15:42:07</t>
        </is>
      </c>
      <c r="H377" t="inlineStr">
        <is>
          <t>Type 1</t>
        </is>
      </c>
    </row>
    <row r="378">
      <c r="A378" t="inlineStr">
        <is>
          <t>2lx4z4</t>
        </is>
      </c>
      <c r="B378" t="inlineStr">
        <is>
          <t>Research title-------Vitamin D Abnormalities: More Common in US Children with T1D than in Healthy Children</t>
        </is>
      </c>
      <c r="C378" t="inlineStr">
        <is>
          <t>Pediatric patients with type 1 diabetes (T1D) have increased risk for low bone mineral density, which may be due in part to low 25-hydroxyvitamin D levels. Vitamin D levels are influenced by sunlight exposure and thus display geographical variation.
Link: https://www.scirp.org/journal/PaperInformation.aspx?PaperID=51218&amp;amp;amp;utm_campaign=reddit&amp;amp;amp;utm_medium=sx</t>
        </is>
      </c>
      <c r="D378" t="n">
        <v>1</v>
      </c>
      <c r="E378" t="n">
        <v>1</v>
      </c>
      <c r="F378">
        <f>HYPERLINK("https://www.reddit.com/r/diabetes/comments/2lx4z4/research_titlevitamin_d_abnormalities_more_common/")</f>
        <v/>
      </c>
      <c r="G378" t="inlineStr">
        <is>
          <t>2014-11-10 17:35:05</t>
        </is>
      </c>
      <c r="H378" t="inlineStr">
        <is>
          <t>Type 1</t>
        </is>
      </c>
    </row>
    <row r="379">
      <c r="A379" t="inlineStr">
        <is>
          <t>2lyig6</t>
        </is>
      </c>
      <c r="B379" t="inlineStr">
        <is>
          <t>Problems with Lantus in the morning?</t>
        </is>
      </c>
      <c r="C379" t="inlineStr">
        <is>
          <t>Has anyone had problems with Lantus injected in the mornings? I'm talking about problems such as variable absorption or increased Dawn Phenomenon.
Have you found a better profile injecting at lunch or bedtime?</t>
        </is>
      </c>
      <c r="D379" t="n">
        <v>1</v>
      </c>
      <c r="E379" t="n">
        <v>8</v>
      </c>
      <c r="F379">
        <f>HYPERLINK("https://www.reddit.com/r/diabetes/comments/2lyig6/problems_with_lantus_in_the_morning/")</f>
        <v/>
      </c>
      <c r="G379" t="inlineStr">
        <is>
          <t>2014-11-11 03:49:03</t>
        </is>
      </c>
      <c r="H379" t="inlineStr">
        <is>
          <t>Type 1</t>
        </is>
      </c>
    </row>
    <row r="380">
      <c r="A380" t="inlineStr">
        <is>
          <t>2m0aho</t>
        </is>
      </c>
      <c r="B380" t="inlineStr">
        <is>
          <t>[Type 1] Getting over my fear of a low blood sugar when working out</t>
        </is>
      </c>
      <c r="C380" t="inlineStr">
        <is>
          <t>Hi all,
I've been playing roller derby for a little over a year. For the first 8-9 months practice alone (1x/week until April because offseason, then 3x/week) was enough to make me improve my skating, and it was surprisingly manageable with my diabetes once I figured out a routine (which, granted, took me months, but hey, I got there!). I skate with a VERY supportive group of people who push me to work harder but also understand that sometimes it's just not happening because my blood sugars aren't cooperating. 
Since we're back in the off-season and won't be able to resume regular practice (the 3x/week) until April, I'm struggling to get on another work out plan--I'm still skating about once a week but it's not the intense roller derby skating (either tooling around a skate park or at an indoor roller rink) so it's definitely not enough to keep my end-of-season fitness level up. And in any case, I need to cross train because practice alone isn't making me better anymore. 
The dilemma I have is that I'm terrified of having a low blood sugar while exercising. I've had t1 for 18 years and I just don't feel my highs and lows as well as I used to. I wear a CGM, which helps, but it often isn't fast enough to keep up if I'm exercising because my blood sugars can rise and drop so quickly.
How do I get past this fear in order to push myself harder? Any advice? I know I'm not working as hard as I'm capable of because I'm so afraid of going low. I do wear a medic alert ID (if you can call it that--I got "type 1 diabetic" tattooed on my wrist because I kept losing/forgetting bracelets) so if something were to happen people would know that I'm a t1d but I just can't shake this low blood sugar fear.</t>
        </is>
      </c>
      <c r="D380" t="n">
        <v>6</v>
      </c>
      <c r="E380" t="n">
        <v>27</v>
      </c>
      <c r="F380">
        <f>HYPERLINK("https://www.reddit.com/r/diabetes/comments/2m0aho/type_1_getting_over_my_fear_of_a_low_blood_sugar/")</f>
        <v/>
      </c>
      <c r="G380" t="inlineStr">
        <is>
          <t>2014-11-11 13:50:46</t>
        </is>
      </c>
      <c r="H380" t="inlineStr">
        <is>
          <t>Type 1</t>
        </is>
      </c>
    </row>
    <row r="381">
      <c r="A381" t="inlineStr">
        <is>
          <t>2m24kx</t>
        </is>
      </c>
      <c r="B381" t="inlineStr">
        <is>
          <t>BG going haywire in the morning</t>
        </is>
      </c>
      <c r="C381" t="inlineStr">
        <is>
          <t>So for the past 3 years (up until 10 days ago) I'd wake up to some handsome looking BG levels, always in the 4's or 5's, every single day. My routine was to take 6-7 units of lantus 1hr before bed with a reading of 7mmol at bed and eat 30g-60g carbs depending on how much exercise I had done during the day.
As far as I'm aware I don't think I've changed anything but I started waking up to 7's, 8's and 9's about 10 days ago. I have now cut back on how much I eat before sleeping to only 20g carbs (kept lantus the same though) but instead of that helping I woke up with a reading of 10.0 today !
What on earth is going on ? I've heard of this dawn phenomenon that sounds like a likely suspect but is it usual for it to come on so suddenly ?
So far I've refrained from making any insulin changes as I want to be sure what's going on before taking extra insulin onboard while sleeping, since if my body reverts back to how it was functioning before on a new insulin/food regime I'm going to go low overnight.
So yea, any clues/advice welcome !</t>
        </is>
      </c>
      <c r="D381" t="n">
        <v>2</v>
      </c>
      <c r="E381" t="n">
        <v>7</v>
      </c>
      <c r="F381">
        <f>HYPERLINK("https://www.reddit.com/r/diabetes/comments/2m24kx/bg_going_haywire_in_the_morning/")</f>
        <v/>
      </c>
      <c r="G381" t="inlineStr">
        <is>
          <t>2014-11-12 01:11:41</t>
        </is>
      </c>
      <c r="H381" t="inlineStr">
        <is>
          <t>Type 1</t>
        </is>
      </c>
    </row>
    <row r="382">
      <c r="A382" t="inlineStr">
        <is>
          <t>2m2yer</t>
        </is>
      </c>
      <c r="B382" t="inlineStr">
        <is>
          <t>Do smaller vials of insulin exist?</t>
        </is>
      </c>
      <c r="C382" t="inlineStr">
        <is>
          <t>I'm a T1 and I use Apidra and Lantus vials. I also eat a low carb diet (between 50-100/day) and exercise regularly. As a result, my insulin requirements are very low.
**Average Daily Insulin Requirements**
* 12u Lantus in the morning
* 1.5u Apidra for breakfast
* 0.5u Apidra for lunch
* 0.5u Apidra for dinner
* 0.5u Apidra for a snack at some point in the day
There are obviously some variations depending on what I'm actually eating any particular day, but I'm pretty consistent and this is what a typical day is like.
Something that has always annoyed me is that Apidra and Lantus come in 10 mL vials, and there are 100 units of insulin for each mL. So basically there are 1000 units of insulin in a 10 mL vial.
If I am to use a vial for about 30 days, this would mean I end up throwing away 90% of the Apidra vial and around 60% of the Lantus vial. In reality, I use the vials until I notice that they seem to be losing their potency, but I still end up throwing away over 60% of the insulin.
Are there any smaller vials of insulin that can be purchased? Or is it possible to transfer some insulin to a smaller vial, and keep the larger vial refrigerated and potent for a longer period of time?
I realize this is kinda random topic, but I know there are others out there who take similarly small amounts of insulin and I'm curious if there some better ways of being less wasteful and potentially saving money.</t>
        </is>
      </c>
      <c r="D382" t="n">
        <v>2</v>
      </c>
      <c r="E382" t="n">
        <v>21</v>
      </c>
      <c r="F382">
        <f>HYPERLINK("https://www.reddit.com/r/diabetes/comments/2m2yer/do_smaller_vials_of_insulin_exist/")</f>
        <v/>
      </c>
      <c r="G382" t="inlineStr">
        <is>
          <t>2014-11-12 08:03:18</t>
        </is>
      </c>
      <c r="H382" t="inlineStr">
        <is>
          <t>Type 1</t>
        </is>
      </c>
    </row>
    <row r="383">
      <c r="A383" t="inlineStr">
        <is>
          <t>2m4log</t>
        </is>
      </c>
      <c r="B383" t="inlineStr">
        <is>
          <t>Very nervous about eye doctor appointment tomorrow...</t>
        </is>
      </c>
      <c r="C383" t="inlineStr">
        <is>
          <t>I've been a diabetic since 2006, born in 1988. (LADA diabetes diagnosis). My control hasnt been super great, my last A1C was in the 8's. Last sunday, I notice that in the bottom left of my peripheral vision of my left eye, straight lines appeared wavy and swirly, almost like light passing through a lens. With that, there are small streaks of "fuzzy" vision to the right of it. Very scared that this is diabetic neuropathy, especially since it has persisted this long. 
Does anyone have any advice or any experience with this?
Thanks so much in advance.
EDIT: Thanks for all of the replies everyone! Made me feel a lot better and was able to sleep last night :)...I'll update after I see the eye doctor today.
EDIT2: So apparently it is definitely a complication...some sort of edema leaking into my retina. I have an appointment with a retinal specialist tomorrow. I guess we'll see what happens. I'll keep this updated!
EDIT3: Awesome news!!! The specialist says its whats called a "cotton eye wool spot", inflammation of a nerve...should go down within a couple weeks and my vision will be back to 100%, no treatment needed!!! :)
Thanks again!!</t>
        </is>
      </c>
      <c r="D383" t="n">
        <v>3</v>
      </c>
      <c r="E383" t="n">
        <v>6</v>
      </c>
      <c r="F383">
        <f>HYPERLINK("https://www.reddit.com/r/diabetes/comments/2m4log/very_nervous_about_eye_doctor_appointment_tomorrow/")</f>
        <v/>
      </c>
      <c r="G383" t="inlineStr">
        <is>
          <t>2014-11-12 15:58:25</t>
        </is>
      </c>
      <c r="H383" t="inlineStr">
        <is>
          <t>Type 1.5/LADA</t>
        </is>
      </c>
    </row>
    <row r="384">
      <c r="A384" t="inlineStr">
        <is>
          <t>2m62oa</t>
        </is>
      </c>
      <c r="B384" t="inlineStr">
        <is>
          <t>My blood sugar falls while sleeping - I can't believe it! [Pic for proof]</t>
        </is>
      </c>
      <c r="C384" t="inlineStr">
        <is>
          <t>First of all: I'm a Type 1 Diabetic. I've been diabetic for 9 years, so honeymoon is no longer possible.
I bought a Freestyle Libre, Abbot's new CGM. Since I have it, I have discovered that my blood sugar falls during the night. The reason? Well, it may seem incredible, but sleeping lowers my blood sugar. All the time. If I take a nap starting at 130 mg/dl, I'll have 80 mg/dl an hour later. This means that my blood sugar goes too low during the night (in the 50s range) and goes up because of Dawn Phenomenon. For some years, I wasn't aware of this because I would wake up to a normal number (80-120). The only thing that was annoying me was that I felt tired in the mornings.
I haven't found any type 1 diabetic that has the same issue. Sleeping lowers my blood sugar, believe it or not. 
Now I'm trying to adapt my basals to match this situation. I would usually need 17u of Lantus, but I'm having 15u to avoid night lows. That means that my BG will go high three hours after meals, and I will need rapid insulin to correct it. If I switch to Levemir, I can't inject in a 12 hour split because I will go hypo, and If I inject once I will get to my waking hour without any basal insulin in my body, and my Dawn Phenomenon will be huge.
Obviously, if I go to bed late or I go out for the night, my blood sugar will go high since I'm not sleeping. Unbelievable. 
This is a typical day for me. The red line, which covers night hours, means hypoglycemia. http://imgur.com/SlI9XLP (sorry for bad quality) 
I'm already in a low carb diet, I'm taking a magnesium supplement too. It happens in a high carb diet too, so I don't think it's diet related. 
Anyone suffering the same fate? Any advice?</t>
        </is>
      </c>
      <c r="D384" t="n">
        <v>4</v>
      </c>
      <c r="E384" t="n">
        <v>17</v>
      </c>
      <c r="F384">
        <f>HYPERLINK("https://www.reddit.com/r/diabetes/comments/2m62oa/my_blood_sugar_falls_while_sleeping_i_cant/")</f>
        <v/>
      </c>
      <c r="G384" t="inlineStr">
        <is>
          <t>2014-11-13 01:42:59</t>
        </is>
      </c>
      <c r="H384" t="inlineStr">
        <is>
          <t>Type 1</t>
        </is>
      </c>
    </row>
    <row r="385">
      <c r="A385" t="inlineStr">
        <is>
          <t>2m6rvs</t>
        </is>
      </c>
      <c r="B385" t="inlineStr">
        <is>
          <t>Living somewhere where you can't count carbs or track your diet.</t>
        </is>
      </c>
      <c r="C385" t="inlineStr">
        <is>
          <t xml:space="preserve">I've been wondering this for the last few weeks. I've been doing a perfect low carb diet for some years now, and my bg control is very good. But now I have the opportunity to change my life and go somewhere else, but I'll have to live and eat in a residence, with non diabetics. That means that I can skip sugary foods like desserts, but I'll have to eat what's on my plate and figure out my insulin.
I know there must be some diabetics here that went out of home at a young age and had to do this. How was your experience and how did it impact your health? </t>
        </is>
      </c>
      <c r="D385" t="n">
        <v>0</v>
      </c>
      <c r="E385" t="n">
        <v>8</v>
      </c>
      <c r="F385">
        <f>HYPERLINK("https://www.reddit.com/r/diabetes/comments/2m6rvs/living_somewhere_where_you_cant_count_carbs_or/")</f>
        <v/>
      </c>
      <c r="G385" t="inlineStr">
        <is>
          <t>2014-11-13 07:42:39</t>
        </is>
      </c>
      <c r="H385" t="inlineStr">
        <is>
          <t>Type 1</t>
        </is>
      </c>
    </row>
    <row r="386">
      <c r="A386" t="inlineStr">
        <is>
          <t>2m90vp</t>
        </is>
      </c>
      <c r="B386" t="inlineStr">
        <is>
          <t>[Type 1] Lower than normal blood sugars?</t>
        </is>
      </c>
      <c r="C386" t="inlineStr">
        <is>
          <t>Thanks!</t>
        </is>
      </c>
      <c r="D386" t="n">
        <v>1</v>
      </c>
      <c r="E386" t="n">
        <v>2</v>
      </c>
      <c r="F386">
        <f>HYPERLINK("https://www.reddit.com/r/diabetes/comments/2m90vp/type_1_lower_than_normal_blood_sugars/")</f>
        <v/>
      </c>
      <c r="G386" t="inlineStr">
        <is>
          <t>2014-11-13 19:31:37</t>
        </is>
      </c>
      <c r="H386" t="inlineStr">
        <is>
          <t>Type 1</t>
        </is>
      </c>
    </row>
    <row r="387">
      <c r="A387" t="inlineStr">
        <is>
          <t>2m9e4n</t>
        </is>
      </c>
      <c r="B387" t="inlineStr">
        <is>
          <t>4 yr. old daughter diagnosed with type 1 yesterday. Looking for advice.</t>
        </is>
      </c>
      <c r="C387" t="inlineStr">
        <is>
          <t xml:space="preserve">Yesterday me and wife found out out daughter has type one diabetes. We are still in the hospital learning everything we can about it. We are on board with doing everything we need to do in order for her to have the healthiest life possible. She doesn't mind the glucose readings too much but cannot stand the insulin injections. It brings us to tears every time she requires her shot since we have to pretty much hold her down. I'm wondering if anyone has any advice on how to help her through this and anything else that might come up. I'm still new to everything but would appreciate any help possible. 
Thank you for any help.
11/15/04
Hello everyone, Sorry I was not able to speak much on this post. We were very busy learning and practicing what we needed to do in order to keep our little one healthy. WE REALLY appreciate all the info and have learned a lot through the nice posts everyone has left. </t>
        </is>
      </c>
      <c r="D387" t="n">
        <v>1</v>
      </c>
      <c r="E387" t="n">
        <v>17</v>
      </c>
      <c r="F387">
        <f>HYPERLINK("https://www.reddit.com/r/diabetes/comments/2m9e4n/4_yr_old_daughter_diagnosed_with_type_1_yesterday/")</f>
        <v/>
      </c>
      <c r="G387" t="inlineStr">
        <is>
          <t>2014-11-13 21:53:19</t>
        </is>
      </c>
      <c r="H387" t="inlineStr">
        <is>
          <t>Type 1</t>
        </is>
      </c>
    </row>
    <row r="388">
      <c r="A388" t="inlineStr">
        <is>
          <t>2m9k58</t>
        </is>
      </c>
      <c r="B388" t="inlineStr">
        <is>
          <t>I messed up...</t>
        </is>
      </c>
      <c r="C388" t="inlineStr">
        <is>
          <t>11.7..... College has taken a toll on me
I am a type one, 18, no drugs, depression. Been a diabetic for 12 years. On the pump.</t>
        </is>
      </c>
      <c r="D388" t="n">
        <v>1</v>
      </c>
      <c r="E388" t="n">
        <v>4</v>
      </c>
      <c r="F388">
        <f>HYPERLINK("https://www.reddit.com/r/diabetes/comments/2m9k58/i_messed_up/")</f>
        <v/>
      </c>
      <c r="G388" t="inlineStr">
        <is>
          <t>2014-11-13 23:12:36</t>
        </is>
      </c>
      <c r="H388" t="inlineStr">
        <is>
          <t>Type 1</t>
        </is>
      </c>
    </row>
    <row r="389">
      <c r="A389" t="inlineStr">
        <is>
          <t>2ma8nc</t>
        </is>
      </c>
      <c r="B389" t="inlineStr">
        <is>
          <t>Levemir once a day users.</t>
        </is>
      </c>
      <c r="C389" t="inlineStr">
        <is>
          <t>I know, I know, most Levemir users use split doses. But I also know there are a bunch of redditors injecting levemir once a day. I would like to know your dosing time, and how many units do you use. 
I found that I was having nocturnal hypos and my night levemir dose was simply unnecesary. Now I'm looking into ways of using Levemir once a day, probably in the morning, and I'm just curious to hear about you. 
Thanks!</t>
        </is>
      </c>
      <c r="D389" t="n">
        <v>2</v>
      </c>
      <c r="E389" t="n">
        <v>3</v>
      </c>
      <c r="F389">
        <f>HYPERLINK("https://www.reddit.com/r/diabetes/comments/2ma8nc/levemir_once_a_day_users/")</f>
        <v/>
      </c>
      <c r="G389" t="inlineStr">
        <is>
          <t>2014-11-14 06:00:16</t>
        </is>
      </c>
      <c r="H389" t="inlineStr">
        <is>
          <t>Type 1</t>
        </is>
      </c>
    </row>
    <row r="390">
      <c r="A390" t="inlineStr">
        <is>
          <t>2makqr</t>
        </is>
      </c>
      <c r="B390" t="inlineStr">
        <is>
          <t>Newly diagnosed T1 - Scared and Confused</t>
        </is>
      </c>
      <c r="C390" t="inlineStr">
        <is>
          <t>Hello!  As the title says, I'm a newly diagnosed T1.  Unlike most other T1s, I wasn't diagnosed until I was 31.  I had a severe anxiety about doctors and I still don't really trust them.  I had a sore on my foot that turned into a hole thanks to poor life choices on my part.  It ended up infected and I let it go far longer than I should have.  I went to the ER and was admitted to the hospital.  They ended up having to amputate the pinky toe and part of the fifth metatarsal due to the infection.  While I was in the hospital, they also told me that I was type 1 diabetic.
My family has a history of type 2.  My grandmother, my father, and my uncle are type 2.  I was a little skeptical of the T1 diagnosis until I started seeing what happened to my blood sugar after I ate.  Without insulin, it wouldn't or would very very slowly come down.  Something with the blood work told them that I was not producing enough insulin.  I asked them if it was possible that I could develop insulin resistance as well, but they weren't able to give me an answer.  They said they would get back to me on that after they could do a little research, but nobody got back to me during the week I was in the hospital.
I was discharged with overlapping appointments, one was to establish a primary care doctor.  An office worker from that doctor called to cancel it because of the overlap.  I asked what I would need to do about getting a primary care doc, and they started digging through the calendar.  They said it would be June before they could get me in!  I told her I couldn't wait that long and started calling clinics to find something sooner.  It's going to be early December.  It will be cutting it close on the insulin I have now (even getting that was an ordeal, insurance refused it the first time I tried to get it filled) and that's causing me a lot of anxiety.  I'm sure that if push came to shove, a ketogenic diet, some simple exercises (can't put weight on the foot that had surgery yet and I have a PICC line in one arm for IV antibiotics at home) and by testing more often, I can manage it long enough to get through... but that's really making me nervous.
Being diabetic is expensive.  I have a huge aversion to exposed needles and syringes.  Just giving myself the IV antibiotic has been mentally difficult.  Insurance originally refused to pay for the pens until I had a panic attack talking to the doctor about it.  I nearly passed out.  Then the pharmacist gave me pen caps that had an exposed needle.  I had to go back and buy a large box of the kind that doesn't show the needle.  (BTW, if anyone is in a similar situation, the BD AutoShield Duo works GREAT.  No exposed needle to look at and freak out over, the needle retracts after the injection so you can't accidentally poke yourself on it, and a popup bit comes up after you remove it from the pen so you can't poke yourself when taking it off.)
Between the pen caps, the insulin itself, and test strips, I don't see how anyone can afford being diabetic!
I'm looking for advice.  What do I need to know about being diabetic?  What do I think I know that's completely wrong?  Another scheduling screwup means that my diabetic education class from the hospital isn't going to be until next week, nearly a month after I was discharged.  Is there a cheaper brand of test strips I can get?  Any tips for injections to keep it from hurting?  Sometimes the insulin burns going in.</t>
        </is>
      </c>
      <c r="D390" t="n">
        <v>2</v>
      </c>
      <c r="E390" t="n">
        <v>11</v>
      </c>
      <c r="F390">
        <f>HYPERLINK("https://www.reddit.com/r/diabetes/comments/2makqr/newly_diagnosed_t1_scared_and_confused/")</f>
        <v/>
      </c>
      <c r="G390" t="inlineStr">
        <is>
          <t>2014-11-14 08:04:35</t>
        </is>
      </c>
      <c r="H390" t="inlineStr">
        <is>
          <t>Type 1</t>
        </is>
      </c>
    </row>
    <row r="391">
      <c r="A391" t="inlineStr">
        <is>
          <t>2mc2r1</t>
        </is>
      </c>
      <c r="B391" t="inlineStr">
        <is>
          <t>Type 2 and vitiligo</t>
        </is>
      </c>
      <c r="C391" t="inlineStr">
        <is>
          <t>My boyfriend is a type 2 diabetic and has been for the passed 5 years. He developed diabetes at 25 despite being very active and thin. He has a family history of diabetes but all the men in his family that have it developed it in their late 40s/50s while they were overweight so his case is somewhat unusual. Last spring we started to notice some pigment changes on his body and they seem to be getting bigger. He is fair skinned and blonde so the spots are not super noticeable but it does have me a little worried (he doesn't seem to care). I am wondering if anyone else has experienced vitiligo in addition to their diabetes and can offer me some input.</t>
        </is>
      </c>
      <c r="D391" t="n">
        <v>1</v>
      </c>
      <c r="E391" t="n">
        <v>0</v>
      </c>
      <c r="F391">
        <f>HYPERLINK("https://www.reddit.com/r/diabetes/comments/2mc2r1/type_2_and_vitiligo/")</f>
        <v/>
      </c>
      <c r="G391" t="inlineStr">
        <is>
          <t>2014-11-14 16:11:51</t>
        </is>
      </c>
      <c r="H391" t="inlineStr">
        <is>
          <t>Type 2</t>
        </is>
      </c>
    </row>
    <row r="392">
      <c r="A392" t="inlineStr">
        <is>
          <t>2mf3zz</t>
        </is>
      </c>
      <c r="B392" t="inlineStr">
        <is>
          <t>Newly diagnosed T1 (23F) - Unsure of where to look for advice/support (en France) or online</t>
        </is>
      </c>
      <c r="C392" t="inlineStr">
        <is>
          <t xml:space="preserve">(en français au dessous)
I've been newly diagnosed with Type 1 diabetes and I know this is probably normal to feel this way, but I'm starting to feel the suck and mildly lonely already concerning it. Because it's fairly new for me I have pretty much changed my habits seemingly overnight and I know I can come to terms with it, though I'm getting tired already of having to explain why I can't mindlessly snack or eat with the same carelessness (for lack of a better word) as before and why I have to test my blood sugar every few hours. While people kind of understand, I know it would be rather annoying to talk about this with friends who don't have it but personally, I would like someone to be able to complain to/commiserate with/get advice from, etc. since I know that for the next few months, my life will probably revolve around adjusting my habits/insuline to meet my goals. I'm not sure where to even start looking for support groups outside of just googling "diabetes associations in France." For the next few weeks, I'm mostly looking for forums I can join so I can respond whenevr I have time because of schoolwork, but I think in person organization will do me some good because I find myself telling everyone I'm fine when I'm starting to feel progressively worse about the permanence of this. Right now, I'm looking for online stuff until after my exams in a few weeks, but I know a few days on the internet is like years in the real world so all suggestions are welcome and will be appreciated!)
(Cette traduction est peut-être terrible mais je suis en France pour le moment et un de mes objectifs est d’améliorer mon niveau. Donc, répondez comme vous voulez. Je comprends beaucoup mieux que j’écris.) 
Bonjour tout le monde. J'ai récemment reçu un nouveau diagnostic de la diabète type 1. Je sais que mes sentiments sont probablement normales, mais je commence à sentir de plus en plus isolée et j'ai le moral dans les chaussettes. Il semble que je changé mes habitudes du jour au lendemain et même si je viens d'accepter mon avenir, j'en ai marre déjà des commentaires de mes camarades qui sont sympa mais ne comprennent pas exactement la magnitude de changements nécessaire pour assurer que je suis en bon santé. Je dis toujours "tout va bien" mais en fait, la permanence de cette maladie me rend mal à l'aise progressivement. Je cherche quelques recours en ligne ou en personne d'en parler avec les autres dans la même situation pour des conseils, amitiés, etc.  (A ce moment, spécifiquement, en ligne car des examens bientôt mais tout sera bienvenue et je le chercherai de plus après.)
</t>
        </is>
      </c>
      <c r="D392" t="n">
        <v>3</v>
      </c>
      <c r="E392" t="n">
        <v>2</v>
      </c>
      <c r="F392">
        <f>HYPERLINK("https://www.reddit.com/r/diabetes/comments/2mf3zz/newly_diagnosed_t1_23f_unsure_of_where_to_look/")</f>
        <v/>
      </c>
      <c r="G392" t="inlineStr">
        <is>
          <t>2014-11-15 15:18:32</t>
        </is>
      </c>
      <c r="H392" t="inlineStr">
        <is>
          <t>Type 1</t>
        </is>
      </c>
    </row>
    <row r="393">
      <c r="A393" t="inlineStr">
        <is>
          <t>2mhx26</t>
        </is>
      </c>
      <c r="B393" t="inlineStr">
        <is>
          <t>T1 trying to gain weight?</t>
        </is>
      </c>
      <c r="C393" t="inlineStr">
        <is>
          <t>Just a little bit of background - as I had mentioned in a prior post, I haven't been diagnosed for very long - coming up on 4 months now. Prior to diagnosis/onset I would fluctuate between 115 and 125lbs on my 5'6" frame. That's a BMI of 18.6 to 20.2, so the low end of "normal".
In the few months prior to diagnosis I experienced the typical weight loss along with other symptoms, and by the time I got to the doctor I weight 107 lbs on their scales. That means my BMI was 17.3, and that is pretty severely underweight.
Since being diagnosed and working on control (though still not great) I have gained some of the weight back to 116 lbs at my last appointment.
Additionally, my whole life I have had issues with body image, so that's something I've been trying to work through and one of my goals is to ensure I'm at the healthiest weight for me - which is about 120-125 lbs. But I have no idea how to gain weight healthily while avoiding high carb intake - which I have been trying to do, since I am still struggling with control. 
My current plan is to simply use a MyFitnessPal app and up calories to 2200, but I have trouble physically eating more than about 1600-1800 a day, because I get full and honestly would rather drink coffee or teas than eat snacks.
Any suggestions?
TL;DR Skinny girl trying to gain about 10 lbs, trying to up calories without upping carbs. Suggestions?</t>
        </is>
      </c>
      <c r="D393" t="n">
        <v>1</v>
      </c>
      <c r="E393" t="n">
        <v>10</v>
      </c>
      <c r="F393">
        <f>HYPERLINK("https://www.reddit.com/r/diabetes/comments/2mhx26/t1_trying_to_gain_weight/")</f>
        <v/>
      </c>
      <c r="G393" t="inlineStr">
        <is>
          <t>2014-11-16 13:25:08</t>
        </is>
      </c>
      <c r="H393" t="inlineStr">
        <is>
          <t>Type 1</t>
        </is>
      </c>
    </row>
    <row r="394">
      <c r="A394" t="inlineStr">
        <is>
          <t>2mijri</t>
        </is>
      </c>
      <c r="B394" t="inlineStr">
        <is>
          <t>blood sugar refuses to go down?</t>
        </is>
      </c>
      <c r="C394" t="inlineStr">
        <is>
          <t xml:space="preserve">its been extremely frustrating these past few hours. I've come down with a throat infection starting on saturday and I started taking anti biotics starting yesterday. 
my recent readings were 11:40pm(Saturday) 245, 2am: 304, 1pm(slept in): 325, 5pm(right now) 405. 
From 11:40pm yesterday to 5pm now, I haven't eaten a single thing but I have been correcting. From 1pm to 3pm I played basketball which in theory should have brought my blood sugar down immensely because I also corrected, but instead I saw a rise. 
Any suggestions? Has my medication gone bad? Is this a side effect of being sick? Thank you for reading.
</t>
        </is>
      </c>
      <c r="D394" t="n">
        <v>1</v>
      </c>
      <c r="E394" t="n">
        <v>3</v>
      </c>
      <c r="F394">
        <f>HYPERLINK("https://www.reddit.com/r/diabetes/comments/2mijri/blood_sugar_refuses_to_go_down/")</f>
        <v/>
      </c>
      <c r="G394" t="inlineStr">
        <is>
          <t>2014-11-16 17:03:19</t>
        </is>
      </c>
      <c r="H394" t="inlineStr">
        <is>
          <t>Type 1</t>
        </is>
      </c>
    </row>
    <row r="395">
      <c r="A395" t="inlineStr">
        <is>
          <t>2mm1bu</t>
        </is>
      </c>
      <c r="B395" t="inlineStr">
        <is>
          <t>Injections in public? Type One</t>
        </is>
      </c>
      <c r="C395" t="inlineStr">
        <is>
          <t>I usually use a pump, but due to extenuating circumstances, I'm using insulin pens. Should I go in a separate room if I have to take a bolus? I get that getting injections is kind of gross to some people, but it can be a hassle to leave the room every time I need insulin. Any pointers?</t>
        </is>
      </c>
      <c r="D395" t="n">
        <v>5</v>
      </c>
      <c r="E395" t="n">
        <v>47</v>
      </c>
      <c r="F395">
        <f>HYPERLINK("https://www.reddit.com/r/diabetes/comments/2mm1bu/injections_in_public_type_one/")</f>
        <v/>
      </c>
      <c r="G395" t="inlineStr">
        <is>
          <t>2014-11-17 15:55:46</t>
        </is>
      </c>
      <c r="H395" t="inlineStr">
        <is>
          <t>Type 1</t>
        </is>
      </c>
    </row>
    <row r="396">
      <c r="A396" t="inlineStr">
        <is>
          <t>2mmq6r</t>
        </is>
      </c>
      <c r="B396" t="inlineStr">
        <is>
          <t>PUMPERS! Any advice for infusion site issues?</t>
        </is>
      </c>
      <c r="C396" t="inlineStr">
        <is>
          <t>Background: Type 1 for 11 years, last 7 years on Animas pump, using Comfort short, manual angled infusion sets.
I've been having a terrible time with my infusion sites. My stomach seems to be the only place where I can get my sites in and have predictable absorption, so from an unfortunate lack of rotation, I have a lot of scar tissue (even with changing my sites every 3 days on average).  I've been trying to change sites more frequently and put them in different places, such as my lower back, on the sides, like my rear hips, but almost 75% of the time I start bleeding immediately and have to take the site out, pretty much wasting a pricey infusion set (making me less likely to want to take it out on only day 2).  
I've also experienced an issue with putting the site in, it'll feel fine, then when I go to take the needle out, I feel an excruciating pain, almost like pinching a nerve, and then can barely move the site without major pain.  I'm not sure if this is an issue with maybe faulty infusion sets that are more difficult to release, or just sensitive sites?   
I've been pumping for about 7 years now and it's been the past 2 years where I've noticed my absorption in certain locations is just shot (I can't use my legs anymore, and I think my rear hips are on the way out).   
Just curious if anyone else has experienced this, and where to go from here?  Can anyone recommend an infusion set they've had better luck with?  Or should I start thinking about going back to MDI?</t>
        </is>
      </c>
      <c r="D396" t="n">
        <v>2</v>
      </c>
      <c r="E396" t="n">
        <v>3</v>
      </c>
      <c r="F396">
        <f>HYPERLINK("https://www.reddit.com/r/diabetes/comments/2mmq6r/pumpers_any_advice_for_infusion_site_issues/")</f>
        <v/>
      </c>
      <c r="G396" t="inlineStr">
        <is>
          <t>2014-11-17 19:47:38</t>
        </is>
      </c>
      <c r="H396" t="inlineStr">
        <is>
          <t>Type 1</t>
        </is>
      </c>
    </row>
    <row r="397">
      <c r="A397" t="inlineStr">
        <is>
          <t>2mnefh</t>
        </is>
      </c>
      <c r="B397" t="inlineStr">
        <is>
          <t>A1C is abhorrent, I don't know where to start :(</t>
        </is>
      </c>
      <c r="C397" t="inlineStr">
        <is>
          <t xml:space="preserve">So I am an (almost) 19yo sophomore at university, diagnosed with type 1 when I was fifteen. I've been on the t:slim (named Brimley) for almost two years and it's my best friend. I use a Verio meter and am getting on a Dexcom this Christmas, apparently. I also have a host of other neat issues and I'm on a bunch of other meds-- levothyroxine, Prozac, and Wellbutrin, notably.
I used to be SO good at diabetes. For the first three years of having this, my A1Cs never got above 7.5. Then I went to college and it all went to hell. My doctor called today and told me my A1C, as of last month, was 10.4. My parents are furious, my boyfriend is worried, and I just... don't care. I haven't been able to care the last year or so as I've watched the numbers climb. There was a period last year where I didn't test AT ALL for *three months straight*. I've gotten better, but three tests a day is an exceptional day for me. I'm usually pretty good about giving boluses and I know carb counts offhand, but it's obvious that stuff is going on besides. I can't tell if the therapist I saw my senior year of high school actually helped me, if the testing issues are stemming from my depression or something else. I have a sneaking suspicion that the depression is coming back to bite me in the ass, but I really do not want to up my meds.
Does anyone have tips for *caring* about this disease anymore? Please don't give me scare tactics. I had a breakdown earlier because my mom told me she hopes I go blind so I'll see how badly I fucked up. I know very well that this disease can and likely will kill me-- I just don't have the energy to care. It overwhelms me so badly every time I think about it, I just don't want to even try.
</t>
        </is>
      </c>
      <c r="D397" t="n">
        <v>15</v>
      </c>
      <c r="E397" t="n">
        <v>11</v>
      </c>
      <c r="F397">
        <f>HYPERLINK("https://www.reddit.com/r/diabetes/comments/2mnefh/a1c_is_abhorrent_i_dont_know_where_to_start/")</f>
        <v/>
      </c>
      <c r="G397" t="inlineStr">
        <is>
          <t>2014-11-18 00:52:44</t>
        </is>
      </c>
      <c r="H397" t="inlineStr">
        <is>
          <t>Type 1</t>
        </is>
      </c>
    </row>
    <row r="398">
      <c r="A398" t="inlineStr">
        <is>
          <t>2moa0p</t>
        </is>
      </c>
      <c r="B398" t="inlineStr">
        <is>
          <t>You find out who your friends are when you're diagnosed.</t>
        </is>
      </c>
      <c r="C398" t="inlineStr">
        <is>
          <t>I have two types of friends who have come about ever since I was diagnosed three weeks ago.  There are those who offer condolences and prayers, as well as emotional support.  They also offer advice (often unsolicited) about what to eat and what to avoid.
Then there are the friends who were at gaming on Sunday.  As soon as I arrive, the GM (Game Master) asked how my Wilford Brimley disease is developing.  When another player arrived, he informed me of a song he wrote while he was a vet tech called "Diabetes," which follows the same melody and tone as the Diarrhea song.  Verses were like "If your breath smells like some Skittles and you're comatose with spittles, Diabetes."
The latter group I refer to as my "true friends".  These guys know how to make my day.</t>
        </is>
      </c>
      <c r="D398" t="n">
        <v>54</v>
      </c>
      <c r="E398" t="n">
        <v>29</v>
      </c>
      <c r="F398">
        <f>HYPERLINK("https://www.reddit.com/r/diabetes/comments/2moa0p/you_find_out_who_your_friends_are_when_youre/")</f>
        <v/>
      </c>
      <c r="G398" t="inlineStr">
        <is>
          <t>2014-11-18 08:07:55</t>
        </is>
      </c>
      <c r="H398" t="inlineStr">
        <is>
          <t>Type 2</t>
        </is>
      </c>
    </row>
    <row r="399">
      <c r="A399" t="inlineStr">
        <is>
          <t>2moo9c</t>
        </is>
      </c>
      <c r="B399" t="inlineStr">
        <is>
          <t>26-year-old T1 here. I've had it for 16 years, and am starting to have major anxiety about future health problems. Any T1s on here who are older who can tell me about their complications (or, even better, lack of complications)?</t>
        </is>
      </c>
      <c r="C399" t="inlineStr">
        <is>
          <t>Basically I'm just starting to have daily anxiety about what's going to happen to my body as I get older. I don't have any complications now, but sometimes my feet get really cold, which freaks me out. My dad has been a t1 for almost 40 years and has zero complications, but he got it when he was older (25 yrs old), which I've heard leads to fewer complications. Plus, he's always had amazing control, and through my teens I had the crappiest of crappy control (a1c's in the 10-11 range). I only recently (in the past maybe two years) feel like I know how to control it well, and I just started using a pump about 3 months ago, so I feel good about that. But, using the pump has made me think about my diabetes constantly, and worry constantly about the future of my body.
Edit: Thanks for the responses. They've made me feel better! :)
Anywho, if anyone has anything they can share with me, that'd be great! Thanks!</t>
        </is>
      </c>
      <c r="D399" t="n">
        <v>7</v>
      </c>
      <c r="E399" t="n">
        <v>18</v>
      </c>
      <c r="F399">
        <f>HYPERLINK("https://www.reddit.com/r/diabetes/comments/2moo9c/26yearold_t1_here_ive_had_it_for_16_years_and_am/")</f>
        <v/>
      </c>
      <c r="G399" t="inlineStr">
        <is>
          <t>2014-11-18 10:08:03</t>
        </is>
      </c>
      <c r="H399" t="inlineStr">
        <is>
          <t>Type 1</t>
        </is>
      </c>
    </row>
    <row r="400">
      <c r="A400" t="inlineStr">
        <is>
          <t>2mqywl</t>
        </is>
      </c>
      <c r="B400" t="inlineStr">
        <is>
          <t>Is this normal? How did you cope the first few weeks after diagnosis?</t>
        </is>
      </c>
      <c r="C400" t="inlineStr">
        <is>
          <t xml:space="preserve">So I haven't yet been dealing with this for long enough to notice any patterns but is it normal to feel moody? I know I've been told to look out for mood swings as a potential sign of my blood sugar being out of whack, but I can't tell if this is a side effect of the new diagnosis during a rather stressful period or the disease itself. I'm (obviously) not the most in touch with my feelings but I'm noticing a lack of motivation and more and more unpredictable emotionalness at the most inopportune moments. Sometimes when these feelings hit and I check my blood sugar, its in a normal range 90% of the time. I know a bunch of factors can contribute to this but I don't feel like I can share this with the people around me right now because somehow I think it will lead to more comments about what I should do (read:eat) and not just listening. I don't know what I should do so I just want to see how other people dealt/deal with it. </t>
        </is>
      </c>
      <c r="D400" t="n">
        <v>2</v>
      </c>
      <c r="E400" t="n">
        <v>17</v>
      </c>
      <c r="F400">
        <f>HYPERLINK("https://www.reddit.com/r/diabetes/comments/2mqywl/is_this_normal_how_did_you_cope_the_first_few/")</f>
        <v/>
      </c>
      <c r="G400" t="inlineStr">
        <is>
          <t>2014-11-18 22:26:49</t>
        </is>
      </c>
      <c r="H400" t="inlineStr">
        <is>
          <t>Type 1</t>
        </is>
      </c>
    </row>
    <row r="401">
      <c r="A401" t="inlineStr">
        <is>
          <t>2muj7s</t>
        </is>
      </c>
      <c r="B401" t="inlineStr">
        <is>
          <t>Advice for a son whose father was just diagnosed?</t>
        </is>
      </c>
      <c r="C401" t="inlineStr">
        <is>
          <t xml:space="preserve">Howdy everyone,
So as you can probably tell from my title, my father (age 52) was just diagnosed with Type 2 diabetes today. He was going in for pre-surgical testing on his knee this week. Long story short, we were in the Outer Banks for a wedding and as a family that grew up in the ocean we went out in high tide. Suffice to say, my father lost the battle against high tide. Luckily, since we're all such strong swimmers we can kind of joke about it. 
Anyways, he has torn cartilage that is stuck in his joint and he needs surgery to get that out of the joint to fix up his knee. When they were doing pre surgery blood work they noticed some irregularities and they referred him to a cardiologist. Today he went and saw the cardiologist and they diagnosed him with Type 2. My father has always been a healthy, active person. He's a little overweight at 5'8 and 190. But he's always been active. Unfortunately, we just have a genetically large family. There's a history of diabetes as well as other health problems in the family (aunts, uncles, cousins).
I was the first person he called after my mother. This is probably due to the fact I'm living at home my first year of grad school and my dad and I have a very close bond. He's my best friend. He seemed kind of shocked. However, my dad is a very guarded individual. He doesn't like to talk about his childhood or his past or about any mistakes he's made. He's very proud. 
When I talked to him on the phone tonight he told me something that surprised me. He said "For the first time in my life, I really feel vulnerable." This really surprised me and was a big step for my dad in talking about his issues and things that bothered him. So, as a son, what are some things I can do to be supportive and be there for my dad? We're both extremely busy people, him with work and I'm getting my master's in social work and working multiple jobs. But, tonight when I saw him when I got home from work I told him we're all in this together. I hope that doesn't sound too dramatic, but I wanted him to know I'm there for him for anything and everything. So, any advice from anyone would be great! 
I appreciate all your responses in advance. Have a wonderful night.
Edit: Spelling and grammar
</t>
        </is>
      </c>
      <c r="D401" t="n">
        <v>2</v>
      </c>
      <c r="E401" t="n">
        <v>2</v>
      </c>
      <c r="F401">
        <f>HYPERLINK("https://www.reddit.com/r/diabetes/comments/2muj7s/advice_for_a_son_whose_father_was_just_diagnosed/")</f>
        <v/>
      </c>
      <c r="G401" t="inlineStr">
        <is>
          <t>2014-11-19 20:49:33</t>
        </is>
      </c>
      <c r="H401" t="inlineStr">
        <is>
          <t>Type 2</t>
        </is>
      </c>
    </row>
    <row r="402">
      <c r="A402" t="inlineStr">
        <is>
          <t>2mupsl</t>
        </is>
      </c>
      <c r="B402" t="inlineStr">
        <is>
          <t>Making T1D affordable, where's the ultimate guide?</t>
        </is>
      </c>
      <c r="C402" t="inlineStr">
        <is>
          <t>I was diagnosed 3 years ago in my 20s with T1D and after an initial adjustment, I've had A1Cs all below 7, mostly below 6.  I don't anticipate (in the short-term) my T1 costing more than insulin, pump supplies, and a few extra doctor visits.  Is there a guide (besides the financial resources link in the sidebar) for managing T1 frugally?
In particular, US based, buying insurance through healthcare.gov</t>
        </is>
      </c>
      <c r="D402" t="n">
        <v>12</v>
      </c>
      <c r="E402" t="n">
        <v>6</v>
      </c>
      <c r="F402">
        <f>HYPERLINK("https://www.reddit.com/r/diabetes/comments/2mupsl/making_t1d_affordable_wheres_the_ultimate_guide/")</f>
        <v/>
      </c>
      <c r="G402" t="inlineStr">
        <is>
          <t>2014-11-19 22:02:38</t>
        </is>
      </c>
      <c r="H402" t="inlineStr">
        <is>
          <t>Type 1</t>
        </is>
      </c>
    </row>
    <row r="403">
      <c r="A403" t="inlineStr">
        <is>
          <t>2mvnkn</t>
        </is>
      </c>
      <c r="B403" t="inlineStr">
        <is>
          <t>Trying to work out after a long long break</t>
        </is>
      </c>
      <c r="C403" t="inlineStr">
        <is>
          <t xml:space="preserve">Im a 26 year old, have been type 1 diabetic since I was 7.
I took a long long exercise break (eating disorder and bad control) so Im trying to get my butt in shape, Ive a normal BMI but I want to get fit.
Here is where the problem come in I am on the pump but I get really low when I start doing my pilates. 
To day after 15 minutes Im  48.6(2.7),even tho I did lower my basal to 50% before. When I finished the 30 min work out couple of days last week and was 32.4(1.8). 
Do you have any advise on what I can do?
</t>
        </is>
      </c>
      <c r="D403" t="n">
        <v>7</v>
      </c>
      <c r="E403" t="n">
        <v>8</v>
      </c>
      <c r="F403">
        <f>HYPERLINK("https://www.reddit.com/r/diabetes/comments/2mvnkn/trying_to_work_out_after_a_long_long_break/")</f>
        <v/>
      </c>
      <c r="G403" t="inlineStr">
        <is>
          <t>2014-11-20 06:45:28</t>
        </is>
      </c>
      <c r="H403" t="inlineStr">
        <is>
          <t>Type 1</t>
        </is>
      </c>
    </row>
    <row r="404">
      <c r="A404" t="inlineStr">
        <is>
          <t>2mw0lo</t>
        </is>
      </c>
      <c r="B404" t="inlineStr">
        <is>
          <t>Low calorie, high carb hypo treatments?</t>
        </is>
      </c>
      <c r="C404" t="inlineStr">
        <is>
          <t>Got any?</t>
        </is>
      </c>
      <c r="D404" t="n">
        <v>2</v>
      </c>
      <c r="E404" t="n">
        <v>17</v>
      </c>
      <c r="F404">
        <f>HYPERLINK("https://www.reddit.com/r/diabetes/comments/2mw0lo/low_calorie_high_carb_hypo_treatments/")</f>
        <v/>
      </c>
      <c r="G404" t="inlineStr">
        <is>
          <t>2014-11-20 08:47:37</t>
        </is>
      </c>
      <c r="H404" t="inlineStr">
        <is>
          <t>Type 1</t>
        </is>
      </c>
    </row>
    <row r="405">
      <c r="A405" t="inlineStr">
        <is>
          <t>2mxn21</t>
        </is>
      </c>
      <c r="B405" t="inlineStr">
        <is>
          <t>Eye tests are in..... I've got retinopathy, how screwed am I?</t>
        </is>
      </c>
      <c r="C405" t="inlineStr">
        <is>
          <t xml:space="preserve">The tests say it's in the early stages and reversible with better blood sugar management.
I've been running high lately but my last A1C was a few months ago and 7.3.
Is this likely to turn me blind, is it treatable yet if it can't be reversed? 
Am I damaging my eye every time I go above 8mmol of BG? </t>
        </is>
      </c>
      <c r="D405" t="n">
        <v>22</v>
      </c>
      <c r="E405" t="n">
        <v>40</v>
      </c>
      <c r="F405">
        <f>HYPERLINK("https://www.reddit.com/r/diabetes/comments/2mxn21/eye_tests_are_in_ive_got_retinopathy_how_screwed/")</f>
        <v/>
      </c>
      <c r="G405" t="inlineStr">
        <is>
          <t>2014-11-20 16:44:29</t>
        </is>
      </c>
      <c r="H405" t="inlineStr">
        <is>
          <t>Type 1</t>
        </is>
      </c>
    </row>
    <row r="406">
      <c r="A406" t="inlineStr">
        <is>
          <t>2mz1cm</t>
        </is>
      </c>
      <c r="B406" t="inlineStr">
        <is>
          <t>Can I Change the Timing of My Metformin Dose? If So, How Would I?</t>
        </is>
      </c>
      <c r="C406" t="inlineStr">
        <is>
          <t xml:space="preserve">Hi Reddit, (to whom I owe the greatest of debts for the incredible support since my Type 2 dx.)
I am baffled by the way that my Metformin is working and I hope that you can help me with some suggestions?  I would be grateful.
I sleep in 2 shifts because of work schedule and taking care of my son.  I sleep from 6am until 11am - and then from 5pm until 6:30pm.  There is no way for me to change this unless it is to get less sleep.
I take 1000mg of Metformin at 11am, waking up with a fasting BG that has averaged 108 over the last month.  I then eat a Very Low Carb small meal to try and avoid a liver dump, not because I am hungry.  Things seem to stay fine with my BG throughout the day, so upon waking from my second sleep (I'm a Hobbit!) at 6:30pm my BG is good - averaging 95 over the last month - and then I immediately eat a VLCHF meal.  That is where the problem comes in.  My BG will raise dramatically in the next 90 minutes.  
Tonight, for example, I woke up at 6:30pm with a reading of 71 (my lowest ever-go me!)  I ate 1 cup of Romaine lettuce with 1/2 an avocado and Ranch salad dressing (I checked for carbs and sugar and it's fine.)  I then ate 1.5 cups of plain cooked ground beef with a 1/8th of a cup of cheddar cheese melted on top.  90 minutes later my BG was 114.  That's a 43 point spike.  
I realize it could be worse.  But I just don't understand why I get this reaction.
I take 1000mg of Metformin at about 1:00am.  Is there any way to manipulate the timing so that the Metformin is working better for my dinner meal?  Could I wake up at 6:30pm and take - perhaps 500mg of Metformin and then wait an hour to eat, and then take the other 500mg at 1am as usual?  That is the best I can come up with, but don't know if that is an option that's available.  I'm kind of at a loss.
I have been taking Metformin at this dose of 1000mg twice daily for 2 weeks.  I started on 500mg twice daily 6 weeks ago.  I was diagnosed about 4 months ago and have brought my A1c down from 8.9 to 6.9% (but I really messed up that first month so I know it's better now...had to give up Peanut Butter, and that hurt!)
Thanks for listening/any advice.  </t>
        </is>
      </c>
      <c r="D406" t="n">
        <v>1</v>
      </c>
      <c r="E406" t="n">
        <v>11</v>
      </c>
      <c r="F406">
        <f>HYPERLINK("https://www.reddit.com/r/diabetes/comments/2mz1cm/can_i_change_the_timing_of_my_metformin_dose_if/")</f>
        <v/>
      </c>
      <c r="G406" t="inlineStr">
        <is>
          <t>2014-11-21 01:55:55</t>
        </is>
      </c>
      <c r="H406" t="inlineStr">
        <is>
          <t>Type 2</t>
        </is>
      </c>
    </row>
    <row r="407">
      <c r="A407" t="inlineStr">
        <is>
          <t>2n2ehc</t>
        </is>
      </c>
      <c r="B407" t="inlineStr">
        <is>
          <t>Wanting to lose weight but don't know where to start.</t>
        </is>
      </c>
      <c r="C407" t="inlineStr">
        <is>
          <t xml:space="preserve">Hi, so i'm 5'7" and 225lbs. I need to get down to 170 so I need to lose 55lbs. I would like a good workout program but I have an issue. I'm still going through PT for shoulder surgery (2nd one) that I had back in August. I know that I can do running/cycling but I do not like doing the same things over and over again. I would like a variety to my workout routine. I already know my exercise percentage for reduction for workouts (30%) so I have that going for me. 
Also, if someone can suggest a good diet plan for me that would be great as well. Obviously, I haven't been following my carbs for my meals that I was given so is the original 40 carbs for breakfast, 70 lunch, 90 dinner with 15-20 carbs snacks in-between still viable or should I reduce this? Or should I just go onto a whole totally different kind of diet? 
I should also mention at this point whatever food that I need to get to start reducing my weight I will get. Any advice/help is more than welcomed! </t>
        </is>
      </c>
      <c r="D407" t="n">
        <v>5</v>
      </c>
      <c r="E407" t="n">
        <v>10</v>
      </c>
      <c r="F407">
        <f>HYPERLINK("https://www.reddit.com/r/diabetes/comments/2n2ehc/wanting_to_lose_weight_but_dont_know_where_to/")</f>
        <v/>
      </c>
      <c r="G407" t="inlineStr">
        <is>
          <t>2014-11-22 00:13:42</t>
        </is>
      </c>
      <c r="H407" t="inlineStr">
        <is>
          <t>Type 1</t>
        </is>
      </c>
    </row>
    <row r="408">
      <c r="A408" t="inlineStr">
        <is>
          <t>2n2euw</t>
        </is>
      </c>
      <c r="B408" t="inlineStr">
        <is>
          <t>Had a pretty fun diabetes day today.</t>
        </is>
      </c>
      <c r="C408" t="inlineStr">
        <is>
          <t>Went on a run at 4 pm and found my bg to be 415. 4 miles, 15 units, and 4 hours later bg is at 360. Changed infusion sight twice (first change had blood sucked up into the tubing) and the insulin. 1 hour later bg is at 65. Bring it up, commence pushups. Bg is back down at 55. As of writing this bg is at 65. Yay diabetes day.</t>
        </is>
      </c>
      <c r="D408" t="n">
        <v>6</v>
      </c>
      <c r="E408" t="n">
        <v>1</v>
      </c>
      <c r="F408">
        <f>HYPERLINK("https://www.reddit.com/r/diabetes/comments/2n2euw/had_a_pretty_fun_diabetes_day_today/")</f>
        <v/>
      </c>
      <c r="G408" t="inlineStr">
        <is>
          <t>2014-11-22 00:21:09</t>
        </is>
      </c>
      <c r="H408" t="inlineStr">
        <is>
          <t>Type 1</t>
        </is>
      </c>
    </row>
    <row r="409">
      <c r="A409" t="inlineStr">
        <is>
          <t>2n5m5p</t>
        </is>
      </c>
      <c r="B409" t="inlineStr">
        <is>
          <t>Freestyle Insulinx vs. Freestyle Libre/Optium. Which one is more reliable?</t>
        </is>
      </c>
      <c r="C409" t="inlineStr">
        <is>
          <t>Hi,
I have a Freestyle Insulinx and a Freestyle Libre. Libre works with Optium test strips. The thing is that Insulinx is giving me considerably lower readings than Libre when using test strips. If I'm 120 in Insulinx, I can be 150 or higher in Libre. Which one should I trust?</t>
        </is>
      </c>
      <c r="D409" t="n">
        <v>1</v>
      </c>
      <c r="E409" t="n">
        <v>2</v>
      </c>
      <c r="F409">
        <f>HYPERLINK("https://www.reddit.com/r/diabetes/comments/2n5m5p/freestyle_insulinx_vs_freestyle_libreoptium_which/")</f>
        <v/>
      </c>
      <c r="G409" t="inlineStr">
        <is>
          <t>2014-11-23 01:26:05</t>
        </is>
      </c>
      <c r="H409" t="inlineStr">
        <is>
          <t>Type 1</t>
        </is>
      </c>
    </row>
    <row r="410">
      <c r="A410" t="inlineStr">
        <is>
          <t>2n6lz7</t>
        </is>
      </c>
      <c r="B410" t="inlineStr">
        <is>
          <t>So I just came out of the ER for the second time in 4 days.</t>
        </is>
      </c>
      <c r="C410" t="inlineStr">
        <is>
          <t xml:space="preserve">This has never happened to me before, but suddenly my sugars are up the roof. On thursday I woke up with the meter telling me that it's above 600, went to the ER got treated and released. Found out the actual number was 640. Then today, woke up, same thing, went to the ER, found out it was at 750! 
All of this was with the use of a pump. And even usually when I for some reason eat dinner without a pump, it's not even remotely close to this.
Anyone have any idea what's going on? Of course the people at the Israeli ER wouldn't know much, especially since they've never seen the Medtronic Minimed before. </t>
        </is>
      </c>
      <c r="D410" t="n">
        <v>10</v>
      </c>
      <c r="E410" t="n">
        <v>21</v>
      </c>
      <c r="F410">
        <f>HYPERLINK("https://www.reddit.com/r/diabetes/comments/2n6lz7/so_i_just_came_out_of_the_er_for_the_second_time/")</f>
        <v/>
      </c>
      <c r="G410" t="inlineStr">
        <is>
          <t>2014-11-23 10:19:02</t>
        </is>
      </c>
      <c r="H410" t="inlineStr">
        <is>
          <t>Type 1</t>
        </is>
      </c>
    </row>
    <row r="411">
      <c r="A411" t="inlineStr">
        <is>
          <t>2n77rf</t>
        </is>
      </c>
      <c r="B411" t="inlineStr">
        <is>
          <t>Tooth infection and blood sugar control</t>
        </is>
      </c>
      <c r="C411" t="inlineStr">
        <is>
          <t>I have a tooth infection that needs a root canal, and won't be able to get into the endodontist for another week. My blood sugars have been crazy. I've mostly been eating soup and other soft foods. 
Is there anything I can do about this situation? My doctor said high blood sugar with infections was just something that happens and to not worry unless it's like 230+ , but I feel terrible and I'm drinking water like a fish.
This morning I got up, ate scambled eggs, and then slept all day. When I woke up my blood sugar was 150, and I'm sure I slept all day from it being high.
Is there anything I can do about this? Should I take more metformin or is this just how it's going to be until the infection is cleared up?</t>
        </is>
      </c>
      <c r="D411" t="n">
        <v>4</v>
      </c>
      <c r="E411" t="n">
        <v>10</v>
      </c>
      <c r="F411">
        <f>HYPERLINK("https://www.reddit.com/r/diabetes/comments/2n77rf/tooth_infection_and_blood_sugar_control/")</f>
        <v/>
      </c>
      <c r="G411" t="inlineStr">
        <is>
          <t>2014-11-23 13:36:06</t>
        </is>
      </c>
      <c r="H411" t="inlineStr">
        <is>
          <t>Type 2</t>
        </is>
      </c>
    </row>
    <row r="412">
      <c r="A412" t="inlineStr">
        <is>
          <t>2n784a</t>
        </is>
      </c>
      <c r="B412" t="inlineStr">
        <is>
          <t>My grandmother is in excruciating leg pain. What can i do to help?</t>
        </is>
      </c>
      <c r="C412" t="inlineStr">
        <is>
          <t>My grandmother was recently diagnosed with congestive heart failure and was diagnosed with diabetes a couple years back. I assume that makes it Type 2?
She has a long laundry list of pills that she needs to take.
And because of the excess fluid in her system she needs to take a lot of water pills, but its still not enough to drain the fluids
I guess it has no where else to go, so gravity pushes it down to her legs.
Because of this, she has countless open sores and is in excruciating pain
I would post a picture, but i dont think i have to
She has a nurse who comes to the house several times a week to put ointments on her legs and wrap them up, however she says that the ointments burn and therefore gets extremely nervous when the nurse comes by so its causing even more issues. 
Any tips for someone who has no real understanding of whats going on? (my aunt and mother are her primary caretakers)
What should i be looking for?
What can we do for her? is CHF + D a "perfect storm" with no solution? 
What can i do to help her pain/wounds?
This is a big ask, and i would appreciate any information you can share
Thank you very much - sorry if this is the wrong subreddit</t>
        </is>
      </c>
      <c r="D412" t="n">
        <v>2</v>
      </c>
      <c r="E412" t="n">
        <v>5</v>
      </c>
      <c r="F412">
        <f>HYPERLINK("https://www.reddit.com/r/diabetes/comments/2n784a/my_grandmother_is_in_excruciating_leg_pain_what/")</f>
        <v/>
      </c>
      <c r="G412" t="inlineStr">
        <is>
          <t>2014-11-23 13:39:29</t>
        </is>
      </c>
      <c r="H412" t="inlineStr">
        <is>
          <t>Type 2</t>
        </is>
      </c>
    </row>
    <row r="413">
      <c r="A413" t="inlineStr">
        <is>
          <t>2n8fs7</t>
        </is>
      </c>
      <c r="B413" t="inlineStr">
        <is>
          <t>representation for t2d?</t>
        </is>
      </c>
      <c r="C413" t="inlineStr">
        <is>
          <t>in all i think diabetes needs to be talked about more and i feel like there should be more support for both. sometimes i feel like type 2 people are the butt of a lot of jokes and when people talk all the time about " i have diabetes and im not fat" makes me feel like disgusting because i am overweight and i have diabetes. there are other factors of getting type 2 other than being over weight. 
ive looked through tumbler and reddit and all i see are posts about type 1. i just want to see a few positive posts about type 2.</t>
        </is>
      </c>
      <c r="D413" t="n">
        <v>1</v>
      </c>
      <c r="E413" t="n">
        <v>2</v>
      </c>
      <c r="F413">
        <f>HYPERLINK("https://www.reddit.com/r/diabetes/comments/2n8fs7/representation_for_t2d/")</f>
        <v/>
      </c>
      <c r="G413" t="inlineStr">
        <is>
          <t>2014-11-23 20:42:34</t>
        </is>
      </c>
      <c r="H413" t="inlineStr">
        <is>
          <t>Type 2</t>
        </is>
      </c>
    </row>
    <row r="414">
      <c r="A414" t="inlineStr">
        <is>
          <t>2n9hst</t>
        </is>
      </c>
      <c r="B414" t="inlineStr">
        <is>
          <t>Any advice? Type 1 Juvenile, low carb diet.</t>
        </is>
      </c>
      <c r="C414" t="inlineStr">
        <is>
          <t>Really long story a bit shorter! 
Our 4yr old daughter was diagnosed with T1 back in June. Here in Australia, we are all told to feed our kids a high carb diet. We left hospital with a diet plan that had us giving her between 8 &amp;amp; 11 exchanges of carbs per day (an exchange being 15g of carbs). Since then we have been battling with constant highs and lows, due to honeymooning, growth spurts, exercise, the heat etc etc. The constant ups and downs were really affecting her behaviour, emotionally and physically. I started giving her no carb lunches every now and then to give her a break and always noticed how good her levels would be. I've spent since June reading everything I can on here and I kept seeing so many people  who are on low carb diets and how many have such tight control, I researched as much as I could and we decided as a family to try a low carb diet. We have been doing it for the last 2 weeks now and her levels have been amazing, she has gone from having several highs and lows a day, to having a couple a week. She was on 3 units of Levimer twice and day and 0.5 units of NovaRapid per exchange of carbs. We are now down to 1 unit of Levimer twice a day and we have only had to correct her twice due to a small high (10.6 &amp;amp; 10.3). We can't really talk to our endocrinologist about it, as no one here really supports a low carb diet, especially for children. Has anyone here put there Type 1 kids on a low carb diet? Any advice? Do we have to worry about keytones or will her Levemir be enough to deal with them (she normally sits at 0.1 &amp;amp; is 0.4 currently)?
Thank you from down under!</t>
        </is>
      </c>
      <c r="D414" t="n">
        <v>1</v>
      </c>
      <c r="E414" t="n">
        <v>22</v>
      </c>
      <c r="F414">
        <f>HYPERLINK("https://www.reddit.com/r/diabetes/comments/2n9hst/any_advice_type_1_juvenile_low_carb_diet/")</f>
        <v/>
      </c>
      <c r="G414" t="inlineStr">
        <is>
          <t>2014-11-24 06:06:21</t>
        </is>
      </c>
      <c r="H414" t="inlineStr">
        <is>
          <t>Type 1</t>
        </is>
      </c>
    </row>
    <row r="415">
      <c r="A415" t="inlineStr">
        <is>
          <t>2nacb2</t>
        </is>
      </c>
      <c r="B415" t="inlineStr">
        <is>
          <t>Early Christmas Present from Rite Aid Pharmacist to a broke T1 Parent.</t>
        </is>
      </c>
      <c r="C415" t="inlineStr">
        <is>
          <t>EDIT:  Thank you for the support.  I do have to say that it was my fault for doing a piss poor job of managing supplies/money.  It just happened to be a perfect storm of circumstances.  On that note, wouldn't it be great to set up a lending/giving library of supplies in your area?  
I wonder how I could go about doing this, and I wonder if it is legal.
First I wanted to say that my daughter is 7 and diagnosed last year.  We are on top of her sugar numbers usually and this forum has helped me and my wife (and daughter) a number of times over this past year--thank you.
Anyway, today I went to get another bottle of test strips for my daughter before going to school.  I grabbed the last box, only to find it empty.  I looked in her current bottle and see three strips.
I had already set up the insurance to send the supplies and they are coming on Wednesday or Friday.  (since this time they are overnighting them to us tomorrow).  Regardless, she is out of strips and I am broke, I have no credit cards.
I call the doc and they say they can fill a script for them.  Great! I say!  I go to the pharmacy to pick them up, thinking insurance will cover...nope, $430 that I don't have. BTW this doctor is an hour away from us, and my general doc is out of town atm.  I was hoping she'd have some trial boxes she could let me have.
I ask the pharmacist to cancel and ask her if she knows of where I can pick some up.  I explain my situation that I am desperate (I actually was going to risk stealing them but they keep them behind the counter).  I ask if it was worth stopping at the emergency room or quick care place.  She takes me aside and says to the coworker, "I want you to witness this:  I want to buy these for him"  I tell her, "No thank you.  I still can check elsewhere, you do not have to do this."  She says, "Merry Christmas" and hands them to me.  
Well, I am a burly guy weighing 270 pounds with a big grizzly beard, and tears came to my eyes immediately.  She saw and teared up as well.  I thanked her profusely and walked out, feeling great but guilty.   I forgot to ask for her name but I will never forget her.
I just wanted to thank the lady in the Rite Aid in Wooster, OH for her generosity.  I will pay you back as soon as I can, and pay it forward as well.
Speaking of which I have about 3 boxes of hypos if anyone needs them.  PM me.</t>
        </is>
      </c>
      <c r="D415" t="n">
        <v>45</v>
      </c>
      <c r="E415" t="n">
        <v>19</v>
      </c>
      <c r="F415">
        <f>HYPERLINK("https://www.reddit.com/r/diabetes/comments/2nacb2/early_christmas_present_from_rite_aid_pharmacist/")</f>
        <v/>
      </c>
      <c r="G415" t="inlineStr">
        <is>
          <t>2014-11-24 10:45:49</t>
        </is>
      </c>
      <c r="H415" t="inlineStr">
        <is>
          <t>Type 1</t>
        </is>
      </c>
    </row>
    <row r="416">
      <c r="A416" t="inlineStr">
        <is>
          <t>2ncd82</t>
        </is>
      </c>
      <c r="B416" t="inlineStr">
        <is>
          <t>A message I received last night from my uncle &amp;gt;:(</t>
        </is>
      </c>
      <c r="C416" t="inlineStr">
        <is>
          <t>I have a crazy uncle who often goes on political rants on Facebook. Most of the family has learned to ignore him, but last night he sent me the following message. Normally I would Ignore him too, but this one just set me off....
"Hi [DJ_DiabeatZ]! Posting a link here that I'm hoping you'll watch. A drastic change in your diet may find the cure for your diabetes and give you decades of great health. You have nothing to lose and everything to gain if you tried this for a year. Please watch this!
http://youtu.be/cONYR7vAD-A"
As a background, I am T1. I'm 23 and have always been very healthy.</t>
        </is>
      </c>
      <c r="D416" t="n">
        <v>1</v>
      </c>
      <c r="E416" t="n">
        <v>13</v>
      </c>
      <c r="F416">
        <f>HYPERLINK("https://www.reddit.com/r/diabetes/comments/2ncd82/a_message_i_received_last_night_from_my_uncle/")</f>
        <v/>
      </c>
      <c r="G416" t="inlineStr">
        <is>
          <t>2014-11-24 21:20:15</t>
        </is>
      </c>
      <c r="H416" t="inlineStr">
        <is>
          <t>Type 1</t>
        </is>
      </c>
    </row>
    <row r="417">
      <c r="A417" t="inlineStr">
        <is>
          <t>2ndk09</t>
        </is>
      </c>
      <c r="B417" t="inlineStr">
        <is>
          <t>I can't handle carbs, seriously. Help?</t>
        </is>
      </c>
      <c r="C417" t="inlineStr">
        <is>
          <t xml:space="preserve">I've been for almost three years on a ketogenic diet, with less than 20 gr of carbohydrate a day. My control so far has been great, but I've been feling depressed and weak for the last year. During my research, I've discovered that some people see their serotonin levels affected by low carb diets.
I went on a slightly carbier diet (100 gr. a day) and had great results. I was feeling happy again, my energy wasn't crashing during the day and I wasn't feeling ravenously hungry. Went back to low carb because I thought my blood sugar was harder to control, but the symptoms of mild depression and weakness came back again. Anxiety got pretty bad. 
I need to eat 80-100gr of carbs a day to stay happy. But the thing is that I'm going from 2 units of Humalog a meal to 15 units for 50gr of carbs. My blood sugar is UNCONTROLLABLE. I haven't gone past 250 mg/dl 2 hours after a meal yet, but I'm around 200 most of the time. My rapid needs have tripled and keep going up. I don't know how to control it and I don't know if it has something to do with my basal needs. 
I'm eating fiber and fat with every meal but it doesn't help. 
Can anybody help me? Thanks.
</t>
        </is>
      </c>
      <c r="D417" t="n">
        <v>4</v>
      </c>
      <c r="E417" t="n">
        <v>13</v>
      </c>
      <c r="F417">
        <f>HYPERLINK("https://www.reddit.com/r/diabetes/comments/2ndk09/i_cant_handle_carbs_seriously_help/")</f>
        <v/>
      </c>
      <c r="G417" t="inlineStr">
        <is>
          <t>2014-11-25 07:04:41</t>
        </is>
      </c>
      <c r="H417" t="inlineStr">
        <is>
          <t>Type 1</t>
        </is>
      </c>
    </row>
    <row r="418">
      <c r="A418" t="inlineStr">
        <is>
          <t>2nesdf</t>
        </is>
      </c>
      <c r="B418" t="inlineStr">
        <is>
          <t>Struggling with Alternative Pump Sites (T1)</t>
        </is>
      </c>
      <c r="C418" t="inlineStr">
        <is>
          <t>Hi all,
After about 14 years on my pump I am finding that I am having more and more problems with absorption on my sites. I am using my torso, love handles and rotating fairly well, but still am finding that every 4th or 5th set that I will just need more insulin than otherwise.
I tried my right thigh a few weeks ago (shaved the hair first in a small area) and it did not go well - my numbers skyrocketed and it seemed like none of the insulin was absorbing.
Which other sites have worked for you guys? FWIW - I am male, about 5'11"/170lbs, with relatively little body fat.</t>
        </is>
      </c>
      <c r="D418" t="n">
        <v>1</v>
      </c>
      <c r="E418" t="n">
        <v>11</v>
      </c>
      <c r="F418">
        <f>HYPERLINK("https://www.reddit.com/r/diabetes/comments/2nesdf/struggling_with_alternative_pump_sites_t1/")</f>
        <v/>
      </c>
      <c r="G418" t="inlineStr">
        <is>
          <t>2014-11-25 13:07:01</t>
        </is>
      </c>
      <c r="H418" t="inlineStr">
        <is>
          <t>Type 1</t>
        </is>
      </c>
    </row>
    <row r="419">
      <c r="A419" t="inlineStr">
        <is>
          <t>2nhubj</t>
        </is>
      </c>
      <c r="B419" t="inlineStr">
        <is>
          <t>T2: Doc suggests pump. What to do?</t>
        </is>
      </c>
      <c r="C419" t="inlineStr">
        <is>
          <t xml:space="preserve">I'm injecting 60-80 Lantus and 120+ Novolog every day. My internist recommends a pump, says his T2 patients who have switched are all happy with the change.
I have pretty good insurance coverage for either option but I'm leery. Why would I not want to switch to a pump? 
</t>
        </is>
      </c>
      <c r="D419" t="n">
        <v>2</v>
      </c>
      <c r="E419" t="n">
        <v>10</v>
      </c>
      <c r="F419">
        <f>HYPERLINK("https://www.reddit.com/r/diabetes/comments/2nhubj/t2_doc_suggests_pump_what_to_do/")</f>
        <v/>
      </c>
      <c r="G419" t="inlineStr">
        <is>
          <t>2014-11-26 09:44:17</t>
        </is>
      </c>
      <c r="H419" t="inlineStr">
        <is>
          <t>Type 2</t>
        </is>
      </c>
    </row>
    <row r="420">
      <c r="A420" t="inlineStr">
        <is>
          <t>2nidm0</t>
        </is>
      </c>
      <c r="B420" t="inlineStr">
        <is>
          <t>Thinner people, infusion set sites?</t>
        </is>
      </c>
      <c r="C420" t="inlineStr">
        <is>
          <t>Hey guys and gals,
Just started on my pump last week and did my second set change this morning...finding it hard to find places to put them...Arms and legs seem like meh...everywhere else is like...bone. Lol
I also use a Dexcom so the possible spots are even less.
Any ideas?</t>
        </is>
      </c>
      <c r="D420" t="n">
        <v>3</v>
      </c>
      <c r="E420" t="n">
        <v>8</v>
      </c>
      <c r="F420">
        <f>HYPERLINK("https://www.reddit.com/r/diabetes/comments/2nidm0/thinner_people_infusion_set_sites/")</f>
        <v/>
      </c>
      <c r="G420" t="inlineStr">
        <is>
          <t>2014-11-26 12:24:36</t>
        </is>
      </c>
      <c r="H420" t="inlineStr">
        <is>
          <t>Type 1</t>
        </is>
      </c>
    </row>
    <row r="421">
      <c r="A421" t="inlineStr">
        <is>
          <t>2njsmn</t>
        </is>
      </c>
      <c r="B421" t="inlineStr">
        <is>
          <t>Diabetes and Thanksgiving.</t>
        </is>
      </c>
      <c r="C421" t="inlineStr">
        <is>
          <t>This is my first Thanksgiving since starting 4X daily insulin shots. (Novalog) I've been told by my diabetes educator that on special days where I'm going to eat, shall we say, differently, that it's ok to take a couple of extra units.
Anyone ever done this before?</t>
        </is>
      </c>
      <c r="D421" t="n">
        <v>1</v>
      </c>
      <c r="E421" t="n">
        <v>11</v>
      </c>
      <c r="F421">
        <f>HYPERLINK("https://www.reddit.com/r/diabetes/comments/2njsmn/diabetes_and_thanksgiving/")</f>
        <v/>
      </c>
      <c r="G421" t="inlineStr">
        <is>
          <t>2014-11-26 20:42:24</t>
        </is>
      </c>
      <c r="H421" t="inlineStr">
        <is>
          <t>Type 2</t>
        </is>
      </c>
    </row>
    <row r="422">
      <c r="A422" t="inlineStr">
        <is>
          <t>2njwn5</t>
        </is>
      </c>
      <c r="B422" t="inlineStr">
        <is>
          <t>Any idea why my blood sugar drops when I eat sugary foods?</t>
        </is>
      </c>
      <c r="C422" t="inlineStr">
        <is>
          <t>I was diagnosed with diabetes type 2 and put on metformin early in November. I've been changing my diet since then and trying to eat healthy food. This is the second time I've had a significant drop in my daily blood sugar measurements after eating desert. Why not just eat more sugar if this is the result? It would seem so much easier that way, heh.</t>
        </is>
      </c>
      <c r="D422" t="n">
        <v>1</v>
      </c>
      <c r="E422" t="n">
        <v>4</v>
      </c>
      <c r="F422">
        <f>HYPERLINK("https://www.reddit.com/r/diabetes/comments/2njwn5/any_idea_why_my_blood_sugar_drops_when_i_eat/")</f>
        <v/>
      </c>
      <c r="G422" t="inlineStr">
        <is>
          <t>2014-11-26 21:26:47</t>
        </is>
      </c>
      <c r="H422" t="inlineStr">
        <is>
          <t>Type 2</t>
        </is>
      </c>
    </row>
    <row r="423">
      <c r="A423" t="inlineStr">
        <is>
          <t>2nkiml</t>
        </is>
      </c>
      <c r="B423" t="inlineStr">
        <is>
          <t>To type 1 diabetics out there...how much of a problem is not being able to feel full?</t>
        </is>
      </c>
      <c r="C423" t="inlineStr">
        <is>
          <t>I know that diabetes makes us produce less or no amylin, which is responsible for making us feeling full after a meal. I feel I've been struggling with this for years. I'm very skinny, but since I tend to feel very hungry and I don't know where to stop with my meals, calorie variations between days makes my insulin sensitivy fluctuate very often. I also feel anxiety towards food. I've thought of asking my doctor for Victoza, and I'm also cutting on artificial sweeteners. Problem is that I'm so skinny that I can't afford losing any more weight on Victoza.
How do you deal with this?</t>
        </is>
      </c>
      <c r="D423" t="n">
        <v>4</v>
      </c>
      <c r="E423" t="n">
        <v>23</v>
      </c>
      <c r="F423">
        <f>HYPERLINK("https://www.reddit.com/r/diabetes/comments/2nkiml/to_type_1_diabetics_out_therehow_much_of_a/")</f>
        <v/>
      </c>
      <c r="G423" t="inlineStr">
        <is>
          <t>2014-11-27 02:50:43</t>
        </is>
      </c>
      <c r="H423" t="inlineStr">
        <is>
          <t>Type 1</t>
        </is>
      </c>
    </row>
    <row r="424">
      <c r="A424" t="inlineStr">
        <is>
          <t>2nn2qk</t>
        </is>
      </c>
      <c r="B424" t="inlineStr">
        <is>
          <t>Experience with 'Nightscout Project' CGM Open source?</t>
        </is>
      </c>
      <c r="C424" t="inlineStr">
        <is>
          <t>I just came across the [Nightscout Project](http://www.nightscout.info) this evening... An open source platform that allows real time access to a Dexcom G4 CGM via the Cloud, smart phone app, etc.
I haven't looked into it too much yet to understand all the technicalities, but it looks really cool, and even has a Pebble watch app available.
Just curious if anyone has experience with this or other similar projects that are out there?</t>
        </is>
      </c>
      <c r="D424" t="n">
        <v>4</v>
      </c>
      <c r="E424" t="n">
        <v>8</v>
      </c>
      <c r="F424">
        <f>HYPERLINK("https://www.reddit.com/r/diabetes/comments/2nn2qk/experience_with_nightscout_project_cgm_open_source/")</f>
        <v/>
      </c>
      <c r="G424" t="inlineStr">
        <is>
          <t>2014-11-27 20:54:00</t>
        </is>
      </c>
      <c r="H424" t="inlineStr">
        <is>
          <t>Type 1</t>
        </is>
      </c>
    </row>
    <row r="425">
      <c r="A425" t="inlineStr">
        <is>
          <t>2nqykc</t>
        </is>
      </c>
      <c r="B425" t="inlineStr">
        <is>
          <t>I can't hang out with diabetics anymore since I went low carb</t>
        </is>
      </c>
      <c r="C425" t="inlineStr">
        <is>
          <t>You know, I'm pretty introvert about my diabetes. I hate explaining to ''healthy'' people that I'm diabetic and I enjoy taking care of myself. That's the reason I used to be in contact with diabetic associations. You know, helping the kids and their parents, sharing tips, hanging out with other people that have daily struggles similar as yours. 
But since I eat a low carb diet, I can't do it anymore. I see them eating +300g of carbs a day and injecting crazy amounts of insulin just to go from sky high to deathly low in a matter of hours. I want to tell them diabetes is not that complicated and diabetic complications are not that normal, but if I tell them I survive on mostly protein and fat, they'll look at me and tell me that I'm crazy or about to die. Therefore, I don't know any diabetics anymore. And not being able to contact other diabetics makes me feel shitty. I live in a european country where low carb diets are non-existent. 
Anyone struggling with this too?</t>
        </is>
      </c>
      <c r="D425" t="n">
        <v>10</v>
      </c>
      <c r="E425" t="n">
        <v>42</v>
      </c>
      <c r="F425">
        <f>HYPERLINK("https://www.reddit.com/r/diabetes/comments/2nqykc/i_cant_hang_out_with_diabetics_anymore_since_i/")</f>
        <v/>
      </c>
      <c r="G425" t="inlineStr">
        <is>
          <t>2014-11-29 02:32:34</t>
        </is>
      </c>
      <c r="H425" t="inlineStr">
        <is>
          <t>Type 1</t>
        </is>
      </c>
    </row>
    <row r="426">
      <c r="A426" t="inlineStr">
        <is>
          <t>2nrvsv</t>
        </is>
      </c>
      <c r="B426" t="inlineStr">
        <is>
          <t>Does anyone else find it difficult to balance diabetes, school, and work all at once?</t>
        </is>
      </c>
      <c r="C426" t="inlineStr">
        <is>
          <t>I feel extremely overwhelmed with caring for my diabetes and mental illness, going to multiple appointments every week, going to school, and working a part-time job. I'm thinking about quitting because my blood sugars and mental health have been out of whack for over a month now. 
Does anyone else find that they can't work and go to school at the same time? I feel like other diabetics can handle these things better than myself, I guess I'm just looking to see if there's anyone else like me. 
I guess what I'd really like to know is if anyone else thinks I'm right in saying that working a part-time job and going to school is affecting my health in a bad way. I know that I want to quit, but I'm having anxiety about it because I feel guilty about leaving my job (like I'm a disappointment to my family and friends) and also because I know a lot of diabetics who seem to be able to handle all of this and I don't know why I can't. 
My diabetes nurse told me "Don't take on too much" when I told her I got a job, but I don't know how to tell if this is too much. 
Basic Info:
* 20 y/o T1 Woman w/ a pump (average about 18.8 hrs a week spent on diabetes care; I learned this while applying for a disability tax credit)
* Quit high school, but now attending an adult high school program for people with mental illness (about 25 hrs a week)
* Working 16 hrs a week and sometimes 20 hrs when my manager messes up the schedule, but I honestly find even 16 to be too much and that's the lowest me work is supposed to offer.
* I put in my two weeks notice on Wednesday and my manager contacted me yesterday to offer me 12 hrs a week instead of 16 hrs. My main concern is that I will still find 12 hrs too overwhelming or that she will mess up and give me 16 hrs every other week. I believe I'm still going to quit.
* I'm introverted and need a lot of alone time to recover, but also enjoy seeing my friends a few times a week and haven't had the energy to do so since getting a job while going to school
* I had a routine that kept me healthy (yoga, eating well, reading, socializing, doing homework, drinking tea: things that make me happy and healthy) but since getting a job I've stopped doing all but drinking tea
* I used to care a lot about what I ate and how often I checked my blood sugars, but now I find myself "forgetting" to check more often and eating crap food all the time just because it means more time to relax. My blood sugars and A1C are creeping up
* I feel like I'm in the middle of a break down, I'm crying constantly, I'm picking fights with my parents and boyfriend, I don't feel like getting out of bed or doing anything really
* I have a crazy amount of appointments every week. I see a psychologist every 2 weeks, a couples counselor every 2 weeks, a psychiatrist every month, a physiotherapist every 2 weeks, I'm in and out of my GP's office due to birth control pill issues, I get massages every 2-3 weeks for tight muscles (it is relaxing, but it's another appointment that I can't miss). All of these appointments plus dental, optometry, diabetes clinic, and any other random ones that come up. It adds up. 
If you even tried to read all of this, thank you so much. I appreciate anyone having a look at my post and trying to help.
Edited: Formatting</t>
        </is>
      </c>
      <c r="D426" t="n">
        <v>9</v>
      </c>
      <c r="E426" t="n">
        <v>12</v>
      </c>
      <c r="F426">
        <f>HYPERLINK("https://www.reddit.com/r/diabetes/comments/2nrvsv/does_anyone_else_find_it_difficult_to_balance/")</f>
        <v/>
      </c>
      <c r="G426" t="inlineStr">
        <is>
          <t>2014-11-29 10:24:42</t>
        </is>
      </c>
      <c r="H426" t="inlineStr">
        <is>
          <t>Type 1</t>
        </is>
      </c>
    </row>
    <row r="427">
      <c r="A427" t="inlineStr">
        <is>
          <t>2nskvy</t>
        </is>
      </c>
      <c r="B427" t="inlineStr">
        <is>
          <t>Conducing a small questionnaire for a university project</t>
        </is>
      </c>
      <c r="C427" t="inlineStr">
        <is>
          <t>I am looking for people who suffer from type 1 diabetes to answer 8 questions for a research study that I conducting for a university project. All collected data will be used for study purposes only to preserve anonymity and confidentiality.Anyone interested message me please.</t>
        </is>
      </c>
      <c r="D427" t="n">
        <v>4</v>
      </c>
      <c r="E427" t="n">
        <v>8</v>
      </c>
      <c r="F427">
        <f>HYPERLINK("https://www.reddit.com/r/diabetes/comments/2nskvy/conducing_a_small_questionnaire_for_a_university/")</f>
        <v/>
      </c>
      <c r="G427" t="inlineStr">
        <is>
          <t>2014-11-29 14:37:30</t>
        </is>
      </c>
      <c r="H427" t="inlineStr">
        <is>
          <t>Type 1</t>
        </is>
      </c>
    </row>
    <row r="428">
      <c r="A428" t="inlineStr">
        <is>
          <t>2nxn8m</t>
        </is>
      </c>
      <c r="B428" t="inlineStr">
        <is>
          <t>Trying to take testing more seriously. Anybody have any tips?</t>
        </is>
      </c>
      <c r="C428" t="inlineStr">
        <is>
          <t>I've been type 1 most of my life, I've always been relatively under control but never in good control. Probably the biggest reason for that is not testing nearly enough. I have a habit of going days and sometimes weeks without testing. (hold the gasps, I know it's stupid) wondering if anyone has any tips for building up better habits.</t>
        </is>
      </c>
      <c r="D428" t="n">
        <v>1</v>
      </c>
      <c r="E428" t="n">
        <v>10</v>
      </c>
      <c r="F428">
        <f>HYPERLINK("https://www.reddit.com/r/diabetes/comments/2nxn8m/trying_to_take_testing_more_seriously_anybody/")</f>
        <v/>
      </c>
      <c r="G428" t="inlineStr">
        <is>
          <t>2014-12-01 04:11:40</t>
        </is>
      </c>
      <c r="H428" t="inlineStr">
        <is>
          <t>Type 1</t>
        </is>
      </c>
    </row>
    <row r="429">
      <c r="A429" t="inlineStr">
        <is>
          <t>2nyan8</t>
        </is>
      </c>
      <c r="B429" t="inlineStr">
        <is>
          <t>does brushing your teeth effect your bg?</t>
        </is>
      </c>
      <c r="C429" t="inlineStr">
        <is>
          <t>dumb question but thought i would ask. i usually wait to brush my teeth till after i test but does it even matter?</t>
        </is>
      </c>
      <c r="D429" t="n">
        <v>3</v>
      </c>
      <c r="E429" t="n">
        <v>5</v>
      </c>
      <c r="F429">
        <f>HYPERLINK("https://www.reddit.com/r/diabetes/comments/2nyan8/does_brushing_your_teeth_effect_your_bg/")</f>
        <v/>
      </c>
      <c r="G429" t="inlineStr">
        <is>
          <t>2014-12-01 08:43:16</t>
        </is>
      </c>
      <c r="H429" t="inlineStr">
        <is>
          <t>Type 2</t>
        </is>
      </c>
    </row>
    <row r="430">
      <c r="A430" t="inlineStr">
        <is>
          <t>2nyjvl</t>
        </is>
      </c>
      <c r="B430" t="inlineStr">
        <is>
          <t>I know this isn't important to most, but it's extremely important to me: Please, sign the petition to end diabetic discrimination in the military.</t>
        </is>
      </c>
      <c r="C430" t="inlineStr">
        <is>
          <t>Unfortunately, I'm only noticing this with 2 weeks left on the petition. I was diagnosed T1 in December 2013, 6 months before graduating college where I would have gone OTS for the USAF. I'm currently a contractor for a company for Air Force Weather, but it's my dream to be in the Air Force some day. Please, sign, share, do anything you can (if you feel so inclined). It'd mean the world to me and so many others.       
https://petitions.whitehouse.gov/petition/end-discrimination-against-type-1-diabetics-united-states-military/wXpVzVZf</t>
        </is>
      </c>
      <c r="D430" t="n">
        <v>0</v>
      </c>
      <c r="E430" t="n">
        <v>15</v>
      </c>
      <c r="F430">
        <f>HYPERLINK("https://www.reddit.com/r/diabetes/comments/2nyjvl/i_know_this_isnt_important_to_most_but_its/")</f>
        <v/>
      </c>
      <c r="G430" t="inlineStr">
        <is>
          <t>2014-12-01 10:01:37</t>
        </is>
      </c>
      <c r="H430" t="inlineStr">
        <is>
          <t>Type 1</t>
        </is>
      </c>
    </row>
    <row r="431">
      <c r="A431" t="inlineStr">
        <is>
          <t>2nytgs</t>
        </is>
      </c>
      <c r="B431" t="inlineStr">
        <is>
          <t>Can't stabilize my morning sugars</t>
        </is>
      </c>
      <c r="C431" t="inlineStr">
        <is>
          <t>I was diagnosed with T1 in August this year...  started off on a sliding scale out of the hospital and quickly switched to carb counting once I got an appointment with a dietitian at my local clinic.  I had relatively decent control (was averaging 7.4 mmol/L).  Recently I noticed I've needed to drastically increase my dose for breakfast (dawn phenomenon?)...
I went from 2 units for breakfast (same breakfast every morning: blueberries, plain yogurt, muesli) which used to be perfect, to 4u, to 6u, to 8u, up to 10 units this morning (again, eating the exact same thing).  And my blood sugar 2h after eating is 15.2 mmol/L.  What is going on???  I haven't had to make adjustments to injections for lunch or dinner and I've kept my long-acting injections the same (6u @ 10am, 6u @ 10pm).  I'm on Apidra and Levemir, in case that matters to anyone...
I've also been sick for over a week (first time being ill since diagnosis) - how does this typically affect diabetics?  Do you guys have home test kits for ketones?
e: update in comments</t>
        </is>
      </c>
      <c r="D431" t="n">
        <v>1</v>
      </c>
      <c r="E431" t="n">
        <v>15</v>
      </c>
      <c r="F431">
        <f>HYPERLINK("https://www.reddit.com/r/diabetes/comments/2nytgs/cant_stabilize_my_morning_sugars/")</f>
        <v/>
      </c>
      <c r="G431" t="inlineStr">
        <is>
          <t>2014-12-01 11:21:26</t>
        </is>
      </c>
      <c r="H431" t="inlineStr">
        <is>
          <t>Type 1</t>
        </is>
      </c>
    </row>
    <row r="432">
      <c r="A432" t="inlineStr">
        <is>
          <t>2nzll1</t>
        </is>
      </c>
      <c r="B432" t="inlineStr">
        <is>
          <t>New T2 and I'm confused.</t>
        </is>
      </c>
      <c r="C432" t="inlineStr">
        <is>
          <t>I was diagnosed last week and made a post about it. I'm 28 and my BMI is 28 so we were all kind of surprised about this. Anyway, I've been tracking my CBG before meals three times a day and for the last couple days I've been bouncing around a lot. I'll wake up around 110-120 then be somewhere around 70-80 before lunch and then 130-140 before dinner. Today it was the opposite. I was 75 prior to lunch and I'm 133 before dinner. Is it normal to be all over the place like this or is there something I should be doing differently?</t>
        </is>
      </c>
      <c r="D432" t="n">
        <v>1</v>
      </c>
      <c r="E432" t="n">
        <v>27</v>
      </c>
      <c r="F432">
        <f>HYPERLINK("https://www.reddit.com/r/diabetes/comments/2nzll1/new_t2_and_im_confused/")</f>
        <v/>
      </c>
      <c r="G432" t="inlineStr">
        <is>
          <t>2014-12-01 15:21:06</t>
        </is>
      </c>
      <c r="H432" t="inlineStr">
        <is>
          <t>Type 2</t>
        </is>
      </c>
    </row>
    <row r="433">
      <c r="A433" t="inlineStr">
        <is>
          <t>2o01x7</t>
        </is>
      </c>
      <c r="B433" t="inlineStr">
        <is>
          <t>I'm not feeling hypos like I should be, and it's making me worried</t>
        </is>
      </c>
      <c r="C433" t="inlineStr">
        <is>
          <t>(Type 1) I've been getting lows somewhat frequently in the past week or so, but I only feel the symptoms for about half of them. For the other half, I'll test my BG and get a nasty surprise when I see that it's in the 60s or 70s, but feel fine. I've heard of how dangerous it can be when you don't feel a hypo, and I'd like to know what's going on.</t>
        </is>
      </c>
      <c r="D433" t="n">
        <v>3</v>
      </c>
      <c r="E433" t="n">
        <v>9</v>
      </c>
      <c r="F433">
        <f>HYPERLINK("https://www.reddit.com/r/diabetes/comments/2o01x7/im_not_feeling_hypos_like_i_should_be_and_its/")</f>
        <v/>
      </c>
      <c r="G433" t="inlineStr">
        <is>
          <t>2014-12-01 17:43:51</t>
        </is>
      </c>
      <c r="H433" t="inlineStr">
        <is>
          <t>Type 1</t>
        </is>
      </c>
    </row>
    <row r="434">
      <c r="A434" t="inlineStr">
        <is>
          <t>2o05og</t>
        </is>
      </c>
      <c r="B434" t="inlineStr">
        <is>
          <t>Possible T1 Diabetes worries.</t>
        </is>
      </c>
      <c r="C434" t="inlineStr">
        <is>
          <t xml:space="preserve">I'm 17 and I'm worried that I might have developed t1 diabetes. The only family history is my dad, who has developed T2. I am a very active person (weight train 3x week, run 2x, hike/rockclimb/soccer on weekends) but I kinda eat crappy sometimes, like a lotta fast food and stuff. Here is the thing, I have recently developed some hunger symptoms that feel like hyperglycemia, and overall my hunger levels have gone up a lot in the last few weeks. The only thing that I can think of is that it might be stress from college apps, but I am not too worried about this. Apart from that I have been having some weird weight loss but nothing too out of the norm, and sometimes it looks like there is like heat waves coming off stuff when its not even hot. I am kinda freaking out right now, what do you guys think? Should I tell my parents/go to a doctor?
Edit: I should also mention that I've been feeling a bit more bloating/gas than usual, but this may be me getting into my own head.  </t>
        </is>
      </c>
      <c r="D434" t="n">
        <v>1</v>
      </c>
      <c r="E434" t="n">
        <v>8</v>
      </c>
      <c r="F434">
        <f>HYPERLINK("https://www.reddit.com/r/diabetes/comments/2o05og/possible_t1_diabetes_worries/")</f>
        <v/>
      </c>
      <c r="G434" t="inlineStr">
        <is>
          <t>2014-12-01 18:17:11</t>
        </is>
      </c>
      <c r="H434" t="inlineStr">
        <is>
          <t>Type 1</t>
        </is>
      </c>
    </row>
    <row r="435">
      <c r="A435" t="inlineStr">
        <is>
          <t>2o157i</t>
        </is>
      </c>
      <c r="B435" t="inlineStr">
        <is>
          <t>T1 Recently Diagnosed - depression and coping mechanisms</t>
        </is>
      </c>
      <c r="C435" t="inlineStr">
        <is>
          <t xml:space="preserve">
It's been well over a month since my diagnosis, i have tried to adjust myself into dealing with the effects of this disease. But i absolutely am struggling to cope with the injections and other parts. I know most of everyone would say its my own mentality that's drawing me down, and i couldn't agree more. But there are some days that just feel really down despite all my efforts, i do everything right on certain days and it still doesn't affect my blood sugar - remains high most of the time. 
I can't function on the same level as i used too, i am very absentminded and i feel like everyday is dragging on.
About my medication
I m taking Novolin 70/30 and it makes me feel like absolute shit, i dont know if thats supposed to be a thing or how to work around it. 
I am also on metformin 1000MG a day and that makes me feel nauseous all the time. 
I desperately need some positive insight or a push from like-minded people its really affecting my mentality to keep pushing on.  </t>
        </is>
      </c>
      <c r="D435" t="n">
        <v>5</v>
      </c>
      <c r="E435" t="n">
        <v>9</v>
      </c>
      <c r="F435">
        <f>HYPERLINK("https://www.reddit.com/r/diabetes/comments/2o157i/t1_recently_diagnosed_depression_and_coping/")</f>
        <v/>
      </c>
      <c r="G435" t="inlineStr">
        <is>
          <t>2014-12-02 01:08:03</t>
        </is>
      </c>
      <c r="H435" t="inlineStr">
        <is>
          <t>Type 1.5/LADA</t>
        </is>
      </c>
    </row>
    <row r="436">
      <c r="A436" t="inlineStr">
        <is>
          <t>2o1p7o</t>
        </is>
      </c>
      <c r="B436" t="inlineStr">
        <is>
          <t>Do I have double diabetes? I'm too insulin resistant.</t>
        </is>
      </c>
      <c r="C436" t="inlineStr">
        <is>
          <t xml:space="preserve">I've been a type 1 for 10 years, and ever since I've been following a fairly low carb diet, which has turned into a ketogenic diet for the last 3 years or so. The reason is that even with carb counting, exercise and whole grains, I need too much insulin. My parents would go crazy when I was a kid because the tiniest amount of rice or pasta would make me spike sky high. 
I'm 5' 9" and 130 lbs and my carb ratio is 1 unit for 3-4 gr. of carbs. I inject 30 units of Lantus and I run 10-12 miles a week. I'm depressed because I'd like to have a more varied diet than a diet with &amp;lt;20g carbs a day. 
I don't know why my body behaves like that. Is there any explanation or anything I can do? Thank you. </t>
        </is>
      </c>
      <c r="D436" t="n">
        <v>2</v>
      </c>
      <c r="E436" t="n">
        <v>8</v>
      </c>
      <c r="F436">
        <f>HYPERLINK("https://www.reddit.com/r/diabetes/comments/2o1p7o/do_i_have_double_diabetes_im_too_insulin_resistant/")</f>
        <v/>
      </c>
      <c r="G436" t="inlineStr">
        <is>
          <t>2014-12-02 06:22:47</t>
        </is>
      </c>
      <c r="H436" t="inlineStr">
        <is>
          <t>Type 1</t>
        </is>
      </c>
    </row>
    <row r="437">
      <c r="A437" t="inlineStr">
        <is>
          <t>2o2bj9</t>
        </is>
      </c>
      <c r="B437" t="inlineStr">
        <is>
          <t>Type 1, Medicare and Insulin pump?</t>
        </is>
      </c>
      <c r="C437" t="inlineStr">
        <is>
          <t xml:space="preserve"> was put on an insulin pump as my bg was so erratic. Worked wonders! However, after the 2nd month, Medicare wrote me a letter stating that since my C-peptide levels were in normal range, they would not cover my supplies! What the heck? Has anyone else had this issue? And what C-peptide? Why are they doing this when, after 5 years of uncontrollable sugars, I was finally doing well?</t>
        </is>
      </c>
      <c r="D437" t="n">
        <v>3</v>
      </c>
      <c r="E437" t="n">
        <v>3</v>
      </c>
      <c r="F437">
        <f>HYPERLINK("https://www.reddit.com/r/diabetes/comments/2o2bj9/type_1_medicare_and_insulin_pump/")</f>
        <v/>
      </c>
      <c r="G437" t="inlineStr">
        <is>
          <t>2014-12-02 09:49:31</t>
        </is>
      </c>
      <c r="H437" t="inlineStr">
        <is>
          <t>Type 1</t>
        </is>
      </c>
    </row>
    <row r="438">
      <c r="A438" t="inlineStr">
        <is>
          <t>2o30dn</t>
        </is>
      </c>
      <c r="B438" t="inlineStr">
        <is>
          <t>In an average dat what does someone with type 2 diabetes have to do that someone without diverse doesn't</t>
        </is>
      </c>
      <c r="C438" t="inlineStr">
        <is>
          <t xml:space="preserve">I'd  like to know what Type 2 diabetics must do each day that someone with diabetes doesnt such as what type of diet you must eat, how and when you take insulin (if you take it) and how you must exercise. please and thank you </t>
        </is>
      </c>
      <c r="D438" t="n">
        <v>1</v>
      </c>
      <c r="E438" t="n">
        <v>0</v>
      </c>
      <c r="F438">
        <f>HYPERLINK("https://www.reddit.com/r/diabetes/comments/2o30dn/in_an_average_dat_what_does_someone_with_type_2/")</f>
        <v/>
      </c>
      <c r="G438" t="inlineStr">
        <is>
          <t>2014-12-02 13:08:19</t>
        </is>
      </c>
      <c r="H438" t="inlineStr">
        <is>
          <t>Type 2</t>
        </is>
      </c>
    </row>
    <row r="439">
      <c r="A439" t="inlineStr">
        <is>
          <t>2o3kdw</t>
        </is>
      </c>
      <c r="B439" t="inlineStr">
        <is>
          <t>Does anyone here have the new Medtronic 530G Pump/Artificial Pancreas?</t>
        </is>
      </c>
      <c r="C439" t="inlineStr">
        <is>
          <t>I will be getting one next week and am curious to find out what others who have used it thought about it. I'm really excited! I have used Medtronic for many years now and love them. They recently called me to tell me the warranty on my pump is up and wanted to know if I would like to have them check with my insurance about getting a new one. Bing, bang, boom! 530G. :D 
EDIT: I know that "artificial pancreas" is more of a marketing term but it's still a big step forward for insulin pumps.</t>
        </is>
      </c>
      <c r="D439" t="n">
        <v>6</v>
      </c>
      <c r="E439" t="n">
        <v>23</v>
      </c>
      <c r="F439">
        <f>HYPERLINK("https://www.reddit.com/r/diabetes/comments/2o3kdw/does_anyone_here_have_the_new_medtronic_530g/")</f>
        <v/>
      </c>
      <c r="G439" t="inlineStr">
        <is>
          <t>2014-12-02 15:48:22</t>
        </is>
      </c>
      <c r="H439" t="inlineStr">
        <is>
          <t>Type 1</t>
        </is>
      </c>
    </row>
    <row r="440">
      <c r="A440" t="inlineStr">
        <is>
          <t>2o5rhw</t>
        </is>
      </c>
      <c r="B440" t="inlineStr">
        <is>
          <t>Edamame raising my blood sugars!?</t>
        </is>
      </c>
      <c r="C440" t="inlineStr">
        <is>
          <t>Hi all! I just subscribed to this sub. I've been type 2 since 1999-ish.
Last night i ate 2.5 servings of edamame and this morning, 1 hour after taking my meds, my blood sugar is 315! I thought edamame was a "super food" for us type 2's!? I can't find any info on the interwebs about edamame raising blood sugar. Anyone have a similar issue?</t>
        </is>
      </c>
      <c r="D440" t="n">
        <v>1</v>
      </c>
      <c r="E440" t="n">
        <v>5</v>
      </c>
      <c r="F440">
        <f>HYPERLINK("https://www.reddit.com/r/diabetes/comments/2o5rhw/edamame_raising_my_blood_sugars/")</f>
        <v/>
      </c>
      <c r="G440" t="inlineStr">
        <is>
          <t>2014-12-03 07:24:55</t>
        </is>
      </c>
      <c r="H440" t="inlineStr">
        <is>
          <t>Type 2</t>
        </is>
      </c>
    </row>
    <row r="441">
      <c r="A441" t="inlineStr">
        <is>
          <t>2o6je6</t>
        </is>
      </c>
      <c r="B441" t="inlineStr">
        <is>
          <t>Symptoms of retinopathy?</t>
        </is>
      </c>
      <c r="C441" t="inlineStr">
        <is>
          <t>I'm having some problems with my both eyes since several weeks. I saw doctors 4 times(3 different doctors in total) already and we checked if there's bleeding and the doc said there's no bleeding(thankfully). However I'm having bloodshots in my eyes almost every day and none of these doctors figured what's wrong. I'm wondering if that could be something diabetes-related. Any ideas? Has anyone here experienced with something like this before?
(before you say it, yes, I'll try to see a better doctor)
Thanks.</t>
        </is>
      </c>
      <c r="D441" t="n">
        <v>2</v>
      </c>
      <c r="E441" t="n">
        <v>9</v>
      </c>
      <c r="F441">
        <f>HYPERLINK("https://www.reddit.com/r/diabetes/comments/2o6je6/symptoms_of_retinopathy/")</f>
        <v/>
      </c>
      <c r="G441" t="inlineStr">
        <is>
          <t>2014-12-03 11:24:35</t>
        </is>
      </c>
      <c r="H441" t="inlineStr">
        <is>
          <t>Type 1</t>
        </is>
      </c>
    </row>
    <row r="442">
      <c r="A442" t="inlineStr">
        <is>
          <t>2o71yh</t>
        </is>
      </c>
      <c r="B442" t="inlineStr">
        <is>
          <t>What are some people's honeymoon experiences? - I have hardly any need for insulin</t>
        </is>
      </c>
      <c r="C442" t="inlineStr">
        <is>
          <t>I was admitted to hospital with a blood sugar of 30 mmol/L two months ago at 32 years old. I was/am am healthy, active and in a normal weight range.
I was told I was type 1 and when I was discharged, set up with 18 units of Lantus (daily) and a ratio of 1:10 Novo Rapid (mealtime) insulin. Effectively 6 units per normal meal with 60 grams of carbs.
Since then I have had many, many lows. Often twice a day, sometimes for no reason, or sometimes because I've been active in some ridiculously small way (like doing the dishes). 
In consultation with a dietitian, and approved by my GP I have incrementally reduced my bolus to 1:30 (so 1/3 what I was taking). The lows reduced,  but I would still get the occasional one after a meal with no insulin. So, last weekend I reduced my *daily* to 15 units and again the lows got less frequent.
Yesterday my carb counting, with rounding, had me taking no bolus insulin at all (each meal had 20-60 grams of carbs) and I still had to reach for the glucose... twice.
What are some people's honeymoon experiences? My physicians don't seem overly concerned. But they keep telling me how dangerous lows are. I know the risks, and I can't get it out of my head that I'm doing this to myself. I have half a mind just to stop with insulin altogether, and test on occasion to make sure I don't creep up. I know type 1 doesn't go into remission and your pancreas doesn't magically heal itself. But all this risk and grief around lows hardly seems worth it, and I haven't even got back into exercise yet!
Are there any other newly diagnosed adults having this experience in their honeymoon period?
****
TLDR: Rapidly declining insulin needs since diagnosis.
****
Edit: I might also add I had swollen glans in my neck for a week and tested positive for Glandular Fever (Mono) last week. It explains my chronic tiredness, but I have no other symptoms of that. I feel fine otherwise. No sore throat or flu like symptoms at all. I had it in high school and it dropped me, in agony for weeks. I would have thought this would raise my blood sugar but it hasn't.</t>
        </is>
      </c>
      <c r="D442" t="n">
        <v>3</v>
      </c>
      <c r="E442" t="n">
        <v>14</v>
      </c>
      <c r="F442">
        <f>HYPERLINK("https://www.reddit.com/r/diabetes/comments/2o71yh/what_are_some_peoples_honeymoon_experiences_i/")</f>
        <v/>
      </c>
      <c r="G442" t="inlineStr">
        <is>
          <t>2014-12-03 13:53:45</t>
        </is>
      </c>
      <c r="H442" t="inlineStr">
        <is>
          <t>Type 1</t>
        </is>
      </c>
    </row>
    <row r="443">
      <c r="A443" t="inlineStr">
        <is>
          <t>2o76yj</t>
        </is>
      </c>
      <c r="B443" t="inlineStr">
        <is>
          <t>Need insulin and fast.</t>
        </is>
      </c>
      <c r="C443" t="inlineStr">
        <is>
          <t>Okay, so here is my predicament. I need Novolog Flexpens, and fast. I literally just ran out and my new insurance company says I won't be active for a few days. Does anyone know how I can get a box free not later than noontime tomorrow? I've heard emergency services and county health would be able to spot me on, but IDK what they are. Is that like the Urgent Care and Care Stat places that have just recently opened up near me, or something different? I need something that won't bankrupt me, plus I need to know what to say.</t>
        </is>
      </c>
      <c r="D443" t="n">
        <v>6</v>
      </c>
      <c r="E443" t="n">
        <v>34</v>
      </c>
      <c r="F443">
        <f>HYPERLINK("https://www.reddit.com/r/diabetes/comments/2o76yj/need_insulin_and_fast/")</f>
        <v/>
      </c>
      <c r="G443" t="inlineStr">
        <is>
          <t>2014-12-03 14:36:16</t>
        </is>
      </c>
      <c r="H443" t="inlineStr">
        <is>
          <t>Type 1</t>
        </is>
      </c>
    </row>
    <row r="444">
      <c r="A444" t="inlineStr">
        <is>
          <t>2o7ism</t>
        </is>
      </c>
      <c r="B444" t="inlineStr">
        <is>
          <t>Can you point me to nutrition websites?</t>
        </is>
      </c>
      <c r="C444" t="inlineStr">
        <is>
          <t xml:space="preserve">Male 62, just diagnosed on Monday.  Glucose was 490!  I had lost 17 lbs in the past 10 weeks.  I was not overweight, my doctor wants me to gain weight now.  He recommends a 2600 cal/day diet.  I've been doing an hour of cardio daily for several years and will resume when I feel better.  My doctor gave me some nutrition resources and my insurance company's wellness program will provide some brochures.... maybe in 10 days, grrrrr.  But I need more help.  There are so many websites available it's sort of confusing to find the best.  Any recommendations?  
And thanks in advance </t>
        </is>
      </c>
      <c r="D444" t="n">
        <v>0</v>
      </c>
      <c r="E444" t="n">
        <v>8</v>
      </c>
      <c r="F444">
        <f>HYPERLINK("https://www.reddit.com/r/diabetes/comments/2o7ism/can_you_point_me_to_nutrition_websites/")</f>
        <v/>
      </c>
      <c r="G444" t="inlineStr">
        <is>
          <t>2014-12-03 16:20:54</t>
        </is>
      </c>
      <c r="H444" t="inlineStr">
        <is>
          <t>Type 2</t>
        </is>
      </c>
    </row>
    <row r="445">
      <c r="A445" t="inlineStr">
        <is>
          <t>2o8o1k</t>
        </is>
      </c>
      <c r="B445" t="inlineStr">
        <is>
          <t>Question about hypoglycemic coma</t>
        </is>
      </c>
      <c r="C445" t="inlineStr">
        <is>
          <t xml:space="preserve">My girlfriend was diagnosed T1 over the summer, and is still relatively new to managing her sugar levels. She has woken up a few times in the middle of the night with very low blood sugar (~50-60), but has quickly corrected. Because she does not have a roommate, I sometimes worry that one night she will be too low to help herself. We text each other every morning, so if something did happen to her in the middle of the night I would realize pretty early in the morning. 
Now for my question (which is a bit morbid):
If a person with T1 lost consciousness because of low blood sugar, how long would they have until they suffered permanent damage or death? I like to think that as long as I could get her help within the first few hours that she would be okay, but I can't seem to find anything that mentions specifics about this. Thanks for your help. </t>
        </is>
      </c>
      <c r="D445" t="n">
        <v>7</v>
      </c>
      <c r="E445" t="n">
        <v>9</v>
      </c>
      <c r="F445">
        <f>HYPERLINK("https://www.reddit.com/r/diabetes/comments/2o8o1k/question_about_hypoglycemic_coma/")</f>
        <v/>
      </c>
      <c r="G445" t="inlineStr">
        <is>
          <t>2014-12-03 23:09:36</t>
        </is>
      </c>
      <c r="H445" t="inlineStr">
        <is>
          <t>Type 1</t>
        </is>
      </c>
    </row>
    <row r="446">
      <c r="A446" t="inlineStr">
        <is>
          <t>2o8vrv</t>
        </is>
      </c>
      <c r="B446" t="inlineStr">
        <is>
          <t>How to get de-obsessed about diabetes?</t>
        </is>
      </c>
      <c r="C446" t="inlineStr">
        <is>
          <t>I see stories here of people not checking their blood sugars for days and I just wonder how they do it. I'm too obsessed with this illness. If I have enough test strips, I can test up to 12 times a day.
After a meal, I'm scared for two hours that I could be high or low. I get mad every time I get a high BS reading. I don't know how to test 4 or 5 healthy times a day and just don't give a fuck about a bad number because I try my best anyway to manage this illness everyday. 
I've been having psychosomatic symptoms after meals for a few years. After a meal I sometimes feel very very thirsty (DKA-like type of thirst, you know), or sometimes I begin to feel the symptoms of a low when my blood sugar is normal. Eating out is hard because I'm worried about being high or low. And my last A1C is 6.1.  
I'm serious. Is there something I can do in order not to get too obsessed with my type 1 diabetes?</t>
        </is>
      </c>
      <c r="D446" t="n">
        <v>9</v>
      </c>
      <c r="E446" t="n">
        <v>21</v>
      </c>
      <c r="F446">
        <f>HYPERLINK("https://www.reddit.com/r/diabetes/comments/2o8vrv/how_to_get_deobsessed_about_diabetes/")</f>
        <v/>
      </c>
      <c r="G446" t="inlineStr">
        <is>
          <t>2014-12-04 01:18:04</t>
        </is>
      </c>
      <c r="H446" t="inlineStr">
        <is>
          <t>Type 1</t>
        </is>
      </c>
    </row>
    <row r="447">
      <c r="A447" t="inlineStr">
        <is>
          <t>2oabab</t>
        </is>
      </c>
      <c r="B447" t="inlineStr">
        <is>
          <t>How do you contain yourself from over-eating when you have low blod sugar?</t>
        </is>
      </c>
      <c r="C447" t="inlineStr">
        <is>
          <t>M, 31 , T1 for 10 years here. I`m wondering what your tips and tricks are for stopping yourself over-eating when you get low blood sugar. The biggest problem for me is if i wake up at night with low sugar. I usually end up eating waaay to much (I eat almost until it passes).
What is your trick?</t>
        </is>
      </c>
      <c r="D447" t="n">
        <v>23</v>
      </c>
      <c r="E447" t="n">
        <v>43</v>
      </c>
      <c r="F447">
        <f>HYPERLINK("https://www.reddit.com/r/diabetes/comments/2oabab/how_do_you_contain_yourself_from_overeating_when/")</f>
        <v/>
      </c>
      <c r="G447" t="inlineStr">
        <is>
          <t>2014-12-04 11:16:23</t>
        </is>
      </c>
      <c r="H447" t="inlineStr">
        <is>
          <t>Type 1</t>
        </is>
      </c>
    </row>
    <row r="448">
      <c r="A448" t="inlineStr">
        <is>
          <t>2oarqy</t>
        </is>
      </c>
      <c r="B448" t="inlineStr">
        <is>
          <t>T1. I cannot handle it anymore. Anxiety is too much.</t>
        </is>
      </c>
      <c r="C448" t="inlineStr">
        <is>
          <t>It is preventing me from everything.  Leaving the house is like a huge burden on myself.  I cannot drive past a couple of blocks - scares me too much.  It is effecting my work and social life.
I've tried everything.  Three different SSRIs and nothing is helping.  I over eat to keep my blood sugar way too high out of fear of the lows. I mean &amp;gt;than 250 or else I will not even think about leaving the house.
I know this all sounds silly.  But it just wont go away :(
My insurance turned me down for a CGM.</t>
        </is>
      </c>
      <c r="D448" t="n">
        <v>4</v>
      </c>
      <c r="E448" t="n">
        <v>11</v>
      </c>
      <c r="F448">
        <f>HYPERLINK("https://www.reddit.com/r/diabetes/comments/2oarqy/t1_i_cannot_handle_it_anymore_anxiety_is_too_much/")</f>
        <v/>
      </c>
      <c r="G448" t="inlineStr">
        <is>
          <t>2014-12-04 13:33:03</t>
        </is>
      </c>
      <c r="H448" t="inlineStr">
        <is>
          <t>Type 1</t>
        </is>
      </c>
    </row>
    <row r="449">
      <c r="A449" t="inlineStr">
        <is>
          <t>2ofgp9</t>
        </is>
      </c>
      <c r="B449" t="inlineStr">
        <is>
          <t>Low Carb Troubles</t>
        </is>
      </c>
      <c r="C449" t="inlineStr">
        <is>
          <t>In need of some advice again! I have stuck with the low carb diet for a pretty long time, but I am always looking to make some changes. As a Type 1 Diabetic I am also always researching ways to improve my lifestyle (which is no doubt a healthy one!). I have recently stumbled across some stories regarding hidden food intolerances which cause some icky reactions and inflammation ESPECIALLY in people with autoimmune conditions....
I have been paying close attention to they way my body reacts to certain foods...I am definitely having issues but I cant seem to find the culprit. Unfortunately, my low carb diet is made up of some of the biggest allergens: nuts, dairy, eggs, nightshade vegetables (tomoatos and peppers, eggplant), COFFEE :(, dark chocolate. The Autoimmune Paleo Approach, which some people rave about, calls for quitting all of these foods. I am kind of willing to do anything...as I find major frustration in having great blood sugars but difficulty losing some stubborn pounds.
Does anybody have experience with giving up certain food groups due to undefined intolerance...and finding great results? Especially interested in those who have quit coffee...as it is definitely the hardest step.
Thanks!</t>
        </is>
      </c>
      <c r="D449" t="n">
        <v>4</v>
      </c>
      <c r="E449" t="n">
        <v>8</v>
      </c>
      <c r="F449">
        <f>HYPERLINK("https://www.reddit.com/r/diabetes/comments/2ofgp9/low_carb_troubles/")</f>
        <v/>
      </c>
      <c r="G449" t="inlineStr">
        <is>
          <t>2014-12-05 19:23:32</t>
        </is>
      </c>
      <c r="H449" t="inlineStr">
        <is>
          <t>Type 1</t>
        </is>
      </c>
    </row>
    <row r="450">
      <c r="A450" t="inlineStr">
        <is>
          <t>2ogrdg</t>
        </is>
      </c>
      <c r="B450" t="inlineStr">
        <is>
          <t>Re-diagnosed as type 1.5 LADA a month after initially being diagnosed with type 2</t>
        </is>
      </c>
      <c r="C450" t="inlineStr">
        <is>
          <t xml:space="preserve">Two years after being sick and tired of being sick and tired I decided to change my life style. I started eating right, controlling my portions and going to crossfit 2-3 times a week. At 36, 5.9'' I was at 225-230lbs. Now at 38 I am down to a fit 165-170. Three of four months ago I noticed I started having dry mouth, thirsty all the time and going to the bathroom 3 or 4 times a night.  I really did not think anything of it. (no history of diabetes in my family so I never had a frame of reference). I go in for my annual check out proud of myself for my weight loss, from a 36 pants down to an easy 32, medium shirts etc. I get my blood drawn and a few days later I get the call. Needless to say I was in total shock. BG was at 280 after 12hrs of fasting, cholesterol (500) and triglycerides (2980- not a typo). Basically you could deep fry potatoes with my blood. 
Rx'ed Metformin and glipizide for the type 2 fenofibrite for the cholesterol. Cholesterol and triglycerides get under control right away but my BG does not move. BG staying in the 350 range. (feeling fine otherwise) Immediately get to an Endocrinologist and get what felt like a gallon of blood drawn and find out my C-peptides were low. Endo says type 1.5/ LADA. Did't even know that was a thing.  Now off diabetes pills and on Lantus and Humalog. 
I am less than a month into taking insulin but my BG is dropping. I am now focused on learning how to control it. I am happy that a good diagnosis is had. I still have a long way to go but my goal to have a A1c of 5ish within the next two months. I have accepted this as PART of who I am but I am focused on controlling it not the Type 1.5 controlling me. 
I just had to post to get that off my chest.        </t>
        </is>
      </c>
      <c r="D450" t="n">
        <v>2</v>
      </c>
      <c r="E450" t="n">
        <v>10</v>
      </c>
      <c r="F450">
        <f>HYPERLINK("https://www.reddit.com/r/diabetes/comments/2ogrdg/rediagnosed_as_type_15_lada_a_month_after/")</f>
        <v/>
      </c>
      <c r="G450" t="inlineStr">
        <is>
          <t>2014-12-06 07:43:08</t>
        </is>
      </c>
      <c r="H450" t="inlineStr">
        <is>
          <t>Type 1.5/LADA</t>
        </is>
      </c>
    </row>
    <row r="451">
      <c r="A451" t="inlineStr">
        <is>
          <t>2ol4eh</t>
        </is>
      </c>
      <c r="B451" t="inlineStr">
        <is>
          <t>Lantus and AM exercise</t>
        </is>
      </c>
      <c r="C451" t="inlineStr">
        <is>
          <t xml:space="preserve">So I currently do not have work out routine, but I am finally ready to start. I would love to hear from some fellow Lantus takers about thoughts on when to inject. Right now I take 8 units at 8:00 AM and 8 units at 8:00 PM. The plan is to start 5:30 AM - 6:30 AM jogging. I do struggle with some dawn phenomenon...and also the running seems to raise my numbers a bit while power walking keeps me very stable/drop. I assume the 1 hour work out will be a mixture of both. Obviously this will vary from person to person, but just curious to see if anyone has a great Lantus / AM workout routine that works for them. </t>
        </is>
      </c>
      <c r="D451" t="n">
        <v>1</v>
      </c>
      <c r="E451" t="n">
        <v>9</v>
      </c>
      <c r="F451">
        <f>HYPERLINK("https://www.reddit.com/r/diabetes/comments/2ol4eh/lantus_and_am_exercise/")</f>
        <v/>
      </c>
      <c r="G451" t="inlineStr">
        <is>
          <t>2014-12-07 14:02:12</t>
        </is>
      </c>
      <c r="H451" t="inlineStr">
        <is>
          <t>Type 1</t>
        </is>
      </c>
    </row>
    <row r="452">
      <c r="A452" t="inlineStr">
        <is>
          <t>2omano</t>
        </is>
      </c>
      <c r="B452" t="inlineStr">
        <is>
          <t>Weight Management and T1D</t>
        </is>
      </c>
      <c r="C452" t="inlineStr">
        <is>
          <t>tl;dr: great blood sugars but I've gotten fat. Any help?
Hey everybody--I have lived with type-1 diabetes for about ten years. For the past four years I neglected my health and didn't have health insurance. Now I am under the care of an endo and use a Dexcom and Omnipod. I have gained about thirty pounds in two months. How do you manage your weight and blood sugars? How do you keep yourself from eating everything in sight when you have lows? Thanks for the help.</t>
        </is>
      </c>
      <c r="D452" t="n">
        <v>5</v>
      </c>
      <c r="E452" t="n">
        <v>2</v>
      </c>
      <c r="F452">
        <f>HYPERLINK("https://www.reddit.com/r/diabetes/comments/2omano/weight_management_and_t1d/")</f>
        <v/>
      </c>
      <c r="G452" t="inlineStr">
        <is>
          <t>2014-12-07 21:09:49</t>
        </is>
      </c>
      <c r="H452" t="inlineStr">
        <is>
          <t>Type 1</t>
        </is>
      </c>
    </row>
    <row r="453">
      <c r="A453" t="inlineStr">
        <is>
          <t>2oo0uu</t>
        </is>
      </c>
      <c r="B453" t="inlineStr">
        <is>
          <t>Need some help with my type 1</t>
        </is>
      </c>
      <c r="C453" t="inlineStr">
        <is>
          <t xml:space="preserve">Me and my fiancé have been discussing children for a while and the subject of my diabetes(type 1) came up after a discussion with her father. She's very scared that our children will develop the disease since there's history on both of our sides (my cousin and grandmother and her extended family). I'm just looking for some comfort maybe there's some of you out there with kids who haven't gotten the disease? Because I really love her and her fear is making her consider not marrying me. I don't wanna lose my fiancé. She means everything to me. </t>
        </is>
      </c>
      <c r="D453" t="n">
        <v>1</v>
      </c>
      <c r="E453" t="n">
        <v>16</v>
      </c>
      <c r="F453">
        <f>HYPERLINK("https://www.reddit.com/r/diabetes/comments/2oo0uu/need_some_help_with_my_type_1/")</f>
        <v/>
      </c>
      <c r="G453" t="inlineStr">
        <is>
          <t>2014-12-08 10:14:29</t>
        </is>
      </c>
      <c r="H453" t="inlineStr">
        <is>
          <t>Type 1</t>
        </is>
      </c>
    </row>
    <row r="454">
      <c r="A454" t="inlineStr">
        <is>
          <t>2oo13k</t>
        </is>
      </c>
      <c r="B454" t="inlineStr">
        <is>
          <t>Has anyone of you ever got an A1C in the 4's? Bernstein style!</t>
        </is>
      </c>
      <c r="C454" t="inlineStr">
        <is>
          <t xml:space="preserve">Richard K. Bernstein advocates an A1c in the 4's with a low carb diet. Has anyone of you actually achieved this? Since I'm in a keto diet I always get A1c's in the high 5's or low 6's. How do you achieve such level of perfection? </t>
        </is>
      </c>
      <c r="D454" t="n">
        <v>1</v>
      </c>
      <c r="E454" t="n">
        <v>12</v>
      </c>
      <c r="F454">
        <f>HYPERLINK("https://www.reddit.com/r/diabetes/comments/2oo13k/has_anyone_of_you_ever_got_an_a1c_in_the_4s/")</f>
        <v/>
      </c>
      <c r="G454" t="inlineStr">
        <is>
          <t>2014-12-08 10:16:33</t>
        </is>
      </c>
      <c r="H454" t="inlineStr">
        <is>
          <t>Type 1</t>
        </is>
      </c>
    </row>
    <row r="455">
      <c r="A455" t="inlineStr">
        <is>
          <t>2opv6s</t>
        </is>
      </c>
      <c r="B455" t="inlineStr">
        <is>
          <t>I just can't keep my sugars down.</t>
        </is>
      </c>
      <c r="C455" t="inlineStr">
        <is>
          <t>I'm 14 and have been diabetic since the start of 2008. I was on shots for about 2 years and I would just go to my school nurse whenever I need insulin but would test and such by myself. My blood was great then, I went to a small school so even if I forgot the nurse could easily find me and remind me. I got my pump and it was great at first, I didn't have any problems with anything, a1c was never above 6.5 then. Last year I switched school and there was no nurse, the teachers would remind me when I forgot to bolus But my a1c crept up. This past year I've started High School, there is no school nurse so it's up to me to maintain full control of my diabetes, and I can't. I looked through my meters history and the last day that my blood sugar didn't go over 300 was November 22nd. It's not anything like insulin not working or pump failure, it's all me and I feel horrible. I rarely test while at school, maybe 2 of every 5 days. I bolus for my lunch 3 or 4 days of 5 and it results in me feeling horrible. It doesn't hurt my grades, I bolus for breakfast which keeps me fine in the morning then my lunch doesnt kick in until near the end of the day usually. I'm not ashamed of diabetes, my friends all know I have it. I just forget to test and bolus. All this does is result in me having headaches and feeling horrible, but I just can't do it consistently. I wore a cgm for a while last year but the sensors were failing after 2 or 3 hours every time. Dexcom and Medtronic. as anyone ever been through this? How did you stop? Even if you haven't been where I am do you have any tips?</t>
        </is>
      </c>
      <c r="D455" t="n">
        <v>10</v>
      </c>
      <c r="E455" t="n">
        <v>18</v>
      </c>
      <c r="F455">
        <f>HYPERLINK("https://www.reddit.com/r/diabetes/comments/2opv6s/i_just_cant_keep_my_sugars_down/")</f>
        <v/>
      </c>
      <c r="G455" t="inlineStr">
        <is>
          <t>2014-12-08 19:33:09</t>
        </is>
      </c>
      <c r="H455" t="inlineStr">
        <is>
          <t>Type 1</t>
        </is>
      </c>
    </row>
    <row r="456">
      <c r="A456" t="inlineStr">
        <is>
          <t>2oqf6d</t>
        </is>
      </c>
      <c r="B456" t="inlineStr">
        <is>
          <t>Hello, looks like I'm new to the type 2</t>
        </is>
      </c>
      <c r="C456" t="inlineStr">
        <is>
          <t xml:space="preserve">I was talking to a few of you in the chat room a few days ago so I wanted to follow up. 
I recently had blood tests done and I just got the email that my results were able to view. I should have waited until the morning because I'm not sure how I'm going to be able to sleep.
A little background, I'm a 32 year old female. My mom was T1 diagnosed at like 6 years old. She died at 52 of a heart attack. My dad was T2 diagnosed in his 30s and died at 47 from complications of diabetes. He had the retinopathy, an amputated leg, and his kidneys failed him. He didn't want to do dialysis and he died in the hospital. Possibly also from complication of congestive heart failure. I was 16 at the time so I don't know all the details for sure. 
So anyway, you'd think I would know better given my family history. I have always been overweight and have had high blood pressure and high triglycerides for probably about 8 years now. My doctor has been good about having me do blood tests every 3 to 6 months. I really dropped the ball on this one and went about 10 months. I went a couple weeks ago and my fasting sugar was 126. I held my doctors appointment and she had me do more tests. I went the next day to get them done and here are the results:
fasting: 116
A1C: 6.9
tolerance 1 hour 247 
tolerance 2 hour 247
(not really sure how those came to be the same)
So, I know I will have to hold another appointment with my doctor to go over the results and a plan of action to get things under control. We went over a few things at my last appointment because I knew that this was going to happen. I will probably ask to do the other test just to make sure it isn't type 1 of LADA because I know my dad was taking insulin shortly after he was diagnosed so he might not have been a true T2 but he was diagnosed in the 80s. Although, it probably is T2 given my medical history. 
I know I was dealt the genetics of this, but I know I don't eat as well as I should and I don't exercise. I could stand to loose some weight as well. A good amount. But I'm always so tired and maybe that has something to do with having poor sugar and insulin use in my body. I have been reading all sorts of things here and online as well trying to get myself prepared. I know once I start to control this, I will feel better and I am looking forward to that. 
I am scared. I'm afraid to tell friends and family because I feel like they will judge given my lifestyle of being overweight and inactive. 
Thank you in advance for your guidance and support. </t>
        </is>
      </c>
      <c r="D456" t="n">
        <v>7</v>
      </c>
      <c r="E456" t="n">
        <v>13</v>
      </c>
      <c r="F456">
        <f>HYPERLINK("https://www.reddit.com/r/diabetes/comments/2oqf6d/hello_looks_like_im_new_to_the_type_2/")</f>
        <v/>
      </c>
      <c r="G456" t="inlineStr">
        <is>
          <t>2014-12-08 23:02:09</t>
        </is>
      </c>
      <c r="H456" t="inlineStr">
        <is>
          <t>Type 2</t>
        </is>
      </c>
    </row>
    <row r="457">
      <c r="A457" t="inlineStr">
        <is>
          <t>2or1pj</t>
        </is>
      </c>
      <c r="B457" t="inlineStr">
        <is>
          <t>Time for Fast-Acting Insulin to Start Working?</t>
        </is>
      </c>
      <c r="C457" t="inlineStr">
        <is>
          <t>These past few days I've been dealing with almost historic levels of insulin resistance, which I think is due to the very sudden drop in temperatures (like 20 degrees in a few days here). I've changed sets and vials a couple of times, so it's not that, but it's been very strange.
One additional thing that is frustrating me is that in the past few days it feels like it is taking forever for my insulin to start working in my body - in the past it seemed like it would start working in about 30 minutes, but I'm sitting here almost 40 minutes after bolusing 3.6 units for breakfast and to correct a 149, and I'm now at 159. How long does it take you guys for humalog/novolog/apidra to start working?</t>
        </is>
      </c>
      <c r="D457" t="n">
        <v>1</v>
      </c>
      <c r="E457" t="n">
        <v>15</v>
      </c>
      <c r="F457">
        <f>HYPERLINK("https://www.reddit.com/r/diabetes/comments/2or1pj/time_for_fastacting_insulin_to_start_working/")</f>
        <v/>
      </c>
      <c r="G457" t="inlineStr">
        <is>
          <t>2014-12-09 05:00:36</t>
        </is>
      </c>
      <c r="H457" t="inlineStr">
        <is>
          <t>Type 1</t>
        </is>
      </c>
    </row>
    <row r="458">
      <c r="A458" t="inlineStr">
        <is>
          <t>2ornhv</t>
        </is>
      </c>
      <c r="B458" t="inlineStr">
        <is>
          <t>Why are diabetics recommended to try and not take a lot of insulin?</t>
        </is>
      </c>
      <c r="C458" t="inlineStr">
        <is>
          <t>I have noticed in this sub that some endo's are telling their patients that they are taking too much insulin.  People are switching to a low carb diet for that reason alone in some cases that I have seen, but I am not sure what the reason behind it is.
What is the reason behind this?  Is it just for more stable numbers?
I am currently taking 23 units of Lantus and 10-13 units of Humalog over the day.  Is this a large amount?</t>
        </is>
      </c>
      <c r="D458" t="n">
        <v>1</v>
      </c>
      <c r="E458" t="n">
        <v>30</v>
      </c>
      <c r="F458">
        <f>HYPERLINK("https://www.reddit.com/r/diabetes/comments/2ornhv/why_are_diabetics_recommended_to_try_and_not_take/")</f>
        <v/>
      </c>
      <c r="G458" t="inlineStr">
        <is>
          <t>2014-12-09 08:42:39</t>
        </is>
      </c>
      <c r="H458" t="inlineStr">
        <is>
          <t>Type 1</t>
        </is>
      </c>
    </row>
    <row r="459">
      <c r="A459" t="inlineStr">
        <is>
          <t>2otun1</t>
        </is>
      </c>
      <c r="B459" t="inlineStr">
        <is>
          <t>DexDrip (Battle of the Dexes!)</t>
        </is>
      </c>
      <c r="C459" t="inlineStr">
        <is>
          <t>[Imgur](http://i.imgur.com/fled9b6.png)
Bluetooth Dexcom for Android!
&amp;amp;nbsp;
One week ago I started a new sensor and kicked off the BattleOfTheDexes
I compared my DexDrip Alogrithm against the Dexcom 505 Algorithm.
(obviously its just one sample so nothing conclusive, but the results are in)
&amp;amp;nbsp;
METER | Dexcom | DexDrip
-----:|-----:|-----:
105 | 87 | **100**
181 | **188** | 169
166 | 236 | **185**
75 | 53 | **66**
103 | 101 | **103**
118 | 102 | **111**
120 | 154 | **144**
151  | 125 | 137
102 | 95 | **103**
89 | **90** | 98
97 | **106** | 111
&amp;amp;nbsp;
Overall MARDs:
Dexcom: 15.5%
DexDrip: 8.7%
&amp;amp;nbsp;
Note that Dexcoms actual MARD as calculated in studies is 9% I believe so its quite possible I had a bum sensor here. Also note that DexDrip got one extra calibration value on the second day (because it asks for one if it thinks things are off at a time when it thinks the calibration will be the most helpful)
&amp;amp;nbsp;
I stopped this first comparison here because once I restart the sensor on my Dexcom, DexDrip winds up with a huge advantage as it already knows the slope from the last few days of calibrations wheras dexcom will be starting from scratch. I will do more comparisons each time I change sensors!
&amp;amp;nbsp;
Want to know more about the project? Check it out [HERE](http://stephenblackwasalreadytaken.github.io/DexDrip)
&amp;amp;nbsp;
All of the code is available and open source, if you want help getting it running just ask, Its constantly getting updated so either watch the repo in github or follow me on twitter @StephenIsTaken</t>
        </is>
      </c>
      <c r="D459" t="n">
        <v>7</v>
      </c>
      <c r="E459" t="n">
        <v>12</v>
      </c>
      <c r="F459">
        <f>HYPERLINK("https://www.reddit.com/r/diabetes/comments/2otun1/dexdrip_battle_of_the_dexes/")</f>
        <v/>
      </c>
      <c r="G459" t="inlineStr">
        <is>
          <t>2014-12-09 19:40:11</t>
        </is>
      </c>
      <c r="H459" t="inlineStr">
        <is>
          <t>Type 1</t>
        </is>
      </c>
    </row>
    <row r="460">
      <c r="A460" t="inlineStr">
        <is>
          <t>2ouc94</t>
        </is>
      </c>
      <c r="B460" t="inlineStr">
        <is>
          <t>Life as i diabetic is fucking hard sometimes</t>
        </is>
      </c>
      <c r="C460" t="inlineStr">
        <is>
          <t>Alright people this is my first post to this sub and i have come to rant. I am a type 1 diabetic since 1997, diagnosed at the ripe age of 5. i have been on the medtronic minimed pump for about 5-6 years and have been having insurance/ medical supplies provider issues. I had changed insurance from a decent insurance to a really shitty one and the medical supplies provider that accepts the new shitty insurance is pretty shitty themselves so it is taking way to long and way to much effort in order for me to get some fucking infusion sets for my pump. 
so today i am on my last infusion set that has already been in for a couple days and is starting to get a lil itchy and the fucking infusion set  rips out by some chance. and im just like fuckkkkkkkkkkking great. i have no way of getting insulin now cuz my fucking insurance and the fucking med suppliers fucking suck. so i went to a 24/hr wallgreen and bought some syringes and now am bolusing via syringe with no long lasting insulin. fuck the insurance companies and the fucking medical supply industry.</t>
        </is>
      </c>
      <c r="D460" t="n">
        <v>19</v>
      </c>
      <c r="E460" t="n">
        <v>23</v>
      </c>
      <c r="F460">
        <f>HYPERLINK("https://www.reddit.com/r/diabetes/comments/2ouc94/life_as_i_diabetic_is_fucking_hard_sometimes/")</f>
        <v/>
      </c>
      <c r="G460" t="inlineStr">
        <is>
          <t>2014-12-09 22:43:29</t>
        </is>
      </c>
      <c r="H460" t="inlineStr">
        <is>
          <t>Type 1</t>
        </is>
      </c>
    </row>
    <row r="461">
      <c r="A461" t="inlineStr">
        <is>
          <t>2ouhdx</t>
        </is>
      </c>
      <c r="B461" t="inlineStr">
        <is>
          <t>effect of lows/highs are you get older</t>
        </is>
      </c>
      <c r="C461" t="inlineStr">
        <is>
          <t>Hello all, I've been a diabetic for 26 years and I'm now in my early 30s. I've been very fortunate in that my diabetes has been pretty easy to control with very predictably acting insulin. My A1C is usually in the low 7s. Since the last year I've been finding that my diabetes has been affecting me more than it used to. Highs seem to really make me tired and having a low can really make me unfocused for a long time after recovering. Previously I was always able to power through my highs (as long as they were just 200-300 or so) and I would recover quickly after lows. I'm finding that now I really have to try and maintain much tigher control to keep my energy level up. My endo says this is basically a symptom of getting older, the same way your hangovers are worse now than when you were in your 20s, etc. I'm wondering if others have experienced a similar change as they get older. Thank you.</t>
        </is>
      </c>
      <c r="D461" t="n">
        <v>1</v>
      </c>
      <c r="E461" t="n">
        <v>0</v>
      </c>
      <c r="F461">
        <f>HYPERLINK("https://www.reddit.com/r/diabetes/comments/2ouhdx/effect_of_lowshighs_are_you_get_older/")</f>
        <v/>
      </c>
      <c r="G461" t="inlineStr">
        <is>
          <t>2014-12-09 23:56:31</t>
        </is>
      </c>
      <c r="H461" t="inlineStr">
        <is>
          <t>Type 1</t>
        </is>
      </c>
    </row>
    <row r="462">
      <c r="A462" t="inlineStr">
        <is>
          <t>2oui58</t>
        </is>
      </c>
      <c r="B462" t="inlineStr">
        <is>
          <t>effect of lows/highs as you get older</t>
        </is>
      </c>
      <c r="C462" t="inlineStr">
        <is>
          <t>Hello all, I've been a diabetic for 26 years and I'm now in my early 30s. I've been very fortunate in that my diabetes has been pretty easy to control with very predictably acting insulin. My A1C is usually in the low 7s. Since the last year I've been finding that my diabetes has been affecting me more than it used to. Highs seem to really make me tired and having a low can really make me unfocused for a long time after recovering. Previously I was always able to power through my highs (as long as they were just 200-300 or so) and I would recover quickly after lows. I'm finding that now I really have to try and maintain much tigher control to keep my energy level up. My endo says this is basically a symptom of getting older, the same way your hangovers are worse now than when you were in your 20s, etc. I'm wondering if others have experienced a similar change as they get older. Thank you.
(Note: I deleted the original and reposted this with a corrected title)</t>
        </is>
      </c>
      <c r="D462" t="n">
        <v>3</v>
      </c>
      <c r="E462" t="n">
        <v>3</v>
      </c>
      <c r="F462">
        <f>HYPERLINK("https://www.reddit.com/r/diabetes/comments/2oui58/effect_of_lowshighs_as_you_get_older/")</f>
        <v/>
      </c>
      <c r="G462" t="inlineStr">
        <is>
          <t>2014-12-10 00:08:27</t>
        </is>
      </c>
      <c r="H462" t="inlineStr">
        <is>
          <t>Type 1</t>
        </is>
      </c>
    </row>
    <row r="463">
      <c r="A463" t="inlineStr">
        <is>
          <t>2ow0w5</t>
        </is>
      </c>
      <c r="B463" t="inlineStr">
        <is>
          <t>So I Learned Why We Wash Our Hands Before Testing</t>
        </is>
      </c>
      <c r="C463" t="inlineStr">
        <is>
          <t>So I forgot to test my BG before lunch today. After lunch I remembered and tested thinking, I've just gotten done eating and I should still be able to get a good read. 
My Result? 233. I started to freak out, I had been at 120 just two hours after eating earlier this morning. No cheating, just water and black coffee... 
Then it hit me, I had blackberries and cherries with lunch today, and I didn't wash my hands before testing. Tested again after washing them... 114.</t>
        </is>
      </c>
      <c r="D463" t="n">
        <v>15</v>
      </c>
      <c r="E463" t="n">
        <v>12</v>
      </c>
      <c r="F463">
        <f>HYPERLINK("https://www.reddit.com/r/diabetes/comments/2ow0w5/so_i_learned_why_we_wash_our_hands_before_testing/")</f>
        <v/>
      </c>
      <c r="G463" t="inlineStr">
        <is>
          <t>2014-12-10 10:54:57</t>
        </is>
      </c>
      <c r="H463" t="inlineStr">
        <is>
          <t>Type 2</t>
        </is>
      </c>
    </row>
    <row r="464">
      <c r="A464" t="inlineStr">
        <is>
          <t>2ow9bk</t>
        </is>
      </c>
      <c r="B464" t="inlineStr">
        <is>
          <t>Anyone on here have any experience with T1 and the flu?</t>
        </is>
      </c>
      <c r="C464" t="inlineStr">
        <is>
          <t xml:space="preserve">It's circulating around the office and yes, I got my shot but I'm completely terrified every year when this season rolls around that the flu + diabetes = automatic death sentence. Can anyone share any insight on contracting and treating the flu? What you experienced? Were you hospitalized? etc. </t>
        </is>
      </c>
      <c r="D464" t="n">
        <v>1</v>
      </c>
      <c r="E464" t="n">
        <v>19</v>
      </c>
      <c r="F464">
        <f>HYPERLINK("https://www.reddit.com/r/diabetes/comments/2ow9bk/anyone_on_here_have_any_experience_with_t1_and/")</f>
        <v/>
      </c>
      <c r="G464" t="inlineStr">
        <is>
          <t>2014-12-10 12:00:40</t>
        </is>
      </c>
      <c r="H464" t="inlineStr">
        <is>
          <t>Type 1</t>
        </is>
      </c>
    </row>
    <row r="465">
      <c r="A465" t="inlineStr">
        <is>
          <t>2owd02</t>
        </is>
      </c>
      <c r="B465" t="inlineStr">
        <is>
          <t>T1's, I need a refresher</t>
        </is>
      </c>
      <c r="C465" t="inlineStr">
        <is>
          <t xml:space="preserve">Hey all, just had my appointment with my endo. He wants to me refine my Carb/insulin ratio a little better. I've been a tad lackadaisical for the past couple years so this is a good time to refine all my ratios. What are your self experiments to determine:
1) carb unit increase in bg
2) insulin unit decrease in bg
3) insulin/carb ratio
4) setting basal, esp if you are altering your basal rates depending on time of day
5) He said to pay attention to insulin sensitivity at different times of the day, any input/advice on that.
6) How do y'all figure out when insulin hits following a bolus and when carbs hit (I know it's variable depending on the type of meal) after ingestion? This is to hone in on square/dual wave bolusing.
Thank you all for your help. It's time to break out of this rut and get re-inspired to get better control </t>
        </is>
      </c>
      <c r="D465" t="n">
        <v>2</v>
      </c>
      <c r="E465" t="n">
        <v>3</v>
      </c>
      <c r="F465">
        <f>HYPERLINK("https://www.reddit.com/r/diabetes/comments/2owd02/t1s_i_need_a_refresher/")</f>
        <v/>
      </c>
      <c r="G465" t="inlineStr">
        <is>
          <t>2014-12-10 12:29:05</t>
        </is>
      </c>
      <c r="H465" t="inlineStr">
        <is>
          <t>Type 1</t>
        </is>
      </c>
    </row>
    <row r="466">
      <c r="A466" t="inlineStr">
        <is>
          <t>2ox3i8</t>
        </is>
      </c>
      <c r="B466" t="inlineStr">
        <is>
          <t>T2 fully diagnosed today, feeling angry (vent)</t>
        </is>
      </c>
      <c r="C466" t="inlineStr">
        <is>
          <t xml:space="preserve">52 YO Female, By fully diagnosed, I mean this:  (strike 1)I was diagnosed with impaired fasting glucose 3 years ago. (strike 2) My son weighed 9lbs 14 oz at birth, 25 yrs ago. (strike 3) My BMI is 28. I went through a pre-diabetes nutritional program, started getting carbs out of the way. Dropped a few lbs, I have always walked, 6 out of 7 days/wk. In April of this year I finished reading " Wheat Belly" by Dr. William Davis (at the recommendation of my MD) and went grain-free.  I started metformin in September but my A1C had only dropped from 6.6 to 6.5. I had dropped 5 lbs (little yay). I feel so angry.
I was a good kid, didn't get into trouble, did as I was told. I have never smoked, only drank in moderation, been married to the same guy since 1983. I have always exercised regularly and ate mostly healthy. 
I feel like I have been punched. I know it the big picture, this is not a big deal. I have so much to be thankful for, and I can handle this like an adult. I know no one earns or deserves a metabolic diagnosis. 
I just feel so old. </t>
        </is>
      </c>
      <c r="D466" t="n">
        <v>1</v>
      </c>
      <c r="E466" t="n">
        <v>10</v>
      </c>
      <c r="F466">
        <f>HYPERLINK("https://www.reddit.com/r/diabetes/comments/2ox3i8/t2_fully_diagnosed_today_feeling_angry_vent/")</f>
        <v/>
      </c>
      <c r="G466" t="inlineStr">
        <is>
          <t>2014-12-10 16:02:46</t>
        </is>
      </c>
      <c r="H466" t="inlineStr">
        <is>
          <t>Type 2</t>
        </is>
      </c>
    </row>
    <row r="467">
      <c r="A467" t="inlineStr">
        <is>
          <t>2ox9tn</t>
        </is>
      </c>
      <c r="B467" t="inlineStr">
        <is>
          <t>Lantus Pen Bleeding</t>
        </is>
      </c>
      <c r="C467" t="inlineStr">
        <is>
          <t>This does not happen very often...but I just gave my 7:30 pm Lantus shot (8 Units). And as soon as I pulled the pen out I got a big drop of blood. I can feel a little bump beneath the surface now (15 min later). I can see a slight bruise. What should I expect for the rest of the night...any chance I should inject again?</t>
        </is>
      </c>
      <c r="D467" t="n">
        <v>1</v>
      </c>
      <c r="E467" t="n">
        <v>4</v>
      </c>
      <c r="F467">
        <f>HYPERLINK("https://www.reddit.com/r/diabetes/comments/2ox9tn/lantus_pen_bleeding/")</f>
        <v/>
      </c>
      <c r="G467" t="inlineStr">
        <is>
          <t>2014-12-10 16:58:39</t>
        </is>
      </c>
      <c r="H467" t="inlineStr">
        <is>
          <t>Type 1</t>
        </is>
      </c>
    </row>
    <row r="468">
      <c r="A468" t="inlineStr">
        <is>
          <t>2ozqtf</t>
        </is>
      </c>
      <c r="B468" t="inlineStr">
        <is>
          <t>BS Levels are Batshit crazy high during my lady cycle</t>
        </is>
      </c>
      <c r="C468" t="inlineStr">
        <is>
          <t>Hi all (mainly ladies),
Want to know if this affects any other T1 women to the same scale that it affects me.
My sugar control is normally pretty good - A1C was 7.1 as of last check and I WILL get it back down to 6.5 before my next one. 
HOWEVER!  For one week every month (can you guess which?) without fail, my sugars are high as a mawfuka and I cannot do anything to change it. 
It seems like my body literally does not respond to insulin during these 3-4 days - I run at 17-20 mmol despite doubling or even tripling my basal (insulin pump), bolusing a whole lot more and exercising like a fiend.  
I exercise with weight training/cardio about 5X weekly and it's much 
harder to stick with that during this week because i feel like shit and am exhausted from the high sugars... which obviously makes it even harder to get them down!
I'm on birth control - lowest hormone dose as recommended by my endo for minimal BS interruption -and the "off" week is where things go crazy.
So - feedback? Does anyone else have similar experiences? How do you manage/get through these periods (hehe) of high blood sugars without rhyme or reason?</t>
        </is>
      </c>
      <c r="D468" t="n">
        <v>2</v>
      </c>
      <c r="E468" t="n">
        <v>19</v>
      </c>
      <c r="F468">
        <f>HYPERLINK("https://www.reddit.com/r/diabetes/comments/2ozqtf/bs_levels_are_batshit_crazy_high_during_my_lady/")</f>
        <v/>
      </c>
      <c r="G468" t="inlineStr">
        <is>
          <t>2014-12-11 10:03:48</t>
        </is>
      </c>
      <c r="H468" t="inlineStr">
        <is>
          <t>Type 1</t>
        </is>
      </c>
    </row>
    <row r="469">
      <c r="A469" t="inlineStr">
        <is>
          <t>2ozz90</t>
        </is>
      </c>
      <c r="B469" t="inlineStr">
        <is>
          <t>Lantus: should I take it at bedtime or split dose?</t>
        </is>
      </c>
      <c r="C469" t="inlineStr">
        <is>
          <t>I started taking Lantus in the morning. I was suffering a big dawn phenomenon, and I increased my dosage from 15u to 20u until I decided to try lunch time. When I switched to lunch time I got my dosage back to 14u because I was having lows in the morning, but I was going short in the few hours before lunch. 
Now I don't know if I should try taking it before bedtime (I'm prone to night lows) or if I should switch to a split morning/bedtime. 
What do you think?</t>
        </is>
      </c>
      <c r="D469" t="n">
        <v>1</v>
      </c>
      <c r="E469" t="n">
        <v>6</v>
      </c>
      <c r="F469">
        <f>HYPERLINK("https://www.reddit.com/r/diabetes/comments/2ozz90/lantus_should_i_take_it_at_bedtime_or_split_dose/")</f>
        <v/>
      </c>
      <c r="G469" t="inlineStr">
        <is>
          <t>2014-12-11 11:13:41</t>
        </is>
      </c>
      <c r="H469" t="inlineStr">
        <is>
          <t>Type 1</t>
        </is>
      </c>
    </row>
    <row r="470">
      <c r="A470" t="inlineStr">
        <is>
          <t>2p2bu3</t>
        </is>
      </c>
      <c r="B470" t="inlineStr">
        <is>
          <t>Mother just diagnosed with Type 2. What can I do?</t>
        </is>
      </c>
      <c r="C470" t="inlineStr">
        <is>
          <t xml:space="preserve">Just a month ago my mother was diagnosed. We've suspected it, though, for about a year now. She hasn't had insurance for about a decade due to affordability so we assume this has gone unchecked for quite some time. She lives with me and she has a part-time job working manual labor as a shelf stocker overnight. Do you have any suggestions as to what I can do to help her? I don't have the first clue about Diabetes or how to help her maintain her health or blood-sugar.  Any suggestions would be appreciated.
Edit: Thanks to everyone who've replied. I have a better sense of direction now. </t>
        </is>
      </c>
      <c r="D470" t="n">
        <v>1</v>
      </c>
      <c r="E470" t="n">
        <v>8</v>
      </c>
      <c r="F470">
        <f>HYPERLINK("https://www.reddit.com/r/diabetes/comments/2p2bu3/mother_just_diagnosed_with_type_2_what_can_i_do/")</f>
        <v/>
      </c>
      <c r="G470" t="inlineStr">
        <is>
          <t>2014-12-12 01:01:09</t>
        </is>
      </c>
      <c r="H470" t="inlineStr">
        <is>
          <t>Type 2</t>
        </is>
      </c>
    </row>
    <row r="471">
      <c r="A471" t="inlineStr">
        <is>
          <t>2p441x</t>
        </is>
      </c>
      <c r="B471" t="inlineStr">
        <is>
          <t>Type 1 Diabetes in Belize?</t>
        </is>
      </c>
      <c r="C471" t="inlineStr">
        <is>
          <t xml:space="preserve">Hey!
I'm going with my biology department on a study abroad trip to Belize next spring for a month. We will be spending two weeks in the San Ignacio area and the other two weeks on Ambergris Caye. 
I'm a type 1 diabetic and on the pump, but I will be switching to injections for the trip to avoid complications from pump/infusion set malfunctions. My endo is totally fine with my trip, but being the worrier that I am, I wanted some other opinions from y'all. 
If you live in Belize or have been to Belize, can you give me some tips about diabetes care in that country or how easy it may be to get supplies if I may need them? </t>
        </is>
      </c>
      <c r="D471" t="n">
        <v>4</v>
      </c>
      <c r="E471" t="n">
        <v>1</v>
      </c>
      <c r="F471">
        <f>HYPERLINK("https://www.reddit.com/r/diabetes/comments/2p441x/type_1_diabetes_in_belize/")</f>
        <v/>
      </c>
      <c r="G471" t="inlineStr">
        <is>
          <t>2014-12-12 13:12:47</t>
        </is>
      </c>
      <c r="H471" t="inlineStr">
        <is>
          <t>Type 1</t>
        </is>
      </c>
    </row>
    <row r="472">
      <c r="A472" t="inlineStr">
        <is>
          <t>2p5k3z</t>
        </is>
      </c>
      <c r="B472" t="inlineStr">
        <is>
          <t>T slim pump</t>
        </is>
      </c>
      <c r="C472" t="inlineStr">
        <is>
          <t>my Dr just ordered me the t slim insulin pump, any advice on what to expect going from shots to a pump after being diabetic 10 years? And any reviews on the tslim?</t>
        </is>
      </c>
      <c r="D472" t="n">
        <v>3</v>
      </c>
      <c r="E472" t="n">
        <v>9</v>
      </c>
      <c r="F472">
        <f>HYPERLINK("https://www.reddit.com/r/diabetes/comments/2p5k3z/t_slim_pump/")</f>
        <v/>
      </c>
      <c r="G472" t="inlineStr">
        <is>
          <t>2014-12-12 22:31:01</t>
        </is>
      </c>
      <c r="H472" t="inlineStr">
        <is>
          <t>Type 1</t>
        </is>
      </c>
    </row>
    <row r="473">
      <c r="A473" t="inlineStr">
        <is>
          <t>2p6su7</t>
        </is>
      </c>
      <c r="B473" t="inlineStr">
        <is>
          <t>I tested '115' 8 hours after a meal. In that 8 hours I couldn't stop drinking water and my face was pale.</t>
        </is>
      </c>
      <c r="C473" t="inlineStr">
        <is>
          <t>Me and some buddies were out at a wing place. I had a chicken grilled chicken sandwhich and fries. Then we went bar hopping (I don't drink). but I felt pretty off and looked pale. I couldn't stop drinking glass after glass of water.   Finally when I got home later that night 8 hours had passed from meal time and my BS was 115.     My prior A1C was 5.5 (2 months ago)
My doctor said she doesn't think I'm diabetic.... should I revisit her?</t>
        </is>
      </c>
      <c r="D473" t="n">
        <v>1</v>
      </c>
      <c r="E473" t="n">
        <v>21</v>
      </c>
      <c r="F473">
        <f>HYPERLINK("https://www.reddit.com/r/diabetes/comments/2p6su7/i_tested_115_8_hours_after_a_meal_in_that_8_hours/")</f>
        <v/>
      </c>
      <c r="G473" t="inlineStr">
        <is>
          <t>2014-12-13 10:12:45</t>
        </is>
      </c>
      <c r="H473" t="inlineStr">
        <is>
          <t>Type 2</t>
        </is>
      </c>
    </row>
    <row r="474">
      <c r="A474" t="inlineStr">
        <is>
          <t>2p9n6j</t>
        </is>
      </c>
      <c r="B474" t="inlineStr">
        <is>
          <t>1 Year since my diagnosis</t>
        </is>
      </c>
      <c r="C474" t="inlineStr">
        <is>
          <t xml:space="preserve">Actually it's been about 11 months. 
In January I was diagnosed with T2 at an a1c of 12.2 and an average daily blood sugar of around 400. 
My last 2 a1c's have both been 5.0. 
I have lost 100+ pounds been eating the diabetic diet and cannot get over how much better I feel. 
I went from a 3XL shirt to XL and XLT (i am over six foot) pant sizes down to 38's from 44+. 
I owe a lot of my success to my family but a good segment to this subreddit. It kept me going when I was really down and out. I was lurking but when I saw those who were succeeding. I knew I could do it. 
Thanks to all of you!!!!
</t>
        </is>
      </c>
      <c r="D474" t="n">
        <v>27</v>
      </c>
      <c r="E474" t="n">
        <v>10</v>
      </c>
      <c r="F474">
        <f>HYPERLINK("https://www.reddit.com/r/diabetes/comments/2p9n6j/1_year_since_my_diagnosis/")</f>
        <v/>
      </c>
      <c r="G474" t="inlineStr">
        <is>
          <t>2014-12-14 08:04:50</t>
        </is>
      </c>
      <c r="H474" t="inlineStr">
        <is>
          <t>Type 2</t>
        </is>
      </c>
    </row>
    <row r="475">
      <c r="A475" t="inlineStr">
        <is>
          <t>2phxfb</t>
        </is>
      </c>
      <c r="B475" t="inlineStr">
        <is>
          <t>Great way to make military recruiters leave you alone</t>
        </is>
      </c>
      <c r="C475" t="inlineStr">
        <is>
          <t>Say "I have type 1 diabetes"</t>
        </is>
      </c>
      <c r="D475" t="n">
        <v>13</v>
      </c>
      <c r="E475" t="n">
        <v>5</v>
      </c>
      <c r="F475">
        <f>HYPERLINK("https://www.reddit.com/r/diabetes/comments/2phxfb/great_way_to_make_military_recruiters_leave_you/")</f>
        <v/>
      </c>
      <c r="G475" t="inlineStr">
        <is>
          <t>2014-12-16 11:31:04</t>
        </is>
      </c>
      <c r="H475" t="inlineStr">
        <is>
          <t>Type 1</t>
        </is>
      </c>
    </row>
    <row r="476">
      <c r="A476" t="inlineStr">
        <is>
          <t>2pigmy</t>
        </is>
      </c>
      <c r="B476" t="inlineStr">
        <is>
          <t>Type 1 Diabetes - Treatment Survey</t>
        </is>
      </c>
      <c r="C476" t="inlineStr">
        <is>
          <t xml:space="preserve">Hello!
I am currently undertaking a research project in my sixth year of high school, which I have based on diabetes - primarily type 1.
It would be great to include some opinions and information from diabetic patients, it would give some real and genuine thoughts and answers from the best possible source.
There are ten questions, dealing primarily with your satisfaction on some areas of your treatment and some opinions on what you would like to see in the future, among other things.
Link to my survey - https://www.surveymonkey.com/s/VM3RJ9D
Thanks very much for your consideration :). </t>
        </is>
      </c>
      <c r="D476" t="n">
        <v>0</v>
      </c>
      <c r="E476" t="n">
        <v>0</v>
      </c>
      <c r="F476">
        <f>HYPERLINK("https://www.reddit.com/r/diabetes/comments/2pigmy/type_1_diabetes_treatment_survey/")</f>
        <v/>
      </c>
      <c r="G476" t="inlineStr">
        <is>
          <t>2014-12-16 14:06:46</t>
        </is>
      </c>
      <c r="H476" t="inlineStr">
        <is>
          <t>Type 1</t>
        </is>
      </c>
    </row>
    <row r="477">
      <c r="A477" t="inlineStr">
        <is>
          <t>2pijfd</t>
        </is>
      </c>
      <c r="B477" t="inlineStr">
        <is>
          <t>One of the worst things I can say to myself is "I'll just take a few bites, then do my shot"</t>
        </is>
      </c>
      <c r="C477" t="inlineStr">
        <is>
          <t>5 hours later, here I am with a BS of 340.
Also, I just wasted 2 test strips by not waiting for the meter to be ready.</t>
        </is>
      </c>
      <c r="D477" t="n">
        <v>3</v>
      </c>
      <c r="E477" t="n">
        <v>3</v>
      </c>
      <c r="F477">
        <f>HYPERLINK("https://www.reddit.com/r/diabetes/comments/2pijfd/one_of_the_worst_things_i_can_say_to_myself_is/")</f>
        <v/>
      </c>
      <c r="G477" t="inlineStr">
        <is>
          <t>2014-12-16 14:29:21</t>
        </is>
      </c>
      <c r="H477" t="inlineStr">
        <is>
          <t>Type 1</t>
        </is>
      </c>
    </row>
    <row r="478">
      <c r="A478" t="inlineStr">
        <is>
          <t>2pkq31</t>
        </is>
      </c>
      <c r="B478" t="inlineStr">
        <is>
          <t>What do you do to help alleviate extreme hunger symptoms when you're hypoglycemic?</t>
        </is>
      </c>
      <c r="C478" t="inlineStr">
        <is>
          <t>Dealing with an ongoing hour-long low here, and over 70 carbs in treatement (spread out over the hour - don't worry!) I still feel like I'm dying and that I need to eat EVERYTHING!!!
I've taken to a few spoonfuls of crunchy, no-sugar added, peanut butter to try to stop myself from going for more carb-loaded food (there's a full package of cookies calling my name). At least with peanut butter, it takes a few minutes to get it down!
Anyone else have any tips that have worked for them?</t>
        </is>
      </c>
      <c r="D478" t="n">
        <v>2</v>
      </c>
      <c r="E478" t="n">
        <v>8</v>
      </c>
      <c r="F478">
        <f>HYPERLINK("https://www.reddit.com/r/diabetes/comments/2pkq31/what_do_you_do_to_help_alleviate_extreme_hunger/")</f>
        <v/>
      </c>
      <c r="G478" t="inlineStr">
        <is>
          <t>2014-12-17 05:44:21</t>
        </is>
      </c>
      <c r="H478" t="inlineStr">
        <is>
          <t>Type 1</t>
        </is>
      </c>
    </row>
    <row r="479">
      <c r="A479" t="inlineStr">
        <is>
          <t>2pl6u7</t>
        </is>
      </c>
      <c r="B479" t="inlineStr">
        <is>
          <t>My husband has T1D. We're going on a road trip next month and I could really use some tips and advice.</t>
        </is>
      </c>
      <c r="C479" t="inlineStr">
        <is>
          <t>We're 21 and we've never really traveled before. There are nights where we'll be sleeping in the car. It's going to be January so I'm worried about what we should do with his insulin. I would also really appreciate any other travel tips and advice. Thanks so much!
Edit: He wears an insulin pump. Is there something we should do to make sure the insulin in his pump is okay during the night or should it be fine since it will be close to his body in a sleeping bag?</t>
        </is>
      </c>
      <c r="D479" t="n">
        <v>2</v>
      </c>
      <c r="E479" t="n">
        <v>15</v>
      </c>
      <c r="F479">
        <f>HYPERLINK("https://www.reddit.com/r/diabetes/comments/2pl6u7/my_husband_has_t1d_were_going_on_a_road_trip_next/")</f>
        <v/>
      </c>
      <c r="G479" t="inlineStr">
        <is>
          <t>2014-12-17 08:33:45</t>
        </is>
      </c>
      <c r="H479" t="inlineStr">
        <is>
          <t>Type 1</t>
        </is>
      </c>
    </row>
    <row r="480">
      <c r="A480" t="inlineStr">
        <is>
          <t>2pluat</t>
        </is>
      </c>
      <c r="B480" t="inlineStr">
        <is>
          <t>What do you feel like when your high and low ? #firstpost</t>
        </is>
      </c>
      <c r="C480" t="inlineStr">
        <is>
          <t xml:space="preserve">When my sugars are low I feel like about to die. so I eat so much stuff my sugars go really high 
When my sugars are high my hands get num and everything seems far away </t>
        </is>
      </c>
      <c r="D480" t="n">
        <v>1</v>
      </c>
      <c r="E480" t="n">
        <v>9</v>
      </c>
      <c r="F480">
        <f>HYPERLINK("https://www.reddit.com/r/diabetes/comments/2pluat/what_do_you_feel_like_when_your_high_and_low/")</f>
        <v/>
      </c>
      <c r="G480" t="inlineStr">
        <is>
          <t>2014-12-17 11:50:42</t>
        </is>
      </c>
      <c r="H480" t="inlineStr">
        <is>
          <t>Type 1</t>
        </is>
      </c>
    </row>
    <row r="481">
      <c r="A481" t="inlineStr">
        <is>
          <t>2pothg</t>
        </is>
      </c>
      <c r="B481" t="inlineStr">
        <is>
          <t>6 year old son has first pump (Minimed 530 G). Question about bolus for a high with active insulin onboard.</t>
        </is>
      </c>
      <c r="C481" t="inlineStr">
        <is>
          <t xml:space="preserve">Ok, here is the scenario. My son comes to me an hour or so after his last bolus and tells me he feels funny. I test him and his blood glucose is high. Knowing that the pump calculates active insulin, do I bolus for a correction, or wait until after he has no active insulin and retest? I am worried about giving him too much insulin and crashing later. Keep in mind that he has only had his pump for three days and all settings are new and have not been adjusted yet. Also, I we will be calling the nurse educators when they get in the office, but that will be a while. Thanks for any help. </t>
        </is>
      </c>
      <c r="D481" t="n">
        <v>1</v>
      </c>
      <c r="E481" t="n">
        <v>11</v>
      </c>
      <c r="F481">
        <f>HYPERLINK("https://www.reddit.com/r/diabetes/comments/2pothg/6_year_old_son_has_first_pump_minimed_530_g/")</f>
        <v/>
      </c>
      <c r="G481" t="inlineStr">
        <is>
          <t>2014-12-18 07:24:39</t>
        </is>
      </c>
      <c r="H481" t="inlineStr">
        <is>
          <t>Type 1</t>
        </is>
      </c>
    </row>
    <row r="482">
      <c r="A482" t="inlineStr">
        <is>
          <t>2pqga9</t>
        </is>
      </c>
      <c r="B482" t="inlineStr">
        <is>
          <t>Third party lancet options</t>
        </is>
      </c>
      <c r="C482" t="inlineStr">
        <is>
          <t>I've tested a few different lancets in the last few weeks since being diagnosed and prefer the softclix plus as I like the single action of press and press of a single button.
It's an older style in that it takes single lancets so it's thinner which I also prefer.
However the needles are 28 gauge and this appears to be the only option. I've seen third party lancets of 33 gauge I'd like to try but it's unclear which brands are compatible with the softclix plus. 
Anyone have any recommendations?</t>
        </is>
      </c>
      <c r="D482" t="n">
        <v>3</v>
      </c>
      <c r="E482" t="n">
        <v>3</v>
      </c>
      <c r="F482">
        <f>HYPERLINK("https://www.reddit.com/r/diabetes/comments/2pqga9/third_party_lancet_options/")</f>
        <v/>
      </c>
      <c r="G482" t="inlineStr">
        <is>
          <t>2014-12-18 15:40:15</t>
        </is>
      </c>
      <c r="H482" t="inlineStr">
        <is>
          <t>Type 2</t>
        </is>
      </c>
    </row>
    <row r="483">
      <c r="A483" t="inlineStr">
        <is>
          <t>2psoo1</t>
        </is>
      </c>
      <c r="B483" t="inlineStr">
        <is>
          <t>Recently diagnosed with type 2, eye related question.</t>
        </is>
      </c>
      <c r="C483" t="inlineStr">
        <is>
          <t xml:space="preserve">I was diagnosed 1 week ago with type 2. I had been having frequent urination and went to the doctor to get it checked. He informed me after blood tests that my blood sugar was high (543). He started me on Metformin, 2 tablets daily. he also informed me that I needed to make diet changes. I immediately cut all sugar drinks, and started prepping for a keto diet. I started these changes the day he told me, including starting the medicine. 
The issue is now, my eyes now feel strained. I have a hard time focusing on things, and my vision sometimes goes double with anything close. I have always had a slight double from far away. Things tend to go out of focus right away. I was having a hard time watching TV last night. If I look at anything closer than a foot to face, my eyes feel strained and whatever im looking at is slightly blurry. Is this normal?
I have a scheduled doctor visit today about this, I also set up a vision doctor visit. This is really scaring me. </t>
        </is>
      </c>
      <c r="D483" t="n">
        <v>4</v>
      </c>
      <c r="E483" t="n">
        <v>5</v>
      </c>
      <c r="F483">
        <f>HYPERLINK("https://www.reddit.com/r/diabetes/comments/2psoo1/recently_diagnosed_with_type_2_eye_related/")</f>
        <v/>
      </c>
      <c r="G483" t="inlineStr">
        <is>
          <t>2014-12-19 08:00:00</t>
        </is>
      </c>
      <c r="H483" t="inlineStr">
        <is>
          <t>Type 2</t>
        </is>
      </c>
    </row>
    <row r="484">
      <c r="A484" t="inlineStr">
        <is>
          <t>2ptu3i</t>
        </is>
      </c>
      <c r="B484" t="inlineStr">
        <is>
          <t>Hello, My 4 year old was diagnosed with T1D and my 2 year old is 'at risk'. I'm scared! (I'm sorry. Kinda long, getting it off my chest type post)</t>
        </is>
      </c>
      <c r="C484" t="inlineStr">
        <is>
          <t xml:space="preserve">((tl:dr - I'm super scared. My son is just 4! Also, is there a subreddit for parents with kids that have T1D?))
Hello all!  As the headline stated, my son was just diagnosed. It's been almost exactly a month since we sat in the ER, waiting for confirmation.  We had just come back from a physical. He had an ear infection, which he was taking antibiotics for. I thought they had given him a UTI since he just wouldn't stop going to the bathroom.  I googled this and Type 1 Diabetes came up. I had a mini panic attack and called he doc to make an appointment in morning. Afterwards, the doc said "I will bet everything that I own, that it's not diabetes." I had a full blown panic attack when the she called me an hour later saying that she lost the bet. We took a blood test and urine test and she called as soon as the results came back. His BS was about 300 and ketones were super high. So, she recommended that we go straight to Children's Hospital or call an ambulance. 
He doesn't like needles, but he's getting used to them. I'm trying to get pens to use instead of syringes. He seems to tolerate his Lantus dose better because its in a pen, I think. I'm *finally* used to giving him his injections and taking his blood. He still cries sometimes and it hurts me. But, I know it's for the best. 
Initially, I couldn't sleep. I would take his BS level at 2:00 AM as instructed by the doctor. But, I would usually would stay up until it was time because I was so nervous about him going to sleep and falling too low. Once or twice I had to wake up him and force icing is mouth or get him to drink apple juice. I was alarmed to see how much of a spike apple juice made. On his particularly low/high days, I still can't sleep since I'm thinking about him.  
I didn't let him go to a pizza party play day.  I'm scared to send him to daycare or school for a full day (he goes for half day now). What if he gets into some candy?!? He loves to run. What if he's playing and gets too low?! Don't get me started on what happens when you drink alcohol! I know he's only 4, but he'll be in college soon. I don't want him to leave my sight!
I know I'm just an overprotective mom, who seemed to get even more overprotective after I found out he had diabetes.  My one and only experience with a diabetic was with a women who died in my friends arm. She was low and collapsed in a grocery store checkout line. She fell and hit her head on a corner on something - I can't remember exactly. It was almost 10 years ago. But, I do remember that she bled to death. Now, my son has the same thing. And my other son may have it, too.
It's been a month and still figuring out things. I'm monitoring things he eats and trying to find more things that he likes to eat. He's a picker pre-schooler. It's rough, but I am taking it one day at a time. I'm glad he has a school nurse that had diabetes as well. She emails me occasionally to let me know how he is doing and if she needed to check him. For example, they had a Thanksigiving tasting and afterwards, she took his blood.
Thanks for reading. I actually feel better. I've actually calmed down alot since he was first diagnosed. I'm trying my best to get better food for him. Sometimes he's still hungry and I'm not sure if I should get him more food AND more insulin. I haven't learned how to measure carbs to insulin, yet. So I get nervous when he wasn't more than I alloted or extra snacks. Or, worst when he doesn't eat all that I thought that he would eat.
</t>
        </is>
      </c>
      <c r="D484" t="n">
        <v>16</v>
      </c>
      <c r="E484" t="n">
        <v>26</v>
      </c>
      <c r="F484">
        <f>HYPERLINK("https://www.reddit.com/r/diabetes/comments/2ptu3i/hello_my_4_year_old_was_diagnosed_with_t1d_and_my/")</f>
        <v/>
      </c>
      <c r="G484" t="inlineStr">
        <is>
          <t>2014-12-19 14:01:11</t>
        </is>
      </c>
      <c r="H484" t="inlineStr">
        <is>
          <t>Type 1</t>
        </is>
      </c>
    </row>
    <row r="485">
      <c r="A485" t="inlineStr">
        <is>
          <t>2pyb0e</t>
        </is>
      </c>
      <c r="B485" t="inlineStr">
        <is>
          <t>Sharing my good news!</t>
        </is>
      </c>
      <c r="C485" t="inlineStr">
        <is>
          <t xml:space="preserve">I just wanted to share my good news with everyone because I am so happy!
I was tested with a BG of 244 and an A1C of 10.7 in early September of this year.  I was given Metformin (1000 2 times a day) and did a major diet overhaul.
I went in for my three month checkup this week and I got BG of 106 and for the big one....
A1C of 5.4!!!!  
What a perfect Christmas gift :)  Happy Holidays, everyone! </t>
        </is>
      </c>
      <c r="D485" t="n">
        <v>14</v>
      </c>
      <c r="E485" t="n">
        <v>6</v>
      </c>
      <c r="F485">
        <f>HYPERLINK("https://www.reddit.com/r/diabetes/comments/2pyb0e/sharing_my_good_news/")</f>
        <v/>
      </c>
      <c r="G485" t="inlineStr">
        <is>
          <t>2014-12-20 21:58:08</t>
        </is>
      </c>
      <c r="H485" t="inlineStr">
        <is>
          <t>Type 2</t>
        </is>
      </c>
    </row>
    <row r="486">
      <c r="A486" t="inlineStr">
        <is>
          <t>2q2m1m</t>
        </is>
      </c>
      <c r="B486" t="inlineStr">
        <is>
          <t>Bulking Up and Insulin Resistance</t>
        </is>
      </c>
      <c r="C486" t="inlineStr">
        <is>
          <t>Hi guys. I have been dealing with a frustrating problem.
About 4 months ago, I started reasonably serious weight training - one hourlong session a week with 2-3 additional sessions of 30 minutes or so. In that time, I've gone from about 158lbs to &amp;gt;170lbs, most of the gain being in muscle.
However, at the same time, my insulin requirements have gone way up. I have raised my basals ~30% (they went from about 0.6/hr, with variance for time of day, to more like 0.8/hr) but am still dealing with some crazy insulin resistance. I do think part of it is that when I am trending high, my insulin resistance goes even higher and it is hard to keep my numbers flat even when not eating anything. In addition, I know that poor sleep is associated with higher insulin resistance, and of course I have been up 1-3x per night for the past few nights dealing with a nighttime high (though thanks to my Dexcom I usually catch it before I go much past 200).
Have any of you had disproportionate changes in insulin resistance after bulking up a bit?</t>
        </is>
      </c>
      <c r="D486" t="n">
        <v>6</v>
      </c>
      <c r="E486" t="n">
        <v>5</v>
      </c>
      <c r="F486">
        <f>HYPERLINK("https://www.reddit.com/r/diabetes/comments/2q2m1m/bulking_up_and_insulin_resistance/")</f>
        <v/>
      </c>
      <c r="G486" t="inlineStr">
        <is>
          <t>2014-12-22 06:54:16</t>
        </is>
      </c>
      <c r="H486" t="inlineStr">
        <is>
          <t>Type 1</t>
        </is>
      </c>
    </row>
    <row r="487">
      <c r="A487" t="inlineStr">
        <is>
          <t>2q37jc</t>
        </is>
      </c>
      <c r="B487" t="inlineStr">
        <is>
          <t>So tired and sad from being sick all the time (vent/rant) T1D</t>
        </is>
      </c>
      <c r="C487" t="inlineStr">
        <is>
          <t xml:space="preserve">This past year and a half has been the worst I've ever experienced with diabetes.
I was doing OK without doing half the work I do now for the first 17 years.It doesn't really matter the specifics but I work SO HARD to stay in control and I rarely see the benefits.
I'm VERY active, go to the endo often, I cook for myself, don't drink pop, don't really drink alcohol, follow macro-nutrient low carb high protein diet. I test BG 8-10 times a day and adjust correct as needed but... it doesn't matter. These are all justifications I make to myself because I can't help feeling BAD BAD DIABETIC every time I see that high number. 
I am losing days of my life to this shitty shitty disease because I'm up all night peeing and then I'm a zombie the next day with no drive, no energy and I can only explain so much to my friends/coworkers/loved ones. 
I don't know what to do anymore and I'm terrified it's going to keep getting worse as I age as it seems to have ramped up SO MUCH in the past year.
That's all. Just a rant.  Normally more positive and optimistic but right now I'm so tired and sad after an awful day/night yesterday. I don't have any diabetic friends so really just wanted to share this with people who understand. Thanks reddit. </t>
        </is>
      </c>
      <c r="D487" t="n">
        <v>12</v>
      </c>
      <c r="E487" t="n">
        <v>27</v>
      </c>
      <c r="F487">
        <f>HYPERLINK("https://www.reddit.com/r/diabetes/comments/2q37jc/so_tired_and_sad_from_being_sick_all_the_time/")</f>
        <v/>
      </c>
      <c r="G487" t="inlineStr">
        <is>
          <t>2014-12-22 10:10:27</t>
        </is>
      </c>
      <c r="H487" t="inlineStr">
        <is>
          <t>Type 1</t>
        </is>
      </c>
    </row>
    <row r="488">
      <c r="A488" t="inlineStr">
        <is>
          <t>2q3vih</t>
        </is>
      </c>
      <c r="B488" t="inlineStr">
        <is>
          <t>[T2] CURED FROM DIABETES</t>
        </is>
      </c>
      <c r="C488" t="inlineStr">
        <is>
          <t xml:space="preserve">My story how I was cured from diabetes </t>
        </is>
      </c>
      <c r="D488" t="n">
        <v>1</v>
      </c>
      <c r="E488" t="n">
        <v>0</v>
      </c>
      <c r="F488">
        <f>HYPERLINK("https://www.reddit.com/r/diabetes/comments/2q3vih/t2_cured_from_diabetes/")</f>
        <v/>
      </c>
      <c r="G488" t="inlineStr">
        <is>
          <t>2014-12-22 13:24:36</t>
        </is>
      </c>
      <c r="H488" t="inlineStr">
        <is>
          <t>Type 2</t>
        </is>
      </c>
    </row>
    <row r="489">
      <c r="A489" t="inlineStr">
        <is>
          <t>2q4kgv</t>
        </is>
      </c>
      <c r="B489" t="inlineStr">
        <is>
          <t>Type 1 University Students??</t>
        </is>
      </c>
      <c r="C489" t="inlineStr">
        <is>
          <t xml:space="preserve">Any T1 university students out there? Would love to get a discussion going with regards to difficulties you may have experienced or tips you have for others.
I've always found having a network of people in the same situation with similar experiences is always helpful.
I'm 23 years old, T1 since 2006, and a 4th year university student in Ontario. 
Would love to hear from you! </t>
        </is>
      </c>
      <c r="D489" t="n">
        <v>1</v>
      </c>
      <c r="E489" t="n">
        <v>11</v>
      </c>
      <c r="F489">
        <f>HYPERLINK("https://www.reddit.com/r/diabetes/comments/2q4kgv/type_1_university_students/")</f>
        <v/>
      </c>
      <c r="G489" t="inlineStr">
        <is>
          <t>2014-12-22 17:04:34</t>
        </is>
      </c>
      <c r="H489" t="inlineStr">
        <is>
          <t>Type 1</t>
        </is>
      </c>
    </row>
    <row r="490">
      <c r="A490" t="inlineStr">
        <is>
          <t>2q4nvn</t>
        </is>
      </c>
      <c r="B490" t="inlineStr">
        <is>
          <t>The Flu and High Blood Sugar</t>
        </is>
      </c>
      <c r="C490" t="inlineStr">
        <is>
          <t>Hey y'all.
So I got the Flu two days ago, tested for it and everything, and am now taking Tamiflu. My symptoms are better but the past two nights my blood sugars stay in the high 300's and I wake up every hour needing to bolus an additional 5-7 units. I know when you're sick your blood sugars are much higher, but I was wondering if there was any advice on how to combat this? I've raised my basal rate to about 130% but my blood sugars still stay in the 300's-200's. During the day they seem to be decent, ranging from 150-180, but yea starting at about 9pm they skyrocket until about 9am. I'm not sure if there is anything I can do? Or if I just need to stick it out for a few more days. Thanks!</t>
        </is>
      </c>
      <c r="D490" t="n">
        <v>3</v>
      </c>
      <c r="E490" t="n">
        <v>3</v>
      </c>
      <c r="F490">
        <f>HYPERLINK("https://www.reddit.com/r/diabetes/comments/2q4nvn/the_flu_and_high_blood_sugar/")</f>
        <v/>
      </c>
      <c r="G490" t="inlineStr">
        <is>
          <t>2014-12-22 17:37:09</t>
        </is>
      </c>
      <c r="H490" t="inlineStr">
        <is>
          <t>Type 1</t>
        </is>
      </c>
    </row>
    <row r="491">
      <c r="A491" t="inlineStr">
        <is>
          <t>2q6uhq</t>
        </is>
      </c>
      <c r="B491" t="inlineStr">
        <is>
          <t>Celiac on top of everything else</t>
        </is>
      </c>
      <c r="C491" t="inlineStr">
        <is>
          <t>I got type 1 diabetes when I was 12 years old, and I was diagnosed with hypothyroidism at the same time.
I am 27 now, and I've been getting back on track and doing a lot better than I had over several years.
Then BAM - out of no where, a positive blood panel result for Celiac.  
I have an endoscopy scheduled, but the doctor requires multiple appointments, and ....
I cannot handle this.  
I cannot treat diabetes and celiac and everything else.  Does anyone else here have both?  Am I going to keep getting awful immune-related diseases?   It makes me want to give up - no matter how hard I work, it feels like its going to just get harder anyway.
I read that the blood panel can have false positives if you have hypothyroidism or diabetes - but my numbers were very high.  Has anyone else gotten a positive blood test only to get a negative result from the endoscopy?  
My doctor hedged on stating the false positive rate, and I can't blame her.  I am desperate to avoid this.
Edit:  Thank you to everyone who responded.  I will update with my test results, but I am definitely not freaking out like I was.</t>
        </is>
      </c>
      <c r="D491" t="n">
        <v>7</v>
      </c>
      <c r="E491" t="n">
        <v>23</v>
      </c>
      <c r="F491">
        <f>HYPERLINK("https://www.reddit.com/r/diabetes/comments/2q6uhq/celiac_on_top_of_everything_else/")</f>
        <v/>
      </c>
      <c r="G491" t="inlineStr">
        <is>
          <t>2014-12-23 09:13:14</t>
        </is>
      </c>
      <c r="H491" t="inlineStr">
        <is>
          <t>Type 1</t>
        </is>
      </c>
    </row>
    <row r="492">
      <c r="A492" t="inlineStr">
        <is>
          <t>2q82b2</t>
        </is>
      </c>
      <c r="B492" t="inlineStr">
        <is>
          <t>(T1) Looking for tips on late night snacks that won't spike blood sugar</t>
        </is>
      </c>
      <c r="C492" t="inlineStr">
        <is>
          <t xml:space="preserve">My fear of my blood sugar dipping during sleep is detrimental to my diabetes management. I resort to eating crap (Glucerna/Boost out of the question at the moment due to financial constraints), and I definitely need to change that habit because come morning my blood sugars are high. My endocrinologist suggested peanut butter and crackers before bed, but my girlfriend is allergic to peanuts. What do type 1 diabetics here turn to for a late night snack? </t>
        </is>
      </c>
      <c r="D492" t="n">
        <v>2</v>
      </c>
      <c r="E492" t="n">
        <v>10</v>
      </c>
      <c r="F492">
        <f>HYPERLINK("https://www.reddit.com/r/diabetes/comments/2q82b2/t1_looking_for_tips_on_late_night_snacks_that/")</f>
        <v/>
      </c>
      <c r="G492" t="inlineStr">
        <is>
          <t>2014-12-23 15:23:12</t>
        </is>
      </c>
      <c r="H492" t="inlineStr">
        <is>
          <t>Type 1</t>
        </is>
      </c>
    </row>
    <row r="493">
      <c r="A493" t="inlineStr">
        <is>
          <t>2q9z19</t>
        </is>
      </c>
      <c r="B493" t="inlineStr">
        <is>
          <t>Advice need. To be a military wife or not? I'm Pregnant. (TI 2004 Medtronic Pump)</t>
        </is>
      </c>
      <c r="C493" t="inlineStr">
        <is>
          <t>Hi everyone,
      So, my boyfriend and I found out not too long ago that I am five weeks pregnant. There are a lot of factors I need advice on. First off, yes I am a type one diabetic. Second, my boyfriend is military and wants to get married so we can provide financially well for our new family. The only thing I'm afraid of is switching doctors and such with having an established doctor outside of the military. I am on a Medtronic pump, would I even be able to stay on it with military insurance too? There are a lot of decisions and I just need some insight. Thanks for the help in advance!</t>
        </is>
      </c>
      <c r="D493" t="n">
        <v>2</v>
      </c>
      <c r="E493" t="n">
        <v>3</v>
      </c>
      <c r="F493">
        <f>HYPERLINK("https://www.reddit.com/r/diabetes/comments/2q9z19/advice_need_to_be_a_military_wife_or_not_im/")</f>
        <v/>
      </c>
      <c r="G493" t="inlineStr">
        <is>
          <t>2014-12-24 05:37:37</t>
        </is>
      </c>
      <c r="H493" t="inlineStr">
        <is>
          <t>Type 1</t>
        </is>
      </c>
    </row>
    <row r="494">
      <c r="A494" t="inlineStr">
        <is>
          <t>2qari5</t>
        </is>
      </c>
      <c r="B494" t="inlineStr">
        <is>
          <t>Kick ass lunch for a Type 1 8 year old girl</t>
        </is>
      </c>
      <c r="C494" t="inlineStr">
        <is>
          <t>I am a dad, and usually fail miserably on packed lunches for my non diabetic kids.  Imagine the train wreck of a lunch she gets!.
So, does anyone have great lunch ideas with about 45 carbs?</t>
        </is>
      </c>
      <c r="D494" t="n">
        <v>2</v>
      </c>
      <c r="E494" t="n">
        <v>27</v>
      </c>
      <c r="F494">
        <f>HYPERLINK("https://www.reddit.com/r/diabetes/comments/2qari5/kick_ass_lunch_for_a_type_1_8_year_old_girl/")</f>
        <v/>
      </c>
      <c r="G494" t="inlineStr">
        <is>
          <t>2014-12-24 10:39:21</t>
        </is>
      </c>
      <c r="H494" t="inlineStr">
        <is>
          <t>Type 1</t>
        </is>
      </c>
    </row>
    <row r="495">
      <c r="A495" t="inlineStr">
        <is>
          <t>2qjpdh</t>
        </is>
      </c>
      <c r="B495" t="inlineStr">
        <is>
          <t>Problems downstairs...</t>
        </is>
      </c>
      <c r="C495" t="inlineStr">
        <is>
          <t>So I am 23/M. Had type 1 for a little over a year now. I am having some problems maintaining an erection. Can get about 80% of the usual and able to finish but its definitely different. I am still in the honeymoon phase and my A1C is around 5.0 so I'm just looking to see if anyone here has noticed anything similar. I know that when I am low my body won't be able to keep an erection but I have been around 120 and I still get the issue.</t>
        </is>
      </c>
      <c r="D495" t="n">
        <v>11</v>
      </c>
      <c r="E495" t="n">
        <v>16</v>
      </c>
      <c r="F495">
        <f>HYPERLINK("https://www.reddit.com/r/diabetes/comments/2qjpdh/problems_downstairs/")</f>
        <v/>
      </c>
      <c r="G495" t="inlineStr">
        <is>
          <t>2014-12-27 10:12:09</t>
        </is>
      </c>
      <c r="H495" t="inlineStr">
        <is>
          <t>Type 1</t>
        </is>
      </c>
    </row>
    <row r="496">
      <c r="A496" t="inlineStr">
        <is>
          <t>2qlhpe</t>
        </is>
      </c>
      <c r="B496" t="inlineStr">
        <is>
          <t>T1 and Wisdom Teeth/Anesthesia Questions</t>
        </is>
      </c>
      <c r="C496" t="inlineStr">
        <is>
          <t>I've been T1 for about 7 out of my 20 years of life and this week will be the first time I'm going under for a procedure since I've been diagnosed. My last A1c was 6.9 and I've been cleared by my endo to get it done without high risk of infection.
I'm not allowed to eat or drink anything 6 hours prior to my appointment (which is at 8am) which makes me a little worried about correcting a low I may have and I'm very apprehensive about it as a whole.
I'm currently on a pump, so I was thinking a temp basal of about 95% just to keep myself from going low, but I really have no idea how the anesthesia might affect my blood sugar and if I should try to run at a normal range, or a little bit high. Is this a good idea? How long should I do the temporary basal for? I know eating after the surgery will be a pain too, so I want to prepare as best I can for that too.
Please share any major surgery/anesthesia experiences you may have and tips so I can do it correctly with minimal worry!</t>
        </is>
      </c>
      <c r="D496" t="n">
        <v>2</v>
      </c>
      <c r="E496" t="n">
        <v>4</v>
      </c>
      <c r="F496">
        <f>HYPERLINK("https://www.reddit.com/r/diabetes/comments/2qlhpe/t1_and_wisdom_teethanesthesia_questions/")</f>
        <v/>
      </c>
      <c r="G496" t="inlineStr">
        <is>
          <t>2014-12-27 21:46:47</t>
        </is>
      </c>
      <c r="H496" t="inlineStr">
        <is>
          <t>Type 1</t>
        </is>
      </c>
    </row>
    <row r="497">
      <c r="A497" t="inlineStr">
        <is>
          <t>2qno8q</t>
        </is>
      </c>
      <c r="B497" t="inlineStr">
        <is>
          <t>T1D Keto and Lantus</t>
        </is>
      </c>
      <c r="C497" t="inlineStr">
        <is>
          <t>Hi! Any ketoers out there with T1D who are on shots? Would love to hear some insulin routines and meals!</t>
        </is>
      </c>
      <c r="D497" t="n">
        <v>3</v>
      </c>
      <c r="E497" t="n">
        <v>10</v>
      </c>
      <c r="F497">
        <f>HYPERLINK("https://www.reddit.com/r/diabetes/comments/2qno8q/t1d_keto_and_lantus/")</f>
        <v/>
      </c>
      <c r="G497" t="inlineStr">
        <is>
          <t>2014-12-28 15:21:01</t>
        </is>
      </c>
      <c r="H497" t="inlineStr">
        <is>
          <t>Type 1</t>
        </is>
      </c>
    </row>
    <row r="498">
      <c r="A498" t="inlineStr">
        <is>
          <t>2qobb0</t>
        </is>
      </c>
      <c r="B498" t="inlineStr">
        <is>
          <t>Dumping my horrible pump - switching BACK to injections</t>
        </is>
      </c>
      <c r="C498" t="inlineStr">
        <is>
          <t>EDIT:
Got a couple of requests for clarification as to why I think injecting will work better than Pump when my control right now isn't good.
As I answered in a comment below:
I literally feel like it's not delivering insulin to my system. I wish I had a better way of explaining it. I change my infusions more often than recommended, use insulin that's well within it's sell-by date and refrigerated, prime for any bubbles/issues with the delivery system multiple times daily but if I bolus for a high blood sugar the sugar DOES NOT GO DOWN. If I inject - it goes down immediately. My basal profiles are useless because I'm either running high for days on end or I'm low constantly and I have to drink juice like it's my job. I've spent hours and hours with my diabetes team and endo working on carb-insulin ratio and the various basal rates and I can't figure out why it's not working. I believe it's actually the pump model (Roche Accuchek Spirit Combo) but as I explained in my OP I can't actually change models for another 2 years for insurance purposes and I'm not willing to stick it out.
Got another suggestion that it may be scar tissue. I tried to use longer canulas and I've changed infusion sets that I'm using but it's still a 1-2 weeks out of the month where everything goes to shit. 
Hi everyone
I posted here a couple days ago because I have been just destroyed over my lack of control and completely unpredictable readings. Today was the last straw and I'm ready to dump my insulin pump and move back to Injections.
I injected from age 5 to 21 and I had decent control - without doing much work for it.
The pump was great for the first 2 years I had it but I have had it replaced with the same model 5X in the past 15 months  - and the insurance will not allow me to change models for another 2 years. I'm fed up and I want to go back to Lantus/Humalog.
Has anyone done this ? What was your experience - positive or negative?
Please give me some insight here. I have been SO DOWN about my diabetes over the past 6 months I really feel like I'm at a crossroads.
Thank you r/diabetes. I appreciate you all.</t>
        </is>
      </c>
      <c r="D498" t="n">
        <v>14</v>
      </c>
      <c r="E498" t="n">
        <v>51</v>
      </c>
      <c r="F498">
        <f>HYPERLINK("https://www.reddit.com/r/diabetes/comments/2qobb0/dumping_my_horrible_pump_switching_back_to/")</f>
        <v/>
      </c>
      <c r="G498" t="inlineStr">
        <is>
          <t>2014-12-28 19:08:17</t>
        </is>
      </c>
      <c r="H498" t="inlineStr">
        <is>
          <t>Type 1</t>
        </is>
      </c>
    </row>
    <row r="499">
      <c r="A499" t="inlineStr">
        <is>
          <t>2qocek</t>
        </is>
      </c>
      <c r="B499" t="inlineStr">
        <is>
          <t>Body building as a diabetic</t>
        </is>
      </c>
      <c r="C499" t="inlineStr">
        <is>
          <t xml:space="preserve">Before I became a Diabetic I was into some lite body building. I weighed 165 LBS, 12.5% body fat, and had an active life style (I worked in theme park entertainment at the time danced in 4 shows a day 6 days a week on top of my lifting habit). After the season I started dropping large amounts of weight at an alarming rate and they diagnosed me. When I was taking shots I was still lifting and running, and had trouble balancing my sugars, so I fell out of my routine since then my endo wanted me on the pump and I've found it extremely hard to have a good work out regimine.
So long story short I'm fat and hate myself. Does anyone have tips or resources you can point me to so that I can get back in the horse and start my body building or at least lose weight and get back down to at least 170. Any help at all guys, thanks. </t>
        </is>
      </c>
      <c r="D499" t="n">
        <v>3</v>
      </c>
      <c r="E499" t="n">
        <v>23</v>
      </c>
      <c r="F499">
        <f>HYPERLINK("https://www.reddit.com/r/diabetes/comments/2qocek/body_building_as_a_diabetic/")</f>
        <v/>
      </c>
      <c r="G499" t="inlineStr">
        <is>
          <t>2014-12-28 19:19:42</t>
        </is>
      </c>
      <c r="H499" t="inlineStr">
        <is>
          <t>Type 1</t>
        </is>
      </c>
    </row>
    <row r="500">
      <c r="A500" t="inlineStr">
        <is>
          <t>2qqg83</t>
        </is>
      </c>
      <c r="B500" t="inlineStr">
        <is>
          <t>How do I get my dad to exercise? Food recommendations?</t>
        </is>
      </c>
      <c r="C500" t="inlineStr">
        <is>
          <t xml:space="preserve">My dad is very thin (135 lbs, 6'1) and has been loosing weight over the last decade (he's currently 55 years old). It's hard to say precisely when he got his type II diabetes, but it probably began several years before he officially got diagnosed (we have had insurance problems). Whenever I get him to start exercising, he does maybe 5 pushups or 2 pull ups. He always complains that it takes him days to weeks to recover so I feel bad pushing him. I've gotten him into running on the treadmill 10-15 minutes but he looks so frail for his age and I really just want him to gain mass, but not sure how to formulate a diet for someone with diabetes (we're vegetarians btw). Any tips? </t>
        </is>
      </c>
      <c r="D500" t="n">
        <v>1</v>
      </c>
      <c r="E500" t="n">
        <v>9</v>
      </c>
      <c r="F500">
        <f>HYPERLINK("https://www.reddit.com/r/diabetes/comments/2qqg83/how_do_i_get_my_dad_to_exercise_food/")</f>
        <v/>
      </c>
      <c r="G500" t="inlineStr">
        <is>
          <t>2014-12-29 11:00:18</t>
        </is>
      </c>
      <c r="H500" t="inlineStr">
        <is>
          <t>Type 2</t>
        </is>
      </c>
    </row>
    <row r="501">
      <c r="A501" t="inlineStr">
        <is>
          <t>2qtnzx</t>
        </is>
      </c>
      <c r="B501" t="inlineStr">
        <is>
          <t>Keeping my weight up.</t>
        </is>
      </c>
      <c r="C501" t="inlineStr">
        <is>
          <t>I was recently diagnosed T2 back in September. When I was diagnosed I weighed 165 pounds. Currently I'm at 150 and I'm 5'7". My doctor doesn't want me to go below 145 to 140.
My doctor also changed my Janumet from 50/500 to 50/1000 because I'm still experiencing morning highs between 145 and 155 and my pre-meal BG is still between 100 and 115. I'm eating about 20 carbs per meal with a 8 to 10 carb snack between lunch and dinner and before I go to bed. 
I exercise regularly, normally going out and walking 3 to 4 miles daily and hiking 10 to 12 on weekends (I try and keep my heart rate between 150 and 165).
Over the holidays I haven't been able to get out and exercise but I'm still losing weight. I'm worried with the increase in Metformin and when I start to exercise regularly again I'm going to plummet through that 140 lb mark and keep going down. 
Any tips on keeping my weight up and BG down?
Thanks!</t>
        </is>
      </c>
      <c r="D501" t="n">
        <v>7</v>
      </c>
      <c r="E501" t="n">
        <v>12</v>
      </c>
      <c r="F501">
        <f>HYPERLINK("https://www.reddit.com/r/diabetes/comments/2qtnzx/keeping_my_weight_up/")</f>
        <v/>
      </c>
      <c r="G501" t="inlineStr">
        <is>
          <t>2014-12-30 08:10:08</t>
        </is>
      </c>
      <c r="H501" t="inlineStr">
        <is>
          <t>Type 2</t>
        </is>
      </c>
    </row>
    <row r="502">
      <c r="A502" t="inlineStr">
        <is>
          <t>2qve2d</t>
        </is>
      </c>
      <c r="B502" t="inlineStr">
        <is>
          <t>Anyone else ever feel terrible after an intense workout, even with normal blood sugars?</t>
        </is>
      </c>
      <c r="C502" t="inlineStr">
        <is>
          <t xml:space="preserve">I do jiu jitsu several times each week and sometimes I will feel terrible (kind of like a high BG) after a particularly difficult session. I'm assuming this is diabetes related, though my blood sugar right now is only 170, so I don't feel like it should be. Does this ever happen to anyone else? </t>
        </is>
      </c>
      <c r="D502" t="n">
        <v>0</v>
      </c>
      <c r="E502" t="n">
        <v>19</v>
      </c>
      <c r="F502">
        <f>HYPERLINK("https://www.reddit.com/r/diabetes/comments/2qve2d/anyone_else_ever_feel_terrible_after_an_intense/")</f>
        <v/>
      </c>
      <c r="G502" t="inlineStr">
        <is>
          <t>2014-12-30 16:58:58</t>
        </is>
      </c>
      <c r="H502" t="inlineStr">
        <is>
          <t>Type 1</t>
        </is>
      </c>
    </row>
    <row r="503">
      <c r="A503" t="inlineStr">
        <is>
          <t>2qw41g</t>
        </is>
      </c>
      <c r="B503" t="inlineStr">
        <is>
          <t>Small but interesting study looks at the effects of a "traditional Asian diet" on type 2 diabetes.</t>
        </is>
      </c>
      <c r="C503" t="inlineStr">
        <is>
          <t>They call a "traditional Asian diet" one of high carbs (around 55-70%), around 30g of fiber, and low fat (15%) and low animal-based protein (20%).
They call a "traditional Western diet" one of 50% carbs, around 10g of fiber, and higher fat (35%) but with roughly the same amount of animal-based protein.
The patients in the survey were all either Caucasian-American or East-Asian-American, and they were not allowed to lose weight.
They found that on the "Asian diet" that participants had greatly reduced insulin resistance and started losing weight, despite that not being a part of the study (they wanted to make sure that any health changes could not be blamed on the weight loss).  On the "Western diet," people started gaining weight and middle body fat.
This is a pretty small study with some interesting caveats and claims. Among them, they claim the "traditional Asian diet" is more what poor East Asians may eat.  They also say that people of East Asian descent are more likely to develop T2 diabetes at a far lower BMI than Caucasians.  They also claim that the "Asian diet" is easier to stick to than other restrictive diets, but, at least at the start of the diet, they had chefs prepare the food!  
The study pool was fairly small and the study itself pretty short term.  I'd love to see this matched up against lower-carb or even Keto-style diets and see which do better, healthwise, and I'd like to see more long-term research.
Here's a link to the actual study:  http://www.plosone.org/article/info%3Adoi/10.1371/journal.pone.0106851</t>
        </is>
      </c>
      <c r="D503" t="n">
        <v>5</v>
      </c>
      <c r="E503" t="n">
        <v>6</v>
      </c>
      <c r="F503">
        <f>HYPERLINK("https://www.reddit.com/r/diabetes/comments/2qw41g/small_but_interesting_study_looks_at_the_effects/")</f>
        <v/>
      </c>
      <c r="G503" t="inlineStr">
        <is>
          <t>2014-12-30 21:07:19</t>
        </is>
      </c>
      <c r="H503" t="inlineStr">
        <is>
          <t>Type 2</t>
        </is>
      </c>
    </row>
    <row r="504">
      <c r="A504" t="inlineStr">
        <is>
          <t>2qx3f9</t>
        </is>
      </c>
      <c r="B504" t="inlineStr">
        <is>
          <t>American Diabetes Association Releases New Nutritional Guidelines says you don't have to give up on the food you love.</t>
        </is>
      </c>
      <c r="C504" t="inlineStr">
        <is>
          <t>“Just because you have been diagnosed with diabetes does not mean you can no longer enjoy the foods you love or your cultural traditions,” said Alison Evert, MS, RD, CDE, Coordinator of Diabetes Education Programs 
Umm yes you do.
Type 2 diabetes is 100% lifestyle related. So if your current “foods you love” and “cultural traditions” gave you diabetes, then yes, you can’t do that anymore. Duh!
http://www.diabetes.org/newsroom/press-releases/2013/american-diabetes-association-releases-nutritional-guidelines.html</t>
        </is>
      </c>
      <c r="D504" t="n">
        <v>2</v>
      </c>
      <c r="E504" t="n">
        <v>16</v>
      </c>
      <c r="F504">
        <f>HYPERLINK("https://www.reddit.com/r/diabetes/comments/2qx3f9/american_diabetes_association_releases_new/")</f>
        <v/>
      </c>
      <c r="G504" t="inlineStr">
        <is>
          <t>2014-12-31 05:58:50</t>
        </is>
      </c>
      <c r="H504" t="inlineStr">
        <is>
          <t>Type 2</t>
        </is>
      </c>
    </row>
    <row r="505">
      <c r="A505" t="inlineStr">
        <is>
          <t>2r6ew9</t>
        </is>
      </c>
      <c r="B505" t="inlineStr">
        <is>
          <t>Mysterious, extended high blood sugars... I've exhausted every possible reason! Anyone else experienced anything like this?</t>
        </is>
      </c>
      <c r="C505" t="inlineStr">
        <is>
          <t>Hello diabetic friends, 
My blood sugars have been running extremely and inexplicably high for the past week or so. Even after talking to my doctors today, we can't come up with any reason for it other than *possibly* a pump malfunction so I'm temporarily using Lantus until I can get my pump replaced. 
Obviously the holidays are a weird time for everyone, but I am otherwise a usually very well controlled type 1 diabetic. I run around 20 miles per week, eat reasonably healthy with good carb counting, and check 4+ times a day. Yet for the life of me, I can't manage to get my blood sugars below 300+ for more than a few hours at a time. The weirdest part is that I am *not* getting ketones. I even upped my basals to 125% (!!!) today and still, NOT budging. I think all my rage bolusing eventually caught up with me tonight because I got a brief low, but with a correction of ~30 g my bgs shot right up again.
Has anyone else ever experienced this? My doctor and I are baffled. Maybe stress? God knows going home for the holidays always takes a toll on me. 
I just gave myself my first dose of Lantus tonight... let's hope that and a big correction for my 333 mg/dL reading will bring me a nice in-range number tomorrow morning!</t>
        </is>
      </c>
      <c r="D505" t="n">
        <v>1</v>
      </c>
      <c r="E505" t="n">
        <v>14</v>
      </c>
      <c r="F505">
        <f>HYPERLINK("https://www.reddit.com/r/diabetes/comments/2r6ew9/mysterious_extended_high_blood_sugars_ive/")</f>
        <v/>
      </c>
      <c r="G505" t="inlineStr">
        <is>
          <t>2015-01-02 21:21:41</t>
        </is>
      </c>
      <c r="H505" t="inlineStr">
        <is>
          <t>Type 1</t>
        </is>
      </c>
    </row>
    <row r="506">
      <c r="A506" t="inlineStr">
        <is>
          <t>2r7t3d</t>
        </is>
      </c>
      <c r="B506" t="inlineStr">
        <is>
          <t>Low carb diet for T1, how to avoid DKA?</t>
        </is>
      </c>
      <c r="C506" t="inlineStr">
        <is>
          <t>I need your advise guys. I want to achieve a permanent ketosis state for my body with a low carb diet and ultimately lower my insulin intakes. But I'm afraid of DKA. Have anyone any experience with this diet and can give me an advise? Please provide any important information I need to know before starting this diet / lifestyle.
Thanks.</t>
        </is>
      </c>
      <c r="D506" t="n">
        <v>8</v>
      </c>
      <c r="E506" t="n">
        <v>42</v>
      </c>
      <c r="F506">
        <f>HYPERLINK("https://www.reddit.com/r/diabetes/comments/2r7t3d/low_carb_diet_for_t1_how_to_avoid_dka/")</f>
        <v/>
      </c>
      <c r="G506" t="inlineStr">
        <is>
          <t>2015-01-03 09:24:14</t>
        </is>
      </c>
      <c r="H506" t="inlineStr">
        <is>
          <t>Type 1</t>
        </is>
      </c>
    </row>
    <row r="507">
      <c r="A507" t="inlineStr">
        <is>
          <t>2r8vyl</t>
        </is>
      </c>
      <c r="B507" t="inlineStr">
        <is>
          <t>recommendations for ketone strips</t>
        </is>
      </c>
      <c r="C507" t="inlineStr">
        <is>
          <t>I have been a type 1 for over 4 years now, and, luckily, never had to check for ketones until now. Yesterday night, I was having normal blood sugar levels. I did some heavy exercise and started feeling nauseous after a while. I started having severe abdominal pain too. I had light dinner and bolused for it as usual but the bolus wasn't sufficient and took me above 200. Even my corrective doses were higher than usual. I suspected it might be due to ketones but didn't have any ketone strips to test out my theory. I drank lots of water and rested for a couple of hours and the body took care of itself.
Looking for recommendations on how and what you folks use to test for ketones so that I could fill up my emergency kit. Thanks in advance.</t>
        </is>
      </c>
      <c r="D507" t="n">
        <v>0</v>
      </c>
      <c r="E507" t="n">
        <v>8</v>
      </c>
      <c r="F507">
        <f>HYPERLINK("https://www.reddit.com/r/diabetes/comments/2r8vyl/recommendations_for_ketone_strips/")</f>
        <v/>
      </c>
      <c r="G507" t="inlineStr">
        <is>
          <t>2015-01-03 15:13:54</t>
        </is>
      </c>
      <c r="H507" t="inlineStr">
        <is>
          <t>Type 1</t>
        </is>
      </c>
    </row>
    <row r="508">
      <c r="A508" t="inlineStr">
        <is>
          <t>2ra1ju</t>
        </is>
      </c>
      <c r="B508" t="inlineStr">
        <is>
          <t>I'm so done with this shit. [T1 pump usage and frustrated]</t>
        </is>
      </c>
      <c r="C508" t="inlineStr">
        <is>
          <t>I posted a few months back about my use with a Tandem T-Slim with 6mm inset infusion sets and commented about how underwhelmed I've been in regards to the use of the pump.  It's been about four months of continuous use, and while my A1c has improved to 6.5 (down from 7.0), the number of fluctuations, difficulties, and frustrations with the machinations of this device have been bearing down on me for this time.  The final straw has come.  I've used roughly 40 units of bolus tonight, change infusion sites TWICE, and my sugars STILL have not come down from their high of 220-250.
I don't know HOW this is supposed to be supposedly better than the pens in terms of control, but I sure as hell don't want to put my faith in a device or its components if any issues like this can and will continue to happen.  All it requires is one massive screwup before I'm in an ER because of whatever stupid reason, be it bad infusion site, bad insulin, blocked insulin in tubing, cannula didn't go all the way in--.
I'm sick of this shit.  Pens may not give me a better a1c, but I at least know there is something GOING IN somewhere and how much of that thing.
So, since I've got PPO insurance as of current, what will I have to do in regards to switching back my insulin therapy back to pens?</t>
        </is>
      </c>
      <c r="D508" t="n">
        <v>3</v>
      </c>
      <c r="E508" t="n">
        <v>9</v>
      </c>
      <c r="F508">
        <f>HYPERLINK("https://www.reddit.com/r/diabetes/comments/2ra1ju/im_so_done_with_this_shit_t1_pump_usage_and/")</f>
        <v/>
      </c>
      <c r="G508" t="inlineStr">
        <is>
          <t>2015-01-03 22:04:57</t>
        </is>
      </c>
      <c r="H508" t="inlineStr">
        <is>
          <t>Type 1</t>
        </is>
      </c>
    </row>
    <row r="509">
      <c r="A509" t="inlineStr">
        <is>
          <t>2rbo0d</t>
        </is>
      </c>
      <c r="B509" t="inlineStr">
        <is>
          <t>I need help (maybe support)</t>
        </is>
      </c>
      <c r="C509" t="inlineStr">
        <is>
          <t>I've been dealing with type 2 diabetes for more than a year. I started losing weight and went from 307 to 254. It was a drastic change but if felt so good. I stopped using insulin and started taking metphormin (I don't know how to spell it sorry) 1000mg twice daily. Unfortunately I went back to my old tendencies and now I'm 310+ again. I feel terrible and now I'm starting to get the dry mouth and go to the bathroom to pee a lot like when I first got diagnosed. I'm going to lose weight again but I'm concerned that something will happen if I don't go to the doctor. Do I need insulin? Or with the pills and diet be enough? I hope someone can help me and inform me more because I've visited so many sites and they all tell me something different. Also motivation if anybody can help me with that too. We can both treat this with just diet and say fuck you to pills and medications.</t>
        </is>
      </c>
      <c r="D509" t="n">
        <v>1</v>
      </c>
      <c r="E509" t="n">
        <v>3</v>
      </c>
      <c r="F509">
        <f>HYPERLINK("https://www.reddit.com/r/diabetes/comments/2rbo0d/i_need_help_maybe_support/")</f>
        <v/>
      </c>
      <c r="G509" t="inlineStr">
        <is>
          <t>2015-01-04 11:31:27</t>
        </is>
      </c>
      <c r="H509" t="inlineStr">
        <is>
          <t>Type 2</t>
        </is>
      </c>
    </row>
    <row r="510">
      <c r="A510" t="inlineStr">
        <is>
          <t>2re4jd</t>
        </is>
      </c>
      <c r="B510" t="inlineStr">
        <is>
          <t>Severe Hypoglycemic Unawareness, Glaucoma, No Insurance, No Pump, No CGM - Type 1 for 23 years - Afraid of Sleep - Feeling Hopeless</t>
        </is>
      </c>
      <c r="C510" t="inlineStr">
        <is>
          <t xml:space="preserve">MY SITUATION: 
I have severe hypoglycemic unawareness. It started about 4 years ago. My blood sugar gets below 50 several times a week, below 30 at least a couple of times a week. I get above 400 or below 40 all the time, even though I check constantly.  I feel like I've been at death's door countless times. I just can't feel it happening anymore until its too late. I've had type 1 diabetes for 23 years. (I was diagnosed when I was 3 years old, and I'm currently 26 yrs old.) I have no medical insurance, so I have to use vials (Humalog and Lantus), syringes, and a glucometer.  I have to check my blood sugar pretty much every hour to try to keep it in control, and sometimes I can't afford that many test strips. I have to wake up at least three or four times during my sleep to make sure I'll be ok, and even then most days are just terrible. When its really low or high, i can't see right. I see flashy blobs, like sun spots but two kinda symmetrical blobs that get bigger and bigger....I've even seen in black&amp;amp;white on several occasions. Its scary. My face/mouth/tongue/throat/fat tissue goes numb. If you are lucky enough to have a pump or CGM, I envy you. I have $0 family support and can't keep a job because of my condition, and even if i could keep a job, I still couldn't possibly afford the cost of continuous use of the devices i desperately need. 
EMOTIONAL REACTIONS:
Naturally, I am afraid to go to sleep. I feel hopeless. Any dreams I used to have are gone. I don't think I can accomplish anything significant in life anymore, because I fear I'll be dead before I even get halfway there. And I'm only 26...and its not going to get any better. Its hard to stay focused on anything or to learn anything new when your blood sugar is a roller coaster in spite of your best efforts to stay in control. I think i'm starting to get brain damage. I aced high school but dropped out of college with lots of debt. I used to be able to memorize things very quickly but now I can't. My vocabulary has dropped. I forgot things I used to know. I forget things all the time now....and not just where I left my keys or phone. I forget to turn off the sink before i leave it. Sometimes I don't just forget to lock my car, I left the door wide open a few times too. I know i'm not as smart as i used to be. I used to be a better driver too. I've had quite a few close calls, but (I know how reckless it is) I don't want to say anything about that because I haven't wrecked yet and I don't want to lose my driver's license/any independence i have left....I get really angry and so fucking sad. Its harder to keep my emotions in check. I am afraid to meet new people or to hang out with most of the ones i know because they won't understand why I get so "weird". Sometimes I can't remember what they just said. Or can't communicate efficiently. DAMN...life is really a bitch. And i feel too old at only 26. 
WHY I POSTED: 
I don't know any type 1 diabetics personally and haven't found much discussion about hypoglycemic unawareness out there, so i just hope i can promote that, and I would appreciate getting/giving any advice. </t>
        </is>
      </c>
      <c r="D510" t="n">
        <v>5</v>
      </c>
      <c r="E510" t="n">
        <v>6</v>
      </c>
      <c r="F510">
        <f>HYPERLINK("https://www.reddit.com/r/diabetes/comments/2re4jd/severe_hypoglycemic_unawareness_glaucoma_no/")</f>
        <v/>
      </c>
      <c r="G510" t="inlineStr">
        <is>
          <t>2015-01-05 03:00:36</t>
        </is>
      </c>
      <c r="H510" t="inlineStr">
        <is>
          <t>Type 1</t>
        </is>
      </c>
    </row>
    <row r="511">
      <c r="A511" t="inlineStr">
        <is>
          <t>2reb06</t>
        </is>
      </c>
      <c r="B511" t="inlineStr">
        <is>
          <t>20 years old and insulin resistant. Is it related to age?</t>
        </is>
      </c>
      <c r="C511" t="inlineStr">
        <is>
          <t>Hi, my insulin needs have tripled over the last few months. I eat very low carb and I'm active, but I need too much rapid insulin for my meals. The only thing that has changed is that I've been taking a magnesium supplement with no sugar. I doubt that has anything to do with insulin resistance. 
I was wondering if it could be related to my age. Maybe I'm still growing and my hormones are going nuts. Did you use to inject a lot more insulin in your younger years?</t>
        </is>
      </c>
      <c r="D511" t="n">
        <v>3</v>
      </c>
      <c r="E511" t="n">
        <v>2</v>
      </c>
      <c r="F511">
        <f>HYPERLINK("https://www.reddit.com/r/diabetes/comments/2reb06/20_years_old_and_insulin_resistant_is_it_related/")</f>
        <v/>
      </c>
      <c r="G511" t="inlineStr">
        <is>
          <t>2015-01-05 04:43:52</t>
        </is>
      </c>
      <c r="H511" t="inlineStr">
        <is>
          <t>Type 1</t>
        </is>
      </c>
    </row>
    <row r="512">
      <c r="A512" t="inlineStr">
        <is>
          <t>2rec5k</t>
        </is>
      </c>
      <c r="B512" t="inlineStr">
        <is>
          <t>T2 Diabetics Survey</t>
        </is>
      </c>
      <c r="C512" t="inlineStr">
        <is>
          <t>Myself and a friend (both T2) have started a company that aims to help motivate diabetics to self-manage as best they can (if that doesn't sound immensely patronising). Basically, we want to help educate people on the best way to deal with T2.
This is shameless, but if any of you could take the time to fill out a short survey, it would be very much appreciated.
The survey is here: https://docs.google.com/forms/d/1fEp-eosgI2Np9aBlogqnejVS24K2__zynhY_rdqSKqw/viewform
We're currently targeting T2s, but may well expand to T1s. We're interested to see what the interest might be.
I'll post the results of the survey here once we've had a few responses!
Thanks,
Chris</t>
        </is>
      </c>
      <c r="D512" t="n">
        <v>0</v>
      </c>
      <c r="E512" t="n">
        <v>2</v>
      </c>
      <c r="F512">
        <f>HYPERLINK("https://www.reddit.com/r/diabetes/comments/2rec5k/t2_diabetics_survey/")</f>
        <v/>
      </c>
      <c r="G512" t="inlineStr">
        <is>
          <t>2015-01-05 05:01:28</t>
        </is>
      </c>
      <c r="H512" t="inlineStr">
        <is>
          <t>Type 2</t>
        </is>
      </c>
    </row>
    <row r="513">
      <c r="A513" t="inlineStr">
        <is>
          <t>2rf5d4</t>
        </is>
      </c>
      <c r="B513" t="inlineStr">
        <is>
          <t>A1C of 5.9?</t>
        </is>
      </c>
      <c r="C513" t="inlineStr">
        <is>
          <t>So, I've had a pretty rough few months.
I ate a pizza at the dare of a friend. I'm a guy, and my circle of friends apparently treats eating a whole pizza as some kind of manly feat. I wasn't opposed to the notion, but I'm slowly finding I should have been.
Long story short, I ended up in the ER with a blood Glucose level of over 400.
About a month later, I went in for my blood test to see if I was diabetic. (At this point I was sure of it. No one that has a blood Glucose level of 400 isn't Diabetic) &amp;lt;--- my thinking then.
Now I just got the results of the test. My A1C is 5.9.
My doctor was happy with that result, which makes me feel better, but she didn't tell me anything other than "That's really good."
Is there anything I should worry about? what does an A1C of 5.9 mean for me?</t>
        </is>
      </c>
      <c r="D513" t="n">
        <v>1</v>
      </c>
      <c r="E513" t="n">
        <v>11</v>
      </c>
      <c r="F513">
        <f>HYPERLINK("https://www.reddit.com/r/diabetes/comments/2rf5d4/a1c_of_59/")</f>
        <v/>
      </c>
      <c r="G513" t="inlineStr">
        <is>
          <t>2015-01-05 09:58:35</t>
        </is>
      </c>
      <c r="H513" t="inlineStr">
        <is>
          <t>Type 2</t>
        </is>
      </c>
    </row>
    <row r="514">
      <c r="A514" t="inlineStr">
        <is>
          <t>2rg7gv</t>
        </is>
      </c>
      <c r="B514" t="inlineStr">
        <is>
          <t>why does my blood sugar rise when not eating? [Type 1]</t>
        </is>
      </c>
      <c r="C514" t="inlineStr">
        <is>
          <t>measured at 250 this morning, took my lantus and corrected. i was in a hurry today so i didnt get anything to eat. 4 hour later I retest, its now at 290. Any ideas?</t>
        </is>
      </c>
      <c r="D514" t="n">
        <v>1</v>
      </c>
      <c r="E514" t="n">
        <v>7</v>
      </c>
      <c r="F514">
        <f>HYPERLINK("https://www.reddit.com/r/diabetes/comments/2rg7gv/why_does_my_blood_sugar_rise_when_not_eating_type/")</f>
        <v/>
      </c>
      <c r="G514" t="inlineStr">
        <is>
          <t>2015-01-05 14:53:28</t>
        </is>
      </c>
      <c r="H514" t="inlineStr">
        <is>
          <t>Type 1</t>
        </is>
      </c>
    </row>
    <row r="515">
      <c r="A515" t="inlineStr">
        <is>
          <t>2rilff</t>
        </is>
      </c>
      <c r="B515" t="inlineStr">
        <is>
          <t>Strange occurrences</t>
        </is>
      </c>
      <c r="C515" t="inlineStr">
        <is>
          <t xml:space="preserve">Need some help. My father (extremely fit, and can't keep weight on) had a sudden fever and was sick for a week. He felt crummy, but manageable afterwards. Then suddenly he was dizzy, his vision blurred and we took him to the ER. The doctor said his bs was 580 and that he was severely dehydrated. My dad drinks water/Gatorade like it's going out of style and for a week prior he couldn't quench his thirst.
They tell him he might have Diabetes, but they're not sure. They're also not sure if it'll be permanent or if it'll go away. Crappy medical services here provided him with a few free insulin injections (the first given in the ER) and sent him on his way with an appointment to see a dietitian in 1 week.
Long story short, he has no idea what he's doing! He's terrified, and we're all searching desperately for information on what he can eat and can't eat. We found some sites, but they're loaded with bread! I thought you couldn't have bread, every meal is bread in these cookbooks. He's surviving on meat at the moment. Please does anyone have any reliable sources for diet, just until he sees the dietitian next week? </t>
        </is>
      </c>
      <c r="D515" t="n">
        <v>3</v>
      </c>
      <c r="E515" t="n">
        <v>13</v>
      </c>
      <c r="F515">
        <f>HYPERLINK("https://www.reddit.com/r/diabetes/comments/2rilff/strange_occurrences/")</f>
        <v/>
      </c>
      <c r="G515" t="inlineStr">
        <is>
          <t>2015-01-06 06:33:02</t>
        </is>
      </c>
      <c r="H515" t="inlineStr">
        <is>
          <t>Type 1</t>
        </is>
      </c>
    </row>
    <row r="516">
      <c r="A516" t="inlineStr">
        <is>
          <t>2rioio</t>
        </is>
      </c>
      <c r="B516" t="inlineStr">
        <is>
          <t>Other options for pump cases/clips</t>
        </is>
      </c>
      <c r="C516" t="inlineStr">
        <is>
          <t>So currently i am using one of the 2 styles of clips that came originally with my minimed pump.  
However, i have had to replace them often because of 2 main reasons.
1. The peice that helps the pump stay in the set rotated state becomes too weak and the clip starts rotating freely. 
2. The clip itself gets caught on something and just snaps.
I am looking for other options for holding my pump especially seeing as i plan to start doing some outdoors hiking/running and i can't afford to be worrying if my pump will stay on my belt correctly or not.
What i am looking for is some kind of clip or case that i can use both for everyday use and for athletic usage that won't make the pump susceptible to hitting something or falling off. 
What other options are there?</t>
        </is>
      </c>
      <c r="D516" t="n">
        <v>2</v>
      </c>
      <c r="E516" t="n">
        <v>3</v>
      </c>
      <c r="F516">
        <f>HYPERLINK("https://www.reddit.com/r/diabetes/comments/2rioio/other_options_for_pump_casesclips/")</f>
        <v/>
      </c>
      <c r="G516" t="inlineStr">
        <is>
          <t>2015-01-06 07:04:35</t>
        </is>
      </c>
      <c r="H516" t="inlineStr">
        <is>
          <t>Type 1</t>
        </is>
      </c>
    </row>
    <row r="517">
      <c r="A517" t="inlineStr">
        <is>
          <t>2rj3sa</t>
        </is>
      </c>
      <c r="B517" t="inlineStr">
        <is>
          <t>Dad of diabetic with questions on when to bolus for corrections. Minimed 530G.</t>
        </is>
      </c>
      <c r="C517" t="inlineStr">
        <is>
          <t xml:space="preserve">I am a bit confused on when to bolus for correction with no carbs consumed. An example would be if he feels strange between meals, is checked, and is found to be high. 
Should the bolus be given when the BG meter says glucose is high, when the pump says he is high, or when glucose test is over 150 target range that is in the pump settings? I do understand that the pump calculates active insulin and will not bolus for a correction when the there is enough active insulin to take care of the correction. 
My goal in asking this is not to have to look at the pump and use the bolus wizard only to find out that no correction is needed. I also want to give the school proper information on when to bolus for a correction. 
Edit: Thanks for al the suggestions. To make it more clear, we are not using the sensor yet. We have an appointment this Friday and will confirm with the doc and nurse educators. 
</t>
        </is>
      </c>
      <c r="D517" t="n">
        <v>4</v>
      </c>
      <c r="E517" t="n">
        <v>7</v>
      </c>
      <c r="F517">
        <f>HYPERLINK("https://www.reddit.com/r/diabetes/comments/2rj3sa/dad_of_diabetic_with_questions_on_when_to_bolus/")</f>
        <v/>
      </c>
      <c r="G517" t="inlineStr">
        <is>
          <t>2015-01-06 09:17:48</t>
        </is>
      </c>
      <c r="H517" t="inlineStr">
        <is>
          <t>Type 1</t>
        </is>
      </c>
    </row>
    <row r="518">
      <c r="A518" t="inlineStr">
        <is>
          <t>2rlacj</t>
        </is>
      </c>
      <c r="B518" t="inlineStr">
        <is>
          <t>Do you have daily frustrations with your Diabetes? Would you love encouragement?</t>
        </is>
      </c>
      <c r="C518" t="inlineStr">
        <is>
          <t>My name is Michael Finster. I am 26 years old, from Charlotte, NC. I was diagnosed with Type 1 Diabetes at the age of 5. I have come a long way in the last 21 years with dealing with my diabetes. Not necessarily the health part, but more so the mental part. I had a very hard time dealing with my disease, and the fact that I was different than everyone else. I had more responsibilities and work to do than all of my friends just to have a normal life. I want to start a place where people can come to talk about their struggles and get encouragement from others. I know that if I had had someone to talk to when I was going through my hardest times, I would have felt so much better. I would love to get an area of encouragement going where we can all talk about daily struggles and frustrations. There are going to be easy days, and hard days, and….harder days, but with a little encouragement, we can get through them all. Just remember that there are certain things that we can't change. In order to be happy, we must accept these things and figure out how to move forward. I look forward to getting some conversations started!</t>
        </is>
      </c>
      <c r="D518" t="n">
        <v>6</v>
      </c>
      <c r="E518" t="n">
        <v>19</v>
      </c>
      <c r="F518">
        <f>HYPERLINK("https://www.reddit.com/r/diabetes/comments/2rlacj/do_you_have_daily_frustrations_with_your_diabetes/")</f>
        <v/>
      </c>
      <c r="G518" t="inlineStr">
        <is>
          <t>2015-01-06 19:37:18</t>
        </is>
      </c>
      <c r="H518" t="inlineStr">
        <is>
          <t>Type 1</t>
        </is>
      </c>
    </row>
    <row r="519">
      <c r="A519" t="inlineStr">
        <is>
          <t>2rmvrs</t>
        </is>
      </c>
      <c r="B519" t="inlineStr">
        <is>
          <t>T1's and getting sick?</t>
        </is>
      </c>
      <c r="C519" t="inlineStr">
        <is>
          <t xml:space="preserve">Hi all, thanks in advance for the info and anecdotes. My SO has had T1 for 17 years, has decent control, he uses MDI of Lantus and Novolog with a pump in the works. 
I've noticed when he/we get sick, he is sick for much longer, and more severely than I am. For example, in August, we both came down with a cold, one that admittedly one of us most likely gave to the other. I was coughing, stuffy, had a sore throat for about 5 days, but was able to continue on almost as normal just a bit tired. He was out of commission for over a week! His cough turned into bronchitis, his nose and throat were worse, he felt and looked awful. 
Now, again, we found us both sick, this time most likely from his niece and nephews. We both came down with it last week a few days after playing with them. I started off with an itchy throat, had some nose and sinus congestion for about 3 days, and it went away. He's had it for over a week again, and he got a cough which I did not. (I know of course it's possible we have different colds this time). He will always be a lot more tired and worn out than I get as well, though I know this could be from running high when sick.
Does T1 compromise your immune system that badly, or does he just have a shotty system? It just seems like he gets so much sicker for so much longer than I do. Is that "normal"?
</t>
        </is>
      </c>
      <c r="D519" t="n">
        <v>10</v>
      </c>
      <c r="E519" t="n">
        <v>25</v>
      </c>
      <c r="F519">
        <f>HYPERLINK("https://www.reddit.com/r/diabetes/comments/2rmvrs/t1s_and_getting_sick/")</f>
        <v/>
      </c>
      <c r="G519" t="inlineStr">
        <is>
          <t>2015-01-07 07:32:57</t>
        </is>
      </c>
      <c r="H519" t="inlineStr">
        <is>
          <t>Type 1</t>
        </is>
      </c>
    </row>
    <row r="520">
      <c r="A520" t="inlineStr">
        <is>
          <t>2ro59b</t>
        </is>
      </c>
      <c r="B520" t="inlineStr">
        <is>
          <t>I'm pretty frustrated with my diabetes today.</t>
        </is>
      </c>
      <c r="C520" t="inlineStr">
        <is>
          <t>I wear an insulin pump, and my pump ran out of insulin in the middle of the night while I was sleeping. Such a bummer to have to wake up in the middle of the night to refill it! I get so annoyed when that kind of stuff happens!</t>
        </is>
      </c>
      <c r="D520" t="n">
        <v>6</v>
      </c>
      <c r="E520" t="n">
        <v>45</v>
      </c>
      <c r="F520">
        <f>HYPERLINK("https://www.reddit.com/r/diabetes/comments/2ro59b/im_pretty_frustrated_with_my_diabetes_today/")</f>
        <v/>
      </c>
      <c r="G520" t="inlineStr">
        <is>
          <t>2015-01-07 13:27:21</t>
        </is>
      </c>
      <c r="H520" t="inlineStr">
        <is>
          <t>Type 1</t>
        </is>
      </c>
    </row>
    <row r="521">
      <c r="A521" t="inlineStr">
        <is>
          <t>2rp1xg</t>
        </is>
      </c>
      <c r="B521" t="inlineStr">
        <is>
          <t>Have you ever given blood?</t>
        </is>
      </c>
      <c r="C521" t="inlineStr">
        <is>
          <t xml:space="preserve">My fiancé is always giving blood whenever the Red Cross calls. I have never given blood because I was always told Diabetics couldn't give blood. 
Anyway fiancé has an appointment to donate blood this weekend and I would love to as well. I was just wondering if any other people with diabetes have given. 
tl;dr I want to give blood but I don't know if I can. Have you? </t>
        </is>
      </c>
      <c r="D521" t="n">
        <v>5</v>
      </c>
      <c r="E521" t="n">
        <v>31</v>
      </c>
      <c r="F521">
        <f>HYPERLINK("https://www.reddit.com/r/diabetes/comments/2rp1xg/have_you_ever_given_blood/")</f>
        <v/>
      </c>
      <c r="G521" t="inlineStr">
        <is>
          <t>2015-01-07 17:46:23</t>
        </is>
      </c>
      <c r="H521" t="inlineStr">
        <is>
          <t>Type 1</t>
        </is>
      </c>
    </row>
    <row r="522">
      <c r="A522" t="inlineStr">
        <is>
          <t>2rpjhy</t>
        </is>
      </c>
      <c r="B522" t="inlineStr">
        <is>
          <t>New T1 to the subreddit, Hello all!</t>
        </is>
      </c>
      <c r="C522" t="inlineStr">
        <is>
          <t>Hey everyone, I have been diabetic for nearly 2 years now, am in the 8th grade, and think that I am doing fairly well with my T1D. I feel like my Diagnoses wasn't as difficult as most, of course it was a bit emotional, but I have a lot of family background with Diabetes, as I have 2 uncles, a 2 grandmothers (One T1, other T2 that I have never met.) and myself. so I had a good base to start from, aswell as a good Doc during the initial part of the Diagnosis. I used to use a One Touch Verio IQ, but some things in my personal life happened and I am on OHP (Props to those who can guess what that stands for. US only) which wont pay for any of the big brands imo, One touch, Accu-Chek, Freestyle, NONE. So I have to use a True-test meter that at extremes is 60 mg/dl  lower than my Verio. which I am not to happy about. Anyways, what was it like when some of you were DX'd? 
Thanks,
Samuroot1987</t>
        </is>
      </c>
      <c r="D522" t="n">
        <v>18</v>
      </c>
      <c r="E522" t="n">
        <v>13</v>
      </c>
      <c r="F522">
        <f>HYPERLINK("https://www.reddit.com/r/diabetes/comments/2rpjhy/new_t1_to_the_subreddit_hello_all/")</f>
        <v/>
      </c>
      <c r="G522" t="inlineStr">
        <is>
          <t>2015-01-07 20:17:58</t>
        </is>
      </c>
      <c r="H522" t="inlineStr">
        <is>
          <t>Type 1</t>
        </is>
      </c>
    </row>
    <row r="523">
      <c r="A523" t="inlineStr">
        <is>
          <t>2rqhj1</t>
        </is>
      </c>
      <c r="B523" t="inlineStr">
        <is>
          <t>Where are you from and what is your recommended A1c?</t>
        </is>
      </c>
      <c r="C523" t="inlineStr">
        <is>
          <t xml:space="preserve">Just thought I'd see what the 'norm' is around the world. Also how old are you? I've had type 1 for about 17 years and am 19 yr old. I have been told to keep mine around 7-8. I'm from Australia. </t>
        </is>
      </c>
      <c r="D523" t="n">
        <v>5</v>
      </c>
      <c r="E523" t="n">
        <v>33</v>
      </c>
      <c r="F523">
        <f>HYPERLINK("https://www.reddit.com/r/diabetes/comments/2rqhj1/where_are_you_from_and_what_is_your_recommended/")</f>
        <v/>
      </c>
      <c r="G523" t="inlineStr">
        <is>
          <t>2015-01-08 03:44:16</t>
        </is>
      </c>
      <c r="H523" t="inlineStr">
        <is>
          <t>Type 1</t>
        </is>
      </c>
    </row>
    <row r="524">
      <c r="A524" t="inlineStr">
        <is>
          <t>2rsrso</t>
        </is>
      </c>
      <c r="B524" t="inlineStr">
        <is>
          <t>Just Diagnosed with Type 2. What now?</t>
        </is>
      </c>
      <c r="C524" t="inlineStr">
        <is>
          <t>Hi folks -
So literally, first time to this sub.  I just got off the phone with my doctor and they've diagnosed me with Type 2 diabetes.  Some background before my freak out below:
* Male, 34 years old
* 6'2"
* 328 pounds and falling
* A1C came back at 7.2.  
* Twelve hour fast glucose was 145
So short story... In August I weighed 353 pounds.  Between then and now I've lost 25 pounds by using MyFitnessPal and calorie counting, and increasing my activity level.  I'm now exercising 4-5 times a week, 45 minutes at a time (averaging about 12-15 miles of walking a week).
I was borderline about 18 months ago when I last had it checked.  My weight went up in the interim, which I assume pushed me over the line, and now that it's falling I'm mostly just annoyed that it's when I started losing weight that I got diagnosed and called diabetic.  
So my question is... where do I got from here?  I'm losing weight by Calorie counting, but should I be Carb Counting as well now?  I have an appointment next week with a nutritionist (my wife is coming as well).  I do all of the cooking in our house-hold, and I also work from home.  
The top questions going through my head this afternoon are:
* Is carb counting necessary even though I'm losing weight by calorie counting now?
* If so, what should my Carb intake be? MFP was giving me 260 a day.  I lowered it to 167 a day and upped my protein goal to compensate
* I don't drink regular soda or eat a lot of candy.  Anything else I should really avoid entirely?
Also, to complicate matters... I have Ulcerative Colitis.  I had a total colectomy 14 years ago and now live with a jPouch.  So eating raw fruit is virtually impossible.  Bananas are good, but apples, pears, etc. cause my jPouch nothing but trouble.  So do raw nuts, etc.  
Does anyone here have a jPouch or something similar and also deal with diet restrictions due to T2?</t>
        </is>
      </c>
      <c r="D524" t="n">
        <v>1</v>
      </c>
      <c r="E524" t="n">
        <v>14</v>
      </c>
      <c r="F524">
        <f>HYPERLINK("https://www.reddit.com/r/diabetes/comments/2rsrso/just_diagnosed_with_type_2_what_now/")</f>
        <v/>
      </c>
      <c r="G524" t="inlineStr">
        <is>
          <t>2015-01-08 15:42:43</t>
        </is>
      </c>
      <c r="H524" t="inlineStr">
        <is>
          <t>Type 2</t>
        </is>
      </c>
    </row>
    <row r="525">
      <c r="A525" t="inlineStr">
        <is>
          <t>2rtg1z</t>
        </is>
      </c>
      <c r="B525" t="inlineStr">
        <is>
          <t>A 9 month old boy...who needs a dog to keep him safe.</t>
        </is>
      </c>
      <c r="C525" t="inlineStr">
        <is>
          <t>A boy and his dog. What's there to say? Dogs provide love, snuggles, companionship, smiles and a friend. But for one very young boy, a dog provides a lifesaving service. Meet Sebastian. He is only 9 months old and was recently diagnosed with Type 1 Diabetes. I don't know him. I don't know his family. They were in the local news here in St. Louis. What I know is, I'm a mom of an 8 month old boy. He is my heart, soul, and smile. I can't even imagine what this family is going through. 
They need a service dog for Sebastian. An extremely intelligent, amazing dog to be part of their family and sense when Sebastian's blood sugar levels are hitting scary low numbers so they can intervene. This poor little boy could suffer seizures, blackouts, and other illnesses if his blood sugar drops. At 9 months old he is on more medicine than me, at 30, has been on. 
I write this in hopes that, God forbid, if my family were in need, someone like me, with a family, a child, furbabies, love, compassion, fear, would do outreach for me. I write this because a 9 month old boy needs a dog. 
Visit http://www.gofundme.com/j5lq8s and donate. Even $1 will help.</t>
        </is>
      </c>
      <c r="D525" t="n">
        <v>0</v>
      </c>
      <c r="E525" t="n">
        <v>5</v>
      </c>
      <c r="F525">
        <f>HYPERLINK("https://www.reddit.com/r/diabetes/comments/2rtg1z/a_9_month_old_boywho_needs_a_dog_to_keep_him_safe/")</f>
        <v/>
      </c>
      <c r="G525" t="inlineStr">
        <is>
          <t>2015-01-08 19:07:53</t>
        </is>
      </c>
      <c r="H525" t="inlineStr">
        <is>
          <t>Type 1</t>
        </is>
      </c>
    </row>
    <row r="526">
      <c r="A526" t="inlineStr">
        <is>
          <t>2ryki2</t>
        </is>
      </c>
      <c r="B526" t="inlineStr">
        <is>
          <t>A1c Interesting Observations</t>
        </is>
      </c>
      <c r="C526" t="inlineStr">
        <is>
          <t>I spent a few hours going through every A1c I've gotten since diagnosis. Most of this is just interesting to me, but there are a few things you guys might find interesting too. 
Average A1c since diagnosis - 7.25
Average A1c since 2 years post-diagnosis (first several were in the 8's/9's) - 7.08
Standard deviation - 0.34
Average ratio of 30 day average to A1c - 20.9:1
I just started a Dexcom G4 a few months ago and my first real post-Dex A1c was 6.7, so I am hoping to stay under 7 for the foreseeable future.</t>
        </is>
      </c>
      <c r="D526" t="n">
        <v>2</v>
      </c>
      <c r="E526" t="n">
        <v>0</v>
      </c>
      <c r="F526">
        <f>HYPERLINK("https://www.reddit.com/r/diabetes/comments/2ryki2/a1c_interesting_observations/")</f>
        <v/>
      </c>
      <c r="G526" t="inlineStr">
        <is>
          <t>2015-01-10 05:05:29</t>
        </is>
      </c>
      <c r="H526" t="inlineStr">
        <is>
          <t>Type 1</t>
        </is>
      </c>
    </row>
    <row r="527">
      <c r="A527" t="inlineStr">
        <is>
          <t>2s0faf</t>
        </is>
      </c>
      <c r="B527" t="inlineStr">
        <is>
          <t>First low... question about insulin units/experience</t>
        </is>
      </c>
      <c r="C527" t="inlineStr">
        <is>
          <t xml:space="preserve">Hi there,
I was diagnosed with T1D less than two weeks ago and had my first low tonight. I'm seeing my endo on Monday before I drive back to college and plan to ask him these questions, but I wanted to see if anyone has had a similar experience.
Right now I'm currently taking 5 units before each meal and 15 units before bed. After I was diagnosed my sugar was running 160-200. A few days after that I was in the 100-120 range after checking three times a day. The last 5 checks I have been around 70 and 80, and today I went low. 
Is it possible that 5 units before each meal is too much? Has anyone been adjusted to a lower unit amount after being diagnosed?
My diet has been the same (3 carb servings at breakfast, 3-4 at lunch and dinner with a snack before bed).
</t>
        </is>
      </c>
      <c r="D527" t="n">
        <v>6</v>
      </c>
      <c r="E527" t="n">
        <v>20</v>
      </c>
      <c r="F527">
        <f>HYPERLINK("https://www.reddit.com/r/diabetes/comments/2s0faf/first_low_question_about_insulin_unitsexperience/")</f>
        <v/>
      </c>
      <c r="G527" t="inlineStr">
        <is>
          <t>2015-01-10 16:01:31</t>
        </is>
      </c>
      <c r="H527" t="inlineStr">
        <is>
          <t>Type 1</t>
        </is>
      </c>
    </row>
    <row r="528">
      <c r="A528" t="inlineStr">
        <is>
          <t>2s1njd</t>
        </is>
      </c>
      <c r="B528" t="inlineStr">
        <is>
          <t>Lower postprandial than fasting results? Newb here needs an explanation.</t>
        </is>
      </c>
      <c r="C528" t="inlineStr">
        <is>
          <t>My husband was very recently diagnosed with type 2 diabetes from a fasting blood sugar test of 302.  His doctor prescribed Metformin 500mg twice a day.  I immediately put him on a very strict diet and it's steadily gotten lower (the lowest it's been was 252).  This is *fasting* blood sugar mind you, so why is his postprandial blood sugar consistently lower?  Like he'll have a test in the morning of 297 and one 2 hours after dinner of 288.  What does this mean?
I admit that I don't know very much about this disease, but I plan to attend the nutrition class he has scheduled Monday in addition to scouring the internet for more information.
Neither of us saw this coming although we should have.  It runs on both sides of his family.</t>
        </is>
      </c>
      <c r="D528" t="n">
        <v>1</v>
      </c>
      <c r="E528" t="n">
        <v>19</v>
      </c>
      <c r="F528">
        <f>HYPERLINK("https://www.reddit.com/r/diabetes/comments/2s1njd/lower_postprandial_than_fasting_results_newb_here/")</f>
        <v/>
      </c>
      <c r="G528" t="inlineStr">
        <is>
          <t>2015-01-11 00:14:47</t>
        </is>
      </c>
      <c r="H528" t="inlineStr">
        <is>
          <t>Type 2</t>
        </is>
      </c>
    </row>
    <row r="529">
      <c r="A529" t="inlineStr">
        <is>
          <t>2s3dqy</t>
        </is>
      </c>
      <c r="B529" t="inlineStr">
        <is>
          <t>It's my 25th diaversary. Wow!</t>
        </is>
      </c>
      <c r="C529" t="inlineStr">
        <is>
          <t>Not doing anything to celebrate, just glad I have you guys to share it with.  
No complications to date, and I've always struggled with control.  I'm a lucky girl!</t>
        </is>
      </c>
      <c r="D529" t="n">
        <v>18</v>
      </c>
      <c r="E529" t="n">
        <v>19</v>
      </c>
      <c r="F529">
        <f>HYPERLINK("https://www.reddit.com/r/diabetes/comments/2s3dqy/its_my_25th_diaversary_wow/")</f>
        <v/>
      </c>
      <c r="G529" t="inlineStr">
        <is>
          <t>2015-01-11 13:04:30</t>
        </is>
      </c>
      <c r="H529" t="inlineStr">
        <is>
          <t>Type 1</t>
        </is>
      </c>
    </row>
    <row r="530">
      <c r="A530" t="inlineStr">
        <is>
          <t>2s4elt</t>
        </is>
      </c>
      <c r="B530" t="inlineStr">
        <is>
          <t>Just diagnosed</t>
        </is>
      </c>
      <c r="C530" t="inlineStr">
        <is>
          <t xml:space="preserve">Hi everybody, after two years of pre-diabetes and rising A1C levels I've been diagnosed with Type 2 diabetes. My A1C is 6.5, so I'm just above the diagnostic criteria for Type 2 according to my doctor. 
I have a couple of questions if you all don't mind:
1)so far I test twice a day at varying times, should I maybe be testing more frequently? 
2)aside from watching my diet and exercising are there any other lifestyle changes I should be making?
3)what's the story on alcohol consumption? I'm not much of a drinker but would like to know if the occasional glass of wine is a no no now.
Thank you all so much in advance </t>
        </is>
      </c>
      <c r="D530" t="n">
        <v>1</v>
      </c>
      <c r="E530" t="n">
        <v>19</v>
      </c>
      <c r="F530">
        <f>HYPERLINK("https://www.reddit.com/r/diabetes/comments/2s4elt/just_diagnosed/")</f>
        <v/>
      </c>
      <c r="G530" t="inlineStr">
        <is>
          <t>2015-01-11 18:19:00</t>
        </is>
      </c>
      <c r="H530" t="inlineStr">
        <is>
          <t>Type 2</t>
        </is>
      </c>
    </row>
    <row r="531">
      <c r="A531" t="inlineStr">
        <is>
          <t>2s6ctz</t>
        </is>
      </c>
      <c r="B531" t="inlineStr">
        <is>
          <t>Absences from work. and crappy perfromance thanks to poor concentration from my T2.</t>
        </is>
      </c>
      <c r="C531" t="inlineStr">
        <is>
          <t xml:space="preserve">I received a warning from my job because I have been missing a lot of work and been late on deliverable do to my T2. I am new to this and My blood sugar is still not yet under control. My Endo says it takes time to get the right combos of meds and I am going to a diabeties education class next Month. 
The problem is though I keep getting sick, so sick at one point I forgot where I lived when coming home from Work. How do I handle this I don't want to loose my job and my insurance. 
How do you guys handle it? Or do you guys have it under control so you don't run into these issues? 
A little back story I was Dx'ed a little over a year ago but I was given Metformin 2x a day and told not to worry about it. I was fine until about 6 months ago when I had a hard time seeing and then what I would call a foggyness then weekness. I was thirsty all the time. still am . A friend told me to see an endo and I did about 2 months ago . He is is working on the sugar down but in the mean time I have been fucked up. I have missed a lot of time from work and got a warning yesterday. 
Edit: Wow way more responses than I expected reading them now. </t>
        </is>
      </c>
      <c r="D531" t="n">
        <v>1</v>
      </c>
      <c r="E531" t="n">
        <v>18</v>
      </c>
      <c r="F531">
        <f>HYPERLINK("https://www.reddit.com/r/diabetes/comments/2s6ctz/absences_from_work_and_crappy_perfromance_thanks/")</f>
        <v/>
      </c>
      <c r="G531" t="inlineStr">
        <is>
          <t>2015-01-12 08:20:15</t>
        </is>
      </c>
      <c r="H531" t="inlineStr">
        <is>
          <t>Type 2</t>
        </is>
      </c>
    </row>
    <row r="532">
      <c r="A532" t="inlineStr">
        <is>
          <t>2s7hko</t>
        </is>
      </c>
      <c r="B532" t="inlineStr">
        <is>
          <t>Anyone else on Trulicity?</t>
        </is>
      </c>
      <c r="C532" t="inlineStr">
        <is>
          <t xml:space="preserve">I was on Victoza for a few months, but after all stomach problems that accompanied it, my doctor gave me a two week trial of Trulicity. I'm on my second week today and the first week was kind of inconclusive because I had the flu. 
Anyone else have longer experience with Trulicity? What are your thoughts?  </t>
        </is>
      </c>
      <c r="D532" t="n">
        <v>2</v>
      </c>
      <c r="E532" t="n">
        <v>3</v>
      </c>
      <c r="F532">
        <f>HYPERLINK("https://www.reddit.com/r/diabetes/comments/2s7hko/anyone_else_on_trulicity/")</f>
        <v/>
      </c>
      <c r="G532" t="inlineStr">
        <is>
          <t>2015-01-12 13:28:31</t>
        </is>
      </c>
      <c r="H532" t="inlineStr">
        <is>
          <t>Type 2</t>
        </is>
      </c>
    </row>
    <row r="533">
      <c r="A533" t="inlineStr">
        <is>
          <t>2s8n5c</t>
        </is>
      </c>
      <c r="B533" t="inlineStr">
        <is>
          <t>Why am I spiking so high after meals?</t>
        </is>
      </c>
      <c r="C533" t="inlineStr">
        <is>
          <t>This is something that never happened before and I just can't figure out the cause, it's been like this for the last 2 weeks..I eat 40 carbs for breakfast, 30 for lunch, 15 for dinner. I'm bolusing proper doses 10 minutes before I eat(i'm ending up within 10 +/- of where I am before I eat), 3 hours after the meal) however I'm spiking each meal anywhere from 40-60. A spike that large might not seem that terrible, but considering I previously have never had spikes like this, along with the fact I live a very routine and strict diet/activity lifestyle, I except to have much better control that I do.
Anyone ever have this occurance, or have any idea what I can do to fix it? Also I consume all wheat/oats/fiberous carbs (roughly 80 a day) and a LOT of protein (which you would think would cause the opposite effect?!)
Type 1, MDI, 9 units levemir, humalog</t>
        </is>
      </c>
      <c r="D533" t="n">
        <v>3</v>
      </c>
      <c r="E533" t="n">
        <v>3</v>
      </c>
      <c r="F533">
        <f>HYPERLINK("https://www.reddit.com/r/diabetes/comments/2s8n5c/why_am_i_spiking_so_high_after_meals/")</f>
        <v/>
      </c>
      <c r="G533" t="inlineStr">
        <is>
          <t>2015-01-12 18:59:42</t>
        </is>
      </c>
      <c r="H533" t="inlineStr">
        <is>
          <t>Type 1</t>
        </is>
      </c>
    </row>
    <row r="534">
      <c r="A534" t="inlineStr">
        <is>
          <t>2s8uze</t>
        </is>
      </c>
      <c r="B534" t="inlineStr">
        <is>
          <t>Is it normal for your pee to be lime green?</t>
        </is>
      </c>
      <c r="C534" t="inlineStr">
        <is>
          <t>Also back pains and chest pains :(</t>
        </is>
      </c>
      <c r="D534" t="n">
        <v>0</v>
      </c>
      <c r="E534" t="n">
        <v>8</v>
      </c>
      <c r="F534">
        <f>HYPERLINK("https://www.reddit.com/r/diabetes/comments/2s8uze/is_it_normal_for_your_pee_to_be_lime_green/")</f>
        <v/>
      </c>
      <c r="G534" t="inlineStr">
        <is>
          <t>2015-01-12 20:10:49</t>
        </is>
      </c>
      <c r="H534" t="inlineStr">
        <is>
          <t>Type 1</t>
        </is>
      </c>
    </row>
    <row r="535">
      <c r="A535" t="inlineStr">
        <is>
          <t>2s9lm4</t>
        </is>
      </c>
      <c r="B535" t="inlineStr">
        <is>
          <t>Type 1 First Post here: Recommending the Medtronic Pump</t>
        </is>
      </c>
      <c r="C535" t="inlineStr">
        <is>
          <t xml:space="preserve">Hey, I'm 15. I found out I was diabetic on August 1, 2010. For the first 2 years I was diabetic, my blood sugars were out of control. A1c hit 13.1 at its worst - but was often high up there. I also still had active insulin - I took one of those sugared drink test, and after 4 hours my blood sugar spiked to 450, dropped to 280, and spiked back up to ~400. So terribly bad headaches, out of energy, and worst of all, always hungry. I used to be chubby, not thin, but not fat. I gained weight til I was a 12 year old weighing something like 85 kilograms. Then my uncle diabetologist, god bless him, started me on the Omni Pod. I used it for about 2 years. It worked well - I loved how it was waterproof, wireless, and wasn't heavy. As soon as the third version came out, I got it. The problem was this. I was changing in constantly, they started falling off left and right. And the more they fell off in the middle of the night, the more I'd wake up with a blood glucose level of ~500-600. After ~2 years of that, I gave up on it. I do still think it is great, I'm just a person that, as my mom describes it, "kickboxes in their sleep." So then I went to Singapore, to the KKH woman's and children's hospital, and got to try a Medtronic pump. Don't deceiver yourself. The device is kind of badly designed - but so was the device for the use of the omni pod. The difference is this - my A1c dropped to 9 for the first time in years, and is still making steady progress. At 180cm, I now way ~105KG, nowhere near ideal, but better than the ~115KG I was previously at. The device has ripped of 3 times for me - a door, and twice at night from my thrashing. Anyways, if you are on shots and want to try a pod, it is simple to use, and has a lot of useful functions. Best of all, I'm finally happier and healthier! Good luck to all those out there! </t>
        </is>
      </c>
      <c r="D535" t="n">
        <v>4</v>
      </c>
      <c r="E535" t="n">
        <v>1</v>
      </c>
      <c r="F535">
        <f>HYPERLINK("https://www.reddit.com/r/diabetes/comments/2s9lm4/type_1_first_post_here_recommending_the_medtronic/")</f>
        <v/>
      </c>
      <c r="G535" t="inlineStr">
        <is>
          <t>2015-01-13 01:33:04</t>
        </is>
      </c>
      <c r="H535" t="inlineStr">
        <is>
          <t>Type 1</t>
        </is>
      </c>
    </row>
    <row r="536">
      <c r="A536" t="inlineStr">
        <is>
          <t>2sac11</t>
        </is>
      </c>
      <c r="B536" t="inlineStr">
        <is>
          <t>Stronglifts/Starting Strength for Type 2</t>
        </is>
      </c>
      <c r="C536" t="inlineStr">
        <is>
          <t>I started Stronglifts a couple months ago and I've seen good results in terms of strength and I've gotten a bit leaner, but my blood glucose has been up a bit in that time. Not sure if it's related, but I thought I'd look here and most of the discussions about lifting seem to focus on type 1 (take your insulin!).  Before starting Stronglifts I was doing P90X3 about 4 days a week which had more cardio and less intense strength.
So I was wondering if others had experience with these programs while t2 diabetic, if you had to significantly change your diet, if you experienced any complications as you progressed, etc.
I'm 5'11, 202 lbs, and just deadlifted my bodyweight 5x for the first time yesterday. I feel fine during my workouts so far (aside from the effort of lifting of course). Maybe I should start adding some cardio back into the mix?</t>
        </is>
      </c>
      <c r="D536" t="n">
        <v>5</v>
      </c>
      <c r="E536" t="n">
        <v>8</v>
      </c>
      <c r="F536">
        <f>HYPERLINK("https://www.reddit.com/r/diabetes/comments/2sac11/strongliftsstarting_strength_for_type_2/")</f>
        <v/>
      </c>
      <c r="G536" t="inlineStr">
        <is>
          <t>2015-01-13 07:17:20</t>
        </is>
      </c>
      <c r="H536" t="inlineStr">
        <is>
          <t>Type 2</t>
        </is>
      </c>
    </row>
    <row r="537">
      <c r="A537" t="inlineStr">
        <is>
          <t>2sas5l</t>
        </is>
      </c>
      <c r="B537" t="inlineStr">
        <is>
          <t>Does injected insulin get stored in the fast layer? 5pm crash.</t>
        </is>
      </c>
      <c r="C537" t="inlineStr">
        <is>
          <t xml:space="preserve">I take very little insulin after my lunch at 1 (2 units) , yet no matter what my levels are at 5pm I crash hard after a 10 min walk to my buss stop. Today I let my levels rise to 8mmol, at the bus stopi tested at 2.8mmol. I want to start driving to and from work, but this is dangerous. Eating a 20g snack doesn't seem to make a difference. I'm really confused.
EDIT: Fat layer in the title, I got autocorrected
EDIT: How can it be even possible to drop 5mmol in 10 minutes, walking. I might well be really insulin sensitive, and even be honeymooning but I kinda feel like I'd need to be sprinting while pulling a car to burn through that kind of blood sugar. Especially with zero basal/bolus in my system. Something else is going on I feel, I just don't know enough to figure out what. </t>
        </is>
      </c>
      <c r="D537" t="n">
        <v>1</v>
      </c>
      <c r="E537" t="n">
        <v>9</v>
      </c>
      <c r="F537">
        <f>HYPERLINK("https://www.reddit.com/r/diabetes/comments/2sas5l/does_injected_insulin_get_stored_in_the_fast/")</f>
        <v/>
      </c>
      <c r="G537" t="inlineStr">
        <is>
          <t>2015-01-13 09:23:31</t>
        </is>
      </c>
      <c r="H537" t="inlineStr">
        <is>
          <t>Type 1</t>
        </is>
      </c>
    </row>
    <row r="538">
      <c r="A538" t="inlineStr">
        <is>
          <t>2sbwda</t>
        </is>
      </c>
      <c r="B538" t="inlineStr">
        <is>
          <t>"Progressive" Endos in NYC: Recommendations?</t>
        </is>
      </c>
      <c r="C538" t="inlineStr">
        <is>
          <t xml:space="preserve">I'm a type 1 diabetic (for 23 years) and I'm on the hunt for what I'm going to call a "progressive" endocrinologist in the NYC area. What I  mean by that is someone who:
1. Isn't going to scoff and yell at me when I tell them I don't eat carbs (non-dairy keto-er here)
2. Is open to novel ways to treating type 1 (for example using type 2 drugs in conjunction with insulin)
3. Perhaps has type 1 themselves and therefore understands the self-management side of the disease better.
Can someone find/recommend this unicorn for me? So far, every endo I've seen in NYC is stuck in the stone ages when it comes to modern type 1 care. My current endo doesn't even know how to upload data from my CGM! (He makes me upload it myself, print the charts, and bring them with me to my appointment. WHAT?)
</t>
        </is>
      </c>
      <c r="D538" t="n">
        <v>1</v>
      </c>
      <c r="E538" t="n">
        <v>9</v>
      </c>
      <c r="F538">
        <f>HYPERLINK("https://www.reddit.com/r/diabetes/comments/2sbwda/progressive_endos_in_nyc_recommendations/")</f>
        <v/>
      </c>
      <c r="G538" t="inlineStr">
        <is>
          <t>2015-01-13 14:13:17</t>
        </is>
      </c>
      <c r="H538" t="inlineStr">
        <is>
          <t>Type 1</t>
        </is>
      </c>
    </row>
    <row r="539">
      <c r="A539" t="inlineStr">
        <is>
          <t>2scia8</t>
        </is>
      </c>
      <c r="B539" t="inlineStr">
        <is>
          <t>What do you use a CDE for?</t>
        </is>
      </c>
      <c r="C539" t="inlineStr">
        <is>
          <t>I saw one when I was first diagnosed (type 1) and she was very nice and showed me the plastic fruit of acceptable servings of fruit. I guess I was still in a state of shock, so I mostly nodded and smiled and agreed with everything.
I don't need any nutrition or diet advice, but do they deal with the mental and emotional problems of diabetes? It is such a heavy burden to carry, and I don't know who to turn to. The MDs I see are strictly clinical and don't deal with anything mental.</t>
        </is>
      </c>
      <c r="D539" t="n">
        <v>5</v>
      </c>
      <c r="E539" t="n">
        <v>3</v>
      </c>
      <c r="F539">
        <f>HYPERLINK("https://www.reddit.com/r/diabetes/comments/2scia8/what_do_you_use_a_cde_for/")</f>
        <v/>
      </c>
      <c r="G539" t="inlineStr">
        <is>
          <t>2015-01-13 16:59:08</t>
        </is>
      </c>
      <c r="H539" t="inlineStr">
        <is>
          <t>Type 1</t>
        </is>
      </c>
    </row>
    <row r="540">
      <c r="A540" t="inlineStr">
        <is>
          <t>2sey9u</t>
        </is>
      </c>
      <c r="B540" t="inlineStr">
        <is>
          <t>How to extend the honeymoon?</t>
        </is>
      </c>
      <c r="C540" t="inlineStr">
        <is>
          <t>Hi, type 1 here, I was diagnosed almost a year ago and still seem to be on my honeymoon phase. I have been trying something to see if it would help and kind of want to get everyone's opinion on it. I am running my blood sugar at about 80, my thinking is that what is left of my beta cells will only kick in at or over 100, so this gives me 20 points of wiggle room before they do anything. This is based on the thought that the more active my remaining beta cells are, the more my immune system will attack them. So if I use them less, I should in theory be able to extend my honeymoon. Am I off my rocker? Anyone have information to contradict this line of reasoning? I would be just as happy to hear why I am wrong as to hear why I am right.</t>
        </is>
      </c>
      <c r="D540" t="n">
        <v>1</v>
      </c>
      <c r="E540" t="n">
        <v>7</v>
      </c>
      <c r="F540">
        <f>HYPERLINK("https://www.reddit.com/r/diabetes/comments/2sey9u/how_to_extend_the_honeymoon/")</f>
        <v/>
      </c>
      <c r="G540" t="inlineStr">
        <is>
          <t>2015-01-14 08:49:03</t>
        </is>
      </c>
      <c r="H540" t="inlineStr">
        <is>
          <t>Type 1</t>
        </is>
      </c>
    </row>
    <row r="541">
      <c r="A541" t="inlineStr">
        <is>
          <t>2sez80</t>
        </is>
      </c>
      <c r="B541" t="inlineStr">
        <is>
          <t>Having trouble getting my sugar under control...</t>
        </is>
      </c>
      <c r="C541" t="inlineStr">
        <is>
          <t>I've been a type 2 diabetic for years and have done a very poor job of caring for my health in the past. But recently I've begun to get serious about it. I've been taking my Metformin twice a day, have altered my diet to restrict carbs/sugar and have begun exercising. It's been about 4 days so far and I test my sugar level each morning when I wake up. I'm frustrated because it's been steadily creeping up and I don't know why. Maybe I'm being impatient and it'll take a little longer to level off and start going down? I take 4 metformin pills every day. Two in the morning and two before bed. I try to focus on eating mostly protein and veggies. I was told no fruit at all until my sugar was well under control. I drink mostly coffee (with sugar free creamer), hot tea, milk, water and sometimes diet soda. I've been walking on my treadmill about an hour each day. That's been hard to be consistent with since it's boring. But I just turn NetFlix on to keep me distracted. It helps. I have a doctors appointment soon and I'll be discussing all this with him at that time. I'd like to ask for advice from those who may know better than me what else I can be doing to help myself get healthier. Thanks for reading.</t>
        </is>
      </c>
      <c r="D541" t="n">
        <v>1</v>
      </c>
      <c r="E541" t="n">
        <v>7</v>
      </c>
      <c r="F541">
        <f>HYPERLINK("https://www.reddit.com/r/diabetes/comments/2sez80/having_trouble_getting_my_sugar_under_control/")</f>
        <v/>
      </c>
      <c r="G541" t="inlineStr">
        <is>
          <t>2015-01-14 08:56:31</t>
        </is>
      </c>
      <c r="H541" t="inlineStr">
        <is>
          <t>Type 2</t>
        </is>
      </c>
    </row>
    <row r="542">
      <c r="A542" t="inlineStr">
        <is>
          <t>2sfs1x</t>
        </is>
      </c>
      <c r="B542" t="inlineStr">
        <is>
          <t>How do you treat fiber?</t>
        </is>
      </c>
      <c r="C542" t="inlineStr">
        <is>
          <t>So I did a search, and it seems like there were a lot of different opinions, although very little logical debate.
I had two carb balance tortillas last night(tacos), 19g total carbs, 13g of which are fiber. So 12g "net carbs". Added some sour cream and cheese, bringing the carb count to ~15g net carbs, which is normally 1 unit of Humalog for me. Blood sugar before eating was 111 mg/dl, upon checking before bed, it was 189 mg/dl. Wtf?
How do you treat fiber? Count it all, count half, count none? Clearly, I can't count none of it and avoid going high. I'm also interested in the logic behind whatever methodology you have is. My intuition tells me that the line between fiber and other carbs is a lot more blurry than many seem to suggest.</t>
        </is>
      </c>
      <c r="D542" t="n">
        <v>1</v>
      </c>
      <c r="E542" t="n">
        <v>11</v>
      </c>
      <c r="F542">
        <f>HYPERLINK("https://www.reddit.com/r/diabetes/comments/2sfs1x/how_do_you_treat_fiber/")</f>
        <v/>
      </c>
      <c r="G542" t="inlineStr">
        <is>
          <t>2015-01-14 12:32:58</t>
        </is>
      </c>
      <c r="H542" t="inlineStr">
        <is>
          <t>Type 1</t>
        </is>
      </c>
    </row>
    <row r="543">
      <c r="A543" t="inlineStr">
        <is>
          <t>2sg7nl</t>
        </is>
      </c>
      <c r="B543" t="inlineStr">
        <is>
          <t>Insurance terminated. Running out of insulin and could use a few suggestions.</t>
        </is>
      </c>
      <c r="C543" t="inlineStr">
        <is>
          <t>I was wondering if anyone here might have some suggestions for this month. My current insurance plan had been terminated(I do all paperless billing and missed the termination letter-my fault) and a new one won't start until February 1st.  I use the Lantus SoloStar pens and normally take 32 units per day.  I only have 1 pen remaining to last me the rest of the month - 300 units per pen leaves me with 20 units per day.  I'd like to consult a Dr, but...uh no insurance. Any helpful suggestions here? Am I better to do 20/day or maybe 32 1 day 8 another?  
I normally eat a healthy diet and exercise regularly avg blood sugar is around 100, but my blood sugar starts to skyrocket if I miss a dose. But apparently before I was diagnosed I was walking around with a blood sugar of 480</t>
        </is>
      </c>
      <c r="D543" t="n">
        <v>5</v>
      </c>
      <c r="E543" t="n">
        <v>12</v>
      </c>
      <c r="F543">
        <f>HYPERLINK("https://www.reddit.com/r/diabetes/comments/2sg7nl/insurance_terminated_running_out_of_insulin_and/")</f>
        <v/>
      </c>
      <c r="G543" t="inlineStr">
        <is>
          <t>2015-01-14 14:27:02</t>
        </is>
      </c>
      <c r="H543" t="inlineStr">
        <is>
          <t>Type 1.5/LADA</t>
        </is>
      </c>
    </row>
    <row r="544">
      <c r="A544" t="inlineStr">
        <is>
          <t>2sgjce</t>
        </is>
      </c>
      <c r="B544" t="inlineStr">
        <is>
          <t>How much do you weigh and how much basal insulin do you take?</t>
        </is>
      </c>
      <c r="C544" t="inlineStr">
        <is>
          <t xml:space="preserve">Me: 135 pounds and about 20-22 units of Levemir. </t>
        </is>
      </c>
      <c r="D544" t="n">
        <v>3</v>
      </c>
      <c r="E544" t="n">
        <v>29</v>
      </c>
      <c r="F544">
        <f>HYPERLINK("https://www.reddit.com/r/diabetes/comments/2sgjce/how_much_do_you_weigh_and_how_much_basal_insulin/")</f>
        <v/>
      </c>
      <c r="G544" t="inlineStr">
        <is>
          <t>2015-01-14 15:58:19</t>
        </is>
      </c>
      <c r="H544" t="inlineStr">
        <is>
          <t>Type 1</t>
        </is>
      </c>
    </row>
    <row r="545">
      <c r="A545" t="inlineStr">
        <is>
          <t>2sgwun</t>
        </is>
      </c>
      <c r="B545" t="inlineStr">
        <is>
          <t>Haven't posted in a while and now I want to get BACK on the wagon!</t>
        </is>
      </c>
      <c r="C545" t="inlineStr">
        <is>
          <t xml:space="preserve">Hey guys. I had an appointment with my family doctor today in reference to my last bloodwork (which was drawn at the end of November). My A1C is still 8.4%, which, while lower than it has ever been since my diagnosis, is still obviously higher than it should be. Cholesterol is slightly elevated, but not enough to cause concern and they figure it'll drop with my blood sugars. Andddddddddd they've noticed some proteinuria :( so, I really want to recommit right now. 
This time, I want to take a slightly different approach and include EATING better. I am a super-picky eater and hesitate to try new things. I also don't want to have to cut out eggs because I love eggs and they're carb-free and they're like, my favourite food in the whole world! I just need some tips or some directions to a place where I can GET tips on how to healthy up my eating, if you will. I also welcome any tips on motivation (I already have the "complications are coming" one, believe me... they have certainly started to surface :()
Please refrain from commenting on the fact that my A1C hasn't been lower than 8.4% in 11 years. I'm trying my best and a lot of it has to do with depression in adolescence (combined with typical adolescent laziness and inability to comprehend the gravity of diabetes in the first place) and I already understand that I'm at a point where I can't afford an A1C of 8.4... you know, if you can. :) </t>
        </is>
      </c>
      <c r="D545" t="n">
        <v>1</v>
      </c>
      <c r="E545" t="n">
        <v>8</v>
      </c>
      <c r="F545">
        <f>HYPERLINK("https://www.reddit.com/r/diabetes/comments/2sgwun/havent_posted_in_a_while_and_now_i_want_to_get/")</f>
        <v/>
      </c>
      <c r="G545" t="inlineStr">
        <is>
          <t>2015-01-14 17:51:23</t>
        </is>
      </c>
      <c r="H545" t="inlineStr">
        <is>
          <t>Type 1</t>
        </is>
      </c>
    </row>
    <row r="546">
      <c r="A546" t="inlineStr">
        <is>
          <t>2sjo5m</t>
        </is>
      </c>
      <c r="B546" t="inlineStr">
        <is>
          <t>After 17 years I finally want to get a pump but not sure which one to get.</t>
        </is>
      </c>
      <c r="C546" t="inlineStr">
        <is>
          <t xml:space="preserve">Doctors have been wanting to pet me started on a pump since day one but it took 17 years and a list of complications that caught up with me to finally convince me that I should get a pump. Going to see my doctor tomorrow and I want to get a pump! However, I am not sure which is the best and I need some advice...more than what technical comparison websites can give me. I am a type one. The Omnipod pod looks interesting but sounds like it has a lot of complications, the OneTouch Ping also looks promising. Any advice would be most excellent! Thanks :D </t>
        </is>
      </c>
      <c r="D546" t="n">
        <v>6</v>
      </c>
      <c r="E546" t="n">
        <v>23</v>
      </c>
      <c r="F546">
        <f>HYPERLINK("https://www.reddit.com/r/diabetes/comments/2sjo5m/after_17_years_i_finally_want_to_get_a_pump_but/")</f>
        <v/>
      </c>
      <c r="G546" t="inlineStr">
        <is>
          <t>2015-01-15 11:36:28</t>
        </is>
      </c>
      <c r="H546" t="inlineStr">
        <is>
          <t>Type 1</t>
        </is>
      </c>
    </row>
    <row r="547">
      <c r="A547" t="inlineStr">
        <is>
          <t>2sklvh</t>
        </is>
      </c>
      <c r="B547" t="inlineStr">
        <is>
          <t>Goal #3 met: off metformin (t2)</t>
        </is>
      </c>
      <c r="C547" t="inlineStr">
        <is>
          <t xml:space="preserve">Eighteen months after diagnosed as T2, I've met my top three goals:
1) lose 50 pounds and do not gain back what I lose
2) achieve consistent A1C of 5.5
3) get off of metformin.
I'm still a T2 for life and I know there are no guarantees, but I'm hopeful that if I stick to what has worked so far--moderately rigorous diet and daily exercise--I will be able to enjoy a pretty normal life. I'm under no illusions. Diabetes has meant profound changes in my life and those changes have to keep sticking, or else I'll be back where I started. 
Anyhow, I just wanted to share this good news with others who might be newly diagnosed. This subreddit has been a lifesaver for me and I'm overdue to give back a little. </t>
        </is>
      </c>
      <c r="D547" t="n">
        <v>41</v>
      </c>
      <c r="E547" t="n">
        <v>25</v>
      </c>
      <c r="F547">
        <f>HYPERLINK("https://www.reddit.com/r/diabetes/comments/2sklvh/goal_3_met_off_metformin_t2/")</f>
        <v/>
      </c>
      <c r="G547" t="inlineStr">
        <is>
          <t>2015-01-15 15:51:56</t>
        </is>
      </c>
      <c r="H547" t="inlineStr">
        <is>
          <t>Type 2</t>
        </is>
      </c>
    </row>
    <row r="548">
      <c r="A548" t="inlineStr">
        <is>
          <t>2snlon</t>
        </is>
      </c>
      <c r="B548" t="inlineStr">
        <is>
          <t>[T2] New to insulin- question about high morning numbers</t>
        </is>
      </c>
      <c r="C548" t="inlineStr">
        <is>
          <t xml:space="preserve">Quick stats:
T2 since March 2014. Recent A1C: 6.0
Just wake up BG: 93-110
30min-2 hours after (no food): 130-150
I recently found out I'm expecting and had my first endo appointment. They put me on 10 units of levemir twice a day (morning and night) to try to get my "fasting" numbers below 90. 
My frustration is that when I first wake up my numbers are very close to normal, but then what I can only assume is "dawn phenomenon" happens and my bg gets wacky. It always comes down to normal after breakfast so it's strictly a morning issue.
Have any of you had experience with morning highs? Will more insulin at night/in the morning help with that? My fear is that upping my levemir at night will make me go low in the morning before that wonderful dump when I do get up and move around. 
Just wanted to hear from some others as this whole insulin thing is new to me and it doesn't make sense to up my doses if I'm almost in normal ranges. 
</t>
        </is>
      </c>
      <c r="D548" t="n">
        <v>2</v>
      </c>
      <c r="E548" t="n">
        <v>8</v>
      </c>
      <c r="F548">
        <f>HYPERLINK("https://www.reddit.com/r/diabetes/comments/2snlon/t2_new_to_insulin_question_about_high_morning/")</f>
        <v/>
      </c>
      <c r="G548" t="inlineStr">
        <is>
          <t>2015-01-16 10:56:38</t>
        </is>
      </c>
      <c r="H548" t="inlineStr">
        <is>
          <t>Type 2</t>
        </is>
      </c>
    </row>
    <row r="549">
      <c r="A549" t="inlineStr">
        <is>
          <t>2sp48m</t>
        </is>
      </c>
      <c r="B549" t="inlineStr">
        <is>
          <t>YSK that "The Great Divide" between Type 1 and Type 2 Diabetes is unfortunate for us.</t>
        </is>
      </c>
      <c r="C549" t="inlineStr">
        <is>
          <t>The Great Divide…
I want to talk about something that has been troubling me lately. As the title states, I want to talk about the great divide between Type 1 and Type 2. If you visit many diabetes chat rooms or websites, the separation between the 2 diseases is usually very apparent. Often these chat rooms and websites will be designated for one or the other and there is not usually much intermingling between the two. I find this to be very unfortunate as well as extremely disheartening. Maybe this is because I have a different perspective than many people. I was diagnosed with Type 2 about 9 years ago and I was recently re-diagnosed as Type 1 (some sort of late onset). I have lived as both Type 1 and Type 2. I have been on an insulin pump for the last 4 years so my diabetes management has not changed much since my re-diagnosis of Type 1.
I understand that the two diseases are very different. The purpose of this post is not to get into a debate about which one is worse. I read all of the articles that state that Type 1 is considered the more serious or dangerous of the two. But from where I am sitting at this very moment in time, Type 2 just took my Mom from me. Type 2 took quality of life from my Mom long before it took her life. On the other hand, I see Type 1 affecting young children and I see the incredible stress that it places on parents and families. I have nothing but the utmost respect for the families and their children that meet this disease head-on and manage through the daily struggles that it presents. I have a 5 year old son and I cannot imagine him getting a diagnosis of Type 1. This is easily my biggest fear.
This post may seem a little emotionally charged but I just lost my Mom to diabetes complications. She was diagnosed Type 2 more than 20 years ago and saw the worst that diabetes had to offer including amputations, dialysis, and finally, heart failure. It really bothers me when Type 2 is called a “lifestyle disease”. I understand that it can be attributed to lifestyle however this is not always the case. For me, I was training for marathons, got extremely lean and healthy during training and I was still diabetic. It did not go away because I changed my diet or lost a few pounds. In fact, I had even more problems with high blood sugars and control during training and that is when I ended up switching from medications to insulin.
In my Mom’s case there was not nearly as much knowledge 20+ years ago about diabetes as there is now. She was put on meds for a short time and then was moved to insulin. She was very active, worked full time, and still found time to spend outside playing with her children whenever she could. She did well managing her blood sugars until a workplace back injury changed everything. She had emergency back surgery that did not go well and had to have a second back surgery to replace broken screws from the first surgery. As you may have guessed her recovery did not go well. It was a steady downhill decline from then on. Her ongoing back pain made activity very difficult for her and without activity controlling blood sugars are challenging even with insulin.
Before I get too emotional in this post, I want to get back to the reason for writing it. All of us who live with or care for loved ones with diabetes understand the challenges. We all understand the daily grind and the tolls that it can take on us mentally as well as physically. No matter how we all feel about the Type 1 vs. Type 2 dialogue, in the end we are all dealing with the same disease. We all deal with the exhaustion of trying to manage our own diabetes and blood sugars while still trying to live a life that is as close to normal as we can manage. And most importantly, we all deal with the same potential longterm complications of diabetes. For my Mom, those complications became a reality following an injury that she struggled to recover from. For others, there may be other extenuating circumstances such as other illnesses that lead to complications. Regardless of the situation; amputations, blindness, liver problems, kidney problems, and heart problems are potential complications that we all face whether we live with Type 1 or Type 2.
For those with children with diabetes, these challenges are the same. I truly believe that they are much more difficult to manage with children and I feel for every parent that must be the “life support” for their child. With that being said, I am guessing that outside of keeping your child alive and healthy, avoiding long term complications is always something that is in your thoughts.
I am struggling with this emotionally because I can’t understand why there is such a divide between Type 1 and Type 2. I have been fundraising to send kids with diabetes to Diabetes Camp. I can’t even count how many times I was asked if I was fundraising for Type 1 or Type 2. I struggle with this tremendously. Why does it matter? Both of these diseases kill people every day. Both of these diseases take loved ones from us and make the lives of our loved ones more difficult than they ever should be. There is such a strong presence of online diabetes communities trying to help each other and offer support for each other. I can’t help but think how much stronger we could be as a united front instead of divided sides.
I am hoping for a cure as much as any of you are. Until that day though, my hope would be that we could move away from Type 1 vs. Type 2 and all just help each other no matter which form of this awful disease affects us. I hope that this blog will reach some people who can help start some conversations about this. I am just a guy who wants to continue to make his Mom proud and show her that her struggles and pain did not fall on blind eyes.</t>
        </is>
      </c>
      <c r="D549" t="n">
        <v>2</v>
      </c>
      <c r="E549" t="n">
        <v>8</v>
      </c>
      <c r="F549">
        <f>HYPERLINK("https://www.reddit.com/r/diabetes/comments/2sp48m/ysk_that_the_great_divide_between_type_1_and_type/")</f>
        <v/>
      </c>
      <c r="G549" t="inlineStr">
        <is>
          <t>2015-01-16 18:41:15</t>
        </is>
      </c>
      <c r="H549" t="inlineStr">
        <is>
          <t>Type 1</t>
        </is>
      </c>
    </row>
    <row r="550">
      <c r="A550" t="inlineStr">
        <is>
          <t>2sqdbj</t>
        </is>
      </c>
      <c r="B550" t="inlineStr">
        <is>
          <t>Prediabetic, 2nd reading with an ac1 of over 6. Doctor is not helpful.</t>
        </is>
      </c>
      <c r="C550" t="inlineStr">
        <is>
          <t xml:space="preserve">1) getting a new doctor soon but don't want to wait to get control of this. 
2) want to start monitoring my blood sugar properly and have no idea where to start. I want metrics, not fuzzy stuff like "hey, I feel flushed and jittery because I had soup!" I'd rather be able to see the numbers, have the feedback so I can tell what's going on. I have no damn idea where to start. What sort of test equipment will I need? When are good times to check? What am I looking for here? The internet is oddly unspecific, or I'm looking in the wrong places. 
3) trying to get my food under control. "Unhealthy relationship with food" covers a lot of sins; I had a messed up childhood and have translated that into an adulthood addiction to food as a consolation and bribe. I'm working on the mental side of it. 
On the physical side, I've spent the week eating healthy, and most of the day my stomach is about to chew a hole through my spine. I'm eating lean meats, veggies, some brown rice, unsweetened celestial seasonings tea. Is the brown rice bad? Why am I so hungry? It's insane hunger too. and I swear I'm eating what should be normal portion sizes for a normal person. Yeah, I trained my body to eat too much for a long time but this ... damn. 
Then I caved in and had a bowl of pho last night, and after - after my face felt like I was on fire and I was so thirsty it was crazy, drank 2 litres of water. I got on the treadmill to burn off some of the sugar but damn, all that from a normal bowl of pho? I even skipped the noodles. When I'm not on a diet I can eat bunch of that stuff and not be impacted. What happened? Is it because I suddenly cut down my sugars? 
I'm feeling scared here, like I don't know what I'm doing and I'm gonna screw it up. I know what my diet is supposed to be like, I'm not dumb even if I've been acting like it with regards to food for years now. But making the change is unsettling everything. How much slack do I have? It's looking like the answer there is 0. If I screw up, at what point is it dangerous? 
You're experts and have been doing this for years. Can anyone talk to me about diet? What's your meal plan like? </t>
        </is>
      </c>
      <c r="D550" t="n">
        <v>0</v>
      </c>
      <c r="E550" t="n">
        <v>14</v>
      </c>
      <c r="F550">
        <f>HYPERLINK("https://www.reddit.com/r/diabetes/comments/2sqdbj/prediabetic_2nd_reading_with_an_ac1_of_over_6/")</f>
        <v/>
      </c>
      <c r="G550" t="inlineStr">
        <is>
          <t>2015-01-17 05:45:49</t>
        </is>
      </c>
      <c r="H550" t="inlineStr">
        <is>
          <t>Type 2</t>
        </is>
      </c>
    </row>
    <row r="551">
      <c r="A551" t="inlineStr">
        <is>
          <t>2sqgxs</t>
        </is>
      </c>
      <c r="B551" t="inlineStr">
        <is>
          <t>An A1c out of nowhere?</t>
        </is>
      </c>
      <c r="C551" t="inlineStr">
        <is>
          <t>Hi all,
I just got my A1c recently and am in minor shock (not the good kind). It was a 7.6
Some background - In the past 10 years, I have had A1c's between 6.5-7.5, mostly around 6.8-7.2. My 30 day averages have historically been between 140-145 with a standard deviation of about 40.
I went on the Dexcom G4 in August, and since then my control has significantly improved with far fewer high highs and low lows. Most recently, my 30 day average was 139 with a standard deviation of 39, but that included a rough week at Christmas where I was hanging out in the high 100's for extended periods (though very little time above there). The two weeks leading up to my A1c was an average of 129 with standard deviation of 29.
Anyway, this is my highest A1c in a decade and I just don't understand what could have gone wrong. My endo (who is terrific) mentioned that they had changed labs for the A1c test very recently (from a large national lab to a smaller, though still fairly large, lab based in the northeast US), so I am a bit suspicious.
But still, this is my highest A1c since I was in college over 10 years ago.
Has anyone been totally blindsided by an A1c like this? I figure regardless that I should just redouble my efforts and be as tightly controlled as possible for my next one and hopefully we'll figure things out, but it sucks to have what I thought was significantly improved control and end up with an A1c like this.
One other note - I had recently tested with the A1c at Home test (which has historically been mostly accurate or within a few tenths of a point of my lab test) and it said I was 6.8.</t>
        </is>
      </c>
      <c r="D551" t="n">
        <v>2</v>
      </c>
      <c r="E551" t="n">
        <v>10</v>
      </c>
      <c r="F551">
        <f>HYPERLINK("https://www.reddit.com/r/diabetes/comments/2sqgxs/an_a1c_out_of_nowhere/")</f>
        <v/>
      </c>
      <c r="G551" t="inlineStr">
        <is>
          <t>2015-01-17 06:35:37</t>
        </is>
      </c>
      <c r="H551" t="inlineStr">
        <is>
          <t>Type 1</t>
        </is>
      </c>
    </row>
    <row r="552">
      <c r="A552" t="inlineStr">
        <is>
          <t>2sr1b3</t>
        </is>
      </c>
      <c r="B552" t="inlineStr">
        <is>
          <t>Question about people who use or have used Victoza (I have type 2 Diabetes)</t>
        </is>
      </c>
      <c r="C552" t="inlineStr">
        <is>
          <t>I don't know if I have had the world's longest cold, or if I am actually having some kind of reaction but since going up to 1.8 I have had cold symptoms: cough, runny nose, sometimes my voice cracks, once in a while I get a sore throat.  Is this something anyone else experienced and did it go away?  Victoza works for me (except I am not losing weight on it, which I was told I would) and keeps my blood sugars reasonable, so I really don't want to come off of it.</t>
        </is>
      </c>
      <c r="D552" t="n">
        <v>5</v>
      </c>
      <c r="E552" t="n">
        <v>5</v>
      </c>
      <c r="F552">
        <f>HYPERLINK("https://www.reddit.com/r/diabetes/comments/2sr1b3/question_about_people_who_use_or_have_used/")</f>
        <v/>
      </c>
      <c r="G552" t="inlineStr">
        <is>
          <t>2015-01-17 10:01:26</t>
        </is>
      </c>
      <c r="H552" t="inlineStr">
        <is>
          <t>Type 2</t>
        </is>
      </c>
    </row>
    <row r="553">
      <c r="A553" t="inlineStr">
        <is>
          <t>2srm7r</t>
        </is>
      </c>
      <c r="B553" t="inlineStr">
        <is>
          <t>I am concerned about my gf's condition and I need some insight</t>
        </is>
      </c>
      <c r="C553" t="inlineStr">
        <is>
          <t xml:space="preserve">**TL;DR  My girlfriend has lost 30 lbs and went into DKA from lack of taking care of herself due to her depression. She's getting back on track with injections, but no weight gain. Normal?**
Hello diabetic community! I'm new to this sub so please bear with me. I've recently met a beautiful woman that I've fallen deeply in love with but there are some things about her condition I would like to know more about as well as get some advice on. My situation is a bit complicated but I'll try to keep it succinct and related to the diabetic aspect as much as possible (you'll see what I mean in a bit). Here we go.
Okay, so recently my gf (let's call her Lisa) had to be hospitalized due to her lack of caring for her condition. Not knowing much about diabetes at the time, it was a very scary thing for me to have to watch her struggle, breathing so heavily, and then seeing her hooked up to so many IVs as the doctors and nurses pumped her full of insulin and liquids. Eventually, I found out that she was suffering from Diabetic Ketoacidosis (DKA).
So how did this happen? Well, Lisa told me, and the doctors, that she was running low on her insulin, and that she was simply rationing out the last of it until her next appointment with her doctor so she could get a new prescription. The other thing she told the doctors was that she had only been taking her bolus insulin, and that she had run out of her basal one.
There's one other important detail that I want to mention that I think plays a critical role in all this. I'm pretty certain she is suffering from depression. We haven't been dating for that long, but I'm *very* familiar with the symptoms of depression as it something I suffer from myself. And looking at the entire situation, I become more and more certain every day that her depression was the reason she had to go to the hospital. I think it caused her to somewhat give up.
Now, I know that having diabetes is a full time job, and from what she's told me, she basically just became very exhausted from having to take care of herself. In the last 6 months she's lost about 30 lbs. She weighs about 100 lbs right now. This is pretty scary for me. I love this woman like crazy and I want her to be healthy.
So here's the thing. She's taking her insulin shots. She seems to have a voracious appetite (normal?) She drinks a lot of liquids (again, normal?) But she hasn't been gaining any weight. Also, and forgive my ignorance, but should she be taking her blood sugar level? I never see her do it. She'll take her shots in front of me, but I never see her take any sugar levels. Is this normal or okay?
I'm sorry if I've posted too much. I just wanted to give the details that I thought were important.
</t>
        </is>
      </c>
      <c r="D553" t="n">
        <v>1</v>
      </c>
      <c r="E553" t="n">
        <v>2</v>
      </c>
      <c r="F553">
        <f>HYPERLINK("https://www.reddit.com/r/diabetes/comments/2srm7r/i_am_concerned_about_my_gfs_condition_and_i_need/")</f>
        <v/>
      </c>
      <c r="G553" t="inlineStr">
        <is>
          <t>2015-01-17 13:02:20</t>
        </is>
      </c>
      <c r="H553" t="inlineStr">
        <is>
          <t>Type 1</t>
        </is>
      </c>
    </row>
    <row r="554">
      <c r="A554" t="inlineStr">
        <is>
          <t>2ssthw</t>
        </is>
      </c>
      <c r="B554" t="inlineStr">
        <is>
          <t>Red cheeks</t>
        </is>
      </c>
      <c r="C554" t="inlineStr">
        <is>
          <t>I was asked today why my cheeks are always red. I've often noticed my cheeks will feel hot a lot of times even when I'm freezing and I have no idea what it could be.
Doc said my blood pressure is really good for someone my size and with my switch to metformin er my glucose levels have dropped to the range of 119- 130 which the doc is happy with the decrease.
I can understand my cheeks getting hot and red after exercise and physical activity but it happens at random times.
Also anyone have any experience with thyroid medicine levothyroxine? How long does it take to get in your system? Does it cause weight loss or weight gain?</t>
        </is>
      </c>
      <c r="D554" t="n">
        <v>1</v>
      </c>
      <c r="E554" t="n">
        <v>16</v>
      </c>
      <c r="F554">
        <f>HYPERLINK("https://www.reddit.com/r/diabetes/comments/2ssthw/red_cheeks/")</f>
        <v/>
      </c>
      <c r="G554" t="inlineStr">
        <is>
          <t>2015-01-17 19:53:45</t>
        </is>
      </c>
      <c r="H554" t="inlineStr">
        <is>
          <t>Type 2</t>
        </is>
      </c>
    </row>
    <row r="555">
      <c r="A555" t="inlineStr">
        <is>
          <t>2stxy2</t>
        </is>
      </c>
      <c r="B555" t="inlineStr">
        <is>
          <t>question about meds.</t>
        </is>
      </c>
      <c r="C555" t="inlineStr">
        <is>
          <t>The doctor has changed my medications. This is a good thing - a1c is 6.5. He has me on both metformin and glipizide, both of them extended release. My question is this - should I be taking them all at once.
Even though they are extended release, it seem to me dangerous to have a lot of pills that lower blood sugar all at once.</t>
        </is>
      </c>
      <c r="D555" t="n">
        <v>2</v>
      </c>
      <c r="E555" t="n">
        <v>9</v>
      </c>
      <c r="F555">
        <f>HYPERLINK("https://www.reddit.com/r/diabetes/comments/2stxy2/question_about_meds/")</f>
        <v/>
      </c>
      <c r="G555" t="inlineStr">
        <is>
          <t>2015-01-18 06:23:55</t>
        </is>
      </c>
      <c r="H555" t="inlineStr">
        <is>
          <t>Type 2</t>
        </is>
      </c>
    </row>
    <row r="556">
      <c r="A556" t="inlineStr">
        <is>
          <t>2syh6o</t>
        </is>
      </c>
      <c r="B556" t="inlineStr">
        <is>
          <t>Now officially a cyborg. (T1)</t>
        </is>
      </c>
      <c r="C556" t="inlineStr">
        <is>
          <t>http://imgur.com/1TlvkEY
Previously I posted here wanting some answers regarding treatment change : http://www.reddit.com/r/diabetes/comments/2g0kbl/looking_at_treatment_change_i_need_some_answers/
As of last Friday I've switched to the Medtronic MiniMed pump, and am really happy so far (I know, it's only been a couple days). Last year I just didn't care about my diabetes anymore, leading to a doctors visit in the summer with an A1c of 8.1. Part of this was working 2 jobs with no sleep schedule to speak of. Getting my act together and visiting an endocrinologist for the first time in over a decade started the ball rolling. I tracked my sugars like a bookie, and was able to decrease my A1c to 6.8 in September, and 5.7 in December by simply watching what I ate and monitoring. 
Hoping to keep the trend going. Got engaged December 10, and eventually want to procreate, therefore tight control is a must. I'm losing weight, too, which is bonus.
Just wanted to thank everyone for their input. Good to know we have such a great online community to turn to when we need it.</t>
        </is>
      </c>
      <c r="D556" t="n">
        <v>37</v>
      </c>
      <c r="E556" t="n">
        <v>35</v>
      </c>
      <c r="F556">
        <f>HYPERLINK("https://www.reddit.com/r/diabetes/comments/2syh6o/now_officially_a_cyborg_t1/")</f>
        <v/>
      </c>
      <c r="G556" t="inlineStr">
        <is>
          <t>2015-01-19 10:16:35</t>
        </is>
      </c>
      <c r="H556" t="inlineStr">
        <is>
          <t>Type 1</t>
        </is>
      </c>
    </row>
    <row r="557">
      <c r="A557" t="inlineStr">
        <is>
          <t>2t0ii9</t>
        </is>
      </c>
      <c r="B557" t="inlineStr">
        <is>
          <t>[Question] Symptoms are back?</t>
        </is>
      </c>
      <c r="C557" t="inlineStr">
        <is>
          <t>Ok so I was diagnosed a few months back, I had a blood sugar of 536 when I went to the doctor and had excessive thirst/hunger/urination. My blood sugar has had very few highs and quite a few lows. I went back to normal for awhile but within the last few days all of my symptoms from before are back and my blood sugar has still been normal other than the lows. Is this normal? I drank 18 bottles of water today so far(about to go to bed so maybe 19 total). This is more than I used to drink before. I just am kind of worried about this. If anyone can help or give me advice that would be great.</t>
        </is>
      </c>
      <c r="D557" t="n">
        <v>2</v>
      </c>
      <c r="E557" t="n">
        <v>6</v>
      </c>
      <c r="F557">
        <f>HYPERLINK("https://www.reddit.com/r/diabetes/comments/2t0ii9/question_symptoms_are_back/")</f>
        <v/>
      </c>
      <c r="G557" t="inlineStr">
        <is>
          <t>2015-01-19 19:46:47</t>
        </is>
      </c>
      <c r="H557" t="inlineStr">
        <is>
          <t>Type 1</t>
        </is>
      </c>
    </row>
    <row r="558">
      <c r="A558" t="inlineStr">
        <is>
          <t>2t1jv3</t>
        </is>
      </c>
      <c r="B558" t="inlineStr">
        <is>
          <t>What do I do now? [T1]</t>
        </is>
      </c>
      <c r="C558" t="inlineStr">
        <is>
          <t>Hey guys. So, I missed my Lantus last night, woke up to a nice 367 blood sugar with large ketones. I took my Lantus shot a few minutes ago and now will be setting it back one hour a night until it's fixed. My question being, do I take a novolog correction too? My mother is a little frustrated with me, and rightfully so, but at this moment in time her frustration isn't on the top of the things I care for most right now.</t>
        </is>
      </c>
      <c r="D558" t="n">
        <v>3</v>
      </c>
      <c r="E558" t="n">
        <v>8</v>
      </c>
      <c r="F558">
        <f>HYPERLINK("https://www.reddit.com/r/diabetes/comments/2t1jv3/what_do_i_do_now_t1/")</f>
        <v/>
      </c>
      <c r="G558" t="inlineStr">
        <is>
          <t>2015-01-20 03:48:50</t>
        </is>
      </c>
      <c r="H558" t="inlineStr">
        <is>
          <t>Type 1</t>
        </is>
      </c>
    </row>
    <row r="559">
      <c r="A559" t="inlineStr">
        <is>
          <t>2t1vfy</t>
        </is>
      </c>
      <c r="B559" t="inlineStr">
        <is>
          <t>My T2 sugars and a note of thanks...</t>
        </is>
      </c>
      <c r="C559" t="inlineStr">
        <is>
          <t>Since committing to eating healthier and moving more at the start of the year, my blood sugars the past few days have been in a reasonable 110-138.  I can't remember the last time I saw a number under 170 (on a great day previously) and was usually well in the 200s.
Today I hit a 92 when I woke up!  I feel better than I have in a very, very long time.
While I'm posting and not lurking for once, being T2 with a T1 son I learn a lot from your posts about what's going on and the types of things my son will deal with in his life which are so much different from my diabetes management.  Thank you all for sharing your life lessons and experiences, it only makes us better!</t>
        </is>
      </c>
      <c r="D559" t="n">
        <v>9</v>
      </c>
      <c r="E559" t="n">
        <v>8</v>
      </c>
      <c r="F559">
        <f>HYPERLINK("https://www.reddit.com/r/diabetes/comments/2t1vfy/my_t2_sugars_and_a_note_of_thanks/")</f>
        <v/>
      </c>
      <c r="G559" t="inlineStr">
        <is>
          <t>2015-01-20 06:19:38</t>
        </is>
      </c>
      <c r="H559" t="inlineStr">
        <is>
          <t>Type 2</t>
        </is>
      </c>
    </row>
    <row r="560">
      <c r="A560" t="inlineStr">
        <is>
          <t>2t70ie</t>
        </is>
      </c>
      <c r="B560" t="inlineStr">
        <is>
          <t>Going to my first EVER party, I need help</t>
        </is>
      </c>
      <c r="C560" t="inlineStr">
        <is>
          <t>In a few weeks time my friend is having a house party for her birthday. Everyone there is going to be getting drunk and I want to as well, but I don't know exactly how my diabetes affects it. I've been diabetic for nearly two years and my blood sugars are very controlled, I am rarely too high or too low. I know that the liver can only do one thing at once but I would like some tips on how to control my diabetes and drink at the same time. I don't want to be sipping on my one and only bottle of beer when everyone around me is drunk and having a good time. As I said this is my first EVER party but I have drank a tiny bit before. So, are there any tips or suggestions you have for me at my first party?
Thank you :)</t>
        </is>
      </c>
      <c r="D560" t="n">
        <v>2</v>
      </c>
      <c r="E560" t="n">
        <v>15</v>
      </c>
      <c r="F560">
        <f>HYPERLINK("https://www.reddit.com/r/diabetes/comments/2t70ie/going_to_my_first_ever_party_i_need_help/")</f>
        <v/>
      </c>
      <c r="G560" t="inlineStr">
        <is>
          <t>2015-01-21 10:18:26</t>
        </is>
      </c>
      <c r="H560" t="inlineStr">
        <is>
          <t>Type 1</t>
        </is>
      </c>
    </row>
    <row r="561">
      <c r="A561" t="inlineStr">
        <is>
          <t>2t743u</t>
        </is>
      </c>
      <c r="B561" t="inlineStr">
        <is>
          <t>A1C came in :/</t>
        </is>
      </c>
      <c r="C561" t="inlineStr">
        <is>
          <t>Last year at this time, I had an A1C of 7.8.  Things need to change, and they did.
6 months ago, it was 6.8, heading in the right direction.  I went to the gym for most of the year, things were looking good on most fronts.  Eating healthier, losing fat, feeling better.
From Thanksgiving to New Years ... Life happened.
Only been back at the gym for 2 weeks or so now (once again feeling better), but I just had my A1C done again.  7.8.  
I feel like that high I was riding of "yeah, everything is starting to go well" got popped a bit.  I know it's because I had a bad couple of months, but still, I should be doing better.  Just annoyed at myself, I guess.</t>
        </is>
      </c>
      <c r="D561" t="n">
        <v>5</v>
      </c>
      <c r="E561" t="n">
        <v>9</v>
      </c>
      <c r="F561">
        <f>HYPERLINK("https://www.reddit.com/r/diabetes/comments/2t743u/a1c_came_in/")</f>
        <v/>
      </c>
      <c r="G561" t="inlineStr">
        <is>
          <t>2015-01-21 10:43:27</t>
        </is>
      </c>
      <c r="H561" t="inlineStr">
        <is>
          <t>Type 1</t>
        </is>
      </c>
    </row>
    <row r="562">
      <c r="A562" t="inlineStr">
        <is>
          <t>2t8qxr</t>
        </is>
      </c>
      <c r="B562" t="inlineStr">
        <is>
          <t>I keep seeing Americans T1's on this subreddit. What about the kiwi's?!</t>
        </is>
      </c>
      <c r="C562" t="inlineStr">
        <is>
          <t>Nothing wrong with that, but its a bit different here in NZ.
Are there any from New Zealand here? If so, how do you find being a diabetic here? Im originally from the UK, and that has afforded me the understanding of free care for the first 12 years of my diabetic life. Now however, everything has to be pharmac approved which means we're limited in what we can have, including the Pump. Which I would love to get but I dont meet there extreme criteria. 
Saying that, after 16 years I've finally brought my HBa1C down to a reasonable level with a score of 7.8mmol. This time last year, I scored in the high 12's. 
tl:dr Comparing the lives of T1D in NZ</t>
        </is>
      </c>
      <c r="D562" t="n">
        <v>5</v>
      </c>
      <c r="E562" t="n">
        <v>10</v>
      </c>
      <c r="F562">
        <f>HYPERLINK("https://www.reddit.com/r/diabetes/comments/2t8qxr/i_keep_seeing_americans_t1s_on_this_subreddit/")</f>
        <v/>
      </c>
      <c r="G562" t="inlineStr">
        <is>
          <t>2015-01-21 18:05:59</t>
        </is>
      </c>
      <c r="H562" t="inlineStr">
        <is>
          <t>Type 1</t>
        </is>
      </c>
    </row>
    <row r="563">
      <c r="A563" t="inlineStr">
        <is>
          <t>2ta7kn</t>
        </is>
      </c>
      <c r="B563" t="inlineStr">
        <is>
          <t>Recently diagnosed as Type 1 - Any advice on anything?</t>
        </is>
      </c>
      <c r="C563" t="inlineStr">
        <is>
          <t>Hello everyone! As above, I've been recently diagnosed and was wondering if I could have any advice on anything? I'm 18 and am planning to go to university in September so if anyone has any advice on that, that would be awesome :) Also I'm curious about pumps so any info on those if anyone would like to share.</t>
        </is>
      </c>
      <c r="D563" t="n">
        <v>12</v>
      </c>
      <c r="E563" t="n">
        <v>28</v>
      </c>
      <c r="F563">
        <f>HYPERLINK("https://www.reddit.com/r/diabetes/comments/2ta7kn/recently_diagnosed_as_type_1_any_advice_on/")</f>
        <v/>
      </c>
      <c r="G563" t="inlineStr">
        <is>
          <t>2015-01-22 04:42:47</t>
        </is>
      </c>
      <c r="H563" t="inlineStr">
        <is>
          <t>Type 1</t>
        </is>
      </c>
    </row>
    <row r="564">
      <c r="A564" t="inlineStr">
        <is>
          <t>2tb0zd</t>
        </is>
      </c>
      <c r="B564" t="inlineStr">
        <is>
          <t>Off of the gliburide (thank goodness)</t>
        </is>
      </c>
      <c r="C564" t="inlineStr">
        <is>
          <t>My goodness did I hate being on gliburide.  I'd get so hypoglycemic I had to eat like 2 candy bars to keep from going comatose.  Now it's just metformin and gemfibrozil.</t>
        </is>
      </c>
      <c r="D564" t="n">
        <v>2</v>
      </c>
      <c r="E564" t="n">
        <v>6</v>
      </c>
      <c r="F564">
        <f>HYPERLINK("https://www.reddit.com/r/diabetes/comments/2tb0zd/off_of_the_gliburide_thank_goodness/")</f>
        <v/>
      </c>
      <c r="G564" t="inlineStr">
        <is>
          <t>2015-01-22 09:22:29</t>
        </is>
      </c>
      <c r="H564" t="inlineStr">
        <is>
          <t>Type 2</t>
        </is>
      </c>
    </row>
    <row r="565">
      <c r="A565" t="inlineStr">
        <is>
          <t>2tbza3</t>
        </is>
      </c>
      <c r="B565" t="inlineStr">
        <is>
          <t>Extreme highs and lows. Could it be caused by antibiotics?</t>
        </is>
      </c>
      <c r="C565" t="inlineStr">
        <is>
          <t>I've been type 1 for 21 years, and have always been terrible at testing. The last few months, I started testing regularly and brought my a1c down from a 10.2 to a 7.3 in 3 months. Hooray! But the last few days, I've been on antibiotics and experiencing insane lows (30s) and highs anywhere from 300-589. It's terrifying. When it's low, it takes hours to come up to normal. Yesterday, it was 30 and I drank 10oz of juice and suspended my pump for an hour; 3 hours later it was 589 and I gave myself 10 units of Humalog but it didn't drop at all until 4 hours later.
TL;DR I've been on antibiotics for the last 3 days and my blood sugar is all over the place. Has this happened to anyone else? Since I used to be so bad at testing regularly, I have no idea if the meds caused this in the past.</t>
        </is>
      </c>
      <c r="D565" t="n">
        <v>7</v>
      </c>
      <c r="E565" t="n">
        <v>5</v>
      </c>
      <c r="F565">
        <f>HYPERLINK("https://www.reddit.com/r/diabetes/comments/2tbza3/extreme_highs_and_lows_could_it_be_caused_by/")</f>
        <v/>
      </c>
      <c r="G565" t="inlineStr">
        <is>
          <t>2015-01-22 13:41:45</t>
        </is>
      </c>
      <c r="H565" t="inlineStr">
        <is>
          <t>Type 1</t>
        </is>
      </c>
    </row>
    <row r="566">
      <c r="A566" t="inlineStr">
        <is>
          <t>2tdwho</t>
        </is>
      </c>
      <c r="B566" t="inlineStr">
        <is>
          <t>The Effect of Soy Nuts on Glycemic Control, Lipid Profile and Insulin-Resistance in Type 2 Diabetic Patients</t>
        </is>
      </c>
      <c r="C566" t="inlineStr">
        <is>
          <t>Type 2 diabetes has a high prevalence and a growing trend. The use of a proper diet treatment is one of the therapeutic approaches of patients. The use of the soy has shown the effective results in glycemic control of patients with type 2 diabetes; however, data are paradoxical.
Check this: http://www.scirp.org/journal/PaperInformation.aspx?PaperID=53416&amp;amp;amp;utm_campaign=reddit&amp;amp;amp;utm_medium=sx</t>
        </is>
      </c>
      <c r="D566" t="n">
        <v>1</v>
      </c>
      <c r="E566" t="n">
        <v>0</v>
      </c>
      <c r="F566">
        <f>HYPERLINK("https://www.reddit.com/r/diabetes/comments/2tdwho/the_effect_of_soy_nuts_on_glycemic_control_lipid/")</f>
        <v/>
      </c>
      <c r="G566" t="inlineStr">
        <is>
          <t>2015-01-23 00:18:06</t>
        </is>
      </c>
      <c r="H566" t="inlineStr">
        <is>
          <t>Type 2</t>
        </is>
      </c>
    </row>
    <row r="567">
      <c r="A567" t="inlineStr">
        <is>
          <t>2ten5c</t>
        </is>
      </c>
      <c r="B567" t="inlineStr">
        <is>
          <t>Has anyone read (and tried) N. Barnards 'Reversing Diabetes'?</t>
        </is>
      </c>
      <c r="C567" t="inlineStr">
        <is>
          <t>Short version: I am 31, vegan and was diagnosed with diabetes type 2 3.5 months ago. I find it hard to maintain a low carb diet so I wonder if anyone has tried the diet described in Neal Barnards book 'Reversing Diabetes', which promotes eating low glycemic index foods and low fat.
Longer version:
Hey!
I am 31 (f) and in October I was diagnosed with type 2 Diabetes, given a glucose meter, the outlines for a low carb diet, prescribed metformin 850 mg (once daily) and sent home.
The problem is, I am vegan, not for health reasons but due to ideology (so no I won't start eating meat again).. 
So I was a good patient and ate as low carb as I could on a vegan diet and all was well (morning blood sugars 70-100, I did not test during the day). 150 gr of carbs seemed to be the magic number, any higher and I would get higher blood sugars in the morning. 
About 2 months in my glucose meter broke and at this point I was fed up with not being able to eat as many beans and fruit as I would have liked. So I ignored my diabetes (I did take my medication) till about 2 weeks ago, when I got a new glucose meter and found the 'Reversing Diabetes' book. 
Since then I've been eating that way, combined with intermittent fasting and it has been going well so I am wondering if any of you have tried it and what your experience with it was.
Thanks :)</t>
        </is>
      </c>
      <c r="D567" t="n">
        <v>0</v>
      </c>
      <c r="E567" t="n">
        <v>27</v>
      </c>
      <c r="F567">
        <f>HYPERLINK("https://www.reddit.com/r/diabetes/comments/2ten5c/has_anyone_read_and_tried_n_barnards_reversing/")</f>
        <v/>
      </c>
      <c r="G567" t="inlineStr">
        <is>
          <t>2015-01-23 06:43:09</t>
        </is>
      </c>
      <c r="H567" t="inlineStr">
        <is>
          <t>Type 2</t>
        </is>
      </c>
    </row>
    <row r="568">
      <c r="A568" t="inlineStr">
        <is>
          <t>2tfn8v</t>
        </is>
      </c>
      <c r="B568" t="inlineStr">
        <is>
          <t>Tired of the blurry vision</t>
        </is>
      </c>
      <c r="C568" t="inlineStr">
        <is>
          <t>I was just diagnosed with diabetes about a week and a half ago. At that time, my A1C was 11.5 with a resting glucose level of around 363. I had noticed my vision getting blurry around the holidays but it eventually got better. My glucose level is already down to 115 as of this morning.
As soon as my blood sugars began to drop my vision is blurry again. I'm far-sighted and my distance vision is ok but it's almost impossible to read my phone or my monitor. I have windows at 150% text size + Chrome ar 125% and text is still blurry.
Really, anything up close is very blurry. I'm assuming this will go away eventually? I don't have any other sight problems or symptoms other than the blurry vision.</t>
        </is>
      </c>
      <c r="D568" t="n">
        <v>1</v>
      </c>
      <c r="E568" t="n">
        <v>19</v>
      </c>
      <c r="F568">
        <f>HYPERLINK("https://www.reddit.com/r/diabetes/comments/2tfn8v/tired_of_the_blurry_vision/")</f>
        <v/>
      </c>
      <c r="G568" t="inlineStr">
        <is>
          <t>2015-01-23 11:35:21</t>
        </is>
      </c>
      <c r="H568" t="inlineStr">
        <is>
          <t>Type 2</t>
        </is>
      </c>
    </row>
    <row r="569">
      <c r="A569" t="inlineStr">
        <is>
          <t>2tgvk3</t>
        </is>
      </c>
      <c r="B569" t="inlineStr">
        <is>
          <t>A gloomy question for us type 1s</t>
        </is>
      </c>
      <c r="C569" t="inlineStr">
        <is>
          <t>My apologies for this gloomy topic, but is a fear of mine and I wonder if other type 1s feel the same. So if there is some sort of cataclysmic event and for whatever reason insulin is no longer produced, what would you do when you can't get anymore ? I think I would try to last for as long as I could to help my wife and kids, but once I started to get sick from DKA I would consider shooting myself. No way am I going to burden my family and die a horrible slow death. On that cheery note I'll stop.</t>
        </is>
      </c>
      <c r="D569" t="n">
        <v>7</v>
      </c>
      <c r="E569" t="n">
        <v>42</v>
      </c>
      <c r="F569">
        <f>HYPERLINK("https://www.reddit.com/r/diabetes/comments/2tgvk3/a_gloomy_question_for_us_type_1s/")</f>
        <v/>
      </c>
      <c r="G569" t="inlineStr">
        <is>
          <t>2015-01-23 17:17:52</t>
        </is>
      </c>
      <c r="H569" t="inlineStr">
        <is>
          <t>Type 1</t>
        </is>
      </c>
    </row>
    <row r="570">
      <c r="A570" t="inlineStr">
        <is>
          <t>2tj37f</t>
        </is>
      </c>
      <c r="B570" t="inlineStr">
        <is>
          <t>Jogging...first thing in the morning?</t>
        </is>
      </c>
      <c r="C570" t="inlineStr">
        <is>
          <t>I love to run but I hate to load with sugar before doing it. My bg tends to drop more than 100mg/dl if I run 5 km. I've heard that if you run first thing in the morning, fasting, your blood sugar won't drop, it may even go up a bit because of the liver releasing glucagon. 
Is it true?</t>
        </is>
      </c>
      <c r="D570" t="n">
        <v>0</v>
      </c>
      <c r="E570" t="n">
        <v>15</v>
      </c>
      <c r="F570">
        <f>HYPERLINK("https://www.reddit.com/r/diabetes/comments/2tj37f/joggingfirst_thing_in_the_morning/")</f>
        <v/>
      </c>
      <c r="G570" t="inlineStr">
        <is>
          <t>2015-01-24 09:53:19</t>
        </is>
      </c>
      <c r="H570" t="inlineStr">
        <is>
          <t>Type 1</t>
        </is>
      </c>
    </row>
    <row r="571">
      <c r="A571" t="inlineStr">
        <is>
          <t>2tjipw</t>
        </is>
      </c>
      <c r="B571" t="inlineStr">
        <is>
          <t>Diabetes and sex drive</t>
        </is>
      </c>
      <c r="C571" t="inlineStr">
        <is>
          <t>Throwaway since my main is identifiable and this is pretty personal.
I'm type 1 since 2007, I'm currently 18. Lately my control hasn't been too great (read: awful) but I'm working on getting myself back to normal.
Anyway, I've noticed a total lack of sex drive since my control started lacking. I've been told that bad control can lead to erectile dysfunction, so it's not a massive stretch of the imagination to assume that it can also lead to decreased interest in sex.
Can anyone confirm this? Has anyone had any similar experience?</t>
        </is>
      </c>
      <c r="D571" t="n">
        <v>21</v>
      </c>
      <c r="E571" t="n">
        <v>24</v>
      </c>
      <c r="F571">
        <f>HYPERLINK("https://www.reddit.com/r/diabetes/comments/2tjipw/diabetes_and_sex_drive/")</f>
        <v/>
      </c>
      <c r="G571" t="inlineStr">
        <is>
          <t>2015-01-24 12:01:58</t>
        </is>
      </c>
      <c r="H571" t="inlineStr">
        <is>
          <t>Type 1</t>
        </is>
      </c>
    </row>
    <row r="572">
      <c r="A572" t="inlineStr">
        <is>
          <t>2tp3bz</t>
        </is>
      </c>
      <c r="B572" t="inlineStr">
        <is>
          <t>Would a longer needle help with insulin resistance?</t>
        </is>
      </c>
      <c r="C572" t="inlineStr">
        <is>
          <t>Over the past couple months, I've noticed my numbers getting to be quite a bit higher than in the past, and I've found myself using more insulin because of it.  My diet hasn't changed, nor has my routine or activity level.
I use Lantus and Humalog pens with an 8mm needle, and have done so for *years*. Could the new resistance just be a buildup of scar tissue from injecting to the same depth for so long? If I bump up a size in my needle, would it make any difference?
**EDIT:** Thanks for the tips everyone, I'll be trying the legs/arms for awhile and see how that goes.</t>
        </is>
      </c>
      <c r="D572" t="n">
        <v>1</v>
      </c>
      <c r="E572" t="n">
        <v>15</v>
      </c>
      <c r="F572">
        <f>HYPERLINK("https://www.reddit.com/r/diabetes/comments/2tp3bz/would_a_longer_needle_help_with_insulin_resistance/")</f>
        <v/>
      </c>
      <c r="G572" t="inlineStr">
        <is>
          <t>2015-01-25 22:00:50</t>
        </is>
      </c>
      <c r="H572" t="inlineStr">
        <is>
          <t>Type 1</t>
        </is>
      </c>
    </row>
    <row r="573">
      <c r="A573" t="inlineStr">
        <is>
          <t>2tp8nt</t>
        </is>
      </c>
      <c r="B573" t="inlineStr">
        <is>
          <t>Had my first Hypo episode</t>
        </is>
      </c>
      <c r="C573" t="inlineStr">
        <is>
          <t>I just wanna share this since I've always found descriptions of scenarios really helpful with T1.
I had made a mistake with the carb content of a meal (two oranges and some Pineapple) and administered 6 units with a NovaRapid. 2 hours later things got weird, I felt very nervous around my own family, and I was shaking badly trying to make myself a wrap. I quickly took a blood test for the meal and was struggling to hold the tab still to wipe some blood on it. I got a 2.1 and freaked out. Went ham on the carbs eating a handfull of lollies and some softdrink. I ate my wrap aswell (not that much carbs) and 5 minutes later was at a 5.5.
Just a question aswell, how much carbs should I have in a Hypo situation? I know I ate too much, not even half as much was needed to pull myself back out.
I've only been on insulin for about a week now however, and I'm constantly getting 14-18 readings even though I'm trying my best with the insulin.</t>
        </is>
      </c>
      <c r="D573" t="n">
        <v>1</v>
      </c>
      <c r="E573" t="n">
        <v>1</v>
      </c>
      <c r="F573">
        <f>HYPERLINK("https://www.reddit.com/r/diabetes/comments/2tp8nt/had_my_first_hypo_episode/")</f>
        <v/>
      </c>
      <c r="G573" t="inlineStr">
        <is>
          <t>2015-01-25 23:12:02</t>
        </is>
      </c>
      <c r="H573" t="inlineStr">
        <is>
          <t>Type 1</t>
        </is>
      </c>
    </row>
    <row r="574">
      <c r="A574" t="inlineStr">
        <is>
          <t>2tpdhs</t>
        </is>
      </c>
      <c r="B574" t="inlineStr">
        <is>
          <t>basal,bolus and exercise</t>
        </is>
      </c>
      <c r="C574" t="inlineStr">
        <is>
          <t xml:space="preserve">Just curious what effects other people see when they stop doing exercise, previously I'd always been using 1u/15g ratio but over the xmas break I've really dropped down on the amount of exercise I do and my ratio seems to be getting around 1u/8g but my basal remains largely the same, except for directly after exercise when I might use a temp bolus to deal with glycogen depletion.
</t>
        </is>
      </c>
      <c r="D574" t="n">
        <v>4</v>
      </c>
      <c r="E574" t="n">
        <v>1</v>
      </c>
      <c r="F574">
        <f>HYPERLINK("https://www.reddit.com/r/diabetes/comments/2tpdhs/basalbolus_and_exercise/")</f>
        <v/>
      </c>
      <c r="G574" t="inlineStr">
        <is>
          <t>2015-01-26 00:29:17</t>
        </is>
      </c>
      <c r="H574" t="inlineStr">
        <is>
          <t>Type 1</t>
        </is>
      </c>
    </row>
    <row r="575">
      <c r="A575" t="inlineStr">
        <is>
          <t>2tsus0</t>
        </is>
      </c>
      <c r="B575" t="inlineStr">
        <is>
          <t>Dosing question</t>
        </is>
      </c>
      <c r="C575" t="inlineStr">
        <is>
          <t>When I was diagnosed with T2 about a week and a half ago i was put on 3 500mg Metformin,15 units of Lantus and 1.2 Victoza. This is all taken at the same time.
I also made some drastic diet changes according to a dietician at a weight loss clinic.
My blood sugar is down toan average of 100 andI have been slowly reducing my insulin and metformin so I would not end up in a crash situation. I am on a 1500 cal diet eating between 50-100 carbs per day.
For the past 2 days I have reduced my insulin to 5 units and metformin to 1 pill instead of 3. My glucose level is holding steady at around 100.
Is 5 units of Lantus pretty much the same as not taking anything at all? It seems like it might be a waste. How much effect does metformin have on glucose levels? I'm wondering if this pattern continues if I should just stop the Lantus and Metformin but stay on the Victoza and diet plan?</t>
        </is>
      </c>
      <c r="D575" t="n">
        <v>0</v>
      </c>
      <c r="E575" t="n">
        <v>6</v>
      </c>
      <c r="F575">
        <f>HYPERLINK("https://www.reddit.com/r/diabetes/comments/2tsus0/dosing_question/")</f>
        <v/>
      </c>
      <c r="G575" t="inlineStr">
        <is>
          <t>2015-01-26 19:32:16</t>
        </is>
      </c>
      <c r="H575" t="inlineStr">
        <is>
          <t>Type 2</t>
        </is>
      </c>
    </row>
    <row r="576">
      <c r="A576" t="inlineStr">
        <is>
          <t>2tt3i4</t>
        </is>
      </c>
      <c r="B576" t="inlineStr">
        <is>
          <t>My A1c went down!</t>
        </is>
      </c>
      <c r="C576" t="inlineStr">
        <is>
          <t>I had an appointment with my endo this morning and found out my a1c went down from 7.0 last time to 6.5 now! 
I'm working on reducing afternoon highs and hope to have it under 6.5 at my next visit! Historically I've always been under 7 (I even was in the 5's for a while) so I was a little sad when it crept up there a couple months ago. Obviously 7 isn't bad but I'm definitely more at ease with a lower number. 
I just needed to share my excitement with people who understand!
Edit: typo</t>
        </is>
      </c>
      <c r="D576" t="n">
        <v>14</v>
      </c>
      <c r="E576" t="n">
        <v>11</v>
      </c>
      <c r="F576">
        <f>HYPERLINK("https://www.reddit.com/r/diabetes/comments/2tt3i4/my_a1c_went_down/")</f>
        <v/>
      </c>
      <c r="G576" t="inlineStr">
        <is>
          <t>2015-01-26 20:48:35</t>
        </is>
      </c>
      <c r="H576" t="inlineStr">
        <is>
          <t>Type 1</t>
        </is>
      </c>
    </row>
    <row r="577">
      <c r="A577" t="inlineStr">
        <is>
          <t>2ttni6</t>
        </is>
      </c>
      <c r="B577" t="inlineStr">
        <is>
          <t>DAE experience more sensitivity/soreness in one leg more than the other after a long run or leg workout?</t>
        </is>
      </c>
      <c r="C577" t="inlineStr">
        <is>
          <t xml:space="preserve">I just went for a 1.5mi run tonight and less than an hour later I'm feeling WAY more tightness in my lower right leg/calf. Is this a cause for concern?
Some background info: I'm 23 and haven't been doing a good job with my A1C (between 8-9 for a while now) and have had maybe 1 or 2 nights a month where I drink more than I should. I also smoke fairly often, and the muchies don't help the bg levels either. I notice poorer circulation in my right leg, but my physician(s) insist I'm to young to have any issues to worry about. </t>
        </is>
      </c>
      <c r="D577" t="n">
        <v>0</v>
      </c>
      <c r="E577" t="n">
        <v>2</v>
      </c>
      <c r="F577">
        <f>HYPERLINK("https://www.reddit.com/r/diabetes/comments/2ttni6/dae_experience_more_sensitivitysoreness_in_one/")</f>
        <v/>
      </c>
      <c r="G577" t="inlineStr">
        <is>
          <t>2015-01-27 00:44:20</t>
        </is>
      </c>
      <c r="H577" t="inlineStr">
        <is>
          <t>Type 1</t>
        </is>
      </c>
    </row>
    <row r="578">
      <c r="A578" t="inlineStr">
        <is>
          <t>2tvuyp</t>
        </is>
      </c>
      <c r="B578" t="inlineStr">
        <is>
          <t>Pump and exercise, fighting Hypo's</t>
        </is>
      </c>
      <c r="C578" t="inlineStr">
        <is>
          <t xml:space="preserve">I'm currently not using a pump, but I'm thinking of switching from my pens. How do you pump users fight hypo's during exercise (or maybe in general even)? Can you just lower the base dosage and avoid a hypo all together or is this much to simplified? I'm tired of working my ass off to loose weight, just to eat dextro's ans shit to compensate for my lower bs's because of exercising. </t>
        </is>
      </c>
      <c r="D578" t="n">
        <v>1</v>
      </c>
      <c r="E578" t="n">
        <v>5</v>
      </c>
      <c r="F578">
        <f>HYPERLINK("https://www.reddit.com/r/diabetes/comments/2tvuyp/pump_and_exercise_fighting_hypos/")</f>
        <v/>
      </c>
      <c r="G578" t="inlineStr">
        <is>
          <t>2015-01-27 13:15:07</t>
        </is>
      </c>
      <c r="H578" t="inlineStr">
        <is>
          <t>Type 1</t>
        </is>
      </c>
    </row>
    <row r="579">
      <c r="A579" t="inlineStr">
        <is>
          <t>2txp4l</t>
        </is>
      </c>
      <c r="B579" t="inlineStr">
        <is>
          <t>T1D embarking on half marathon and marathon</t>
        </is>
      </c>
      <c r="C579" t="inlineStr">
        <is>
          <t>So i have signed up for a marathon in may and i am curious to see what others do to manage and stabilize their blood sugars pre, during and post run.</t>
        </is>
      </c>
      <c r="D579" t="n">
        <v>3</v>
      </c>
      <c r="E579" t="n">
        <v>5</v>
      </c>
      <c r="F579">
        <f>HYPERLINK("https://www.reddit.com/r/diabetes/comments/2txp4l/t1d_embarking_on_half_marathon_and_marathon/")</f>
        <v/>
      </c>
      <c r="G579" t="inlineStr">
        <is>
          <t>2015-01-27 21:57:49</t>
        </is>
      </c>
      <c r="H579" t="inlineStr">
        <is>
          <t>Type 1</t>
        </is>
      </c>
    </row>
    <row r="580">
      <c r="A580" t="inlineStr">
        <is>
          <t>2tyy1v</t>
        </is>
      </c>
      <c r="B580" t="inlineStr">
        <is>
          <t>Low BG's and Emotional Issues...Help?</t>
        </is>
      </c>
      <c r="C580" t="inlineStr">
        <is>
          <t xml:space="preserve">Hi friends. I've been a T1 for 18 years now, and normally, I'm pretty aware if I'm having a low or high blood sugar, and I'm normally able to control my emotions to correct them. But as of late (I've been going through a rough break up, for some context), I've been really struggling with this. My bg drops below 70 and I'm an emotional wreck. Nothing seems worth it, I don't seem worth it, I start to cry, and then I have to force myself to eat something even though I don't want to. 
While I know that situational depression (that's a thing, right?) could be behind this, I'm not sure that's what it is. I've had a history of depression, but right now I'm not really symptomatic of the usual depressive symptoms. 
I just feel out of control, and scared and don't know if this has happened to anyone else out there. If so, what have you done to try and curb those issues when you go low? Thanks so much everyone. </t>
        </is>
      </c>
      <c r="D580" t="n">
        <v>3</v>
      </c>
      <c r="E580" t="n">
        <v>6</v>
      </c>
      <c r="F580">
        <f>HYPERLINK("https://www.reddit.com/r/diabetes/comments/2tyy1v/low_bgs_and_emotional_issueshelp/")</f>
        <v/>
      </c>
      <c r="G580" t="inlineStr">
        <is>
          <t>2015-01-28 07:35:57</t>
        </is>
      </c>
      <c r="H580" t="inlineStr">
        <is>
          <t>Type 1</t>
        </is>
      </c>
    </row>
    <row r="581">
      <c r="A581" t="inlineStr">
        <is>
          <t>2tz8p5</t>
        </is>
      </c>
      <c r="B581" t="inlineStr">
        <is>
          <t>Would r/Diabetes be interested in taking a survey for type 2 diabetes on your doctors and care teams?</t>
        </is>
      </c>
      <c r="C581" t="inlineStr">
        <is>
          <t>Hello! I'm developing a medical education program to help your doctors better understand and discuss with you new therapies that may potentially improve diabetes care. Your responses to this short (and anonymous) survey will help us focus on how to design the most effective education.
https://www.surveymonkey.com/s/39GT92P
Thanks for your help!
EDIT: Thank you so much for all the responses. What we'll do next is take what we've learned from the data and apply it to our educational program. Again, thank you!</t>
        </is>
      </c>
      <c r="D581" t="n">
        <v>1</v>
      </c>
      <c r="E581" t="n">
        <v>2</v>
      </c>
      <c r="F581">
        <f>HYPERLINK("https://www.reddit.com/r/diabetes/comments/2tz8p5/would_rdiabetes_be_interested_in_taking_a_survey/")</f>
        <v/>
      </c>
      <c r="G581" t="inlineStr">
        <is>
          <t>2015-01-28 08:58:27</t>
        </is>
      </c>
      <c r="H581" t="inlineStr">
        <is>
          <t>Type 2</t>
        </is>
      </c>
    </row>
    <row r="582">
      <c r="A582" t="inlineStr">
        <is>
          <t>2u0776</t>
        </is>
      </c>
      <c r="B582" t="inlineStr">
        <is>
          <t>Yesssss... finally</t>
        </is>
      </c>
      <c r="C582" t="inlineStr">
        <is>
          <t xml:space="preserve">When I was diagnosed with type 2 I had an A1C of 6.4. After two years I managed to get the number down to 5.8, but for the past 9 months it's been stuck at 5.8 (all three tests during that time were 5.8). 
Got my lab results today... A1C of 5.7! (and that's after reducing my metformin to only 250mg once a day... which is basically nothing). 
Nobody in my real life understands why this is such a big deal, so I thought I'd share here with people who might. 
My endo said he thinks my pancreas might be starting to regain normal functioning (although I think he's being optimistic because my oral glucose test is always horrible, both times they've done it I've gotten 14, which is full blown type 2). 
But regardless, here in Canada an A1C under 6.0 is considered normal. It was great when I hit 5.8, but that's still just barely under 6.0. For some reason hitting 5.7 really feels like I'm well within the normal range now. 
It's hard to explain but going from 6.4 down to 5.7 sort of feels like I won a battle and that I no longer have to really think about this stuff as much (although obviously I have to watch my diet and exercise). 
</t>
        </is>
      </c>
      <c r="D582" t="n">
        <v>18</v>
      </c>
      <c r="E582" t="n">
        <v>18</v>
      </c>
      <c r="F582">
        <f>HYPERLINK("https://www.reddit.com/r/diabetes/comments/2u0776/yesssss_finally/")</f>
        <v/>
      </c>
      <c r="G582" t="inlineStr">
        <is>
          <t>2015-01-28 13:07:55</t>
        </is>
      </c>
      <c r="H582" t="inlineStr">
        <is>
          <t>Type 2</t>
        </is>
      </c>
    </row>
    <row r="583">
      <c r="A583" t="inlineStr">
        <is>
          <t>2u23px</t>
        </is>
      </c>
      <c r="B583" t="inlineStr">
        <is>
          <t>type 1 diabetic</t>
        </is>
      </c>
      <c r="C583" t="inlineStr">
        <is>
          <t xml:space="preserve">I am 19 and was diagnosed with type 1 diabetes a year ago and its been a rough year to say the least. Im tired of all of my friends and family constantly hovering around me asking if my bs is ok. no matter how much I say I'm ok people still ask me if I can eat that or if I should be eating ice cream because I'm a diabetic and if I eat desert I'm going to lose my feet... how do all of you deal with people like this? </t>
        </is>
      </c>
      <c r="D583" t="n">
        <v>11</v>
      </c>
      <c r="E583" t="n">
        <v>18</v>
      </c>
      <c r="F583">
        <f>HYPERLINK("https://www.reddit.com/r/diabetes/comments/2u23px/type_1_diabetic/")</f>
        <v/>
      </c>
      <c r="G583" t="inlineStr">
        <is>
          <t>2015-01-28 22:50:00</t>
        </is>
      </c>
      <c r="H583" t="inlineStr">
        <is>
          <t>Type 1</t>
        </is>
      </c>
    </row>
    <row r="584">
      <c r="A584" t="inlineStr">
        <is>
          <t>2u4cbf</t>
        </is>
      </c>
      <c r="B584" t="inlineStr">
        <is>
          <t>blood sugar out of control....help</t>
        </is>
      </c>
      <c r="C584" t="inlineStr">
        <is>
          <t xml:space="preserve">hi friends: i have been a diabetic (type 2) for about 10 to 12 years. been on metformin/glucophage all these years. generally controlled via exercise and diabetes. my a1c was 6.8% in aug 2014 and i think i went off the wagon (of diet and exercise) for about 4 weeks during the holiday season and when i took my a1c in january 1st week was shocked to see it go up to 8.8 % I went back on the diet and exercise routine promptly and three weeks later things have not changed at all. i dont feel well. my fasting sugar is around 210 and post prandial is around 375. my internal medicine doctor is a total idiot and he wants me on the same medicines and just continue the diet/exercise routine. the questions i now have (i will be visiting a different physician) are: does this situation warrant insulin injections; if i start taking insulin will it become a life long treatment. i am a 60 years old male. if there is someone who had faced this situation before, i would like to know their experience. thanks </t>
        </is>
      </c>
      <c r="D584" t="n">
        <v>5</v>
      </c>
      <c r="E584" t="n">
        <v>12</v>
      </c>
      <c r="F584">
        <f>HYPERLINK("https://www.reddit.com/r/diabetes/comments/2u4cbf/blood_sugar_out_of_controlhelp/")</f>
        <v/>
      </c>
      <c r="G584" t="inlineStr">
        <is>
          <t>2015-01-29 12:42:16</t>
        </is>
      </c>
      <c r="H584" t="inlineStr">
        <is>
          <t>Type 2</t>
        </is>
      </c>
    </row>
    <row r="585">
      <c r="A585" t="inlineStr">
        <is>
          <t>2u77qi</t>
        </is>
      </c>
      <c r="B585" t="inlineStr">
        <is>
          <t>From 12.5 A1C to 7 in eight weeks. w00t!</t>
        </is>
      </c>
      <c r="C585" t="inlineStr">
        <is>
          <t xml:space="preserve">I am happy to report after my first A1C test of 12.5 when I was initially diagnosed my latest test is down to 7. I am confident my visit in three months time will put me in the 5 range. My endo and nutritionist credit my diet adjustments and work out routine combined with the correct insulin dosage. I realize I may be in the proverbial honeymoon phase but I am still very happy I am getting a handle on this. </t>
        </is>
      </c>
      <c r="D585" t="n">
        <v>45</v>
      </c>
      <c r="E585" t="n">
        <v>12</v>
      </c>
      <c r="F585">
        <f>HYPERLINK("https://www.reddit.com/r/diabetes/comments/2u77qi/from_125_a1c_to_7_in_eight_weeks_w00t/")</f>
        <v/>
      </c>
      <c r="G585" t="inlineStr">
        <is>
          <t>2015-01-30 06:42:08</t>
        </is>
      </c>
      <c r="H585" t="inlineStr">
        <is>
          <t>Type 1.5/LADA</t>
        </is>
      </c>
    </row>
    <row r="586">
      <c r="A586" t="inlineStr">
        <is>
          <t>2u8xmg</t>
        </is>
      </c>
      <c r="B586" t="inlineStr">
        <is>
          <t>First A1C since I was diagnosed. Went from a 9.8 to a 5.6. What happens now? [Type 2]</t>
        </is>
      </c>
      <c r="C586" t="inlineStr">
        <is>
          <t>I know the numbers kinda look impressive.  5.7 is prediabetes, so I'm below that level.  My fasting blood sugar is 75, and my average blood sugar was 115.  The opthalmologist said that if I didn't declare I had diabetes, he wouldn't have known.
Knowing me, I'm liable to fall into a false sense of complacency.  How long have you kept "good" numbers going?</t>
        </is>
      </c>
      <c r="D586" t="n">
        <v>6</v>
      </c>
      <c r="E586" t="n">
        <v>11</v>
      </c>
      <c r="F586">
        <f>HYPERLINK("https://www.reddit.com/r/diabetes/comments/2u8xmg/first_a1c_since_i_was_diagnosed_went_from_a_98_to/")</f>
        <v/>
      </c>
      <c r="G586" t="inlineStr">
        <is>
          <t>2015-01-30 14:52:31</t>
        </is>
      </c>
      <c r="H586" t="inlineStr">
        <is>
          <t>Type 2</t>
        </is>
      </c>
    </row>
    <row r="587">
      <c r="A587" t="inlineStr">
        <is>
          <t>2uawu6</t>
        </is>
      </c>
      <c r="B587" t="inlineStr">
        <is>
          <t>I've made a crazy finding about Levemir. Give me some feedback, please!</t>
        </is>
      </c>
      <c r="C587" t="inlineStr">
        <is>
          <t xml:space="preserve">I normally take 20 units of Levemir in the morning. I assume that most of you take one single shot, even if you split dosing between am and pm. The other day I decided to take one shot of 10 units in one leg, and 10 units in the other. At the same time, and with the same needle. 
The insulin worked completely different in my body. My blood sugars were great during the day, though the insulin seemed to wear off a bit earlier. Does anybody else experience the same? I would love some feedback on this. 
I'm going to try with a single shot of 16 units, and another of only 4 units tomorrow. Let's see how it works! </t>
        </is>
      </c>
      <c r="D587" t="n">
        <v>9</v>
      </c>
      <c r="E587" t="n">
        <v>14</v>
      </c>
      <c r="F587">
        <f>HYPERLINK("https://www.reddit.com/r/diabetes/comments/2uawu6/ive_made_a_crazy_finding_about_levemir_give_me/")</f>
        <v/>
      </c>
      <c r="G587" t="inlineStr">
        <is>
          <t>2015-01-31 05:30:09</t>
        </is>
      </c>
      <c r="H587" t="inlineStr">
        <is>
          <t>Type 1</t>
        </is>
      </c>
    </row>
    <row r="588">
      <c r="A588" t="inlineStr">
        <is>
          <t>2uc47g</t>
        </is>
      </c>
      <c r="B588" t="inlineStr">
        <is>
          <t>College Students with T1D - earn a $5 Amazon.com gift card for filling out my dissertation survey!</t>
        </is>
      </c>
      <c r="C588" t="inlineStr">
        <is>
          <t xml:space="preserve">I am currently looking for participants for a study of social support, quality of life, and glycemic control in college students with type 1 diabetes (T1D). Participants will be asked to complete a survey that takes approximately 20-30 minutes and asks about quality of life, glycemic control, and perceived social support.  The first 125 participants will receive a $5 Amazon.com gift card. 
In order to take part in this research, you must be between the ages of 18 and 25, be a minimum of 12 months post-diagnosis of T1D, and currently attending a 2 or 4 year college.  
If you are interested in participating, please click on the following link: 
https://ufl.qualtrics.com/SE/?SID=SV_2lsuGPBIgOGHwIl
This research is approved by the University of Florida Institutional Review board (IRB # 2014-U-1213). 
</t>
        </is>
      </c>
      <c r="D588" t="n">
        <v>15</v>
      </c>
      <c r="E588" t="n">
        <v>12</v>
      </c>
      <c r="F588">
        <f>HYPERLINK("https://www.reddit.com/r/diabetes/comments/2uc47g/college_students_with_t1d_earn_a_5_amazoncom_gift/")</f>
        <v/>
      </c>
      <c r="G588" t="inlineStr">
        <is>
          <t>2015-01-31 12:24:27</t>
        </is>
      </c>
      <c r="H588" t="inlineStr">
        <is>
          <t>Type 1</t>
        </is>
      </c>
    </row>
    <row r="589">
      <c r="A589" t="inlineStr">
        <is>
          <t>2ucuc1</t>
        </is>
      </c>
      <c r="B589" t="inlineStr">
        <is>
          <t>Chances there are some type 1's living close to me?</t>
        </is>
      </c>
      <c r="C589" t="inlineStr">
        <is>
          <t>I am a 19 year old here, a new type one as of 2 months ago. I am learning things little by little and trying to get used to everything but i would love to maybe have a friend or two near me that has this same condition as me just to get advice, to talk to and such. I still have so many little questions I want to get some first hand knowledge on and just to have someone who understands and feels the pain so to speak would be nice. I really just want to do everything right in the beginning here and something like that I feel would help tremendously. What are the chances there are some other type ones near me? Preferably youths, and how might I go about finding out</t>
        </is>
      </c>
      <c r="D589" t="n">
        <v>4</v>
      </c>
      <c r="E589" t="n">
        <v>6</v>
      </c>
      <c r="F589">
        <f>HYPERLINK("https://www.reddit.com/r/diabetes/comments/2ucuc1/chances_there_are_some_type_1s_living_close_to_me/")</f>
        <v/>
      </c>
      <c r="G589" t="inlineStr">
        <is>
          <t>2015-01-31 16:04:08</t>
        </is>
      </c>
      <c r="H589" t="inlineStr">
        <is>
          <t>Type 1</t>
        </is>
      </c>
    </row>
    <row r="590">
      <c r="A590" t="inlineStr">
        <is>
          <t>2ug3ba</t>
        </is>
      </c>
      <c r="B590" t="inlineStr">
        <is>
          <t>Can no longer afford the Pump and Switching Back to Needles: Advice?</t>
        </is>
      </c>
      <c r="C590" t="inlineStr">
        <is>
          <t>I'm currently on the pump but I just can't afford it anymore, even with $2400 a year from the government. 
Anyone else switch back from it? How did it go?</t>
        </is>
      </c>
      <c r="D590" t="n">
        <v>1</v>
      </c>
      <c r="E590" t="n">
        <v>2</v>
      </c>
      <c r="F590">
        <f>HYPERLINK("https://www.reddit.com/r/diabetes/comments/2ug3ba/can_no_longer_afford_the_pump_and_switching_back/")</f>
        <v/>
      </c>
      <c r="G590" t="inlineStr">
        <is>
          <t>2015-02-01 13:32:51</t>
        </is>
      </c>
      <c r="H590" t="inlineStr">
        <is>
          <t>Type 1</t>
        </is>
      </c>
    </row>
    <row r="591">
      <c r="A591" t="inlineStr">
        <is>
          <t>2uip7o</t>
        </is>
      </c>
      <c r="B591" t="inlineStr">
        <is>
          <t>What was your BS when you were first diagnosed</t>
        </is>
      </c>
      <c r="C591" t="inlineStr">
        <is>
          <t>Mine was 957</t>
        </is>
      </c>
      <c r="D591" t="n">
        <v>0</v>
      </c>
      <c r="E591" t="n">
        <v>17</v>
      </c>
      <c r="F591">
        <f>HYPERLINK("https://www.reddit.com/r/diabetes/comments/2uip7o/what_was_your_bs_when_you_were_first_diagnosed/")</f>
        <v/>
      </c>
      <c r="G591" t="inlineStr">
        <is>
          <t>2015-02-02 06:42:24</t>
        </is>
      </c>
      <c r="H591" t="inlineStr">
        <is>
          <t>Type 1</t>
        </is>
      </c>
    </row>
    <row r="592">
      <c r="A592" t="inlineStr">
        <is>
          <t>2uj0np</t>
        </is>
      </c>
      <c r="B592" t="inlineStr">
        <is>
          <t>Is Somogyi Effect real?</t>
        </is>
      </c>
      <c r="C592" t="inlineStr">
        <is>
          <t>Can you have an undetected hypoglycemia during the night that makes you go high in the morning because of the liver dumping glucose or your body increasing your insulin resistance?</t>
        </is>
      </c>
      <c r="D592" t="n">
        <v>1</v>
      </c>
      <c r="E592" t="n">
        <v>14</v>
      </c>
      <c r="F592">
        <f>HYPERLINK("https://www.reddit.com/r/diabetes/comments/2uj0np/is_somogyi_effect_real/")</f>
        <v/>
      </c>
      <c r="G592" t="inlineStr">
        <is>
          <t>2015-02-02 08:18:56</t>
        </is>
      </c>
      <c r="H592" t="inlineStr">
        <is>
          <t>Type 1</t>
        </is>
      </c>
    </row>
    <row r="593">
      <c r="A593" t="inlineStr">
        <is>
          <t>2ujd89</t>
        </is>
      </c>
      <c r="B593" t="inlineStr">
        <is>
          <t>My 10 year old was just diagnosed diabetic. I need advise while waiting for endocrinology.</t>
        </is>
      </c>
      <c r="C593" t="inlineStr">
        <is>
          <t>My 10 year old daughter was just diagnosed with diabetes along with a thyroid problem. We are waiting for an appointment with endocrinology. While waiting her number have been shooting up to the high 200's ( around 267) and this is a couple hours after eating.
She also has been throwing up a lot lately with no other symptoms of being sick. Could this be a result of high blood sugar?  She has started waking several times a night to use the bathroom. 
At what point does it become an emergency and I need to take her to be seen and skip the waiting?
Thank you</t>
        </is>
      </c>
      <c r="D593" t="n">
        <v>16</v>
      </c>
      <c r="E593" t="n">
        <v>54</v>
      </c>
      <c r="F593">
        <f>HYPERLINK("https://www.reddit.com/r/diabetes/comments/2ujd89/my_10_year_old_was_just_diagnosed_diabetic_i_need/")</f>
        <v/>
      </c>
      <c r="G593" t="inlineStr">
        <is>
          <t>2015-02-02 09:53:23</t>
        </is>
      </c>
      <c r="H593" t="inlineStr">
        <is>
          <t>Type 1</t>
        </is>
      </c>
    </row>
    <row r="594">
      <c r="A594" t="inlineStr">
        <is>
          <t>2ungtu</t>
        </is>
      </c>
      <c r="B594" t="inlineStr">
        <is>
          <t>I need to rant: Woke up 65, didn't eat a damn thing, now I'm 269 at lunch.</t>
        </is>
      </c>
      <c r="C594" t="inlineStr">
        <is>
          <t>I'm so mad. This has been happening for the last two weeks. My endo appt is next month, but I think I'm gonna cancel because I KNOW my a1c is gonna blow.
I do know the liver releases glucose when you wake up, but really? This is dumb.</t>
        </is>
      </c>
      <c r="D594" t="n">
        <v>11</v>
      </c>
      <c r="E594" t="n">
        <v>33</v>
      </c>
      <c r="F594">
        <f>HYPERLINK("https://www.reddit.com/r/diabetes/comments/2ungtu/i_need_to_rant_woke_up_65_didnt_eat_a_damn_thing/")</f>
        <v/>
      </c>
      <c r="G594" t="inlineStr">
        <is>
          <t>2015-02-03 08:52:20</t>
        </is>
      </c>
      <c r="H594" t="inlineStr">
        <is>
          <t>Type 1</t>
        </is>
      </c>
    </row>
    <row r="595">
      <c r="A595" t="inlineStr">
        <is>
          <t>2unthl</t>
        </is>
      </c>
      <c r="B595" t="inlineStr">
        <is>
          <t>Air Travel increasing basal insulin requirement?</t>
        </is>
      </c>
      <c r="C595" t="inlineStr">
        <is>
          <t>I'm finding consistently that air travel significantly increases my basal insulin requirement -- from around 1.2 U/hour to around 2.0 U/hour.  I don't know what is causing this; it might be related to the physical inactivity of sitting in an airplane seat, the stress of travelling, or something else.
Has anyone else experienced the same thing?</t>
        </is>
      </c>
      <c r="D595" t="n">
        <v>3</v>
      </c>
      <c r="E595" t="n">
        <v>6</v>
      </c>
      <c r="F595">
        <f>HYPERLINK("https://www.reddit.com/r/diabetes/comments/2unthl/air_travel_increasing_basal_insulin_requirement/")</f>
        <v/>
      </c>
      <c r="G595" t="inlineStr">
        <is>
          <t>2015-02-03 10:24:59</t>
        </is>
      </c>
      <c r="H595" t="inlineStr">
        <is>
          <t>Type 1</t>
        </is>
      </c>
    </row>
    <row r="596">
      <c r="A596" t="inlineStr">
        <is>
          <t>2ur33m</t>
        </is>
      </c>
      <c r="B596" t="inlineStr">
        <is>
          <t>Type 2. When to up Victoza dose?</t>
        </is>
      </c>
      <c r="C596" t="inlineStr">
        <is>
          <t xml:space="preserve">I just started Victoza 0.6 mg on Sunday and I am so nauseous. Did you wait until you felt better at the lower dose before increasing to 1.2? Thanks.
</t>
        </is>
      </c>
      <c r="D596" t="n">
        <v>0</v>
      </c>
      <c r="E596" t="n">
        <v>2</v>
      </c>
      <c r="F596">
        <f>HYPERLINK("https://www.reddit.com/r/diabetes/comments/2ur33m/type_2_when_to_up_victoza_dose/")</f>
        <v/>
      </c>
      <c r="G596" t="inlineStr">
        <is>
          <t>2015-02-04 05:30:47</t>
        </is>
      </c>
      <c r="H596" t="inlineStr">
        <is>
          <t>Type 2</t>
        </is>
      </c>
    </row>
    <row r="597">
      <c r="A597" t="inlineStr">
        <is>
          <t>2ure24</t>
        </is>
      </c>
      <c r="B597" t="inlineStr">
        <is>
          <t>MiniMed Infusion Set troubles anyone?</t>
        </is>
      </c>
      <c r="C597" t="inlineStr">
        <is>
          <t>I've been dealing with what I thought was a pump with bad motor.  Since Friday I haven't had a functioning pump.  I started out by switching out all components, substituting with injections.  No matter what I kept getting motor errors or no delivery on my pump.  I know sometimes this can be caused by a kinked infusion site, but a couple I tried were perfectly fine.
So I called Minimed, they sent me a replacement, I have it filled and STILL having motor errors.  It dawned on my that I had tried to switch to the new Apidra insulin (in the middle of the night with alarms going off and another 400 BS) and maybe that was the problem.  I put the novolog in and I still get no delivery when I try to bolus.
It seems the last delivery of infusion supplies sent to me in new packaging have caused a higher incidents of problems.  Anyone else noticed anything?  I'm frustrated ;-/</t>
        </is>
      </c>
      <c r="D597" t="n">
        <v>1</v>
      </c>
      <c r="E597" t="n">
        <v>5</v>
      </c>
      <c r="F597">
        <f>HYPERLINK("https://www.reddit.com/r/diabetes/comments/2ure24/minimed_infusion_set_troubles_anyone/")</f>
        <v/>
      </c>
      <c r="G597" t="inlineStr">
        <is>
          <t>2015-02-04 07:18:21</t>
        </is>
      </c>
      <c r="H597" t="inlineStr">
        <is>
          <t>Type 1</t>
        </is>
      </c>
    </row>
    <row r="598">
      <c r="A598" t="inlineStr">
        <is>
          <t>2usefg</t>
        </is>
      </c>
      <c r="B598" t="inlineStr">
        <is>
          <t>T1 - Help preventing post-meal peaks</t>
        </is>
      </c>
      <c r="C598" t="inlineStr">
        <is>
          <t>So lately I have been having trouble stopping my BS from rising after eating meals.  It seems like no matter how many carbs are in the meal, I always end up at 200+ afterwards (dinner especially).  Any advice on how to better match up the rise in BS with when the insulin takes effect? Should I just bolus earlier?</t>
        </is>
      </c>
      <c r="D598" t="n">
        <v>5</v>
      </c>
      <c r="E598" t="n">
        <v>14</v>
      </c>
      <c r="F598">
        <f>HYPERLINK("https://www.reddit.com/r/diabetes/comments/2usefg/t1_help_preventing_postmeal_peaks/")</f>
        <v/>
      </c>
      <c r="G598" t="inlineStr">
        <is>
          <t>2015-02-04 11:58:50</t>
        </is>
      </c>
      <c r="H598" t="inlineStr">
        <is>
          <t>Type 1</t>
        </is>
      </c>
    </row>
    <row r="599">
      <c r="A599" t="inlineStr">
        <is>
          <t>2utl8b</t>
        </is>
      </c>
      <c r="B599" t="inlineStr">
        <is>
          <t>T1 here, switched from pump therapy to MDI. Anyone curious?</t>
        </is>
      </c>
      <c r="C599" t="inlineStr">
        <is>
          <t>Hi there, today I stopped using my pump and am now using Novolog and Lantus pens. Is there any interest in a sort of diary/journal type thing? Or maybe some small AMA type thing, for anyone that's curious. Dunno, tell me what you think.</t>
        </is>
      </c>
      <c r="D599" t="n">
        <v>1</v>
      </c>
      <c r="E599" t="n">
        <v>11</v>
      </c>
      <c r="F599">
        <f>HYPERLINK("https://www.reddit.com/r/diabetes/comments/2utl8b/t1_here_switched_from_pump_therapy_to_mdi_anyone/")</f>
        <v/>
      </c>
      <c r="G599" t="inlineStr">
        <is>
          <t>2015-02-04 17:26:03</t>
        </is>
      </c>
      <c r="H599" t="inlineStr">
        <is>
          <t>Type 1</t>
        </is>
      </c>
    </row>
    <row r="600">
      <c r="A600" t="inlineStr">
        <is>
          <t>2uunkh</t>
        </is>
      </c>
      <c r="B600" t="inlineStr">
        <is>
          <t>Just got diagnosed with Type 2 - is nausea, dizziness and headaches normal?</t>
        </is>
      </c>
      <c r="C600" t="inlineStr">
        <is>
          <t>I was just diagnosed with Type 2 Diabetes and started Metformin yesterday. The shitty thing about it was that I was actually losing a little weight and my doctor and I were monitoring things since I was on the edge of pre-diabetes. Then Friday of last week I started peeing and drinking like crazy. Scheduled an appt with the doctor and the urinalysis came back showing I was basically peeing pure water, which the doctor said was normal with the onset of diabetes. When he saw the blood work yesterday he got me an emergency prescription for metformin and I took it 18 hours ago.
I can tell it's helping with the urination, but I'm wondering if the headaches, dizziness and nausea are just something I have to deal with until things stabilize (it's entirely possible that it's also a result of caffeine withdrawal - not sure). I took some dramamine and it's helped a little, but except for some short periods I have to lay down or stare at a spot on the ceiling for a hour or two so I don't spew.
Should I contact my doctor about this right now or wait to see if things taper off. I've already got instructions to call on Monday if things haven't improved, but since I'm new to all this I don't know if the symptoms are out of the ordinary.</t>
        </is>
      </c>
      <c r="D600" t="n">
        <v>1</v>
      </c>
      <c r="E600" t="n">
        <v>3</v>
      </c>
      <c r="F600">
        <f>HYPERLINK("https://www.reddit.com/r/diabetes/comments/2uunkh/just_got_diagnosed_with_type_2_is_nausea/")</f>
        <v/>
      </c>
      <c r="G600" t="inlineStr">
        <is>
          <t>2015-02-04 23:32:39</t>
        </is>
      </c>
      <c r="H600" t="inlineStr">
        <is>
          <t>Type 2</t>
        </is>
      </c>
    </row>
    <row r="601">
      <c r="A601" t="inlineStr">
        <is>
          <t>2ux9h2</t>
        </is>
      </c>
      <c r="B601" t="inlineStr">
        <is>
          <t>My 10 year was just diagnosed diabetic. Need more advise please !!</t>
        </is>
      </c>
      <c r="C601" t="inlineStr">
        <is>
          <t xml:space="preserve">Everyone was so helpful answering my last question and I appreciate it. I need your helpful advice again.
She was never started on insulin. The hospital states the original test were wrong and she has type2 not type1. How can I be sure the hospital is right , and they aren't the ones who made the mistake?
Thank you
Her numbers have been going up since being home. They are up to around 350. But while in the hospital she picked up pneumonia. Could the antibiotics be causing her sugar to go up? They did start her on a medicine starting with a M. ( I am sorry I don't have her med list in front of me at the moment)
</t>
        </is>
      </c>
      <c r="D601" t="n">
        <v>3</v>
      </c>
      <c r="E601" t="n">
        <v>10</v>
      </c>
      <c r="F601">
        <f>HYPERLINK("https://www.reddit.com/r/diabetes/comments/2ux9h2/my_10_year_was_just_diagnosed_diabetic_need_more/")</f>
        <v/>
      </c>
      <c r="G601" t="inlineStr">
        <is>
          <t>2015-02-05 15:07:39</t>
        </is>
      </c>
      <c r="H601" t="inlineStr">
        <is>
          <t>Type 2</t>
        </is>
      </c>
    </row>
    <row r="602">
      <c r="A602" t="inlineStr">
        <is>
          <t>2uxaju</t>
        </is>
      </c>
      <c r="B602" t="inlineStr">
        <is>
          <t>Just experienced an episode of shaking and symptoms of low glucose levels</t>
        </is>
      </c>
      <c r="C602" t="inlineStr">
        <is>
          <t>But I checked my sugars 4 times and each reading was 115. From what I know this isn't low so why am I having the symptoms</t>
        </is>
      </c>
      <c r="D602" t="n">
        <v>2</v>
      </c>
      <c r="E602" t="n">
        <v>12</v>
      </c>
      <c r="F602">
        <f>HYPERLINK("https://www.reddit.com/r/diabetes/comments/2uxaju/just_experienced_an_episode_of_shaking_and/")</f>
        <v/>
      </c>
      <c r="G602" t="inlineStr">
        <is>
          <t>2015-02-05 15:16:33</t>
        </is>
      </c>
      <c r="H602" t="inlineStr">
        <is>
          <t>Type 2</t>
        </is>
      </c>
    </row>
    <row r="603">
      <c r="A603" t="inlineStr">
        <is>
          <t>2uxgpz</t>
        </is>
      </c>
      <c r="B603" t="inlineStr">
        <is>
          <t>My brother was just diagnosed as Type 1? How can I help?</t>
        </is>
      </c>
      <c r="C603" t="inlineStr">
        <is>
          <t>My little brother, who I love more than anything, was just diagnoses with Type 1.  I know nothing about this disease, but how can I help him?  From keeping up his spirits, to not feeling scared (he lives thousands of miles away), to not feeling like this going to destroy his life?  He's in his early 20s, and I want him to know i am here for him without smothering, acting like Mom or ignoring this very big life change?
Do I offer to help pay for his meds?  Do I find a support group?  I'm kinda paralyzed about what I can do to be there for my little brother and would love any advice from you all!</t>
        </is>
      </c>
      <c r="D603" t="n">
        <v>3</v>
      </c>
      <c r="E603" t="n">
        <v>7</v>
      </c>
      <c r="F603">
        <f>HYPERLINK("https://www.reddit.com/r/diabetes/comments/2uxgpz/my_brother_was_just_diagnosed_as_type_1_how_can_i/")</f>
        <v/>
      </c>
      <c r="G603" t="inlineStr">
        <is>
          <t>2015-02-05 16:06:23</t>
        </is>
      </c>
      <c r="H603" t="inlineStr">
        <is>
          <t>Type 1</t>
        </is>
      </c>
    </row>
    <row r="604">
      <c r="A604" t="inlineStr">
        <is>
          <t>2uybxp</t>
        </is>
      </c>
      <c r="B604" t="inlineStr">
        <is>
          <t>Follow up on Endo after 4 months - Type 1.5/MODY</t>
        </is>
      </c>
      <c r="C604" t="inlineStr">
        <is>
          <t>- I posted here a couple of months ago, with the initial a1c of 12.7 to 9.0 a1c now, 70/30 novolin and i take metformin. 
- I saw a kaiser endocrinologist and did some blood tests and what not, the GAD was positive but i didnt get to find the rest out yet.
- The endcrinologist didn't put me on lantus or novolog or humalog or levemir surprisingly, i m taking humulin 70/30 and i dont really like being on it - but i'm wondering if i should be concerned as to that suggestion. its a kaiser internist the fellow that checked me.
- i m looking for a very rough advice or discussion into this bit of information, and i ll update again with the info.
So he did however point this out that i am MODY, now i dont know anything about that, the previous doctor said i was 1.5 LADA. 
tad bit confused there any input advice would be great! Many thanks!</t>
        </is>
      </c>
      <c r="D604" t="n">
        <v>0</v>
      </c>
      <c r="E604" t="n">
        <v>19</v>
      </c>
      <c r="F604">
        <f>HYPERLINK("https://www.reddit.com/r/diabetes/comments/2uybxp/follow_up_on_endo_after_4_months_type_15mody/")</f>
        <v/>
      </c>
      <c r="G604" t="inlineStr">
        <is>
          <t>2015-02-05 20:39:58</t>
        </is>
      </c>
      <c r="H604" t="inlineStr">
        <is>
          <t>Type 1.5/LADA</t>
        </is>
      </c>
    </row>
    <row r="605">
      <c r="A605" t="inlineStr">
        <is>
          <t>2uyvo9</t>
        </is>
      </c>
      <c r="B605" t="inlineStr">
        <is>
          <t>What should I ask my doctor? T2</t>
        </is>
      </c>
      <c r="C605" t="inlineStr">
        <is>
          <t>I found out 14 months ago that I was diabetic. Since then my doctor has put me on metformin and I see him every 3-4 months for an A1c test, blood pressure, weight, etc. He's happy with me, I've lost over 80 pounds and my A1c has gone from 12+ to 5.6 most recently. I read somewhere (I lost the link doh!) that I should get my B-12/liver tested every few years while on metformin and because I eat a low carb/high protein diet I should get my cholesterol checked. Is this correct and what else should I be asking for if anything? I don't want to tick him off by quoting webmd or anything lol. Thanks.
TL?:DR -- Doing well but should I ask my doctor for more?</t>
        </is>
      </c>
      <c r="D605" t="n">
        <v>1</v>
      </c>
      <c r="E605" t="n">
        <v>4</v>
      </c>
      <c r="F605">
        <f>HYPERLINK("https://www.reddit.com/r/diabetes/comments/2uyvo9/what_should_i_ask_my_doctor_t2/")</f>
        <v/>
      </c>
      <c r="G605" t="inlineStr">
        <is>
          <t>2015-02-06 00:52:00</t>
        </is>
      </c>
      <c r="H605" t="inlineStr">
        <is>
          <t>Type 2</t>
        </is>
      </c>
    </row>
    <row r="606">
      <c r="A606" t="inlineStr">
        <is>
          <t>2v0as9</t>
        </is>
      </c>
      <c r="B606" t="inlineStr">
        <is>
          <t>[Help] Looking for a good Nutritional Facts App.</t>
        </is>
      </c>
      <c r="C606" t="inlineStr">
        <is>
          <t>Hey /r/Diabetes!
    So I've been having some issues with my diabetes as of late (T1D) and I'm actively trying to find ways to improve my predicament. Now, while my issues may be caused by another underlying condition, I feel as though trying to improve my diet would greatly help.
    So here's the thing. I'm looking for an app that I can use at Fast Food and Dine-In Restaurants that contains Nutritional Facts (places like Taco Bell, McDonald's, Burger King, Wendy's, Ruby Tuesday, Chilli's, etc...) so that I can get a better control over my Total Carbohydrate intake.
    It'd be nice if I could keep count of my glucose readings and insulin as well, but if not I suppose just a nutritional facts app would be best. I can always record everything else on my phone via Google Drive.
    So Reddit, what's your favorite Nutritional Facts App?</t>
        </is>
      </c>
      <c r="D606" t="n">
        <v>1</v>
      </c>
      <c r="E606" t="n">
        <v>3</v>
      </c>
      <c r="F606">
        <f>HYPERLINK("https://www.reddit.com/r/diabetes/comments/2v0as9/help_looking_for_a_good_nutritional_facts_app/")</f>
        <v/>
      </c>
      <c r="G606" t="inlineStr">
        <is>
          <t>2015-02-06 10:20:32</t>
        </is>
      </c>
      <c r="H606" t="inlineStr">
        <is>
          <t>Type 1</t>
        </is>
      </c>
    </row>
    <row r="607">
      <c r="A607" t="inlineStr">
        <is>
          <t>2v0cy7</t>
        </is>
      </c>
      <c r="B607" t="inlineStr">
        <is>
          <t>Advice on getting back in to checking blood sugar</t>
        </is>
      </c>
      <c r="C607" t="inlineStr">
        <is>
          <t>I have a pretty common situation, I was diagnosed with T1 when I was 15. Staying on track in high school was pretty easy, my parents nagged me at home and the school nurses nagged at school.
I'm in my third year of college now and honestly awful at checking blood sugars and carb counting properly. I guess I'm lucky that my guessing mixed with "feel" has kept me with an A1C of 6.5-7.5 which is higher than I'd like but not high enough to really kick me into shape.
Does anybody have advice on how I can get myself back on track? I think part of the reason I fell off the wagon was that I started feeling exhausted keeping up with it all. I never neglect to take insulin but I got so tired of pricking my fingers, pulling out the little carb counter book, etc. I've considered going on the pump but I'm uncomfortable with the idea.
I know I won't have the benefit of being young, slim, and healthy forever so I should get back on the bandwagon while I can.</t>
        </is>
      </c>
      <c r="D607" t="n">
        <v>2</v>
      </c>
      <c r="E607" t="n">
        <v>3</v>
      </c>
      <c r="F607">
        <f>HYPERLINK("https://www.reddit.com/r/diabetes/comments/2v0cy7/advice_on_getting_back_in_to_checking_blood_sugar/")</f>
        <v/>
      </c>
      <c r="G607" t="inlineStr">
        <is>
          <t>2015-02-06 10:37:15</t>
        </is>
      </c>
      <c r="H607" t="inlineStr">
        <is>
          <t>Type 1</t>
        </is>
      </c>
    </row>
    <row r="608">
      <c r="A608" t="inlineStr">
        <is>
          <t>2v0utb</t>
        </is>
      </c>
      <c r="B608" t="inlineStr">
        <is>
          <t>Thinking about Afrezza</t>
        </is>
      </c>
      <c r="C608" t="inlineStr">
        <is>
          <t xml:space="preserve">So I'm thinking about asking my dr for Afrezza. About 15 years ago I took a basil insulin before meals due to heavy Prednisone use for a liver issue. Thus I have Steroid Induced Type 2. 
After losing a lot of weight and getting off the Prednisone, my sugars were always normal for the 3-4 years that i continued to check them. I stopped checking them assuming I was fine about 6 or more years ago, but over the last year I haven't been feeling well. At first I didn't attribute it to high blood sugars, probably because i was in denial, but eventually I couldn't take feeling like crap anymore and checked my sugars again. It was in the 200s. So I made an appt with a local Dr, and after 4-5 months, 3 months taking Janument along with glimipiride, my sugars have stabilized. 
But I have one issue. the post-prandial spikes. If I eat a high carb meal, which I try not to do often, but I am going to do sometimes. I refuse to deprive myself of the food that I love, and thus live an unhappy life because of it. I love to cook, dine-out, vacation, cruise, etc, and I am not willing to rid my diet of certain carbs. I have already cut my carbs by about 250% compared to what I was eating a few months ago. I don't eat bread at meals, no juices, milk or sugary drinks at all, etc.  I am cautious, but I will not be tied down  by this disease. 
About the Post-prandial spikes. Here is an example. 
6 inch Subway Turkey on Wheat	
With Apple Slices and Peanuts	
Start	        128
50Min later182
1.Hr 20m	107
I am not ok with that 182 number. And this was simply half of a footlong. If I was eating mexican or japanese, which I do 1-2 times per month this number would be even higher. 
I feel that Afrezza would be perfect for me. When I know I am going to eat high carb foods, I can take a puff, and since it is much faster acting than other rapid acting insulins, and exits the body so quickly as well, i feel that it would instantly curb those post prandial spikes. 
I am really curious what are other people's numbers 1hour and 2 hours after eating a high carb meal? I am planning a presentation to present to my doctor with a lot of quantative  data and information about Afrezza in hopes that he will let me try it. I am not risk averse when it comes to new drugs, so it doesn't bother me that it's been on the market for a week at all. 
I just want to lead the most normal life that I possibly can, being happy in the process. I know that Repaglinide and Nateglinide are options for rapid acting insulin inducing oral meds, but I am taking too many pills as it is. I would prefer not to be adding to the list if possible.  Even though my liver enzymes are still fine, I would prefer to take the least amount of oral meds as possible as that is what my doctors wanted when I was a kid taking prednisone. </t>
        </is>
      </c>
      <c r="D608" t="n">
        <v>2</v>
      </c>
      <c r="E608" t="n">
        <v>26</v>
      </c>
      <c r="F608">
        <f>HYPERLINK("https://www.reddit.com/r/diabetes/comments/2v0utb/thinking_about_afrezza/")</f>
        <v/>
      </c>
      <c r="G608" t="inlineStr">
        <is>
          <t>2015-02-06 12:53:44</t>
        </is>
      </c>
      <c r="H608" t="inlineStr">
        <is>
          <t>Type 2</t>
        </is>
      </c>
    </row>
    <row r="609">
      <c r="A609" t="inlineStr">
        <is>
          <t>2v2pnz</t>
        </is>
      </c>
      <c r="B609" t="inlineStr">
        <is>
          <t>Any diabetic marathon runners out there?</t>
        </is>
      </c>
      <c r="C609" t="inlineStr">
        <is>
          <t>Hi everyone, I was curious if anyone here has run a marathon and if you did, do you have any advice for me? 
Recently my sister passed away. A couple of years back she ran a marathon in honor of our father (who passed back in 2006). I was thinking about running a marathon in her honor, just as she did for our dad. I'm a little worried about the training process and the actual marathon itself when it comes to my diabetes and keeping my sugar stable during it. 
I've looked up tips on google but everything I've found is so completely vague and basically just says to check your sugar. There haven't been really any other tips than to carry glucose tabs with you either. So I figured that I would come here and see if anyone has any actual information that might help.
Thanks!</t>
        </is>
      </c>
      <c r="D609" t="n">
        <v>9</v>
      </c>
      <c r="E609" t="n">
        <v>31</v>
      </c>
      <c r="F609">
        <f>HYPERLINK("https://www.reddit.com/r/diabetes/comments/2v2pnz/any_diabetic_marathon_runners_out_there/")</f>
        <v/>
      </c>
      <c r="G609" t="inlineStr">
        <is>
          <t>2015-02-06 23:59:03</t>
        </is>
      </c>
      <c r="H609" t="inlineStr">
        <is>
          <t>Type 1</t>
        </is>
      </c>
    </row>
    <row r="610">
      <c r="A610" t="inlineStr">
        <is>
          <t>2v36cx</t>
        </is>
      </c>
      <c r="B610" t="inlineStr">
        <is>
          <t>High postprandials, beta blockers and LADA possibility</t>
        </is>
      </c>
      <c r="C610" t="inlineStr">
        <is>
          <t xml:space="preserve">Hello,
first off, excuse my English - I am not a native speaker.
After a company doctor checkup I was told to see my PCP because my results came back with blood glucose of 127 mg (their lab reference is from 60 - 120). The blood test at that doctor was around 2 hours after I had lunch.
Of course, this happened before x-mas last year, so no appointment was available for immediately. But it got me to get myself a glucose meter and I've been measuring some really worrisome, abnormal postprandial peaks over the past 4 weeks. FBGs are "quite normal" (79 to 94, I'd say the average is in the mid 80s) - although I've already found out through my nonstop reading and researching over the past weeks that FBGs are essentially meaningless and the last thing to detoriate, and that postprandials are a much more sensitive and earlier marker of metabolic defects.
I already know about Jenny Ruhl / phlaunt, Dr. Bernstein and the likes, so I already know the basics that most newbies here are referred to - but despite all my research, I still can't figure out what to make of some of my numbers, and I was hoping someone on this reddit might have gone through something similar and can give me some pointers.
I use my meter after 1 and 2 hours postprandial (meaning, 1 hour after I take the first bite - sometimes even after 45 mins since that seems to be when I hit my "peak"), sometimes 3, in order to track my blood sugar. What I've found so far is that my pancreas only seems to "wake up" after 2 hours, because most of the time the only time I achieve BGs below 100 is in the 3rd hour.
I use the Accu Chek Aviva, which supposedly is one of the most accurate meters.
My postprandials go through the roof even after meals that do not contain many carbs, and most of all, the same meals produce normal numbers one week and high ones next. For instance, last week I had 2 pieces of cake (I have been eating low carb on and off over the years and have adjusted my diet after getting my meter, but at the same time I am still in the "test test test" phase in order to see what kind of foods I should avoid in the future and which ones I can indulge in every now and then), and 1 hour after that cake my BG was 150, after 2 hours it was 126 and after 3 hours it was 84. Had the same piece of cake yesterday and after 2 hours my BG was 195 (I wasn't able to use the meter after 1 hour, but according to the 2 hour reading, the 1 hour one must have been at least around 250, I assume), at 3 hours it was still 170, and in the 4th hour it was below 100.
Another example is the food I eat for lunch (always in the same cafeteria at my company): 2 weeks ago 3 small potatoes with meat and veggies gave me a reading of 150 1 hr PP, and 120 2 hr PP. Last week, having 3 small potatoes with veggies and omelette read as 136 1 hr PP, and 98 2 hr PP. So, in other words, the same amount of carbs (with roughly the same amount of protein and fat) gives me 2 different readings. Same with the cake. In other words, I can't even use the meter readings to eliminate any foods, since the same food gives me very different readings on different days.
The worst reading was after 1 dumpling, red cabbage and gravy - 234 after 1 hour! At 1.5 hours it was 181, and at 2 hours it was 126. At 3 hours it was 84.
So, my pancreas still seems to produce insulin, but my incretin effect (phase 1 insulin response) obviously isn't working properly anymore, and only the phase 2 of the insulin answer gets the job done, since the majority of my readings show that only in the 3rd hour my readings return to "normal" (below 100).
Some other forum has pointed me towards the possibility of LADA diabetes. According to that Australian study where LADA is likely if you check 2 of 5 clinical features, LADA seems very likely for me:
- 32, on the verge of 33
- no diabetics in my family (not even distant relatives as far as I know)
- normal BMI (22)
- Both of my parents have thyroid issues (I don't, according to the latest TSH, fT3 and fT4 levels)
(According to the study mentioned above, those 3 features alone - age &amp;lt; 50, normal BMI and parents with autoimmune disorders - make it more likely that my type of diabetes could be LADA).
- Up until 1.5 years ago I weighed 176 pounds at 5'4 (was sedentary for 1 year, stuffed myself with candy a lot and gained that weight from 2012 to 2013. Before that, all my life I've been active and normal weight), but I've managed to lose the weight and now again weigh 127 lbs at 5'4. Yet, ironically I seem to have developed diabetes now that I am at my normal weight again (but maybe I aquired the insulin resistance during my obese years, who knows).
1. So, on the one hand I am worried that I might have LADA, since I check so many points, and also because of my high postprandials. I have an appointment with a diabetologist / endo next month, where hopefully I'll get tested with an oGTT (more predictive than the hba1c, since glucose molecules only attach to hemoglobin after 3 to 4 hours - where my numbers are already normal again most of the time), where she hopefully gets my Insulin, antibodies and (since some LADAs do not show antibodies in the early stages) my C-Peptid levels tested. Then I'll know for sure.
As you can see, I've done quite a lot of reading and research, and I was wondering if anyone's LADA started out with the same bizarre peaks as mine? (Normal FBGs, extremely high PPs, but normal glucose levels most of the day and 3 hours PP).
2. Another important information and something that's been on my mind a lot: I have been taking beta blockers for about 6 years now (metoprolol a.k.a. Lopressor, 50 mg once a day) for high resting heart rate after a myocarditis in 2008 (which, btw, would also explain the LADA possibility, since some researchers assume that LADA as an autoimmune disease could stem from virus infections).
I have found out now that Lopressor CAN have hyperglycemia as a side effect and at the moment I am clinging very much to the hope that my high readings are because of THAT.
Has anyone here been on betablockers BEFORE they were diagnosed with diabetes AND has developed hyperglycamia subsequently? All the ncbi.nlm studies that I read are not conclusive enough to say with accuracy if beta blockers can indeed cause Diabetes.
My (slim) hope is that if I get off the beta blockers (with a doctor, of course, I know that you're not supposed to just stop taking them), my glucose levels would return to normal. Has anyone had any experience with this?
Thank you in advance, sorry for the long post and once again, apologies for my (probably confusing) English. </t>
        </is>
      </c>
      <c r="D610" t="n">
        <v>1</v>
      </c>
      <c r="E610" t="n">
        <v>14</v>
      </c>
      <c r="F610">
        <f>HYPERLINK("https://www.reddit.com/r/diabetes/comments/2v36cx/high_postprandials_beta_blockers_and_lada/")</f>
        <v/>
      </c>
      <c r="G610" t="inlineStr">
        <is>
          <t>2015-02-07 05:18:20</t>
        </is>
      </c>
      <c r="H610" t="inlineStr">
        <is>
          <t>Type 1.5/LADA</t>
        </is>
      </c>
    </row>
    <row r="611">
      <c r="A611" t="inlineStr">
        <is>
          <t>2v3mzo</t>
        </is>
      </c>
      <c r="B611" t="inlineStr">
        <is>
          <t>Went for arthritis test, came back as pre-diabetic... Help please.</t>
        </is>
      </c>
      <c r="C611" t="inlineStr">
        <is>
          <t xml:space="preserve">Hi, 
So I recently went to the doctors to see if I have Raynauds Disease (something effecting the hands and how "cold" they get)... They took a blood test to see if I have arthritis and I get a cal, not only do I have that but I'm borderline diabetic. 
I work in food, I bake, cook, etc... I love food, but I could get with acquired tastes... I'm not picky AT ALL. Now, I need to go back for a second test, just to be sure this is correct (people suggested that) and I agree. I went to the doctors to get my blood test at 12pm, I was working since 4am that day and didn't have much of anything to eat besides, Activia yogurt, fruit, and a oatmeal cookie. I can't see that spiking my sugar that much?
All in all, I need maybe a good website/app/ something, to help me find out whats good to eat. What fats, meats, veggies, fruits, dairy, etc are better than the other... Because right now I'm completely lost and I do want to kick start this careful eating if possible, so I can prevent diabetes (if its not too late).
Sorry if this is redundant to other posts, I just wanted to share my story. Thanks in advanced.
TL:DR- I basically need a app/website - anything - to help me figure out what is the better options of out fats, dairy, meat, veggies, fruits...etc
Example: I know a sugar substitute is better, or like, fruits are good for you but bananas aren't the best choice. 
Anything that will help me in that way. Thanks! </t>
        </is>
      </c>
      <c r="D611" t="n">
        <v>1</v>
      </c>
      <c r="E611" t="n">
        <v>16</v>
      </c>
      <c r="F611">
        <f>HYPERLINK("https://www.reddit.com/r/diabetes/comments/2v3mzo/went_for_arthritis_test_came_back_as_prediabetic/")</f>
        <v/>
      </c>
      <c r="G611" t="inlineStr">
        <is>
          <t>2015-02-07 08:27:04</t>
        </is>
      </c>
      <c r="H611" t="inlineStr">
        <is>
          <t>Type 2</t>
        </is>
      </c>
    </row>
    <row r="612">
      <c r="A612" t="inlineStr">
        <is>
          <t>2v3nie</t>
        </is>
      </c>
      <c r="B612" t="inlineStr">
        <is>
          <t>Disappointed in Dexcom Service</t>
        </is>
      </c>
      <c r="C612" t="inlineStr">
        <is>
          <t>I am a huge, huge fan of Dexcom (the G4 has changed my life) but am getting a bit fed up with the customer support. 
A few months ago I called about a bad sensor, was told one would be sent out to me, never happened, a few weeks later someone called to ask if my new sensor was working fine, I told them I'd never received it and they sent one a few days later. Ok, no big deal.
This past week, my receiver abruptly shut off during the night and missed my going low until I was pretty far down (nothing dangerous, still just in the 60's). I had dealt with a few similar occurrences, so I called and was told that a new transmitter and receiver would be sent to me overnight.
A day later, I received two receivers and no transmitter. So I called and was told a transmitter would be shipped overnight with Saturday delivery. I check the tracking and it was sent standard overnight for Monday delivery. 
Throughout this whole process everyone has been very polite and helpful, but there just isn't the followthrough that I would hope for. I'd certainly prefer great products and mediocre service to the reverse, but I really wonder if Dexcom is understaffed or dealing with growing pains. 
It's only annoying rather than critical, but if this were a pump malfunction I were dealing with, I would be going absolutely crazy. Medtronic's support can sometimes be annoying (and their CGM is no good), but they are always on the ball about sending replacements, and once even flew a new pump to me via same-day delivery on a holiday after I had three pumps malfunction in quick succession. 
Have others had similar experiences with Dexcom?</t>
        </is>
      </c>
      <c r="D612" t="n">
        <v>2</v>
      </c>
      <c r="E612" t="n">
        <v>4</v>
      </c>
      <c r="F612">
        <f>HYPERLINK("https://www.reddit.com/r/diabetes/comments/2v3nie/disappointed_in_dexcom_service/")</f>
        <v/>
      </c>
      <c r="G612" t="inlineStr">
        <is>
          <t>2015-02-07 08:32:06</t>
        </is>
      </c>
      <c r="H612" t="inlineStr">
        <is>
          <t>Type 1</t>
        </is>
      </c>
    </row>
    <row r="613">
      <c r="A613" t="inlineStr">
        <is>
          <t>2v3y1l</t>
        </is>
      </c>
      <c r="B613" t="inlineStr">
        <is>
          <t>Medtronic pump, Dexcom CGM, and a few questions!</t>
        </is>
      </c>
      <c r="C613" t="inlineStr">
        <is>
          <t xml:space="preserve">My endo is subtly hinting I should give in and get a CGM.  I'm tempted to agree, but I've got the Paradigm 723 (the Medtronic pump that doesn't have the awesome built-in CGM stuff).  
My endo is generally suggesting that a pump with an integrated CGM makes his life a bit easier (I can totally see why), but I don't much care about that and weight "how irritated my endo is" as the lowest factor in my decision.
I'd _really_ like to stick with the Medtronic pump, just because I have a stockpile of supplies that'll last until Ragnarok.  
I could get the Animas + Dexcom setup, downsides: New everythings.  Unless the infusion sets from the medtronic pump will work?  I've heard such things, but information out there is sparse.  Additionally, I'm 95% sure the Vibe can only handle 200 units at a time; I'm more of a 300 units kind of guy.
I could also get the 530G and the Enlight CGM, but I've heard bad things about both accuracy and usefuleness.  My 723 is also fairly new, so there'd be an upgrade fee / etc. anyway.  On the flipside, I've changed insurance companies since then, so no one has to know just _how_ new it is.
Finally, I could just keep my 723 and get a Dexcom independently and carry around two things.  I've seen -- but not fiddled with -- the dexcom receiver, which seems pretty great.  What happens, though, if I say, run out and leave the reciever on the kitchen counter and spend a few hours away from home.  Does the receiver just get a big ole' blank spot? 
So, tl;dr: 
Which is better: Dexcom or Enlight? </t>
        </is>
      </c>
      <c r="D613" t="n">
        <v>3</v>
      </c>
      <c r="E613" t="n">
        <v>14</v>
      </c>
      <c r="F613">
        <f>HYPERLINK("https://www.reddit.com/r/diabetes/comments/2v3y1l/medtronic_pump_dexcom_cgm_and_a_few_questions/")</f>
        <v/>
      </c>
      <c r="G613" t="inlineStr">
        <is>
          <t>2015-02-07 10:03:43</t>
        </is>
      </c>
      <c r="H613" t="inlineStr">
        <is>
          <t>Type 1</t>
        </is>
      </c>
    </row>
    <row r="614">
      <c r="A614" t="inlineStr">
        <is>
          <t>2v93n9</t>
        </is>
      </c>
      <c r="B614" t="inlineStr">
        <is>
          <t>[Type 2] First hypo experience ever this morning...</t>
        </is>
      </c>
      <c r="C614" t="inlineStr">
        <is>
          <t>Just got back from grocery shopping with my wife this morning (had eaten breakfast and taken my meds) and was about to start working on getting dinner in the crock pot... suddenly felt very weak and tingly/shaky.  Wife suggested I take blood sugar which I did just to humor her (I've never seen a number under 80 and in my years of being T2 I could count the numbers under 100 on one hand)... I was in the 60s.
We've been eating healthier since the first of the year, I've dropped 20 pounds and my sugars have regularly been in the 90-120 range for the past week.  I got it up to 103 and then started feeling shaky again a bit after and it was down to 77.
I take 1,000mg of Metformin (Extended release) 2x a day and also take Glimepiride once daily in the mornings.  I'm sending a note to my Dr. but I'm thinking at least she will want me to stop taking the Glimepiride and then later hopefully reduce Metformin if my numbers continue to do well?
I'm glad to have my numbers in range consistently for the first time ever, but that damn low feeling is not something I want to get used to!</t>
        </is>
      </c>
      <c r="D614" t="n">
        <v>3</v>
      </c>
      <c r="E614" t="n">
        <v>22</v>
      </c>
      <c r="F614">
        <f>HYPERLINK("https://www.reddit.com/r/diabetes/comments/2v93n9/type_2_first_hypo_experience_ever_this_morning/")</f>
        <v/>
      </c>
      <c r="G614" t="inlineStr">
        <is>
          <t>2015-02-08 17:34:20</t>
        </is>
      </c>
      <c r="H614" t="inlineStr">
        <is>
          <t>Type 2</t>
        </is>
      </c>
    </row>
    <row r="615">
      <c r="A615" t="inlineStr">
        <is>
          <t>2v95pi</t>
        </is>
      </c>
      <c r="B615" t="inlineStr">
        <is>
          <t>T2 with a nasty cold and elevated bs levels.</t>
        </is>
      </c>
      <c r="C615" t="inlineStr">
        <is>
          <t>i have a nasty cold. I'm T2. Usually, with my meds and exercise and diet, my levels are really good- around 100. I just checked twice and my levels are at 177- which never happens, unless I totally binge out. Does this happen to anyone else?</t>
        </is>
      </c>
      <c r="D615" t="n">
        <v>1</v>
      </c>
      <c r="E615" t="n">
        <v>4</v>
      </c>
      <c r="F615">
        <f>HYPERLINK("https://www.reddit.com/r/diabetes/comments/2v95pi/t2_with_a_nasty_cold_and_elevated_bs_levels/")</f>
        <v/>
      </c>
      <c r="G615" t="inlineStr">
        <is>
          <t>2015-02-08 17:52:52</t>
        </is>
      </c>
      <c r="H615" t="inlineStr">
        <is>
          <t>Type 2</t>
        </is>
      </c>
    </row>
    <row r="616">
      <c r="A616" t="inlineStr">
        <is>
          <t>2v9odk</t>
        </is>
      </c>
      <c r="B616" t="inlineStr">
        <is>
          <t>T1 Diabetic, no reason to my blood sugar levels. Possibly misdiagnosed?</t>
        </is>
      </c>
      <c r="C616" t="inlineStr">
        <is>
          <t>Sorry in advance for the long read...
I have an earlier post here explaining my story of my diagnosis and everything if you really want to read it, but long story short I had mono and wasn't feeling good at work (nursing home) and was looking up my symptoms thinking it might be more than mono and pretty much everything matched diabetes (thirst, fatigue, frequent urination, weight loss of 50 pounds in 2 weeks) and had a nurse check my sugar level and it read off the meters, (ended up being at 719 when we were at the hospital) so me being a hypochondriac finally paid off. 
Anyway, my family doctor, pretty renowned around my area, one of the best doctors around, didn't think I had diabetes when I was first diagnosed, and even now still swears I am not diabetic, which the more and more I think about it, he may be right, or maybe just a really aggressive honeymoon phase.
What leads me to this suspicion is my sugar levels are all out of whack. I am taking 10 units of long lasting at night (Lantus) and 1 for every 30 carbs during the day (Humalog) but whenever I take any humalog I always bottom out.
     (Example: had a subway sub and chips with a diet coke, measured the carbs on their website and it was around 85 carbs, my sugar was 88 before I ate, and I took 2 units, I checked my sugar about 45 minutes after eating because of curiosity and I was getting all fidgety and it was 56, drank some orange juice and it went up to 90 in about 20 minutes.)
Some days when I am home all day and with my family I will not take any lantus the night before and no humalog through the day without exercising, just being curious. On days I do that my sugar will be between 90-120 after meals. 
Another thing that makes me wonder is exercise, after running a few miles then lifting, while drinking water, my sugar will only drop by about 10. And after baseball, total of 25 minutes running, and hitting and throwing, my sugar will drop by about 20.
I have another doctors appointment Thursday this week, and we will discuss it with them, but I am still thinking I might not be diabetic, the only thing making me think I am is the anti-bodies they found in my blood, which I guess means my body was destroying my pancreas or something, not sure.
On average, I usually run about 90 in the morning, 80s around lunch, and 100ish at dinner. I will also drink some juice or take a few glucose tablets before bed or I will be at 60-70 in the morning.
Lowest I've been was 52 in the morning after being out until 2am at a friends house and sleeping in until 10am. 
Another thing that scares me though is I barely ever feel when I am low. Last week I was shoveling snow before we left for dinner, and I came inside to check, and I was at 62. Wasn't feeling irritable, no headache, not fidgety, felt completely normal.
tldr; Diagnosed November 2014 after having mono, 16 years old. On 10 units of lantus and 1 for 30 humalog. Not ever taking humalog, bottom out if I do. Sugars still running in 80s, sometimes 60s after school. A1C was 6.1 after last doctors visit. My family, along with our doctor thinks I am not diabetic, but antibodies in urine where found at the hospital.
Again, sorry for the unorganized wall of text, and thanks for the help.</t>
        </is>
      </c>
      <c r="D616" t="n">
        <v>1</v>
      </c>
      <c r="E616" t="n">
        <v>36</v>
      </c>
      <c r="F616">
        <f>HYPERLINK("https://www.reddit.com/r/diabetes/comments/2v9odk/t1_diabetic_no_reason_to_my_blood_sugar_levels/")</f>
        <v/>
      </c>
      <c r="G616" t="inlineStr">
        <is>
          <t>2015-02-08 20:42:35</t>
        </is>
      </c>
      <c r="H616" t="inlineStr">
        <is>
          <t>Type 1</t>
        </is>
      </c>
    </row>
    <row r="617">
      <c r="A617" t="inlineStr">
        <is>
          <t>2vbnz6</t>
        </is>
      </c>
      <c r="B617" t="inlineStr">
        <is>
          <t>My grandma's glucose readings are consistently over 200.</t>
        </is>
      </c>
      <c r="C617" t="inlineStr">
        <is>
          <t>Last year my grandmother was diagnosed with diabetes (type 2 I believe). I have just a basic understanding of diabetes and haven't researched anything about it until just a few days ago. 
During a conversation I had with her the other day she mentioned that her blood sugar was giving her problems and explained that for the past few weeks it has consistently been over 200 when she woke up in the morning. I understand that this is dangerous, but she doesn't seem to be very alarmed. 
I'm curious to know what are some of the immediate risks of her glucose levels? And what can I do to get her to take it more seriously?</t>
        </is>
      </c>
      <c r="D617" t="n">
        <v>1</v>
      </c>
      <c r="E617" t="n">
        <v>0</v>
      </c>
      <c r="F617">
        <f>HYPERLINK("https://www.reddit.com/r/diabetes/comments/2vbnz6/my_grandmas_glucose_readings_are_consistently/")</f>
        <v/>
      </c>
      <c r="G617" t="inlineStr">
        <is>
          <t>2015-02-09 10:24:26</t>
        </is>
      </c>
      <c r="H617" t="inlineStr">
        <is>
          <t>Type 2</t>
        </is>
      </c>
    </row>
    <row r="618">
      <c r="A618" t="inlineStr">
        <is>
          <t>2via0r</t>
        </is>
      </c>
      <c r="B618" t="inlineStr">
        <is>
          <t>Newly Diagnosed with T2...</t>
        </is>
      </c>
      <c r="C618" t="inlineStr">
        <is>
          <t xml:space="preserve">Newly Diagnosed in January after my Endocrinologist read the riot act to me...
I found I'm awfully sensitive to blood sugar swings (even a teaspoon on sugar will send levels upward).  In 3 weeks, I've managed to get my readings from 15.1 mmol/l down to 6.5 mmol/l.
What should by target be?
</t>
        </is>
      </c>
      <c r="D618" t="n">
        <v>3</v>
      </c>
      <c r="E618" t="n">
        <v>8</v>
      </c>
      <c r="F618">
        <f>HYPERLINK("https://www.reddit.com/r/diabetes/comments/2via0r/newly_diagnosed_with_t2/")</f>
        <v/>
      </c>
      <c r="G618" t="inlineStr">
        <is>
          <t>2015-02-10 21:29:30</t>
        </is>
      </c>
      <c r="H618" t="inlineStr">
        <is>
          <t>Type 2</t>
        </is>
      </c>
    </row>
    <row r="619">
      <c r="A619" t="inlineStr">
        <is>
          <t>2vin4x</t>
        </is>
      </c>
      <c r="B619" t="inlineStr">
        <is>
          <t>any advice for a T1 pump user traveling indefinitely?</t>
        </is>
      </c>
      <c r="C619" t="inlineStr">
        <is>
          <t>Hello, everyone! I'm a T1 diabetic with a minimed paradigm pump. I'm planning an indefinite trip with a friend in southeast Asia (probably 6 months bare minimum, don't have a return ticket). Our loose itinerary includes Indonesia, Vietnam, Cambodia, Laos, Thailand, Myanmar, and Nepal, but we're purposely not setting anything in stone so we can be flexible. I'm looking for some advice on a few things, if anyone could help!
1) Packing! I want to pack as lightly and efficiently as possible. The supplies for my pump are kinda bulky and 6 months' worth would take up most if not all of the room in my backpack (I'm taking a 55l osprey pack). Should I look into finding a way to have someone ship supplies to me at various intervals? How possible is it to buy infusion sets, reservoirs, test strips, lancets, and syringes in those countries/that area of the world? If I have to bring everything with me, any advice on how to pack it all as compact as possible?
2) What are some good lightweight snacks/foods to bring or find there for a) snacking and b) responding to a low?
3) Any general or specific tips about carb counting when trying foreign foods?
4) Have you ever traveled long-term/without a plan? Where? How did it go, and do you have any other advice relating to doing that as a diabetic? I'd love to hear any stories!
I've looked through past posts here about traveling and have found some helpful tips (definitely going to get a [frio](http://www.amazon.com/FRIO-Insulin-Cooling-Wallet-1130DUO1130DUOBL/dp/B00022628K/)) and information about going through security, etc. I just still had a few leftover questions. Thanks!</t>
        </is>
      </c>
      <c r="D619" t="n">
        <v>6</v>
      </c>
      <c r="E619" t="n">
        <v>9</v>
      </c>
      <c r="F619">
        <f>HYPERLINK("https://www.reddit.com/r/diabetes/comments/2vin4x/any_advice_for_a_t1_pump_user_traveling/")</f>
        <v/>
      </c>
      <c r="G619" t="inlineStr">
        <is>
          <t>2015-02-11 00:12:11</t>
        </is>
      </c>
      <c r="H619" t="inlineStr">
        <is>
          <t>Type 1</t>
        </is>
      </c>
    </row>
    <row r="620">
      <c r="A620" t="inlineStr">
        <is>
          <t>2vjyuo</t>
        </is>
      </c>
      <c r="B620" t="inlineStr">
        <is>
          <t>What changes can I expect to see now that I'm finally on meds for my type 2 diabetes?</t>
        </is>
      </c>
      <c r="C620" t="inlineStr">
        <is>
          <t xml:space="preserve">Doc put me on Metformin. I'm just curious how being on medication will change things? Have you noticed a significant change in your day to day health? </t>
        </is>
      </c>
      <c r="D620" t="n">
        <v>1</v>
      </c>
      <c r="E620" t="n">
        <v>10</v>
      </c>
      <c r="F620">
        <f>HYPERLINK("https://www.reddit.com/r/diabetes/comments/2vjyuo/what_changes_can_i_expect_to_see_now_that_im/")</f>
        <v/>
      </c>
      <c r="G620" t="inlineStr">
        <is>
          <t>2015-02-11 09:25:06</t>
        </is>
      </c>
      <c r="H620" t="inlineStr">
        <is>
          <t>Type 2</t>
        </is>
      </c>
    </row>
    <row r="621">
      <c r="A621" t="inlineStr">
        <is>
          <t>2vkqvj</t>
        </is>
      </c>
      <c r="B621" t="inlineStr">
        <is>
          <t>Diabetes Egg Crack Challenge goes viral to raise money for JDRF and Type 1 Diabetes! *NFL player joins the challenge*</t>
        </is>
      </c>
      <c r="C621" t="inlineStr">
        <is>
          <t>http://www.buzzfeed.com/pkennedy24/death-of-22-year-old-will-hauver-prompts-diabetes-1ba3a
NFL Wide Receiver joined the challenge yesterday!!
https://www.youtube.com/watch?v=9J820ux1NVs</t>
        </is>
      </c>
      <c r="D621" t="n">
        <v>25</v>
      </c>
      <c r="E621" t="n">
        <v>9</v>
      </c>
      <c r="F621">
        <f>HYPERLINK("https://www.reddit.com/r/diabetes/comments/2vkqvj/diabetes_egg_crack_challenge_goes_viral_to_raise/")</f>
        <v/>
      </c>
      <c r="G621" t="inlineStr">
        <is>
          <t>2015-02-11 12:51:20</t>
        </is>
      </c>
      <c r="H621" t="inlineStr">
        <is>
          <t>Type 1</t>
        </is>
      </c>
    </row>
    <row r="622">
      <c r="A622" t="inlineStr">
        <is>
          <t>2vlqos</t>
        </is>
      </c>
      <c r="B622" t="inlineStr">
        <is>
          <t>I've recently been feeling symptoms in line with diabetes, help?</t>
        </is>
      </c>
      <c r="C622" t="inlineStr">
        <is>
          <t xml:space="preserve">I'm a 17 year old cross country runner and recently i started having issues with decreased cognition, tremors, blurred vision in one eye, loss of balance, and a few other gripes that all seem to magically remedy themselves after I eat something balanced. I want to get your input on this, as I am currently being tested for neurological disturbances, but the fact that I feel almost immediately better once i eat something veered me towards the possibility of adolescent onset type 1 diabetes.  </t>
        </is>
      </c>
      <c r="D622" t="n">
        <v>1</v>
      </c>
      <c r="E622" t="n">
        <v>7</v>
      </c>
      <c r="F622">
        <f>HYPERLINK("https://www.reddit.com/r/diabetes/comments/2vlqos/ive_recently_been_feeling_symptoms_in_line_with/")</f>
        <v/>
      </c>
      <c r="G622" t="inlineStr">
        <is>
          <t>2015-02-11 17:34:44</t>
        </is>
      </c>
      <c r="H622" t="inlineStr">
        <is>
          <t>Type 1</t>
        </is>
      </c>
    </row>
    <row r="623">
      <c r="A623" t="inlineStr">
        <is>
          <t>2vnjff</t>
        </is>
      </c>
      <c r="B623" t="inlineStr">
        <is>
          <t>I don't know what's happening and I'm not sure that it's 100% because of my high blood sugar.</t>
        </is>
      </c>
      <c r="C623" t="inlineStr">
        <is>
          <t xml:space="preserve">So I've been getting up with high blood sugars the last week but today was different.. I couldn't breathe right. I was able to function but I kept running out of breath, having to take little breaks and continuously breathe deeply while going through my morning routine. Sugar was at 328 when I tested the first time, breathing continued to get worse. I've been going through a lot lately and I'm basically always stressed (which is why my sugars have been jacked up) I should also mention that when I'm stressed, I have insulin absorption issues so I'm trying to not bolus too much so I don't crash once I get relaxed.
Anyway, on the way to work I start getting nauseated and light headed and my pulse was racing and since it had been a few minutes since I bolused for the 328, I went ahead and took a xanax. Got to work, and the guard decided to be an ass about my badge and gave me some shit (even the woman who got in the elevator with me was like "wtf was his malfunction?") but he's always an ass. Only this time, by the time I got to my desk I was beginning to cry and the breathing got even worse --his assholeness doesn't usually get to me btw.
I'm just wondering if my blood sugar plus all the stress in my life atm caused me to have a small panic attack? I've never had one, but I've never had an episode like this before. I thought I might have to go to the hospital if my breathing didn't start getting easier really soon (which is why I think the xanax helped a lot, because now I'm breathing more normally).
Now I'm 338 which makes no since because I took 6 units of humalog over 45 minutes ago now so it should have come down at least a little bit (I haven't eaten anything yet)
Sorry about the rant and run ons but I'm having issues making my thoughts/questions make since. I hope someone can understand what I'm trying to ask =/
*I've had anxiety attacks before so I know what those feel like but this was different. Also, I don't usually have severe issues with breathing unless my blood sugar is more dangerously high (like above 400)
TL;DR: Was that a panic attack, or could it all be blamed on the high blood sugar? I'm a little freaked out still but I'm not sure what to do.
**EDIT:** Thanks everyone for the advice and support. Knowing that I'm not the only one struggling to control everything really helps. I always thought I was just a bad diabetic.. </t>
        </is>
      </c>
      <c r="D623" t="n">
        <v>9</v>
      </c>
      <c r="E623" t="n">
        <v>37</v>
      </c>
      <c r="F623">
        <f>HYPERLINK("https://www.reddit.com/r/diabetes/comments/2vnjff/i_dont_know_whats_happening_and_im_not_sure_that/")</f>
        <v/>
      </c>
      <c r="G623" t="inlineStr">
        <is>
          <t>2015-02-12 06:27:20</t>
        </is>
      </c>
      <c r="H623" t="inlineStr">
        <is>
          <t>Type 1</t>
        </is>
      </c>
    </row>
    <row r="624">
      <c r="A624" t="inlineStr">
        <is>
          <t>2vnqy3</t>
        </is>
      </c>
      <c r="B624" t="inlineStr">
        <is>
          <t>[X-post /r/askscience] Can the hormones released in the body when in love adversely affect the glucose levels of diabetics?</t>
        </is>
      </c>
      <c r="C624" t="inlineStr">
        <is>
          <t>I posted this question in /r/askscience as a very vague question  so as not to seem like I was asking for medical advice but wanted to be a little more specific with the question here.
I was with a girl all weekend that I'm madly in love with and noticed that my glucose levels were extremely high all weekend. We have a long distance relationship so we don't get to see each other very often and this was our first weekend away together. Nothing else had changed except for the fact of being together. 
My glucose levels are very good and are normally around the 90's to 120's and I don't normally experience highs. But over the weekend, my levels would go above 200's. It was strange to say the least. I remembered that adrenaline can raise your levels and I've personally experienced this, but nothing like what my levels were over the weekend.
So the question is if the other hormones released when in love can also raise your blood sugar levels. And if they would raise them that much. If not then I suppose it would have to have been something else.</t>
        </is>
      </c>
      <c r="D624" t="n">
        <v>2</v>
      </c>
      <c r="E624" t="n">
        <v>5</v>
      </c>
      <c r="F624">
        <f>HYPERLINK("https://www.reddit.com/r/diabetes/comments/2vnqy3/xpost_raskscience_can_the_hormones_released_in/")</f>
        <v/>
      </c>
      <c r="G624" t="inlineStr">
        <is>
          <t>2015-02-12 07:36:59</t>
        </is>
      </c>
      <c r="H624" t="inlineStr">
        <is>
          <t>Type 1</t>
        </is>
      </c>
    </row>
    <row r="625">
      <c r="A625" t="inlineStr">
        <is>
          <t>2vo3ly</t>
        </is>
      </c>
      <c r="B625" t="inlineStr">
        <is>
          <t>any type 1 body builders here?</t>
        </is>
      </c>
      <c r="C625" t="inlineStr">
        <is>
          <t>how is it injecting? by body builders i mean people currently or close to their peak.
surely at around 5-7% body fat injecting must become hard?</t>
        </is>
      </c>
      <c r="D625" t="n">
        <v>2</v>
      </c>
      <c r="E625" t="n">
        <v>4</v>
      </c>
      <c r="F625">
        <f>HYPERLINK("https://www.reddit.com/r/diabetes/comments/2vo3ly/any_type_1_body_builders_here/")</f>
        <v/>
      </c>
      <c r="G625" t="inlineStr">
        <is>
          <t>2015-02-12 09:17:22</t>
        </is>
      </c>
      <c r="H625" t="inlineStr">
        <is>
          <t>Type 1</t>
        </is>
      </c>
    </row>
    <row r="626">
      <c r="A626" t="inlineStr">
        <is>
          <t>2vofw2</t>
        </is>
      </c>
      <c r="B626" t="inlineStr">
        <is>
          <t>how can i go about getting a pump?</t>
        </is>
      </c>
      <c r="C626" t="inlineStr">
        <is>
          <t>8-9 years i've had diabetes. every time they ask they always put off getting a pump. from the UK here. i feel so different having to inject all the time.</t>
        </is>
      </c>
      <c r="D626" t="n">
        <v>6</v>
      </c>
      <c r="E626" t="n">
        <v>26</v>
      </c>
      <c r="F626">
        <f>HYPERLINK("https://www.reddit.com/r/diabetes/comments/2vofw2/how_can_i_go_about_getting_a_pump/")</f>
        <v/>
      </c>
      <c r="G626" t="inlineStr">
        <is>
          <t>2015-02-12 10:51:22</t>
        </is>
      </c>
      <c r="H626" t="inlineStr">
        <is>
          <t>Type 1</t>
        </is>
      </c>
    </row>
    <row r="627">
      <c r="A627" t="inlineStr">
        <is>
          <t>2vovqd</t>
        </is>
      </c>
      <c r="B627" t="inlineStr">
        <is>
          <t>Sorry for the stupid question, but I don't see my doctor until March. Can someone explain to me like I'm 5 what ketones are, what they do, how to check for them, etc.</t>
        </is>
      </c>
      <c r="C627" t="inlineStr">
        <is>
          <t>Thank you for helping me.  
yes I know I can google it, but medical stuff makes my head hurt.</t>
        </is>
      </c>
      <c r="D627" t="n">
        <v>6</v>
      </c>
      <c r="E627" t="n">
        <v>8</v>
      </c>
      <c r="F627">
        <f>HYPERLINK("https://www.reddit.com/r/diabetes/comments/2vovqd/sorry_for_the_stupid_question_but_i_dont_see_my/")</f>
        <v/>
      </c>
      <c r="G627" t="inlineStr">
        <is>
          <t>2015-02-12 12:59:51</t>
        </is>
      </c>
      <c r="H627" t="inlineStr">
        <is>
          <t>Type 2</t>
        </is>
      </c>
    </row>
    <row r="628">
      <c r="A628" t="inlineStr">
        <is>
          <t>2vp0se</t>
        </is>
      </c>
      <c r="B628" t="inlineStr">
        <is>
          <t>Can't seem to take the first step toward getting a pump - what's stopping me?</t>
        </is>
      </c>
      <c r="C628" t="inlineStr">
        <is>
          <t>I have the pump rep's name and number right here, but every time I pick up the phone, I stop myself.  I keep thinking of the expense and the learning curve and having the pump attached to me and, and, and!!!  I'm very insulin sensitive, very carb sensitive, my last A1C was 6.5, but I have lots of roller-coaster days.  
Give me some reasons to make that call!  
UPDATE:  Sitting here laughing because I finally decided to make the call.  I got the rep's voice mail and......"the mailbox is full and not able to accept messages at this time."  Not a good start, Animas, not a good start at all.  
FURTHER UPDATE:  Just sent an email to the Medtronic rep.</t>
        </is>
      </c>
      <c r="D628" t="n">
        <v>4</v>
      </c>
      <c r="E628" t="n">
        <v>17</v>
      </c>
      <c r="F628">
        <f>HYPERLINK("https://www.reddit.com/r/diabetes/comments/2vp0se/cant_seem_to_take_the_first_step_toward_getting_a/")</f>
        <v/>
      </c>
      <c r="G628" t="inlineStr">
        <is>
          <t>2015-02-12 13:36:39</t>
        </is>
      </c>
      <c r="H628" t="inlineStr">
        <is>
          <t>Type 1</t>
        </is>
      </c>
    </row>
    <row r="629">
      <c r="A629" t="inlineStr">
        <is>
          <t>2vrirp</t>
        </is>
      </c>
      <c r="B629" t="inlineStr">
        <is>
          <t>Could not be more happy! A1C down!</t>
        </is>
      </c>
      <c r="C629" t="inlineStr">
        <is>
          <t xml:space="preserve">44 years old, 6 foot 195lbs and fairly active male.  Found out this past December I was T2 with A1C of 11.6. 
Well, after being slightly more active, counting carbs and taking Janumet (metformin and sitgliptin), I've lowed my A1C from 11.6 to 6.7 in three months!
I'm fully aware that I can do better and will forever need to be on top of it but just wanted to share how happy I am! 
</t>
        </is>
      </c>
      <c r="D629" t="n">
        <v>38</v>
      </c>
      <c r="E629" t="n">
        <v>10</v>
      </c>
      <c r="F629">
        <f>HYPERLINK("https://www.reddit.com/r/diabetes/comments/2vrirp/could_not_be_more_happy_a1c_down/")</f>
        <v/>
      </c>
      <c r="G629" t="inlineStr">
        <is>
          <t>2015-02-13 05:45:27</t>
        </is>
      </c>
      <c r="H629" t="inlineStr">
        <is>
          <t>Type 2</t>
        </is>
      </c>
    </row>
    <row r="630">
      <c r="A630" t="inlineStr">
        <is>
          <t>2vrrhu</t>
        </is>
      </c>
      <c r="B630" t="inlineStr">
        <is>
          <t>Type 2 Can't gain weight? Reasons?</t>
        </is>
      </c>
      <c r="C630" t="inlineStr">
        <is>
          <t>My uncle got type 2 with 58 years old. He lost arounds 50 pounds back then due to uncontrolled / unknown diabetes. He never was overweight, he was neither fat  nor  thin, just a normal sized guy.
Now 2 years later with well controlled  diabetes type 2 he is still not able to gain his normal weight back. He was only able to gain 20 pounds after he realized he had type 2 and started taking insulin. He is still missing 30 Pounds after 2 years!!!!
Any kind of information about this problem is welcome. I seriously don't know how to help him and his doctors are not helpful at all.
Thanks for your help.</t>
        </is>
      </c>
      <c r="D630" t="n">
        <v>1</v>
      </c>
      <c r="E630" t="n">
        <v>4</v>
      </c>
      <c r="F630">
        <f>HYPERLINK("https://www.reddit.com/r/diabetes/comments/2vrrhu/type_2_cant_gain_weight_reasons/")</f>
        <v/>
      </c>
      <c r="G630" t="inlineStr">
        <is>
          <t>2015-02-13 07:10:38</t>
        </is>
      </c>
      <c r="H630" t="inlineStr">
        <is>
          <t>Type 2</t>
        </is>
      </c>
    </row>
    <row r="631">
      <c r="A631" t="inlineStr">
        <is>
          <t>2vrzek</t>
        </is>
      </c>
      <c r="B631" t="inlineStr">
        <is>
          <t>First DKA - After-effects?</t>
        </is>
      </c>
      <c r="C631" t="inlineStr">
        <is>
          <t xml:space="preserve">I'm T1 since 2008, age 34. This past week I had my first DKA experience. I think my story is like many - thought I had a flu, but the vomiting became non-stop. Here's the tricky part: I'd been doing keto (less than 30 carbs a day) to lose some weight) and my sugars were awesome right up until the being unable to even keep water down. I couldn't check for ketones, because of course I had them! And because I'd never had DKA before, I didn't recognize the elevated heart rate, shortness of breath, etc. Ended up in ICU, my first time in a hospital ever. Terrifying.
Now I'm home, and I'm feeling a strange mix of emotions. I feel afraid to eat, and I feel afraid to not eat. The littlest things (good and bad) have me in tears. I don't know if it is just being exhausted from the experience or frustrated with living with diabetes, but I feel a little like I've been on another planet for a week and have come home to some place strange.
I hear people talk about their "first" DKA experience - I dread that this is something that might happen again and again. I'm curious for those T1s that have been through it - what was it like for you after? Did you change behavior? Did you feel differently about your diabetes than before? There's surprisingly little out there about how we cope with hospitalization and the aftermath (can't wait to see the ER bills).
tl;dr - First DKA, scared me. Want to hear about others' experiences. </t>
        </is>
      </c>
      <c r="D631" t="n">
        <v>2</v>
      </c>
      <c r="E631" t="n">
        <v>9</v>
      </c>
      <c r="F631">
        <f>HYPERLINK("https://www.reddit.com/r/diabetes/comments/2vrzek/first_dka_aftereffects/")</f>
        <v/>
      </c>
      <c r="G631" t="inlineStr">
        <is>
          <t>2015-02-13 08:16:52</t>
        </is>
      </c>
      <c r="H631" t="inlineStr">
        <is>
          <t>Type 1</t>
        </is>
      </c>
    </row>
    <row r="632">
      <c r="A632" t="inlineStr">
        <is>
          <t>2vtcxx</t>
        </is>
      </c>
      <c r="B632" t="inlineStr">
        <is>
          <t>T1's - what kinds of positive changes did you notice after you started getting your numbers under control?</t>
        </is>
      </c>
      <c r="C632" t="inlineStr">
        <is>
          <t>My 15 yo son was recently diagnosed T1. We caught it very early, so he didn't end up DKA and in the hospital like most young T1's.
He has started Levemir and he is on a sliding scale, stating at 250,  for Novalog. But, he has only really been in range once, right before bed, so he wanted to "wait and watch" and drink lots of water. He was out of range within an hour and avoided a second shot.
We have another appointment in a couple weeks, but seeing numbers in the 180-220 range on a regular basis worries me. I don't want to add more Levemir (he is at 10u now) because he is within "normal" range when he gets home from school (90-110) and I don't want him to end up hypo in class.
Anyways, my point is that I think it would be helpful to let him know what will improve once he starts getting his sugars down into the &amp;lt;140 range. 
Anyone have any teenager-friendly things he can look forward to that might make experimenting with the Novalog (when necessary) more appealing?</t>
        </is>
      </c>
      <c r="D632" t="n">
        <v>2</v>
      </c>
      <c r="E632" t="n">
        <v>22</v>
      </c>
      <c r="F632">
        <f>HYPERLINK("https://www.reddit.com/r/diabetes/comments/2vtcxx/t1s_what_kinds_of_positive_changes_did_you_notice/")</f>
        <v/>
      </c>
      <c r="G632" t="inlineStr">
        <is>
          <t>2015-02-13 14:41:44</t>
        </is>
      </c>
      <c r="H632" t="inlineStr">
        <is>
          <t>Type 1</t>
        </is>
      </c>
    </row>
    <row r="633">
      <c r="A633" t="inlineStr">
        <is>
          <t>2vylgz</t>
        </is>
      </c>
      <c r="B633" t="inlineStr">
        <is>
          <t>Creatine and type 1 diabetes</t>
        </is>
      </c>
      <c r="C633" t="inlineStr">
        <is>
          <t>Hello!   
I have type 1 diabetes, and I am working out at a gym. I am planning to start taking creatine, but I've read from the internet, that people who have diabetes, should not take creatine.   
What happens if I will start taking creatine?</t>
        </is>
      </c>
      <c r="D633" t="n">
        <v>5</v>
      </c>
      <c r="E633" t="n">
        <v>8</v>
      </c>
      <c r="F633">
        <f>HYPERLINK("https://www.reddit.com/r/diabetes/comments/2vylgz/creatine_and_type_1_diabetes/")</f>
        <v/>
      </c>
      <c r="G633" t="inlineStr">
        <is>
          <t>2015-02-15 02:09:01</t>
        </is>
      </c>
      <c r="H633" t="inlineStr">
        <is>
          <t>Type 1</t>
        </is>
      </c>
    </row>
    <row r="634">
      <c r="A634" t="inlineStr">
        <is>
          <t>2vzg44</t>
        </is>
      </c>
      <c r="B634" t="inlineStr">
        <is>
          <t>Inconsistent readings of blood glucose between several meters</t>
        </is>
      </c>
      <c r="C634" t="inlineStr">
        <is>
          <t>Recently diagnosed as T2.  Travelled to from my daughter's school yesterday and back very late.  Very cold in the trunk where my meter and strips were in a bag.  Ate in a restaurant last night - ate chicken teriyaki and some chicken yakatori - after I ate it the chef did say there was sugar in cooking the yakatori.  3-4 hours later (after 12:00 am) my reading was 107, so I was not worried.  At first, the meter (Contour next) refused to read as it said it was too cold and that I should wait 20 minutes.  Drove home about 4:00 am and was hungry, so ate a small baked fish fillet, some gouda cheese, some walnut halves, a tomato slice, and water.  Played on the Internet and went to bed.  Kept the meter inside the bag it was in when it was in the trunk of the car but I had brought it in the house when I got home.  
This noon, I did a reading and it was 127 - surprisingly high as I have been reading fasting in the 90s lately and had the 107 last night 4 hours after eating the Japanese food.  The food I ate at 4:00 am usually doesn't do anything like that for me.  I used another meter and test strip (Contour, not a next) and it read 108.  I did another reading with my meter and it read 117.  I then tried a new Contour next meter with my strips and it read 113.  
The only unusual things I did was being awake and active at 4:00 am and eating a small meal at that time as I was hungry - and also the food I ate out last night.  Otherwise I once tested my meter by reading twice in a row and the readings were 3 points apart, which seemed a reasonable tolerance if not ideal.
I would hope that commercial systems would be more accurate than the range of 107-127 because diabetics need better control.  Any ideas as to what is going on?</t>
        </is>
      </c>
      <c r="D634" t="n">
        <v>0</v>
      </c>
      <c r="E634" t="n">
        <v>6</v>
      </c>
      <c r="F634">
        <f>HYPERLINK("https://www.reddit.com/r/diabetes/comments/2vzg44/inconsistent_readings_of_blood_glucose_between/")</f>
        <v/>
      </c>
      <c r="G634" t="inlineStr">
        <is>
          <t>2015-02-15 09:16:02</t>
        </is>
      </c>
      <c r="H634" t="inlineStr">
        <is>
          <t>Type 2</t>
        </is>
      </c>
    </row>
    <row r="635">
      <c r="A635" t="inlineStr">
        <is>
          <t>2w1pqe</t>
        </is>
      </c>
      <c r="B635" t="inlineStr">
        <is>
          <t>I have BED and yesterday I consumed a lot of sugar</t>
        </is>
      </c>
      <c r="C635" t="inlineStr">
        <is>
          <t>I'm type 2. I don't monitor my blood sugar because there was no need to anymore. Yesterday I had a bad binge on sugar. I ate a small box of Wonka's Nerds. I felt tingling on my fingers and toes. Today when I woke up my arm hurts. I drank a lot of water and my pee smelled fruity. 
I suffer from BED but I usually don't binge on such sugar filled candy so it's ok. Any advice?
Edit: I don't know if I'm imagining this but I feel like my glasses are always cloudy. Not sure if my glasses are weird or my eyes.</t>
        </is>
      </c>
      <c r="D635" t="n">
        <v>0</v>
      </c>
      <c r="E635" t="n">
        <v>2</v>
      </c>
      <c r="F635">
        <f>HYPERLINK("https://www.reddit.com/r/diabetes/comments/2w1pqe/i_have_bed_and_yesterday_i_consumed_a_lot_of_sugar/")</f>
        <v/>
      </c>
      <c r="G635" t="inlineStr">
        <is>
          <t>2015-02-15 21:12:00</t>
        </is>
      </c>
      <c r="H635" t="inlineStr">
        <is>
          <t>Type 2</t>
        </is>
      </c>
    </row>
    <row r="636">
      <c r="A636" t="inlineStr">
        <is>
          <t>2w2pnn</t>
        </is>
      </c>
      <c r="B636" t="inlineStr">
        <is>
          <t>T2 Diabetics on LCHF, share your BG levels?</t>
        </is>
      </c>
      <c r="C636" t="inlineStr">
        <is>
          <t>I've been on LCHF (keto) since my diagnosis two months back. Yesterdays BG levels were:
Morning fasting - 4.9 mmol/L, 88.2 mg/dL
One hour post prand lunch - 4.8 mmol/L, 86.4 mg/dL
Seven hour fast -  4.2 mmol/L, 75.6 mg/dL
One hour post prand supper - 4.7 mmol/L,  84.6 mg/DL
Fp
So far, so good. My goal is to keep off meds with diet and exercise. I'm wondering how fellow T2 LCHF people are doing.</t>
        </is>
      </c>
      <c r="D636" t="n">
        <v>4</v>
      </c>
      <c r="E636" t="n">
        <v>23</v>
      </c>
      <c r="F636">
        <f>HYPERLINK("https://www.reddit.com/r/diabetes/comments/2w2pnn/t2_diabetics_on_lchf_share_your_bg_levels/")</f>
        <v/>
      </c>
      <c r="G636" t="inlineStr">
        <is>
          <t>2015-02-16 05:48:54</t>
        </is>
      </c>
      <c r="H636" t="inlineStr">
        <is>
          <t>Type 2</t>
        </is>
      </c>
    </row>
    <row r="637">
      <c r="A637" t="inlineStr">
        <is>
          <t>2w2w8t</t>
        </is>
      </c>
      <c r="B637" t="inlineStr">
        <is>
          <t>Is this normal when injecting in the legs?</t>
        </is>
      </c>
      <c r="C637" t="inlineStr">
        <is>
          <t>I normally inject into my hip area but because of lumps now I inject into my legs, my legs are very sensitive and bruise easily so from the five days of injecting in both my legs they're pretty much yellow with bruises.
I inject roughly 6-7 inches from the knee in the fatty part of the thigh and I just did another shot of insulin with a pen, when I put the 5mm needle in I felt a sort of pressure or collapse or something and when I took it out some blood came out, it this normal? I've had blood come out from my legs before but not with the weird pressure feeling.
Did I just stick it in too fast or could I have messed up a vein?</t>
        </is>
      </c>
      <c r="D637" t="n">
        <v>1</v>
      </c>
      <c r="E637" t="n">
        <v>8</v>
      </c>
      <c r="F637">
        <f>HYPERLINK("https://www.reddit.com/r/diabetes/comments/2w2w8t/is_this_normal_when_injecting_in_the_legs/")</f>
        <v/>
      </c>
      <c r="G637" t="inlineStr">
        <is>
          <t>2015-02-16 06:58:21</t>
        </is>
      </c>
      <c r="H637" t="inlineStr">
        <is>
          <t>Type 1</t>
        </is>
      </c>
    </row>
    <row r="638">
      <c r="A638" t="inlineStr">
        <is>
          <t>2w2x0k</t>
        </is>
      </c>
      <c r="B638" t="inlineStr">
        <is>
          <t>What causes resistance when I inject myself with insulin?</t>
        </is>
      </c>
      <c r="C638" t="inlineStr">
        <is>
          <t>Sometimes I inject myself and I feel resistance when pushing down the plunger, plus pain. It happens often but it's infrequent, maybe 1 in 3 or 1 in 4 times. I don't "pinch" the skin I stick it into my gut.</t>
        </is>
      </c>
      <c r="D638" t="n">
        <v>2</v>
      </c>
      <c r="E638" t="n">
        <v>2</v>
      </c>
      <c r="F638">
        <f>HYPERLINK("https://www.reddit.com/r/diabetes/comments/2w2x0k/what_causes_resistance_when_i_inject_myself_with/")</f>
        <v/>
      </c>
      <c r="G638" t="inlineStr">
        <is>
          <t>2015-02-16 07:05:33</t>
        </is>
      </c>
      <c r="H638" t="inlineStr">
        <is>
          <t>Type 2</t>
        </is>
      </c>
    </row>
    <row r="639">
      <c r="A639" t="inlineStr">
        <is>
          <t>2w3wm8</t>
        </is>
      </c>
      <c r="B639" t="inlineStr">
        <is>
          <t>Review of my new pump, 530G with Enlite sensor from Medtronic</t>
        </is>
      </c>
      <c r="C639" t="inlineStr">
        <is>
          <t>Hi everyone,
A few people asked me to give a review of my pump and cgm after I had had it for a bit so I thought I would finally get around to doing it.
The new pump is the first in artificial pancreas technology. Yes, that's a bit of a marketing ploy but what it does is still very cool. I like how you can integrate the sensor to it to help you figure out how to prevent lows, prevent highs, and you can see your patterns.
The sensor itself is about the same size as the silhouette pump sites. So it's really not all that big. The tape that goes on it, however, is huge. It's a special type of tape that is heat sensitive so you don't have to worry about it coming off if you go swimming or shower or do something that requires lots of movement and sweating. It's very easy to put in as well and doesn't take that long. You definitely need to go through the training program though. Do not try to figure out how to put in the sensor by yourself. You will end up messing it up. 
I did end up taking off my sensor a few weeks ago and I haven't worn it since. The reason was because the tape was causing a reaction with my skin. I have contacted my medtronic rep about it (last week) and am waiting to hear back from her.
Things I like: I really love the new options that the pump has. I like that you can get predictive low/high alarms. It comes in handy especially when you're exercising or sleeping. It nice that it can turn off for two hours by itself and restart after. I like that it also doesn't hurt to put in the sensor. The popper kind of makes a loud noise that might scare you a bit but it doesn't actually hurt going in.
Things I dislike: I don't like that you basically are wearing 2 pump sites, that's what it feels like to me anyway. But I could deal with that if the sensor didn't have to cover such a huge area with the tape. The tape itself isn't that gigantic but you have to use 2 of them for each sensor and they're stuck right next to each other, making it about the size of the tape from the pump sites that I had to use way way back in the day. 
I also dislike that you have to calibrate 3-4 times a day. You calibrate with checking your sugar. But the thing is, you have to do it a lot and if your sugar is high or low you can't use that number to calibrate because it can throw it off (unless that's been about your average number for the day). I check my sugar already about 4-6 times a day but it's a bit of a pain in the ass if you happen to have a slightly high sugar (like 150) because the sensor doesn't like that and then you have to play the waiting game and recheck once it's lower. Also, I had a lot of issues with my CGM sensor matching what my sugar actually was. It shouldn't vary more than 10 or so points according to my rep but mine sometimes varied as much as 150 points. 
It does take time for your sensor to acclimate so there will be some major variations between your blood sugar and your sensor number for up to 24 hours. The problem with mine was that even days after I had had it in there was still a lot of variations between the two. There were few days when they actually seemed to be synced with each other. But again, this could be an issue with my sensor and not all of Medtronic's CGMs. 
Overall, I would recommend the new 530G with the enlite sensor. Just take your time with it and really get to know the pump and the cgm. It's very very cool how they work together but it does take time to learn it all. 
If you have any questions, please let me know! :)</t>
        </is>
      </c>
      <c r="D639" t="n">
        <v>10</v>
      </c>
      <c r="E639" t="n">
        <v>9</v>
      </c>
      <c r="F639">
        <f>HYPERLINK("https://www.reddit.com/r/diabetes/comments/2w3wm8/review_of_my_new_pump_530g_with_enlite_sensor/")</f>
        <v/>
      </c>
      <c r="G639" t="inlineStr">
        <is>
          <t>2015-02-16 11:44:01</t>
        </is>
      </c>
      <c r="H639" t="inlineStr">
        <is>
          <t>Type 1</t>
        </is>
      </c>
    </row>
    <row r="640">
      <c r="A640" t="inlineStr">
        <is>
          <t>2w4bw0</t>
        </is>
      </c>
      <c r="B640" t="inlineStr">
        <is>
          <t>Dexcom G4 and Dental X-Rays</t>
        </is>
      </c>
      <c r="C640" t="inlineStr">
        <is>
          <t>I am getting dental x-rays this Friday for the first time since getting my G4. What do you guys do when going in? I know I need to take my pump off, but that's simple enough and I can just put it in a container in the next room. The G4 seems a bit trickier - what do you guys do? Would rather not have to remove my entire sensor and transmitter and then have to insert a new one.</t>
        </is>
      </c>
      <c r="D640" t="n">
        <v>2</v>
      </c>
      <c r="E640" t="n">
        <v>5</v>
      </c>
      <c r="F640">
        <f>HYPERLINK("https://www.reddit.com/r/diabetes/comments/2w4bw0/dexcom_g4_and_dental_xrays/")</f>
        <v/>
      </c>
      <c r="G640" t="inlineStr">
        <is>
          <t>2015-02-16 13:37:13</t>
        </is>
      </c>
      <c r="H640" t="inlineStr">
        <is>
          <t>Type 1</t>
        </is>
      </c>
    </row>
    <row r="641">
      <c r="A641" t="inlineStr">
        <is>
          <t>2w5brt</t>
        </is>
      </c>
      <c r="B641" t="inlineStr">
        <is>
          <t>I'm going to cure my T2 diabetes (part 2)</t>
        </is>
      </c>
      <c r="C641" t="inlineStr">
        <is>
          <t>You can find the original post here: http://www.reddit.com/r/diabetes/comments/2uk6xu/im_going_to_cure_my_t2_diabetes_no_fatties/
Long story short, going on a very low calorie diet (VLCD) to get my pancreas and liver back to normal functioning levels i.e. not spiking when consuming the same carbs as the rest of the non-diabetic population. Follow along if you like, but read the first post before you comment.
**February 17, 2015:** morning BG @ 86, weight still at 220. I ranted in the previous post about the "diabetic nurse" I met with so i won't do that here. Did another 30 minutes of exercise yesterday, a little stronger than I have previously, and it felt good. Dry skin is becoming a problem, so I invested in some basic hand lotion in addition to Chapstick and it's already doing wonders. My weight has hovered (not gonna say plateaued) for several days, and I'm wondering if it's because I "cheated" on Valentine's day and drank a Diet Mountain Dew . . . Not willing to vilify aspartame that much right now, but still gonna continue to stear away from the stuff for a while. Also bought an Omega-3 &amp;amp; 6 fatty acid supplement (expensive) to keep my body rolling. Morning BGmight be in a good place because of yesterday's exercise, or might just be because I had to wake up so damn early today :). Energy levels good, it helps my mood to put the lotion on it's skin.
**February 18, 2015:** morning BG @104 (boo), weight at 219 (yeah!). Biked harder than usual last night and broke a moderate sweat. Lotion is doing amazing things for the dry skin on my hands, they look and feel normal again. Was halfway through my upper body workout when the phone rang, so I missed some reps, but it still feels good to throw some light weights around. Breaking 220 did wonders for my morning mood, I think this weight was roughly the point where I fell of of Atkins years and years ago. Face looks thinner, but I've lost at least a couple inches off of my waist - my normal suits don't fit so good anymore, so tonight we're having a "fashion show" to break out my old suits to find some that fit better :) I'm on my last belt loop. Still have a lot of belly fat, and I think that's gonna stubbornly stick around to the bitter end . . .
**February 19, 2015:** morning BG @ 98, weight at 219. Three weeks! As of today, I'm comfortable saying my BMI has gone from "obese" to officially "overweight!" People are commenting on my weight loss, which is flattering (I tell them it was a New Years resolution and don't mention diabetes). 
**February 20, 2015:** morning BG @ 94, weight at 217. Another stressful couple of days, but the stress didn't seem to affect BG to any measurable degree. Stopping by clinic this morning for blood work, we'll see what my body is up to by early next week.
**February 21, 2015:** morning BG @ 87, weight at 216.5. Blood tests came back great - normal kidney function, electrolytes good (a touch higher than last time, so I'm not gonna bother with potassium supplement anymore, I'm clearly getting enough for now). Fasting BG on the blood test was 102, so slightly higher than the normal range of 70-100. Thyroid function was also good. Just waiting for the c-Peptide and antibody results (the clinic must have had to ship that vial out to another lab). I'll get cholesterol checked at my next lab in about three weeks, and hopefull y my HDL will have increased and LDL decreased . . . But we'll see. I'm wearing clothes I haven't fit in for almost a decade (also proof that I am a pack rat :) and energy levels are good. Did my biking last night (it's getting easier) and pushed myself a little harder of chest/shoulder/back weightlifting, although I still barely broke a sweat. Today is going to be an "off day" for exercise, hopefully. It's already hard not to want to go biking, so habits are forming! If I manage to not exercise, i won't drink a 150 calorie/26g whey protein shake today. My mind is telling me that this is enough weight to lose, even with the still-visible belly fat, so I have to stay motivated and dedicated. Goal is still 185, a weight i haven't seen since high school (if then) before transitioning to a sustainable diet. 
**February 22, 2015:** morning BG @ 94, weight at 215.5. Didn't bike yesterday, or lift weights, only "exercise" was working around the house vacuuming and cleaning. Making another huge batch of carrot and bell pepper soup today, and this time I'm not skimping on the olive oil :) bought an electric tea kettle yesterday and wow . . . Making tea just got a lot easier. Not as big of a deal on weekends, but setting the timer and having tea waiting for me when I wake up will make my morning routine smoother! Slowly cutting back on cigarettes as well. Nothing substantial, but preparing my body for cold turkey day down the road (with the help of phone support and likely gum as well). My chronic back pain has subsided over the past couple days, almost without me even noticing, which is a nice side benefit of not slugging around all,that extra weight. Starting to get super excited about what I'll look like/feel like with a normal BMI. Getting lots of extra support from the folks at diabetes.co.uk forums, which also helps, as there are lots of success stories posted over there.
**February 23, 2015:** morning BG @ 103, weight at 215.5. Exercised a bit harder last night, broke a real sweat biking (nothing major) and then did biceps/triceps/abs with free weights. Also made another monster batch of carrot and bell pepper soup, and got the heat exactly how I like it! Closing in on four weeks, so get ready for some graph porn showing how other people's bodies reacted to this diet. One downside is no bowel movement in like four days, so hoping that will change soon . . . I had one day (Saturday) where my water intake wasn't as good as it should have been, which might be affecting me. One upside is that my tea was waiting for me when I got out of the shower . . . I love you, Iron Goddess of Mercy :)
**February 24, 2015:** morning BG @ 95, weight at 215. The weight loss is slowing down a bit, but "slow" is a relative term. Exercised vigorously last night, 25 minutes on interval training on the bike and then chest/shoulders/back. Broke a sweat, nothing major. Wearing a suit today that I haven't worn in 8 years!
**February 25, 2015:** morning BG @ 108, weight at 215. I "cheated" (in a manner of speaking) last night, for the first time in almost four weeks. I had a business meeting at a pub, after a very stressful day at irk, and was questioning my willpower the whole way there. Not the healthiest choices, but here's what I did: I skipped my third Slim Fast and my evening soup. At the pub, I ate four "naked" chicken wings, a couple nachos, a couple slices of pita bread with a couple of dollops of spinach/artichoke dip, and a small cup of their own tomato soup. First off - holy crap, it tasted delicious. Second, I think I kept my total calories below 1000. Third, my BG two hours later was 85 :) nutrition wise, yesterday was a bust, but I biked moderately hard for 30 minutes afterwards as well (after testing BG) and this morning doesn't feel any different than any other morning, so I'm still maintaining the Newcastle diet (but won't be doing that again for a while). My morning BG was higher than it's been for a while, signs my body is still pretty darn diabetic in my mind. All in all, an interesting experience, and in the end, one that reminded me that the end is in sight (halfway there today!) and promises of things to come.
**February 26, 2015:** morning BG @97, weight at 215. Continually and slowly increasing the rate at which I bike, and pushed myself a little harder on biceps/triceps/abs last night. Not even coming close to how hard I "could" push myself, not on these calories, but my cardio endurance has noticeably improved from when I started (that could be the weight too). Didn't have soup for the second night in a row, and instead had stir fry, for two reasons: 1. A little more fiber from non-puréed vegetables, and 2. Three weeks on carrot soup were staining my teeth a brownish yellow :P Years of smoking had already discolored my teeth to some degree, but this was noticeable, and so now I'm gonna alternate days with soup and brush my teeth within an hour of eating it (it's the last meal of the day). Also chewing a bit more gum, just because this is such a liquid diet and I want to keep my teeth active. Finally, got my antibody test results, which matched the C-peptide results in that it's clear I don't have Type 1 or Type 1.5 diabetes. So that was good news. The longer I do this, the more I hate myself for smoking, knowing that smoking can also cause insulin resistence. I'm gonna have to quit for at least three days prior to the OGTT, so hopefully I can use that as additional motivation to finally kick the habit for good.
**February 27, 2015:** morning BG @101, weight at 214. Too busy yesterday to bike (boo) and I had homemade carrot soup for dinner (with spinich leaves crushed in, as always). Using Crest Whitestrips in my teeth, and I've already reversed the carrot discoloration that was on my teeth after four days. Brushing my teeth shortly after eating again 'cause I don't want a big brown smile. I will be alternating soup with stir fry from here on out. Other than STILL being cold, and being tired at the end of a busy day, everything else is going smooth. I'd like to see my fasting BG's more consistently in the 80's, but that seems to be a long time coming. Might be genetics, might be smoking, not sure. But getting around the house/basic chores is already a hell of a lot easier without some of the extra weight. I need to go get a lot of my suits retailored this weekend; realizing I have more weight to lose, i don't think some of these suits can even BE tailored much smaller than I am now, so they'll have to bring them in as far as they can and leave it at that. I hope they never fit again!
**February 28, 2015:** morning BG @ 93, weight at 213. Hardest bout of exercise yet last night - when I started, I was struggling to keep the bike at 60 rpms for 20 minutes. Now, I CAN'T go that slow, and am comfortably pushing up to 80 rpms and adding a minute here and there of increased resistance. Was tempted to try a third set of chest/shoulder/back/ab exercises, but don't want to do too much to my body on so few calories. Lots of errands to run today, including groceries (for me, that's just soup fixin's and more Slim Fast). It's getting noticeably harder to maintain this diet because I *feel* thinner (and I am!) even though I still have a very overweight BMI. But I am over halfway there, which feels great. My next big obstacle comes in two weeks, when I have an annual event to attend at a nearby country club. The appetizers and meal are delicious, and I'll be spending all day girding my willpower to resist breaking down. By then I hope to be around 200 pounds, 15 pounds from my goal weight, which will hopefully provide extra motivation and not counterproductively convince me that I've "earned a treat." That will be the hardest part going forward on a regular diet - too many treats will just make me fat again. Really hoping that the OGTT goes well . . .
Running out of room again, so I've created part 3: http://www.reddit.com/r/diabetes/comments/2xhc11/im_going_to_cure_my_type_2_diabetes_part_3/</t>
        </is>
      </c>
      <c r="D641" t="n">
        <v>0</v>
      </c>
      <c r="E641" t="n">
        <v>15</v>
      </c>
      <c r="F641">
        <f>HYPERLINK("https://www.reddit.com/r/diabetes/comments/2w5brt/im_going_to_cure_my_t2_diabetes_part_2/")</f>
        <v/>
      </c>
      <c r="G641" t="inlineStr">
        <is>
          <t>2015-02-16 18:17:36</t>
        </is>
      </c>
      <c r="H641" t="inlineStr">
        <is>
          <t>Type 2</t>
        </is>
      </c>
    </row>
    <row r="642">
      <c r="A642" t="inlineStr">
        <is>
          <t>2w8ned</t>
        </is>
      </c>
      <c r="B642" t="inlineStr">
        <is>
          <t>Just diagnosed with Type II and will likely need a glucose monitor. Advice?</t>
        </is>
      </c>
      <c r="C642" t="inlineStr">
        <is>
          <t>I think I've narrowed it down to two different meters. The Freestyle Precision Neo and the Verio IQ by OneTouch. Any Canadians out there have any experience with these units and if so, what are your thoughts?</t>
        </is>
      </c>
      <c r="D642" t="n">
        <v>1</v>
      </c>
      <c r="E642" t="n">
        <v>7</v>
      </c>
      <c r="F642">
        <f>HYPERLINK("https://www.reddit.com/r/diabetes/comments/2w8ned/just_diagnosed_with_type_ii_and_will_likely_need/")</f>
        <v/>
      </c>
      <c r="G642" t="inlineStr">
        <is>
          <t>2015-02-17 13:51:59</t>
        </is>
      </c>
      <c r="H642" t="inlineStr">
        <is>
          <t>Type 2</t>
        </is>
      </c>
    </row>
    <row r="643">
      <c r="A643" t="inlineStr">
        <is>
          <t>2w8prn</t>
        </is>
      </c>
      <c r="B643" t="inlineStr">
        <is>
          <t>Type 1, 1991, Pump/CGM</t>
        </is>
      </c>
      <c r="C643" t="inlineStr">
        <is>
          <t xml:space="preserve">Hi!  I'm new to Reddit, and have no idea if I'm doing any of this right.  I wrote a story about my diagnosis.  While it was very cathartic to put it all on paper, it wound up being more for the people in my life who helped me through it.  I'd love to share it here, and see what you guys think.  Is this the place to do that?  </t>
        </is>
      </c>
      <c r="D643" t="n">
        <v>4</v>
      </c>
      <c r="E643" t="n">
        <v>11</v>
      </c>
      <c r="F643">
        <f>HYPERLINK("https://www.reddit.com/r/diabetes/comments/2w8prn/type_1_1991_pumpcgm/")</f>
        <v/>
      </c>
      <c r="G643" t="inlineStr">
        <is>
          <t>2015-02-17 14:08:48</t>
        </is>
      </c>
      <c r="H643" t="inlineStr">
        <is>
          <t>Type 1</t>
        </is>
      </c>
    </row>
    <row r="644">
      <c r="A644" t="inlineStr">
        <is>
          <t>2w9upl</t>
        </is>
      </c>
      <c r="B644" t="inlineStr">
        <is>
          <t>Taken off JanumetXR Today</t>
        </is>
      </c>
      <c r="C644" t="inlineStr">
        <is>
          <t xml:space="preserve">Been having this rash persist on both arms, spreading to my back and shoulders for the last month. Went to the ER about 2 weeks ago, put on steroids, and things started to get better. As soon as I finished the steroids, it started coming back, even worse this time. 
Went to my PCP today, and took an article  found on the NIH website (http://www.ncbi.nlm.nih.gov/pmc/articles/PMC3508117/) and Dr. told me he had just read the same article and if he was a betting man he would say I am allergic to the sitagliptin. 
So more steroids (shot and prednisone), and a benadryl shot, and I'm home trying to figure out what's next. Still taking the Metformin 2000MG a day and glimipiride, but I don't know if that's going to do it. Sugars are running really high for the first time in weeks partly because of the steroids, but also partly because of the lack of sitagliptin. 
I guess once I'm off the steroids, I can see how it's going blood sugar wise, then make my next move. I've been 80-105 on the Janumet pretty much always, no matter what I eat, unless I seriously cheat. And I mean 100+ carb meal that's also high glycemic. 
I'm thinking this might be an excellent time to try for Afrezza since I've been wanting to anyway. At least now I have an excuse to use it should my sugars not do well without the Janumnet. 
</t>
        </is>
      </c>
      <c r="D644" t="n">
        <v>3</v>
      </c>
      <c r="E644" t="n">
        <v>10</v>
      </c>
      <c r="F644">
        <f>HYPERLINK("https://www.reddit.com/r/diabetes/comments/2w9upl/taken_off_janumetxr_today/")</f>
        <v/>
      </c>
      <c r="G644" t="inlineStr">
        <is>
          <t>2015-02-17 19:36:14</t>
        </is>
      </c>
      <c r="H644" t="inlineStr">
        <is>
          <t>Type 2</t>
        </is>
      </c>
    </row>
    <row r="645">
      <c r="A645" t="inlineStr">
        <is>
          <t>2wa83l</t>
        </is>
      </c>
      <c r="B645" t="inlineStr">
        <is>
          <t>DKA with normal bg levels? Please explain?!</t>
        </is>
      </c>
      <c r="C645" t="inlineStr">
        <is>
          <t xml:space="preserve">Hey guys,
I've been a t1 for 8 years and on a pump for 3. I just got out of the hospital after a 3 day stint where I was told I was having DKA episode. I went in with extreme back pain and some nausea. 
My BG levels the day I went in were in the 130s and when they tested by BG when I got to the ER, it was 202. 
The doctor briefly explained why this happened (something with a GI infection?) but I have trouble understanding what went on. Can someone help me out and explain why I had DKA with relatively normal blood sugar levels? 
I also eat low carb and exercise, so this whole event has me pretty worried about my health in general.
Thanks!
</t>
        </is>
      </c>
      <c r="D645" t="n">
        <v>1</v>
      </c>
      <c r="E645" t="n">
        <v>16</v>
      </c>
      <c r="F645">
        <f>HYPERLINK("https://www.reddit.com/r/diabetes/comments/2wa83l/dka_with_normal_bg_levels_please_explain/")</f>
        <v/>
      </c>
      <c r="G645" t="inlineStr">
        <is>
          <t>2015-02-17 21:40:00</t>
        </is>
      </c>
      <c r="H645" t="inlineStr">
        <is>
          <t>Type 1</t>
        </is>
      </c>
    </row>
    <row r="646">
      <c r="A646" t="inlineStr">
        <is>
          <t>2waobj</t>
        </is>
      </c>
      <c r="B646" t="inlineStr">
        <is>
          <t>Type 1 DM and fasting, evidence its a bad idea?</t>
        </is>
      </c>
      <c r="C646" t="inlineStr">
        <is>
          <t>I have been promoting the idea that t1 dm people can fast safely. I have only encountered passionate opposition. Where is the evidence its bad for you? you all tell me im going to die and give me dooms day scenarios, yet i actually feel far better from doing fasting. convince me to stop with some facts, and science please! i love data, ill take anecdote too.</t>
        </is>
      </c>
      <c r="D646" t="n">
        <v>5</v>
      </c>
      <c r="E646" t="n">
        <v>18</v>
      </c>
      <c r="F646">
        <f>HYPERLINK("https://www.reddit.com/r/diabetes/comments/2waobj/type_1_dm_and_fasting_evidence_its_a_bad_idea/")</f>
        <v/>
      </c>
      <c r="G646" t="inlineStr">
        <is>
          <t>2015-02-18 01:18:29</t>
        </is>
      </c>
      <c r="H646" t="inlineStr">
        <is>
          <t>Type 1</t>
        </is>
      </c>
    </row>
    <row r="647">
      <c r="A647" t="inlineStr">
        <is>
          <t>2wax7a</t>
        </is>
      </c>
      <c r="B647" t="inlineStr">
        <is>
          <t>T1 / On the day preparation for a sports competition</t>
        </is>
      </c>
      <c r="C647" t="inlineStr">
        <is>
          <t>Excited to have found the reddit diabetes forum and now making my first post.
I am T1 since feb 2013 and currently on 9 (day) / 25 (night) Levimir and &amp;lt;0.5µ / 10g carbs of Novolog and have good control, 5-8 mmol/L at almost any time. 
Over the past 4 months I have taken up rowing and have now reached a stage were I am able to compete in races. The races are typically ~10 minutes long, which means that they are pretty much all out, where you give all you have. 
I have a race coming up this Friday and I am not quite sure how to adjust my insulin accordingly. I don't care so much about getting high/low after as this is something I can live with for the rest of the day, but what I care about is performing as best as I can. 
I am therefore asking a general question about what do you guys do before you have to do something like a 10 minute sprint? Take QA to increase the sugar going into muscles and eat excessive carbs to not go low?</t>
        </is>
      </c>
      <c r="D647" t="n">
        <v>1</v>
      </c>
      <c r="E647" t="n">
        <v>5</v>
      </c>
      <c r="F647">
        <f>HYPERLINK("https://www.reddit.com/r/diabetes/comments/2wax7a/t1_on_the_day_preparation_for_a_sports_competition/")</f>
        <v/>
      </c>
      <c r="G647" t="inlineStr">
        <is>
          <t>2015-02-18 03:44:44</t>
        </is>
      </c>
      <c r="H647" t="inlineStr">
        <is>
          <t>Type 1</t>
        </is>
      </c>
    </row>
    <row r="648">
      <c r="A648" t="inlineStr">
        <is>
          <t>2wblhn</t>
        </is>
      </c>
      <c r="B648" t="inlineStr">
        <is>
          <t>Diagnosis Story</t>
        </is>
      </c>
      <c r="C648" t="inlineStr">
        <is>
          <t>Hi everyone!  I asked around a bit yesterday if it would be ok to post a link to the story of my diagnosis here, and I think people were generally fine with it.  :)  So, here it is.  The link will take you to my blog, and the whole story is posted there in seven parts.  The story started off being more for me, but wound up being more for the people in my life who stuck by me.  I'm so happy to get to share it with you! 
https://classicalsass.wordpress.com/2015/02/03/how-to-clean-a-permanent-stain-part-1/
[](https://classicalsass.wordpress.com/2015/02/03/how-to-clean-a-permanent-stain-part-1/)</t>
        </is>
      </c>
      <c r="D648" t="n">
        <v>0</v>
      </c>
      <c r="E648" t="n">
        <v>1</v>
      </c>
      <c r="F648">
        <f>HYPERLINK("https://www.reddit.com/r/diabetes/comments/2wblhn/diagnosis_story/")</f>
        <v/>
      </c>
      <c r="G648" t="inlineStr">
        <is>
          <t>2015-02-18 08:03:24</t>
        </is>
      </c>
      <c r="H648" t="inlineStr">
        <is>
          <t>Type 1</t>
        </is>
      </c>
    </row>
    <row r="649">
      <c r="A649" t="inlineStr">
        <is>
          <t>2wdbxw</t>
        </is>
      </c>
      <c r="B649" t="inlineStr">
        <is>
          <t>Blood Glucose levels - Average to tolerable numbers for a type one</t>
        </is>
      </c>
      <c r="C649" t="inlineStr">
        <is>
          <t>What are target numbers for type 1's, i use 70/30 Novolin for the time being, my numbers average around 180-240.</t>
        </is>
      </c>
      <c r="D649" t="n">
        <v>5</v>
      </c>
      <c r="E649" t="n">
        <v>17</v>
      </c>
      <c r="F649">
        <f>HYPERLINK("https://www.reddit.com/r/diabetes/comments/2wdbxw/blood_glucose_levels_average_to_tolerable_numbers/")</f>
        <v/>
      </c>
      <c r="G649" t="inlineStr">
        <is>
          <t>2015-02-18 15:39:20</t>
        </is>
      </c>
      <c r="H649" t="inlineStr">
        <is>
          <t>Type 1</t>
        </is>
      </c>
    </row>
    <row r="650">
      <c r="A650" t="inlineStr">
        <is>
          <t>2wi8d5</t>
        </is>
      </c>
      <c r="B650" t="inlineStr">
        <is>
          <t>Diet advice?</t>
        </is>
      </c>
      <c r="C650" t="inlineStr">
        <is>
          <t xml:space="preserve">I'm diabetic and take 1000mg of metformin 2 times a day and 5 units of Lantus before bed. I really want to get my sugars under control but have no idea about diet since exercise is not an option due to injury. Any feedback would be great. 
</t>
        </is>
      </c>
      <c r="D650" t="n">
        <v>2</v>
      </c>
      <c r="E650" t="n">
        <v>7</v>
      </c>
      <c r="F650">
        <f>HYPERLINK("https://www.reddit.com/r/diabetes/comments/2wi8d5/diet_advice/")</f>
        <v/>
      </c>
      <c r="G650" t="inlineStr">
        <is>
          <t>2015-02-19 18:51:54</t>
        </is>
      </c>
      <c r="H650" t="inlineStr">
        <is>
          <t>Type 2</t>
        </is>
      </c>
    </row>
    <row r="651">
      <c r="A651" t="inlineStr">
        <is>
          <t>2wkqgi</t>
        </is>
      </c>
      <c r="B651" t="inlineStr">
        <is>
          <t>Splitting the Lantus dose: any tips for that first night?</t>
        </is>
      </c>
      <c r="C651" t="inlineStr">
        <is>
          <t>I saw an endo for the first time in over 20 years this week.  I was really dreading it but it went amazingly well.  I am going to take a pulmonary test and if those results are good get on Afrezza! Another new thing the doc suggested I try was splitting my Lantus dose into two.  I asked "so that first night - it is going to be pretty messed up?" and he replied "yeah it will probably be a rough day, just plan for it."
I normally take 20 units at bedtime - so the first night I will take 10 and wake up.....extremely high? Do you think I should wake up and try to take some novolog to smooth the transition? It is hard to know how much I should take when I am running at half-basal.  Should I just say "ah, tomorrow is gonna suck" and just deal with it in the morning?
How did the transition go for you guys who split your Lantus?
At the end of the visit my jaw about hit the floor when I learned that my A1c was down to 5.7 from 6.4 in September. Doc gave me a stern lecture about hypos, but it is great to see that all the effort I have put into exercise and diet is reflected in the number! This forum has really helped me improve my game, thanks people!</t>
        </is>
      </c>
      <c r="D651" t="n">
        <v>5</v>
      </c>
      <c r="E651" t="n">
        <v>6</v>
      </c>
      <c r="F651">
        <f>HYPERLINK("https://www.reddit.com/r/diabetes/comments/2wkqgi/splitting_the_lantus_dose_any_tips_for_that_first/")</f>
        <v/>
      </c>
      <c r="G651" t="inlineStr">
        <is>
          <t>2015-02-20 10:58:29</t>
        </is>
      </c>
      <c r="H651" t="inlineStr">
        <is>
          <t>Type 1</t>
        </is>
      </c>
    </row>
    <row r="652">
      <c r="A652" t="inlineStr">
        <is>
          <t>2wop2l</t>
        </is>
      </c>
      <c r="B652" t="inlineStr">
        <is>
          <t>I'm looking for an App for my phone, which one do you use?</t>
        </is>
      </c>
      <c r="C652" t="inlineStr">
        <is>
          <t>I have downloaded 6 apps so far and none of them fill my needs. Has anyone found any great phone apps I should try out?</t>
        </is>
      </c>
      <c r="D652" t="n">
        <v>5</v>
      </c>
      <c r="E652" t="n">
        <v>22</v>
      </c>
      <c r="F652">
        <f>HYPERLINK("https://www.reddit.com/r/diabetes/comments/2wop2l/im_looking_for_an_app_for_my_phone_which_one_do/")</f>
        <v/>
      </c>
      <c r="G652" t="inlineStr">
        <is>
          <t>2015-02-21 12:00:49</t>
        </is>
      </c>
      <c r="H652" t="inlineStr">
        <is>
          <t>Type 1</t>
        </is>
      </c>
    </row>
    <row r="653">
      <c r="A653" t="inlineStr">
        <is>
          <t>2wpna0</t>
        </is>
      </c>
      <c r="B653" t="inlineStr">
        <is>
          <t>T1D Ryan Reed wins NASCAR Xfinity race at Daytona</t>
        </is>
      </c>
      <c r="C653" t="inlineStr">
        <is>
          <t xml:space="preserve">.. First thing he mentioned in his post-race interview was that he had Type 1 and how he didn't let it slow him down .. It was awesome.
http://www.usatoday.com/story/sports/nascar/2015/02/21/ryan-reed-wins-xfinity-series-race-daytona/23804539/
</t>
        </is>
      </c>
      <c r="D653" t="n">
        <v>15</v>
      </c>
      <c r="E653" t="n">
        <v>7</v>
      </c>
      <c r="F653">
        <f>HYPERLINK("https://www.reddit.com/r/diabetes/comments/2wpna0/t1d_ryan_reed_wins_nascar_xfinity_race_at_daytona/")</f>
        <v/>
      </c>
      <c r="G653" t="inlineStr">
        <is>
          <t>2015-02-21 16:37:19</t>
        </is>
      </c>
      <c r="H653" t="inlineStr">
        <is>
          <t>Type 1</t>
        </is>
      </c>
    </row>
    <row r="654">
      <c r="A654" t="inlineStr">
        <is>
          <t>2wusz5</t>
        </is>
      </c>
      <c r="B654" t="inlineStr">
        <is>
          <t>Night sweats… I am so confused</t>
        </is>
      </c>
      <c r="C654" t="inlineStr">
        <is>
          <t>Hi all. I was diagnosed with type 2 in the summer of 2014, with an A1C of 12.1. I went on meds, started working out and eating well, and my last A1C was 6.5. I still have a lot of weight to lose and work to do, but my blood sugar is fairly well controlled during the day. I test regularly during the day and my blood sugar is usually between 100-130s (the latter after eating). My aim is to get it down a lot further, of course, but I am working on it.
What is really confusing me is night sweats. In September, I moved to Texas, and started experiencing crazy night sweats where I wake up completely drenched and my sheets soaked. When I test, my blood sugar is usually between 100-110. I have air conditioning in my house, so it's always cool. I've changed my sheets to dri-tec sheets, changed what I sleep in, etc… no luck.
The weirdest thing is I don't get night sweats when I sleep anywhere else. This Christmas I travelled to 4 different countries - no night sweats anywhere. If I visit my parents in NY, no night sweats. Went to Florida and Michigan, no night sweats. 
So I don't know that it is blood sugar related. The only thing that makes me think it might be is that if I go to bed with high blood sugar, like 150 or so, as I have a few times after eating a big meal, I don't sweat. A few times, I've exercised right before bed (usually cardio) and not had night sweats. When I eat a substantial snack before bed (e.g. 4 oz chocolate soy milk, half a piece of multi-grain toast and a tablespoon of peanut butter) I sweat significantly less. But the impact of the before-bed eating only seems to matter in Texas. At times when I've been away and not even tested, or eaten badly, it doesn't matter, I've slept comfortably and dry.
What on earth is going on? Any clues as to how I could figure this out?</t>
        </is>
      </c>
      <c r="D654" t="n">
        <v>2</v>
      </c>
      <c r="E654" t="n">
        <v>9</v>
      </c>
      <c r="F654">
        <f>HYPERLINK("https://www.reddit.com/r/diabetes/comments/2wusz5/night_sweats_i_am_so_confused/")</f>
        <v/>
      </c>
      <c r="G654" t="inlineStr">
        <is>
          <t>2015-02-23 01:00:58</t>
        </is>
      </c>
      <c r="H654" t="inlineStr">
        <is>
          <t>Type 2</t>
        </is>
      </c>
    </row>
    <row r="655">
      <c r="A655" t="inlineStr">
        <is>
          <t>2wwbp0</t>
        </is>
      </c>
      <c r="B655" t="inlineStr">
        <is>
          <t>Possible diabetic and question on diet</t>
        </is>
      </c>
      <c r="C655" t="inlineStr">
        <is>
          <t xml:space="preserve">Had blood work done for employer health care and it came back with a reading of 214/13.3 which is ridiculously high so I made an appointment for tomorrow to get checked out. My main question is, I was just about to start a bulk program with my workout program because I am 6'6 and 160lbs and ridiculously skinny. I disappear if I turn sideways, it is ridiculous. I already know that if I do have diabetes that the dietitian will probably tell me the textbook answer of not having a huge calorie surplus which is what I need. Have any of you guys had success with diabetes while also working out and putting on weight? Not gaining weight isn't even an option, I hate being skinny and need to put on weight. 
**Update 2** So went to my endo this morning and he's pretty sure it is type 1. Actually did a reading right then (don't know what it was but nurse said it was high) and he came in and gave me some emergency insulin so I guess it was too high. He gave me Lantus and Novolog (spelling?) along with a meter. I am scheduled to meet with the dietitian tomorrow morning to go over everything. My first prescription was north of $400 for a 30 day supply or meds and I have a $1500 deductible before insurance starts paying for everything. Wanted to thank you guys who gave me a little insight on what to expect but overall it has been a complete shock and will be a learning process. Thanks!
**Update** So I got back from the Dr and due to my a1c being so high 13.3 he pretty much confirms I have diabetes. He took more blood and a urine test just to confirm and also scheduled me with an endo next week. I guess I won't know more until I talk to the endo next week. You guys have been tremendously helpful in this sudden life style change. Honestly this change to a healthy diet and exercise should have happen a long time ago and it sucks I have diabetes but at least I found out before it was too late.
</t>
        </is>
      </c>
      <c r="D655" t="n">
        <v>8</v>
      </c>
      <c r="E655" t="n">
        <v>34</v>
      </c>
      <c r="F655">
        <f>HYPERLINK("https://www.reddit.com/r/diabetes/comments/2wwbp0/possible_diabetic_and_question_on_diet/")</f>
        <v/>
      </c>
      <c r="G655" t="inlineStr">
        <is>
          <t>2015-02-23 10:51:47</t>
        </is>
      </c>
      <c r="H655" t="inlineStr">
        <is>
          <t>Type 1</t>
        </is>
      </c>
    </row>
    <row r="656">
      <c r="A656" t="inlineStr">
        <is>
          <t>2wzw60</t>
        </is>
      </c>
      <c r="B656" t="inlineStr">
        <is>
          <t>Thank you r/diabetes. A1C dropped almost 4.5%!</t>
        </is>
      </c>
      <c r="C656" t="inlineStr">
        <is>
          <t>I was diagnosed in November 2014 after the typical symptoms (extreme thirst, excessive urination, blurry vision, exhaustion). I noticed I was drinking nearly 8 litres of water per 24 hour period. I was concerned about dilution of electrolytes and basically, drowning myself. I hadn't even given diabetes a thought. I made an appointment with my GP.
I saw my GP and after a lot of blood work, my A1C was 11.8%, fasting BGs where 14 mmol/L (~252mg/dl). I was not allowed to do the GTT, as the hospital's policy is to not administer glucose if current BG tests higher than 9 mmol/l (~162 mg/dl).
Being overweight (225 lbs at 5'8") at 34 years old, I was initially diagnosed as Type 2 and put on oral medication. I was on 1000mg Metformin BID, 100mg Januvia (sitagliptin), both of which did not help. My GP prescribed NPH for a basal dosage (32u in am and 20u in pm). I was also put on blood pressure and cholesterol meds, as both were running high.
The NPH did help a bit during the day, but my fasting BGs were still reaching 22 mmol/l (~396 mg/dl) some mornings, or after working a midnight shift. I decreased my carb intake to about 30 carbs per meal.
Once my GAD test came back, my doctor re-diagnosed me as Type 1. I was put on Lantus and Humalog. This occurred over the course of several days.
With diet, exercise, access to a good endo, and proper insulin dosages; things I attribute to reading this subreddit constantly, my first A1C since diagnosis came back at 7.4%!
This isn't to say my A1C won't go up and down, but I feel as though my having taken control of the situation (and being a control freak), I hope to maintain this trend.
I just wanted to say thanks to everyone. Even though I just lurked around, there were a lot of great pieces of advice in here - most of which I wasn't getting from my GP (I did eventually get into the local diabetes clinic).
Thank you r/diabetes!</t>
        </is>
      </c>
      <c r="D656" t="n">
        <v>33</v>
      </c>
      <c r="E656" t="n">
        <v>11</v>
      </c>
      <c r="F656">
        <f>HYPERLINK("https://www.reddit.com/r/diabetes/comments/2wzw60/thank_you_rdiabetes_a1c_dropped_almost_45/")</f>
        <v/>
      </c>
      <c r="G656" t="inlineStr">
        <is>
          <t>2015-02-24 07:29:59</t>
        </is>
      </c>
      <c r="H656" t="inlineStr">
        <is>
          <t>Type 1</t>
        </is>
      </c>
    </row>
    <row r="657">
      <c r="A657" t="inlineStr">
        <is>
          <t>2x0z3e</t>
        </is>
      </c>
      <c r="B657" t="inlineStr">
        <is>
          <t>Ran out of Novorapid, and am expected to go for dinner with my boss...can I skip it? (new type 1)</t>
        </is>
      </c>
      <c r="C657" t="inlineStr">
        <is>
          <t>Newly Type 1, and didn't realize the pen was nearly empty when I came to work today. I'm expected to go for dinner with my boss, and it's simply not practical for me to run home and get a refill.
I'm supposed to inject right before I eat...can I skip it? If so, what should I eat/avoid/etc?
EDIT:  Thanks, all....very much! I'll be more diligent in the future...rookie mistake, but in my defense, I was only diagnosed last week, so it's all new to me.
EDIT 2: So I had steak, asparagus, and water....worked out fine. Thanks again for your advice!
Thanks.</t>
        </is>
      </c>
      <c r="D657" t="n">
        <v>6</v>
      </c>
      <c r="E657" t="n">
        <v>16</v>
      </c>
      <c r="F657">
        <f>HYPERLINK("https://www.reddit.com/r/diabetes/comments/2x0z3e/ran_out_of_novorapid_and_am_expected_to_go_for/")</f>
        <v/>
      </c>
      <c r="G657" t="inlineStr">
        <is>
          <t>2015-02-24 12:16:24</t>
        </is>
      </c>
      <c r="H657" t="inlineStr">
        <is>
          <t>Type 1</t>
        </is>
      </c>
    </row>
    <row r="658">
      <c r="A658" t="inlineStr">
        <is>
          <t>2x2pxa</t>
        </is>
      </c>
      <c r="B658" t="inlineStr">
        <is>
          <t>Why is my boyfriend's insulin so expensive, and how can I emotionally support him?</t>
        </is>
      </c>
      <c r="C658" t="inlineStr">
        <is>
          <t>My boyfriend is still on his parent's insurance, but he has to pay about $700 for his novolog and lantus before he reaches his deductible.  Today the gravity of this hit him hard. We're reaching a point in our lives where we're considering marriage, and he's worried about how we as musicians will support ourselves once we're out of school, working our own jobs, and on our own insurance.  I didn't quite know how to be supportive in the face of such a heavy question, nor did I have enough knowledge of the US pharmaceutical industry (other than patent monopolies) to answer his question about why his medication is so expensive.
Does anyone know why insulin is so expensive in the US? Also, what kind of game plan should we have for when we start our lives? Should he consider a different brand of insulin, or different insurance, or a combination of both? Should we write letters to Congress about the unethically high prices of diabetes medication? And how do I be of emotional support?</t>
        </is>
      </c>
      <c r="D658" t="n">
        <v>6</v>
      </c>
      <c r="E658" t="n">
        <v>11</v>
      </c>
      <c r="F658">
        <f>HYPERLINK("https://www.reddit.com/r/diabetes/comments/2x2pxa/why_is_my_boyfriends_insulin_so_expensive_and_how/")</f>
        <v/>
      </c>
      <c r="G658" t="inlineStr">
        <is>
          <t>2015-02-24 20:04:24</t>
        </is>
      </c>
      <c r="H658" t="inlineStr">
        <is>
          <t>Type 1</t>
        </is>
      </c>
    </row>
    <row r="659">
      <c r="A659" t="inlineStr">
        <is>
          <t>2x49gc</t>
        </is>
      </c>
      <c r="B659" t="inlineStr">
        <is>
          <t>Severe calf muscle pain woke me in my sleep.</t>
        </is>
      </c>
      <c r="C659" t="inlineStr">
        <is>
          <t>Last night just before bed I was suffering from strange chest pains (Possibly unrelated?)  In the middle of the night I woke to the worst pain ever in my right calf muscle area.  I woke my GF from the noises I was making from how much it just hurt.  I feel back asleep very quickly though.  This morning I thought it was all a dream and when I got up I almost fell over.  It felt like some one had spent the night beating the back side of my calf muscle.  It's very sore, and very difficult to stand on.  Anyone out there got some advice?  
EDIT: Looks like it's a muscle cramp.  Thank you to everyone who took the time to read and reply, this helps me calm down a great deal. &amp;lt;3 you all.</t>
        </is>
      </c>
      <c r="D659" t="n">
        <v>3</v>
      </c>
      <c r="E659" t="n">
        <v>19</v>
      </c>
      <c r="F659">
        <f>HYPERLINK("https://www.reddit.com/r/diabetes/comments/2x49gc/severe_calf_muscle_pain_woke_me_in_my_sleep/")</f>
        <v/>
      </c>
      <c r="G659" t="inlineStr">
        <is>
          <t>2015-02-25 07:18:52</t>
        </is>
      </c>
      <c r="H659" t="inlineStr">
        <is>
          <t>Type 1</t>
        </is>
      </c>
    </row>
    <row r="660">
      <c r="A660" t="inlineStr">
        <is>
          <t>2x52pp</t>
        </is>
      </c>
      <c r="B660" t="inlineStr">
        <is>
          <t>Really weird question / Update on GAD and C-Peptide</t>
        </is>
      </c>
      <c r="C660" t="inlineStr">
        <is>
          <t>I got my results back for my A1c and GAD / C Peptide.
http://grab.by/F6SC &amp;lt;-- that is my GAD which is negative 
http://grab.by/F6SK &amp;lt;-- that is my c peptide 
I was originally diagnosed as a type 1.5, now the endo wants to categorize me into a type 2. I am in average build, i m not overweight or fat. i was diagnosed with a BG of 500 whilst being in DKA. 
I am on insulin 70/30 and i do not want to go off it, my numbers range from 200-300 post prandial. fasting is about 120-150, should i go for a second opinion?
definitely confused.</t>
        </is>
      </c>
      <c r="D660" t="n">
        <v>1</v>
      </c>
      <c r="E660" t="n">
        <v>10</v>
      </c>
      <c r="F660">
        <f>HYPERLINK("https://www.reddit.com/r/diabetes/comments/2x52pp/really_weird_question_update_on_gad_and_cpeptide/")</f>
        <v/>
      </c>
      <c r="G660" t="inlineStr">
        <is>
          <t>2015-02-25 10:55:44</t>
        </is>
      </c>
      <c r="H660" t="inlineStr">
        <is>
          <t>Type 1.5/LADA</t>
        </is>
      </c>
    </row>
    <row r="661">
      <c r="A661" t="inlineStr">
        <is>
          <t>2x736f</t>
        </is>
      </c>
      <c r="B661" t="inlineStr">
        <is>
          <t>Which fitness tracker has the most to offer for someone with T2 diabetes?</t>
        </is>
      </c>
      <c r="C661" t="inlineStr">
        <is>
          <t>Newly diagnosed and I am looking at various fitness trackers. Obviously, I am overweight and need to begin an excercise regiment. But I would like to know if anyone who has used one or more of these and which one (if any) has specific benefits or support for someone with diabetes.</t>
        </is>
      </c>
      <c r="D661" t="n">
        <v>2</v>
      </c>
      <c r="E661" t="n">
        <v>14</v>
      </c>
      <c r="F661">
        <f>HYPERLINK("https://www.reddit.com/r/diabetes/comments/2x736f/which_fitness_tracker_has_the_most_to_offer_for/")</f>
        <v/>
      </c>
      <c r="G661" t="inlineStr">
        <is>
          <t>2015-02-25 20:05:35</t>
        </is>
      </c>
      <c r="H661" t="inlineStr">
        <is>
          <t>Type 2</t>
        </is>
      </c>
    </row>
    <row r="662">
      <c r="A662" t="inlineStr">
        <is>
          <t>2x7a2h</t>
        </is>
      </c>
      <c r="B662" t="inlineStr">
        <is>
          <t>T1D Weekend for young adults with T1D! Only $70 - anyone here going?</t>
        </is>
      </c>
      <c r="C662" t="inlineStr">
        <is>
          <t>Hey!
I wanted to share this awesome conference I've gone to for the past few years. It's called the Students With Diabetes National Conference (being in school is definitely not required), it's for 18-30 year olds with type 1 diabetes AND their 18-30 year old friends/significant others/supporters. It's part social event, part employment event (with diabetes companies recruiting), part research symposium, and part opportunity to discuss age-relevant subjects that you don't get much time to talk about (things like insurance, sex, risky behaviors, body image/eating disorders, etc.). 
Each year has been better than the last - and with 150 T1D attendees from around the country, I've left with so many friends I stay in touch with. 
So! If you guys have questions or anything, please ask! The website info is not top notch (and that video is weird), but I promise it's one of the best weekends of the year. So I thought some people might be interested.
Right now (until March 1st) it's only $70 to register. That includes hotel, meals, activities, talks, and any swag you'll take away. 
After 03/01 it goes up to $95 - which is not a big punch-up, but you might as well save $25. 
http://hscweb3.hsc.usf.edu/studentswithdiabetes/conferences/registration/</t>
        </is>
      </c>
      <c r="D662" t="n">
        <v>7</v>
      </c>
      <c r="E662" t="n">
        <v>6</v>
      </c>
      <c r="F662">
        <f>HYPERLINK("https://www.reddit.com/r/diabetes/comments/2x7a2h/t1d_weekend_for_young_adults_with_t1d_only_70/")</f>
        <v/>
      </c>
      <c r="G662" t="inlineStr">
        <is>
          <t>2015-02-25 21:08:21</t>
        </is>
      </c>
      <c r="H662" t="inlineStr">
        <is>
          <t>Type 1</t>
        </is>
      </c>
    </row>
    <row r="663">
      <c r="A663" t="inlineStr">
        <is>
          <t>2x9swk</t>
        </is>
      </c>
      <c r="B663" t="inlineStr">
        <is>
          <t>Question on carb counting and correction</t>
        </is>
      </c>
      <c r="C663" t="inlineStr">
        <is>
          <t xml:space="preserve">I am on a 1/12g carb ratio @120 and 45ISF. So basically blood reading-120/45 =x  then carbs/12. If my initial blood reading is higher then what it should be say it's 209 in this case and the meal I am eating has 7 carbs this gives me a negative #. Should I still be doing the correction from the reading-120/45 which would be 1.9 in this example? OR do I just leave it be? I spent almost 2 hours with the diabetes expert today and it was just so much info and now I'm at work and was confused about it. </t>
        </is>
      </c>
      <c r="D663" t="n">
        <v>5</v>
      </c>
      <c r="E663" t="n">
        <v>21</v>
      </c>
      <c r="F663">
        <f>HYPERLINK("https://www.reddit.com/r/diabetes/comments/2x9swk/question_on_carb_counting_and_correction/")</f>
        <v/>
      </c>
      <c r="G663" t="inlineStr">
        <is>
          <t>2015-02-26 12:35:55</t>
        </is>
      </c>
      <c r="H663" t="inlineStr">
        <is>
          <t>Type 1</t>
        </is>
      </c>
    </row>
    <row r="664">
      <c r="A664" t="inlineStr">
        <is>
          <t>2xaenj</t>
        </is>
      </c>
      <c r="B664" t="inlineStr">
        <is>
          <t>Need tips for (T1) playing sports (basketball) with Pump/CGM</t>
        </is>
      </c>
      <c r="C664" t="inlineStr">
        <is>
          <t>Hi I've been a diabetic for 10+ years now and went the pump/CGM route a couple years ago. I enjoy both my pump and CGM, but whenever I play sports, specifically basketball sometime my pump or CGM will lose its adhesive and fall off or someone will hit it and ruin or bend either my pod cannula or sensor. I currently use the Omnipod and Dexcom G4. I usually play some sort of sport multiple times a week (4-5 times). I would hate to take off my pod or sensor just to play sports because I feel that I would be a waste. Does anyone fall in the same category? Does anyone have a favorite spot to put your Pod/Sensor while playing sports or have some tips on how to play sports along with pumps and CGM?
UPDATE: Thank you guys, I guess I should get some compression shorts/shirts.</t>
        </is>
      </c>
      <c r="D664" t="n">
        <v>2</v>
      </c>
      <c r="E664" t="n">
        <v>5</v>
      </c>
      <c r="F664">
        <f>HYPERLINK("https://www.reddit.com/r/diabetes/comments/2xaenj/need_tips_for_t1_playing_sports_basketball_with/")</f>
        <v/>
      </c>
      <c r="G664" t="inlineStr">
        <is>
          <t>2015-02-26 15:14:27</t>
        </is>
      </c>
      <c r="H664" t="inlineStr">
        <is>
          <t>Type 1</t>
        </is>
      </c>
    </row>
    <row r="665">
      <c r="A665" t="inlineStr">
        <is>
          <t>2xfbsn</t>
        </is>
      </c>
      <c r="B665" t="inlineStr">
        <is>
          <t>Type One : The Movie Project</t>
        </is>
      </c>
      <c r="C665" t="inlineStr">
        <is>
          <t>**Hi**
I am creating a short movie (5-10 minutes) about the opinions of Type 1 Diabetes, from Type 1 Diabetics.
I would like **your** opinions.
There are 2 ways you can submit what life with diabetes is about.
1) Comment or PM me your opinion
2) Upload a YouTube videos and PM it to me. Please ensure the video is *unlisted*.
By submitting, I have the right to use the footage or text, in any way for use in the movie Type One.
If you have any questions, please send me a message.
Cheers</t>
        </is>
      </c>
      <c r="D665" t="n">
        <v>1</v>
      </c>
      <c r="E665" t="n">
        <v>1</v>
      </c>
      <c r="F665">
        <f>HYPERLINK("https://www.reddit.com/r/diabetes/comments/2xfbsn/type_one_the_movie_project/")</f>
        <v/>
      </c>
      <c r="G665" t="inlineStr">
        <is>
          <t>2015-02-27 18:58:04</t>
        </is>
      </c>
      <c r="H665" t="inlineStr">
        <is>
          <t>Type 1</t>
        </is>
      </c>
    </row>
    <row r="666">
      <c r="A666" t="inlineStr">
        <is>
          <t>2xfczf</t>
        </is>
      </c>
      <c r="B666" t="inlineStr">
        <is>
          <t>Question on 4 hr period for insulin</t>
        </is>
      </c>
      <c r="C666" t="inlineStr">
        <is>
          <t>I know insulin has a 4 hr peak period so I am confused on what to do in this scenario. I measured at 89 and gave myself 13 units for the correction and meal I ate. If I measure high in 2 hours do I do another correction shot or how do I handle the next high reading? This shot was before a meal which will be my last tonight.</t>
        </is>
      </c>
      <c r="D666" t="n">
        <v>10</v>
      </c>
      <c r="E666" t="n">
        <v>54</v>
      </c>
      <c r="F666">
        <f>HYPERLINK("https://www.reddit.com/r/diabetes/comments/2xfczf/question_on_4_hr_period_for_insulin/")</f>
        <v/>
      </c>
      <c r="G666" t="inlineStr">
        <is>
          <t>2015-02-27 19:10:00</t>
        </is>
      </c>
      <c r="H666" t="inlineStr">
        <is>
          <t>Type 1</t>
        </is>
      </c>
    </row>
    <row r="667">
      <c r="A667" t="inlineStr">
        <is>
          <t>2xgows</t>
        </is>
      </c>
      <c r="B667" t="inlineStr">
        <is>
          <t>Long-time T2, new endo. Please help me understand treatment?</t>
        </is>
      </c>
      <c r="C667" t="inlineStr">
        <is>
          <t>Hi reddit! I was hoping you could help shed some light on this for me. I had an appointment with my new endocrinologist yesterday to go over my bloodwork but have some questions today. I'm wondering if any of you have gone through similar treatment that can tell me what to expect.
I took a random/non-fasting c-peptide test. My CPEP was 2.29 ng/mL (range .90-4.60) and my glucose was 309. When I talked to the doctor he said my CPEP was a little low and that he'd put me on a low dose of basal insulin (30 units of Lantus SoloStar once a day) and check in after a couple of months.
It has only been 2 days so I don't expect much of a change yet and I haven't seen one. What can I expect in the coming weeks? When is the optimal time to test my blood sugars to see if it's working?</t>
        </is>
      </c>
      <c r="D667" t="n">
        <v>1</v>
      </c>
      <c r="E667" t="n">
        <v>6</v>
      </c>
      <c r="F667">
        <f>HYPERLINK("https://www.reddit.com/r/diabetes/comments/2xgows/longtime_t2_new_endo_please_help_me_understand/")</f>
        <v/>
      </c>
      <c r="G667" t="inlineStr">
        <is>
          <t>2015-02-28 06:44:17</t>
        </is>
      </c>
      <c r="H667" t="inlineStr">
        <is>
          <t>Type 2</t>
        </is>
      </c>
    </row>
    <row r="668">
      <c r="A668" t="inlineStr">
        <is>
          <t>2xhc11</t>
        </is>
      </c>
      <c r="B668" t="inlineStr">
        <is>
          <t>I'm going to cure my Type 2 diabetes (part 3)</t>
        </is>
      </c>
      <c r="C668" t="inlineStr">
        <is>
          <t>Original post here:http://www.reddit.com/r/diabetes/comments/2uk6xu/im_going_to_cure_my_t2_diabetes_no_fatties/
Second post here: http://www.reddit.com/r/diabetes/comments/2w5brt/im_going_to_cure_my_t2_diabetes_part_2/
My post on the diabetes.co.uk forum: http://www.diabetes.co.uk/forum/threads/embarking-on-the-newcastle-diet.72394/
Long story short, I am documenting my journey on a very low calorie diet, which has been shown to reverse/cure type 2 diabetes. The theory is that a significant "negative energy" diet will restore liver and pancreatic function so that both will handle carbs the "correct" way i.e. The liver won't keep dumping too much glucose into the bloodstream and pancreatic beta cells will produce the appropriate amount of insulin (and at the right time) while insulin resistance in cells will decrease - in short, making someone a non-diabetic by all diagnostic tests (A1C, fasting glucose, and performance on an oral glucose tolerance test). 
I am four weeks into an 8 week experiment, with the end goal of curing my diabetes. Follow along if you like.
**March 1, 2015:** morning BG @ 97, weight at 211.5. Exercised hard(er) again last night. Looking at alternates to a full OGTT test, which can be a little brutal on the body. http://chriskresser.com/how-to-prevent-diabetes-and-heart-disease-for-16. Would still prefer the OGTT, but I'll be going back to post pranadial testing once I am off this diet (while on it, I never go above 140 and am always back to mid 80's BG levels within an hour and a half of eating).
**March 2, 2105:** morning BG @ 97, weight at 213.5 (what the?). Weight went up, without any cheating on my part, so I suspct I either read the scale wrong yesterday morning (likely culprit) it's just natural variation in my cheap bathroom scale (also likely) or a combination of the two. I'm not supposed to be weighing myself everyday anyway, but this morning was a shock after day-after-day of weightloss, similar to my stock in seeing my BG RISE after my first exercise session. The human body is a strange and remarkable thing. On the plus side, it's been almost a week of whitening my teeth, and my smile looks fabulous. Once my suits (the old ones that actually fit me now) get back from the dry cleaners, my clothes will match my teeth! Now I just need to keep working to sexing my organs :)
**March 3, 2015:** morning BG @ 95, weight at 213. Again, weighing myself every day is kind of pointless, even if it is always at the same time, but I'll thinking that 211.5 from a couple days ago was a fluke, and I'm kinda plateauing at 213 for a bit here. Apparently my body likes this weight, and thinks I should stay here. Not gonna change the diet in any way, but gonna take a day off of exercising and let my body relax a bit. About a month since my last Metformin, and longer since any Glimepiride. If anything, my A1C is gonna be super good next time I get it tested - my after meal blood glucose never gets above 120, and drops down to the 80's within two hours. Debating whether to "treat" myself every now and then with half a serving of soup/vegetables and replacing the other half with an apple. That's my big thought for the day :)
**extra update** well, ten minutes after I posted I had my first really good bowel movement in a while. After, my weight was 211 :) just another reason why weighing myself every day (or getting too focused on daily weight change) is a bad idea, and also a good reminder to constantly maintain a healthy intake of water and fiber. For me, drinking water during the week is actually easier than in the weekend (I keep forgetting on the weekends), so I need to get better about that.
**March 4, 2015:** morning BG @ 108, weight at 211. Didn't formally exercise yesterday, just shoveled/blew snow (for maybe the last time this winter?) gonna be another couple of stressful days at work, already looking forward to biking this evening. For the first three weeks of stationary biking/weightlifting, I was watching an awful show on Nertflix called "Z Nation." The writing is awful, the acting is uninspired . . . And it was perfect :) I don't recommend it. I've moved on to M*A*S*H, a show I liked in college and like even more now. Sadly, the Netflix version still has the laugh track enabled - and the show is better without it. One cool thing about that fact is that they show runners deliberately didn't use a laugh track during the surgery scenes, adding an extra layer of appreciation once you notice it (likely even if you don't consciously notice it). Like Hawkeye says, war isn't hell, because hell only affects those who deserve it . . . Diabetes isn't hell either, because the good Lord gave us a means to fight back. 800 calories isn't hell either, it just feels like it sometimes :)
**March 5, 2015:** morning BG @ 87, weight at 209.5. Didn't exercise yesterday either, I think my body may have appreciated the rest. Either gonna do some biking this morning before work or tonight afterwards, and then do some weightlifting. Last evening was all about relaxing before this last push to get through the tail end of a stressful week - fired up the record player, listened to some Bert Kampfur, lounged in the recliner with the cats, drank some tea, and idly read and played on the iPad. Dunno if that made any difference in my morning BG levels, but I woke up feeling particularly good this morning. Mood only improved with the morning weigh-in: I cannot recall ever being below 210 pounds, unless it was high school (probably while I was still growing). Getting more comments from colleagues who are noticing the weight loss and complimenting me; two of them revealed that they also have Type 2 diabetes, and shared some horror stories. I explained what I'm doing and both responded with thoughtful looks and lots of questions. Who knows - maybe my example and my results will lead them to lose weight too. We'll see what my carb metabolism is like at the end of all this. Great results might convince them that drugs and insulin are not the best way to manage their diabetes.
**March 6, 2015:** morning BG @ 84, weight at 209. Yesterday I woke up early and exercised right after updating; this morning I plan to do the same. Didn't do any weightlifting yesterday, might not have time to do it today either (unless I squeeze it in after biking this morning). Had one scoop of whey protein powder after biking yesterday, will do the same today. Just went through a bad stretch of sub 0 (Farenheight) temperatures, and I was miserably cold, but we're supposed to get into the 40's this weekend, so . . . Is the end of my winter of discontent in sight? God I hope so. I definitely have more energy in the morning, so it's a good time to exercise, but as I think I mentioned earlier, the last couple days of work have been crazy stressful, and I'm coming home just wasted. I was working right up to 10:00 p.m. last night, and am already looking forward to the weekend. I think I passed the five week mark yesterday, but it might have been six, I'll do the math later :/ **edit for no particular reason** after posting, I did 30 minutes of interval cardio training on an empty stomach (pretty strenuous for me), and had two cups of oolong tea (some caffeine) beforehand. BG immediately after exercise was 101.
**March 7, 2015:** morning BG @ 93, weight at 206.5. Did my morning biking yesterday, pretty intense, and followed it up with one scoop/75 calories of whey protein powder and water. Drank a LOT of water throughout the day, and "cheated" with a pair of saltine crackers mid-day and a can of Diet Mt. Dew when I really started dragging (long, stressful day). Plan is to bike again this morning, and then finally get back to some weightlifting (I may have been overdoing it on lifting weights, even light weights, gonna try to just do it every three days instead of almost every day). Still struggling with the "this is good enough!" Thoughts, even though I clearly still have substantial weight to lose. My co-workers almost flipped out on me when I opened that can of caffeine yesterday, surprising to see just how supportive they are (if a little misguided). All in all, feeling pretty damn good this morning.
 **edit for random blood sugar update:** woke up at 6:00 a.m. this morning. Tested my BG at 6:45 and got my 93. With only water, tea, and cigarettes, my BG an hour later was 86ish, and an hour after that was in the low 90s. Did some intense cardio/weightlifting (for me) and at 10:15 my BG immediately after exercise was 110. Currently drinking a two-serving whey protein shake (mixed with water, as always) and eating a 100 calorie Pink Lady Apple for a total of 250 calories, about what I figure I burned exercising. Two hours after eating my first piece of fruit in over five weeks? BG of 95 :)
**March 8, 2015:** morning BG @ 88, weight at 207. Gonna use the stationary bike for the third morning in a row here in a bit, after my morning tea. Saw "The Theory of Everything" yesterday afternoon and it was a damn good movie. Had a slight "cheat" again late yesterday evening, was more cranky than usual and had a small piece of turkey jerky (that's been patiently waiting in the fridge since I started this diet). By "small" I mean a piece the size of my index finger and ring finger, maybe a little smaller. Should not have made a notable difference, but I'm starting to worry about how often my mind strays to "cheating." Partly comes from seeing how much weight I've lost (and dwelling on that fact) and partially from what I think is becoming food boredom. Need to remind myself to maintain motivation and dedication, and remember the two Rules: 1) hunger/hollow feelings means that the diet is working!, and 2) when I feel the diet working, I should toast myself with a healthy glass of water! On a side note, my muscles are sore for the first after-workout day since forever. I will not be lifting weights again for two more days, just cardio.
**March 9, 2015:** morning BG @83, weight at 207. Back and neck hurt pretty bad this morning - I am pretty sure I weightlifted too hard a couple days ago. BG is fantastic this morning, but that might be because Daylight Savings Time kicked in and it's now "technically" only 5:30 a.m. Deciding whether to do light biking today or take the day off entirely (light biking would now mean not even interval training, just slow biking for half an hour). It's weird to think it, but I need to make sure I don't wreck myself with too much progress. Gonna try to get to the chiro this morning. On a positive note, made a delicious soup yesterday, with more bell pepper and broccoli and less carrot, and it is delicious.
**March 10, 2105:** morning BG @93, weight at 207. Before I go to bed, I've been testing my BG. Last two nights were 82 and 76, respectively - my A1C next Friday would be interesting. But on a bad note, I was definitely over exercising, and my body hates me for it. I knew this, but conveniently ignored my own knowledge because I was having too much fun exercising - you shouldn't do interval cardio daily, and sure as hell shouldn't weightlift almost every damn day. I damn near broke my body after that last ultra intense workout. Chiropractor helped yesterday, as did taking a day off to rest in a very warm bedroom . . . But I still biked. :/ it was just slow and steady for half an hour, but I did the math, and at my slow 12-14 mph pace, I'm likely still burning way more than 150 calories. Probably why my weightloss slowed down here - I'm worried about my poor organs too, pushing myself as hard as I did. I seriously considered going of the diet to get some fuel in my body, before ruling it out. I'm just going to be a lot better about regulating my exercise output as a close in on week 6. What's frustrating is that I still have close to 30 pounds to lose . . . I think my goal should actually be 175, not 185. I'll probably stabilize 6-10 pounds heavier than I am when I reintroduce more calories at the end. VLCD have been studied for up to 12 weeks, and nobody recommends you go any further on them, and I'm getting ready to be done, but I might go an extra couple weeks if I have to in order to bring my end weight down a little lower. The shifting goalposts make me sad. The thought of restored pancreatic function keep me going. 
**March 11, 2015:** morning BG @ 100, weight at 207. My body is very stubbornly trying to keep me above 200 pounds, I think. Maybe I gained some muscle mass, I dunno, but man it's frustrating. My plan was to bike this morning, but I think I'm gonna skip exercise and the 150 calorie protein shake, give my already tired body a rest, and see what tomorrow brings. Certainly can't hurt. I've been doing research on "couch to 5k" programs, with the intention of running a 5k this summer (for the first time in my life), but I'd love to not be overweight when that starts. Weightloss aside, my energy levels are still good, as are my BG readings, and I suspect I've been consuming more than the minimal 800 calories a day, even with exercise. So maybe a couple of days of strictly following the Newcastle VCLD diet, without accounting for exercise, will jump start me through this plateau. I did finally break down and go buy some pants yesterday - I went from tightly-fitting jeans with a 40" waist to comfortably fitting jeans at a 36" waist, so that was heartening. Almost better yet, spring may have arrived, and air temps are supposed to hit 60 degrees today :) it's easier to stay warm when Mother Nature cooperates!
**March 12, 2013: FINALLY** morning BG @ 87, weight at 205.5. Did even more research on VLCDs over the past couple days, seems a lot of folks hit a plateau at 5 weeks or so. I was undoubtedly over-exercising for my amount of calories, which likely led to my stall and general feeling of awfulness. Today - six weeks in - I finally broke the 206 mark! What's weird is it almost looked like I was gaining definition in my stomach even while my weight plateaued, so *maybe* I was still losing fat while gaining a little muscle, but I'll never really know. Similarly, I can't know yet if the weight will continue to drop, or if this is just one tick before continuing to plateau . . . But we'll see. Not going to exercise today, gonna stick strictly to the diet, and maybe pick up much lighter exercise this weekend. But I'm still looking at trying a 5k or a "sprint" (mini) triathlon this summer, with training to start in earnest once I am on normal calories. This diet is reminding me how important it is to have goals, in order to maintain both mental and physical health - I was just treading water for too long. First step is fixing my metabolism . . . The next step is crossing a finish line, as proof that I've fixed my mind :)
**FOURTH POST**
http://www.reddit.com/r/diabetes/comments/2z0d6o/im_going_to_cure_my_diabetes_part_4/</t>
        </is>
      </c>
      <c r="D668" t="n">
        <v>3</v>
      </c>
      <c r="E668" t="n">
        <v>39</v>
      </c>
      <c r="F668">
        <f>HYPERLINK("https://www.reddit.com/r/diabetes/comments/2xhc11/im_going_to_cure_my_type_2_diabetes_part_3/")</f>
        <v/>
      </c>
      <c r="G668" t="inlineStr">
        <is>
          <t>2015-02-28 10:25:08</t>
        </is>
      </c>
      <c r="H668" t="inlineStr">
        <is>
          <t>Type 2</t>
        </is>
      </c>
    </row>
    <row r="669">
      <c r="A669" t="inlineStr">
        <is>
          <t>2xlm6v</t>
        </is>
      </c>
      <c r="B669" t="inlineStr">
        <is>
          <t>Was anyone very irresponsible with their bloodsugars while they were younger?</t>
        </is>
      </c>
      <c r="C669" t="inlineStr">
        <is>
          <t>And if so, when did you make it stop and what was the turning point for you?</t>
        </is>
      </c>
      <c r="D669" t="n">
        <v>20</v>
      </c>
      <c r="E669" t="n">
        <v>26</v>
      </c>
      <c r="F669">
        <f>HYPERLINK("https://www.reddit.com/r/diabetes/comments/2xlm6v/was_anyone_very_irresponsible_with_their/")</f>
        <v/>
      </c>
      <c r="G669" t="inlineStr">
        <is>
          <t>2015-03-01 13:38:22</t>
        </is>
      </c>
      <c r="H669" t="inlineStr">
        <is>
          <t>Type 1</t>
        </is>
      </c>
    </row>
    <row r="670">
      <c r="A670" t="inlineStr">
        <is>
          <t>2xmtsp</t>
        </is>
      </c>
      <c r="B670" t="inlineStr">
        <is>
          <t>Blood sugar rising after humalog peak with all meals?</t>
        </is>
      </c>
      <c r="C670" t="inlineStr">
        <is>
          <t>So like clockwork, I had dinner tonight and I started at 125. after 1 hour 125. 2 hours, 105. 3 hours, 145. This has been happening every night for weeks at every single meal and I don't know what to do. The aforementioned dinner was 20 grams of fat, and 50 carbs, 30g protein.
My basal seems to be fine (split dose levemir) since from 4pm-8pm my bloodsugar went from 145 to 125 (morning levemir peak)
I have tried taking the humalog with an extra unit 15 minutes AFTER I eat instead of right before, and even though it works, my one hour reading usually spikes by 80-100 thus I really don't think it's an acceptable solution to my problem.</t>
        </is>
      </c>
      <c r="D670" t="n">
        <v>1</v>
      </c>
      <c r="E670" t="n">
        <v>1</v>
      </c>
      <c r="F670">
        <f>HYPERLINK("https://www.reddit.com/r/diabetes/comments/2xmtsp/blood_sugar_rising_after_humalog_peak_with_all/")</f>
        <v/>
      </c>
      <c r="G670" t="inlineStr">
        <is>
          <t>2015-03-01 19:51:48</t>
        </is>
      </c>
      <c r="H670" t="inlineStr">
        <is>
          <t>Type 1</t>
        </is>
      </c>
    </row>
    <row r="671">
      <c r="A671" t="inlineStr">
        <is>
          <t>2xo9a0</t>
        </is>
      </c>
      <c r="B671" t="inlineStr">
        <is>
          <t>Huge Day for 8 Year Old Daughter</t>
        </is>
      </c>
      <c r="C671" t="inlineStr">
        <is>
          <t>So I have talked about issues here about my 8 year old before, but this was just a great day for her that I wanted to share. She's T1, diagnosed about a year ago. 
Well, she has had overnights at her grandmother's and cousin's houses before, but they are all up to speed on he insulin and how to give it, etc.  The problem is that she has never been able to have a slumber party at her best friend's house.
Her bestie went to school with her and was her "helper" in school during her first year of T1.  She walked down with her to the nurses office to get the shot, and was totally sweet to my daughter while defending her against teasers.
She ended up going to a different school but is still in the area.  The other night her mom called and asked if she could spend the night.  They were not to keen on giving the shots but still wanted her to spend the night, so we devised a plan:
At lunch on Saturday, we gave her her shot and they went to hang out at her house.  They check levels and planned a dinner out.  On the way to dinner we planned her insulin and they stopped at the house for the shot.  They went to dinner and had a great time.
About 9:00PM we came over to their house to hang out and have a beer and play cards, in time for her nightime Lantus.  The next morning I got up early to give her her breakfast shot before running a few errands.  She stayed until about 2:ooPM  and had a great time and can't wait to do it again.   
This may sound like a pain, but this was the first time that she has been able to do this.  When we told her that she was going to a slumber party, she cried with joy.  She is a tough little chick so I was suprised and happy for her.  She said it was like Christmas.
Her friend's parents think that they are comfortable enough with it now that we can talk them through it over the phone.   I was just so happy for her that I had to tell someone that gets it.</t>
        </is>
      </c>
      <c r="D671" t="n">
        <v>68</v>
      </c>
      <c r="E671" t="n">
        <v>17</v>
      </c>
      <c r="F671">
        <f>HYPERLINK("https://www.reddit.com/r/diabetes/comments/2xo9a0/huge_day_for_8_year_old_daughter/")</f>
        <v/>
      </c>
      <c r="G671" t="inlineStr">
        <is>
          <t>2015-03-02 07:09:38</t>
        </is>
      </c>
      <c r="H671" t="inlineStr">
        <is>
          <t>Type 1</t>
        </is>
      </c>
    </row>
    <row r="672">
      <c r="A672" t="inlineStr">
        <is>
          <t>2xolx4</t>
        </is>
      </c>
      <c r="B672" t="inlineStr">
        <is>
          <t>Any Animas Vibe users *also* planning on using the Dexcom Receiver?</t>
        </is>
      </c>
      <c r="C672" t="inlineStr">
        <is>
          <t>Posted this as a comment to the Vibe review earlier, but it's a question that seems worthy of it's own post. 
I'm an Animas Ping user and, until I lost my receiver (*teardrop*) a month ago, a Dexcom G4 user.  I'm doing the $99 upgrade to move from the Ping to the Vibe, in hopes of eliminating the need to carry around (and lose) an extra device.
But since Dexcom announced the Share-enabled receiver, I'm wondering if I should try to get one and use it alongside my Vibe pump.  Is anyone else considering this?  I'm concerned about lows at night and not hearing the Vibe's alarm.  I'm also interested in sharing the Dexcom data with my wife, who works nights.  It would certainly give her a great sense of relief if I sleep through the 2am alarm and don't check in with her to let her know that I'm still alive.  As an Apple fanboy, it also gives me a little thrill to be able to see my data on my phone.
The downside, of course, is that I would need to still carry around the extra receiver (not to mention the cost of replacement).  I understand that the Dexcom G5 will transmit data in a format that the phone will be able to natively connect to and, presumably, will enable the phone's share feature to work with.  Is it worth just waiting until that's released in several months?</t>
        </is>
      </c>
      <c r="D672" t="n">
        <v>2</v>
      </c>
      <c r="E672" t="n">
        <v>5</v>
      </c>
      <c r="F672">
        <f>HYPERLINK("https://www.reddit.com/r/diabetes/comments/2xolx4/any_animas_vibe_users_also_planning_on_using_the/")</f>
        <v/>
      </c>
      <c r="G672" t="inlineStr">
        <is>
          <t>2015-03-02 08:51:34</t>
        </is>
      </c>
      <c r="H672" t="inlineStr">
        <is>
          <t>Type 1</t>
        </is>
      </c>
    </row>
    <row r="673">
      <c r="A673" t="inlineStr">
        <is>
          <t>2xom34</t>
        </is>
      </c>
      <c r="B673" t="inlineStr">
        <is>
          <t>Looking for advice on child's blood test anxiety.</t>
        </is>
      </c>
      <c r="C673" t="inlineStr">
        <is>
          <t>Hey there! My daughter is 10, has been type 1 for 3 years. We manage it with carb counting and MDIs, which she has always done herself. 
We have developed a huge issue with her annual blood tests (UK). She becomes hysterical and we are unable to take blood. We can get enough from her thumb for her hba1c, but not enough to test for celiacs etc. We have had several counselling sessions with the resident child psychologist at the hospital, but don't seem to be any closer to getting the injection. 
Her mum and I are both baffled as she willingly does her own finger pricks and blood testing, yet becomes hysterical as soon as we enter the room for her bloods. It's very upsetting for her, and us. 
Do any parents have any advice? Calming methods, alternatives, etc? 
Many thanks x</t>
        </is>
      </c>
      <c r="D673" t="n">
        <v>8</v>
      </c>
      <c r="E673" t="n">
        <v>20</v>
      </c>
      <c r="F673">
        <f>HYPERLINK("https://www.reddit.com/r/diabetes/comments/2xom34/looking_for_advice_on_childs_blood_test_anxiety/")</f>
        <v/>
      </c>
      <c r="G673" t="inlineStr">
        <is>
          <t>2015-03-02 08:52:59</t>
        </is>
      </c>
      <c r="H673" t="inlineStr">
        <is>
          <t>Type 1</t>
        </is>
      </c>
    </row>
    <row r="674">
      <c r="A674" t="inlineStr">
        <is>
          <t>2xr11b</t>
        </is>
      </c>
      <c r="B674" t="inlineStr">
        <is>
          <t>What level of HbA1c constitutes an "uncontrolled" diabetic? Is this a thing?</t>
        </is>
      </c>
      <c r="C674" t="inlineStr">
        <is>
          <t xml:space="preserve">
My new endocrinologist wrote this on his notes, prior to seeing any new lab results.  HbA1c came back at 7.2%.  Bad, but is it "uncontrolled?"
I emailed him to remove that diagnosis of "uncontrolled" since he had no lab data to support it when he wrote it.   He needs evidence to say that shit, doesn't he?  He has not emailed me back in five days.</t>
        </is>
      </c>
      <c r="D674" t="n">
        <v>2</v>
      </c>
      <c r="E674" t="n">
        <v>21</v>
      </c>
      <c r="F674">
        <f>HYPERLINK("https://www.reddit.com/r/diabetes/comments/2xr11b/what_level_of_hba1c_constitutes_an_uncontrolled/")</f>
        <v/>
      </c>
      <c r="G674" t="inlineStr">
        <is>
          <t>2015-03-02 19:58:59</t>
        </is>
      </c>
      <c r="H674" t="inlineStr">
        <is>
          <t>Type 2</t>
        </is>
      </c>
    </row>
    <row r="675">
      <c r="A675" t="inlineStr">
        <is>
          <t>2xrm6n</t>
        </is>
      </c>
      <c r="B675" t="inlineStr">
        <is>
          <t>Figuring a good work out method for somebody getting constant lows (type 1 diabetes)</t>
        </is>
      </c>
      <c r="C675" t="inlineStr">
        <is>
          <t>For the past couple of years, from 14 years old-20, I have had an A1C around 8-8.5. Because higher bgs were more of a norm than lows, I used to have a higher workout tolerance then, and used to run a lot (1 mile a day, later in college I'd do 4 miles, then 7 miles). I also do other kinds of workouts-strength training, elliptical, HIIT-5-6 times a week for cardio, 4-5 for strength. 
From ages 21-24 my A1C was lowering due to dietary changes + just randomly as well (it has been around 7.2-7.5 now), but what I notice I have been consistently slacking in exercising, going from a daily routine, to few times a week, to few times a month, to a couple times a year :(. Now this may be worse because of a couple things: worsening depression/anxiety and exhaustion from college,  but I notice that whereas I could do 6 miles a day, I can only do 2-3 &amp;amp; have to cut my HIIT workouts short due to getting low. I have tried a few things-eating a PB&amp;amp;J sandwich (no insulin bolus) or banana, disconnect insulin pump (no basal during workout) to achieve a bg of 130 post-workout altho it doesn't work all the time. 
So here are a few questions for athletes and daily worker-outers
1. What is a good time for you to work-out (I understand this might vary-but night/early morning are always my lowest bgs and before sleep, it's a risk to get low in my sleep and in the morning it's jus feeling to crappy to work out)
2. What are some pre-workout techniques to use to avoid lows
3. Do lows affect anybody else here? Should I cut my workout to 30-45 minutes instead of 1-1.5 hours 
Any other tips would be greatly appreciated!</t>
        </is>
      </c>
      <c r="D675" t="n">
        <v>4</v>
      </c>
      <c r="E675" t="n">
        <v>5</v>
      </c>
      <c r="F675">
        <f>HYPERLINK("https://www.reddit.com/r/diabetes/comments/2xrm6n/figuring_a_good_work_out_method_for_somebody/")</f>
        <v/>
      </c>
      <c r="G675" t="inlineStr">
        <is>
          <t>2015-03-02 23:48:24</t>
        </is>
      </c>
      <c r="H675" t="inlineStr">
        <is>
          <t>Type 1</t>
        </is>
      </c>
    </row>
    <row r="676">
      <c r="A676" t="inlineStr">
        <is>
          <t>2xu3uj</t>
        </is>
      </c>
      <c r="B676" t="inlineStr">
        <is>
          <t>Sensor not going over 300</t>
        </is>
      </c>
      <c r="C676" t="inlineStr">
        <is>
          <t>So today I was in the middle of class and my pump alerted me that I was going high, so I checked and I was 501. Is this normal? 
Edit: The sensor said i was around 300</t>
        </is>
      </c>
      <c r="D676" t="n">
        <v>1</v>
      </c>
      <c r="E676" t="n">
        <v>2</v>
      </c>
      <c r="F676">
        <f>HYPERLINK("https://www.reddit.com/r/diabetes/comments/2xu3uj/sensor_not_going_over_300/")</f>
        <v/>
      </c>
      <c r="G676" t="inlineStr">
        <is>
          <t>2015-03-03 14:03:29</t>
        </is>
      </c>
      <c r="H676" t="inlineStr">
        <is>
          <t>Type 1</t>
        </is>
      </c>
    </row>
    <row r="677">
      <c r="A677" t="inlineStr">
        <is>
          <t>2xu5vb</t>
        </is>
      </c>
      <c r="B677" t="inlineStr">
        <is>
          <t>T2 - Just Prescribed Afrezza!</t>
        </is>
      </c>
      <c r="C677" t="inlineStr">
        <is>
          <t xml:space="preserve">My endo prescribed me Afrezza today! Due to a chronic liver disease, the oral meds just weren't working out for me even tho they reduced me from 10.2 to 5.9 a1c! The hypersensitivity reactions and affects on my liver were too much. 
So I went in to a brand new endo prepared to beg for Afrezza, but I didn't have to. He said it was a great fit for me, and that an insulin pump might be an even better fit, but we could try this first for sure to see how it works for me. My main issue is postprandial hyperglycemia bc I do moderate carb intake, rather than low carb. 
After my endo, I went to my PCP to get the spirometry done, and according to the nurse I passed. At that point it was close to 4PM which is the time my endo office closed. So I am not sure if they faxed it to him before he left and was able to call in the Rx. 
So hopefully tomorrow it will be called in, and I'll have it a day or two after. I know the pharmacies aren't stocking it and have to order from the regional wholesaler, so I can't get it the day it's called in unfortunately. 
Feel free to ask questions, request experiments.. whatever. I plan on posting detailed results here and on my twitter! @PatOppa
#ControlIsComing!
</t>
        </is>
      </c>
      <c r="D677" t="n">
        <v>1</v>
      </c>
      <c r="E677" t="n">
        <v>7</v>
      </c>
      <c r="F677">
        <f>HYPERLINK("https://www.reddit.com/r/diabetes/comments/2xu5vb/t2_just_prescribed_afrezza/")</f>
        <v/>
      </c>
      <c r="G677" t="inlineStr">
        <is>
          <t>2015-03-03 14:18:15</t>
        </is>
      </c>
      <c r="H677" t="inlineStr">
        <is>
          <t>Type 2</t>
        </is>
      </c>
    </row>
    <row r="678">
      <c r="A678" t="inlineStr">
        <is>
          <t>2xu6q8</t>
        </is>
      </c>
      <c r="B678" t="inlineStr">
        <is>
          <t>Feeling a bit discouraged lately</t>
        </is>
      </c>
      <c r="C678" t="inlineStr">
        <is>
          <t>As you all probably know by my 20 posts every day, I was newly diagnosed last Wednesday a T1 and have been trying to soak up any info possible on this subject. I have good days but last few I have been all of the place and it has been a struggle to get my numbers down. Today was my appointment with the dietician and we spent about 2 hours just talking about my progress and going into depth on what kinds of foods might mess with readings (I didn't realize how many carbs are actually in fruit).
 I am 6'6 160lbs so underweight and even at my highest weight of 200 lbs I was still skinny and she wants me around 2400 calories which is far too low so I will be upping that. She wants me to do no more than 75g carbs per meal and stay close to 15g per snack since I am on a 1:12 ratio. I feel a bit better after my appointment today so hopefully things start looking up. I know from most of you on here, it is an ever evolving process and I appreciate all the help I have received here, it has been incredible! Thanks!</t>
        </is>
      </c>
      <c r="D678" t="n">
        <v>7</v>
      </c>
      <c r="E678" t="n">
        <v>11</v>
      </c>
      <c r="F678">
        <f>HYPERLINK("https://www.reddit.com/r/diabetes/comments/2xu6q8/feeling_a_bit_discouraged_lately/")</f>
        <v/>
      </c>
      <c r="G678" t="inlineStr">
        <is>
          <t>2015-03-03 14:24:49</t>
        </is>
      </c>
      <c r="H678" t="inlineStr">
        <is>
          <t>Type 1</t>
        </is>
      </c>
    </row>
    <row r="679">
      <c r="A679" t="inlineStr">
        <is>
          <t>2xurdm</t>
        </is>
      </c>
      <c r="B679" t="inlineStr">
        <is>
          <t>I need help to get my husband back on the wagon.</t>
        </is>
      </c>
      <c r="C679" t="inlineStr">
        <is>
          <t xml:space="preserve">It's become a severe hinderance to his work, to life. He has an appointment with an endocrinologist. He's type 2, but on insulin. Long acting and short. He doesn't like testing his blood sugar and as of today I've told him flat out, no more soda. He's had type 2 for night unto 6 or 7 years now. He's been on insulin for two of those. 
I honestly to my bones afraid for him and his life expectancy and him being there for our son. He has neuropathy in his hands and feet as a result of years of not controlling it and it's only gotten worse now. And he's used up all his FMLA days and he's to the end of his rope where he's telling me I'm better off shooting him. 
As I've told him, that's not an option. 
As of today, I've also said that soda is out of the house. Period. I just gave the bottles we had to the neighbour. If he wants a rum and coke, he can have one when we go out for dinners or the like. I cut out soda in my own life in January hoping that he would take the hint. He lessened his intake but not by much stating "I'll just take more insulin" 
He does not reddit. He's not very active. I plan on kicking him off the couch and make him walk with me - and cut my runs down to three times a week, and walk with him at least twice - or kick him down to the elliptical in the basement. 
It's to the point where he's not managing it, so - and yes, I've seen your side bars and such and I should let him do it - I'm going to. I'll be the bitchy wife, knowing that in the end, temporarily, it's for the better and he can find his way into the light so to speak. 
So help me guys. He's got an appt with an endocrinologist in two months - yeah, no sooner - and he has an appointment with his normal doctor for regular maintince re: diabetes. 
I am willing to totally change up the way we eat as a family - not just him, as a //family//. As it is for the last two weeks it's been salad with every dinner and cutting back the carbs I serve at dinner. He comes home for lunch and I make it. He already uses splenda instead of sugar, the only sugar in the house is for me in my tea - splenda foams something aweful in tea :( - and for when it's called for in baking as a phsyical process and not just to sweeten something. 
Help me, if you can. Be the taskmistress that he needs and not the one that he wants. Because letting him do it, has gotten him to continually high blood sugar, shitty AC ones and him sleeping/incomnia'ing his days and weekends away. </t>
        </is>
      </c>
      <c r="D679" t="n">
        <v>16</v>
      </c>
      <c r="E679" t="n">
        <v>62</v>
      </c>
      <c r="F679">
        <f>HYPERLINK("https://www.reddit.com/r/diabetes/comments/2xurdm/i_need_help_to_get_my_husband_back_on_the_wagon/")</f>
        <v/>
      </c>
      <c r="G679" t="inlineStr">
        <is>
          <t>2015-03-03 17:06:25</t>
        </is>
      </c>
      <c r="H679" t="inlineStr">
        <is>
          <t>Type 2</t>
        </is>
      </c>
    </row>
    <row r="680">
      <c r="A680" t="inlineStr">
        <is>
          <t>2xuztt</t>
        </is>
      </c>
      <c r="B680" t="inlineStr">
        <is>
          <t>Oddly Specific Question: Any T2, insulin dependent folks know how to get ahead of Prednisone blood sugar highs?</t>
        </is>
      </c>
      <c r="C680" t="inlineStr">
        <is>
          <t>No joke my blood sugar was 419 before my last meal. I'm eating okay, not worse at least, and staying hydrated. I have a stubborn upper respiratory infection and got hit with a diabetic nightmare: prednisone. This stuff as I stated does HORRIBLE things to my readings, any advice, insight, relative corrective ration for novolog or lantus? All my doctor says was to keep my eye on it... Yeah...</t>
        </is>
      </c>
      <c r="D680" t="n">
        <v>5</v>
      </c>
      <c r="E680" t="n">
        <v>13</v>
      </c>
      <c r="F680">
        <f>HYPERLINK("https://www.reddit.com/r/diabetes/comments/2xuztt/oddly_specific_question_any_t2_insulin_dependent/")</f>
        <v/>
      </c>
      <c r="G680" t="inlineStr">
        <is>
          <t>2015-03-03 18:14:33</t>
        </is>
      </c>
      <c r="H680" t="inlineStr">
        <is>
          <t>Type 2</t>
        </is>
      </c>
    </row>
    <row r="681">
      <c r="A681" t="inlineStr">
        <is>
          <t>2xv0wx</t>
        </is>
      </c>
      <c r="B681" t="inlineStr">
        <is>
          <t>lifelong diabetic, feel like I'm failing myself</t>
        </is>
      </c>
      <c r="C681" t="inlineStr">
        <is>
          <t>I've been diagnosed for 20 entire years, I'm only 22. So I've got diabetic burnout, a little bit. when I was on injections I would take my insulin HOURS after I was supposed to. because whatever I was doing was more important than my health, or at least more fun.
I've been on the pump since spring 2013 and i've gone back to being terrible. I sometimes don't change my sets for hours because I can't decide where to put my set or I want to sleep or I have an assignment to do. I'm also ADHD and in college so it's extra difficult to keep everything on track.
i have some retinopathy in one eye, i had to get injections of some medication or other once every month or so for a while last year. luckily that helped enough that I don't need more injections for now, but I really don't want to damage my vision or get any more needles in my eye. 
my a1c is... I dunno, probably bad. 11 or something, I'm waiting on bloodwork. I just feel like I'm destroying myself. My sugars are over 13 mmol/L at least once a day.
I don't like to talk about my diabetes with my parents, because I don't want to disappoint them or worry them. My dad would express his fears about me and my health by basically telling my how I'm hurting myself, all "you NEED to take better care of yourself" and trying to scare me into being a better diabetic. I definitely got stories about how some diabetics lose their feet or go blind and so on.
I use DiaSend to share my sugars and pump data with my doctors but I avoid syncing because they'll see how bad of a job I'm doing. I hated appointments as a teenager, with 3 nurses/doctors plus both my parents telling me I wasn't doing a good job, I felt really stupid and guilty most times. I mean, they were right, I was actually being a shitty diabetic and eating too much. But being guilted didn't help me improve much if at all.
I know why all the things I just talked about are bad for me. I know that my doctors will, eventually, find out what my sugars are. I obviously know that I'm hurting myself. I need help, I don't know how to ask for it and I feel like I'm supposed to be an adult and therefore not need this much hand-holding.
tl;dr diabetic since age 3, also ADHD, feelin' the burnout and guilt.</t>
        </is>
      </c>
      <c r="D681" t="n">
        <v>1</v>
      </c>
      <c r="E681" t="n">
        <v>3</v>
      </c>
      <c r="F681">
        <f>HYPERLINK("https://www.reddit.com/r/diabetes/comments/2xv0wx/lifelong_diabetic_feel_like_im_failing_myself/")</f>
        <v/>
      </c>
      <c r="G681" t="inlineStr">
        <is>
          <t>2015-03-03 18:23:33</t>
        </is>
      </c>
      <c r="H681" t="inlineStr">
        <is>
          <t>Type 1</t>
        </is>
      </c>
    </row>
    <row r="682">
      <c r="A682" t="inlineStr">
        <is>
          <t>2xzu6a</t>
        </is>
      </c>
      <c r="B682" t="inlineStr">
        <is>
          <t>My girlfriend is a Type 1 diabetic and I could use help</t>
        </is>
      </c>
      <c r="C682" t="inlineStr">
        <is>
          <t xml:space="preserve">First off, sorry for being ignorant here, but I could use some help. I think my 33F T1 girlfriend is losing hope.
I've been dating my girlfriend for about 8 months now, and I've known from almost day 1 she was type 1. I didn't understand what that meant really, but I did know she had a pump on her back that really didn't bother me at all.  
Over time I began to learn about her (what I thought was minor) neuropathy.. At night it hurt the worst for her; she said her hands and feet felt like they were on fire. I did what I could (massage), which she said helped. 
It's gotten worse. She says it gets worse in the winter, btw. I'm out of town on business for a couple weeks, and on the phone she was scared -- the pain was now not just in her hands, but up her arms, .. to the point where she had to call off work she hurt so bad. I think depression set in too based on conversations. Not good. She set up an appointment with a doctor. 
Today at the doctor, she told me the response she got wasn't "here's how to fix things", but rather "you should see a pain specialist" or there's some anti-pain thing that can be stuck into your spine.   She's worried she's going to become dependent on pain meds and the 'treat the pain' thing only seems to be a kick in the stomach for her. 
I did some reading on here, where people talk about making neuropathy better by controlling their blood sugars. When I bring this up to her, she says she does, but there's been times where she's woken up in the morning low, or high, based on some fun (alcohol, mostly) we had the night before.   Personally, I don't know if that kinda stuff is regulated when you have a pump on your back or not, .. so I don't know if she should be avoiding all this stuff. 
So.. I guess this is my story. I'm worried about her. She seems to be slipping, and I don't know if this is normal. I asked her to come here and talk to this subreddit, but she doesn't understand reddit. So this is my attempt to help her. 
</t>
        </is>
      </c>
      <c r="D682" t="n">
        <v>8</v>
      </c>
      <c r="E682" t="n">
        <v>33</v>
      </c>
      <c r="F682">
        <f>HYPERLINK("https://www.reddit.com/r/diabetes/comments/2xzu6a/my_girlfriend_is_a_type_1_diabetic_and_i_could/")</f>
        <v/>
      </c>
      <c r="G682" t="inlineStr">
        <is>
          <t>2015-03-04 21:47:37</t>
        </is>
      </c>
      <c r="H682" t="inlineStr">
        <is>
          <t>Type 1</t>
        </is>
      </c>
    </row>
    <row r="683">
      <c r="A683" t="inlineStr">
        <is>
          <t>2y0uuv</t>
        </is>
      </c>
      <c r="B683" t="inlineStr">
        <is>
          <t>Question about BG and exercising</t>
        </is>
      </c>
      <c r="C683" t="inlineStr">
        <is>
          <t>Is there a better time of day to eat a carb heavy meal? I assume probably morning since most people will be able to use the activity levels throughout the early morning to burn off some of that energy which brings me to my next question.
Is there a formula or any science behind how much you burn? For example say I want a high carb meal which works out to be say 9 units of insulin but I want to only take 4 and make up the rest with activity. Is there a way to figure out that x amount of walking burns x amount of carbs or whatever? Or is it just a crap shoot?</t>
        </is>
      </c>
      <c r="D683" t="n">
        <v>2</v>
      </c>
      <c r="E683" t="n">
        <v>8</v>
      </c>
      <c r="F683">
        <f>HYPERLINK("https://www.reddit.com/r/diabetes/comments/2y0uuv/question_about_bg_and_exercising/")</f>
        <v/>
      </c>
      <c r="G683" t="inlineStr">
        <is>
          <t>2015-03-05 06:29:56</t>
        </is>
      </c>
      <c r="H683" t="inlineStr">
        <is>
          <t>Type 1</t>
        </is>
      </c>
    </row>
    <row r="684">
      <c r="A684" t="inlineStr">
        <is>
          <t>2y6zro</t>
        </is>
      </c>
      <c r="B684" t="inlineStr">
        <is>
          <t>Anyone on high calorie diets? Looking for some insight</t>
        </is>
      </c>
      <c r="C684" t="inlineStr">
        <is>
          <t>Anyone on here currently on a high calorie diet like 3000+? Looking for some tips on how you manage it while also taking insulin? What kind of foods do you eat? Are you stuck taking a lot of insulin throughout the day because of the diet? Have you had success gaining weight while on a high calorie diet w/ insulin?</t>
        </is>
      </c>
      <c r="D684" t="n">
        <v>3</v>
      </c>
      <c r="E684" t="n">
        <v>11</v>
      </c>
      <c r="F684">
        <f>HYPERLINK("https://www.reddit.com/r/diabetes/comments/2y6zro/anyone_on_high_calorie_diets_looking_for_some/")</f>
        <v/>
      </c>
      <c r="G684" t="inlineStr">
        <is>
          <t>2015-03-06 16:35:30</t>
        </is>
      </c>
      <c r="H684" t="inlineStr">
        <is>
          <t>Type 1</t>
        </is>
      </c>
    </row>
    <row r="685">
      <c r="A685" t="inlineStr">
        <is>
          <t>2y7cu3</t>
        </is>
      </c>
      <c r="B685" t="inlineStr">
        <is>
          <t>Staying out of DKA with Keto diet?</t>
        </is>
      </c>
      <c r="C685" t="inlineStr">
        <is>
          <t>So i'm fairly insulin sensitive (1:45 correction, 1:10 breakfast, 1:15 lunch 1:12 dinner) and am in day 2 of my keto diet (Bernstein's 6/12/12) however I'm worried about how small the amount of insulin I'm taking could cause DKA from not enough insulin. I'm eating plenty, not being hungry, feeling full, lots of protein and fat, but one unit of insulin is all I need per meal which is worrying me. I'm also taking split dosage of levemir.
So in short, am I going to stay out of DKA with such tiny insulin requirements?</t>
        </is>
      </c>
      <c r="D685" t="n">
        <v>11</v>
      </c>
      <c r="E685" t="n">
        <v>32</v>
      </c>
      <c r="F685">
        <f>HYPERLINK("https://www.reddit.com/r/diabetes/comments/2y7cu3/staying_out_of_dka_with_keto_diet/")</f>
        <v/>
      </c>
      <c r="G685" t="inlineStr">
        <is>
          <t>2015-03-06 18:44:16</t>
        </is>
      </c>
      <c r="H685" t="inlineStr">
        <is>
          <t>Type 1</t>
        </is>
      </c>
    </row>
    <row r="686">
      <c r="A686" t="inlineStr">
        <is>
          <t>2y8nqz</t>
        </is>
      </c>
      <c r="B686" t="inlineStr">
        <is>
          <t>Question on low/high gi foods and insulin</t>
        </is>
      </c>
      <c r="C686" t="inlineStr">
        <is>
          <t>I am carb counting but have been doing research on low/high gi foods. I understand that lower they are the slower they release but I am confused on how this would work with insulin. I take 20 units of Lantus every night at 1130p then Novolog before any meals. Would eating a strict low gi food diet be worse since the food is slower hitting me when I take my Novolog to where it is better to eat higher gi foods? Or would I be safe eating a strict low gi diet? I'm going food shopping Sunday finally and would like to stock up on the right foods. Thanks for the help as always!!</t>
        </is>
      </c>
      <c r="D686" t="n">
        <v>7</v>
      </c>
      <c r="E686" t="n">
        <v>15</v>
      </c>
      <c r="F686">
        <f>HYPERLINK("https://www.reddit.com/r/diabetes/comments/2y8nqz/question_on_lowhigh_gi_foods_and_insulin/")</f>
        <v/>
      </c>
      <c r="G686" t="inlineStr">
        <is>
          <t>2015-03-07 06:09:22</t>
        </is>
      </c>
      <c r="H686" t="inlineStr">
        <is>
          <t>Type 1</t>
        </is>
      </c>
    </row>
    <row r="687">
      <c r="A687" t="inlineStr">
        <is>
          <t>2y8x7q</t>
        </is>
      </c>
      <c r="B687" t="inlineStr">
        <is>
          <t>As a Type 2, former consumer of diet sodas (level:heroic), I think it wise not to dismiss the possibility of a link between artificial sweeteners and diabetes. Guardian article on Weizman Institute Study in text.</t>
        </is>
      </c>
      <c r="C687" t="inlineStr">
        <is>
          <t>The fact that there is "more diabetes amongst people who consume a lot of diet drinks" is not surprising because many diabetics actively choose to consume these products, and nobody has been able, thus far, to prove that these drinks themselves are a cause of diabetes. However, this article is worth reading.
http://www.theguardian.com/science/2014/sep/17/artificial-sweeteners-diabetes-saccharin-blood-sugar
If there are other Type 2s who consume (or used to consume) large amounts of diet coke or other artificially sweetened drinks, I'd be interested in your (obviously anecdotal) experiences.</t>
        </is>
      </c>
      <c r="D687" t="n">
        <v>0</v>
      </c>
      <c r="E687" t="n">
        <v>6</v>
      </c>
      <c r="F687">
        <f>HYPERLINK("https://www.reddit.com/r/diabetes/comments/2y8x7q/as_a_type_2_former_consumer_of_diet_sodas/")</f>
        <v/>
      </c>
      <c r="G687" t="inlineStr">
        <is>
          <t>2015-03-07 07:55:13</t>
        </is>
      </c>
      <c r="H687" t="inlineStr">
        <is>
          <t>Type 2</t>
        </is>
      </c>
    </row>
    <row r="688">
      <c r="A688" t="inlineStr">
        <is>
          <t>2yb7nl</t>
        </is>
      </c>
      <c r="B688" t="inlineStr">
        <is>
          <t>I fucked up, put 11 units of fast-acting Humalog/Lispro instead of the Levemir I was supposed to before going to bed.</t>
        </is>
      </c>
      <c r="C688" t="inlineStr">
        <is>
          <t>Honestly I'm just posting this just to be extra safe and maybe clear some doubts, I know its just like getting an extra meal at this point and had to eat some carbs real quick to compensate, and checking my sugar every 15min but what I'm not entirely sure about is if its okay to postpone my Levemir intake for a couple of hours? 
I take it everynight at around 11 o'clock, 11 units, but since I just fucked up with this is it okay to wait it out for a couple of hours and take it around 1:00 AM? Also I'm type 1...
Thanks btw, I don't frequent this sub much it sure is useful.</t>
        </is>
      </c>
      <c r="D688" t="n">
        <v>2</v>
      </c>
      <c r="E688" t="n">
        <v>18</v>
      </c>
      <c r="F688">
        <f>HYPERLINK("https://www.reddit.com/r/diabetes/comments/2yb7nl/i_fucked_up_put_11_units_of_fastacting/")</f>
        <v/>
      </c>
      <c r="G688" t="inlineStr">
        <is>
          <t>2015-03-07 21:00:06</t>
        </is>
      </c>
      <c r="H688" t="inlineStr">
        <is>
          <t>Type 1</t>
        </is>
      </c>
    </row>
    <row r="689">
      <c r="A689" t="inlineStr">
        <is>
          <t>2yc9sb</t>
        </is>
      </c>
      <c r="B689" t="inlineStr">
        <is>
          <t>Insulin needs after surgery</t>
        </is>
      </c>
      <c r="C689" t="inlineStr">
        <is>
          <t>Hi all
I just had surgery for a broken ankle and I've been having a hell of a time trying to keep my sugars in check. I called my endo before the surgery but she didn't mention anything about needing any extra insulin during recovery. The thing is though I'm needing to bolus close to 2-3 times what I needed before. I thought I might need to change my site but my sugars do eventually drop so I'm kind of just thrown off. Anyone else go through surgery and have the same issues? Should I change my site?</t>
        </is>
      </c>
      <c r="D689" t="n">
        <v>3</v>
      </c>
      <c r="E689" t="n">
        <v>8</v>
      </c>
      <c r="F689">
        <f>HYPERLINK("https://www.reddit.com/r/diabetes/comments/2yc9sb/insulin_needs_after_surgery/")</f>
        <v/>
      </c>
      <c r="G689" t="inlineStr">
        <is>
          <t>2015-03-08 08:02:43</t>
        </is>
      </c>
      <c r="H689" t="inlineStr">
        <is>
          <t>Type 1</t>
        </is>
      </c>
    </row>
    <row r="690">
      <c r="A690" t="inlineStr">
        <is>
          <t>2ycxud</t>
        </is>
      </c>
      <c r="B690" t="inlineStr">
        <is>
          <t>Acceptable BG before sleeping for the night</t>
        </is>
      </c>
      <c r="C690" t="inlineStr">
        <is>
          <t xml:space="preserve">I am new to Victoza and also on 2000 mg metformin. What do you consider an acceptable range for your bg that wouldn't require you to eat something before heading to bed. My sugars are reading much lower now that I am taking Victoza and I want to make sure I won't go too low during my sleep. At 90 should I have a snack if I expect to sleep for 8 hrs? 
</t>
        </is>
      </c>
      <c r="D690" t="n">
        <v>10</v>
      </c>
      <c r="E690" t="n">
        <v>10</v>
      </c>
      <c r="F690">
        <f>HYPERLINK("https://www.reddit.com/r/diabetes/comments/2ycxud/acceptable_bg_before_sleeping_for_the_night/")</f>
        <v/>
      </c>
      <c r="G690" t="inlineStr">
        <is>
          <t>2015-03-08 11:49:48</t>
        </is>
      </c>
      <c r="H690" t="inlineStr">
        <is>
          <t>Type 1.5/LADA</t>
        </is>
      </c>
    </row>
    <row r="691">
      <c r="A691" t="inlineStr">
        <is>
          <t>2ydiru</t>
        </is>
      </c>
      <c r="B691" t="inlineStr">
        <is>
          <t>HbA1C (Glycated hemoglobin) : What is yours ?</t>
        </is>
      </c>
      <c r="C691" t="inlineStr">
        <is>
          <t>Hey, first post on this sub, so, I'm a young belgian, I'm 20 years old and I have Type 1, and I had this since my 10years old, so it's been a while.
So, my question is, what's the "standard" of your clinic about your Glycated hemoglobin ? Mine is under 7, and I have something like 6.9-7.1 since my 10 years.
But I would like to know about you, your country etc.
Also, I use Levemir and Novorapid, Levemir when I go to sleep, and Novorapid about 5-6 times a day. (Before that I had Actrapid and Insultard but I prefer my actual scheme)
And sorry for my english.
Edit : I don't use pump, and in my clinic, doctors wouldn't recommand it. I think it's a easy way to go with your diabetes and I don't really like the fact than I have less control on my own health, but that's my opinion, maybe it's more comfortable with pumps but I don't know, never see.</t>
        </is>
      </c>
      <c r="D691" t="n">
        <v>2</v>
      </c>
      <c r="E691" t="n">
        <v>16</v>
      </c>
      <c r="F691">
        <f>HYPERLINK("https://www.reddit.com/r/diabetes/comments/2ydiru/hba1c_glycated_hemoglobin_what_is_yours/")</f>
        <v/>
      </c>
      <c r="G691" t="inlineStr">
        <is>
          <t>2015-03-08 14:42:21</t>
        </is>
      </c>
      <c r="H691" t="inlineStr">
        <is>
          <t>Type 1</t>
        </is>
      </c>
    </row>
    <row r="692">
      <c r="A692" t="inlineStr">
        <is>
          <t>2ye8tz</t>
        </is>
      </c>
      <c r="B692" t="inlineStr">
        <is>
          <t>Victoza for Type 1</t>
        </is>
      </c>
      <c r="C692" t="inlineStr">
        <is>
          <t>Today I met a fellow type 1 who is taking Victoza with great success! Any other Type 1s taking it?</t>
        </is>
      </c>
      <c r="D692" t="n">
        <v>3</v>
      </c>
      <c r="E692" t="n">
        <v>8</v>
      </c>
      <c r="F692">
        <f>HYPERLINK("https://www.reddit.com/r/diabetes/comments/2ye8tz/victoza_for_type_1/")</f>
        <v/>
      </c>
      <c r="G692" t="inlineStr">
        <is>
          <t>2015-03-08 18:27:53</t>
        </is>
      </c>
      <c r="H692" t="inlineStr">
        <is>
          <t>Type 1</t>
        </is>
      </c>
    </row>
    <row r="693">
      <c r="A693" t="inlineStr">
        <is>
          <t>2yey1j</t>
        </is>
      </c>
      <c r="B693" t="inlineStr">
        <is>
          <t>[T1] Annoyingly Stuck in the 200's</t>
        </is>
      </c>
      <c r="C693" t="inlineStr">
        <is>
          <t>I was diagnosed with type 1 in October of last year. I have been doing alright, I got my A1C back a few weeks ago and it was 8.0, down from 10.8 when I was diagnosed. My doctor said my goal is to stay out of the 200's as much as I can. However, or some reason I cannot seem to stay out of the 200's. I'm sure many of you know the pure frustration that can come from trying so hard to get to a certain level and having so many problems trying to accomplish that. What could I be missing? I do (what I believe) to be a good job of carb counting. Are there things I could be missing that might be raising my BG? I'm currently on MDI. And please no "you really should stay out of the 200's it's super unhealthy" because I'm aware of that.</t>
        </is>
      </c>
      <c r="D693" t="n">
        <v>4</v>
      </c>
      <c r="E693" t="n">
        <v>9</v>
      </c>
      <c r="F693">
        <f>HYPERLINK("https://www.reddit.com/r/diabetes/comments/2yey1j/t1_annoyingly_stuck_in_the_200s/")</f>
        <v/>
      </c>
      <c r="G693" t="inlineStr">
        <is>
          <t>2015-03-08 22:37:24</t>
        </is>
      </c>
      <c r="H693" t="inlineStr">
        <is>
          <t>Type 1</t>
        </is>
      </c>
    </row>
    <row r="694">
      <c r="A694" t="inlineStr">
        <is>
          <t>2yezb3</t>
        </is>
      </c>
      <c r="B694" t="inlineStr">
        <is>
          <t>Why I have a love/hate relationship with my OmniPod. [T1]</t>
        </is>
      </c>
      <c r="C694" t="inlineStr">
        <is>
          <t>I chose to get an Omnipod as my first insulin pump.  I loved it at first! Then I had to upgrade to the newest one and I have had nothing but problems out of it. Anyone else?</t>
        </is>
      </c>
      <c r="D694" t="n">
        <v>1</v>
      </c>
      <c r="E694" t="n">
        <v>6</v>
      </c>
      <c r="F694">
        <f>HYPERLINK("https://www.reddit.com/r/diabetes/comments/2yezb3/why_i_have_a_lovehate_relationship_with_my/")</f>
        <v/>
      </c>
      <c r="G694" t="inlineStr">
        <is>
          <t>2015-03-08 22:53:42</t>
        </is>
      </c>
      <c r="H694" t="inlineStr">
        <is>
          <t>Type 1</t>
        </is>
      </c>
    </row>
    <row r="695">
      <c r="A695" t="inlineStr">
        <is>
          <t>2yfd37</t>
        </is>
      </c>
      <c r="B695" t="inlineStr">
        <is>
          <t>DKA or not -.-</t>
        </is>
      </c>
      <c r="C695" t="inlineStr">
        <is>
          <t>Hi all!
So this morning, I woke up and immediately thought something was wrong. I felt like I'd slipped into DKA overnight with how I was feeling (and this used to happen a few years ago).
I'm feeling high, thirsty, headache - you guys know the feeling. But then I've got that ketone burn in my throat when I breathe, and that slight dizziness every time I'm taking a breath, just like how I would in my past DKA episodes.
So I tested my bloods and my ketones - nada. My blood sugars are sat comfortably right now between 6 and 9 (Think 108 - 162 for the mg/dl'ers), and my ketones are showing literally nothing by both urine AND blood (I'm honestly feeling unwell enough to have debated whether my urine was wrong -.-).
I've posted this up on the diabetes.uk forum - but I'm getting very few replies I guess due to it being working hours in the UK.
Any ideas what the heck is going on?
- Lydia x</t>
        </is>
      </c>
      <c r="D695" t="n">
        <v>1</v>
      </c>
      <c r="E695" t="n">
        <v>22</v>
      </c>
      <c r="F695">
        <f>HYPERLINK("https://www.reddit.com/r/diabetes/comments/2yfd37/dka_or_not/")</f>
        <v/>
      </c>
      <c r="G695" t="inlineStr">
        <is>
          <t>2015-03-09 02:33:18</t>
        </is>
      </c>
      <c r="H695" t="inlineStr">
        <is>
          <t>Type 1</t>
        </is>
      </c>
    </row>
    <row r="696">
      <c r="A696" t="inlineStr">
        <is>
          <t>2ygljj</t>
        </is>
      </c>
      <c r="B696" t="inlineStr">
        <is>
          <t>Metformin and Stomach Relief</t>
        </is>
      </c>
      <c r="C696" t="inlineStr">
        <is>
          <t>So, I'm on a myriad of medications for my Type 2 beetus. Lantus, Losartan, Glipizide, Lisinopril, and that glorious mover of bowels, Metformin. So you can imagine the buffet of side effects I got going on here. But lately, the stomach churning has hit an all-time high, and my new job isn't conducive to scampering off to the head every ten minutes. Now, my bottle of off-brand Pepto has a Diabetic warning on it. I looked it up online, but my Google Fu is apparently not that strong; I've read that I shouldn't take it because either it will lower my sugar, raise my sugar, or cause my Met to not work properly. Can anyone help me out with this? If it's because it will lower my blood sugar, I am 100% okay with that. But I'm not looking forward to the literal shitstorm that's brewing if I can't take anything for this.</t>
        </is>
      </c>
      <c r="D696" t="n">
        <v>6</v>
      </c>
      <c r="E696" t="n">
        <v>33</v>
      </c>
      <c r="F696">
        <f>HYPERLINK("https://www.reddit.com/r/diabetes/comments/2ygljj/metformin_and_stomach_relief/")</f>
        <v/>
      </c>
      <c r="G696" t="inlineStr">
        <is>
          <t>2015-03-09 10:27:38</t>
        </is>
      </c>
      <c r="H696" t="inlineStr">
        <is>
          <t>Type 2</t>
        </is>
      </c>
    </row>
    <row r="697">
      <c r="A697" t="inlineStr">
        <is>
          <t>2yglmw</t>
        </is>
      </c>
      <c r="B697" t="inlineStr">
        <is>
          <t>Confused on how to account for these carbs</t>
        </is>
      </c>
      <c r="C697" t="inlineStr">
        <is>
          <t>So I bought some whole wheat Mission tortillas and the package says "carb choice" and on the back it lists total carbs - dietary fiber = carbs that affect blood sugar. Does this mean I use this as my carb # when carb counting or do I still use the total carbs. I forget the exact math but basically it says:
Total carbs - 20g
Dietary fiber - 10g
Total carbs that affect blood sugar - 10g
Do I use 20 still or 10?</t>
        </is>
      </c>
      <c r="D697" t="n">
        <v>2</v>
      </c>
      <c r="E697" t="n">
        <v>21</v>
      </c>
      <c r="F697">
        <f>HYPERLINK("https://www.reddit.com/r/diabetes/comments/2yglmw/confused_on_how_to_account_for_these_carbs/")</f>
        <v/>
      </c>
      <c r="G697" t="inlineStr">
        <is>
          <t>2015-03-09 10:28:27</t>
        </is>
      </c>
      <c r="H697" t="inlineStr">
        <is>
          <t>Type 1</t>
        </is>
      </c>
    </row>
    <row r="698">
      <c r="A698" t="inlineStr">
        <is>
          <t>2ykkpv</t>
        </is>
      </c>
      <c r="B698" t="inlineStr">
        <is>
          <t>I am debating starting Afrezza (T2) can any users post about their experiences?</t>
        </is>
      </c>
      <c r="C698" t="inlineStr">
        <is>
          <t>I just want to avoid hypos and I have read that it does a pretty good job in doing so. Everything is telling me to go see my endo and get it, but I just need that push to know that it works.</t>
        </is>
      </c>
      <c r="D698" t="n">
        <v>4</v>
      </c>
      <c r="E698" t="n">
        <v>33</v>
      </c>
      <c r="F698">
        <f>HYPERLINK("https://www.reddit.com/r/diabetes/comments/2ykkpv/i_am_debating_starting_afrezza_t2_can_any_users/")</f>
        <v/>
      </c>
      <c r="G698" t="inlineStr">
        <is>
          <t>2015-03-10 09:20:41</t>
        </is>
      </c>
      <c r="H698" t="inlineStr">
        <is>
          <t>Type 2</t>
        </is>
      </c>
    </row>
    <row r="699">
      <c r="A699" t="inlineStr">
        <is>
          <t>2yl8cb</t>
        </is>
      </c>
      <c r="B699" t="inlineStr">
        <is>
          <t>Insulin options for Type 1</t>
        </is>
      </c>
      <c r="C699" t="inlineStr">
        <is>
          <t>My wife was diagnosed as Type 2 MODY in her late teens. We knew the day would come where she hit Type 1 but no idea when. The past several weeks she began getting bad headaches, got sluggish and depressed. We set up an appointment with the Endocrinologist and he diagnosed her as Type 1. Her A1C jumped from 7.1 to 9.9 between doctors visits. The doctor suggested taking 2 different types of insulin with pen injections 5 times a day. One of them being Novalog and I can't recall the other right now. Does anyone have any experience or any suggestions to ask the Dr. about that may need less injections over the course of a day? We are aware of the pumps and constant monitoring systems, but we will have to wait and see how much our insurance can help in this case.</t>
        </is>
      </c>
      <c r="D699" t="n">
        <v>0</v>
      </c>
      <c r="E699" t="n">
        <v>11</v>
      </c>
      <c r="F699">
        <f>HYPERLINK("https://www.reddit.com/r/diabetes/comments/2yl8cb/insulin_options_for_type_1/")</f>
        <v/>
      </c>
      <c r="G699" t="inlineStr">
        <is>
          <t>2015-03-10 12:10:30</t>
        </is>
      </c>
      <c r="H699" t="inlineStr">
        <is>
          <t>Type 1</t>
        </is>
      </c>
    </row>
    <row r="700">
      <c r="A700" t="inlineStr">
        <is>
          <t>2ylq57</t>
        </is>
      </c>
      <c r="B700" t="inlineStr">
        <is>
          <t>Where is the best place to put your pod?</t>
        </is>
      </c>
      <c r="C700" t="inlineStr">
        <is>
          <t>Hi I am a Type-1 Diabetic and I am very active especially in sports. I wanted to get some insight on where other people set up their Insulin pumps, specifically Omnipod users. I currently use the Omnipod and my favorite infusion sights are on my legs (thighs), but I NEED to rotate to another spot. I want a place I can put my pod that won't be distracting while I sleep, play sports, have sex....
Any suggestions?</t>
        </is>
      </c>
      <c r="D700" t="n">
        <v>2</v>
      </c>
      <c r="E700" t="n">
        <v>10</v>
      </c>
      <c r="F700">
        <f>HYPERLINK("https://www.reddit.com/r/diabetes/comments/2ylq57/where_is_the_best_place_to_put_your_pod/")</f>
        <v/>
      </c>
      <c r="G700" t="inlineStr">
        <is>
          <t>2015-03-10 14:12:10</t>
        </is>
      </c>
      <c r="H700" t="inlineStr">
        <is>
          <t>Type 1</t>
        </is>
      </c>
    </row>
    <row r="701">
      <c r="A701" t="inlineStr">
        <is>
          <t>2yluow</t>
        </is>
      </c>
      <c r="B701" t="inlineStr">
        <is>
          <t>Here's to all the hard work we have to do to stay healthy with this shitty condition. A big f-you to diabetes!</t>
        </is>
      </c>
      <c r="C701" t="inlineStr">
        <is>
          <t xml:space="preserve">I know it's inherently at least a little douchey to post a picture like this, but I have worked so goddamn hard to get where I am today and I want to share it with someone. You people know what kind of work goes into managing this condition; you know how relentless it is. Well, I am relentless too. I will never quit working hard to overcome diabetes. 
[Here](http://i.imgur.com/TolpFKP.jpg) is what my work looks like. I lost 10 lbs in two months after joining a gym. So if there are any newly diagnosed diabetics seeing this, take heart! Diabetes is probably going to be one of the greatest challenges in your life, but you can manage it! </t>
        </is>
      </c>
      <c r="D701" t="n">
        <v>48</v>
      </c>
      <c r="E701" t="n">
        <v>27</v>
      </c>
      <c r="F701">
        <f>HYPERLINK("https://www.reddit.com/r/diabetes/comments/2yluow/heres_to_all_the_hard_work_we_have_to_do_to_stay/")</f>
        <v/>
      </c>
      <c r="G701" t="inlineStr">
        <is>
          <t>2015-03-10 14:45:14</t>
        </is>
      </c>
      <c r="H701" t="inlineStr">
        <is>
          <t>Type 1</t>
        </is>
      </c>
    </row>
    <row r="702">
      <c r="A702" t="inlineStr">
        <is>
          <t>2yn2t7</t>
        </is>
      </c>
      <c r="B702" t="inlineStr">
        <is>
          <t>Pump wearing ladies.. a question about dresses.. and skirts.. and just in general outfits without pockets.</t>
        </is>
      </c>
      <c r="C702" t="inlineStr">
        <is>
          <t>So, I've worn a minimed pump since I was like 14. So more than 10 years and over the years I've struggled with the different attachment accessories (bra pockets, etc) but also hated the idea of precariously tucking it into the waste line of my panties when wearing clothes with out pockets, especially dresses.
For sooooo long I just avoided dresses which really made me sad until I realized one day if I bought those tummy control panties I could easily hold my pump there and get away with a dress and not have the constant fear of it ending up hanging between my legs. This leaves a lot to be desired at the end of the day when I'm changing and my SO sneaks a peak. (He doesn't *really* mind, cause hey, he's still sneaking a peak, but I mean they're pretty granny panty looking) 
I'm just wondering if anyone else has any good suggestions for over coming this issue?</t>
        </is>
      </c>
      <c r="D702" t="n">
        <v>3</v>
      </c>
      <c r="E702" t="n">
        <v>21</v>
      </c>
      <c r="F702">
        <f>HYPERLINK("https://www.reddit.com/r/diabetes/comments/2yn2t7/pump_wearing_ladies_a_question_about_dresses_and/")</f>
        <v/>
      </c>
      <c r="G702" t="inlineStr">
        <is>
          <t>2015-03-10 20:34:20</t>
        </is>
      </c>
      <c r="H702" t="inlineStr">
        <is>
          <t>Type 1</t>
        </is>
      </c>
    </row>
    <row r="703">
      <c r="A703" t="inlineStr">
        <is>
          <t>2ynp92</t>
        </is>
      </c>
      <c r="B703" t="inlineStr">
        <is>
          <t>Recently diagnosed Type 2</t>
        </is>
      </c>
      <c r="C703" t="inlineStr">
        <is>
          <t>Hey there. I'll start off by saying that I'm 19 years old and weigh 160 pounds.
I got diagnosed as type 2 diabetic and as a result, I've only been eating leafy greens, tuna and some nuts. I've basically went on a starvation diet and I'm exercising all the time now. At least an hour each day.
My blood sugar level still isn't down after a week. I got a reading of 127 mg/dl after not eating anything today. That's just how it is all the time now.
I feel angry all the time. I don't know if it's done damage to my brain or something, but I already had a brain disorder before this and I can feel like something's changed. Before I was always suicidal and anxious because of my autism spectrum disorder. Being gay didn't exactly help the suicidal feelings.
I don't know what to say anymore. Just thought I'd post that to let you guys know that it does happen to people like me. And it sucks because apparently I caused this by myself. So I don't get sympathy from Type 1s or doctors or anything. I don't know if I can live with this guilt. I don't know if anyone will leave a comment but just getting this out there is helping me somewhat. I'm still nowhere near accepting it at the moment... I felt like my life was horrible before this (because I also had a disfigurement) but now I just don't know anymore.</t>
        </is>
      </c>
      <c r="D703" t="n">
        <v>1</v>
      </c>
      <c r="E703" t="n">
        <v>1</v>
      </c>
      <c r="F703">
        <f>HYPERLINK("https://www.reddit.com/r/diabetes/comments/2ynp92/recently_diagnosed_type_2/")</f>
        <v/>
      </c>
      <c r="G703" t="inlineStr">
        <is>
          <t>2015-03-11 01:06:03</t>
        </is>
      </c>
      <c r="H703" t="inlineStr">
        <is>
          <t>Type 2</t>
        </is>
      </c>
    </row>
    <row r="704">
      <c r="A704" t="inlineStr">
        <is>
          <t>2yoykh</t>
        </is>
      </c>
      <c r="B704" t="inlineStr">
        <is>
          <t>Type 2: Had some bad news today was just hoping for some ideas/support...</t>
        </is>
      </c>
      <c r="C704" t="inlineStr">
        <is>
          <t>Hello there, I'm 24 and have been type 2 diabetic for around 6 years now, at first control was awful but then I turned it around and got things in tight control about a year and a half ago I was doing great. Since before Christmas everything changed, I was diagnosed with anaemia and put of folic acid and iron tablets (energy was affected so bad some nights I couldn't even make it up stairs to go to bed) then I got more poorly with vomiting after food, I am now under investigation for coeliac disease/crohn's disease they're not sure exactly what is causing the illness but I go in to hospital for some procedures next month to try get to the bottom of that.
Anyway sorry for rambling just trying to give some background, back to the main story.. had my diabetic review today and my control is so bad (partly because of the other illnesses I mentioned above, rubbish immune system, lack of exercise and needing to lose a lot of weight) all things combined have resulted in this.. the nurse told me I have 2 weeks to turn it around and start showing improvements in my blood sugar readings or I will have to go on insulin permanently which is something I definitely don't want and has terrified me!!
I'm so upset/ashamed/worried if this isn't the kick up the butt I needed I don't know what is. I don't even know where to start I need to find an eating plan suitable, healthy, low carb, etc. I need to exercise more, cut out sugar and drink more water.. I know all the common sense things.. I guess I'm just scared I may fail :( 
Any advice would be greatly appreciated! I don't post much (usually just read) so I guess today I'm just reaching out for anyone who can empathise with my situation, many thanks!</t>
        </is>
      </c>
      <c r="D704" t="n">
        <v>16</v>
      </c>
      <c r="E704" t="n">
        <v>22</v>
      </c>
      <c r="F704">
        <f>HYPERLINK("https://www.reddit.com/r/diabetes/comments/2yoykh/type_2_had_some_bad_news_today_was_just_hoping/")</f>
        <v/>
      </c>
      <c r="G704" t="inlineStr">
        <is>
          <t>2015-03-11 09:40:23</t>
        </is>
      </c>
      <c r="H704" t="inlineStr">
        <is>
          <t>Type 2</t>
        </is>
      </c>
    </row>
    <row r="705">
      <c r="A705" t="inlineStr">
        <is>
          <t>2ysfz2</t>
        </is>
      </c>
      <c r="B705" t="inlineStr">
        <is>
          <t>Blood work came back: A1C down from 6.9 to 6.0!</t>
        </is>
      </c>
      <c r="C705" t="inlineStr">
        <is>
          <t>I'm officially pre-diabetic!!</t>
        </is>
      </c>
      <c r="D705" t="n">
        <v>55</v>
      </c>
      <c r="E705" t="n">
        <v>8</v>
      </c>
      <c r="F705">
        <f>HYPERLINK("https://www.reddit.com/r/diabetes/comments/2ysfz2/blood_work_came_back_a1c_down_from_69_to_60/")</f>
        <v/>
      </c>
      <c r="G705" t="inlineStr">
        <is>
          <t>2015-03-12 05:59:53</t>
        </is>
      </c>
      <c r="H705" t="inlineStr">
        <is>
          <t>Type 2</t>
        </is>
      </c>
    </row>
    <row r="706">
      <c r="A706" t="inlineStr">
        <is>
          <t>2ytu19</t>
        </is>
      </c>
      <c r="B706" t="inlineStr">
        <is>
          <t>About to get a CGM -- dumb question thread</t>
        </is>
      </c>
      <c r="C706" t="inlineStr">
        <is>
          <t>Animas called and said my shiny new vibe should come tomorrow, which is good because my ping is on its last legs. 
I'm interested in what real CGM users do compared to what is officially documented (talking about Dexcom G4).  
1. How long do your sensors/transmitters typically last? They say 1 week and 6 months respectively but how long do you really keep them in? When are you annoyed by a quick death or impressed by long life?
2. How do you keep your sensors attached? I don't do anything fancy for my pump sites currently to get 3-4 days out of them.
3. Where do you attach and how much does the transmitter/sensor get in the way? I've always liked the abdomen both for MDI and pump sites... I'm starting to branch out to keep from scarring up and also because my wife complains that the site scratches her when doing the nasty.
4. Can you/Do you/When do you bolus based on CGM reading? If I'm out without pockets and things are stable I don't always want to carry a BG meter. Do you ever bolus for food or minor corrections without a meter test?
5. Do you or how often do you take a break from the CGM?
If you have anything else to add, I'm happy to learn.</t>
        </is>
      </c>
      <c r="D706" t="n">
        <v>1</v>
      </c>
      <c r="E706" t="n">
        <v>8</v>
      </c>
      <c r="F706">
        <f>HYPERLINK("https://www.reddit.com/r/diabetes/comments/2ytu19/about_to_get_a_cgm_dumb_question_thread/")</f>
        <v/>
      </c>
      <c r="G706" t="inlineStr">
        <is>
          <t>2015-03-12 12:35:52</t>
        </is>
      </c>
      <c r="H706" t="inlineStr">
        <is>
          <t>Type 1</t>
        </is>
      </c>
    </row>
    <row r="707">
      <c r="A707" t="inlineStr">
        <is>
          <t>2yurvt</t>
        </is>
      </c>
      <c r="B707" t="inlineStr">
        <is>
          <t>What would severe low blood sugar feel like? Like, if you injected Novalog instead of novalin on accident?</t>
        </is>
      </c>
      <c r="C707" t="inlineStr">
        <is>
          <t>,</t>
        </is>
      </c>
      <c r="D707" t="n">
        <v>1</v>
      </c>
      <c r="E707" t="n">
        <v>1</v>
      </c>
      <c r="F707">
        <f>HYPERLINK("https://www.reddit.com/r/diabetes/comments/2yurvt/what_would_severe_low_blood_sugar_feel_like_like/")</f>
        <v/>
      </c>
      <c r="G707" t="inlineStr">
        <is>
          <t>2015-03-12 16:54:40</t>
        </is>
      </c>
      <c r="H707" t="inlineStr">
        <is>
          <t>Type 1</t>
        </is>
      </c>
    </row>
    <row r="708">
      <c r="A708" t="inlineStr">
        <is>
          <t>2yve8i</t>
        </is>
      </c>
      <c r="B708" t="inlineStr">
        <is>
          <t>Question on lancet usage</t>
        </is>
      </c>
      <c r="C708" t="inlineStr">
        <is>
          <t>Is there any particular reason why I can't reuse a lancet? Do you guys on here reuse them?</t>
        </is>
      </c>
      <c r="D708" t="n">
        <v>10</v>
      </c>
      <c r="E708" t="n">
        <v>50</v>
      </c>
      <c r="F708">
        <f>HYPERLINK("https://www.reddit.com/r/diabetes/comments/2yve8i/question_on_lancet_usage/")</f>
        <v/>
      </c>
      <c r="G708" t="inlineStr">
        <is>
          <t>2015-03-12 20:09:29</t>
        </is>
      </c>
      <c r="H708" t="inlineStr">
        <is>
          <t>Type 1</t>
        </is>
      </c>
    </row>
    <row r="709">
      <c r="A709" t="inlineStr">
        <is>
          <t>2yvl99</t>
        </is>
      </c>
      <c r="B709" t="inlineStr">
        <is>
          <t>Fiber and food</t>
        </is>
      </c>
      <c r="C709" t="inlineStr">
        <is>
          <t>From my still very limited understanding of things, if a product has 20g of carbs and 10g of fiber, only 10g of those carbs will actually effect blood sugar ratings. With this in mind, if I have food that has say 40g of carbs and no fiber, can I take a fiber supplement to offset the carbs in the food or does the body know that that fiber doesn't "belong" to that other food and thus doesn't break it down like it would if the fiber was in that food already? Hopefully this makes sense. I ask because I plan to use a weight gainer and a full serving is 86g of carbs which isn't terrible since I'm allowed 75g per meal. It only has 5g of fiber but I was thinking of adding a fiber supplement to it to lessen the carbs but not sure it works this way. Any help is appreciated, thanks!</t>
        </is>
      </c>
      <c r="D709" t="n">
        <v>3</v>
      </c>
      <c r="E709" t="n">
        <v>7</v>
      </c>
      <c r="F709">
        <f>HYPERLINK("https://www.reddit.com/r/diabetes/comments/2yvl99/fiber_and_food/")</f>
        <v/>
      </c>
      <c r="G709" t="inlineStr">
        <is>
          <t>2015-03-12 21:14:50</t>
        </is>
      </c>
      <c r="H709" t="inlineStr">
        <is>
          <t>Type 1</t>
        </is>
      </c>
    </row>
    <row r="710">
      <c r="A710" t="inlineStr">
        <is>
          <t>2yvniu</t>
        </is>
      </c>
      <c r="B710" t="inlineStr">
        <is>
          <t>Looking for some advice. Type One.</t>
        </is>
      </c>
      <c r="C710" t="inlineStr">
        <is>
          <t xml:space="preserve">Hello. I've been diabetic 20 or so years. Type one. Found out when I was six. For the past several years I've been without insurance. It'd been a while before that since I'd seen an endo. Typical teenage rebellion. Not smart. But overall I'd never had much trouble with my sugar til recently. High spikes, randomly, mostly at night or in the early morning. It got so bad I ended up sucking it up and shelling out the money to see a friend of the family who happens to run an urgent care. Not an endo. (starting to think that was a mistake.) He took some blood, suggested switching from Novolin N to (the so expensive my family had to start me a fundraiser) Levemir. It's been a week and I'm still spiking super high, and now i'm having to do "boost" shots of humalog to keep myself down during the day, where at least before I was relatively normal. It's becoming unlivable. I'm contemplating switching back, because I just don't feel... right. Even when my sugar is where it should be, I feel off. I can't sleep, either due to spikes or that strange off feeling. As soon as I get accepted by medicaid (god willing it happens this time, and soon), I'm finding an endo. 
So, I guess I'm just wondering, do any of you have any thoughts or advice? My years and years long plan of "i know my body, I got this" seems to have not been the wisest choice. Any help would be appreciated. </t>
        </is>
      </c>
      <c r="D710" t="n">
        <v>3</v>
      </c>
      <c r="E710" t="n">
        <v>6</v>
      </c>
      <c r="F710">
        <f>HYPERLINK("https://www.reddit.com/r/diabetes/comments/2yvniu/looking_for_some_advice_type_one/")</f>
        <v/>
      </c>
      <c r="G710" t="inlineStr">
        <is>
          <t>2015-03-12 21:39:00</t>
        </is>
      </c>
      <c r="H710" t="inlineStr">
        <is>
          <t>Type 1</t>
        </is>
      </c>
    </row>
    <row r="711">
      <c r="A711" t="inlineStr">
        <is>
          <t>2yxiyh</t>
        </is>
      </c>
      <c r="B711" t="inlineStr">
        <is>
          <t>Got my A1c back today...</t>
        </is>
      </c>
      <c r="C711" t="inlineStr">
        <is>
          <t>6.6%!!! This is the lowest it has been since I was probably in HS, I can't even remember. I have been type 1 since I was 3 years old (am 23 now) and I have always had decent control, never let myself go above 8.0, but have been floating around the 7.2-7.6 range for the last few years in college.
This year I have completely changed my diet and have gotten into a very regular routine. I have worked very very hard at getting it as low as possible, and when the doc came back and told me I screamed with excitement and I definitely don't think he was ready for it. I could tell it made his day. I know 6.6 isn't the best, but it is the best it has been for me in a long time. I definitely want to keep bringing it down, I am very motivated.
TO EVERYONE WHO IS HAVING TROUBLE GETTING ON TRACK: We all do. Maintaining normal blood sugar levels is a hard thing to do, we aren't meant to do it manually. There will be days when shit is WACK, and then there will be days when everything is well. When I was in a funk, I always checked this sub to see what people found worked. This community has been extremely supportive, and I believe everyone in this sub believes in helping one another. IF YOU HAVE QUESTIONS, ASK. I, and everyone else, are here to help.
Sorry for the rant, I am just really excited.</t>
        </is>
      </c>
      <c r="D711" t="n">
        <v>13</v>
      </c>
      <c r="E711" t="n">
        <v>19</v>
      </c>
      <c r="F711">
        <f>HYPERLINK("https://www.reddit.com/r/diabetes/comments/2yxiyh/got_my_a1c_back_today/")</f>
        <v/>
      </c>
      <c r="G711" t="inlineStr">
        <is>
          <t>2015-03-13 10:38:03</t>
        </is>
      </c>
      <c r="H711" t="inlineStr">
        <is>
          <t>Type 1</t>
        </is>
      </c>
    </row>
    <row r="712">
      <c r="A712" t="inlineStr">
        <is>
          <t>2yyfeo</t>
        </is>
      </c>
      <c r="B712" t="inlineStr">
        <is>
          <t>Diagnosed as a type 2, then type 1.5 LADA - Now I'm a MODY.</t>
        </is>
      </c>
      <c r="C712" t="inlineStr">
        <is>
          <t xml:space="preserve">Fasting Numbers are 160-200
Post Prandials (2 Hours) 250-350
C - Peptide Level 5.0
GAD65 Negative
currently on 28 units daily of 70/30 Novolin/humulin NPH. 
2000 MG of Metformin
What do i need to be aware of in regards to this diagnosis. </t>
        </is>
      </c>
      <c r="D712" t="n">
        <v>1</v>
      </c>
      <c r="E712" t="n">
        <v>1</v>
      </c>
      <c r="F712">
        <f>HYPERLINK("https://www.reddit.com/r/diabetes/comments/2yyfeo/diagnosed_as_a_type_2_then_type_15_lada_now_im_a/")</f>
        <v/>
      </c>
      <c r="G712" t="inlineStr">
        <is>
          <t>2015-03-13 14:48:24</t>
        </is>
      </c>
      <c r="H712" t="inlineStr">
        <is>
          <t>Type 1.5/LADA</t>
        </is>
      </c>
    </row>
    <row r="713">
      <c r="A713" t="inlineStr">
        <is>
          <t>2z0d6o</t>
        </is>
      </c>
      <c r="B713" t="inlineStr">
        <is>
          <t>I'm going to cure my diabetes (part 4)</t>
        </is>
      </c>
      <c r="C713" t="inlineStr">
        <is>
          <t>Original post here:http://www.reddit.com/r/diabetes/comments/2uk6xu/im_going_to_cure_my_t2_diabetes_no_fatties/ 
Second post here: http://www.reddit.com/r/diabetes/comments/2w5brt/im_going_to_cure_my_t2_diabetes_part_2/ 
Third post here:
http://www.reddit.com/r/diabetes/comments/2xhc11/im_going_to_cure_my_type_2_diabetes_part_3/
My post on the diabetes.co.uk forum: http://www.diabetes.co.uk/forum/threads/embarking-on-the-newcastle-diet.72394/ 
My blog, hosted my the charity Diabetes UK (the sponsors of the Newcastle study): http://www.diabetes.co.uk/forum/xfa-blogs/glitterbritches.161845/
Long story short, I am documenting my journey on a very low calorie diet, which has been shown to reverse/cure type 2 diabetes. The theory is that a significant "negative energy" diet will restore liver and pancreatic function so that both will handle carbs the "correct" way i.e. The liver won't keep dumping too much glucose into the bloodstream and pancreatic beta cells will produce the appropriate amount of insulin (and at the right time) while insulin resistance in cells will decrease - in short, making someone a non-diabetic by all diagnostic tests (A1C, fasting glucose, and performance on an oral glucose tolerance test).
I am six weeks into an 8-10 week experiment, with the end goal of curing my diabetes. Follow along if you like.
**March 13, 2015:** morning BG @96, weight at 202.5. This feels fantastic.
**March 14, 2015: PI DAY!** morning BG @ 95, weight at 202.5. After days of letting my body rest, I am going to resume biking this morning . . . But gonna keep it relatively light, and not do any weightlifting. Tonight is the dreaded annual charity dinner and auction, where maintaining my diet will be very difficult. Still formulating a plan to cope - whether I skip a lot of calories today, eat a little something tonight, and end up with one day of nutrient deficiency, or whether I attend the event as an aesthetic is currently up in the air. We'll see how the day develops. But I charted some of my numbers since January:
My average fasting BG since I started is around 93.5 mg/dL (5.2 mmol/L, would work out to an A1C of 4.8%). My BG obviously goes up when I eat, but is also lower throughout the day and just before bed, usually around 85 mg/dL (4.7 mmol/L, A1C of 4.6%). I'm actually getting my A1C tested next Friday, the 20th (among other tests) so then I'll know what my numbers are at. 
I've also been losing, on average, four pounds a week. My BMI is currently around a 28, and I've lost more than 4" off my waist (wish I would have been taking measurements instead of having to rely on pants size). I look a great deal thinner - the excess weight around my face is almost entirely gone, and my arms and legs are a little leaner (easier to see muscle definition, what little I have). The belly fat is incredibly depleted . . . But definitely still there, as a little shelf that still hangs over my waistline. At the end of the diet, I'll post pictures - I wasn't smart enough to take measurements at the start, but I did take a couple pictures to compare to, thank God.
Last time I attended the event I'm going to this evening, I weighed 260 lbs (I conveniently visited the doctor around that time, so looking up my weight was easy - I certainly wasn't using a scale back then!) and I'll be able to compare pictures from last year versus this year soon enough. I'm in the home stretch, the end of the begining, and just need to make it through the next 2-3 weeks before transitioning to a diet higher in carbs and higher in exercise, before testing myself with an OGTT. Then, of course, quitting smoking and training for that 5k! (Even if my pancreas remains stubborn and refuses to provide me with the insulin I need).
**March 15, 2015:** morning BG @ 86, weight at 202.5. Stayed up waaay too late for my poor body last night (normally in bed between 9:00 and 10:00, I was up until like 12:30) but had a lot of fun. Attended a formal dinner/award ceremony/live auction that is always fun, and got to show off my new body (or rather, would have shown it off if my suit actually fit - at one point, I started singing "Can't Touch This" and started dancing around to demonstrate my parachute pants), but I got lots of comments about how much thinner I look that had to be based on my face alone. We used a safety pin to collect the extra fabric around my waist and bunch it up on my hip, which is at best a temporary solution. A good problem to have, but I may have to spend a lot of money updating my wardrobe - I'm not sure what I have now can even be reasonably tailored anymore, much less after more weight loss. And these are suits that I haven't been able to even wear for like six years! The most recent suits are almost comical - including, sadly, the one and only fully custom tailored suit that I sprung for for my wedding :( But as expected (and somewhat planned for) I "cheated" last night once people started putting food in front of me. I avoided the bread, but instead of sticking to steak and vegetables, I also had a salad with carb-heavy honey French dressing (not sure what was actually in the dressing), a baked potato . . . and a slice of chocolate cake (with a very sugary frosting). Thankfully, the portions at these types of things are much smaller than what I would usually eat (a good gauge of what actual portions are probably supposed to look like), but I was more than worried about my BG after eating a meal unlike anything I had consumed since diagnosed. Imagine my shock when my BG (close to two hours after finishing eating) was at 82! Made it hard to sleep last night, wondering about the implications, and doubly wondering about my morning BG. turns out I didn't need to worry, my morning BG was great (for me) as well. Last night I was wondering if I was "done," despite still being overweight, but as tired as I am this morning I know better. I still have weight to lose before reintroducing carbs and ramping up exercise - I want to start building muscle and further reducing insulin resistance from a normal BMI if possible. It's been six weeks since any Metformin, and longer without Glimepiride. 
**March 16, 2015:** morning BG @ 106, weight at 202. Yesterday was surprisingly stressful for a weekend, I ended up very cranky, and I slept like crap. Hoping to turn things around today, starting with some early morning exercise. Luckily today is a "light" day at work, so hopefully that will help. 
**March 17, 2015:** morning BG @99, weight still at 202. Have not had a bowel movement in like four days, thinking that steak I had on Saturday is causing me trouble. Prior to that, my bowel movements had regularized. I am hoping like hell that today (specifically, this morning) I see improvement on that front. Exercised yesterday (just cardio, not interval, but kept my heart rate around 150) and going to do it again this morning (but even lighter) and I've been drinking 150 calories/26g of whey protein every day regardless of exercise just to keep my body fueled. One good development is that since the air temps finally got above freezing, I haven't felt the chronic cold I was feeling previously, something very welcome. If I see this through to 8 weeks, I only have 10 days left! However, at this point I've really hit my stride, and may (as crazy as it sounds) continue on for another week or two at max and see if I can ease myself into the "normal" BMI range for the first time in decades before transitioning into a normal diet - we'll see. The urge to start reintroducing more carbs and upping my daily exercise is becoming a bit overwhelming at times - I want to run a marathon, but I really want to do a full marathon and/or a triatholon by the end of summer, and I'm anxious to get going :) baby steps. 
(Side note: I think "10 days" is a math error. If I'm on week 6' heading into week 7, I might have 16 days left. I'll have to count on a calendar).
**March 18, 2015:** morning BG @ 96, weight remains at 202. Constipated again - tried pretty hard to get my colon to move yesterday, to no effect. Water consumption has been stellar, so I'm blaming Saturday's steak. I used light laxatives yesterday, today (unless this morning's tea and smoke changes something) I'll be going with the "nuclear option" and clearing myself out. Even without the weight loss on the scale, I'm seeing a little more definition in my upper stomach, just below the ribs. There is still a pouch of belly fat hanging there, can't wait to see it gone. Funny story: I logged into MyFitnessPal for the first time in 36 months a couple of days ago, and it still had my old weight (and weightloss goals) loaded in the program. current weight? 265. Goal weight? 205! I've officially passed the goal weight I set over two years ago - back then I tried to start running, and it lasted about two weeks (if I recall correctly). Feeling how I feel now, i can't imagine running with that much extra weight landing on every footstep. I also recall hating the stationary bike, something I now love, which shows how your brain will struggle to keep you fat. It truly is easier to change your body than change your mind.
**March 19, 2015:** morning BG at 89, weight at 200.8. I bought a new scale! It's a fancy Withings Wifi Scale, and man I wish I had this the whole time, even though it is a little pricy. It auto magically uploads your weight and fat% to a web app that tracks your stats, calculates BMI, and shows you a nifty graph of your progress. I also splurged on a heart rate minor that similarly syncs stats such as VO2Max, heart rate during exercise, and other stats like calories burned, distance ran, etc. I would have loved to have seen the graph drop since diagnosis, but I've still got weight to lose, so I'll get to see something! The VO2 meter is, by all accounts, very accurate, so as I get in better shape and finally kick smoking I will get the distinct pleasure of watching those numbers get substantially healthier. Oh, and did I mention . . . SEVEN WEEKS! just 7 more days to go! Tonight will start a 12 hour fast prior to the scheduled blood work tomorrow, including 12 hours of no smoking, not waking up with tea, so tomorrow promises to be a very cranky day :)
**March 20, 2015:** morning BG @ 94, weight at 198.6. Can't put into words what I felt when I looked at a scale reading below 200 pounds, so I won't try. Getting blood work done in a couple hours, which will assess not just my A1C but also liver function and basic metabolic functions, so we'll see how my body is holding up. One week left to mimic Newcastle study; maybe three weeks left if I want to get my BMI out of the overweight range, although I am thinking that I'd rather eat more/exercise more versus eat less/exercise less :)
**March 21, 2015:** morning BG @ 91, weight at 198.8. Got my blood results back yesterday, and posted the results here: http://www.reddit.com/r/diabetes/comments/2zqlb7/seven_weeks_of_newcastle_diet_blood_results_are_in/
Long story short, everything was good news - A1C dropped, total cholesterol dropped, blood triglyceride was great, liver and kidney function are good, electrolytes are good . . . in short, it was a good day! The one number that needs to improve is my HDL -  it's dipped slightly from an already too-low state, but cholesterol/lipids are tricky, and considering all my lifestyle changes I have no worries about that right now (expecting to see that number much higher the next time we test). Could. Not. Be. Happier (well, could be . . . once I quit smoking!)
**March 22, 2015:** morning BG @ 94, weight at 197.7. Vigorous exercise yesterday morning - kept heart rate at a 150 average for over 20 minutes of thirty minute workout, then moved to core stabilizing exercises. We're supposed to get 3"-6" of snow today, what the hell :(
**March 23, 2015:** morning BG @ 109, weight at 198.7. Worked out very hard with weights yesterday morning, very sore this a.m. Feels good :)
**March 24, 2015:** morning BG @ 90, weight at 198.5. Rest day from exercise yesterday, biking this morning. Three days to go!</t>
        </is>
      </c>
      <c r="D713" t="n">
        <v>0</v>
      </c>
      <c r="E713" t="n">
        <v>33</v>
      </c>
      <c r="F713">
        <f>HYPERLINK("https://www.reddit.com/r/diabetes/comments/2z0d6o/im_going_to_cure_my_diabetes_part_4/")</f>
        <v/>
      </c>
      <c r="G713" t="inlineStr">
        <is>
          <t>2015-03-14 04:14:19</t>
        </is>
      </c>
      <c r="H713" t="inlineStr">
        <is>
          <t>Type 2</t>
        </is>
      </c>
    </row>
    <row r="714">
      <c r="A714" t="inlineStr">
        <is>
          <t>2z0uhq</t>
        </is>
      </c>
      <c r="B714" t="inlineStr">
        <is>
          <t>Needed to share with people who will get it</t>
        </is>
      </c>
      <c r="C714" t="inlineStr">
        <is>
          <t>I eat a super low carb diet and was reading //r/keto when I saw [this post](http://www.reddit.com/r/keto/comments/2z0n2l/advice_for_my_wife_who_is_diabetic_and_wants_to/cpeo4hj). The posters impression of insulin pumps and type 1 is driving me crazy.</t>
        </is>
      </c>
      <c r="D714" t="n">
        <v>9</v>
      </c>
      <c r="E714" t="n">
        <v>32</v>
      </c>
      <c r="F714">
        <f>HYPERLINK("https://www.reddit.com/r/diabetes/comments/2z0uhq/needed_to_share_with_people_who_will_get_it/")</f>
        <v/>
      </c>
      <c r="G714" t="inlineStr">
        <is>
          <t>2015-03-14 07:58:13</t>
        </is>
      </c>
      <c r="H714" t="inlineStr">
        <is>
          <t>Type 1</t>
        </is>
      </c>
    </row>
    <row r="715">
      <c r="A715" t="inlineStr">
        <is>
          <t>2z3wg3</t>
        </is>
      </c>
      <c r="B715" t="inlineStr">
        <is>
          <t>Soo when do i get my foot taken away? ( type-1)</t>
        </is>
      </c>
      <c r="C715" t="inlineStr">
        <is>
          <t>So my A1c was 15... i thought i was doing so good, i don't test as much as i should but i always knew what my BS was. taken my insulin every time i ate ext. I'm 20 been type one for 8 years. no sign yet of any complications due to high blood sugar ( eyes are good, no numbness if feet or hands). im really frustrated at myself so i have tested 20 times today and still haven't been able to get my sugars down from 436 when i woke up this morning with a cold and haven't been able to get it under 200.  kinda just want to put my hand through a wall but im afraid ill lose it ha...ha...ha....help</t>
        </is>
      </c>
      <c r="D715" t="n">
        <v>4</v>
      </c>
      <c r="E715" t="n">
        <v>26</v>
      </c>
      <c r="F715">
        <f>HYPERLINK("https://www.reddit.com/r/diabetes/comments/2z3wg3/soo_when_do_i_get_my_foot_taken_away_type1/")</f>
        <v/>
      </c>
      <c r="G715" t="inlineStr">
        <is>
          <t>2015-03-15 01:44:53</t>
        </is>
      </c>
      <c r="H715" t="inlineStr">
        <is>
          <t>Type 1</t>
        </is>
      </c>
    </row>
    <row r="716">
      <c r="A716" t="inlineStr">
        <is>
          <t>2z62zk</t>
        </is>
      </c>
      <c r="B716" t="inlineStr">
        <is>
          <t>Enlite CGM Question???</t>
        </is>
      </c>
      <c r="C716" t="inlineStr">
        <is>
          <t xml:space="preserve">I use the Enlite CGM's and I've been on it for about 2 months. It was a rough start but I know exactly how to put it on and all that jazz, but I have problems inserting it. It usually takes me two or three times to get it to stick. I've already had it go in only half way before as well. Any suggestions?
I love what it does (when it does it right). Also, has anyone had success with putting it on there arm by themselves? I'd have my husband help, but he's not very into the whole pump thing. He thinks the shots were better. 
</t>
        </is>
      </c>
      <c r="D716" t="n">
        <v>1</v>
      </c>
      <c r="E716" t="n">
        <v>14</v>
      </c>
      <c r="F716">
        <f>HYPERLINK("https://www.reddit.com/r/diabetes/comments/2z62zk/enlite_cgm_question/")</f>
        <v/>
      </c>
      <c r="G716" t="inlineStr">
        <is>
          <t>2015-03-15 15:24:47</t>
        </is>
      </c>
      <c r="H716" t="inlineStr">
        <is>
          <t>Type 1</t>
        </is>
      </c>
    </row>
    <row r="717">
      <c r="A717" t="inlineStr">
        <is>
          <t>2z7y2p</t>
        </is>
      </c>
      <c r="B717" t="inlineStr">
        <is>
          <t>Out of control and I want to change [Type 1]</t>
        </is>
      </c>
      <c r="C717" t="inlineStr">
        <is>
          <t>Hi guys. I just decided to stop by this subreddit today because I've been having some major issues.
I was diagnosed in 4th grade and am now in my last year of high school. Ever since about 5th or 6th grade I've pretty much failed to keep any sort of control over my diabetes. I have short, maybe 1-2 month, stretches where I can keep it relatively under control, but always fall back to old habits.
Anyways, the last 2-3 times I've went to get my A1C done, it's been anywhere from 11-13, and the highest it's been is 13.7. I know this is extremely bad, and I always get the same look of concern from anyone around when they see my logs.
I guess the big reason I'm writing this now is that my this last week I was in a really bad spot. I was DKA from Wednesday through Saturday, and I almost didn't get a major assignment done because I could barely leave my bed. I want to get better control over all of this, but it just seems like an insurmountable task, especially since I usually hover around 300.
Has anybody else out there had the same problems with such long, and dangerously high blood sugars as this? Any advice you guys could give would be great.</t>
        </is>
      </c>
      <c r="D717" t="n">
        <v>8</v>
      </c>
      <c r="E717" t="n">
        <v>17</v>
      </c>
      <c r="F717">
        <f>HYPERLINK("https://www.reddit.com/r/diabetes/comments/2z7y2p/out_of_control_and_i_want_to_change_type_1/")</f>
        <v/>
      </c>
      <c r="G717" t="inlineStr">
        <is>
          <t>2015-03-16 03:54:51</t>
        </is>
      </c>
      <c r="H717" t="inlineStr">
        <is>
          <t>Type 1</t>
        </is>
      </c>
    </row>
    <row r="718">
      <c r="A718" t="inlineStr">
        <is>
          <t>2z8a5h</t>
        </is>
      </c>
      <c r="B718" t="inlineStr">
        <is>
          <t>Consistent night sweats, but not going low.</t>
        </is>
      </c>
      <c r="C718" t="inlineStr">
        <is>
          <t>I'm hoping someone can help me figure out what might be happening to me at night and how to deal with it.
I was diagnosed with T1 a little over a month ago and recently I've been having crazy night sweats every night. I go to sleep around 150-200 without taking any insulin. I don't even take lantus as I take my 10 units in the morning. A couple hours later I wake up soaked, test, move to the other side of the bed and repeat.
I've been testing when I wake up from sweats and also at an alarm I set for the middle of my sleep cycle and I'm never low. I suppose it's possible that it has nothing to do with diabetes, but that would be a pretty big coincidence considering it started after I was diagnosed.
Has anyone dealt with something like this? Can anyone give me some ideas of what might be going on or how to stop it?</t>
        </is>
      </c>
      <c r="D718" t="n">
        <v>2</v>
      </c>
      <c r="E718" t="n">
        <v>14</v>
      </c>
      <c r="F718">
        <f>HYPERLINK("https://www.reddit.com/r/diabetes/comments/2z8a5h/consistent_night_sweats_but_not_going_low/")</f>
        <v/>
      </c>
      <c r="G718" t="inlineStr">
        <is>
          <t>2015-03-16 06:28:39</t>
        </is>
      </c>
      <c r="H718" t="inlineStr">
        <is>
          <t>Type 1</t>
        </is>
      </c>
    </row>
    <row r="719">
      <c r="A719" t="inlineStr">
        <is>
          <t>2zaf0k</t>
        </is>
      </c>
      <c r="B719" t="inlineStr">
        <is>
          <t>Whole milk and T1</t>
        </is>
      </c>
      <c r="C719" t="inlineStr">
        <is>
          <t xml:space="preserve">Anyone here with type 1 drink whole milk? I know they say it isn't the best for T1s and you should instead drink a low fat or even fat free but I grew on whole milk and honestly can't stand low fat alternatives the few times I've had them. Anyone still drink whole milk here? How have you responded to it? I need extra calories right now so I plan to get a few glasses of milk a day in and ma interested in peoples experiences on here. Also a side question on dosing...
My dietitian said I should stay to around 15g of carbs per snack and 75g per meal. At what point SHOULD I dose though? For example if I have a 15g snack (in this case glass of milk) then about an hour later have another 15g snack, then shortly after have a meal should I be dosing for all of this or just dose for the meal when I do eat it? I'm still a bit confused and I've been doing this for a few weeks. </t>
        </is>
      </c>
      <c r="D719" t="n">
        <v>3</v>
      </c>
      <c r="E719" t="n">
        <v>16</v>
      </c>
      <c r="F719">
        <f>HYPERLINK("https://www.reddit.com/r/diabetes/comments/2zaf0k/whole_milk_and_t1/")</f>
        <v/>
      </c>
      <c r="G719" t="inlineStr">
        <is>
          <t>2015-03-16 16:14:18</t>
        </is>
      </c>
      <c r="H719" t="inlineStr">
        <is>
          <t>Type 1</t>
        </is>
      </c>
    </row>
    <row r="720">
      <c r="A720" t="inlineStr">
        <is>
          <t>2zazh7</t>
        </is>
      </c>
      <c r="B720" t="inlineStr">
        <is>
          <t>Brand New to Insulin. T2</t>
        </is>
      </c>
      <c r="C720" t="inlineStr">
        <is>
          <t>I am now on insulin.. Just saw an endo yesterday. I have been prescribed 10u of Livomax 30 twice a day. Once before breakfast and once before dinner. How long should I wait to eat after shooting myself? What will happen if I forget to eat and just have coffee? Thank you
Edit.. Now it is considered T1. Probably LADA. And I take 20u a day.</t>
        </is>
      </c>
      <c r="D720" t="n">
        <v>1</v>
      </c>
      <c r="E720" t="n">
        <v>11</v>
      </c>
      <c r="F720">
        <f>HYPERLINK("https://www.reddit.com/r/diabetes/comments/2zazh7/brand_new_to_insulin_t2/")</f>
        <v/>
      </c>
      <c r="G720" t="inlineStr">
        <is>
          <t>2015-03-16 19:00:37</t>
        </is>
      </c>
      <c r="H720" t="inlineStr">
        <is>
          <t>Type 1.5/LADA</t>
        </is>
      </c>
    </row>
    <row r="721">
      <c r="A721" t="inlineStr">
        <is>
          <t>2zfqg5</t>
        </is>
      </c>
      <c r="B721" t="inlineStr">
        <is>
          <t>When to go in/where to go in/who to see? (Paronychia)</t>
        </is>
      </c>
      <c r="C721" t="inlineStr">
        <is>
          <t xml:space="preserve">I think my pinky has started a nail bed infection (i have had one in the past - it's not throbbing like an emergency, but I can tell it could be on its way there - the skin is SLIGHTLY tight and the finger is a little puffy.). Here's my question: do I go to the medi-clinic / minute clinic place to have them confirm and give me antibiotics or do i make a formal GP appointment - in which the appointment could be a week or so from now? </t>
        </is>
      </c>
      <c r="D721" t="n">
        <v>3</v>
      </c>
      <c r="E721" t="n">
        <v>6</v>
      </c>
      <c r="F721">
        <f>HYPERLINK("https://www.reddit.com/r/diabetes/comments/2zfqg5/when_to_go_inwhere_to_go_inwho_to_see_paronychia/")</f>
        <v/>
      </c>
      <c r="G721" t="inlineStr">
        <is>
          <t>2015-03-17 21:51:12</t>
        </is>
      </c>
      <c r="H721" t="inlineStr">
        <is>
          <t>Type 1</t>
        </is>
      </c>
    </row>
    <row r="722">
      <c r="A722" t="inlineStr">
        <is>
          <t>2zgx7d</t>
        </is>
      </c>
      <c r="B722" t="inlineStr">
        <is>
          <t>A1C from 11.7 to 5.3 in Six Months!</t>
        </is>
      </c>
      <c r="C722" t="inlineStr">
        <is>
          <t>Last September I was diagnosed with an A1C of 11.7 and a BG of 313. Today I had my A1C done and I'm at 5.3 and my morning bg was 112 (I run a little high in the morning)! 
I couldn't have done it without this subreddit. 
With /u/Alan_s and the [Test Review Adjust](http://loraldiabetes.blogspot.com.au/2006/10/test-review-adjust.html) I learned how to use my Glucometer as a tool to manage my diabetes.
I wouldn't have found /r/ketorecipes  or [Dr Bernstein's book](http://www.amazon.com/Dr-Bernsteins-Diabetes-Solution-Achieving-ebook/dp/B004QZ9PC4/ref=sr_1_1?s=books&amp;amp;ie=UTF8&amp;amp;qid=1426688218&amp;amp;sr=1-1&amp;amp;keywords=dr+bernstein+diabetes+solution) without the help and knowledge here on this subreddit. It's also helps knowing that I'm not the only person having a particular issue or that my experiences aren't all that extraordinary. 
I just wanted to take a moment and thank all of you for being there and putting your experiences and knowledge out there. It's made it so much easier to manage!</t>
        </is>
      </c>
      <c r="D722" t="n">
        <v>61</v>
      </c>
      <c r="E722" t="n">
        <v>31</v>
      </c>
      <c r="F722">
        <f>HYPERLINK("https://www.reddit.com/r/diabetes/comments/2zgx7d/a1c_from_117_to_53_in_six_months/")</f>
        <v/>
      </c>
      <c r="G722" t="inlineStr">
        <is>
          <t>2015-03-18 07:27:13</t>
        </is>
      </c>
      <c r="H722" t="inlineStr">
        <is>
          <t>Type 2</t>
        </is>
      </c>
    </row>
    <row r="723">
      <c r="A723" t="inlineStr">
        <is>
          <t>2zhu7u</t>
        </is>
      </c>
      <c r="B723" t="inlineStr">
        <is>
          <t>A1C is normal after 90 days! What this guy did to improve his BG will AMAZE you!</t>
        </is>
      </c>
      <c r="C723" t="inlineStr">
        <is>
          <t xml:space="preserve">When I received my diabetes diagnosis back in December, I was completely shocked and had no idea what to do.   
My initial doctor visit was prompted by an unexplained weight loss of about 10-15 lbs. After having a blood panel done, we discovered that my blood chemistry was totally out of whack. Triglycerides were over 1000, fasting BG was at 298, and my A1C was 10.8.   
&amp;amp;nbsp;
I had been sustaining myself on a diet consisting of mostly carbs, and loaded with sugar for quite some time. From my morning latte, to rich desserts, and sodas (about 2-3 cans daily), I was eating all the wrong things. I did not realize that I had been diabetic for probably a year or more. I attributed my failing eyesight, middle of the night peeing, and other issues to aging.  
 &amp;amp;nbsp;
I began my journey into the world of Type 2 Diabetes management by visiting reddit.com, and finding /r/diabetes where I asked for help. /u/Alan_S responded to my post, and gave me a link to his blog which got me started on the right path.  
&amp;amp;nbsp;
After many hours of online research into the disease, and reading about what worked, or didn’t work for others, I began my personal crusade armed with a glucose meter, a spreadsheet and my indomitable will to not let this defeat me! I began eating to my meter, six tests per day… before and after each meal. I logged the results into my diet spreadsheet. This allowed me to learn which food combinations I could eat, and how they would affect my BG. I joined a gym that was along my commute route, so I couldn’t make excuses to not go. I work out 3-4 times a week now, with 30 minutes on the treadmill.   
&amp;amp;nbsp;
For the first month, my diet was basically a modified version of the paleo and keto diets. Consisting mostly of proteins, fats, and very little to no carbs. For example I would have a three-egg omelet for breakfast, with spinach, mushrooms, jack cheese, avocado and a side of pinto beans (instead of potato or toast). Lunch might consist of chicken or tuna salad with fresh veggies, carrot sticks, whatever. Dinner would be meat and vegetables, and beans, veggie chili, or cottage cheese and tomato as a side for any meal. My doctor prescribed Metformin XR 500mg 4x daily, which she reduced to twice daily when I responded very well to treatment.
&amp;amp;nbsp;
The best thing to control my BG is just avoiding potatoes, white rice, noodles, and white or non-wholegrain breads. I always check labels now for carb content, and keep my carb intake per meal under 60g, usually much less. Portion size control has also contributed to my success so far. If I eat some brown rice with a meal for example, instead of having the rice as the main component of the meal, I cut it in half.  
&amp;amp;nbsp;
I’m happy to report that after three months of the previously mentioned major dietary and lifestyle changes, my blood chemistry has returned to a relatively normal state. As of yesterday, my A1C is at 5.5, fasting BG is at 101, and triglycerides are at 130! My LDL cholesterol is a little high, and HDL is a little low, but both are showing improvement. I am 48 years old, 5’ 11” and my weight has dropped to about 168. My goal is to get my weight up to 185 in the next two years… muscle not fat. I no longer need my reading glasses to read small print, so my vision seems to have improved, which is awesome!  
&amp;amp;nbsp;
TL&amp;amp;DR Three months ago I was diagnosed with Diabetes, today my BG and A1C are in normal ranges due to metformin, major dietary and lifestyle changes. Thank you /r/diabetes and /u/alan_s!
</t>
        </is>
      </c>
      <c r="D723" t="n">
        <v>3</v>
      </c>
      <c r="E723" t="n">
        <v>11</v>
      </c>
      <c r="F723">
        <f>HYPERLINK("https://www.reddit.com/r/diabetes/comments/2zhu7u/a1c_is_normal_after_90_days_what_this_guy_did_to/")</f>
        <v/>
      </c>
      <c r="G723" t="inlineStr">
        <is>
          <t>2015-03-18 11:32:20</t>
        </is>
      </c>
      <c r="H723" t="inlineStr">
        <is>
          <t>Type 2</t>
        </is>
      </c>
    </row>
    <row r="724">
      <c r="A724" t="inlineStr">
        <is>
          <t>2zijpb</t>
        </is>
      </c>
      <c r="B724" t="inlineStr">
        <is>
          <t>Thinking of taking a "Pump Vacation".</t>
        </is>
      </c>
      <c r="C724" t="inlineStr">
        <is>
          <t>Hello,
My brother is 27 and in very good physical shape, other than the detriment of having T1 Diabetes. For approximately 10 years, he has been using some sort of insulin pump. Recently though, he has been mentioning how the pump has been "kinking" once he applies his catheter (he has been using his butt-ox as the main site, as he has low body fat elsewhere). He is thinking about taking a vacation from his pump because these sort of irritations are causing his sites soreness and are giving fluctuating readings on his insulin meter.
So I come here to ask if any of you have seen significant or more comfortable results when switching from the pump back to shots. I am very knowledgeable of T1, but I have not seen many situations where one was more beneficial from the other -- other than calculating the D-math on the fly. Medtronic had mentioned to him that he should switch his site to either the tricep or stomach, but as I said earlier, he is in good physical condition and does not have much body fat to take hold of the catheter. They said that muscle is a poor choice when applying the cath. These kinks are the main concern though, because when he goes to add, e.g. 3 units, it might not give him any. Once he hasn't had those 3 units, he goes to add another 3, and then the pump projects the ERROR message. This is causing a great inconsistency in his dosages, and it seems to only come from the kinks in the cannula.
Pump vacation, different length cannula (he is at 6mm plastic - due to active lifestyle), or any other options that we are looking at??
Thanks for reading.</t>
        </is>
      </c>
      <c r="D724" t="n">
        <v>3</v>
      </c>
      <c r="E724" t="n">
        <v>10</v>
      </c>
      <c r="F724">
        <f>HYPERLINK("https://www.reddit.com/r/diabetes/comments/2zijpb/thinking_of_taking_a_pump_vacation/")</f>
        <v/>
      </c>
      <c r="G724" t="inlineStr">
        <is>
          <t>2015-03-18 14:32:42</t>
        </is>
      </c>
      <c r="H724" t="inlineStr">
        <is>
          <t>Type 1</t>
        </is>
      </c>
    </row>
    <row r="725">
      <c r="A725" t="inlineStr">
        <is>
          <t>2ziu4h</t>
        </is>
      </c>
      <c r="B725" t="inlineStr">
        <is>
          <t>TYPE 1 - OneTouch Meters?</t>
        </is>
      </c>
      <c r="C725" t="inlineStr">
        <is>
          <t xml:space="preserve">I am T1D for two years now and I got a letter from my insurance company offering me a new free meter - I love all things free. However with my diabetes I am much more particular. Anyways. Does anyone use any of the follows meters? 
OneTouch Verio IQ
OneTouch Verio
OneTouch Verio Sync system
I am currently using the Bayor ContourNext with USB and want the meter with the latest reliable technology and smallest blood sample possible. 
Any thoughts are appreciated!! </t>
        </is>
      </c>
      <c r="D725" t="n">
        <v>1</v>
      </c>
      <c r="E725" t="n">
        <v>14</v>
      </c>
      <c r="F725">
        <f>HYPERLINK("https://www.reddit.com/r/diabetes/comments/2ziu4h/type_1_onetouch_meters/")</f>
        <v/>
      </c>
      <c r="G725" t="inlineStr">
        <is>
          <t>2015-03-18 15:51:34</t>
        </is>
      </c>
      <c r="H725" t="inlineStr">
        <is>
          <t>Type 1</t>
        </is>
      </c>
    </row>
    <row r="726">
      <c r="A726" t="inlineStr">
        <is>
          <t>2zjtou</t>
        </is>
      </c>
      <c r="B726" t="inlineStr">
        <is>
          <t>Some good news for the week</t>
        </is>
      </c>
      <c r="C726" t="inlineStr">
        <is>
          <t>Took our 4 year old T1 in for the regular endo visit.  A1C was 6.5!  All the hard work has paid off.  What's more, our little one's A1C has now been below 7 for the last year.
Thanks to this subreddit for all the support and help.  Thanks so much.
Edit: Some have expressed concern that the A1C was, perhaps, achieved in an unhealthful way. I appreciate the concern and do not, in any way, take offense.  For the record, we were in range (80-150 mg/dl) 56% of the time and only 2% of our readings were considered low (&amp;lt; 70 mg/dl).  Our Endo was pleased as punch about those stats.</t>
        </is>
      </c>
      <c r="D726" t="n">
        <v>23</v>
      </c>
      <c r="E726" t="n">
        <v>15</v>
      </c>
      <c r="F726">
        <f>HYPERLINK("https://www.reddit.com/r/diabetes/comments/2zjtou/some_good_news_for_the_week/")</f>
        <v/>
      </c>
      <c r="G726" t="inlineStr">
        <is>
          <t>2015-03-18 20:54:44</t>
        </is>
      </c>
      <c r="H726" t="inlineStr">
        <is>
          <t>Type 1</t>
        </is>
      </c>
    </row>
    <row r="727">
      <c r="A727" t="inlineStr">
        <is>
          <t>2zk168</t>
        </is>
      </c>
      <c r="B727" t="inlineStr">
        <is>
          <t>Are there any blogs or websites for parenting AS at type 1?</t>
        </is>
      </c>
      <c r="C727" t="inlineStr">
        <is>
          <t xml:space="preserve">Since being married and at the beginning of needing to really, seriously consider whether to have children or not, I've noticed a distinct lack of information and personal blogs on parenting AS a type 1 diabetic. There seems to be a plethora of information about having diabetic children, but a lack of stuff about how to do it if you're the one managing a personal illness while having kids. 
Am I just blind? Are there any good blogs or vlogs out there that are geared towards the ups and downs of parenting with juggling BEING type 1? 
I know there are many people in this sub who are diabetic and have children....do any of you have blogs? 
I would like to see some vlogging or blogging from someone in real life who deals with both diabetes and children. We all know how miserable sick days are, but WITH kids? I have a feeling it's a whole other monster. I'd like to take a look into someone else's life doing that before I decide to jump in myself. </t>
        </is>
      </c>
      <c r="D727" t="n">
        <v>3</v>
      </c>
      <c r="E727" t="n">
        <v>8</v>
      </c>
      <c r="F727">
        <f>HYPERLINK("https://www.reddit.com/r/diabetes/comments/2zk168/are_there_any_blogs_or_websites_for_parenting_as/")</f>
        <v/>
      </c>
      <c r="G727" t="inlineStr">
        <is>
          <t>2015-03-18 22:16:00</t>
        </is>
      </c>
      <c r="H727" t="inlineStr">
        <is>
          <t>Type 1</t>
        </is>
      </c>
    </row>
    <row r="728">
      <c r="A728" t="inlineStr">
        <is>
          <t>2zkj4i</t>
        </is>
      </c>
      <c r="B728" t="inlineStr">
        <is>
          <t>Update from my post a couple days ago.</t>
        </is>
      </c>
      <c r="C728" t="inlineStr">
        <is>
          <t>Original post: http://www.reddit.com/r/diabetes/comments/2z3wg3/soo_when_do_i_get_my_foot_taken_away_type1/
So for the past 3 days i have been keeping a close eye on my levels i have had only 4 test that have been above 300 never going above 375 and my norms are about 130-175. TBH in the past i just didnt care what my sugars where ( to a point) and i would test  maybe 1-3 times every 2 days depending if i was going out or i felt high and i needed a correction( i can feel the judging happening lol) I hate to say this but i think my pride got in the way of me taking care of myself the " hows your diabetes doing" was always met with a swift and annoyed "fine". When it really wasn't and same went with doctor visits. i know how to deal with diabetes and manage it, i just wasnt doing what i needed to do. but i have a question how long does it take to get your a1c to drop? and is it affected if you are on steroids ( the legal kind); i have a ruptured disk and have had 4 steroid/epidural shots and on my 2nd round of oral steroids and they make blood sugar go up a lot. thanks again.</t>
        </is>
      </c>
      <c r="D728" t="n">
        <v>5</v>
      </c>
      <c r="E728" t="n">
        <v>3</v>
      </c>
      <c r="F728">
        <f>HYPERLINK("https://www.reddit.com/r/diabetes/comments/2zkj4i/update_from_my_post_a_couple_days_ago/")</f>
        <v/>
      </c>
      <c r="G728" t="inlineStr">
        <is>
          <t>2015-03-19 02:54:08</t>
        </is>
      </c>
      <c r="H728" t="inlineStr">
        <is>
          <t>Type 1</t>
        </is>
      </c>
    </row>
    <row r="729">
      <c r="A729" t="inlineStr">
        <is>
          <t>2zl7k7</t>
        </is>
      </c>
      <c r="B729" t="inlineStr">
        <is>
          <t>Hi there!</t>
        </is>
      </c>
      <c r="C729" t="inlineStr">
        <is>
          <t xml:space="preserve">Hey guys, just wanted to come in and introduce myself as I'll most likely be spending a fair amount of time around here.  I'm an otherwise healthy, married 28 y/o male, 5'11, 160 lbs (until a few weeks ago during which time I have dropped to about 145).
For the last 6-8 weeks I have been extremely thirsty, had a super dry mouth, lost about 15 lbs, and was getting calf cramps every morning.  I was waking up 4-8 times per night super thirsty and having to urinate. I finally went to the doctor yesterday, and my blood sugar tested at 292.  They then did the a1c test, which was a 13 or 14, which is an average blood sugar of 344.  Then they basically just told me I had full-on Type-1 Diabetes.  They immediately started me on insulin.  
I'm still a little shocked, and don't really know what to think.  I don't have any history of diabetes on either side of my family...and well...it just kinda sucks haha.  I know it's going to be a huge lifestyle change that I'm just going to have to learn to deal with.  I am reassured that there is a community like this that I can come to for support.  I look forward to talking to and learning from you guys!!  Also, for the first time in 2 months, I've been able to sleep through the night without having to get up to pee multiple times!
</t>
        </is>
      </c>
      <c r="D729" t="n">
        <v>7</v>
      </c>
      <c r="E729" t="n">
        <v>29</v>
      </c>
      <c r="F729">
        <f>HYPERLINK("https://www.reddit.com/r/diabetes/comments/2zl7k7/hi_there/")</f>
        <v/>
      </c>
      <c r="G729" t="inlineStr">
        <is>
          <t>2015-03-19 07:43:45</t>
        </is>
      </c>
      <c r="H729" t="inlineStr">
        <is>
          <t>Type 1</t>
        </is>
      </c>
    </row>
    <row r="730">
      <c r="A730" t="inlineStr">
        <is>
          <t>2zlzoe</t>
        </is>
      </c>
      <c r="B730" t="inlineStr">
        <is>
          <t>Eye pressure after taking insulin?</t>
        </is>
      </c>
      <c r="C730" t="inlineStr">
        <is>
          <t>Hey guys, first time poster here. :)
So I'm going to be talking with my doctors very soon (both endo and eye) but I'd like to see if anyone here has any ideas. Basically for a few weeks now whenever I'd eat a meal and gave myself a bolus I'd start to feel pressure all around my eyes for about an hour afterwards..pretty uncomfortable, but not a huge deal I thought because my vision isn't blurring or anything. I ignored it for a while but it's not going away so I need to do something about it.
I used to think it was the food that was causing it but I'm in between meals right now and gave myself a bolus and almost immediately felt the pressure. My BG numbers aren't really THAT high either (around 180-200 on average these days) so I'm not sure what it could be. ANY help at all is appreciated!</t>
        </is>
      </c>
      <c r="D730" t="n">
        <v>3</v>
      </c>
      <c r="E730" t="n">
        <v>3</v>
      </c>
      <c r="F730">
        <f>HYPERLINK("https://www.reddit.com/r/diabetes/comments/2zlzoe/eye_pressure_after_taking_insulin/")</f>
        <v/>
      </c>
      <c r="G730" t="inlineStr">
        <is>
          <t>2015-03-19 11:20:23</t>
        </is>
      </c>
      <c r="H730" t="inlineStr">
        <is>
          <t>Type 1</t>
        </is>
      </c>
    </row>
    <row r="731">
      <c r="A731" t="inlineStr">
        <is>
          <t>2zpxrw</t>
        </is>
      </c>
      <c r="B731" t="inlineStr">
        <is>
          <t>A1C down to 8.6 from my worst result of 14.6. Still a ways to go but woot!</t>
        </is>
      </c>
      <c r="C731" t="inlineStr">
        <is>
          <t>Happy to not be a human water fountain anymore!</t>
        </is>
      </c>
      <c r="D731" t="n">
        <v>39</v>
      </c>
      <c r="E731" t="n">
        <v>11</v>
      </c>
      <c r="F731">
        <f>HYPERLINK("https://www.reddit.com/r/diabetes/comments/2zpxrw/a1c_down_to_86_from_my_worst_result_of_146_still/")</f>
        <v/>
      </c>
      <c r="G731" t="inlineStr">
        <is>
          <t>2015-03-20 10:31:16</t>
        </is>
      </c>
      <c r="H731" t="inlineStr">
        <is>
          <t>Type 1</t>
        </is>
      </c>
    </row>
    <row r="732">
      <c r="A732" t="inlineStr">
        <is>
          <t>2zqlb7</t>
        </is>
      </c>
      <c r="B732" t="inlineStr">
        <is>
          <t>Seven Weeks of Newcastle Diet - Blood Results Are In!</t>
        </is>
      </c>
      <c r="C732" t="inlineStr">
        <is>
          <t>So, I'm seven weeks into the Newcastle Diet/VLCD experiment, after being diagnosed with Type 2 Diabetes. I went in for blood work today, and already got the results online . . . and here they are.
By way of background, the checkup that resulted in my diagnosis was on January 8, 2015. At that time, my cholesterol was at 276, my Non-HDL was at 250, and my random (non-fasting) BG test was at a whopping 346 mg/dL (over 19 mmol/L). On January 12, 2015, the doctor did another blood draw to find my A1C, which was 10.9%, but before he even got the results, he told my I had diabetes. At that time, I was 5'11" and weighed 244 pounds (BMI of 34.3). I was diagnosed 1000 mg/daily of Metformin, and 2 mg/daily of Glimepiride (Amaryl)
Fast forward to today - 67 days after all those results. I just got my blood results back:
**Total Cholesterol:** went from 276 --&amp;gt; 133
**Weight:** went from 244 --&amp;gt;198 (today's new weight!)
**Non-HDL Cholesterol:** went from 250 --&amp;gt;110
**A1C:** went from 10.9 --&amp;gt; 7.0
I am so happy right now! I know for a fact that my "true" A1C (i.e. my actual average blood sugar reading over the last two months) is a lot lower than 7.0, because it's really too soon to have done another A1C test (I've undoubtedly got at least a month's worth of glycated hemoglobin still floating around in my blood and there is nothing I can do about that until those guys die); a couple months from now, I hope to see an A1C result sub 5.0. But I expected the lower A1C; my fasting glucose almost never gets above 100 mg/DL (5.5 mmo/L), my mid-day readings are always in the 80's (4.5) and my after meals never get above 130 (7.2) before dropping quickly back down to normal levels.
I love the fact that all of this happened without any sort of oral medication (I've been off drugs for seven weeks), but I REALLY love the fact that my cholesterol just plummeted into the healthy range. On top of that, it was nice to see that my liver and kidney functions are both still perfect, my electrolyte balance is solid, and I generally have a bill of good health. I'll be scheduling an appointment to discuss the results with my doctor next week, I'm super curious to see his reaction &amp;gt;:) 
I still don't know if I will personally see "reversal" of my diabetes as a result of the Newcastle Diet; I've got reason to be hopeful, but that's based on my BG reaction to that one time last week where I had potato and sugar cake and a sugary salad dressing in one sitting (with fantastic BG readings about two hours after the meal). But even if I don't see an outright reversal, I'm happy enough just to know that the diet did not do anything bad to my organs, and did help with tangential concerns like total cholesterol. Exercise is much easier now, I've got more endurance, and damn my clothes fit better. But most importantly, I have a very strong feeling (which I will confirm with an oral glucose tolerance test sometime next month) that my liver and pancreas are very "defatted" at this point, and that my beta cell function is much, much better than it was at diagnosis. 
Before diagnosis I was (at my highest weight) 268 pounds. So I lost about 25 pounds before I was formally diagnosed with T2 - due to the disease, not because I was doing anything healthy with myself. So today I am 70 pounds lighter than I was at my lifetime heaviest weight, 46 pounds lighter than I was at diagnosis. Things are certainly looking up!</t>
        </is>
      </c>
      <c r="D732" t="n">
        <v>2</v>
      </c>
      <c r="E732" t="n">
        <v>4</v>
      </c>
      <c r="F732">
        <f>HYPERLINK("https://www.reddit.com/r/diabetes/comments/2zqlb7/seven_weeks_of_newcastle_diet_blood_results_are_in/")</f>
        <v/>
      </c>
      <c r="G732" t="inlineStr">
        <is>
          <t>2015-03-20 13:33:43</t>
        </is>
      </c>
      <c r="H732" t="inlineStr">
        <is>
          <t>Type 2</t>
        </is>
      </c>
    </row>
    <row r="733">
      <c r="A733" t="inlineStr">
        <is>
          <t>2zrlsy</t>
        </is>
      </c>
      <c r="B733" t="inlineStr">
        <is>
          <t>Type 1.5?</t>
        </is>
      </c>
      <c r="C733" t="inlineStr">
        <is>
          <t xml:space="preserve">I just found out that I have the GAD antibodies. I was initially diagnosed as Type 2, but as I suspected all along something was just not right about that diagnosis. 
I've done some research on LADA/Type 1.5, but I am not quite clear on why I have it. 
I also have heard that I should start taking insulin immediately in order to preserve my beta cells, but my doctor wants to keep me on my metformin/glipizide regimen because he says "it is lowering your A1c so , therefore, it works." From what I've read he is wrong, though. Does anybody know anything about that?
Thank you. </t>
        </is>
      </c>
      <c r="D733" t="n">
        <v>4</v>
      </c>
      <c r="E733" t="n">
        <v>12</v>
      </c>
      <c r="F733">
        <f>HYPERLINK("https://www.reddit.com/r/diabetes/comments/2zrlsy/type_15/")</f>
        <v/>
      </c>
      <c r="G733" t="inlineStr">
        <is>
          <t>2015-03-20 18:52:35</t>
        </is>
      </c>
      <c r="H733" t="inlineStr">
        <is>
          <t>Type 1.5/LADA</t>
        </is>
      </c>
    </row>
    <row r="734">
      <c r="A734" t="inlineStr">
        <is>
          <t>2ztkqi</t>
        </is>
      </c>
      <c r="B734" t="inlineStr">
        <is>
          <t>Yesterday I visited my endo. A1C is 8.0, and I haven't been above 6.5 in ten years. Woohoo :(</t>
        </is>
      </c>
      <c r="C734" t="inlineStr">
        <is>
          <t>I'm a 15 y/o type one diagnosed 1/1/2001 and recently, my diabetic responsibilities have been passed down to me! That means my numbers are terrible cause im growing and crap and that means Im always adjusting my basal and I:C Ratio. I inquired about the Dexcom CGM and I am thinking about taking a trial and take care of myself better.
There is honestly no reason for this post besides to tell yall how terrible im doing now that i have the reigns, and I hope to get better! My A1C goal in the next six months is to get it below 7. Wish me luck!</t>
        </is>
      </c>
      <c r="D734" t="n">
        <v>13</v>
      </c>
      <c r="E734" t="n">
        <v>19</v>
      </c>
      <c r="F734">
        <f>HYPERLINK("https://www.reddit.com/r/diabetes/comments/2ztkqi/yesterday_i_visited_my_endo_a1c_is_80_and_i/")</f>
        <v/>
      </c>
      <c r="G734" t="inlineStr">
        <is>
          <t>2015-03-21 10:18:30</t>
        </is>
      </c>
      <c r="H734" t="inlineStr">
        <is>
          <t>Type 1</t>
        </is>
      </c>
    </row>
    <row r="735">
      <c r="A735" t="inlineStr">
        <is>
          <t>2zvi6x</t>
        </is>
      </c>
      <c r="B735" t="inlineStr">
        <is>
          <t>birth order and diabetes</t>
        </is>
      </c>
      <c r="C735" t="inlineStr">
        <is>
          <t>I have a theory that the last born sibling is the most likely to get t1 diabetes. Where do you fall in your birth order?</t>
        </is>
      </c>
      <c r="D735" t="n">
        <v>0</v>
      </c>
      <c r="E735" t="n">
        <v>31</v>
      </c>
      <c r="F735">
        <f>HYPERLINK("https://www.reddit.com/r/diabetes/comments/2zvi6x/birth_order_and_diabetes/")</f>
        <v/>
      </c>
      <c r="G735" t="inlineStr">
        <is>
          <t>2015-03-21 21:07:57</t>
        </is>
      </c>
      <c r="H735" t="inlineStr">
        <is>
          <t>Type 1</t>
        </is>
      </c>
    </row>
    <row r="736">
      <c r="A736" t="inlineStr">
        <is>
          <t>2zz9aq</t>
        </is>
      </c>
      <c r="B736" t="inlineStr">
        <is>
          <t>One Walk!</t>
        </is>
      </c>
      <c r="C736" t="inlineStr">
        <is>
          <t>With nicer weather approaching, the opportunities to walk to cure diabetes is prevalent! There will soon be a walk in Illinois if interested to help turn **"type one into type none!"**
http://www2.jdrf.org/site/TR?fr_id=4776&amp;amp;pg=personal&amp;amp;px=9449844</t>
        </is>
      </c>
      <c r="D736" t="n">
        <v>8</v>
      </c>
      <c r="E736" t="n">
        <v>3</v>
      </c>
      <c r="F736">
        <f>HYPERLINK("https://www.reddit.com/r/diabetes/comments/2zz9aq/one_walk/")</f>
        <v/>
      </c>
      <c r="G736" t="inlineStr">
        <is>
          <t>2015-03-22 21:16:44</t>
        </is>
      </c>
      <c r="H736" t="inlineStr">
        <is>
          <t>Type 1</t>
        </is>
      </c>
    </row>
    <row r="737">
      <c r="A737" t="inlineStr">
        <is>
          <t>2zzf0v</t>
        </is>
      </c>
      <c r="B737" t="inlineStr">
        <is>
          <t>Strips work with control but not with my blood?</t>
        </is>
      </c>
      <c r="C737" t="inlineStr">
        <is>
          <t>EDIT: Even though it was running fine, I replaced the batteries just in case. The testing worked this time. I can't for the life of me understand why replacing the batteries would make a difference if it was running fine. I would still love some insight into what happened just in case it happens again. I'm so confused.
Hey guys,
I don't have a clue what just happened.
So, I finished up with a vial of strips.
My strips come in boxes 2 vials, set of 50. So I know I had no problem with the first vial. Second vial, I open it up, and it gives me the error with strip problem (which I usually get if I don't put enough blood on the strip) but the strip was full. I tried again, same problem. Opened up another box, same problem. 
I tried using the control solution. It worked perfectly.
I have no clue what is happening. 
My hands are clean?
I'm using One Touch Ultra Blue Test strips with a One Touch Ultra 2 meter.
Thank you so much for your time and help.</t>
        </is>
      </c>
      <c r="D737" t="n">
        <v>1</v>
      </c>
      <c r="E737" t="n">
        <v>1</v>
      </c>
      <c r="F737">
        <f>HYPERLINK("https://www.reddit.com/r/diabetes/comments/2zzf0v/strips_work_with_control_but_not_with_my_blood/")</f>
        <v/>
      </c>
      <c r="G737" t="inlineStr">
        <is>
          <t>2015-03-22 22:22:31</t>
        </is>
      </c>
      <c r="H737" t="inlineStr">
        <is>
          <t>Type 1</t>
        </is>
      </c>
    </row>
    <row r="738">
      <c r="A738" t="inlineStr">
        <is>
          <t>2zzu17</t>
        </is>
      </c>
      <c r="B738" t="inlineStr">
        <is>
          <t>Can a vaccine trigger type 1?</t>
        </is>
      </c>
      <c r="C738" t="inlineStr">
        <is>
          <t>At risk of sounding like a crazy anti-vaccer, I just got out of the hospital and was diagnosed with type 1 and I'm 32 years old. Maybe this is LADA, still waiting on more test results. I find it a strange coincidence that about 3 weeks before my first symptoms I had my final FSME vaccine. When I read about the vaccine's side effects it talks about [precipitation or aggravation of autoimmune disease](http://www.phac-aspc.gc.ca/publicat/cig-gci/p04-tick-tiques-eng.php).
Also according to my 23andme.com DNA results, I have an elevated risk for type 1 due to SNP rs2476601. Maybe the combination triggered it or its just a coincidence.
So is it possible that I was susceptible to getting this and the vaccine just triggered my immune system to attack my insulin producing cells?</t>
        </is>
      </c>
      <c r="D738" t="n">
        <v>0</v>
      </c>
      <c r="E738" t="n">
        <v>22</v>
      </c>
      <c r="F738">
        <f>HYPERLINK("https://www.reddit.com/r/diabetes/comments/2zzu17/can_a_vaccine_trigger_type_1/")</f>
        <v/>
      </c>
      <c r="G738" t="inlineStr">
        <is>
          <t>2015-03-23 02:15:29</t>
        </is>
      </c>
      <c r="H738" t="inlineStr">
        <is>
          <t>Type 1</t>
        </is>
      </c>
    </row>
    <row r="739">
      <c r="A739" t="inlineStr">
        <is>
          <t>2zzxxp</t>
        </is>
      </c>
      <c r="B739" t="inlineStr">
        <is>
          <t>Type 1 with pyelonephritis for the second time, only now with vomiting. Doctors once again don't do much to help...I feel like crying, what can I do?</t>
        </is>
      </c>
      <c r="C739" t="inlineStr">
        <is>
          <t>Hi guys,
About a year ago around this time I had a pyelonephritis (kidney infection) and they mucked me around for 3 weeks and my GP even sent me to be admitted into the hospital...but in the E.R they told me "I didn't look so bad" and sent me home, when I was supposed to receive antibiotics by IV.
Well, I have the same thing again only worse this time, 4 weeks I have been messed around, on my second round of antibiotics (first ones didn't work), blood sugar is getting harder to control, terrible back pain and to make matters worse I keep having vomiting episodes these past 4 weeks and I feel as weak as a kitten. I thought being a type 1, with a kidney infection and vomiting would be considered a medical emergency? I keep getting turned away and ignored by doctors and I don't know what to do, I am frightened. I'm going to go again to the E.R soon because last night was just terrible and I'm terrified as to what could happen to me if this continues, they haven't even done a "urine cultivation" (sorry if that's not the right word in English...) so I'm not sure if they can even give me the correct antibiotic to attack the bacteria that is making my life hell and I'll just be sent home again to deal with being extremely ill...I'm so upset and stressed out, 3 weeks left until exams too and if I can't do my exams then I have to wait a full year to retake them, just...ugh! I'm so fed up, I don't even know where I get these infections from!</t>
        </is>
      </c>
      <c r="D739" t="n">
        <v>11</v>
      </c>
      <c r="E739" t="n">
        <v>6</v>
      </c>
      <c r="F739">
        <f>HYPERLINK("https://www.reddit.com/r/diabetes/comments/2zzxxp/type_1_with_pyelonephritis_for_the_second_time/")</f>
        <v/>
      </c>
      <c r="G739" t="inlineStr">
        <is>
          <t>2015-03-23 03:19:19</t>
        </is>
      </c>
      <c r="H739" t="inlineStr">
        <is>
          <t>Type 1</t>
        </is>
      </c>
    </row>
    <row r="740">
      <c r="A740" t="inlineStr">
        <is>
          <t>3017ei</t>
        </is>
      </c>
      <c r="B740" t="inlineStr">
        <is>
          <t>[Type 1] Due for a new pump in June</t>
        </is>
      </c>
      <c r="C740" t="inlineStr">
        <is>
          <t xml:space="preserve">Hello fam!
I'm due for a new pump and a new CGM in June. I've already decided that I'm going with the Dexcom for the CGM (since everyone everywhere absolutely loves it), but I'm not sure what pump to opt for. I currently have a Medtronic Minimed and it has been my trusty companion for the last 4 years. My A1C isn't the greatest (10.5), so if there's any pump that offers any other assistance in BG management that would be wonderful to know too, (my numbers have mostly been high because my dietitian told us that optimal BG range was between 90-140, obviously wrong, so I've been working on getting my numbers between 80 and 110 constantly). 
Any whoo, if anyone has any suggestions for tried and true pumps, comment back! :) </t>
        </is>
      </c>
      <c r="D740" t="n">
        <v>5</v>
      </c>
      <c r="E740" t="n">
        <v>14</v>
      </c>
      <c r="F740">
        <f>HYPERLINK("https://www.reddit.com/r/diabetes/comments/3017ei/type_1_due_for_a_new_pump_in_june/")</f>
        <v/>
      </c>
      <c r="G740" t="inlineStr">
        <is>
          <t>2015-03-23 10:35:53</t>
        </is>
      </c>
      <c r="H740" t="inlineStr">
        <is>
          <t>Type 1</t>
        </is>
      </c>
    </row>
    <row r="741">
      <c r="A741" t="inlineStr">
        <is>
          <t>302dkq</t>
        </is>
      </c>
      <c r="B741" t="inlineStr">
        <is>
          <t>New T2, strange BG drop today</t>
        </is>
      </c>
      <c r="C741" t="inlineStr">
        <is>
          <t>I've been a T2 for about 6 weeks now and VERY VERY on top of everything I've been eating and keeping active.  For the most part, I've been really good with my number keeping between 70-120.  Today i forgot breakfast for the first time AND my medicine.  I ended up taking the meds around 12:30 and ate food around 1:00.  
Prior to eating, I was up 40 points from my morning test at 167.  I tested twice and once again with another meter.  So I went for a mile jog, ate something low carb as usual and tested again 2 hours later at 85, twice.  My logic is there is no way I dropped that fast on metformin 500mg and a jog, but is it?  
The reason I'm anal about this is my first real follow-up with my doc/endo is this Friday and I want to explain everything I've observed for them to best prescribe me.  
Sorry if this is a stupid question :(</t>
        </is>
      </c>
      <c r="D741" t="n">
        <v>2</v>
      </c>
      <c r="E741" t="n">
        <v>7</v>
      </c>
      <c r="F741">
        <f>HYPERLINK("https://www.reddit.com/r/diabetes/comments/302dkq/new_t2_strange_bg_drop_today/")</f>
        <v/>
      </c>
      <c r="G741" t="inlineStr">
        <is>
          <t>2015-03-23 15:32:35</t>
        </is>
      </c>
      <c r="H741" t="inlineStr">
        <is>
          <t>Type 2</t>
        </is>
      </c>
    </row>
    <row r="742">
      <c r="A742" t="inlineStr">
        <is>
          <t>303576</t>
        </is>
      </c>
      <c r="B742" t="inlineStr">
        <is>
          <t>Looking to Switch to a Different Pump Brand - Any Suggestions?</t>
        </is>
      </c>
      <c r="C742" t="inlineStr">
        <is>
          <t>Hi Reddit! 
I'm on an AccuChek pump right now. I've had a lot of mechanical trouble with the pump in the short 7 or so months I've been on it. That's not to say I don't like the remote idea for it. I just need a piece of technology that's going to work for me, and with an HbA1C of 11.8 I'm not feeling confident in my decision anymore. I felt rushed and pushed into a corner by my insurance choices for a pump. I would like to ignore money/ insurance issues for now and just get a down-to-earth, honest breakdown of what redditors feel has been the best pump for them.
Thank you!
EDIT: From what my specialist told me, the Asante Snap pump is new on the market. Has anyone heard of this or tried it?</t>
        </is>
      </c>
      <c r="D742" t="n">
        <v>5</v>
      </c>
      <c r="E742" t="n">
        <v>34</v>
      </c>
      <c r="F742">
        <f>HYPERLINK("https://www.reddit.com/r/diabetes/comments/303576/looking_to_switch_to_a_different_pump_brand_any/")</f>
        <v/>
      </c>
      <c r="G742" t="inlineStr">
        <is>
          <t>2015-03-23 19:11:04</t>
        </is>
      </c>
      <c r="H742" t="inlineStr">
        <is>
          <t>Type 1</t>
        </is>
      </c>
    </row>
    <row r="743">
      <c r="A743" t="inlineStr">
        <is>
          <t>303q8n</t>
        </is>
      </c>
      <c r="B743" t="inlineStr">
        <is>
          <t>I'm trying to come up with a list of tips and tricks for t1 diabetics. So far came up with 7. Any ideas?</t>
        </is>
      </c>
      <c r="C743" t="inlineStr">
        <is>
          <t>- Change your set every 2-3 days to avoid lumpy skin
- Do a basal test every once in a while 
- Make a diabetes supplies packing list
- Make small holes in pants and thread your pump tube through to remain unnoticeable.
- Prefill  reservoirs with insulin before going on a trip - makes things a bit easier
- You can use most strip bottle caps to unscrew the pump battery cover</t>
        </is>
      </c>
      <c r="D743" t="n">
        <v>5</v>
      </c>
      <c r="E743" t="n">
        <v>8</v>
      </c>
      <c r="F743">
        <f>HYPERLINK("https://www.reddit.com/r/diabetes/comments/303q8n/im_trying_to_come_up_with_a_list_of_tips_and/")</f>
        <v/>
      </c>
      <c r="G743" t="inlineStr">
        <is>
          <t>2015-03-23 22:33:49</t>
        </is>
      </c>
      <c r="H743" t="inlineStr">
        <is>
          <t>Type 1</t>
        </is>
      </c>
    </row>
    <row r="744">
      <c r="A744" t="inlineStr">
        <is>
          <t>304nwo</t>
        </is>
      </c>
      <c r="B744" t="inlineStr">
        <is>
          <t>Donating plasma.</t>
        </is>
      </c>
      <c r="C744" t="inlineStr">
        <is>
          <t>I had heard from several people that donating plasma as a type 1 should not be a problem, but today i was rejected as a donor because 'my insulin attaches to the proteins in my plasma, and taking my plasma will put me at risk for low blood sugar immediately after donation'.
I know just off the top of my head that this explanation doesn't make any sense at all.. seeing as my insulin isn't really different than a normal persons once it enters my blood stream, and removing it certainly shouldn't cause low blood sugar. Still, i was wondering if there was an actual good explanation for why i was rejected, or if this was just the case of some blood tech webmd'ing diabetes and being cautious. Anyone have a similar experience?
I've never taken any bovine/porcine insulin, so its not that either.</t>
        </is>
      </c>
      <c r="D744" t="n">
        <v>9</v>
      </c>
      <c r="E744" t="n">
        <v>4</v>
      </c>
      <c r="F744">
        <f>HYPERLINK("https://www.reddit.com/r/diabetes/comments/304nwo/donating_plasma/")</f>
        <v/>
      </c>
      <c r="G744" t="inlineStr">
        <is>
          <t>2015-03-24 06:28:49</t>
        </is>
      </c>
      <c r="H744" t="inlineStr">
        <is>
          <t>Type 1</t>
        </is>
      </c>
    </row>
    <row r="745">
      <c r="A745" t="inlineStr">
        <is>
          <t>304wuj</t>
        </is>
      </c>
      <c r="B745" t="inlineStr">
        <is>
          <t>Worth upgrading to the Dexcom G4 with Share?</t>
        </is>
      </c>
      <c r="C745" t="inlineStr">
        <is>
          <t>I have the G4 w/505, use it with Nightscout and am super happy with it. I bought it last year, so I'm eligible for the $199 upgrade. Is it worth upgrading?</t>
        </is>
      </c>
      <c r="D745" t="n">
        <v>8</v>
      </c>
      <c r="E745" t="n">
        <v>9</v>
      </c>
      <c r="F745">
        <f>HYPERLINK("https://www.reddit.com/r/diabetes/comments/304wuj/worth_upgrading_to_the_dexcom_g4_with_share/")</f>
        <v/>
      </c>
      <c r="G745" t="inlineStr">
        <is>
          <t>2015-03-24 07:48:17</t>
        </is>
      </c>
      <c r="H745" t="inlineStr">
        <is>
          <t>Type 1</t>
        </is>
      </c>
    </row>
    <row r="746">
      <c r="A746" t="inlineStr">
        <is>
          <t>306v6u</t>
        </is>
      </c>
      <c r="B746" t="inlineStr">
        <is>
          <t>Hypoglycemia in type 2s?</t>
        </is>
      </c>
      <c r="C746" t="inlineStr">
        <is>
          <t>I am a type 2 diabetic. I am currently not taking any medication or insulin. I have not been eating well &amp;amp; its safe to say my diabetes is not under control currently.
But I get hypoglycemic often....
For example the other day I ate an early low carb dinner &amp;amp; wasn't able to eat again until late the next evening. I was so dizzy I couldn't function. I've been a diabetic for a long time &amp;amp; know when Im low &amp;amp; scary low.
When i was on insulin I had hypoglycemia all the time. And was taken off and put on metformin &amp;amp; still would get it sometimes. 
I tried looking it up but every site I found online explained that type 2s would get low blood sugar with medication but that I shouldn't be having this problem when I am not on meds &amp;amp; generally having higher numbers.
I guess I am just asking if other type 2s have this problem, is it common? 
I am thinking of trying intermittent fasting and so its definitely gives me a pause.</t>
        </is>
      </c>
      <c r="D746" t="n">
        <v>0</v>
      </c>
      <c r="E746" t="n">
        <v>9</v>
      </c>
      <c r="F746">
        <f>HYPERLINK("https://www.reddit.com/r/diabetes/comments/306v6u/hypoglycemia_in_type_2s/")</f>
        <v/>
      </c>
      <c r="G746" t="inlineStr">
        <is>
          <t>2015-03-24 16:19:46</t>
        </is>
      </c>
      <c r="H746" t="inlineStr">
        <is>
          <t>Type 2</t>
        </is>
      </c>
    </row>
    <row r="747">
      <c r="A747" t="inlineStr">
        <is>
          <t>3072x2</t>
        </is>
      </c>
      <c r="B747" t="inlineStr">
        <is>
          <t>I'm going to cure my T2 diabetes on the Newcastle Diet (part 5)</t>
        </is>
      </c>
      <c r="C747" t="inlineStr">
        <is>
          <t>Original post [here](http://www.reddit.com/r/diabetes/comments/2uk6xu/im_going_to_cure_my_t2_diabetes_no_fatties/)
Second post [here](http://www.reddit.com/r/diabetes/comments/2w5brt/im_going_to_cure_my_t2_diabetes_part_2/)
Third post [here](http://www.reddit.com/r/diabetes/comments/2xhc11/im_going_to_cure_my_type_2_diabetes_part_3/)
Fourth post [here](http://www.reddit.com/r/diabetes/comments/2z0d6o/im_going_to_cure_my_diabetes_part_4/)
My [post on the diabetes.co.uk forum](http://www.diabetes.co.uk/forum/threads/embarking-on-the-newcastle-diet.72394/)
My [in-depth blog](http://www.diabetes.co.uk/forum/xfa-blogs/glitterbritches.161845/) -- hosted my the charity Diabetes UK (the sponsors of the Newcastle study): 
Long story short, I am documenting my journey on a very low calorie diet (VLCD) which has been shown to reverse/cure type 2 diabetes (links to the study itself are in the original post). The theory is that a significant "negative energy" diet will restore liver and pancreatic function so that both will handle carbs the "correct" way i.e. the liver won't keep dumping too much glucose into the bloodstream and pancreatic beta cells will produce the appropriate amount of insulin (and at the right time) while insulin resistance in cells will decrease - in short, making someone a non-diabetic by all diagnostic tests (A1C, fasting glucose, and performance on an oral glucose tolerance test). 
The study conducted rigorous glycemic clamping at 1, 4, and 8 weeks, and showed jaw dropping results - pancreatic function in previously-diabetic patients returned to normal levels, hepatic (liver) insulin sensitivity returned to normal, and 12 weeks after the subjects were done with the diet (showing significant weight gain) the majority were able to pass an oral glucose tolerance test - even after gaining some weight back.
I am effectively done with the experiment, with the end goal of curing my diabetes. I'm still updating my daily weight and fasting glucose levels for those who are considering following the diet. I did it for 8 weeks, and I am 50 pounds lighter than I was at diagnosis (and still dropping!). I am now begining to train for my first ever athletic race - a sprint triathalon. I'm going to slowly reintroduce my body to solid foods, up to 1200 calories a day and then onward to hopefully 1800 (or whatever it takes to maintain a healthy BMI for my size - I have about 20 pounds to go). Follow along if you like, and if you have questions, feel free to ask. 
**March 25, 2015:** morning BG @ 94, weight at 197.5. Yesterday I biked at a very low heart rate for 45 minutes. It was frustrating to go so slow, but it was intentional - supposedly, I need to start building "endurance" by exercising at a pace that barely breaks a sweat. It doesn't feel quite right, but lots of triathalon websites make it very clear that I need to spend a "base" period getting more efficient at slow, fat burning exercise before building speed. It feels like a step back, but I'll give it a try. Might go for my first run this evening (I use "run" loosely as I promise it will be more walking than running) and I'll be starting my swim training either Thursday night or Saturday (my only two days where I have a readily available pool to lap swim in). Tomorrow is also weight training day, glutes and chest and core. I've noticed that my BG run a little higher the day or two after weight training, then drop on the third day, not sure if it is coincidence or not - but again, my weight seemed to plateau while I gained more definition in my stomach. I'm out of my soup (didn't make any last Sunday) and crunched on some delicious stir fry last night. Work has been hell lately, but feeling good overall. Two days of VLCD left!
**March 26, 2015:** morning BG @ 89, weight at 197.7. It was technically a day early, but yesterday I intentionally went over 800 calories by adding a Subway double chopped chicken salad with honey mustard dressing for lunch 😝 coupled with the cashews I tossed into my stir fry (I'm out of soup, need to make more on Sunday) that pushed me up to 1200 calories. I'll tell you, this morning my gut is rocking and groaning - after this morning tea, I have a feeling I'll be spending a little time in the bathroom. And right after taking care of that business, it's right into weightlifting before starting the rest of my day. I might experiment today with whole wheat toast and peanut butter as extra calories, and do some rigorous BG testing to see the effects, but I also bought 4 300 calories Myoplex shakes (20g carbs/42g protein) to have on what will become twice weekly weight lifting days. I drank a third of it this a.m., will drink the other half after the workout. On to the next phase!
**March 27, 2014:** morning BG @ 90, weight at 197.3. DONE! I actually made it 8 weeks! yesterday marked the transition into the next phase of my journey - I want to complete a triathlon 😳 yesterday was the first run of my 9 week training program - one minute of running, one minute of walking. I did this run a couple hours after my very vigorous weifhtlifting workout, and was shot afterwards - it felt really good. I also did an impromptu experiment with my first real snack/meal in eight weeks, but didn't get all the appropriate BG readings. But here's what I got: before the run, my BG was at 78. A half hour after the run, I ate two large pieces of whole wheat toast, with a total of two tablespoons of chunky peanut butter spread on top. I also chugged one of my Slim Fast shakes. Now, I wasn't thinking about testing until after I ate - I was thinking of refueling (my goals are currently 1200 calories a day after exercise, and all told I burned roughly 900 calories yesterday). But I had some time before I needed to get back to work so I tested at 15 minute intervals while I could, and even though I didn't know my baseline, I kept the numbers for reference (baseline was definitely higher than 78 after a high intensity/high heart rate run, especially as I had not eaten in the four hours leading up to the run). All told, this small meal was 74g of carbs, 28 of those grams being sugars, and 18 of those grams coming from a fast digesting liquid shake. At 15 minutes, my BG was 127. At half hour, it was 129. It was back down to 127 at 45 minutes. One hour was 109. One hour 15 minutes was 104 - and a that point, I needed to go to work. No idea if those numbers are good compared to a normie, but I know that two months ago whole wheat toast would have put me much, much higher, and that's not even factoring in the sugary Slim Fast drink (which I never would have drank back then, the GI on Slim Fast is terrible). Not particularly useful numbers without a baseline, but it made me happy to know I could refuel after training with a carb heavy snack and not spike above 140 mg/dL. I also consumed 2,000 total calories yesterday, and was worried about what my morning BG and weight would be this morning - my metabolism has undoubtedly shifted down over the past 8 weeks. This morning was lower than I've ever been after strenuous weight lifting, and my body apparently didn't decide to stash those extra 1200 calories in my fat cells, but I'll have to track more closely over the next couple days to get a better idea of how my metabolism is going to react to a return to normal dieting. Finally, went to a free class on triathlon basics last night, and am starting to wonder if I may have bit off more than I can chew - a 9 week training program is going to be intense and very, very tight. We'll see.
**March 28, 2015:** morning BG @ 93, weight at 196. More solid food yesterday, about 1300 calories worth (with no exercise - my thighs are still hurting today, but they were killing me yesterday), including another piece of wheat bread plus peanut butter to get me over the top on daily calories and continue to reintroduce myself to carbs like bread. I also made an incredibly brave and stupid decision last night . . . and as of today, I am a non-smoker. This is the first update I've ever written *not* smoking a cigarette (I am chewing a piece of nicotine gum, however . . . baby steps). Also joined the YMCA yesterday, so it was a Friday full of decisions. This morning I'll be heading down to do my first ever lap swim (I even have goggles and a swim cap - they look stupid, but what the hell, right?). I had planned on making these changes after the Newcastle diet was over, but it's still a lot of change at once, which has me a little nervous. For now, just powering through to try and discover what my new normal is.
**March 29, 2015:** morning BG @100, weight at 197.1. Yesterday was rough - a.m. swim training (first time I've ever swam laps in my life) and late afternoon I did my second run on an indoor track at the YMCA.  Surprisingly, my leg muscles hurt less today than they did yesterday (I was gimping around all over town). Today is a long endurance bikeride, some strength training, and MY SECOND DAY WITHOUT TOBACCO. It'll be downhill from here :)
**March 30, 2015:** morning BG @ 105, weight at 198.1. Biked for an hour yesterday morning, slow "endurance" pace, and weightlifted in the evening. In all, consumed 1700 net calories (more factoring in exercise calories burned) and it is really, really hard to force myself to eat after so long on so few calories. Third day without a cigarette - I have to keep telling myself I am a non smoker. Soon, I'll post before/after pics . . . and explain an experiment I ran with carbs yesterday. I now have strong reason to believe the diet "worked." My ability to process carbs is not yet "normal," likely due to continuing insulin resistence, but holy crap, my body doesn't come close to a true diabetic "spike" like it used to, and pulls down into the sub 90 range very quickly. And if I told you my total carb consumption yesterday you'd blush :) I'll share results later, right now I'm super damn pissy due to no fucking tobacco and late for work.
**March 31, 2015:** morning BG @ 94, weight at 199.5. Fourth day without a cigarette - it's not getting any easier . . . but it's not as hard as I thought it would be, either. Ran for 2.2 miles yesterday (well, in two minute spurts with 45 second walking intervals) and swam 500m worth of laps. This morning I'll be getting back on the bike for some very quick intervals, and then tonight I'll do a longer endurance session. Glad to be having bowel movements again :)
**April 1, 2015:** morning BG @ 102, weight at 198.4. Fifth day without a cigarette - this is when I failed the last time I tried. Did 45 minutes of interval biking last night (exhausting), going swimming this morning, then running over lunch. I'm up to between 150g/225g of carbs per day, usually all eaten within an 8 hour window (I'm also doing my level best to do intermittent fasting on an 16:8 ratio). After the extreme Newcastle experiment, I'm finding it difficult to actually consume a net of 1600 calories per day - my new goal. That is net, meaning if I exercise I eat more (I'm grossing between 2000 and 2400 per day right now), which is pretty low for triathlon training . . . But then again, I'm not exactly in triathlon shape, so don't think i need to be eating 3500+ daily calories anyways. I am usually go long down my carbs after a training session, to restore glycogen stores, and my BG readings do not appear to spike over 140 ever, and usually barely crack 120 - and are always below 100 two hours later. Whether it's wheat toast with berry preserves, steel cut oatmeal with strawberries, Slim Fast (yes, I still drink it!) and strawberries/apples, gobbling down 50+ grams of high GI carbs puts me around the 120 range at the hour mark (roughly); the meals where I hit 100+ grams of carbs get closer to 140 at the one/one and a half hour mark, but still drop like a heavy stone immediately afterwards. I suspect my pancreas did, in fact, gain a great deal of restored function over the last 8 weeks, and that what's left of my diabetes is tied to insulin resistence. I'm hoping that quitting smoking and heavy exercise will put a dent in that :)
**April 2, 2015:** morning BG @ 85, weight at 198.2. Strong swim and run yesterday, and post meal BG was very good - had a meal that consisted of 134g of carbs (34g of sugars) that peaked at 121 two hours later (meal was a mix of bagel with egg and cream cheese, vegetable soup, high nutrient Slim Fast and lean protein) and was down at 101 at three hours. Not perfect, but so very much better - the peak was nice and low, and although it took some time to return to baseline, I expect that as I get in better shape/leave the cigarettes behind, the insulin sensitivity will increase and help with that. I just can't believe how many carbs I'm eating (and am so glad that I can - it's so good for replenishment of glycogen stores post workout).
**April 3, 2015:** morning BG @ 90, weight at 199.4. Long bike yesterday, and also strength/circuit training. Bought a home blood pressure cuff from Withings to match my wifi scale, my house is turning into a veritable clinic. Tonight will be 7 full days without smoking :) And my carb metabolism is pretty damn insane right now!
**April 4, 2015:** morning BG @104, weight at 200.4. Blood Pressure is consistently 115/60, and resting heart rate is consistently around 50 BPM or so. So while I'd still like to see my fasting BG drop a little more (I'd love consistent 80 mg/dl versus consistent 90 mg/dl with rare forays up into the 100s and down into the 80s) my hearth health has gotten a hell of a lot better since the Newcastle Diet. Still working on building my resting metabolic rate back up, I know the Newcastle Diet hit it pretty hard. I'm still netting 1600 calories per day (actually consuming between 2000-2400, but I'm fueling exercise with a lot of carb calories at roughly a 4:1 carb/protein ratio), but my weight has still gone up about three pounds since ending the diet. My body, if anything, looks slightly leaner, but that might be my eyes playing tricks on me. The weight gain could honestly be added stool too . . . but it could also be fat from quitting smoking (7 days!) or just a metabolism that needs work. Hopefully as my fitness level increases, and my insulin resistance decreases, I'll not only see even better fasting BG rates but I lose the remaining weight. 
**April 10, 2015:** morning BG @ 97, weight at 198.6. So, the main reason for this post is to post the before/after pictures that I've been promising since I started (and finished) the Newcastle diet. Well, here they are:
[Before and After](http://imgur.com/2mPJW4B)</t>
        </is>
      </c>
      <c r="D747" t="n">
        <v>0</v>
      </c>
      <c r="E747" t="n">
        <v>11</v>
      </c>
      <c r="F747">
        <f>HYPERLINK("https://www.reddit.com/r/diabetes/comments/3072x2/im_going_to_cure_my_t2_diabetes_on_the_newcastle/")</f>
        <v/>
      </c>
      <c r="G747" t="inlineStr">
        <is>
          <t>2015-03-24 17:18:29</t>
        </is>
      </c>
      <c r="H747" t="inlineStr">
        <is>
          <t>Type 2</t>
        </is>
      </c>
    </row>
    <row r="748">
      <c r="A748" t="inlineStr">
        <is>
          <t>307ist</t>
        </is>
      </c>
      <c r="B748" t="inlineStr">
        <is>
          <t>My Type 1 alcoholics of /r/diabetes what liquor would you recommend?..</t>
        </is>
      </c>
      <c r="C748" t="inlineStr">
        <is>
          <t>Alcoholics may have been a slight stretch...but was just curious what everyone here enjoys as far as liquor goes. I'm not a huge beer drinker, I was at one point but then gained some unwanted weight from it...then lost it...., so now I've been trying different whisky and rum trying to find a middle ground that I like, was looking if anyone had any good suggestions from my fellow type 1's. 
PS - If you're about to come in here and drop some "info" on me how diabetics shouldn't be drinking or shouldn't drink excessively I'll save you the time to type it out, I don't care. I've been diabetic for well over a decade,  I've done everything I've wanted to, disregarding drinking, just in general, I'm just looking for some suggestions from the type 1 diabetic fam. Thanks!</t>
        </is>
      </c>
      <c r="D748" t="n">
        <v>7</v>
      </c>
      <c r="E748" t="n">
        <v>23</v>
      </c>
      <c r="F748">
        <f>HYPERLINK("https://www.reddit.com/r/diabetes/comments/307ist/my_type_1_alcoholics_of_rdiabetes_what_liquor/")</f>
        <v/>
      </c>
      <c r="G748" t="inlineStr">
        <is>
          <t>2015-03-24 19:23:05</t>
        </is>
      </c>
      <c r="H748" t="inlineStr">
        <is>
          <t>Type 1</t>
        </is>
      </c>
    </row>
    <row r="749">
      <c r="A749" t="inlineStr">
        <is>
          <t>309cqk</t>
        </is>
      </c>
      <c r="B749" t="inlineStr">
        <is>
          <t>Just a rant</t>
        </is>
      </c>
      <c r="C749" t="inlineStr">
        <is>
          <t>I hate it when I do exactly the same thing two days in a row and see wildly different result.  Yesterday, two-hour post-breakfast number was a lovely 125.  Today, after the exact same meal &amp;amp; same dose of Apidra? 220!  Not really looking for advice, just commiseration I guess.</t>
        </is>
      </c>
      <c r="D749" t="n">
        <v>1</v>
      </c>
      <c r="E749" t="n">
        <v>0</v>
      </c>
      <c r="F749">
        <f>HYPERLINK("https://www.reddit.com/r/diabetes/comments/309cqk/just_a_rant/")</f>
        <v/>
      </c>
      <c r="G749" t="inlineStr">
        <is>
          <t>2015-03-25 08:15:19</t>
        </is>
      </c>
      <c r="H749" t="inlineStr">
        <is>
          <t>Type 1</t>
        </is>
      </c>
    </row>
    <row r="750">
      <c r="A750" t="inlineStr">
        <is>
          <t>309dbc</t>
        </is>
      </c>
      <c r="B750" t="inlineStr">
        <is>
          <t>BG, why you gotta be so bad to me?</t>
        </is>
      </c>
      <c r="C750" t="inlineStr">
        <is>
          <t xml:space="preserve">This is just a rant. I hate it when I do exactly the same thing two days in a row and see wildly different result. Yesterday, two-hour post-breakfast number was a lovely 125. Today, after the exact same meal &amp;amp; same dose of Apidra? 220! Not really looking for advice, just commiseration I guess.
</t>
        </is>
      </c>
      <c r="D750" t="n">
        <v>16</v>
      </c>
      <c r="E750" t="n">
        <v>12</v>
      </c>
      <c r="F750">
        <f>HYPERLINK("https://www.reddit.com/r/diabetes/comments/309dbc/bg_why_you_gotta_be_so_bad_to_me/")</f>
        <v/>
      </c>
      <c r="G750" t="inlineStr">
        <is>
          <t>2015-03-25 08:19:51</t>
        </is>
      </c>
      <c r="H750" t="inlineStr">
        <is>
          <t>Type 1</t>
        </is>
      </c>
    </row>
    <row r="751">
      <c r="A751" t="inlineStr">
        <is>
          <t>30a5vq</t>
        </is>
      </c>
      <c r="B751" t="inlineStr">
        <is>
          <t>Type 1 Novolog Activation Time</t>
        </is>
      </c>
      <c r="C751" t="inlineStr">
        <is>
          <t>So everywhere online says the activation time of Nov,Hum,Apidra is 10-20 minutes and the peak is at 45 min-1hr but in my case its taking about 45 minutes to see any drop in blood sugar. I had though maybe I had a bad pen, so I started up a new one last weekend, also put on new pen needles every 2 days. Same results, takes 45 minutes to see any change in glucose. Im injecting into my abdomen and love handle areas as the manufactures suggest. Im just at a loss as to whats going on, it making things very challenging to dose for meals and correct highs, at this point i may as well take Regular. Any suggestions/advise is welcome.</t>
        </is>
      </c>
      <c r="D751" t="n">
        <v>10</v>
      </c>
      <c r="E751" t="n">
        <v>20</v>
      </c>
      <c r="F751">
        <f>HYPERLINK("https://www.reddit.com/r/diabetes/comments/30a5vq/type_1_novolog_activation_time/")</f>
        <v/>
      </c>
      <c r="G751" t="inlineStr">
        <is>
          <t>2015-03-25 11:48:23</t>
        </is>
      </c>
      <c r="H751" t="inlineStr">
        <is>
          <t>Type 1</t>
        </is>
      </c>
    </row>
    <row r="752">
      <c r="A752" t="inlineStr">
        <is>
          <t>30b0hf</t>
        </is>
      </c>
      <c r="B752" t="inlineStr">
        <is>
          <t>Was diagnosed just two days ago. I don't know where to start.</t>
        </is>
      </c>
      <c r="C752" t="inlineStr">
        <is>
          <t>Hi everyone. I have been meaning to write this for two days but I just haven't gotten to it until now. I am 31. I am 6'. I am 302lbs. And I have been diagnosed with T2 diabetes. It was a very diagnosis. I went to a doctor first did all the blood tests and she told me I was borderline diabetic. When to a new doctor this past Monday and he said I was definitely diabetic. So that had a huge impact on my life. Luckily the first doctor got me on metformin @ 1000mg. So I am working as much to lose weight and keep health. I was wondering a few things that I am confused about with diabetes. I am hoping if some of you could help me out with some answers.
*I have been eating more turkey and fish instead of red meats. I have tried cutting back on sweets. I am drinking almond milk instead of regular 2% milk. I have T2 diabetes, high blood pressure/hypertension, &amp;amp; high cholesterol what foods should I avoid? And what foods should I get more of? Should I have 3 meals a day or 5 little meals a day?
*Can someone please explain blood sugar? I am confused as to what is the normal and what to be worried about. Like for fasting, after eating a meal, ect.
*Considering all my health problems, which exercises would help me the most?
That's all the questions I can think of right now. Thank you in advance to anyone who can help me. It is much appreciated. I don't see this diagnosis as a a bad thing. I see it as a chance to help myself get better. I was a bit sad when I got the news but **since then reading through this subreddit, it has helped give me hope**.
Edit: Thank you everyone. I have a few ideas now and will try my best with what I decide. Thank you all.</t>
        </is>
      </c>
      <c r="D752" t="n">
        <v>15</v>
      </c>
      <c r="E752" t="n">
        <v>72</v>
      </c>
      <c r="F752">
        <f>HYPERLINK("https://www.reddit.com/r/diabetes/comments/30b0hf/was_diagnosed_just_two_days_ago_i_dont_know_where/")</f>
        <v/>
      </c>
      <c r="G752" t="inlineStr">
        <is>
          <t>2015-03-25 15:28:13</t>
        </is>
      </c>
      <c r="H752" t="inlineStr">
        <is>
          <t>Type 2</t>
        </is>
      </c>
    </row>
    <row r="753">
      <c r="A753" t="inlineStr">
        <is>
          <t>30bf1d</t>
        </is>
      </c>
      <c r="B753" t="inlineStr">
        <is>
          <t>Who's up for giving me feedback on a free app I'm working on to compare top meds for type 2 diabetes? would be super helpful.</t>
        </is>
      </c>
      <c r="C753" t="inlineStr">
        <is>
          <t>http://www.iodine.com/alternatives/metformin</t>
        </is>
      </c>
      <c r="D753" t="n">
        <v>2</v>
      </c>
      <c r="E753" t="n">
        <v>3</v>
      </c>
      <c r="F753">
        <f>HYPERLINK("https://www.reddit.com/r/diabetes/comments/30bf1d/whos_up_for_giving_me_feedback_on_a_free_app_im/")</f>
        <v/>
      </c>
      <c r="G753" t="inlineStr">
        <is>
          <t>2015-03-25 17:17:16</t>
        </is>
      </c>
      <c r="H753" t="inlineStr">
        <is>
          <t>Type 2</t>
        </is>
      </c>
    </row>
    <row r="754">
      <c r="A754" t="inlineStr">
        <is>
          <t>30cewi</t>
        </is>
      </c>
      <c r="B754" t="inlineStr">
        <is>
          <t>Psychedelics/managing your blood sugar?</t>
        </is>
      </c>
      <c r="C754" t="inlineStr">
        <is>
          <t>So I've been type 1 diabetic for easily over a decade and I'm in my mid-20's now I've always wanted to try psychedelics, whether it was shrooms, sass, etc. But I've always been weary of it simply because I don't know how something like that would effect my blood sugar. 
I've smoked pot for years, and have found a groove with it where I can enjoy a high and also maintain my sugar levels, I've also found a sweet spot as far as drinking goes, where I can get an enjoyable buzz but also be in the right mind to control my BS and check myself regularly. 
I've wanted to try psychedelics for a while, but again I just don't want to go into it blindly. I know I'd be in a state where it may be more difficult to control my BS and I was hoping someone on here has any info or tips. I'm not really planing on trying them soon, I was just curious if anyone else has been in the same situation or tried anything like that. 
I have to stress I'm not looking for people to come in here and downvote/yell at me for wanting to do something like this. I'm looking for insight on it and helpful advice. Thanks!</t>
        </is>
      </c>
      <c r="D754" t="n">
        <v>12</v>
      </c>
      <c r="E754" t="n">
        <v>19</v>
      </c>
      <c r="F754">
        <f>HYPERLINK("https://www.reddit.com/r/diabetes/comments/30cewi/psychedelicsmanaging_your_blood_sugar/")</f>
        <v/>
      </c>
      <c r="G754" t="inlineStr">
        <is>
          <t>2015-03-25 22:45:52</t>
        </is>
      </c>
      <c r="H754" t="inlineStr">
        <is>
          <t>Type 1</t>
        </is>
      </c>
    </row>
    <row r="755">
      <c r="A755" t="inlineStr">
        <is>
          <t>30dh50</t>
        </is>
      </c>
      <c r="B755" t="inlineStr">
        <is>
          <t>Weight Loss and T2</t>
        </is>
      </c>
      <c r="C755" t="inlineStr">
        <is>
          <t>I am a recently diagnosed Type 2 (22, 210lbs, 6'1").  I eat pretty well and am an active guy (6-7 hours of moderate to high activity per week, including running, swing dancing, and weightlifting all not including an average 15,000 steps a day).  I maintain a consistent caloric deficit, but for the life of me cannot seem to shed a pound. I carry almost all of my weight in my belly and reading/an old personal trainer have said that's a sign of high insulin levels.  My specialist told me that if I can lose 10-15 lbs, I'm laughing (my condition is pretty well-controlled at this point after almost a month of monitoring).
How can I shed this abdominal fat?  I have the caloric deficit, I have a limited carb diet (no more than about 130g/day on a normal day), and I have a lot of cardiovascular activity.  Is there some secret key for diabetics?
Note:  This is something I've *always* kept even when I was at 180 about two years ago.  That took about a 1000-1500 calorie deficit which was miserable and unsustainable and unhealthy.  This is where almost all my extra fat is.</t>
        </is>
      </c>
      <c r="D755" t="n">
        <v>4</v>
      </c>
      <c r="E755" t="n">
        <v>27</v>
      </c>
      <c r="F755">
        <f>HYPERLINK("https://www.reddit.com/r/diabetes/comments/30dh50/weight_loss_and_t2/")</f>
        <v/>
      </c>
      <c r="G755" t="inlineStr">
        <is>
          <t>2015-03-26 07:16:07</t>
        </is>
      </c>
      <c r="H755" t="inlineStr">
        <is>
          <t>Type 2</t>
        </is>
      </c>
    </row>
    <row r="756">
      <c r="A756" t="inlineStr">
        <is>
          <t>30es99</t>
        </is>
      </c>
      <c r="B756" t="inlineStr">
        <is>
          <t>48 hours of win</t>
        </is>
      </c>
      <c r="C756" t="inlineStr">
        <is>
          <t>Friends, 
So I managed my diabetes REALLY poorly for years for a variety of reasons. The biggest one being that my endos all seemed to use shame to try to improve my numbers which just led to things usually being worse next time. Several months ago I started realizing I needed to change and started seeing a new endo, she actually encouraged me and acknowledge that it was hard (crazy right?).
Anyway, I've been sitting pretty between 70 and 120 for a full 48 hours now with not even a single spike above 120! (not using a CGM, just checking before and 2 hrs after meals). 
This is a first for me and I'm really excited and wanted to share with you all as this subreddit has helped inspire some lifestyle change over the past few months. I have an appointment with my endo on monday and I'm actually looking forward to it and not dreading to find out what my A1C is. 
Thanks for being a supportive community!</t>
        </is>
      </c>
      <c r="D756" t="n">
        <v>11</v>
      </c>
      <c r="E756" t="n">
        <v>15</v>
      </c>
      <c r="F756">
        <f>HYPERLINK("https://www.reddit.com/r/diabetes/comments/30es99/48_hours_of_win/")</f>
        <v/>
      </c>
      <c r="G756" t="inlineStr">
        <is>
          <t>2015-03-26 13:01:29</t>
        </is>
      </c>
      <c r="H756" t="inlineStr">
        <is>
          <t>Type 1</t>
        </is>
      </c>
    </row>
    <row r="757">
      <c r="A757" t="inlineStr">
        <is>
          <t>30f3mh</t>
        </is>
      </c>
      <c r="B757" t="inlineStr">
        <is>
          <t>23-year T2—Just Diagnosed with Mild NPDR</t>
        </is>
      </c>
      <c r="C757" t="inlineStr">
        <is>
          <t>Doctor handed me a brochure and left so I didn't have much of a chance to ask questions about my prognosis.
I'm 62, male, and I've had T2 for about 23 years. I'm on insulin and also take Metformin, Actos, Mavik and Lipitor.
My last three A1Cs have been 6.2, 5.9 and 5.8 (most recent). With the A1Cs being so good lately I was surprised by the retinopathy. I'd been seeing this retina specialist for almost 15 years ( yearly) because I'd had previously had Central Serous Retinopathy in my left eye (the NPDR is in my right eye).
Can anyone provide a good source of info for me? I've hit most of the popular sire (Mayo. NIH, etc.) I particularly wonder about having good A1Cs vs occasional BG spikes (like after a meal) and how they relate.
(I previously posted similar questions on askdocs but got no response so I'm trying here.)
Thank you for any replies.</t>
        </is>
      </c>
      <c r="D757" t="n">
        <v>1</v>
      </c>
      <c r="E757" t="n">
        <v>4</v>
      </c>
      <c r="F757">
        <f>HYPERLINK("https://www.reddit.com/r/diabetes/comments/30f3mh/23year_t2just_diagnosed_with_mild_npdr/")</f>
        <v/>
      </c>
      <c r="G757" t="inlineStr">
        <is>
          <t>2015-03-26 14:20:02</t>
        </is>
      </c>
      <c r="H757" t="inlineStr">
        <is>
          <t>Type 2</t>
        </is>
      </c>
    </row>
    <row r="758">
      <c r="A758" t="inlineStr">
        <is>
          <t>30g0jq</t>
        </is>
      </c>
      <c r="B758" t="inlineStr">
        <is>
          <t>Just came back from the pump night at the local diabetic education centre, need some help with decisions.</t>
        </is>
      </c>
      <c r="C758" t="inlineStr">
        <is>
          <t>I was diagnosed type 1 on February 1st of this year and since then have been working my ass off to get in control. My A1C when I was diagnosed was 13.6% with a BG of 29 and just under a month later it was 9.7%. My health team has suggested I pursue getting a pump because my sugars have been under control and I have been carb counting since the first week. The three types of pumps that the centre uses are the Medtronic pumps, The animas Ping and Vibe with the Dexcom 4, and the Omni pod. 
I'm looking for a CGM that will communicate with my pump, which leans me towards the Medtronic VEO with the CGM and the Animas Vibe. 
If anyone could give me opinions and experiences on the different types and brands I would be very, very appreciative.</t>
        </is>
      </c>
      <c r="D758" t="n">
        <v>3</v>
      </c>
      <c r="E758" t="n">
        <v>14</v>
      </c>
      <c r="F758">
        <f>HYPERLINK("https://www.reddit.com/r/diabetes/comments/30g0jq/just_came_back_from_the_pump_night_at_the_local/")</f>
        <v/>
      </c>
      <c r="G758" t="inlineStr">
        <is>
          <t>2015-03-26 18:37:29</t>
        </is>
      </c>
      <c r="H758" t="inlineStr">
        <is>
          <t>Type 1</t>
        </is>
      </c>
    </row>
    <row r="759">
      <c r="A759" t="inlineStr">
        <is>
          <t>30g4wb</t>
        </is>
      </c>
      <c r="B759" t="inlineStr">
        <is>
          <t>Erectile Dysfunction [NSFW I'd imagine]</t>
        </is>
      </c>
      <c r="C759" t="inlineStr">
        <is>
          <t>Ugh.  One of the worse things I've encountered about this god damn disease.  I'm only 23 and I'm having erectile issues :(.  I can only assume it's happening due to my diabetes.  I'm not *completely* unable to achieve an erection but they're noticeably softer.  
My girlfriend hasn't said anything about it but I'm sure she's noticed-how could she not?
Anyways, I just kind of wanted to come here to vent.
Anyone else dealing with/dealt with this issue?  Is it at all reversible?  Any tips or advice in order to help me get through this and/or about talking to my girlfriend about it? Shit sucks mang.</t>
        </is>
      </c>
      <c r="D759" t="n">
        <v>6</v>
      </c>
      <c r="E759" t="n">
        <v>29</v>
      </c>
      <c r="F759">
        <f>HYPERLINK("https://www.reddit.com/r/diabetes/comments/30g4wb/erectile_dysfunction_nsfw_id_imagine/")</f>
        <v/>
      </c>
      <c r="G759" t="inlineStr">
        <is>
          <t>2015-03-26 19:14:28</t>
        </is>
      </c>
      <c r="H759" t="inlineStr">
        <is>
          <t>Type 1</t>
        </is>
      </c>
    </row>
    <row r="760">
      <c r="A760" t="inlineStr">
        <is>
          <t>30h464</t>
        </is>
      </c>
      <c r="B760" t="inlineStr">
        <is>
          <t>Coffee spiking BG</t>
        </is>
      </c>
      <c r="C760" t="inlineStr">
        <is>
          <t>Hello fellow diabeaters
since a week or two I noticed my BG spike up after I had my 2 cups coffee, mind you its black, nothing added.
I never had this "problem" before, what could be triggering the BG response?</t>
        </is>
      </c>
      <c r="D760" t="n">
        <v>5</v>
      </c>
      <c r="E760" t="n">
        <v>12</v>
      </c>
      <c r="F760">
        <f>HYPERLINK("https://www.reddit.com/r/diabetes/comments/30h464/coffee_spiking_bg/")</f>
        <v/>
      </c>
      <c r="G760" t="inlineStr">
        <is>
          <t>2015-03-27 02:29:16</t>
        </is>
      </c>
      <c r="H760" t="inlineStr">
        <is>
          <t>Type 1</t>
        </is>
      </c>
    </row>
    <row r="761">
      <c r="A761" t="inlineStr">
        <is>
          <t>30i0km</t>
        </is>
      </c>
      <c r="B761" t="inlineStr">
        <is>
          <t>Burning sensation when injecting Lantus... (Type 1)</t>
        </is>
      </c>
      <c r="C761" t="inlineStr">
        <is>
          <t>I inject Lantus twice a day, and about half the time I experience a burning sensation at the injection point. No redness or swelling, etc...just the painful burning feeling. It's not every time though, so I hesitate to think I'm experiencing an allergic reaction or something along those lines. The pain is localized to the injection point.
I do not experience this sensation with my NovoRapid, which I inject 3-4 times daily.
Any  thoughts? I will be speaking with my Dr. about it, but was curious to know if anyone had experienced this, or had any ideas as to the underlying cause.
Thanks.</t>
        </is>
      </c>
      <c r="D761" t="n">
        <v>3</v>
      </c>
      <c r="E761" t="n">
        <v>14</v>
      </c>
      <c r="F761">
        <f>HYPERLINK("https://www.reddit.com/r/diabetes/comments/30i0km/burning_sensation_when_injecting_lantus_type_1/")</f>
        <v/>
      </c>
      <c r="G761" t="inlineStr">
        <is>
          <t>2015-03-27 08:31:28</t>
        </is>
      </c>
      <c r="H761" t="inlineStr">
        <is>
          <t>Type 1</t>
        </is>
      </c>
    </row>
    <row r="762">
      <c r="A762" t="inlineStr">
        <is>
          <t>30iokk</t>
        </is>
      </c>
      <c r="B762" t="inlineStr">
        <is>
          <t>New Lada 1.5 Love this Subreddit.</t>
        </is>
      </c>
      <c r="C762" t="inlineStr">
        <is>
          <t xml:space="preserve">First my origin story. 
I have never had the best diet, tons of soda fast food etc but I was not overweight. I am 32 years old. 
In February I realized I had lost a bunch of weight, was drinking water like crazy and pissing every 30 mins, around this time I started to feel really really sick.  I went to the doctor and was told my blood sugar was 350 and my a1c was 10. Type 2 he said but we have to run a few more blood tests because it might be this other thing, Type 1.5 antibodies etc etc. Well I got my tests back and had 100 antibodies but my peptid levels were normal. 
I immediately started to google diabeties and learned that limiting my carbs would help with my blood sugar. 
since Feb 17th I have been eating really low carb (like &amp;lt;15 a meal) started testing blood sugar like a maniac and going on walks at night. 
the doctor prescribed me metformin that I take twice a day. 
within a week my blood sugars were down to 150 another week they were down to 90-110 and now they never go above 120.
I know I am in my honeymoon but the doctor was very skeptical of my blood sugar readings two weeks after diagnosis. (I had to show him a test in the office )  
I don't really know what else to say, I am fairly new to this thing and I still really struggle with some depression about my diagnosis.. Why me? will I die early? my feet feel weird? do they always feel weird and im being anal??
I hate it. 
however you guys are all awesome, I come here all the time and lurk and your threads and encouragment have helped me so much. 
anyways Hi. 
</t>
        </is>
      </c>
      <c r="D762" t="n">
        <v>0</v>
      </c>
      <c r="E762" t="n">
        <v>0</v>
      </c>
      <c r="F762">
        <f>HYPERLINK("https://www.reddit.com/r/diabetes/comments/30iokk/new_lada_15_love_this_subreddit/")</f>
        <v/>
      </c>
      <c r="G762" t="inlineStr">
        <is>
          <t>2015-03-27 11:29:44</t>
        </is>
      </c>
      <c r="H762" t="inlineStr">
        <is>
          <t>Type 1.5/LADA</t>
        </is>
      </c>
    </row>
    <row r="763">
      <c r="A763" t="inlineStr">
        <is>
          <t>30ivqd</t>
        </is>
      </c>
      <c r="B763" t="inlineStr">
        <is>
          <t>6 month A1c is in....</t>
        </is>
      </c>
      <c r="C763" t="inlineStr">
        <is>
          <t xml:space="preserve">I had an a1c of 14+ in October and today I found out that all my hard work is paying off.  My a1c as of this morning is 6.2.  Thank you to everyone here (and the chat) for all of your help.  Hopefully I can keep this up in the next 6 months.  </t>
        </is>
      </c>
      <c r="D763" t="n">
        <v>16</v>
      </c>
      <c r="E763" t="n">
        <v>10</v>
      </c>
      <c r="F763">
        <f>HYPERLINK("https://www.reddit.com/r/diabetes/comments/30ivqd/6_month_a1c_is_in/")</f>
        <v/>
      </c>
      <c r="G763" t="inlineStr">
        <is>
          <t>2015-03-27 12:23:58</t>
        </is>
      </c>
      <c r="H763" t="inlineStr">
        <is>
          <t>Type 1</t>
        </is>
      </c>
    </row>
    <row r="764">
      <c r="A764" t="inlineStr">
        <is>
          <t>30j910</t>
        </is>
      </c>
      <c r="B764" t="inlineStr">
        <is>
          <t>Feel low... test high</t>
        </is>
      </c>
      <c r="C764" t="inlineStr">
        <is>
          <t>My son (12 years old, T1) is complaining that he feels low, yet he is testing high.  He tested at 227, washed his hands thoroughly in case something was interfering with the test, and retested, this time at 257.
While he is a standard issue 12 year old boy, and this wouldn't be the first time he's used his condition to get out of doing things he doesn't want to (in this case, a social studies assignment), I don't think he's bluffing.  He doesn't look well, and he's been very thirsty all day.
Is there some diabetic complication I'm overlooking here, or should I start looking for answers outside the realm of diabetes?</t>
        </is>
      </c>
      <c r="D764" t="n">
        <v>5</v>
      </c>
      <c r="E764" t="n">
        <v>17</v>
      </c>
      <c r="F764">
        <f>HYPERLINK("https://www.reddit.com/r/diabetes/comments/30j910/feel_low_test_high/")</f>
        <v/>
      </c>
      <c r="G764" t="inlineStr">
        <is>
          <t>2015-03-27 14:09:07</t>
        </is>
      </c>
      <c r="H764" t="inlineStr">
        <is>
          <t>Type 1</t>
        </is>
      </c>
    </row>
    <row r="765">
      <c r="A765" t="inlineStr">
        <is>
          <t>30kann</t>
        </is>
      </c>
      <c r="B765" t="inlineStr">
        <is>
          <t>Question about CGM and Pump costs</t>
        </is>
      </c>
      <c r="C765" t="inlineStr">
        <is>
          <t>I'm trying to gauge how much $$$ a CGM and Pump might cost me but the manf. websites require me to put in insurance info and crap. I have employer healthcare with a $1200 or $2k deductible I forget which. I haven't come close to hitting either of these since I have only been diagnosed for a month now and am on my first prescription so I plan to have high out of pocket costs and am trying to figure out just roughly how much that might be. Anyone shed any light on this? I'd appreciate, thanks!
EDIT: So finally got to log into my benefits work page and look into the costs of my insurance. The following are all my copays/co insurance costs:
Cost
 	Silver Plus PPO Anthem
Your Medical Expenses
**Annual deductible**	
In Network $1,500 Individual; $4,500 Family
Out of Network $3,500 Individual; $10,500 Family 
Out-of-pocket maximum	
In Network $5,000 Individual; $10,000 Family 
Out of Network $12,500 Individual; $25,000 Family 
**Coinsurance**	
In Network You pay 30% 
Out of Network You pay 50% 
**Your Prescription Drug Expenses**
Annual prescription deductible
In Network None
Out of Network None 
**Annual prescription drug out of pocket max**	
In Network $1,250 Individual; $2,500 Family 
Out of Network $1,250 Individual; $2,500 Family
**Your Prescription Drug Expenses**
Retail Generic	
In Network You pay 20%; 30 day supply 
Out of Network You pay 50%; 30 day supply 
Preferred	In Network You pay 20%; 30 day supply
Out of Network You pay 50%; 30 day supply
Non-Preferred	In Network You pay 60%; 30 day supply
Out of Network You pay 75%; 30 day supply 
**Your Prescription Drug Expenses: Mail Order**
Generic	You pay 20%, up to $20; 90 day supply
Preferred	You pay 20%, up to $100; 90 day supply
Non-Preferred	You pay 60%, up to $300; 90 day supply</t>
        </is>
      </c>
      <c r="D765" t="n">
        <v>4</v>
      </c>
      <c r="E765" t="n">
        <v>14</v>
      </c>
      <c r="F765">
        <f>HYPERLINK("https://www.reddit.com/r/diabetes/comments/30kann/question_about_cgm_and_pump_costs/")</f>
        <v/>
      </c>
      <c r="G765" t="inlineStr">
        <is>
          <t>2015-03-27 19:45:01</t>
        </is>
      </c>
      <c r="H765" t="inlineStr">
        <is>
          <t>Type 1</t>
        </is>
      </c>
    </row>
    <row r="766">
      <c r="A766" t="inlineStr">
        <is>
          <t>30ko4z</t>
        </is>
      </c>
      <c r="B766" t="inlineStr">
        <is>
          <t>May have taken Novolog instead of Lantus ... how long to wait?</t>
        </is>
      </c>
      <c r="C766" t="inlineStr">
        <is>
          <t xml:space="preserve">So, I fell asleep watching TV, and when I woke up, I was kind of still out of it.
I can't 100% be certain that I did not accidentally take 30 units of Novolog, instead of 30 units of Lantus.
Luckily my BG was unusually high for the time, 290 mg/dl. I have been tracking it for the last hour, and, at first, it dropped to about 260 the first 30 minutes, but now, at the 75 minute mark, it's back up to 285.
Sounds like I took the right one, in the end, but how long should I wait to be certain?
</t>
        </is>
      </c>
      <c r="D766" t="n">
        <v>3</v>
      </c>
      <c r="E766" t="n">
        <v>5</v>
      </c>
      <c r="F766">
        <f>HYPERLINK("https://www.reddit.com/r/diabetes/comments/30ko4z/may_have_taken_novolog_instead_of_lantus_how_long/")</f>
        <v/>
      </c>
      <c r="G766" t="inlineStr">
        <is>
          <t>2015-03-27 22:15:13</t>
        </is>
      </c>
      <c r="H766" t="inlineStr">
        <is>
          <t>Type 1</t>
        </is>
      </c>
    </row>
    <row r="767">
      <c r="A767" t="inlineStr">
        <is>
          <t>30lcgc</t>
        </is>
      </c>
      <c r="B767" t="inlineStr">
        <is>
          <t>Advice for going to a theme park with an insulin pump?</t>
        </is>
      </c>
      <c r="C767" t="inlineStr">
        <is>
          <t>I'm type one diabetic, going to Alton Towers (theme park in England) and I definitely plan to go on some rollercoasters!
I think I remember that when I was given my insulin pump that I shouldn't take it on roller coasters. Any advice for a day at the theme park? What rides can/can't I take it on? Where's a safe place to keep it when I am on rides? Any general advice for diabetes at theme parks?
Thank you in advance!
Edit: Forgot to mention my insulin pump is an Animas Vibe (not sure if it makes a difference)</t>
        </is>
      </c>
      <c r="D767" t="n">
        <v>1</v>
      </c>
      <c r="E767" t="n">
        <v>9</v>
      </c>
      <c r="F767">
        <f>HYPERLINK("https://www.reddit.com/r/diabetes/comments/30lcgc/advice_for_going_to_a_theme_park_with_an_insulin/")</f>
        <v/>
      </c>
      <c r="G767" t="inlineStr">
        <is>
          <t>2015-03-28 05:03:25</t>
        </is>
      </c>
      <c r="H767" t="inlineStr">
        <is>
          <t>Type 1</t>
        </is>
      </c>
    </row>
    <row r="768">
      <c r="A768" t="inlineStr">
        <is>
          <t>30nqum</t>
        </is>
      </c>
      <c r="B768" t="inlineStr">
        <is>
          <t>Pharmacist trying to save NHS money with no thought to the patient.</t>
        </is>
      </c>
      <c r="C768" t="inlineStr">
        <is>
          <t>Today I received a letter from the pharmacy attached to my gp surgery stating that they are trying to save money so they are going to be changing my test strips which will also mean a change in meter. It stated that if I am unhappy about the change to speak with my diabetes nurse or pharmacy.
Hell yes I am unhappy! 
I am currently using the Aviva Accu-Check Smart meter and they wish to change me to WaveSense Jazz. My meter was issued by the hospital and I had to do a course to learn how to use it. It has many many features including a section after test to enter gram of carbs and it will then calculate insulin needed (based on various factors). My consultant downloads all data from my meter each time I see him.
The WaveSense Jazz is cheap cheap cheap.
So I went into the pharmacy to say that NO they will NOT be changing my meter and of course the pharmacist is not in on Saturdays. The girl there took all my info saying she will ask him to call me and that she told him this was likely to happen with lots of patients.
So now I need to wait until Monday to see if there is going to be an argument over this or not. Anyone else in the UK had this happen before?
Update: The pharmacist was supposed to call me today, by my last break at work I had heard nothing so I called them. I spoke with a man who could not find my records (funny that as they do not dispense my prescriptions) and knew nothing about any changing of meters. He promised to get someone to call me back after 5pm today after I finished work. 
I then emailed my DSN who straight away sent an email to the GP surgery explaining what meter I was on, why and how although she had no say over their choices she hoped it was an oversight on their part in this instance.
I have still yet to have a call back from the pharmacy
Update 2: The pharmacist finally called me back and said that they would not change my prescription unless I picked up the new meter, so no new meter and no prescription change, so good result really. I have a feeling that they have had a lot of complaints about this and that the email from my DSN had something to do with it too.</t>
        </is>
      </c>
      <c r="D768" t="n">
        <v>7</v>
      </c>
      <c r="E768" t="n">
        <v>43</v>
      </c>
      <c r="F768">
        <f>HYPERLINK("https://www.reddit.com/r/diabetes/comments/30nqum/pharmacist_trying_to_save_nhs_money_with_no/")</f>
        <v/>
      </c>
      <c r="G768" t="inlineStr">
        <is>
          <t>2015-03-28 18:38:48</t>
        </is>
      </c>
      <c r="H768" t="inlineStr">
        <is>
          <t>Type 1</t>
        </is>
      </c>
    </row>
    <row r="769">
      <c r="A769" t="inlineStr">
        <is>
          <t>30ntj3</t>
        </is>
      </c>
      <c r="B769" t="inlineStr">
        <is>
          <t>Stupid things my doctor, endo and nurse have said to me recently -- or, why I don't trust anyone anymore (Type II)</t>
        </is>
      </c>
      <c r="C769" t="inlineStr">
        <is>
          <t>Doctor -- type IIs don't need to be prescribed test strips for daily use, the A1c is sufficient.
Nurse -- if you use Lantus, you are type I.  Doctors don't prescribe insulin for type II.
Endo -- Your Lantus burns?  I've never heard that before.  Probably because it's cold.</t>
        </is>
      </c>
      <c r="D769" t="n">
        <v>8</v>
      </c>
      <c r="E769" t="n">
        <v>17</v>
      </c>
      <c r="F769">
        <f>HYPERLINK("https://www.reddit.com/r/diabetes/comments/30ntj3/stupid_things_my_doctor_endo_and_nurse_have_said/")</f>
        <v/>
      </c>
      <c r="G769" t="inlineStr">
        <is>
          <t>2015-03-28 19:03:10</t>
        </is>
      </c>
      <c r="H769" t="inlineStr">
        <is>
          <t>Type 2</t>
        </is>
      </c>
    </row>
    <row r="770">
      <c r="A770" t="inlineStr">
        <is>
          <t>30qg9f</t>
        </is>
      </c>
      <c r="B770" t="inlineStr">
        <is>
          <t>Maybe you guys can help me figure this out.</t>
        </is>
      </c>
      <c r="C770" t="inlineStr">
        <is>
          <t xml:space="preserve">I have been trying to get my bedtime and morning readings better but I have some issues. If I go to bed at 5-6 (90-108) then I hypo in the early hours. If I go to bed at 7-8 (126-144) then I get dawn phenomenon and wake up high (11/200+). However if I go to bed at 9-10 (162-180) then I wake up about right (5's, 6's, 7's).
I have thought that my PM BI might be too high but when I tried lowering it I was just simply high in the mornings.
My doctor doesn't seem to have any answers.
Sorry if any of my conversions are wrong. </t>
        </is>
      </c>
      <c r="D770" t="n">
        <v>4</v>
      </c>
      <c r="E770" t="n">
        <v>14</v>
      </c>
      <c r="F770">
        <f>HYPERLINK("https://www.reddit.com/r/diabetes/comments/30qg9f/maybe_you_guys_can_help_me_figure_this_out/")</f>
        <v/>
      </c>
      <c r="G770" t="inlineStr">
        <is>
          <t>2015-03-29 13:46:04</t>
        </is>
      </c>
      <c r="H770" t="inlineStr">
        <is>
          <t>Type 1</t>
        </is>
      </c>
    </row>
    <row r="771">
      <c r="A771" t="inlineStr">
        <is>
          <t>30qrbb</t>
        </is>
      </c>
      <c r="B771" t="inlineStr">
        <is>
          <t>Infections leading to higher blood sugars?</t>
        </is>
      </c>
      <c r="C771" t="inlineStr">
        <is>
          <t>Type 1 here, diagnoed about 4 months ago. I have an infection right now, and my numbers have been higher than usual. Is my infection doing this, or is it something else?</t>
        </is>
      </c>
      <c r="D771" t="n">
        <v>2</v>
      </c>
      <c r="E771" t="n">
        <v>2</v>
      </c>
      <c r="F771">
        <f>HYPERLINK("https://www.reddit.com/r/diabetes/comments/30qrbb/infections_leading_to_higher_blood_sugars/")</f>
        <v/>
      </c>
      <c r="G771" t="inlineStr">
        <is>
          <t>2015-03-29 15:17:07</t>
        </is>
      </c>
      <c r="H771" t="inlineStr">
        <is>
          <t>Type 1</t>
        </is>
      </c>
    </row>
    <row r="772">
      <c r="A772" t="inlineStr">
        <is>
          <t>30qztg</t>
        </is>
      </c>
      <c r="B772" t="inlineStr">
        <is>
          <t>Can menstruation effect your bg?</t>
        </is>
      </c>
      <c r="C772" t="inlineStr">
        <is>
          <t xml:space="preserve">i noticed my bg was high last time and wondered if a womans cycle can effect bg. 
omg i feel so much better knowing this is a normal thing! </t>
        </is>
      </c>
      <c r="D772" t="n">
        <v>11</v>
      </c>
      <c r="E772" t="n">
        <v>15</v>
      </c>
      <c r="F772">
        <f>HYPERLINK("https://www.reddit.com/r/diabetes/comments/30qztg/can_menstruation_effect_your_bg/")</f>
        <v/>
      </c>
      <c r="G772" t="inlineStr">
        <is>
          <t>2015-03-29 16:32:29</t>
        </is>
      </c>
      <c r="H772" t="inlineStr">
        <is>
          <t>Type 2</t>
        </is>
      </c>
    </row>
    <row r="773">
      <c r="A773" t="inlineStr">
        <is>
          <t>30tw2p</t>
        </is>
      </c>
      <c r="B773" t="inlineStr">
        <is>
          <t>ACA and T1D</t>
        </is>
      </c>
      <c r="C773" t="inlineStr">
        <is>
          <t>Hi all. I have had this question bouncing in my brain for some time and was hoping you could help. Currently, I have a full time job and am covered by one of my employers plans (UHC). The question I ALWAYS have in the back of my brain is "what if i lose my job?".
I have read a lot about the ACA and was wondering if anyone here has a T1D perspective on it. What are the options? Are you covered? What is covered? How much? I'm sure it all depends on the plan I choose but was wondering "can all my T1D needs be covered in the event I lose my job?" and if anyone has any real life examples.
Thanks so much and any help would be appreciated.</t>
        </is>
      </c>
      <c r="D773" t="n">
        <v>1</v>
      </c>
      <c r="E773" t="n">
        <v>3</v>
      </c>
      <c r="F773">
        <f>HYPERLINK("https://www.reddit.com/r/diabetes/comments/30tw2p/aca_and_t1d/")</f>
        <v/>
      </c>
      <c r="G773" t="inlineStr">
        <is>
          <t>2015-03-30 10:56:40</t>
        </is>
      </c>
      <c r="H773" t="inlineStr">
        <is>
          <t>Type 1</t>
        </is>
      </c>
    </row>
    <row r="774">
      <c r="A774" t="inlineStr">
        <is>
          <t>30uwhl</t>
        </is>
      </c>
      <c r="B774" t="inlineStr">
        <is>
          <t>Alcohol and Metformin</t>
        </is>
      </c>
      <c r="C774" t="inlineStr">
        <is>
          <t>I've recently been having problems with nausea after drinking alcohol. This is new to me - I've never had any problems with alcohol tolerance (I hold my liquor easily), but now almost any amount will give me an upset stomach. Over the weekend I had about three fingers of scotch over 30 minutes and ended up puking my brains out.
From my reading, the only issue I should face with metformin is a hypo risk if I really overdo it, but I don't drink heavily. Each of the times this happened, I wasn't even buzzed and my BG readings were in safe territory.
Anyone know anything about these symptoms?</t>
        </is>
      </c>
      <c r="D774" t="n">
        <v>1</v>
      </c>
      <c r="E774" t="n">
        <v>2</v>
      </c>
      <c r="F774">
        <f>HYPERLINK("https://www.reddit.com/r/diabetes/comments/30uwhl/alcohol_and_metformin/")</f>
        <v/>
      </c>
      <c r="G774" t="inlineStr">
        <is>
          <t>2015-03-30 15:21:40</t>
        </is>
      </c>
      <c r="H774" t="inlineStr">
        <is>
          <t>Type 2</t>
        </is>
      </c>
    </row>
    <row r="775">
      <c r="A775" t="inlineStr">
        <is>
          <t>30uyza</t>
        </is>
      </c>
      <c r="B775" t="inlineStr">
        <is>
          <t>Doctors response to question about type 1.5 diabetes</t>
        </is>
      </c>
      <c r="C775" t="inlineStr">
        <is>
          <t>As a follow up to this post http://www.reddit.com/r/diabetes/comments/30pmbl/prediabetes_not_obese_need_exercise_routine_thats/
I asked my doctor about the possibility of type 1.5 diabetes.  This is his response:
It sounds like you are doing all the right things. Other factors are genetics. Also, it is possible to still develop type 1 diabetes, but you are a long way from diabetes. We wouldn't diagnose diabetes until you have two blood sugar readings over 125. I would keep doing what you are doing and we can monitor the sugar yearly. I do have some patients with elevated sugars that have them for many years and never develop diabetes.</t>
        </is>
      </c>
      <c r="D775" t="n">
        <v>2</v>
      </c>
      <c r="E775" t="n">
        <v>4</v>
      </c>
      <c r="F775">
        <f>HYPERLINK("https://www.reddit.com/r/diabetes/comments/30uyza/doctors_response_to_question_about_type_15/")</f>
        <v/>
      </c>
      <c r="G775" t="inlineStr">
        <is>
          <t>2015-03-30 15:40:08</t>
        </is>
      </c>
      <c r="H775" t="inlineStr">
        <is>
          <t>Type 1.5/LADA</t>
        </is>
      </c>
    </row>
    <row r="776">
      <c r="A776" t="inlineStr">
        <is>
          <t>30v5ks</t>
        </is>
      </c>
      <c r="B776" t="inlineStr">
        <is>
          <t>Download free ebook of diabetes here</t>
        </is>
      </c>
      <c r="C776" t="inlineStr">
        <is>
          <t>Download free ebook of diabetes here . IIt will send to email and no spam. Here http://freebook.diabetestreatment.pw/</t>
        </is>
      </c>
      <c r="D776" t="n">
        <v>1</v>
      </c>
      <c r="E776" t="n">
        <v>0</v>
      </c>
      <c r="F776">
        <f>HYPERLINK("https://www.reddit.com/r/diabetes/comments/30v5ks/download_free_ebook_of_diabetes_here/")</f>
        <v/>
      </c>
      <c r="G776" t="inlineStr">
        <is>
          <t>2015-03-30 16:28:42</t>
        </is>
      </c>
      <c r="H776" t="inlineStr">
        <is>
          <t>Type 2</t>
        </is>
      </c>
    </row>
    <row r="777">
      <c r="A777" t="inlineStr">
        <is>
          <t>30vgp6</t>
        </is>
      </c>
      <c r="B777" t="inlineStr">
        <is>
          <t>High After Dinner for a Few Days?</t>
        </is>
      </c>
      <c r="C777" t="inlineStr">
        <is>
          <t>Hi everyone, type 1 here. I got diagnosed a couple of months ago, and I've been doing well with numbers. Now, for the past week, I have been much higher after my dinner, and have been higher than my range. I changed my carbs to insulin ratio, and it didn't help. Any reason why this is happening, and how do I fix it?
EDIT: These higher readings are around 4 hours after dinner.</t>
        </is>
      </c>
      <c r="D777" t="n">
        <v>1</v>
      </c>
      <c r="E777" t="n">
        <v>2</v>
      </c>
      <c r="F777">
        <f>HYPERLINK("https://www.reddit.com/r/diabetes/comments/30vgp6/high_after_dinner_for_a_few_days/")</f>
        <v/>
      </c>
      <c r="G777" t="inlineStr">
        <is>
          <t>2015-03-30 17:58:25</t>
        </is>
      </c>
      <c r="H777" t="inlineStr">
        <is>
          <t>Type 1</t>
        </is>
      </c>
    </row>
    <row r="778">
      <c r="A778" t="inlineStr">
        <is>
          <t>30w7mm</t>
        </is>
      </c>
      <c r="B778" t="inlineStr">
        <is>
          <t>Not sure what to think... Have to face my fears.</t>
        </is>
      </c>
      <c r="C778" t="inlineStr">
        <is>
          <t>I was uncontrolled for years. But a hospitalization over a year ago changed that.
I changed my diet, I started using insulin injections and medicines. I got a nephrologist and an endocrinologist - I visit them regularly. I brought my A1C down to 6.4-6.5 over the past year now.
I brought my cholesterol down to normal levels with diet and with medicine prescribed by my endocrinologist. I take blood pressure medicine prescribed by my nephrologist. They both know each other and work together.
However, my kidney functions keep deteriorating. Doc is thinking I may have to go on dialysis in **only 2 months** if it keeps going further down.
I don't know what to do. I feel like I'm trying hard to do what is right, but nothing seems to work. I am very scared of having to do dialysis. I don't know how I'll be able to keep my job, or pay rent stay where I live, or take care of my family (and kids) as I am the one who has the job.
I feel maybe I'm not really doing tight enough control, and not really controlling exactly what I eat, and how much I eat.
Is anyone out there on a diet for chronic kidney failure who can help by giving me a sample of what they eat and how they manage what they drink, etc? I want to try to do whatever I can. Has anyone here gone through this?</t>
        </is>
      </c>
      <c r="D778" t="n">
        <v>2</v>
      </c>
      <c r="E778" t="n">
        <v>4</v>
      </c>
      <c r="F778">
        <f>HYPERLINK("https://www.reddit.com/r/diabetes/comments/30w7mm/not_sure_what_to_think_have_to_face_my_fears/")</f>
        <v/>
      </c>
      <c r="G778" t="inlineStr">
        <is>
          <t>2015-03-30 22:05:17</t>
        </is>
      </c>
      <c r="H778" t="inlineStr">
        <is>
          <t>Type 2</t>
        </is>
      </c>
    </row>
    <row r="779">
      <c r="A779" t="inlineStr">
        <is>
          <t>30y6kd</t>
        </is>
      </c>
      <c r="B779" t="inlineStr">
        <is>
          <t>Questions about your Endo....</t>
        </is>
      </c>
      <c r="C779" t="inlineStr">
        <is>
          <t xml:space="preserve">Am I in the minority when I say that my Endo is also a T1?
 I've been seeing her for ~10 years. I find her very relatable and don't just shrug off her suggestions because, you know, her experience. 
I can't even recall what it's like to take diabetic advice from an Endo that isn't a diabetic.  
Do any other T1's here get treated by their endo's that are T1, too?  </t>
        </is>
      </c>
      <c r="D779" t="n">
        <v>3</v>
      </c>
      <c r="E779" t="n">
        <v>14</v>
      </c>
      <c r="F779">
        <f>HYPERLINK("https://www.reddit.com/r/diabetes/comments/30y6kd/questions_about_your_endo/")</f>
        <v/>
      </c>
      <c r="G779" t="inlineStr">
        <is>
          <t>2015-03-31 10:41:38</t>
        </is>
      </c>
      <c r="H779" t="inlineStr">
        <is>
          <t>Type 1</t>
        </is>
      </c>
    </row>
    <row r="780">
      <c r="A780" t="inlineStr">
        <is>
          <t>30y7qg</t>
        </is>
      </c>
      <c r="B780" t="inlineStr">
        <is>
          <t>new diagnosis, endo says type 1 but from what i read here, everyone would call me LADA, questions?</t>
        </is>
      </c>
      <c r="C780" t="inlineStr">
        <is>
          <t>Hi,
So this is all new to me. They have been going on about being a diabetic for YEARS. I controlled it with diet, started metformin, then diamicron and glyburide. I steadily lost weight for the last four years (I was never overweight anyway). When my BMI went under 18, and I had several hypoglycemic episodes on insulin (1.9 anyone?), I finally saw an endo. My antibodies are positive and he start
ed me on lantus. I only take 10 units? I don't think my BS are very controlled though yet, fasting range from 9 - 21. I am trying to control my anxiety over this new stuff...but 10 units of lantus doesn't sound like a lot? Maybe I am hardly diabetic? Sorry for the long post, it feels good to get it off my chest....How much lantus do new diabetics take?</t>
        </is>
      </c>
      <c r="D780" t="n">
        <v>1</v>
      </c>
      <c r="E780" t="n">
        <v>0</v>
      </c>
      <c r="F780">
        <f>HYPERLINK("https://www.reddit.com/r/diabetes/comments/30y7qg/new_diagnosis_endo_says_type_1_but_from_what_i/")</f>
        <v/>
      </c>
      <c r="G780" t="inlineStr">
        <is>
          <t>2015-03-31 10:49:56</t>
        </is>
      </c>
      <c r="H780" t="inlineStr">
        <is>
          <t>Type 1</t>
        </is>
      </c>
    </row>
    <row r="781">
      <c r="A781" t="inlineStr">
        <is>
          <t>30z8rq</t>
        </is>
      </c>
      <c r="B781" t="inlineStr">
        <is>
          <t>Type 1 - Animas Infusion Sets - very disappointed :( and need recommendations!!!</t>
        </is>
      </c>
      <c r="C781" t="inlineStr">
        <is>
          <t>Animas never seems to NOT disappoint me.  I've been having issues with my infusion sites for the past year now, having been on the pump for over 6 years (currently 26 years old).  I have a LOT of scar tissue building up, and it seems even after only 2 days that the site gets very irritated and needs to be changed, leaving redness and a nasty bump.  After being passed around to 4 different people at Animas, I was told that if I wanted to try a different type of infusion set (like the steel ones in the case that I've developed an allergy to the teflon cannula) that I would have to get a script and order and entire 10-count box ($100 out of pocket).  I asked about seeing an educator or a rep, and they said they no longer allow their reps to give out samples, and that only patients brand new to the pump are able to see the educator (where you can test different sets).  That kind of leaves me in SOL land.  The last woman I spoke with (technical support) sympathized with me but told me there was nothing she could do, and when I asked her if I could speak with a manager or someone higher up about it, she told me they wouldn't be able to either.
Basically my only option for trying new infusion sites to see if my skin reacts better is to pay Animas for 10-count boxes that I may never even use.  It's bizarre because I would have no problem paying for 1 or 2 sets out of pocket just to test them out, but apparently they can't sell their samples, but they're also not giving them out.. so what the hell do they even do with them???
Has anyone else experienced this with ANIMAS? ..or any other pump manufacturers?  Once my pump is done through Animas, I'm staying as far away from this company as possible.  Their support and their standards of care or just terrible.  I've never felt like I've been supported by Animas  :(  
Please tell me there are better companies out there!
**tl;dr**  Can't get infusion set sample, can't keep using what I've got :/</t>
        </is>
      </c>
      <c r="D781" t="n">
        <v>1</v>
      </c>
      <c r="E781" t="n">
        <v>5</v>
      </c>
      <c r="F781">
        <f>HYPERLINK("https://www.reddit.com/r/diabetes/comments/30z8rq/type_1_animas_infusion_sets_very_disappointed_and/")</f>
        <v/>
      </c>
      <c r="G781" t="inlineStr">
        <is>
          <t>2015-03-31 15:09:01</t>
        </is>
      </c>
      <c r="H781" t="inlineStr">
        <is>
          <t>Type 1</t>
        </is>
      </c>
    </row>
    <row r="782">
      <c r="A782" t="inlineStr">
        <is>
          <t>30zfiu</t>
        </is>
      </c>
      <c r="B782" t="inlineStr">
        <is>
          <t>I am thinking of coming off of me my medication and quitting my doctor because of the side effects.</t>
        </is>
      </c>
      <c r="C782" t="inlineStr">
        <is>
          <t>I am on Glimiperide and Victoza and I have uncontrollable diarrhea.  I am exhausted and miserable, oddly enough, this was how I felt before starting treatment. If I have to stay on these for the rest of my life, I rather just die because I literally can't leave the house.  It's a good think I'm agoraphobic and work from home.  I am just so sick of all of this testing and doctors and meds and everything else I am laying out money for that's making me feel sick.</t>
        </is>
      </c>
      <c r="D782" t="n">
        <v>1</v>
      </c>
      <c r="E782" t="n">
        <v>4</v>
      </c>
      <c r="F782">
        <f>HYPERLINK("https://www.reddit.com/r/diabetes/comments/30zfiu/i_am_thinking_of_coming_off_of_me_my_medication/")</f>
        <v/>
      </c>
      <c r="G782" t="inlineStr">
        <is>
          <t>2015-03-31 15:58:00</t>
        </is>
      </c>
      <c r="H782" t="inlineStr">
        <is>
          <t>Type 2</t>
        </is>
      </c>
    </row>
    <row r="783">
      <c r="A783" t="inlineStr">
        <is>
          <t>31007x</t>
        </is>
      </c>
      <c r="B783" t="inlineStr">
        <is>
          <t>Does this sound like too much medicine?</t>
        </is>
      </c>
      <c r="C783" t="inlineStr">
        <is>
          <t>Tanzeum, xigduo, 2000 MG metformin, plus a cholesterol pill? I feel super nauseated and need to be near a bathroom.  It's only been 4 days. I go back to the doctor in a month to see if I've lost weight and to get lab results.</t>
        </is>
      </c>
      <c r="D783" t="n">
        <v>4</v>
      </c>
      <c r="E783" t="n">
        <v>29</v>
      </c>
      <c r="F783">
        <f>HYPERLINK("https://www.reddit.com/r/diabetes/comments/31007x/does_this_sound_like_too_much_medicine/")</f>
        <v/>
      </c>
      <c r="G783" t="inlineStr">
        <is>
          <t>2015-03-31 18:31:43</t>
        </is>
      </c>
      <c r="H783" t="inlineStr">
        <is>
          <t>Type 2</t>
        </is>
      </c>
    </row>
    <row r="784">
      <c r="A784" t="inlineStr">
        <is>
          <t>312cp0</t>
        </is>
      </c>
      <c r="B784" t="inlineStr">
        <is>
          <t>Dexcom and tanning beds....</t>
        </is>
      </c>
      <c r="C784" t="inlineStr">
        <is>
          <t>Hi! I don't usually go tanning but I have an event next week and want to go once or twice. Question - will the UV lights and/or heat damage the Dexcom device? Thanks!</t>
        </is>
      </c>
      <c r="D784" t="n">
        <v>4</v>
      </c>
      <c r="E784" t="n">
        <v>11</v>
      </c>
      <c r="F784">
        <f>HYPERLINK("https://www.reddit.com/r/diabetes/comments/312cp0/dexcom_and_tanning_beds/")</f>
        <v/>
      </c>
      <c r="G784" t="inlineStr">
        <is>
          <t>2015-04-01 08:14:20</t>
        </is>
      </c>
      <c r="H784" t="inlineStr">
        <is>
          <t>Type 1</t>
        </is>
      </c>
    </row>
    <row r="785">
      <c r="A785" t="inlineStr">
        <is>
          <t>312h43</t>
        </is>
      </c>
      <c r="B785" t="inlineStr">
        <is>
          <t>Modelling Basal Rate Based on Bolus Intake</t>
        </is>
      </c>
      <c r="C785" t="inlineStr">
        <is>
          <t>I've been a T1 diabetic for about 10 years now, and I've noticed over the years that my bolus:basal rate has been fairly constant at 60:40. In other words, over a 24-hour period, 60% of my insulin intake will be attributed to bolus (meals) while 40% will be attributed to my basal rate. 
This has kept me fairly healthy with relatively low A1c's so it seems I've been able to accurately model my metabolism with the insulin pump that I wear. What I wish to do now, however, is to adjust my basal rate based on any fluctuations of my bolus. So, if my bolus goes up, so does my basal. If it goes down, then likewise my basal would go down. 
I just wanted to ask those of you who have more experience with this, does this logic/line of thinking make sense? Would it be reliable to model my basal rate only on what I eat? Thanks.</t>
        </is>
      </c>
      <c r="D785" t="n">
        <v>5</v>
      </c>
      <c r="E785" t="n">
        <v>7</v>
      </c>
      <c r="F785">
        <f>HYPERLINK("https://www.reddit.com/r/diabetes/comments/312h43/modelling_basal_rate_based_on_bolus_intake/")</f>
        <v/>
      </c>
      <c r="G785" t="inlineStr">
        <is>
          <t>2015-04-01 08:43:28</t>
        </is>
      </c>
      <c r="H785" t="inlineStr">
        <is>
          <t>Type 1</t>
        </is>
      </c>
    </row>
    <row r="786">
      <c r="A786" t="inlineStr">
        <is>
          <t>312i2s</t>
        </is>
      </c>
      <c r="B786" t="inlineStr">
        <is>
          <t>Pump failure can't remember how to calculate for myself</t>
        </is>
      </c>
      <c r="C786" t="inlineStr">
        <is>
          <t>I know the basic formula for calculating injections but can't remember how to account for insulin already in my system. It's only going to be another 24 hours but my sugars are coming in really high. Any help form people who inject daily?</t>
        </is>
      </c>
      <c r="D786" t="n">
        <v>0</v>
      </c>
      <c r="E786" t="n">
        <v>7</v>
      </c>
      <c r="F786">
        <f>HYPERLINK("https://www.reddit.com/r/diabetes/comments/312i2s/pump_failure_cant_remember_how_to_calculate_for/")</f>
        <v/>
      </c>
      <c r="G786" t="inlineStr">
        <is>
          <t>2015-04-01 08:49:30</t>
        </is>
      </c>
      <c r="H786" t="inlineStr">
        <is>
          <t>Type 1.5/LADA</t>
        </is>
      </c>
    </row>
    <row r="787">
      <c r="A787" t="inlineStr">
        <is>
          <t>31362p</t>
        </is>
      </c>
      <c r="B787" t="inlineStr">
        <is>
          <t>international travel</t>
        </is>
      </c>
      <c r="C787" t="inlineStr">
        <is>
          <t>headed out of the country for the first time since being diagnosed. wondering if anyone has any practical advice for international travel with a pump.
thanks</t>
        </is>
      </c>
      <c r="D787" t="n">
        <v>7</v>
      </c>
      <c r="E787" t="n">
        <v>15</v>
      </c>
      <c r="F787">
        <f>HYPERLINK("https://www.reddit.com/r/diabetes/comments/31362p/international_travel/")</f>
        <v/>
      </c>
      <c r="G787" t="inlineStr">
        <is>
          <t>2015-04-01 11:09:44</t>
        </is>
      </c>
      <c r="H787" t="inlineStr">
        <is>
          <t>Type 1</t>
        </is>
      </c>
    </row>
    <row r="788">
      <c r="A788" t="inlineStr">
        <is>
          <t>313h7h</t>
        </is>
      </c>
      <c r="B788" t="inlineStr">
        <is>
          <t>Dexcom G4 (Animas Vibe) Accuracy</t>
        </is>
      </c>
      <c r="C788" t="inlineStr">
        <is>
          <t xml:space="preserve">T1 and have been using pump for over 3 years. Upgraded to Animas Vibe w/ Dexcom CGM and started using CGM yesterday. Followed the instruction and everything with my doctor. Calibrated it over 12 hours. I have really bad issues with accuracy. CGM appears to exaggerate my numbers. When i'm around 120, CGM reads within +/- 10. When I bolus right before meal and my blood sugar is going down to about 110, CGM is saying i'm below low and has two arrows pointing down, pretty much saying i should be passed out. Then all of a sudden it starts skyrocketing. I kept using finger stick every 30 minutes (2 different meters). Using meters i spiked at around 180 while the CGM said I got to 300. Then when my rear blood sugar was around 140 then CGM had me at around 160. </t>
        </is>
      </c>
      <c r="D788" t="n">
        <v>3</v>
      </c>
      <c r="E788" t="n">
        <v>20</v>
      </c>
      <c r="F788">
        <f>HYPERLINK("https://www.reddit.com/r/diabetes/comments/313h7h/dexcom_g4_animas_vibe_accuracy/")</f>
        <v/>
      </c>
      <c r="G788" t="inlineStr">
        <is>
          <t>2015-04-01 12:12:57</t>
        </is>
      </c>
      <c r="H788" t="inlineStr">
        <is>
          <t>Type 1</t>
        </is>
      </c>
    </row>
    <row r="789">
      <c r="A789" t="inlineStr">
        <is>
          <t>314uyx</t>
        </is>
      </c>
      <c r="B789" t="inlineStr">
        <is>
          <t>Glucogon pen?</t>
        </is>
      </c>
      <c r="C789" t="inlineStr">
        <is>
          <t xml:space="preserve">What's your take on keeping a glucagon kit in your fridge? When you travel? </t>
        </is>
      </c>
      <c r="D789" t="n">
        <v>1</v>
      </c>
      <c r="E789" t="n">
        <v>7</v>
      </c>
      <c r="F789">
        <f>HYPERLINK("https://www.reddit.com/r/diabetes/comments/314uyx/glucogon_pen/")</f>
        <v/>
      </c>
      <c r="G789" t="inlineStr">
        <is>
          <t>2015-04-01 17:35:12</t>
        </is>
      </c>
      <c r="H789" t="inlineStr">
        <is>
          <t>Type 1</t>
        </is>
      </c>
    </row>
    <row r="790">
      <c r="A790" t="inlineStr">
        <is>
          <t>315ab4</t>
        </is>
      </c>
      <c r="B790" t="inlineStr">
        <is>
          <t>Newly diagnosed T2. Is this good or bad news?</t>
        </is>
      </c>
      <c r="C790" t="inlineStr">
        <is>
          <t>Last Friday (6 days ago), I was diagnosed with type 2 diabetes. I'm 6'2" and 213 pounds.  Before I started noticing severe symptoms in the beginning of January, I was roughly 270 pounds. 
The doctor pricked my finger and the glucometer read 290. Before the doctor visit, I had been fasting for about 15 hours and cutting out carbs.
He prescribed 1000mg metformin and 5mg glipizide, both taken twice a day (breakfast and dinner). I've also been continuing my low carb diet.
Today, I pricked my finger at 1:30 before having lunch. I had gone about 7 hours without eating. The glucometer read 230. 
I was expecting a way better blood glucose number. Does this mean I'm not responding to the medication very well, or is the -60 drop in points actually a good sign?
One more thing: I'm supposed to double my glipizide after the first week. Tomorrow I'll be taking 10mg instead of 5mg.
The doctor also told me to do some exercises, which I've failed to do. I felt very fatigued the first few days on my new meds, but I seem to be getting more alert and energenic with every day. I'll be sure do some cardio tomorrow.
Thanks.</t>
        </is>
      </c>
      <c r="D790" t="n">
        <v>5</v>
      </c>
      <c r="E790" t="n">
        <v>12</v>
      </c>
      <c r="F790">
        <f>HYPERLINK("https://www.reddit.com/r/diabetes/comments/315ab4/newly_diagnosed_t2_is_this_good_or_bad_news/")</f>
        <v/>
      </c>
      <c r="G790" t="inlineStr">
        <is>
          <t>2015-04-01 19:34:59</t>
        </is>
      </c>
      <c r="H790" t="inlineStr">
        <is>
          <t>Type 2</t>
        </is>
      </c>
    </row>
    <row r="791">
      <c r="A791" t="inlineStr">
        <is>
          <t>315u9l</t>
        </is>
      </c>
      <c r="B791" t="inlineStr">
        <is>
          <t>Type 1 Spent the last few nights with my ex... Don't want to go back</t>
        </is>
      </c>
      <c r="C791" t="inlineStr">
        <is>
          <t>Yes, this is the right sub reddit.  My Tslim died on me Monday night.  It lasted me a bit over a year.  About 15 months to be exact.  Went to repack and the motor died on me.  I tried to call their 24 hr support.  Line was busy all night.  Looked in the closet and there in the darkest deepest corner was my ex... A 723 Minimed.  It was either that or shots. Still had the supplies, Thankfully the infusion sets were cross-compatible so I didn't need to re-jab my abdomen with a different infusion site.  
I slowly remembered all the good times we had together, she fired right up with a new AAA.  A21 alarm... She had already moved on and forgotten me.  I reloaded my basal/bolus settings.  Re-packing the pump was so much easier than the tslim.  I loved the long tubing, 18 units to prime tubing twice as long like I like... but don't use any more on tslim because of the amount of insulin it takes to prime longer tubing for some reason.  
I got a hold of tslim yesterday and they got me a new pump today... I'm still wearing the ex though.  Not sure I want to go back either.  I know why I left minimed in the first place and they felt like good reasons at the time.  Bulky, dated indaglo light, constant occlusion alarms, constant breaking clips, shotty CGM accuracy, horrid customer service.   All that seems far in the past.  I liked tslims small tight body and touch screen &amp;amp; usb charger.  Things I don't like, it goes off every time in a metal detector, minimed didn't.  Uses a lot more insulin somehow than my minimed,  I don't know how that's possible, it's the same 300 units but the tslim just blasts through it.  Seems like after i prime I'm already down to 225u.  The tslim is also loud.  Very loud in comparison to minimed.  My coworker is actually annoyed by it,  they said it sounds like a blender.  
I want to stay with my ex now... But she's up there in age still... Guess it really comes down to personal preference, but in hindsight, I really should have stayed with minimed in spite of the problems I had that drove me away from them to the new girl that just moved in on the block...  Sigh.  I got 99 problems but a pump ain't one</t>
        </is>
      </c>
      <c r="D791" t="n">
        <v>38</v>
      </c>
      <c r="E791" t="n">
        <v>17</v>
      </c>
      <c r="F791">
        <f>HYPERLINK("https://www.reddit.com/r/diabetes/comments/315u9l/type_1_spent_the_last_few_nights_with_my_ex_dont/")</f>
        <v/>
      </c>
      <c r="G791" t="inlineStr">
        <is>
          <t>2015-04-01 22:37:27</t>
        </is>
      </c>
      <c r="H791" t="inlineStr">
        <is>
          <t>Type 1</t>
        </is>
      </c>
    </row>
    <row r="792">
      <c r="A792" t="inlineStr">
        <is>
          <t>316zko</t>
        </is>
      </c>
      <c r="B792" t="inlineStr">
        <is>
          <t>Really need help dealing with overnight lows following excercise</t>
        </is>
      </c>
      <c r="C792" t="inlineStr">
        <is>
          <t xml:space="preserve">I run 3-4 times a week, only for about 30 minutes total.  But I am working up to longer distances, and I don't know what to do about these awful overnight lows.  I am looking for suggestions!
I run from 6-6:30, before I eat dinner.  I've tried eating a bedtime snack with high protein and some carbs (for example, carrots and peanut butter).  I've tried lowering my basal rate to 90% overnight, as my endo suggested. 
I tested 5 times between getting back from my run and going to bed at around 10:30, and I was between 90 and 130, so I am fine right after.  However, any day I exercise, I wake up between 12 and 12:30am at around 56 mg/dl.  I allowed myself to elevate to 183 before bed this time, set a temporary basal to 70% of my normal, but woke up sweaty and wobbly - and I was 46!
I really need advice.  I feel awful today - night-time lows make me panic so I was 250 mg/dl when I woke up this morning.  I can't take this lack of sleep, and I am scared of not waking up - but I really don't want to stop exercising.  Help!
</t>
        </is>
      </c>
      <c r="D792" t="n">
        <v>3</v>
      </c>
      <c r="E792" t="n">
        <v>9</v>
      </c>
      <c r="F792">
        <f>HYPERLINK("https://www.reddit.com/r/diabetes/comments/316zko/really_need_help_dealing_with_overnight_lows/")</f>
        <v/>
      </c>
      <c r="G792" t="inlineStr">
        <is>
          <t>2015-04-02 07:18:24</t>
        </is>
      </c>
      <c r="H792" t="inlineStr">
        <is>
          <t>Type 1</t>
        </is>
      </c>
    </row>
    <row r="793">
      <c r="A793" t="inlineStr">
        <is>
          <t>317kpo</t>
        </is>
      </c>
      <c r="B793" t="inlineStr">
        <is>
          <t>A1C from 11.5 to 6.1 in 2.5 months. Suck it, diabetes</t>
        </is>
      </c>
      <c r="C793" t="inlineStr">
        <is>
          <t xml:space="preserve">So right around the time I learned I had diabetes I was making preparations for gastric surgery. The 11.5 A1C shocked me into making some serious changes.
I just had surgery on Monday and they gave me an A1C test. 6.1 baby! </t>
        </is>
      </c>
      <c r="D793" t="n">
        <v>58</v>
      </c>
      <c r="E793" t="n">
        <v>7</v>
      </c>
      <c r="F793">
        <f>HYPERLINK("https://www.reddit.com/r/diabetes/comments/317kpo/a1c_from_115_to_61_in_25_months_suck_it_diabetes/")</f>
        <v/>
      </c>
      <c r="G793" t="inlineStr">
        <is>
          <t>2015-04-02 09:57:59</t>
        </is>
      </c>
      <c r="H793" t="inlineStr">
        <is>
          <t>Type 2</t>
        </is>
      </c>
    </row>
    <row r="794">
      <c r="A794" t="inlineStr">
        <is>
          <t>318sgb</t>
        </is>
      </c>
      <c r="B794" t="inlineStr">
        <is>
          <t>Just Found out I'm Type 2</t>
        </is>
      </c>
      <c r="C794" t="inlineStr">
        <is>
          <t>I don't know what to think. I went to the doctor earlier this week for some really bad acid indigestion and while there he talked me into doing some blood work. I just turned 30 btw. Anyways they called me back and informed me that my A1C was at 7.4 and that I needed to start taking Metformin and make some changes to diet and start exercising. They didn't even say, "You have diabetes", but after doing a little light research I found that I'm technically in the Type-2 Diabetes range with that A1C. I'm a little scared, confused, and depressed right now. I have no idea what this means for me, what I need to do and what to expect for the rest of life. Am I looking at a long life of taking pills and possibly insulin injections down the road? Can I turn this all around with diet and exercise and be able to stop taking pills? What do I do? Where do I go from here? There are a LOT of changes I know I can make that will help, like cutting out my soft drink habit, which will be hard because I drink a lot of soda. I'm 6' 4" and 266 lbs. and I did some dieting and exercise last year and was able to lose over 20 lbs but I got an injury and stopped the jogging and then the holidays came and all my bad diet habits came back to me. At this point I'm committed to making whatever changes it takes if it means I can get back to the point of not being diabetic, if that's possible. Anyways, sorry the book here, I just needed to get all of this out of  my head. Thanks for listening.</t>
        </is>
      </c>
      <c r="D794" t="n">
        <v>4</v>
      </c>
      <c r="E794" t="n">
        <v>11</v>
      </c>
      <c r="F794">
        <f>HYPERLINK("https://www.reddit.com/r/diabetes/comments/318sgb/just_found_out_im_type_2/")</f>
        <v/>
      </c>
      <c r="G794" t="inlineStr">
        <is>
          <t>2015-04-02 15:19:36</t>
        </is>
      </c>
      <c r="H794" t="inlineStr">
        <is>
          <t>Type 2</t>
        </is>
      </c>
    </row>
    <row r="795">
      <c r="A795" t="inlineStr">
        <is>
          <t>3190po</t>
        </is>
      </c>
      <c r="B795" t="inlineStr">
        <is>
          <t>I'm losing control</t>
        </is>
      </c>
      <c r="C795" t="inlineStr">
        <is>
          <t>I was diagnosed May 2014, A1C of about 16.
That July, A1C of 6.0
January, A1C of 6.7
Next appointment is on the 23rd.
I'm sitting here with a sugar of 250. I saw about an hour ago that it was at 200. Took Humalog. Just checked again, it's at 250. Took *more* Humalog.
I've completely lost it. I have no control over this, no explanation for why it's so high. I did great for the first few months, but something has changed.
I've tried upping the ratio of Humalog to carbs that I take, but to no avail.
I was diagnosed as Type 1, but blood tests showed no GAD antibodies.
This is impossible to control. This is going to kill me, isn't it? Being diabetic is going to cut my lifespan to 1/3 of the average expectancy.
*I'm 18 in 4 days. I'll be dead before I'm 20.*</t>
        </is>
      </c>
      <c r="D795" t="n">
        <v>6</v>
      </c>
      <c r="E795" t="n">
        <v>46</v>
      </c>
      <c r="F795">
        <f>HYPERLINK("https://www.reddit.com/r/diabetes/comments/3190po/im_losing_control/")</f>
        <v/>
      </c>
      <c r="G795" t="inlineStr">
        <is>
          <t>2015-04-02 16:26:45</t>
        </is>
      </c>
      <c r="H795" t="inlineStr">
        <is>
          <t>Type 1</t>
        </is>
      </c>
    </row>
    <row r="796">
      <c r="A796" t="inlineStr">
        <is>
          <t>319vdt</t>
        </is>
      </c>
      <c r="B796" t="inlineStr">
        <is>
          <t>Blood Sugar and emotions.</t>
        </is>
      </c>
      <c r="C796" t="inlineStr">
        <is>
          <t>So I know that extreme emotions can affect blood sugar, but i was wondering how much adverse blood sugar effects emotion, besides being irritable from low blood sugar/high blood sugar. I mean obviously feeling physically shitty will effect your emotions but is there a direct correlation with adverse blood sugars and specific emotions? any studies or thoughts?</t>
        </is>
      </c>
      <c r="D796" t="n">
        <v>8</v>
      </c>
      <c r="E796" t="n">
        <v>6</v>
      </c>
      <c r="F796">
        <f>HYPERLINK("https://www.reddit.com/r/diabetes/comments/319vdt/blood_sugar_and_emotions/")</f>
        <v/>
      </c>
      <c r="G796" t="inlineStr">
        <is>
          <t>2015-04-02 20:53:28</t>
        </is>
      </c>
      <c r="H796" t="inlineStr">
        <is>
          <t>Type 1</t>
        </is>
      </c>
    </row>
    <row r="797">
      <c r="A797" t="inlineStr">
        <is>
          <t>319y6n</t>
        </is>
      </c>
      <c r="B797" t="inlineStr">
        <is>
          <t>Sepsis and a CGM</t>
        </is>
      </c>
      <c r="C797" t="inlineStr">
        <is>
          <t>Anyone have any data on this? How common is it for people who wear CGMs for longer than they're supposed to to run into trouble like this? What other kinds of problems would be common from doing this? I know you can get staph and things, but is there any information on how commonly these things occur with CGMs?</t>
        </is>
      </c>
      <c r="D797" t="n">
        <v>1</v>
      </c>
      <c r="E797" t="n">
        <v>5</v>
      </c>
      <c r="F797">
        <f>HYPERLINK("https://www.reddit.com/r/diabetes/comments/319y6n/sepsis_and_a_cgm/")</f>
        <v/>
      </c>
      <c r="G797" t="inlineStr">
        <is>
          <t>2015-04-02 21:21:08</t>
        </is>
      </c>
      <c r="H797" t="inlineStr">
        <is>
          <t>Type 1</t>
        </is>
      </c>
    </row>
    <row r="798">
      <c r="A798" t="inlineStr">
        <is>
          <t>31aqvd</t>
        </is>
      </c>
      <c r="B798" t="inlineStr">
        <is>
          <t>What to say to judgemental family?</t>
        </is>
      </c>
      <c r="C798" t="inlineStr">
        <is>
          <t>Newly diagnosed T2 obese female here. I know this is probably all my fault due to years of horrible lifestyle choices, but since I can't go back in time I prefer not to dwell on that if possible.  But my family - especially my mom - I don't know how to respond to their comments about how, "if [I] had just done...this wouldn't have happened" and how they "just wish I had..." etc. Dirty looks, head shaking, and the like makes it really hard not to just stew in my anger at myself. I've already acknowledged to her that it's my fault but that what's done is done and that I don't want to dwell on what I should have done. But her attitude seems to be that I should stay angry with myself forever, and that if I won't, she'll do it for me. It's very upsetting. Have any of you run into the same kind of thing? Can you offer any advice?</t>
        </is>
      </c>
      <c r="D798" t="n">
        <v>2</v>
      </c>
      <c r="E798" t="n">
        <v>13</v>
      </c>
      <c r="F798">
        <f>HYPERLINK("https://www.reddit.com/r/diabetes/comments/31aqvd/what_to_say_to_judgemental_family/")</f>
        <v/>
      </c>
      <c r="G798" t="inlineStr">
        <is>
          <t>2015-04-03 04:09:04</t>
        </is>
      </c>
      <c r="H798" t="inlineStr">
        <is>
          <t>Type 2</t>
        </is>
      </c>
    </row>
    <row r="799">
      <c r="A799" t="inlineStr">
        <is>
          <t>31asfq</t>
        </is>
      </c>
      <c r="B799" t="inlineStr">
        <is>
          <t>T1 Peaks and Corrections</t>
        </is>
      </c>
      <c r="C799" t="inlineStr">
        <is>
          <t xml:space="preserve">Hey everybody, I was just wondering what kind of numbers do people peak at right after meals and also what number do you correct to after meals. I don't have any friends with T1 so I can't ask anybody these questions. I currently peak at 190 but with my new CGM/bolus timing/taking longer to eat meals i'm hoping to get under 150, which I have been successful in doing in the past 2 days. My doctor tells me to correct to 120 but I think I will start correcting to 110 instead to get a better control of my numbers - I can easily discover my lows so I'm not worried about those. </t>
        </is>
      </c>
      <c r="D799" t="n">
        <v>10</v>
      </c>
      <c r="E799" t="n">
        <v>10</v>
      </c>
      <c r="F799">
        <f>HYPERLINK("https://www.reddit.com/r/diabetes/comments/31asfq/t1_peaks_and_corrections/")</f>
        <v/>
      </c>
      <c r="G799" t="inlineStr">
        <is>
          <t>2015-04-03 04:32:54</t>
        </is>
      </c>
      <c r="H799" t="inlineStr">
        <is>
          <t>Type 1</t>
        </is>
      </c>
    </row>
    <row r="800">
      <c r="A800" t="inlineStr">
        <is>
          <t>31av6u</t>
        </is>
      </c>
      <c r="B800" t="inlineStr">
        <is>
          <t>Just started Novorapid... Need some help</t>
        </is>
      </c>
      <c r="C800" t="inlineStr">
        <is>
          <t>I am taking 20u of levemir at night. Then I am supposed to take 10u of before meals. What if my numbers don't go down? I am sitting at 400. Took my shot of novorapid before dinner. But my numbers have been high all afternoon. Thank you for any suggestions.</t>
        </is>
      </c>
      <c r="D800" t="n">
        <v>3</v>
      </c>
      <c r="E800" t="n">
        <v>12</v>
      </c>
      <c r="F800">
        <f>HYPERLINK("https://www.reddit.com/r/diabetes/comments/31av6u/just_started_novorapid_need_some_help/")</f>
        <v/>
      </c>
      <c r="G800" t="inlineStr">
        <is>
          <t>2015-04-03 05:09:39</t>
        </is>
      </c>
      <c r="H800" t="inlineStr">
        <is>
          <t>Type 1.5/LADA</t>
        </is>
      </c>
    </row>
    <row r="801">
      <c r="A801" t="inlineStr">
        <is>
          <t>31c7ja</t>
        </is>
      </c>
      <c r="B801" t="inlineStr">
        <is>
          <t>8 weeks of exercise, weight is the same</t>
        </is>
      </c>
      <c r="C801" t="inlineStr">
        <is>
          <t>I'll try not to make this a novel.  I'm type 2, have been for...9 years.  The first 4 years I managed it with diet and exercise, no medication.  Then I got married and had to start insulin shots.  I decided I have had enough of that and diet only got me so far (last two A1C: 6.1, 6.3).  So I started lifting weights again (3x/week).  Fasting BG started coming down nicely, and I didn't gain any weight from it.  (in the past I would gain ~5lbs when getting my BG into target range if I had been sloppy).
Right when I started thinking "Well the BG is in the right place now, I should start losing lbs soon", I got sick, took a week off of working out and had BGs in the 200s (mg/dl) due to a sinus infection.  As of Monday it appears I'm getting over it and my fasting is back under 120 consistently.  And I haven't needed any fast acting insulin since the infection (I still take Levemir at night, 30 units, tapering down to 20 lately).
All through this weight stayed the same, ~195lbs (5'9").  My goal for working out was BG control first, tapering off insulin second,  weight loss should have just been a side effect.  But now its just weird that it isn't moving.  Daily calories is generally between 1600-2000.  That is a deficit, but I'm generally not hungry, its just how I normally eat.
Thoughts? Is it the extra BG finally being pulled out of my bloodstream that's stalling the weight loss?  Think I've finally reached equilibrium.... again?  Should start loosing weight ... soon?</t>
        </is>
      </c>
      <c r="D801" t="n">
        <v>2</v>
      </c>
      <c r="E801" t="n">
        <v>15</v>
      </c>
      <c r="F801">
        <f>HYPERLINK("https://www.reddit.com/r/diabetes/comments/31c7ja/8_weeks_of_exercise_weight_is_the_same/")</f>
        <v/>
      </c>
      <c r="G801" t="inlineStr">
        <is>
          <t>2015-04-03 11:45:14</t>
        </is>
      </c>
      <c r="H801" t="inlineStr">
        <is>
          <t>Type 2</t>
        </is>
      </c>
    </row>
    <row r="802">
      <c r="A802" t="inlineStr">
        <is>
          <t>31fjyj</t>
        </is>
      </c>
      <c r="B802" t="inlineStr">
        <is>
          <t>Type one diabetic, no insurance and running out of insulin.</t>
        </is>
      </c>
      <c r="C802" t="inlineStr">
        <is>
          <t>I currently have about a month until my insurance kicks in from my workplace, and am currently running out of my long lasting insulin. I have been a type one diabetic for 3 years now and have only taken 25 units of levimir for my long lasting insulin daily and novalog for my short acting insulin. I was thinking about picking up some novalin n from wal-mart to hold me over until I can afford to pick up some levamir when my insurance kicks in. Has anyone had experiences with switching insulin temporarily to get by? Are the any side effects with taking novalin and novalog together? Any information would be of great help. thanks!
edit: thanks so much to /u/InYoCloset for sending me some levemir pens. I'm really grateful for everyone's willingness to help and share information. You guys and gals are the best!</t>
        </is>
      </c>
      <c r="D802" t="n">
        <v>13</v>
      </c>
      <c r="E802" t="n">
        <v>20</v>
      </c>
      <c r="F802">
        <f>HYPERLINK("https://www.reddit.com/r/diabetes/comments/31fjyj/type_one_diabetic_no_insurance_and_running_out_of/")</f>
        <v/>
      </c>
      <c r="G802" t="inlineStr">
        <is>
          <t>2015-04-04 09:36:38</t>
        </is>
      </c>
      <c r="H802" t="inlineStr">
        <is>
          <t>Type 1</t>
        </is>
      </c>
    </row>
    <row r="803">
      <c r="A803" t="inlineStr">
        <is>
          <t>31g0z2</t>
        </is>
      </c>
      <c r="B803" t="inlineStr">
        <is>
          <t>Things you feel guilty about re: other diabetics (T1)</t>
        </is>
      </c>
      <c r="C803" t="inlineStr">
        <is>
          <t>Just a place to vent some of the less great aspects of our nature. 
To kick it off:
1) I sometimes feel bitter toward T2's on oral meds who act like they have such a hard time with everything.
2) I get annoyed when T1's within a year or so of diagnosis get to A1c's in the 5's and low 6's and make it seem like it's so easy when in fact they are actually honeymooning and just doing the basic stuff that all decent diabetics should. My average A1c since diagnosis is roughly 7 and I am now more in the mid/high 6's range but it is a CONSTANT BATTLE, I eat well under 100g carbs almost every day, eat the same foods most days, wear a G4, use Nightscout, and test ~10-12x/day.</t>
        </is>
      </c>
      <c r="D803" t="n">
        <v>11</v>
      </c>
      <c r="E803" t="n">
        <v>40</v>
      </c>
      <c r="F803">
        <f>HYPERLINK("https://www.reddit.com/r/diabetes/comments/31g0z2/things_you_feel_guilty_about_re_other_diabetics_t1/")</f>
        <v/>
      </c>
      <c r="G803" t="inlineStr">
        <is>
          <t>2015-04-04 12:04:48</t>
        </is>
      </c>
      <c r="H803" t="inlineStr">
        <is>
          <t>Type 1</t>
        </is>
      </c>
    </row>
    <row r="804">
      <c r="A804" t="inlineStr">
        <is>
          <t>31kukf</t>
        </is>
      </c>
      <c r="B804" t="inlineStr">
        <is>
          <t>Keto, Diabetes, Insulin Dose</t>
        </is>
      </c>
      <c r="C804" t="inlineStr">
        <is>
          <t xml:space="preserve">Has anyone found that they are still having highs on the keto diet, despite the correcting and covering for small carbs. My number seems to shoot up to the 170-200 range a few hours after eating (I am covering for protein too). I currently split my lantus dose 6 units am/6 units pm. I also take about 3 units of novolog with each meal (3 times a day). Should I be increasing my basal? or should I be increasing my novolog? 
What are your keto/insulin regimens?
Thanks!
</t>
        </is>
      </c>
      <c r="D804" t="n">
        <v>1</v>
      </c>
      <c r="E804" t="n">
        <v>7</v>
      </c>
      <c r="F804">
        <f>HYPERLINK("https://www.reddit.com/r/diabetes/comments/31kukf/keto_diabetes_insulin_dose/")</f>
        <v/>
      </c>
      <c r="G804" t="inlineStr">
        <is>
          <t>2015-04-05 18:16:30</t>
        </is>
      </c>
      <c r="H804" t="inlineStr">
        <is>
          <t>Type 1</t>
        </is>
      </c>
    </row>
    <row r="805">
      <c r="A805" t="inlineStr">
        <is>
          <t>31lthh</t>
        </is>
      </c>
      <c r="B805" t="inlineStr">
        <is>
          <t>Lipohypertrophy, or...</t>
        </is>
      </c>
      <c r="C805" t="inlineStr">
        <is>
          <t>Maybe NSFW (nobody wants to see my ugly bod, right?), so I'm putting the link here instead of just submitting it on its own.
http://imgur.com/KgrYJYB
Basically, I'm wondering if this is lipohypertrophy, or if I'm just chubby and misshapen. I haven't injected in the obvious problem area for years, and there's no hard (or even firm) lumps under there until you hit abdominal muscle. Still, it's unsightly, and I'm looking for opinions from people who might know if it's an iconic look or something.
Also, I've been on Reddit for like two years and never even thought to look for a diabetes sub, so...hi, everyone.</t>
        </is>
      </c>
      <c r="D805" t="n">
        <v>5</v>
      </c>
      <c r="E805" t="n">
        <v>13</v>
      </c>
      <c r="F805">
        <f>HYPERLINK("https://www.reddit.com/r/diabetes/comments/31lthh/lipohypertrophy_or/")</f>
        <v/>
      </c>
      <c r="G805" t="inlineStr">
        <is>
          <t>2015-04-06 00:19:09</t>
        </is>
      </c>
      <c r="H805" t="inlineStr">
        <is>
          <t>Type 1</t>
        </is>
      </c>
    </row>
    <row r="806">
      <c r="A806" t="inlineStr">
        <is>
          <t>31ncdg</t>
        </is>
      </c>
      <c r="B806" t="inlineStr">
        <is>
          <t>What is your experience with sugar alcohols?</t>
        </is>
      </c>
      <c r="C806" t="inlineStr">
        <is>
          <t>They say they don't affect blood sugar as much as regular sugar, but whenever I eat something with sugar alcohols, like sugar free candy or whatever, my sugar skyrockets and I have a hard time getting back under control for sometimes up to 8 hours. I even bolus for them now, 15 grams sugar alcohols, I bolus for 15 carbs. An hour or so later I'll be over 200 and have to give myself significant amounts of extra insulin for hours to get down to normal and stay there. Any one else have this?</t>
        </is>
      </c>
      <c r="D806" t="n">
        <v>2</v>
      </c>
      <c r="E806" t="n">
        <v>11</v>
      </c>
      <c r="F806">
        <f>HYPERLINK("https://www.reddit.com/r/diabetes/comments/31ncdg/what_is_your_experience_with_sugar_alcohols/")</f>
        <v/>
      </c>
      <c r="G806" t="inlineStr">
        <is>
          <t>2015-04-06 10:24:13</t>
        </is>
      </c>
      <c r="H806" t="inlineStr">
        <is>
          <t>Type 1</t>
        </is>
      </c>
    </row>
    <row r="807">
      <c r="A807" t="inlineStr">
        <is>
          <t>31nzc2</t>
        </is>
      </c>
      <c r="B807" t="inlineStr">
        <is>
          <t>Keto Meal Planning</t>
        </is>
      </c>
      <c r="C807" t="inlineStr">
        <is>
          <t>If you dont mind me asking - what do your days look like in food. I feel like I am still doing something wrong! My blood sugars creep higher than usual, as does my weight at times. I am starting to think that I am failing on keto :( need your help!</t>
        </is>
      </c>
      <c r="D807" t="n">
        <v>4</v>
      </c>
      <c r="E807" t="n">
        <v>7</v>
      </c>
      <c r="F807">
        <f>HYPERLINK("https://www.reddit.com/r/diabetes/comments/31nzc2/keto_meal_planning/")</f>
        <v/>
      </c>
      <c r="G807" t="inlineStr">
        <is>
          <t>2015-04-06 13:08:22</t>
        </is>
      </c>
      <c r="H807" t="inlineStr">
        <is>
          <t>Type 1</t>
        </is>
      </c>
    </row>
    <row r="808">
      <c r="A808" t="inlineStr">
        <is>
          <t>31p5ra</t>
        </is>
      </c>
      <c r="B808" t="inlineStr">
        <is>
          <t>Better time of day to have high carb meal?</t>
        </is>
      </c>
      <c r="C808" t="inlineStr">
        <is>
          <t>I've put on about 16 lbs in the month since my diagnosis and all round feel so much better. I am not tired anymore like I was before and I'm not drinking upwards of a gallon or more liquid a day which is funny because now I don't think I drink enough and force myself to some days. Anyways, is there a better time of day to take in a high carb meal as a type 1? I want to incorporate a weight gainer back into my diet and it has about 80g of carbs before the milk and honestly it tastes horrendous with water. I'm looking at about 100g or carbs for this shake so would it be wise to take it before working out? If so, on my off days when would it be prudent to take it? Possibly before work so that I can be moving around? I work retail and am always on my feet and working. Looking for some insight here, thanks!
EDIT: I should also mention that I have switched to a very low GI diet so I'm eating most whole grains and when possible trying to eat "free" foods so this shake would be my biggest carb intake of the day. When I have nutrition info, I am on point in terms of my readings so my BG has been steady but it spikes horribly if I am out to a restaurant that doesn't have nutrition info posted on their websites which is to be expected I guess.</t>
        </is>
      </c>
      <c r="D808" t="n">
        <v>3</v>
      </c>
      <c r="E808" t="n">
        <v>4</v>
      </c>
      <c r="F808">
        <f>HYPERLINK("https://www.reddit.com/r/diabetes/comments/31p5ra/better_time_of_day_to_have_high_carb_meal/")</f>
        <v/>
      </c>
      <c r="G808" t="inlineStr">
        <is>
          <t>2015-04-06 18:34:44</t>
        </is>
      </c>
      <c r="H808" t="inlineStr">
        <is>
          <t>Type 1</t>
        </is>
      </c>
    </row>
    <row r="809">
      <c r="A809" t="inlineStr">
        <is>
          <t>31pbhi</t>
        </is>
      </c>
      <c r="B809" t="inlineStr">
        <is>
          <t>[type 1] Somewhat new type 1, starting to feel irritated with well-meaning (yet ignorant) acquaintances telling me that I can "cure" this with seaweed/raw/natural juice/etc...</t>
        </is>
      </c>
      <c r="C809" t="inlineStr">
        <is>
          <t>It happened again today, and as always I politely said "thanks, but I think you're probably thinking about type 2, which can potentially be reversed in some situations. Unfortunately, there is no cure for type 1"
She looked totally skeptical, like I didn't know what I was talking about, and went on this tangent about a documentary she saw while asking me about my diet. 
Honestly, I know they mean well, but I'm really starting to find it irritating. One coworker even told me that doctors don't want us to know about these natural "cures." 
Apologies for the mini-rant. This is still newish and very overwhelming and I've read so much information in an effort to understand what's happening to me, yet people who don't even seem to understand the difference between the two types of diabetes are acting like I somehow have no idea that there are such obvious cures. I can't help feeling kind of insulted.
Have any of you dealt with this or something similar?</t>
        </is>
      </c>
      <c r="D809" t="n">
        <v>24</v>
      </c>
      <c r="E809" t="n">
        <v>57</v>
      </c>
      <c r="F809">
        <f>HYPERLINK("https://www.reddit.com/r/diabetes/comments/31pbhi/type_1_somewhat_new_type_1_starting_to_feel/")</f>
        <v/>
      </c>
      <c r="G809" t="inlineStr">
        <is>
          <t>2015-04-06 19:29:02</t>
        </is>
      </c>
      <c r="H809" t="inlineStr">
        <is>
          <t>Type 1</t>
        </is>
      </c>
    </row>
    <row r="810">
      <c r="A810" t="inlineStr">
        <is>
          <t>31qa2g</t>
        </is>
      </c>
      <c r="B810" t="inlineStr">
        <is>
          <t>My aunt has uncontrolled type 2 with no insurance and I don't know how to help</t>
        </is>
      </c>
      <c r="C810" t="inlineStr">
        <is>
          <t xml:space="preserve">My grandmother (her mother) also has type 2, but she has the test strips and purple and orange insulin shots since she has insurance. Saturday I asked my aunt to check her blood sugar before she ate. She stuck herself with the little needle thing and tested it. 
It was 300. She hadn't eaten a thing yet- I was bringing her breakfast. She says the strips that you stick the blood on cost $100 and she can't afford it. She also says she makes too much money for insurance but can't afford it on her own. My aunt was a mother figure when I was growing up and I really want to help her. 
She lives in Kentucky if that helps anything. I have no idea how to help her- she's handling the majority of my grandmother's health issues, and if my aunt gets harmed worse from the uncontrolled type 2, i don't know if anyone else has the experience to take care of my grandmother. </t>
        </is>
      </c>
      <c r="D810" t="n">
        <v>3</v>
      </c>
      <c r="E810" t="n">
        <v>8</v>
      </c>
      <c r="F810">
        <f>HYPERLINK("https://www.reddit.com/r/diabetes/comments/31qa2g/my_aunt_has_uncontrolled_type_2_with_no_insurance/")</f>
        <v/>
      </c>
      <c r="G810" t="inlineStr">
        <is>
          <t>2015-04-07 02:06:38</t>
        </is>
      </c>
      <c r="H810" t="inlineStr">
        <is>
          <t>Type 2</t>
        </is>
      </c>
    </row>
    <row r="811">
      <c r="A811" t="inlineStr">
        <is>
          <t>31s1ir</t>
        </is>
      </c>
      <c r="B811" t="inlineStr">
        <is>
          <t>It.. doesn't sound that bad?</t>
        </is>
      </c>
      <c r="C811" t="inlineStr">
        <is>
          <t>Apparently I am type 1. That means checking my blood sugar and doing needles before any meal. Also another needle every 24 hours at 22:00. And.. that is all? IF my blood sugar is too low I will just eat 4 cubes of sugar and eat a meal afterwards. Also doctor said if I start exercising like walking or working out I MAY only need the 24 hours needle. Also she said "Maybe this will lead you to a healthier, careful life style and protect you from other diseases" and well.. I wish I didn't have diabetes but let's look on the bright side. As long as I have my needles OR as long as I exercise and don't eat too much carbs I am healthy, maybe healthier than average.</t>
        </is>
      </c>
      <c r="D811" t="n">
        <v>2</v>
      </c>
      <c r="E811" t="n">
        <v>22</v>
      </c>
      <c r="F811">
        <f>HYPERLINK("https://www.reddit.com/r/diabetes/comments/31s1ir/it_doesnt_sound_that_bad/")</f>
        <v/>
      </c>
      <c r="G811" t="inlineStr">
        <is>
          <t>2015-04-07 11:44:36</t>
        </is>
      </c>
      <c r="H811" t="inlineStr">
        <is>
          <t>Type 1</t>
        </is>
      </c>
    </row>
    <row r="812">
      <c r="A812" t="inlineStr">
        <is>
          <t>31so8n</t>
        </is>
      </c>
      <c r="B812" t="inlineStr">
        <is>
          <t>Found out today that Apidria is no longer covered by my insurance and that Novalog is covered...anyone have experience with switching from Apidria to Novalog with dosages?</t>
        </is>
      </c>
      <c r="C812" t="inlineStr">
        <is>
          <t xml:space="preserve">So title overall explains it but this is a giant fucking headache (I hate dealing with insurance). Has anyone switched from Apidria to Novalog, is there much of a difference between 1 unit of Apidria to 1 unit of Novalog? 
I'm using an insulin pump btw. </t>
        </is>
      </c>
      <c r="D812" t="n">
        <v>6</v>
      </c>
      <c r="E812" t="n">
        <v>16</v>
      </c>
      <c r="F812">
        <f>HYPERLINK("https://www.reddit.com/r/diabetes/comments/31so8n/found_out_today_that_apidria_is_no_longer_covered/")</f>
        <v/>
      </c>
      <c r="G812" t="inlineStr">
        <is>
          <t>2015-04-07 14:23:57</t>
        </is>
      </c>
      <c r="H812" t="inlineStr">
        <is>
          <t>Type 1</t>
        </is>
      </c>
    </row>
    <row r="813">
      <c r="A813" t="inlineStr">
        <is>
          <t>31umk5</t>
        </is>
      </c>
      <c r="B813" t="inlineStr">
        <is>
          <t>severe dawn effect recently</t>
        </is>
      </c>
      <c r="C813" t="inlineStr">
        <is>
          <t xml:space="preserve">Hi,
I've been experiencing a pretty bad dawn effect lately. it seems to have coincided with taking modafinil but I stopped taking it now and it hasn't stopped thusfar. I'll talk to my Endo soon but my appointment is still a month away.
My BG will be fine at around 11 PM and at around 12 pm it starts to rise.
I'm currently on novorapid and Levemir. I take 23L in the morning and went from 26-&amp;gt;30 in the evening.
I'm a bit worried about raising the evening dose more because I have experienced nighttime/morning seizures a few years ago and I live alone atm. 
For example:
on sunday I went to bed with 6.3 at 11:40 pm, a few hours after eating. tested again at 12:48 and it was up to 10.2. Then I woke up at 7:46 with 20.9
I've had similar values every day for the past 2 weeks.
And today I woke up with 11.9 so I injected 4 IUs of novorapid without eating and 2 hours later I was at 15.8.
Would really appreciate some advice. </t>
        </is>
      </c>
      <c r="D813" t="n">
        <v>4</v>
      </c>
      <c r="E813" t="n">
        <v>14</v>
      </c>
      <c r="F813">
        <f>HYPERLINK("https://www.reddit.com/r/diabetes/comments/31umk5/severe_dawn_effect_recently/")</f>
        <v/>
      </c>
      <c r="G813" t="inlineStr">
        <is>
          <t>2015-04-08 00:39:05</t>
        </is>
      </c>
      <c r="H813" t="inlineStr">
        <is>
          <t>Type 1</t>
        </is>
      </c>
    </row>
    <row r="814">
      <c r="A814" t="inlineStr">
        <is>
          <t>31wgpk</t>
        </is>
      </c>
      <c r="B814" t="inlineStr">
        <is>
          <t>Boyfriend has type 1 diabetes, advice on getting him to properly control it?</t>
        </is>
      </c>
      <c r="C814" t="inlineStr">
        <is>
          <t>The last year has been a mess. He ran out of his Lantus and didn't refill his prescription for 5 months (moved across the country and needed a new doctor), just used his humalog all the time (this meant he was getting up in the middle of the night and eating ungodly amounts of food during the day ALWAYS HUNGRY). He finally got his Lantus back and was somewhat on track with prescriptions but was testing 0 times a day, until he started getting sick (vomitting, diarrhea after every meal). We went to the doctor and she asked how many times a day he tested and he lied and said twice and that he just tested before arriving there and his blood sugar was at 230. I called him out told the doctor that his monitor is fresh in its package never been used. So she tests him and he is at 440. She concludes that after 2 weeks of vomiting and diarrhea with no fever or aches he probably has damaged his stomach/gut muscles not controlling his diabetes. He is doing better testing himself now, but his exercise and diet are atrocious. He subscribes to the things he learned from a nutritionist in the 90's, way behind on how he should be eating. 
Naturally he is a bit reluctant to listen to someone who hasn't lived with the disease for the past 10+ years like he has but I need to get through to him that this is important. Any resources or advice will be appreciated!</t>
        </is>
      </c>
      <c r="D814" t="n">
        <v>13</v>
      </c>
      <c r="E814" t="n">
        <v>62</v>
      </c>
      <c r="F814">
        <f>HYPERLINK("https://www.reddit.com/r/diabetes/comments/31wgpk/boyfriend_has_type_1_diabetes_advice_on_getting/")</f>
        <v/>
      </c>
      <c r="G814" t="inlineStr">
        <is>
          <t>2015-04-08 11:19:54</t>
        </is>
      </c>
      <c r="H814" t="inlineStr">
        <is>
          <t>Type 1</t>
        </is>
      </c>
    </row>
    <row r="815">
      <c r="A815" t="inlineStr">
        <is>
          <t>31wyim</t>
        </is>
      </c>
      <c r="B815" t="inlineStr">
        <is>
          <t>Just got diagnosed with Type 2 today</t>
        </is>
      </c>
      <c r="C815" t="inlineStr">
        <is>
          <t>I've been feeling a bit weird for the past six months, and now I know why.
I've been drinking water almost constantly (well, I say water, but theres been more than one energy drink and bottle of Coke), and over the past six months I've experienced a pretty dramatic wheight loss. I went from 110 kg (about 242 pounds) to under 90 (about 198) now.
The thing is, I'm on medication that makes my mouth dry (among other things..), so I blamed my water consumption on that, and the wheight loss I just never questioned. Not one to look a gift horse in the mouth, I was just happy I was finally losing wheight.
So after a blood test at my doctors, I was told I had to come back for further tests. That was three years ago, and I didn't go. I told myself I didn't go because I forgot, but mostly I was afraid of being diagnosed with diabetes. Even then, I knew my sedantery lifestyle wasn't healthy, but I was content to stick my head in the sand.
A few weeks ago, I decided it was finally time to get back in touch with my doctor and investigate the increased glucose levels she had raised concern about. After three years of denial.
My blood sugar levels were through the roof. I literally broke the scale, they couldn't get a reading and I was rushed to the hospital and admitted. They ran some tests, poked me with needles, and I was discharged the same day with a preliminary diabetes type 2 diagnosis, a bottle of pills, a blood testing kit and some brochures on what to eat. I'm supposed to go back on Friday when they have looked at my bloodwork properly and I've monitored my glucose levels for a few days.
My girlfriend doesn't know this, but I'm silently freaking out. I know this isn't deadly serious, and I'm really quite positive about this being something I can shake. My mom had type 2 and she got rid of it purely by altering her diet and exercise habits.
But I'm still freaking out. I've never had a disease that can potentially kill me before. I know it won't kill me, but it's that potential wheighing on my shoulders. This is a serious thing, and I've never had a life-threatening, serious thing breathing down my neck before. It's for real, and it's intimidating.
So, here I am. I'm 31 years old. I'm divorced, father of two, and I have two diagnoses, both of them serious but only one of them somatic and potentially fatal. I have type 2 diabetes.</t>
        </is>
      </c>
      <c r="D815" t="n">
        <v>2</v>
      </c>
      <c r="E815" t="n">
        <v>11</v>
      </c>
      <c r="F815">
        <f>HYPERLINK("https://www.reddit.com/r/diabetes/comments/31wyim/just_got_diagnosed_with_type_2_today/")</f>
        <v/>
      </c>
      <c r="G815" t="inlineStr">
        <is>
          <t>2015-04-08 13:23:47</t>
        </is>
      </c>
      <c r="H815" t="inlineStr">
        <is>
          <t>Type 2</t>
        </is>
      </c>
    </row>
    <row r="816">
      <c r="A816" t="inlineStr">
        <is>
          <t>31ydtx</t>
        </is>
      </c>
      <c r="B816" t="inlineStr">
        <is>
          <t>First A1C since diagnosis</t>
        </is>
      </c>
      <c r="C816" t="inlineStr">
        <is>
          <t xml:space="preserve">Diagnosed on Dec 1.  Glucose was at 490, A1C was 9%.  I wasn't overweight.  My diet was pretty good and I worked out daily.  But shit happens, right?  So I was apprehensive today even though I've had very good daily readings.  My doctor came in with the results and said they were nearly off the chart.  He didn't tell me the actual A1C but said it was equivalent to my glucose being at 90.  This really made my day.  
Living on drier lint and water has paid off!  I highly recommend it.
</t>
        </is>
      </c>
      <c r="D816" t="n">
        <v>1</v>
      </c>
      <c r="E816" t="n">
        <v>7</v>
      </c>
      <c r="F816">
        <f>HYPERLINK("https://www.reddit.com/r/diabetes/comments/31ydtx/first_a1c_since_diagnosis/")</f>
        <v/>
      </c>
      <c r="G816" t="inlineStr">
        <is>
          <t>2015-04-08 19:59:44</t>
        </is>
      </c>
      <c r="H816" t="inlineStr">
        <is>
          <t>Type 2</t>
        </is>
      </c>
    </row>
    <row r="817">
      <c r="A817" t="inlineStr">
        <is>
          <t>31yh1a</t>
        </is>
      </c>
      <c r="B817" t="inlineStr">
        <is>
          <t>My Grandpa, Dad, Brother and now my 4 year old niece all have Type 1 Diabetes. Need some help.</t>
        </is>
      </c>
      <c r="C817" t="inlineStr">
        <is>
          <t>Hey everyone, as the title states, my Grandpa, Dad, Brother and now his daughter (my niece) all have Type 1 Diabetes. They all were diagnosed before the age of 10, so needless to say it runs in my family. I was fortunate enough to have it skip me, but obviously it is something that has been a big part of my life.
We have always done the JDRF One Walk, a walk to end Type 1 diabetes. This is where I need your help...
My niece's team, Marching For Madison, has set a goal to raise $2,000 this year. It would mean the absolute world to me if we could knock this goal out of the park for her.
I know we are bombarded all the time asking to donate to this and that, but I would like to give something in return for donating.
I am a graphic designer and if you donate to her team, I will gladly help out with any design work you may need done. Be it a logo, flyer, business card, postcard, etc. No matter the amount, even $1, please reach out to me and I will see what I can do for you.
Here is the link to her page: 
http://www2.jdrf.org/site/TR?team_id=176988&amp;amp;fr_id=4776&amp;amp;pg=team
Thanks for taking the time to read this and I hope to hear from you soon!</t>
        </is>
      </c>
      <c r="D817" t="n">
        <v>0</v>
      </c>
      <c r="E817" t="n">
        <v>0</v>
      </c>
      <c r="F817">
        <f>HYPERLINK("https://www.reddit.com/r/diabetes/comments/31yh1a/my_grandpa_dad_brother_and_now_my_4_year_old/")</f>
        <v/>
      </c>
      <c r="G817" t="inlineStr">
        <is>
          <t>2015-04-08 20:26:27</t>
        </is>
      </c>
      <c r="H817" t="inlineStr">
        <is>
          <t>Type 1</t>
        </is>
      </c>
    </row>
    <row r="818">
      <c r="A818" t="inlineStr">
        <is>
          <t>31zjsd</t>
        </is>
      </c>
      <c r="B818" t="inlineStr">
        <is>
          <t>Score one for Nighscout! (T1)</t>
        </is>
      </c>
      <c r="C818" t="inlineStr">
        <is>
          <t xml:space="preserve">I went to sleep last night at 115 with 0.2u of active insulin, but I had been running a little low lately with the weather warming up and being outside more.
I went all the way down to 50 at 2:30am (and heading down further) and didn't hear my Dexcom alarm because I was in such a deep sleep. But my parents were awoken by the Nightscout alarm on their computer (they keep their laptop open at night) and kept calling me until finally they got through and woke me up. They'd also driven 3/4 of the way to my apartment by the time they got through.
I think I would've probably woken up, but who knows, I could've ended up needing glucagon, in the hospital, or worse. I can't wait for predictive low glucose suspend! </t>
        </is>
      </c>
      <c r="D818" t="n">
        <v>10</v>
      </c>
      <c r="E818" t="n">
        <v>6</v>
      </c>
      <c r="F818">
        <f>HYPERLINK("https://www.reddit.com/r/diabetes/comments/31zjsd/score_one_for_nighscout_t1/")</f>
        <v/>
      </c>
      <c r="G818" t="inlineStr">
        <is>
          <t>2015-04-09 04:32:46</t>
        </is>
      </c>
      <c r="H818" t="inlineStr">
        <is>
          <t>Type 1</t>
        </is>
      </c>
    </row>
    <row r="819">
      <c r="A819" t="inlineStr">
        <is>
          <t>31zlii</t>
        </is>
      </c>
      <c r="B819" t="inlineStr">
        <is>
          <t>SERIOUS: What effect will alcohol have on my meter's results?</t>
        </is>
      </c>
      <c r="C819" t="inlineStr">
        <is>
          <t>Hello all,
I am a young type 1 diabetic. I use the One Touch meter, and have a back up Bayer meter.
If I drink alcohol, either in moderation or excess, what effect might it have if any on my blood sugar readings? Will my readings give false lows/highs? Is there a difference (in terms of blood glucose effects) between beer/wine and hard liquor?
I have tried googling this and everything I can find, including the ADA's website only refer to safe drinking habits or that alcohol and hypoglycemia have similar symptoms.
**edit: I suppose I should have phased my original question as "Will alcohol cause false readings on my meter?" however I am glad I didn't, these responses are also useful.**</t>
        </is>
      </c>
      <c r="D819" t="n">
        <v>3</v>
      </c>
      <c r="E819" t="n">
        <v>8</v>
      </c>
      <c r="F819">
        <f>HYPERLINK("https://www.reddit.com/r/diabetes/comments/31zlii/serious_what_effect_will_alcohol_have_on_my/")</f>
        <v/>
      </c>
      <c r="G819" t="inlineStr">
        <is>
          <t>2015-04-09 04:53:48</t>
        </is>
      </c>
      <c r="H819" t="inlineStr">
        <is>
          <t>Type 1</t>
        </is>
      </c>
    </row>
    <row r="820">
      <c r="A820" t="inlineStr">
        <is>
          <t>31zw86</t>
        </is>
      </c>
      <c r="B820" t="inlineStr">
        <is>
          <t>Lifting &amp;amp; T1 Diabetes</t>
        </is>
      </c>
      <c r="C820" t="inlineStr">
        <is>
          <t>Sup guys?
So I've recently started seriously working out.  I'm a pretty skinny guy so I've been going on /r/gainit and all that fun stuff.  I'd really like to start getting some decent gains and in order to do this I think I'd need some Protein Powder.  
The issue is that, holy shit, this stuff has a metric fuckton of carbs in it!  For example [this](http://www.amazon.com/Optimum-Nutrition-Serious-Chocolate-Pound/dp/B000GIPJ0M/ref=sr_1_10?s=hpc&amp;amp;ie=UTF8&amp;amp;qid=1428426525&amp;amp;sr=1-10&amp;amp;keywords=protein+powder) stuff has 252 grams of carbs *per serving*.  That's fucked up.  Obviously that stuff is out of the question hahah.  
Anyway, what this thread is about: are there any other T1's here who lift &amp;amp; use or have used protein powder?  Or is that just not really an option for me due to the amount of carbs?  Any particular suggestions?
Any advice or insight on this stuff would be really appreciated :)
Thanks!</t>
        </is>
      </c>
      <c r="D820" t="n">
        <v>14</v>
      </c>
      <c r="E820" t="n">
        <v>34</v>
      </c>
      <c r="F820">
        <f>HYPERLINK("https://www.reddit.com/r/diabetes/comments/31zw86/lifting_t1_diabetes/")</f>
        <v/>
      </c>
      <c r="G820" t="inlineStr">
        <is>
          <t>2015-04-09 06:41:14</t>
        </is>
      </c>
      <c r="H820" t="inlineStr">
        <is>
          <t>Type 1</t>
        </is>
      </c>
    </row>
    <row r="821">
      <c r="A821" t="inlineStr">
        <is>
          <t>320bi9</t>
        </is>
      </c>
      <c r="B821" t="inlineStr">
        <is>
          <t>Any experience with the Omnipod?</t>
        </is>
      </c>
      <c r="C821" t="inlineStr">
        <is>
          <t>I'm a Type 1, and I had the Animas One Touch Ping pump for awhile back in like 2009/2010, but I hated it because the tubing kept getting caught on doorknobs and stuff and got pulled out at least twice a day. So I went back to the multiple daily injections of Novolog and Lantus.
At my endo appointments yesterday, I learned of this pump called an Omnipod that's 100% tubeless. It sounds fantastic, and I've scheduled an appointment for some training and learn more about it, but I was wondering if anyone here has any experience with it.</t>
        </is>
      </c>
      <c r="D821" t="n">
        <v>2</v>
      </c>
      <c r="E821" t="n">
        <v>10</v>
      </c>
      <c r="F821">
        <f>HYPERLINK("https://www.reddit.com/r/diabetes/comments/320bi9/any_experience_with_the_omnipod/")</f>
        <v/>
      </c>
      <c r="G821" t="inlineStr">
        <is>
          <t>2015-04-09 08:40:34</t>
        </is>
      </c>
      <c r="H821" t="inlineStr">
        <is>
          <t>Type 1</t>
        </is>
      </c>
    </row>
    <row r="822">
      <c r="A822" t="inlineStr">
        <is>
          <t>321huj</t>
        </is>
      </c>
      <c r="B822" t="inlineStr">
        <is>
          <t>Menstruation w/ type 2 issue</t>
        </is>
      </c>
      <c r="C822" t="inlineStr">
        <is>
          <t xml:space="preserve">My period has never been regular. I got cramps on my 13th birthday and did not get my first official period until two months later. In my early twenties I went on Alesse. I would still get a very heavy &amp;amp; crampy period but only during the 7 off days.
Then in my mid-20's I began Depo-Provera which stopped my periods almost entirely. Maybe once a year I would get a week of light bleeding but basically I was free of the curse.
Then as I became thirsty, tired, began getting blurry vision my period began and did not stop the entire three months I became diabetic, lost 50lbs, went to my doctor and drugs began to control my condition.
The doctor sent me to have my ovaries &amp;amp; that whole region checked out. Nothing of note to be found. Once my sugar levels were under control my period stopped but I noticed a new issue.
Now I get the shot and it only stops my period for about a month and a half then I will bleed until I get the shot again. 
This is ridiculous. Would I not stop bleeding if I didn't get the shot? It's just so heavy and causes such bad cramping, not to mention the mess. It's also not cheap to go through that many pads. 
I have been diabetic for two years and this pattern has continued. I'm not sure what to do. Why would it be interfering with my birth control shot like this? </t>
        </is>
      </c>
      <c r="D822" t="n">
        <v>2</v>
      </c>
      <c r="E822" t="n">
        <v>6</v>
      </c>
      <c r="F822">
        <f>HYPERLINK("https://www.reddit.com/r/diabetes/comments/321huj/menstruation_w_type_2_issue/")</f>
        <v/>
      </c>
      <c r="G822" t="inlineStr">
        <is>
          <t>2015-04-09 13:41:08</t>
        </is>
      </c>
      <c r="H822" t="inlineStr">
        <is>
          <t>Type 2</t>
        </is>
      </c>
    </row>
    <row r="823">
      <c r="A823" t="inlineStr">
        <is>
          <t>321ilt</t>
        </is>
      </c>
      <c r="B823" t="inlineStr">
        <is>
          <t>Everyone asks why I don't get a pump in the UK</t>
        </is>
      </c>
      <c r="C823" t="inlineStr">
        <is>
          <t>Below are the NICE guidelines for pump eligibility which is how the NHS chooses who gets stuff funded.
"Continuous subcutaneous insulin infusion or ‘insulin pump' therapy is recommended as a possible treatment for adults and children 12 years and over with type 1 diabetes mellitus if:
A) attempts to reach target hemoglobin A1c (HbA1c) levels with multiple daily injections result in the person having ‘disabling hypoglycemia', or
B) HbA1c levels have remained high (8.5% or above) with multiple daily injections (including using long-acting insulin analogues if appropriate) despite the person and/or their carer carefully trying to manage their diabetes."
https://www.nice.org.uk/guidance/ta151 
My last HbA1c was 8 and that has been the best so far which my consultant was thrilled with. Still not bad enough apparently 
Edit: These are the pumps we have available in the UK according to www.diabetes.co.uk 
I already have the meter from the first link.
http://www.diabetes.co.uk/diabetic-products/pumps/accu-chek-combo-insulin-pump.html 
http://www.diabetes.co.uk/diabetic-products/pumps/accu-chek-spirit-insulin-pump.html
http://www.diabetes.co.uk/diabetic-products/pumps/cellnovo-insulin-pump.html
http://www.diabetes.co.uk/diabetic-products/pumps/dana-diabecare-r-insulin-pump.html
http://www.diabetes.co.uk/diabetic-products/pumps/lifescan-animas-insulin-pump.html
http://www.diabetes.co.uk/diabetic-products/pumps/lifescan-animas-vibe-insulin-pump.html
http://www.diabetes.co.uk/diabetic-products/pumps/medtronic-paradigm-insulin-pump.html
http://www.diabetes.co.uk/diabetic-products/pumps/omnipod-insulin-pump.html</t>
        </is>
      </c>
      <c r="D823" t="n">
        <v>3</v>
      </c>
      <c r="E823" t="n">
        <v>19</v>
      </c>
      <c r="F823">
        <f>HYPERLINK("https://www.reddit.com/r/diabetes/comments/321ilt/everyone_asks_why_i_dont_get_a_pump_in_the_uk/")</f>
        <v/>
      </c>
      <c r="G823" t="inlineStr">
        <is>
          <t>2015-04-09 13:46:23</t>
        </is>
      </c>
      <c r="H823" t="inlineStr">
        <is>
          <t>Type 1</t>
        </is>
      </c>
    </row>
    <row r="824">
      <c r="A824" t="inlineStr">
        <is>
          <t>32bn2l</t>
        </is>
      </c>
      <c r="B824" t="inlineStr">
        <is>
          <t>Diabetes and eyesight</t>
        </is>
      </c>
      <c r="C824" t="inlineStr">
        <is>
          <t xml:space="preserve">I'm just curious to find out if anyone else experiences this. 
I live in east Africa in a place with VERY VERY bright light. I have pretty light eyes and sometimes when I go from indoors to outdoors, I'm blinded for a few seconds by the brightness. I've spoken to other light-eyed people about this, and they say they experience the same thing, so I never worried too much about it.
But I've also noticed, when I look up at the sky, or at a fairly light surface for a minute or so, I see little "sparkles," I guess you could call them, that look like they are floating around, in loosely circular patterns on top of what I'm looking at.  I'm just a little worried that it might somehow be related to my eyesight changing, but maybe it's just due to the brightness of the environment that I'm living in (not to mention I already have astigmatism and I'm extremely far-sighted).
The last time I got my eyes checked, they were fine, and my ophthalmologist told me that I should seek out a doctor pretty quickly, if my vision changes in a way that everything starts looking like you are looking through a dirty pair of glasses. That's definitely not what I'm experience, but I'm coming up to my 20th anniversary of my diagnosis this August, so I just wanted to see what others think about it.
</t>
        </is>
      </c>
      <c r="D824" t="n">
        <v>9</v>
      </c>
      <c r="E824" t="n">
        <v>12</v>
      </c>
      <c r="F824">
        <f>HYPERLINK("https://www.reddit.com/r/diabetes/comments/32bn2l/diabetes_and_eyesight/")</f>
        <v/>
      </c>
      <c r="G824" t="inlineStr">
        <is>
          <t>2015-04-12 04:07:42</t>
        </is>
      </c>
      <c r="H824" t="inlineStr">
        <is>
          <t>Type 1</t>
        </is>
      </c>
    </row>
    <row r="825">
      <c r="A825" t="inlineStr">
        <is>
          <t>32eit8</t>
        </is>
      </c>
      <c r="B825" t="inlineStr">
        <is>
          <t>Travelling with T1. Help!</t>
        </is>
      </c>
      <c r="C825" t="inlineStr">
        <is>
          <t>Hi all, I am a type 1 and was diagnosed a little over 6 years ago and having been using pens ever since. I will be travelling for an extended period of time for the first time and am looking for some advice.
A little back story, I live in Canada but will be starting a job next month that will have me travelling (on and off) in the U.S till Christmas. I don't know how often I will be able to come back home to resupply. My employers say approximately 80% of my time will be spent on the road staying in different hotels daily/weekly.
I am worried about being able to keep my insulin cold with moving hotels every couple of days, or weeks. Are there any Canadians that have tried buying insulin in the states? Or something that I could use for maybe up to 12 hours to keep my insulin cold between hotels?
Any tips or advice to help me on my way is greatly appreciated!</t>
        </is>
      </c>
      <c r="D825" t="n">
        <v>2</v>
      </c>
      <c r="E825" t="n">
        <v>4</v>
      </c>
      <c r="F825">
        <f>HYPERLINK("https://www.reddit.com/r/diabetes/comments/32eit8/travelling_with_t1_help/")</f>
        <v/>
      </c>
      <c r="G825" t="inlineStr">
        <is>
          <t>2015-04-12 20:24:22</t>
        </is>
      </c>
      <c r="H825" t="inlineStr">
        <is>
          <t>Type 1</t>
        </is>
      </c>
    </row>
    <row r="826">
      <c r="A826" t="inlineStr">
        <is>
          <t>32g0ij</t>
        </is>
      </c>
      <c r="B826" t="inlineStr">
        <is>
          <t>Massive Morning Spike After Weeks of Decent Fasting Levels - T2</t>
        </is>
      </c>
      <c r="C826" t="inlineStr">
        <is>
          <t>I'm a recently-diagnosed Type 2, and my control has been really good recently - last week I didn't have serious spikes (exceeding 170) and my fasting blood glucose has been declining, regularly hitting 100 finally.  Then I wake up today and clock in at 260, which is higher than any level (even after an awful meal) that I've had since I started measuring.
I had cookies with my meal yesterday (Steak, small pieces of whole grain bread with an olive oil and vinegar dip, and several chocolate chip oatmeal cookies), and two hours after I started I pricked in at only 140, which I figured was pretty damn good.
Why would my blood sugar skyrocket like that when I've been seeing improvements?</t>
        </is>
      </c>
      <c r="D826" t="n">
        <v>1</v>
      </c>
      <c r="E826" t="n">
        <v>7</v>
      </c>
      <c r="F826">
        <f>HYPERLINK("https://www.reddit.com/r/diabetes/comments/32g0ij/massive_morning_spike_after_weeks_of_decent/")</f>
        <v/>
      </c>
      <c r="G826" t="inlineStr">
        <is>
          <t>2015-04-13 07:26:29</t>
        </is>
      </c>
      <c r="H826" t="inlineStr">
        <is>
          <t>Type 2</t>
        </is>
      </c>
    </row>
    <row r="827">
      <c r="A827" t="inlineStr">
        <is>
          <t>32gqr6</t>
        </is>
      </c>
      <c r="B827" t="inlineStr">
        <is>
          <t>19 year old, type 1. Maybe. I don't care for myself and I hate to admit that I need help.</t>
        </is>
      </c>
      <c r="C827" t="inlineStr">
        <is>
          <t>Hi, y'all. I'm 19 years old. I was diagnosed as a Type 2 when I was 12, with chances of having it sooner. About a year later, I was apparently Type 1. Then back to Type 2. And roughly two years ago (last time that I was seen by my doctor/not including ER doctors), I was back to Type 1. I was still on Metformin and began taking insulin, they were constantly changing everything. I had no faith in my doctors because 1. They were some of the *RUDEST* people I have ever met and 2. I didn't believe them, I was too stubborn to take care of myself. I still am. 3. They all just kind of dumped everything on me. Never took the time to explain what was going to happen, what I was going to have to do, etc etc.
* I have never been able to check my blood sugars. Takes me 20+ minutes just to prick my finger, if I'm lucky enough to convince my mind to do it. **Are there any tricks into doing it? Does it have to be on my finger??**
* I have an issues with taking *some* pills. Okay, okay.. most pills that are "designed" to help someone. I get addicted to pain/anxiety pills and have no issues with taking the pills.. Unfortunately. 
* And it's hard to take my insulin, because whenever I take it, I feel so freaking ill and lethargic and miserable, also makes my depression and bipolar issues worse. I take the daily one maybe once a week and I take the corrective whenever I feel like shit after eating, so not often. But the doctors don't listen to me, they always shrug it off as my numbers trying to come down. **How can they expect someone to continue doing something if it doesn't make them feel good????????**
I've been in the hospital numerous times because of my diabetes and related issues. My last A1C number was 13.2, and I've never had ketones. 
Whenever I leave the hospital, I feel motivated to take care of myself. For about a week. Then I stop. I don't know why this keeps happening. The doctors resorted to threats, and if they truly listened to me, they would know that **they don't work**.
I think the only time I ever ~~give a fuck about myself~~ is when someone is interested in me or if I feel like the future will be a bright one. And even then, I feel like I am forcing myself.
Luckily, I will be getting benefits through work and they start in the next couple of weeks. I was thinking about trying out Diabetes America and going from there. I'd like to take care of myself, because I work in the **Dialysis** industry and it's *scary*. Also, a coworker let me try out one of the continuous glucose-monitors to see what was going on, and she made me start thinking about insulin pumps and all of that jazz, but she also said that doctors would be hesitant to let me have one because of the fact that I don't care for myself.
I don't know what to do with myself, I wonder if there's anyone out there that has had to deal with this?
Thanks for reading my vent/ramblings.</t>
        </is>
      </c>
      <c r="D827" t="n">
        <v>4</v>
      </c>
      <c r="E827" t="n">
        <v>25</v>
      </c>
      <c r="F827">
        <f>HYPERLINK("https://www.reddit.com/r/diabetes/comments/32gqr6/19_year_old_type_1_maybe_i_dont_care_for_myself/")</f>
        <v/>
      </c>
      <c r="G827" t="inlineStr">
        <is>
          <t>2015-04-13 10:49:27</t>
        </is>
      </c>
      <c r="H827" t="inlineStr">
        <is>
          <t>Type 1</t>
        </is>
      </c>
    </row>
    <row r="828">
      <c r="A828" t="inlineStr">
        <is>
          <t>32idt6</t>
        </is>
      </c>
      <c r="B828" t="inlineStr">
        <is>
          <t>Type 1 Diabetes and airplanes?</t>
        </is>
      </c>
      <c r="C828" t="inlineStr">
        <is>
          <t>I'll be taking my first flight since diagnosis in two days, and I was wondering if there's anything special i'll need to do with my insulin and other supplies to get it past security. Any and all feed back appreciated.</t>
        </is>
      </c>
      <c r="D828" t="n">
        <v>1</v>
      </c>
      <c r="E828" t="n">
        <v>11</v>
      </c>
      <c r="F828">
        <f>HYPERLINK("https://www.reddit.com/r/diabetes/comments/32idt6/type_1_diabetes_and_airplanes/")</f>
        <v/>
      </c>
      <c r="G828" t="inlineStr">
        <is>
          <t>2015-04-13 18:08:08</t>
        </is>
      </c>
      <c r="H828" t="inlineStr">
        <is>
          <t>Type 1</t>
        </is>
      </c>
    </row>
    <row r="829">
      <c r="A829" t="inlineStr">
        <is>
          <t>32iuca</t>
        </is>
      </c>
      <c r="B829" t="inlineStr">
        <is>
          <t>Middle of the night fluctuations</t>
        </is>
      </c>
      <c r="C829" t="inlineStr">
        <is>
          <t>I've been using a CGM off and on for the past couple months.  (They're really awesome, fyi, even if you're not attached to one, it's great to see how your blood sugar swings and have that knowledge).
One thing I find odd is in the middle of the night, for hours on end (so it's not any fast acting insulin) I'll be sitting at 100.  Then, over the span of 30 minutes or so I'll drop to 65 and then jump up to 125 over the next 30 minutes or so and then slowly, over a couple hours, come back down to 100.  I would never know it even happens if it wasn't for the CGM.
It doesn't happen every night, nor can I figure out a cause for it, but when it does it really makes me scratch my head and go....huh.  I wonder if my pancreas has a little bit of kick left in it after all these years.  It's the only thing I can think of that makes any sense at all.
Anyone else experience anything like this?</t>
        </is>
      </c>
      <c r="D829" t="n">
        <v>4</v>
      </c>
      <c r="E829" t="n">
        <v>6</v>
      </c>
      <c r="F829">
        <f>HYPERLINK("https://www.reddit.com/r/diabetes/comments/32iuca/middle_of_the_night_fluctuations/")</f>
        <v/>
      </c>
      <c r="G829" t="inlineStr">
        <is>
          <t>2015-04-13 20:25:31</t>
        </is>
      </c>
      <c r="H829" t="inlineStr">
        <is>
          <t>Type 1</t>
        </is>
      </c>
    </row>
    <row r="830">
      <c r="A830" t="inlineStr">
        <is>
          <t>32j5g8</t>
        </is>
      </c>
      <c r="B830" t="inlineStr">
        <is>
          <t>A higher than expected A1C test has left me confused and demotivated</t>
        </is>
      </c>
      <c r="C830" t="inlineStr">
        <is>
          <t xml:space="preserve">I was diagnosed with T2 in mid-December last year.  I immediately got with the program.  I started tracking my blood sugar levels, went on keto and started working my arse off at the gym.  I've lost 11kgs.  Yay me.
My blood sugar levels have been really good.  They never go above 6.5 and are sometimes in the low 5s.  I was really hoping for a good A1C test result but they came back at 7.4.  My doctor is concerned and has put me on Metformin.  He is surprised at the result given everything I've been doing.  
I'm hoping some of you experienced folk may know what I did wrong and how to get a better level next time.  I feel like I studied hard and still failed the test.  </t>
        </is>
      </c>
      <c r="D830" t="n">
        <v>3</v>
      </c>
      <c r="E830" t="n">
        <v>17</v>
      </c>
      <c r="F830">
        <f>HYPERLINK("https://www.reddit.com/r/diabetes/comments/32j5g8/a_higher_than_expected_a1c_test_has_left_me/")</f>
        <v/>
      </c>
      <c r="G830" t="inlineStr">
        <is>
          <t>2015-04-13 22:15:42</t>
        </is>
      </c>
      <c r="H830" t="inlineStr">
        <is>
          <t>Type 2</t>
        </is>
      </c>
    </row>
    <row r="831">
      <c r="A831" t="inlineStr">
        <is>
          <t>32kdqf</t>
        </is>
      </c>
      <c r="B831" t="inlineStr">
        <is>
          <t>Son diagnosed Type 1 four months ago, having emotional issues. Can anyone explain how diabetes has affected them emotionally?</t>
        </is>
      </c>
      <c r="C831" t="inlineStr">
        <is>
          <t xml:space="preserve">He's 6. He's asking if it's his fault he got diabetes, mood swings, not wanting to do things. I try to explain to him about the science of how he developed diabetes but it's not helping.  Can anyone explain how diabetes has affected them emotionally?  I know blood sugar levels can affect mood. 
Looking into having him talk to someone but would love feedback. </t>
        </is>
      </c>
      <c r="D831" t="n">
        <v>28</v>
      </c>
      <c r="E831" t="n">
        <v>41</v>
      </c>
      <c r="F831">
        <f>HYPERLINK("https://www.reddit.com/r/diabetes/comments/32kdqf/son_diagnosed_type_1_four_months_ago_having/")</f>
        <v/>
      </c>
      <c r="G831" t="inlineStr">
        <is>
          <t>2015-04-14 07:26:12</t>
        </is>
      </c>
      <c r="H831" t="inlineStr">
        <is>
          <t>Type 1</t>
        </is>
      </c>
    </row>
    <row r="832">
      <c r="A832" t="inlineStr">
        <is>
          <t>32ktrq</t>
        </is>
      </c>
      <c r="B832" t="inlineStr">
        <is>
          <t>Unexpected Basal Testing Day</t>
        </is>
      </c>
      <c r="C832" t="inlineStr">
        <is>
          <t>Trying to find the silver lining in the fact that I forgot my freaking Apidra at home this morning! One of the many reasons I'm looking forward to finally starting to use my new Animas Ping pump next week.</t>
        </is>
      </c>
      <c r="D832" t="n">
        <v>3</v>
      </c>
      <c r="E832" t="n">
        <v>3</v>
      </c>
      <c r="F832">
        <f>HYPERLINK("https://www.reddit.com/r/diabetes/comments/32ktrq/unexpected_basal_testing_day/")</f>
        <v/>
      </c>
      <c r="G832" t="inlineStr">
        <is>
          <t>2015-04-14 09:25:42</t>
        </is>
      </c>
      <c r="H832" t="inlineStr">
        <is>
          <t>Type 1</t>
        </is>
      </c>
    </row>
    <row r="833">
      <c r="A833" t="inlineStr">
        <is>
          <t>32l1om</t>
        </is>
      </c>
      <c r="B833" t="inlineStr">
        <is>
          <t>Type 1 in the process of picking a pump...Medtronic or Animas Vibe w/ dexcom sensor</t>
        </is>
      </c>
      <c r="C833" t="inlineStr">
        <is>
          <t>Torn between these two pumps. Is anyone willing to share some of their experiences with either or both of these pumps? Any insight or advice is appreciated.</t>
        </is>
      </c>
      <c r="D833" t="n">
        <v>3</v>
      </c>
      <c r="E833" t="n">
        <v>15</v>
      </c>
      <c r="F833">
        <f>HYPERLINK("https://www.reddit.com/r/diabetes/comments/32l1om/type_1_in_the_process_of_picking_a_pumpmedtronic/")</f>
        <v/>
      </c>
      <c r="G833" t="inlineStr">
        <is>
          <t>2015-04-14 10:21:44</t>
        </is>
      </c>
      <c r="H833" t="inlineStr">
        <is>
          <t>Type 1</t>
        </is>
      </c>
    </row>
    <row r="834">
      <c r="A834" t="inlineStr">
        <is>
          <t>32lqkv</t>
        </is>
      </c>
      <c r="B834" t="inlineStr">
        <is>
          <t>Freestyle Libre alternative spots to place</t>
        </is>
      </c>
      <c r="C834" t="inlineStr">
        <is>
          <t>I have been using the Freestyle Libre for some months now and I love it. The only downside for me is that I almost get some nasty rash on my arm, usually starting to itch even hours after placing a new one. I tried stuff like Tergaderm, but nothing really works.
I was thinking maybe placing it on a different spot on my body, maybe my leg or something, like the Dexcom. Abbott does not recommend anything like that, but there must be some people that have experimented with this?
Thanks for sharing :)</t>
        </is>
      </c>
      <c r="D834" t="n">
        <v>2</v>
      </c>
      <c r="E834" t="n">
        <v>12</v>
      </c>
      <c r="F834">
        <f>HYPERLINK("https://www.reddit.com/r/diabetes/comments/32lqkv/freestyle_libre_alternative_spots_to_place/")</f>
        <v/>
      </c>
      <c r="G834" t="inlineStr">
        <is>
          <t>2015-04-14 13:19:16</t>
        </is>
      </c>
      <c r="H834" t="inlineStr">
        <is>
          <t>Type 1</t>
        </is>
      </c>
    </row>
    <row r="835">
      <c r="A835" t="inlineStr">
        <is>
          <t>32n8f0</t>
        </is>
      </c>
      <c r="B835" t="inlineStr">
        <is>
          <t>My boyfriend went to urgent care to get more insulin, and they Baker Acted him and are denying him insulin</t>
        </is>
      </c>
      <c r="C835" t="inlineStr">
        <is>
          <t>My boyfriend has no history of mental illness.  He's 26 years old and been through a lot since he was diagnosed with Type 1 Diabetes at the age of 14.  He's since developed gastroparesis and has gall bladder issues.  
He had a job but had to quit because his gastroparesis was so severe.  He's been trying to figure out how to get healthcare or disability but is hitting roadblocks both ways.  He went to an urgent care here in Miami and while answering questions about his health, began to cry.  This was enough for a doctor - who apparently spoke very poor English - to consider he needed to be Baker Acted.
Our opposition to this decision aside, we can't do anything at this point.  The problem here is that he is on a 72 hour hold and not only does he not have access to his gastroparesis meds, but they are not providing him insulin with his meals.  He called me earlier stating they checked his blood sugar and it was over 300 and they would not give him insulin.  Apparently they check blood sugar twice and if it hasn't gone down (wut?) then they will take him to the hospital -- instead of simply giving him life-saving medicine.
I'm appalled that a medical facility does not have a policy that diabetic patients are to receive insulin promptly.   My boyfriend called me frequently and told me it had been 5 hours since the meal and they still had not given him insulin.  They gave him one shot today.  One.  Based on the food they served, which was carb-loaded.... it's just ignorance and neglect.   I'm sure some of this has to do with laws that are in place, but the horror of this place is unlike any other place I've seen.
When I called to try and speak to a Crisis Unit staff member to get him his insulin, they were rude and said they couldn't discuss his medical condition and I tried to explain that he could become seriously ill and his organs could be damaged and she came back at me with an attitude.  She thought she hung up on me but she didn't and I heard the staff at the desk going on having a conversation about something inane and laughing and not once did i hear anyone say anything to anyone about getting my boyfriend his insulin.  I sat there for 15 minutes to see wtf was going on and eventually i decided to just try back again.  By then, the clinic was closed and there wasn't even a person manning the phones.  There's one nurse on staff - the only person with medical training there right now - and she's the one denying my boyfriend insulin.
I'm not sure what to do exactly, but I feel like there's something very wrong here.  I'd like to know your opinions and if we have any recourse for the lack of medical treatment while in a medical facility?</t>
        </is>
      </c>
      <c r="D835" t="n">
        <v>65</v>
      </c>
      <c r="E835" t="n">
        <v>60</v>
      </c>
      <c r="F835">
        <f>HYPERLINK("https://www.reddit.com/r/diabetes/comments/32n8f0/my_boyfriend_went_to_urgent_care_to_get_more/")</f>
        <v/>
      </c>
      <c r="G835" t="inlineStr">
        <is>
          <t>2015-04-14 20:28:53</t>
        </is>
      </c>
      <c r="H835" t="inlineStr">
        <is>
          <t>Type 1</t>
        </is>
      </c>
    </row>
    <row r="836">
      <c r="A836" t="inlineStr">
        <is>
          <t>32nh86</t>
        </is>
      </c>
      <c r="B836" t="inlineStr">
        <is>
          <t>Crap, am I gonna die tonight?</t>
        </is>
      </c>
      <c r="C836" t="inlineStr">
        <is>
          <t>I was stupid and out of habit injected in my right leg, problem is it was lantis (long lasting) I usually do fast acting in the right leg and the long lasting in the left. I should have about 4 units of humalog still in there too, I was told by my endo when I was diagnosed not to use the same location for both fast acting and long lasting. Google reveals nothing on the subject for the minute or so I searched. Anyone know what is going to happen? I know, they say don't cross the streams. Injection sites are likley within an inch of eachother.</t>
        </is>
      </c>
      <c r="D836" t="n">
        <v>0</v>
      </c>
      <c r="E836" t="n">
        <v>10</v>
      </c>
      <c r="F836">
        <f>HYPERLINK("https://www.reddit.com/r/diabetes/comments/32nh86/crap_am_i_gonna_die_tonight/")</f>
        <v/>
      </c>
      <c r="G836" t="inlineStr">
        <is>
          <t>2015-04-14 21:53:49</t>
        </is>
      </c>
      <c r="H836" t="inlineStr">
        <is>
          <t>Type 1</t>
        </is>
      </c>
    </row>
    <row r="837">
      <c r="A837" t="inlineStr">
        <is>
          <t>32ojqg</t>
        </is>
      </c>
      <c r="B837" t="inlineStr">
        <is>
          <t>Is intermittent fasting safe for someone with type 2?</t>
        </is>
      </c>
      <c r="C837" t="inlineStr">
        <is>
          <t>I may have type 2 diabetes, or be prediabetic. I only recently discovered this and will be seeing doctor in 2 weeks to know for sure. Over the past 3 months I have been losing weight steadily with eating less and fasting. I eat twice daily at 3 pm and at 7 pm. I guess the rest counts as fasting state. Additionally about once or twice a month I might fast for 40 hours.
My question to you is: is fasting as I described for someone with type 2 diabetes or pre diabetes?
Thanks</t>
        </is>
      </c>
      <c r="D837" t="n">
        <v>3</v>
      </c>
      <c r="E837" t="n">
        <v>7</v>
      </c>
      <c r="F837">
        <f>HYPERLINK("https://www.reddit.com/r/diabetes/comments/32ojqg/is_intermittent_fasting_safe_for_someone_with/")</f>
        <v/>
      </c>
      <c r="G837" t="inlineStr">
        <is>
          <t>2015-04-15 06:21:12</t>
        </is>
      </c>
      <c r="H837" t="inlineStr">
        <is>
          <t>Type 2</t>
        </is>
      </c>
    </row>
    <row r="838">
      <c r="A838" t="inlineStr">
        <is>
          <t>32qfl9</t>
        </is>
      </c>
      <c r="B838" t="inlineStr">
        <is>
          <t>Surprise extreme insulin resistance</t>
        </is>
      </c>
      <c r="C838" t="inlineStr">
        <is>
          <t>I've been having some strange experiences with my sugars recently and was wondering if anyone has been through something similar and has any advice. Obviously talking to my doctor is #1 but until the appointment I'd at least like to do some research and see if I can find out more. I'm on a pump with novolog and have been T1 for 22 years (holy cow! hadn't thought about that recently).
I've been having these unexpected episodes where I'll notice my sugar has abnormally crept up very high (300s-400s); usually its after a normal meal (where I had handled my insulin as usual). I'll immediately give a bolus on my pump with what's normally enough to handle it. I'll notice that while I'm waiting for my insulin to kick in I don't get any relief of my symptoms; I feel like I have DKA (sore muscles, frequent trips to the restroom, etc) and it doesn't improve. After an hour I'll check again and the sugar won't have changed - most of the time it will actually have gone up more than 100 points (it often goes up to above my glucometer's limit, &amp;gt;600). At this point I'll give myself a shot and change my pump's site (if I didn't already change it before the very first correction bolus), wait another hour, check, repeat (no boluses, only shots from this point on). Sometimes this takes 4+ hours to resolve. I've tried switching around my insulin bottles (even tried both novolog and humalog when I was switching last November and had both) so I doubt its a vial that's gone bad. I also give my shots in a completely different place where I don't insert my infusion kits.
I just had an incident where I'd eaten a regular sandwich with a cookie for lunch. I have this exact meal frequently and know how much to bolus, soda was in a can so I knew it was diet. My sugars leading up to this were normal; 140 right before eating. Within 1.5 hours my sugar was 403. I bolused, an hour later 411. Gave myself a shot and passed out for a little while, was around 110 when I woke back up. I had given myself a normal bolus for the meal (double checked the log) and I doubt that the meal could have even brought me up that far even if I had completely forgotten to bolus. It took about 4 times as much insulin in the corrections to bring it back down. This was a relatively short example, sometimes this can last for hours and take over 50 units to break.
I first really started noticing this pattern in Q4 2014 but around new years it slowed and stopped happening. At its peak I'd experience it 2-3 times a week. When it stopped I hoped it had been from some temporary cause (i.e. infection) and moved on with my life. Its now happened a couple of times recently. Its a massive disruption since it makes me feel like crap, I'm going to the bathroom every 15 minutes, I get very tired and lethargic and have a hard time thinking clearly. It seems like it can happen at any point during the day when I'm awake and is starting to cause disruptions at work. I'm overweight (250lb, 6'2") so I know that may have something to do with insulin resistance but I would think that would be much more consistent. I also wonder if it could be lipohypertrophy at my infusion sites but I don't know enough about it to identify it (plus I give only shots in a different area after the first round).
Anyone have any ideas? Thanks in advance!</t>
        </is>
      </c>
      <c r="D838" t="n">
        <v>5</v>
      </c>
      <c r="E838" t="n">
        <v>22</v>
      </c>
      <c r="F838">
        <f>HYPERLINK("https://www.reddit.com/r/diabetes/comments/32qfl9/surprise_extreme_insulin_resistance/")</f>
        <v/>
      </c>
      <c r="G838" t="inlineStr">
        <is>
          <t>2015-04-15 14:53:01</t>
        </is>
      </c>
      <c r="H838" t="inlineStr">
        <is>
          <t>Type 1</t>
        </is>
      </c>
    </row>
    <row r="839">
      <c r="A839" t="inlineStr">
        <is>
          <t>32qfyb</t>
        </is>
      </c>
      <c r="B839" t="inlineStr">
        <is>
          <t>Metformin and lack of thirst?</t>
        </is>
      </c>
      <c r="C839" t="inlineStr">
        <is>
          <t>Hi yall,
I've been diabetic for a little over a year now. During that time I've been on Metformin 500mg x2 a day. The past couple months I've had to pretty much force myself to drink. This is the opposite of a year ago when I would drink a gallon of water and still be thirsty. My most recently A1c was 5.6 if that helps or makes a difference.
Should I ask the Dr to go off the Met?
Thanks</t>
        </is>
      </c>
      <c r="D839" t="n">
        <v>0</v>
      </c>
      <c r="E839" t="n">
        <v>5</v>
      </c>
      <c r="F839">
        <f>HYPERLINK("https://www.reddit.com/r/diabetes/comments/32qfyb/metformin_and_lack_of_thirst/")</f>
        <v/>
      </c>
      <c r="G839" t="inlineStr">
        <is>
          <t>2015-04-15 14:55:42</t>
        </is>
      </c>
      <c r="H839" t="inlineStr">
        <is>
          <t>Type 2</t>
        </is>
      </c>
    </row>
    <row r="840">
      <c r="A840" t="inlineStr">
        <is>
          <t>32qrks</t>
        </is>
      </c>
      <c r="B840" t="inlineStr">
        <is>
          <t>Anyone use Amazon Pantry?</t>
        </is>
      </c>
      <c r="C840" t="inlineStr">
        <is>
          <t>Hi y'all. My father in law has T2 diabetes, and we are looking to set up an amazon pantry box to have sent to him? Does anyone have any ideas of shelf stable diabetes friendly snacks/meals that we should include?</t>
        </is>
      </c>
      <c r="D840" t="n">
        <v>2</v>
      </c>
      <c r="E840" t="n">
        <v>0</v>
      </c>
      <c r="F840">
        <f>HYPERLINK("https://www.reddit.com/r/diabetes/comments/32qrks/anyone_use_amazon_pantry/")</f>
        <v/>
      </c>
      <c r="G840" t="inlineStr">
        <is>
          <t>2015-04-15 16:26:57</t>
        </is>
      </c>
      <c r="H840" t="inlineStr">
        <is>
          <t>Type 2</t>
        </is>
      </c>
    </row>
    <row r="841">
      <c r="A841" t="inlineStr">
        <is>
          <t>32rybx</t>
        </is>
      </c>
      <c r="B841" t="inlineStr">
        <is>
          <t>Broken bones &amp;amp; T1 Diabetes</t>
        </is>
      </c>
      <c r="C841" t="inlineStr">
        <is>
          <t>Hello friends!
I just managed to break my pinkie toe and just went to a random walk-in clinic (more like hobble-in clinic). I have since read that with Diabetes your bones may heal slower and I am wondering if this is true. I have also noticed that my blood sugars have been a bit higher than normal even though I have been eating quite well and injecting properly so I have increased my Lantus at night up from 22 to 24-25 to see if that helps
Side note, I am already going stir-crazy not being able to run anymore and this may be contributing to my high blood sugars as exercise definitely helps keep my numbers on track.
Anyway I am wondering if this warrants a trip to the local Diabetes clinic or to just wait it out and take it easy like anyone else with a broken pinkie toe
Thanks</t>
        </is>
      </c>
      <c r="D841" t="n">
        <v>1</v>
      </c>
      <c r="E841" t="n">
        <v>10</v>
      </c>
      <c r="F841">
        <f>HYPERLINK("https://www.reddit.com/r/diabetes/comments/32rybx/broken_bones_t1_diabetes/")</f>
        <v/>
      </c>
      <c r="G841" t="inlineStr">
        <is>
          <t>2015-04-15 22:53:57</t>
        </is>
      </c>
      <c r="H841" t="inlineStr">
        <is>
          <t>Type 1</t>
        </is>
      </c>
    </row>
    <row r="842">
      <c r="A842" t="inlineStr">
        <is>
          <t>32to9i</t>
        </is>
      </c>
      <c r="B842" t="inlineStr">
        <is>
          <t>Diabetes problems</t>
        </is>
      </c>
      <c r="C842" t="inlineStr">
        <is>
          <t xml:space="preserve">Wondering why your stomach feels wet only to realize you unplugged your pump this morning to avoid a low and forgot to click it back in...
</t>
        </is>
      </c>
      <c r="D842" t="n">
        <v>10</v>
      </c>
      <c r="E842" t="n">
        <v>39</v>
      </c>
      <c r="F842">
        <f>HYPERLINK("https://www.reddit.com/r/diabetes/comments/32to9i/diabetes_problems/")</f>
        <v/>
      </c>
      <c r="G842" t="inlineStr">
        <is>
          <t>2015-04-16 10:00:29</t>
        </is>
      </c>
      <c r="H842" t="inlineStr">
        <is>
          <t>Type 1</t>
        </is>
      </c>
    </row>
    <row r="843">
      <c r="A843" t="inlineStr">
        <is>
          <t>32u3fg</t>
        </is>
      </c>
      <c r="B843" t="inlineStr">
        <is>
          <t>Mom needs help losing weight and diabetes management, with charcot foot</t>
        </is>
      </c>
      <c r="C843" t="inlineStr">
        <is>
          <t>My mother has had type 2 diabetes for a long time, and is obese. But recently she developed charcot foot. My family has tried to encourage her to lose weight, but she is very stubborn about exercise and diet. With this charcot foot it has made the effort twice as difficult, as she says it hurts her to sit in a chair or do any walking. So now she is severely sedentary, and has way too many visits to the hospital.But she still eats junk.She has a terrible problem with denial, and really needs some counseling but I don't know how to get it for her. She will eat sugar because she needs to raise her BG after taking too much insulin,but that ends up keeping her in the same BG bracket.  
Does anyone have advice/ experience with sugar withdrawing so that I can encourage her? Or with charcot foot?
Since she can't exercise, how can I help her change her diet?
What else can I do?
Thanks for advice</t>
        </is>
      </c>
      <c r="D843" t="n">
        <v>0</v>
      </c>
      <c r="E843" t="n">
        <v>6</v>
      </c>
      <c r="F843">
        <f>HYPERLINK("https://www.reddit.com/r/diabetes/comments/32u3fg/mom_needs_help_losing_weight_and_diabetes/")</f>
        <v/>
      </c>
      <c r="G843" t="inlineStr">
        <is>
          <t>2015-04-16 11:48:35</t>
        </is>
      </c>
      <c r="H843" t="inlineStr">
        <is>
          <t>Type 2</t>
        </is>
      </c>
    </row>
    <row r="844">
      <c r="A844" t="inlineStr">
        <is>
          <t>32w807</t>
        </is>
      </c>
      <c r="B844" t="inlineStr">
        <is>
          <t>alpha lipoic acid? (type 2)</t>
        </is>
      </c>
      <c r="C844" t="inlineStr">
        <is>
          <t>I've been taking alpha lipoic acid, 600 mg twice daily, no proof that it works but it doesn't seem to do any harm.  Recently ran out, and after 4 or 5 days my energy went down noticably.  Bought some more and started taking it again, and after 4 days energy level has improved.  
Anyone else have experience with this or other supplements?  How much do you take, and what effects do you notice (good or bad)?</t>
        </is>
      </c>
      <c r="D844" t="n">
        <v>6</v>
      </c>
      <c r="E844" t="n">
        <v>4</v>
      </c>
      <c r="F844">
        <f>HYPERLINK("https://www.reddit.com/r/diabetes/comments/32w807/alpha_lipoic_acid_type_2/")</f>
        <v/>
      </c>
      <c r="G844" t="inlineStr">
        <is>
          <t>2015-04-16 22:46:34</t>
        </is>
      </c>
      <c r="H844" t="inlineStr">
        <is>
          <t>Type 2</t>
        </is>
      </c>
    </row>
    <row r="845">
      <c r="A845" t="inlineStr">
        <is>
          <t>32yx21</t>
        </is>
      </c>
      <c r="B845" t="inlineStr">
        <is>
          <t>[T2] Advice please! A1C was around 6, now its at 9</t>
        </is>
      </c>
      <c r="C845" t="inlineStr">
        <is>
          <t>My husband has been managing his T2 with diet/exercise and its stayed below 6 and his doctors said to keep it up, its been about a year and a 1/2 and he just went in today for a check up and they said his A1C is at 9 and they are going to be putting him on medication.               
I am not sure how to support him better.  I cook all our dinners, but I am not sure if its something I have been doing that is making his A1C worse.  I try to keep things low carb, but I have no idea what low carb is, I try to keep meals under 60 carbs (pasta is the highest).  I dont have control over what he does for breakfast, knowing him he doesnt eat anything, and I know his new job doesnt have a kitchenette so he mainly eats from places near work.   
Please help me understand what I can do to help him out.  He is severely depressed that he has to go on med's for the next 3-6 months untill the next test when his doctor decides if he will be on it permanently.                    
//edit//                    
Just so everyone knows HE HAS BEEN MANAGING HIS DIABETES FOR 3 YEARS with just diet and exercise.  Its just now that his A1C has spiked and his doctors put him on the pills its not a lack on his end of trying.</t>
        </is>
      </c>
      <c r="D845" t="n">
        <v>3</v>
      </c>
      <c r="E845" t="n">
        <v>34</v>
      </c>
      <c r="F845">
        <f>HYPERLINK("https://www.reddit.com/r/diabetes/comments/32yx21/t2_advice_please_a1c_was_around_6_now_its_at_9/")</f>
        <v/>
      </c>
      <c r="G845" t="inlineStr">
        <is>
          <t>2015-04-17 14:40:18</t>
        </is>
      </c>
      <c r="H845" t="inlineStr">
        <is>
          <t>Type 2</t>
        </is>
      </c>
    </row>
    <row r="846">
      <c r="A846" t="inlineStr">
        <is>
          <t>3303n8</t>
        </is>
      </c>
      <c r="B846" t="inlineStr">
        <is>
          <t>advice?</t>
        </is>
      </c>
      <c r="C846" t="inlineStr">
        <is>
          <t xml:space="preserve">So, last week I did the milk challenge (go ahead and google it if you don't know what it is.) Now, I don't have diabetes, but my younger brother (14) does. He wants to do it, and our mom is OK with him doing it, as long as he does it at home while she is home, and he checks his sugar like every 10 minutes.  
What do you all think? does that sound OK? I know it wasn't a very smart decision when I did it. </t>
        </is>
      </c>
      <c r="D846" t="n">
        <v>0</v>
      </c>
      <c r="E846" t="n">
        <v>11</v>
      </c>
      <c r="F846">
        <f>HYPERLINK("https://www.reddit.com/r/diabetes/comments/3303n8/advice/")</f>
        <v/>
      </c>
      <c r="G846" t="inlineStr">
        <is>
          <t>2015-04-17 21:59:52</t>
        </is>
      </c>
      <c r="H846" t="inlineStr">
        <is>
          <t>Type 1</t>
        </is>
      </c>
    </row>
    <row r="847">
      <c r="A847" t="inlineStr">
        <is>
          <t>330fjn</t>
        </is>
      </c>
      <c r="B847" t="inlineStr">
        <is>
          <t>Type 1 Diabetic...Very Slow Weight Loss. Help!</t>
        </is>
      </c>
      <c r="C847" t="inlineStr">
        <is>
          <t xml:space="preserve">G’day reddit,
This is a desperate plea for help…and a rant I guess. Not quite sure where else I can turn to for help. I originally posted this on r/fitness, but because this is a throwaway account, they auto blocked my post…I sent a plea but it’s been like 5 days so whatever. Information dump to follow!
I am a 22 year old male, somewhat short, fat, type 1 diabetic.  I am 5”7 and currently weighing in at 96kg (211lb). I avoid all carbs and as such my diabetes is in good control. Also I do not drink (or do drugs or smoke or anything unhealthy at all). I started to count calories and reduce my calorie intake to 1400-1800/day starting around mid-December 2014. For exercise I do SS 3x a week using my old man’s old gym set. I am losing weight, but at an excruciatingly slow pace.
Here is a record of my weight from myfitnesspal;
12/9 – 105kg (231lb)
12/17 – 103kg (227lb)
12/29 – 101kg (222lb)
1/7 – 100.5kg (221lb)
1/15 – 99kg (218lb) (2kg in two months…) 
3/15 – 97kg (213lb)
4/1 – 96kg (211lb)
4/12 – 96kg (211lb)
9kg in about 4 months, averaging 0.25kg/week…
I do not believe I am over counting calories, got food scales and everything.
I am hardly losing weight and am pretty sure that I am not gaining muscle. I have been stuck at 50kg bench press for like 3 months now (started at 40kg, all pathetically weak I know but eh I’m trying). My diet is mainly protein and salads/veges.
So, umm, why the hell is my weight loss so erratic and slow?
I couldn’t find anything online relating to my case. Google mostly comes up with BS articles that say things like “as a diabetic it MUST be the calories in your hypo treatments” or some crap. Reddit mostly came up with threads where the OP seemed to be eyeballing their food intake.
This is really getting me depressed. I’ve been obese all my life as my parents kept stuffing me with rice every meal. I just want to be at a body weight where I can start bulking up! Sick of being fat and weak. I’m hungry all the time and exercising to retain what little muscle I have.
A couple random thoughts:
-Most of my fat is centered around my gut.
-My body seems to have trouble with protein, with my liver converting a large chunk to glucose overnight (gluconeogenesis). This would cause my morning levels to be a little high (but due to lack of carbs, my HBA1C was still OK, around 6.8ish). This seems to have stopped sometime in the last couple of months, as my morning sugar seems to have stabilized and my HBA1C lowered (last HBA1C was 6.2). 
-My breakfast is usually small (2 poached eggs is the standard). I do not eat snacks. Lunch at about 12pm-1am, dinner 5:30pm-7pm.
-I work out in the morning.
-When I started, I was able to put more weight after each session. I’ve stalled after like 6 weeks or so, with a crappy bench press of 50kg.
-I get exceedingly thirsty after 9pm (drink 3 glasses of water then 10 minutes later drink some more). My sugar levels are not high however (which seems to be the main reason thirst is linked to diabetes).
-My next appointment with the endocrinologist is in 3 months btw, where I will rattle on everything I’ve mentioned above.
-My insulin doses are as follows (lower amounts novorapid, higher amounts levimer);
Morning 5-15/35, lunch 5-10, tea 5-20/55
Basically despite not eating carbs my sugar increases from the protein. Quite annoyingly, I can’t figure out a proper formula for this, hence the large variation in my evening short acting insulin. My doses are high considering my near carbless diet…insulin resistance ftw!
-I do not currently take metformin (although I got an old box there). My doctor recommended it ages ago but I had to stop due to terrible nightmarish diarrhea. Back then I had a 2 hour train ride to catch to work so it was nightmarish! I’ve seen a few people here suggest metformin helps with weight loss. Since I am working from home now…should I go back on and just plow through the runs?
-I was 115kg (253lb) at the end of December 2013. The 10kg I lost happened in the first few months I started keto. 
-I drink water, tea, rarely coffee and diet soda. Could it be the saccharine? I mean evil chemicals and all that!
That is about all the related info I can think of. If anyone has any ideas on why I am not losing weight at a decent rate, or what might be the cause of my weight retention, please let me know.
Thanks in advance! Sorry if this is hard to read!
TLDR: Type 1 male on a 1400-1800 calorie diet losing weight at a frustratingly slow pace. Most likely related to high insulin. Said type 1 is now begging for help.
</t>
        </is>
      </c>
      <c r="D847" t="n">
        <v>2</v>
      </c>
      <c r="E847" t="n">
        <v>24</v>
      </c>
      <c r="F847">
        <f>HYPERLINK("https://www.reddit.com/r/diabetes/comments/330fjn/type_1_diabeticvery_slow_weight_loss_help/")</f>
        <v/>
      </c>
      <c r="G847" t="inlineStr">
        <is>
          <t>2015-04-18 00:52:21</t>
        </is>
      </c>
      <c r="H847" t="inlineStr">
        <is>
          <t>Type 1</t>
        </is>
      </c>
    </row>
    <row r="848">
      <c r="A848" t="inlineStr">
        <is>
          <t>338mwb</t>
        </is>
      </c>
      <c r="B848" t="inlineStr">
        <is>
          <t>lonaer pump, overseas travel</t>
        </is>
      </c>
      <c r="C848" t="inlineStr">
        <is>
          <t>I'm going overseas for 10 days and got a lonaer pump from medtronic. seeing as if its lost or damaged, i'd have to pay the full $3k price, i was thinking that i'd use the loaner while on the trip and use my regular pump as the back up. im really nervous about misplacing it, so i figure if it's on me i probably wont. 
have any of you done the loaner pump thing? any advice/tips/tricks?</t>
        </is>
      </c>
      <c r="D848" t="n">
        <v>4</v>
      </c>
      <c r="E848" t="n">
        <v>13</v>
      </c>
      <c r="F848">
        <f>HYPERLINK("https://www.reddit.com/r/diabetes/comments/338mwb/lonaer_pump_overseas_travel/")</f>
        <v/>
      </c>
      <c r="G848" t="inlineStr">
        <is>
          <t>2015-04-20 08:01:55</t>
        </is>
      </c>
      <c r="H848" t="inlineStr">
        <is>
          <t>Type 1</t>
        </is>
      </c>
    </row>
    <row r="849">
      <c r="A849" t="inlineStr">
        <is>
          <t>338x70</t>
        </is>
      </c>
      <c r="B849" t="inlineStr">
        <is>
          <t>effects of taking metformin at specific times</t>
        </is>
      </c>
      <c r="C849" t="inlineStr">
        <is>
          <t>Hey guys, I do plan on asking a doctor about this, but my city has a serious problem with getting and keeping family doctors and our endos are busy with the Type 2s that have feet rotting off and are on dialysis, so I'm kinda at the back of the queue.
Anyway, I'm on 1x500mg taken with breakfast. However, my problematic blood sugar reading is my fasting glucose. When should I be taking the metformin to reduce my fasting glucose? It doesn't make sense to me to take the metformin with my first meal of the day if my highest blood sugar is right before that. Wouldn't right before bed with an XR release be better? I took a reading at ~3am once and it was lower than my fasting, so it looks like it climbs towards my ~7am fasting reading.
Thanks y'all :)</t>
        </is>
      </c>
      <c r="D849" t="n">
        <v>1</v>
      </c>
      <c r="E849" t="n">
        <v>7</v>
      </c>
      <c r="F849">
        <f>HYPERLINK("https://www.reddit.com/r/diabetes/comments/338x70/effects_of_taking_metformin_at_specific_times/")</f>
        <v/>
      </c>
      <c r="G849" t="inlineStr">
        <is>
          <t>2015-04-20 09:18:11</t>
        </is>
      </c>
      <c r="H849" t="inlineStr">
        <is>
          <t>Type 2</t>
        </is>
      </c>
    </row>
    <row r="850">
      <c r="A850" t="inlineStr">
        <is>
          <t>339ts5</t>
        </is>
      </c>
      <c r="B850" t="inlineStr">
        <is>
          <t>(T2) Anyone have Central Serous Retinopathy while taking Actos?</t>
        </is>
      </c>
      <c r="C850" t="inlineStr">
        <is>
          <t>I've been taking Actos for about 15 years (30mg/day) and during that time I've had several episodes of Central Serous Retinopathy, or swelling of the tissues behind the retina. These episodes recede eventually but there has been some residual vision loss—bright spots/distortion in the central vision of my left eye. I also have become very sensitive to bright light (eps. sunlight) in that eye.
Recently I've read that Actos has been associated with Macular Edema in some T2 patients and I'm wondering if I should try and get off Actos for this reason. I've also read in the past that CSR can be mistaken for Macular Edema, which leaves me a bit worried.
Actos/Macular Edema study:  http://archinte.jamanetwork.com/article.aspx?articleid=1182550
Has anyone been diagnosed with CSR and been taken off Actos by their doctor as a result?</t>
        </is>
      </c>
      <c r="D850" t="n">
        <v>0</v>
      </c>
      <c r="E850" t="n">
        <v>1</v>
      </c>
      <c r="F850">
        <f>HYPERLINK("https://www.reddit.com/r/diabetes/comments/339ts5/t2_anyone_have_central_serous_retinopathy_while/")</f>
        <v/>
      </c>
      <c r="G850" t="inlineStr">
        <is>
          <t>2015-04-20 13:10:06</t>
        </is>
      </c>
      <c r="H850" t="inlineStr">
        <is>
          <t>Type 2</t>
        </is>
      </c>
    </row>
    <row r="851">
      <c r="A851" t="inlineStr">
        <is>
          <t>33ahoe</t>
        </is>
      </c>
      <c r="B851" t="inlineStr">
        <is>
          <t>Alpha-Lipoic Acid. Should I try it?</t>
        </is>
      </c>
      <c r="C851" t="inlineStr">
        <is>
          <t xml:space="preserve">I read that it helps to stabilize blood sugar. Is there any harm in trying it? Has anyone else tried this?  What were your experiences? </t>
        </is>
      </c>
      <c r="D851" t="n">
        <v>2</v>
      </c>
      <c r="E851" t="n">
        <v>5</v>
      </c>
      <c r="F851">
        <f>HYPERLINK("https://www.reddit.com/r/diabetes/comments/33ahoe/alphalipoic_acid_should_i_try_it/")</f>
        <v/>
      </c>
      <c r="G851" t="inlineStr">
        <is>
          <t>2015-04-20 16:06:24</t>
        </is>
      </c>
      <c r="H851" t="inlineStr">
        <is>
          <t>Type 2</t>
        </is>
      </c>
    </row>
    <row r="852">
      <c r="A852" t="inlineStr">
        <is>
          <t>33bait</t>
        </is>
      </c>
      <c r="B852" t="inlineStr">
        <is>
          <t>Due to a slight oversight, I am out of pump supplies until tomorrow evening, so I need to take a dose of lantus tonight to hold me over. How do I calculate how much to take?</t>
        </is>
      </c>
      <c r="C852" t="inlineStr">
        <is>
          <t xml:space="preserve">I thought I had an infusion set left (but I don't) and my supply order is at my mom's place. I plan to take a dose of Lantus, like now, and just inject Novolog at meal times tomorrow. I get 41 units of Novolog as bolus over the course of 24 hours. Should I take 41 units of Lantus? </t>
        </is>
      </c>
      <c r="D852" t="n">
        <v>3</v>
      </c>
      <c r="E852" t="n">
        <v>9</v>
      </c>
      <c r="F852">
        <f>HYPERLINK("https://www.reddit.com/r/diabetes/comments/33bait/due_to_a_slight_oversight_i_am_out_of_pump/")</f>
        <v/>
      </c>
      <c r="G852" t="inlineStr">
        <is>
          <t>2015-04-20 20:00:37</t>
        </is>
      </c>
      <c r="H852" t="inlineStr">
        <is>
          <t>Type 1</t>
        </is>
      </c>
    </row>
    <row r="853">
      <c r="A853" t="inlineStr">
        <is>
          <t>33eojs</t>
        </is>
      </c>
      <c r="B853" t="inlineStr">
        <is>
          <t>This is the most exciting collection of news I've ever heard about type 2 diabetes. Awesome presentation.</t>
        </is>
      </c>
      <c r="C853" t="inlineStr">
        <is>
          <t>By Michael Greger. https://www.youtube.com/watch?v=1DCjwIVJmMw&amp;amp;t=11m59s</t>
        </is>
      </c>
      <c r="D853" t="n">
        <v>0</v>
      </c>
      <c r="E853" t="n">
        <v>10</v>
      </c>
      <c r="F853">
        <f>HYPERLINK("https://www.reddit.com/r/diabetes/comments/33eojs/this_is_the_most_exciting_collection_of_news_ive/")</f>
        <v/>
      </c>
      <c r="G853" t="inlineStr">
        <is>
          <t>2015-04-21 15:27:48</t>
        </is>
      </c>
      <c r="H853" t="inlineStr">
        <is>
          <t>Type 2</t>
        </is>
      </c>
    </row>
    <row r="854">
      <c r="A854" t="inlineStr">
        <is>
          <t>33feuc</t>
        </is>
      </c>
      <c r="B854" t="inlineStr">
        <is>
          <t>(Type 1) Why is it that I can feel some lows but not others?</t>
        </is>
      </c>
      <c r="C854" t="inlineStr">
        <is>
          <t>Like today, I woke up from my sleep with a BG of 71 mg/dl. Shaky hands, panicky feelings, all those good low symptoms. But yesterday I woke up at my normal time with a BG of 54 mg/dl and just barely started feeling my hands shake after I checked. 
TBH I have run on the high side for many years and have finally made the decision its time to get things under control and that me and my DH want to have a baby soon.
Someone please ELI5.</t>
        </is>
      </c>
      <c r="D854" t="n">
        <v>4</v>
      </c>
      <c r="E854" t="n">
        <v>7</v>
      </c>
      <c r="F854">
        <f>HYPERLINK("https://www.reddit.com/r/diabetes/comments/33feuc/type_1_why_is_it_that_i_can_feel_some_lows_but/")</f>
        <v/>
      </c>
      <c r="G854" t="inlineStr">
        <is>
          <t>2015-04-21 19:04:09</t>
        </is>
      </c>
      <c r="H854" t="inlineStr">
        <is>
          <t>Type 1</t>
        </is>
      </c>
    </row>
    <row r="855">
      <c r="A855" t="inlineStr">
        <is>
          <t>33gysl</t>
        </is>
      </c>
      <c r="B855" t="inlineStr">
        <is>
          <t>BG steady at 80?</t>
        </is>
      </c>
      <c r="C855" t="inlineStr">
        <is>
          <t>T1 pump &amp;amp; CGM user. I can catch lows by myself most of the time and CGM helps as well. My doctor tells me to correct my BG to 120. While at work during the day sitting in front of my computer, are there any negative health impacts if I keep my BG steady at 80?</t>
        </is>
      </c>
      <c r="D855" t="n">
        <v>2</v>
      </c>
      <c r="E855" t="n">
        <v>9</v>
      </c>
      <c r="F855">
        <f>HYPERLINK("https://www.reddit.com/r/diabetes/comments/33gysl/bg_steady_at_80/")</f>
        <v/>
      </c>
      <c r="G855" t="inlineStr">
        <is>
          <t>2015-04-22 06:15:15</t>
        </is>
      </c>
      <c r="H855" t="inlineStr">
        <is>
          <t>Type 1</t>
        </is>
      </c>
    </row>
    <row r="856">
      <c r="A856" t="inlineStr">
        <is>
          <t>33h47s</t>
        </is>
      </c>
      <c r="B856" t="inlineStr">
        <is>
          <t>Need advice on talking to T1 SO after frightening doc appointment.</t>
        </is>
      </c>
      <c r="C856" t="inlineStr">
        <is>
          <t>My SO (who I am preparing to move in with ) has T1. He is incredibly private about it. He did not tell me about it for several months after we started dating and shuts down every time I broach the subject, although this has gotten slightly better recently. I have tried to educate myself on my own but I have often read on this sub that I can read all I want about diabetes but that will never help me understand what my SO's personal relationship with it is. He has not been to an endocrinologist in nearly two years and said he knows he needed to go back but had bad experiences with judgmental doctors. I told him I would ask my doctor for a referral and he was appreciative. I was talking to my doctor and he said things that really concerned me. That if he hasn't been to an endo in two years he isn't managing his condition and will start seeing his health decline in his 30's (he is 25). He also asked if he drinks a lot of water and pees a lot because those are signs of running high. My SO does both. I brought back the recommendations to my SO and told him that I was worried, that I was not trying to judge him but I was concerned. He said he hasn't been checking his blood lately (which I didn't realize was something you could just not do) and he needed to get better at it. I have asked him multiple times to teach me how to use his meter in case of an emergency since we live together I don't think that is unreasonable. I have also asked that he get one of those emergency glycogen shots (correct name?). He says he will and then doesn't. I want to be supportive without being an asshole but this concerns me. How should I proceed? Am I being unreasonable?</t>
        </is>
      </c>
      <c r="D856" t="n">
        <v>17</v>
      </c>
      <c r="E856" t="n">
        <v>33</v>
      </c>
      <c r="F856">
        <f>HYPERLINK("https://www.reddit.com/r/diabetes/comments/33h47s/need_advice_on_talking_to_t1_so_after_frightening/")</f>
        <v/>
      </c>
      <c r="G856" t="inlineStr">
        <is>
          <t>2015-04-22 07:02:24</t>
        </is>
      </c>
      <c r="H856" t="inlineStr">
        <is>
          <t>Type 1</t>
        </is>
      </c>
    </row>
    <row r="857">
      <c r="A857" t="inlineStr">
        <is>
          <t>33ioxh</t>
        </is>
      </c>
      <c r="B857" t="inlineStr">
        <is>
          <t>Lantus and Pregnancy</t>
        </is>
      </c>
      <c r="C857" t="inlineStr">
        <is>
          <t>Hi all! I just posted on another thread but figured I would start my own. I am not pregnant but considering it soon. I am well controlled - a1c in the 6's and currently on lantus and novolog. I was told from another T1D that lantus is a no no during pregnancy. Is this true? Has anyone changed their insulin routine due to pregnancy?</t>
        </is>
      </c>
      <c r="D857" t="n">
        <v>3</v>
      </c>
      <c r="E857" t="n">
        <v>12</v>
      </c>
      <c r="F857">
        <f>HYPERLINK("https://www.reddit.com/r/diabetes/comments/33ioxh/lantus_and_pregnancy/")</f>
        <v/>
      </c>
      <c r="G857" t="inlineStr">
        <is>
          <t>2015-04-22 13:59:58</t>
        </is>
      </c>
      <c r="H857" t="inlineStr">
        <is>
          <t>Type 1</t>
        </is>
      </c>
    </row>
    <row r="858">
      <c r="A858" t="inlineStr">
        <is>
          <t>33k8z7</t>
        </is>
      </c>
      <c r="B858" t="inlineStr">
        <is>
          <t>In light of a recent post-- to all those struggling with any aspect of this illness. I am here to listen, vent, rant, whatever. Here's my story.</t>
        </is>
      </c>
      <c r="C858" t="inlineStr">
        <is>
          <t>Hello /r/diabetes,
My name is Lauren. I'm 23. Been diabetic since I was 3 years old. Fresh out of college near a big city. Looking for my first career step, working a job on my feet in the meantime for the steady paycheck.
My eyesight is shoddy. My kidneys have put me in the hospital three times since August, where I threw up at my first big internship and was reprimanded for showing up to work "drunk" (hint: I wasn't). I have been diagnosed with Diabetic Autonomic Neuropathy. 
I've always heard the horror stories. This aunt's friend lost a finger or toe or foot to diabetes. This great-great-uncle's dad can't see anymore because of his diabetes, or is in a wheelchair, or can't get out of bed. But I was young! These were all old fat folks and *clearly* none of these horrible things could happen to me!
But I was sick a lot. My headaches had me taking Advil every time I was "allowed" to re-dose. I didn't sleep well. I would wake up, thirsty, hungry, angry, confused... But it was OK. I'd still go to classes, I'd see my friends, I didn't ever pass out, so that meant everything was fine!
I mean, I took my long-acting insulin. I took doses to cover my food. Yeah, sure, okay-- I skipped some blood tests. Okay, maybe I skipped almost all of them. But I could *feel* when my sugar was high, I just *knew* when I should be giving myself insulin. Right?
...Right?
I've woken up with a catheter inside me, confused and dazed, after passing out on the bathroom floor in my boyfriend's parents' home. I've been admitted to ERs in my state with "one foot in the grave." By all accounts I should be dead.
I turn 24 in a few months time. I still am waiting on my big career break. I don't look out of the ordinary. If you look close, you might smell how I always smell just a bit sickly-sweet, but you can't figure out why? Maybe it's a bad perfume choice?
Please, don't judge. I'm working on getting better. My A1c is slowly dropping. But don't get as bad as I have at such a young age. I'm here for you.
I am here to listen.</t>
        </is>
      </c>
      <c r="D858" t="n">
        <v>4</v>
      </c>
      <c r="E858" t="n">
        <v>18</v>
      </c>
      <c r="F858">
        <f>HYPERLINK("https://www.reddit.com/r/diabetes/comments/33k8z7/in_light_of_a_recent_post_to_all_those_struggling/")</f>
        <v/>
      </c>
      <c r="G858" t="inlineStr">
        <is>
          <t>2015-04-22 21:49:48</t>
        </is>
      </c>
      <c r="H858" t="inlineStr">
        <is>
          <t>Type 1</t>
        </is>
      </c>
    </row>
    <row r="859">
      <c r="A859" t="inlineStr">
        <is>
          <t>33m6x1</t>
        </is>
      </c>
      <c r="B859" t="inlineStr">
        <is>
          <t>I got my HbA1c from 14+ to 4.5% on ketogenic diet :)</t>
        </is>
      </c>
      <c r="C859" t="inlineStr">
        <is>
          <t>Hi everyone. I'm a type 1 diabetic and for last 7 months I've been eating ketogenic. I started out soon after I was diagnosed when my HbA1c was 14%+ Three months after that I got it to 5.8% and the latest one was 4.5% :) I don't have extreme lows or highs. My blood sugar is a straight line. I just want to share my experience that it can be done and that diabetics can have normal blood sugars. I also workout 3 times a week and I'm going around on a bicycle for an hour at least on days I don't work out. Guess what? No hypos. As for my blood work, it's never been better. I suppose many people are concered about cholesterol. At first my tryglcerides dropped, hdl went up and ldl went up after 3 months of keto. In next 3 months tryglcerides went down even more, ldl went down and hdl went down just a bit. I am super happy with my blood work. My goal was never to lose weight, actually I wanted to gain some because I lost a lot when I was diagnosed. I'm a 24 year old female and I weighted 53 kg when diagnosed. After 7 months I'm at 59kg and fat nowhere to be seen-I've gained muscle!! Anyway, I hope other diabetics see this and give it a try. If you're interested in what I eat you can find me on Instagram as keto_apesy ( https://instagram.com/keto_apesy/ ) or you can check out my new blog here http://ketoapsey.com/ Cheers! :)</t>
        </is>
      </c>
      <c r="D859" t="n">
        <v>29</v>
      </c>
      <c r="E859" t="n">
        <v>53</v>
      </c>
      <c r="F859">
        <f>HYPERLINK("https://www.reddit.com/r/diabetes/comments/33m6x1/i_got_my_hba1c_from_14_to_45_on_ketogenic_diet/")</f>
        <v/>
      </c>
      <c r="G859" t="inlineStr">
        <is>
          <t>2015-04-23 10:31:32</t>
        </is>
      </c>
      <c r="H859" t="inlineStr">
        <is>
          <t>Type 1</t>
        </is>
      </c>
    </row>
    <row r="860">
      <c r="A860" t="inlineStr">
        <is>
          <t>33o3q9</t>
        </is>
      </c>
      <c r="B860" t="inlineStr">
        <is>
          <t>Question about insulin and working out</t>
        </is>
      </c>
      <c r="C860" t="inlineStr">
        <is>
          <t xml:space="preserve">I NEED to start working out and getting in shape. I've said it for what feels like years now and I was all set to do it until February when I was diagnosed with T1. I feel like I've gotten everything under control to the best a T1 can since I'm sure most of you know that you can eat the same crap every day and do every thing the same but your BG will still be all over the place. I actually had my post diagnosis follow up and my endo and I are looking to go to a CGM and possibly even a pump but I'm not sure about the pump, definitely want to go the CGM route though. Anyway, my question is this.... 
I know insulin can be very beneficial to your body in terms of growth (I've put on close to 25 lbs since being diagnosed) and so is there an optimal time to take insulin that will produce better results? Should I take it post workout in the meal? Should I take it before? I'm looking for any help, especially from you bodybuilders or just lifters in general, who might also be on insulin. I am trying to bulk up as I am 6'6 and now currently sitting at 187 but still horribly skinny. I'd love ot get up to 230-250 or higher and I know I can carry it well but I'm just confused on how to best use insulin in and around my workouts. 
As far as programs, I am starting StrongLifts 5x5 which is a M/W/F schedule and centered around the basic deadlift, squat, and bench lifts where you increase the weight every day so it will eventually start getting heavy weights and difficult workouts which is why I want to make sure I'm optimizing my use of insulin since I need it anyway. </t>
        </is>
      </c>
      <c r="D860" t="n">
        <v>7</v>
      </c>
      <c r="E860" t="n">
        <v>15</v>
      </c>
      <c r="F860">
        <f>HYPERLINK("https://www.reddit.com/r/diabetes/comments/33o3q9/question_about_insulin_and_working_out/")</f>
        <v/>
      </c>
      <c r="G860" t="inlineStr">
        <is>
          <t>2015-04-23 19:38:21</t>
        </is>
      </c>
      <c r="H860" t="inlineStr">
        <is>
          <t>Type 1</t>
        </is>
      </c>
    </row>
    <row r="861">
      <c r="A861" t="inlineStr">
        <is>
          <t>33og2s</t>
        </is>
      </c>
      <c r="B861" t="inlineStr">
        <is>
          <t>This is why I don't like most doctors (Rant)</t>
        </is>
      </c>
      <c r="C861" t="inlineStr">
        <is>
          <t>On the recommendation of my primary care doctor, I saw a specialist this week.  I wasn't terribly happy with the thought to begin with, but I decided to be responsible and just go along with the referral anyway.  I get there, wait for what seems like forever in a small, sterile room (great psychological prologue to any doctor's appointment), and then she walks in the door.
What I didn't know then was that she already had her spiel ready before she crossed the threshold.  She didn't smile, frown, or emote in really any way as she looked at the last lab results that she'd been sent by the office that referred me (which were not the most recent and showed a higher A1C than is current), and then rattled off a list of what she wanted to change (i.e., second-guess) about my current treatment plan.  
I am now to start, in addition to Metformin, Glimepiride, Lisinopril, and Victoza, a daily dose of Invokana.  I tried to mention that I had just started the Glimepiride recently and had my dose increased at my latest check-up a few weeks ago, and that I'd prefer not to start yet another pill right away.  I didn't receive any indication that she even registered what I said as human speech.  
She continued to say that I needed to start testing glucose twice daily (which my previous doctor told me wasn't really necessary and could actually be psychologically detrimental), and threatened the possibility of a continuous glucose monitor if she decides that my tests don't give her enough information in a month's time.  Charming.
It was also, apparently, necessary to do bloodwork to confirm that I have type 2.  The same bloodwork I had done last time I saw an endocrinologist.  The same thing I could probably just tell her outright if she had listened.  But, nope, almost before I could register what she'd said, the lab work had been ordered.
Then, probably what annoyed me the most.  She asked me if I knew how to count carbs.  When I replied "yes," she went ahead and ran through the basics of how to count carbs anyway, then told me she'd like me to see a diabetes educator.  AFTER I had literally just told her (and her nurse) that I'm aware of the methods for managing my condition.
I left the clinic in kind of a daze.  This is exactly the kind of visit I was afraid it was going to be, where the doctor wasn't really interested in hearing any of what I had to say, convinced that doubling down on prescriptions was the only option, and seemed to demand rather than recommend most of what she said.  I'm still just kind of miffed.  Am I overreacting in being angry here?  Probably.  Doesn't change that I AM angry.  And scared.
I'm not really looking for someone to tell me what I want to hear, like "that doctor has no idea what's up, just ignore what she said."  I'm sure she's quite intelligent and knows her field well enough.  What REALLY bothers me more than anything (though the thought of going back to daily glucose testing is a close second) is that this doctor completely disregarded me and everything I pointed out or said.  As I stated above, I rather like my primary care.  When I see him, he has a conversation with me as opposed to a monologue at me.  He doesn't treat things as non-negotiables, but presents them as being in my best interest to try because he actually believes they are.  In short, he's actually concerned whether I'm healthy rather than whether my numbers look good to him.
I see this specialist again in a month (her exact words were "you're GOING to see me again in a month").  I'm sure I'll be better adjusted to the whole experience then.  Right now I'm just... not happy.  Can anyone relate?
TL;DR: Recently visited a doctor who failed to acknowledge me as an intelligent human being, and that makes me a sad panda.</t>
        </is>
      </c>
      <c r="D861" t="n">
        <v>1</v>
      </c>
      <c r="E861" t="n">
        <v>15</v>
      </c>
      <c r="F861">
        <f>HYPERLINK("https://www.reddit.com/r/diabetes/comments/33og2s/this_is_why_i_dont_like_most_doctors_rant/")</f>
        <v/>
      </c>
      <c r="G861" t="inlineStr">
        <is>
          <t>2015-04-23 21:41:19</t>
        </is>
      </c>
      <c r="H861" t="inlineStr">
        <is>
          <t>Type 2</t>
        </is>
      </c>
    </row>
    <row r="862">
      <c r="A862" t="inlineStr">
        <is>
          <t>33qjbn</t>
        </is>
      </c>
      <c r="B862" t="inlineStr">
        <is>
          <t>Falling back into old habits - how do I reduce my appetite?</t>
        </is>
      </c>
      <c r="C862" t="inlineStr">
        <is>
          <t>I was doing so good for a while and now I'm starting to gain lots of weight back and can't seem to get back on a good diet. I start to eat right for a couple days then end up eating an extra meal because I get so hungry and then put off the diet for a while. I keep trying but I just get too hungry.
My numbers aren't terrible (not great though) but I really want to be as healthy as I can but it's hard when I have such a huge appetite. What would you guys recommend I do/eat to help my body get used to eating less?
Edit: After browsing some posts I also have a question (which might sound really dumb so bare with me here). So reusing lancets is okay? I always assumed that you only used them once and throw them out..I use [these](http://ecx.images-amazon.com/images/I/717a16NUFtL._SL1500_.jpg) buggers, should I be using them more than once?</t>
        </is>
      </c>
      <c r="D862" t="n">
        <v>1</v>
      </c>
      <c r="E862" t="n">
        <v>14</v>
      </c>
      <c r="F862">
        <f>HYPERLINK("https://www.reddit.com/r/diabetes/comments/33qjbn/falling_back_into_old_habits_how_do_i_reduce_my/")</f>
        <v/>
      </c>
      <c r="G862" t="inlineStr">
        <is>
          <t>2015-04-24 11:04:53</t>
        </is>
      </c>
      <c r="H862" t="inlineStr">
        <is>
          <t>Type 1</t>
        </is>
      </c>
    </row>
    <row r="863">
      <c r="A863" t="inlineStr">
        <is>
          <t>33qnl2</t>
        </is>
      </c>
      <c r="B863" t="inlineStr">
        <is>
          <t>Leg Site Fright</t>
        </is>
      </c>
      <c r="C863" t="inlineStr">
        <is>
          <t xml:space="preserve">Ok, I've had the beetus for almost 20 years, but need some help on this one (I've tried looking online for help on this but haven't found anything conclusive). My normal sites are my stomach and love handles, but they're getting pretty worn out. I use the medtronic quick-set, 9mm. I've put my sets lower, kind of upper-butt area, but they end up hurting a lot for some reason. I've wanted to try putting my set in my leg now, but had some pretty bad experiences as a teenager doing so (there was no absorption, my bg's went super high).  My legs are pretty muscular, so I'm just nervous about how to go about this, or if I even should. So, does anyone have any advice or tips to share? Thanks! </t>
        </is>
      </c>
      <c r="D863" t="n">
        <v>1</v>
      </c>
      <c r="E863" t="n">
        <v>6</v>
      </c>
      <c r="F863">
        <f>HYPERLINK("https://www.reddit.com/r/diabetes/comments/33qnl2/leg_site_fright/")</f>
        <v/>
      </c>
      <c r="G863" t="inlineStr">
        <is>
          <t>2015-04-24 11:36:38</t>
        </is>
      </c>
      <c r="H863" t="inlineStr">
        <is>
          <t>Type 1</t>
        </is>
      </c>
    </row>
    <row r="864">
      <c r="A864" t="inlineStr">
        <is>
          <t>33r1jk</t>
        </is>
      </c>
      <c r="B864" t="inlineStr">
        <is>
          <t>LP-IR score?</t>
        </is>
      </c>
      <c r="C864" t="inlineStr">
        <is>
          <t>Ran across someones test results on another forum that showed a "Lipoprotein Insulin Resistance" score.
It looks proprietary and wondering if anyone sees it as a valid test to spend money on.  Googled it and came up with the following web site.
I am T2 been on keto 4 months. Would like to monitor IR if possible. This looks like a possible way.
http://www.google.com/url?sa=t&amp;amp;rct=j&amp;amp;q=&amp;amp;esrc=s&amp;amp;source=web&amp;amp;cd=1&amp;amp;ved=0CCoQFjAA&amp;amp;url=http%3A%2F%2Fwww.liposcience.com%2Fsites%2Fdefault%2Ffiles%2Fcontent%2Fdownloads%2FUnderstanding_Direct_Report.pdf&amp;amp;ei=cKI6VYz9OInIsAWU1IGIDQ&amp;amp;usg=AFQjCNGI0BIKGMINQXICaEcPzUsbtsLYoQ&amp;amp;bvm=bv.91665533,d.b2w&amp;amp;cad=rja
Holy huge link sorry.  Its a link to a PDF, not a website.</t>
        </is>
      </c>
      <c r="D864" t="n">
        <v>1</v>
      </c>
      <c r="E864" t="n">
        <v>0</v>
      </c>
      <c r="F864">
        <f>HYPERLINK("https://www.reddit.com/r/diabetes/comments/33r1jk/lpir_score/")</f>
        <v/>
      </c>
      <c r="G864" t="inlineStr">
        <is>
          <t>2015-04-24 13:25:14</t>
        </is>
      </c>
      <c r="H864" t="inlineStr">
        <is>
          <t>Type 2</t>
        </is>
      </c>
    </row>
    <row r="865">
      <c r="A865" t="inlineStr">
        <is>
          <t>33rbtk</t>
        </is>
      </c>
      <c r="B865" t="inlineStr">
        <is>
          <t>[vent] GODDAMMIT</t>
        </is>
      </c>
      <c r="C865" t="inlineStr">
        <is>
          <t xml:space="preserve">So
Woke up this morning, sugar was high, 16.7.  Out of the ordinary but ok, whatever, take some insulin &amp;amp; eat a breakfast of an english muffin &amp;amp; two eggs.  
Go on the computer and dick around for a bit before I work out.  Check my sugar before I workout and it's about 12.8.  Still pretty high but...the workout should take care of it.
Go workout; 10 minutes of cardio followed up about half hour of weights.  Feel fine afterwards, go shower and after that have a snack of some nuts &amp;amp; water.  Realize "shit, gotta go rake leaves".  Go out and rake leaves for half an hour.  Come back inside and play guitar for about 20 minutes when I start to feel kind of shitty, have a headache, feel kind of nauseous etc.  Decide to check my sugar again and IT'S FUCKING 16.7 RRRRRRRRRGH WHY HOW THAT DOESN'T EVEN MAKE ANY FUCKING SENSE!
So I took 3 units of novorapid and I'm waiting for it to correct while dinner is being cooked.  
Jesus christ today has been frustrating.  Usually my insulin-sensitivity is *much* higher than this, particularly on days I work out.  
Sorry, just had to vent hahah, for fucks sake what a weird friggin' day.  </t>
        </is>
      </c>
      <c r="D865" t="n">
        <v>3</v>
      </c>
      <c r="E865" t="n">
        <v>9</v>
      </c>
      <c r="F865">
        <f>HYPERLINK("https://www.reddit.com/r/diabetes/comments/33rbtk/vent_goddammit/")</f>
        <v/>
      </c>
      <c r="G865" t="inlineStr">
        <is>
          <t>2015-04-24 14:50:25</t>
        </is>
      </c>
      <c r="H865" t="inlineStr">
        <is>
          <t>Type 1</t>
        </is>
      </c>
    </row>
    <row r="866">
      <c r="A866" t="inlineStr">
        <is>
          <t>33s9gn</t>
        </is>
      </c>
      <c r="B866" t="inlineStr">
        <is>
          <t>Dear Reddit, I'm a T1 diagnosed two days ago, Please help me understand what kind of insulins I have been prescribed.</t>
        </is>
      </c>
      <c r="C866" t="inlineStr">
        <is>
          <t>*I will start this by saying I have NO INTENTION of using any advice as treatment or dosing! I have already contacted the hospital this evening regarding this issue and they advised me to call back in the morning. I plan to do so and will follow the Dr.'s advice only. I am simply confused and would like some plain English from people who may be on these types of insulin. 
So here's the story. (Sorry in advance for the length) I have been developing symptoms of diabetes for a while and didn't pinpoint the problem until a few days ago. Tuesday night I got little to no sleep and was waking every hour to chug water and use the restroom. Wednesday the effects were more severe and by the time I left work about 10pm I was completely exhausted and knew something was wrong. I had a dated a diabetic in the past and suddenly everything seemed to line up. At a point in my past I was worried about having low blood sugar so I had purchased a cheap meter and ketostrips, so I had them on hand. I took my glucose reading wed. night and it was over 500. I maxed out the ketostrips. I knew I was at risk for ketoacidosis and immediately went to the hospital. 
Turns out I was right and I have spent the last 2 days in critical care while they got my electrolytes back in balance. Upon talking to the Diabetes Educator, we decided since I currently do not have insurance, they would prescribe me the low cost Novalin that can be purchased from walmart for 24.88 per vial until I can get signed up for some type of insurance. She even spoke with the Dr. about prescribing this specific kind.
I was supposed to be prescribed Novolin N, Novolin R, and a "regular insulin" to be used as a sliding scale if my blood sugar warranted. They gave me all the instructions and I thought I had it down pretty good. (dating a diabetic in the past I was used to the whole sliding scale thing and often even gave him his shots.)
When I got to Walmart with the prescriptions, the doctor had NOT prescribed novolin, but instead humulin n, r, and a "regular insulin"
I had to call the hospital back and get the Dr. to call in the Novolin as I could not afford the $90 per vial the humulin cost. When he DID call it in, he called in for Novolin R and Novolin 70/20. Here is what the instructions he gave say.
On the Novolin R
" Sliding scale instructions - in addition to meal time insulin, use 1 extra unit for every 50mg/dl above 150 that your glucose level is."
On the Novolin 70/30
"Take 8 units twice daily. (cancel the 3 untils with meals but continue with sliding scale instructions."
Thinking I understood, I took 8 units of 70/30 with my last meal (first meal since discharge) and 1 unit of Novolin R as my blood sugar was 200. I think I made a mistake...
Upon reading the pamphlet that came with the 70/30, it CLEARLY states DO NOT MIX WITH OTHER INSULINS. 
I am SOOO confused. Did I mix it up? Did the Dr. mix it up? how can I have two I am supposed to use together have one that says don't mix? I understood with the n and r that I would be mixing it and doing the math, but I just don't get this. Why did I have 3 types of insulin to begin with, and only two after he called the prescription in?
Again, I will be calling back in the morning and may end up going back to talk to the Dr. if i can't get some straight answers. 
Any and all help would be greatly appreciated. I'm new to all the types of insulin and how they interact with each other. Thanks in advance.</t>
        </is>
      </c>
      <c r="D866" t="n">
        <v>9</v>
      </c>
      <c r="E866" t="n">
        <v>29</v>
      </c>
      <c r="F866">
        <f>HYPERLINK("https://www.reddit.com/r/diabetes/comments/33s9gn/dear_reddit_im_a_t1_diagnosed_two_days_ago_please/")</f>
        <v/>
      </c>
      <c r="G866" t="inlineStr">
        <is>
          <t>2015-04-24 20:14:16</t>
        </is>
      </c>
      <c r="H866" t="inlineStr">
        <is>
          <t>Type 1</t>
        </is>
      </c>
    </row>
    <row r="867">
      <c r="A867" t="inlineStr">
        <is>
          <t>33t8mg</t>
        </is>
      </c>
      <c r="B867" t="inlineStr">
        <is>
          <t>Apidra acting time.</t>
        </is>
      </c>
      <c r="C867" t="inlineStr">
        <is>
          <t xml:space="preserve">Hi all.
I started using android app called Diabetes:M and on their website https://sites.google.com/site/diabetesmapp/insulin-action-curves
they present that Apidra acts up to 8h while I was taught it acts up to 4h with top at 2h. So can someone explain this to me?
</t>
        </is>
      </c>
      <c r="D867" t="n">
        <v>1</v>
      </c>
      <c r="E867" t="n">
        <v>2</v>
      </c>
      <c r="F867">
        <f>HYPERLINK("https://www.reddit.com/r/diabetes/comments/33t8mg/apidra_acting_time/")</f>
        <v/>
      </c>
      <c r="G867" t="inlineStr">
        <is>
          <t>2015-04-25 04:55:00</t>
        </is>
      </c>
      <c r="H867" t="inlineStr">
        <is>
          <t>Type 1</t>
        </is>
      </c>
    </row>
    <row r="868">
      <c r="A868" t="inlineStr">
        <is>
          <t>33trah</t>
        </is>
      </c>
      <c r="B868" t="inlineStr">
        <is>
          <t>Had my quarterly checkup with my endo yesterday . . .</t>
        </is>
      </c>
      <c r="C868" t="inlineStr">
        <is>
          <t>My A1C was down 2/10ths of a point to 6.8.  Normally, this is good, but 6.8 is high for me.  I've been pretty lax about my diabetes for the last 6ish months, but on the flip side, my endo says she wishes that all of her patients were like me.  She also said that she wished that I would give diabetes education classes.  That was a nice boost.
I also showed her my Dexcom trending, and she says that she expects my A1C to be lower next quarter.</t>
        </is>
      </c>
      <c r="D868" t="n">
        <v>1</v>
      </c>
      <c r="E868" t="n">
        <v>3</v>
      </c>
      <c r="F868">
        <f>HYPERLINK("https://www.reddit.com/r/diabetes/comments/33trah/had_my_quarterly_checkup_with_my_endo_yesterday/")</f>
        <v/>
      </c>
      <c r="G868" t="inlineStr">
        <is>
          <t>2015-04-25 08:33:19</t>
        </is>
      </c>
      <c r="H868" t="inlineStr">
        <is>
          <t>Type 1.5/LADA</t>
        </is>
      </c>
    </row>
    <row r="869">
      <c r="A869" t="inlineStr">
        <is>
          <t>33tx7u</t>
        </is>
      </c>
      <c r="B869" t="inlineStr">
        <is>
          <t>Has anyone noticed vision issues with yourself?</t>
        </is>
      </c>
      <c r="C869" t="inlineStr">
        <is>
          <t xml:space="preserve">I was diagnosed quite recently, and I have had a hard time controlling my numbers. Yesterday I got concerned and scared because I was at a resturant with a friend and I had a very difficult time reading a sign in the room that my friend had no problem reading. 
I know high blood sugar makes vision blurry as I have felt that sensation many times, but at this time I don't think it was high. Does anyone know how long it takes for damage to occur in the eye? I know I had 20/20 vision 2 years ago so this concerns me greatly. 
My doctor has not tested my eyes. I thought they were kind of supposed to when they find out you are diabetic? </t>
        </is>
      </c>
      <c r="D869" t="n">
        <v>8</v>
      </c>
      <c r="E869" t="n">
        <v>21</v>
      </c>
      <c r="F869">
        <f>HYPERLINK("https://www.reddit.com/r/diabetes/comments/33tx7u/has_anyone_noticed_vision_issues_with_yourself/")</f>
        <v/>
      </c>
      <c r="G869" t="inlineStr">
        <is>
          <t>2015-04-25 09:25:31</t>
        </is>
      </c>
      <c r="H869" t="inlineStr">
        <is>
          <t>Type 1</t>
        </is>
      </c>
    </row>
    <row r="870">
      <c r="A870" t="inlineStr">
        <is>
          <t>33v6mj</t>
        </is>
      </c>
      <c r="B870" t="inlineStr">
        <is>
          <t>Managing neuropathy, healing it or reversing it?</t>
        </is>
      </c>
      <c r="C870" t="inlineStr">
        <is>
          <t>I've read mixed opinions on the ability to restore nerve damage. Anyone here that has experienced beneficial effects from supplements and exercise and TENS therapy or anything else for that matter? 
Of all the complications I've experienced from type 2, this is the most frustrating and frightening (the realization I will have this newly discovered pain and numbness forever).</t>
        </is>
      </c>
      <c r="D870" t="n">
        <v>2</v>
      </c>
      <c r="E870" t="n">
        <v>2</v>
      </c>
      <c r="F870">
        <f>HYPERLINK("https://www.reddit.com/r/diabetes/comments/33v6mj/managing_neuropathy_healing_it_or_reversing_it/")</f>
        <v/>
      </c>
      <c r="G870" t="inlineStr">
        <is>
          <t>2015-04-25 15:59:53</t>
        </is>
      </c>
      <c r="H870" t="inlineStr">
        <is>
          <t>Type 2</t>
        </is>
      </c>
    </row>
    <row r="871">
      <c r="A871" t="inlineStr">
        <is>
          <t>33vlic</t>
        </is>
      </c>
      <c r="B871" t="inlineStr">
        <is>
          <t>honeymoon period? 4yo T1, stomach bug</t>
        </is>
      </c>
      <c r="C871" t="inlineStr">
        <is>
          <t xml:space="preserve">Hello all,
My son has been sick for two days now, stomach bug. He only vomited the first day. He is keeping things down now. 
Since it started, he had some very low BG. He was at 30 this morning, and after giving him 60 carbs of fast acting sugar over 5 hours, he finally went up to 85 (yep, scary morning). He was around 100 all day, insulin suspended, At 5, we had some rice, and some ice cream, a total of 40 carbs, and i didn't bolus. I did start his basal again. after 1 hour, he was down at 65, even thought he got 40 carbs non covered, and only .05 of insulin. 
We are closely monitoring, but... is this normal? We've been a diabetic family for two years, and this is the first stomach bug we have. He is 4. I thought numbers were supposed to be high, not low? 
Does being sick make you super sensitive  to insulin? Is it possible it triggered his body auto immune system into producing insulin again? He is still honeymooning, according to endo. 
</t>
        </is>
      </c>
      <c r="D871" t="n">
        <v>2</v>
      </c>
      <c r="E871" t="n">
        <v>8</v>
      </c>
      <c r="F871">
        <f>HYPERLINK("https://www.reddit.com/r/diabetes/comments/33vlic/honeymoon_period_4yo_t1_stomach_bug/")</f>
        <v/>
      </c>
      <c r="G871" t="inlineStr">
        <is>
          <t>2015-04-25 18:26:15</t>
        </is>
      </c>
      <c r="H871" t="inlineStr">
        <is>
          <t>Type 1</t>
        </is>
      </c>
    </row>
    <row r="872">
      <c r="A872" t="inlineStr">
        <is>
          <t>33wi76</t>
        </is>
      </c>
      <c r="B872" t="inlineStr">
        <is>
          <t>Omnipod and CGM</t>
        </is>
      </c>
      <c r="C872" t="inlineStr">
        <is>
          <t>Hey there, I was curious about anyone's advice on CGMs in general, especially if you are using one with an Omnipod. I want to take better control of my diabetes and have been thinking of getting a CGM for a while, but I don't know much about them. Any help or advice would great!</t>
        </is>
      </c>
      <c r="D872" t="n">
        <v>1</v>
      </c>
      <c r="E872" t="n">
        <v>3</v>
      </c>
      <c r="F872">
        <f>HYPERLINK("https://www.reddit.com/r/diabetes/comments/33wi76/omnipod_and_cgm/")</f>
        <v/>
      </c>
      <c r="G872" t="inlineStr">
        <is>
          <t>2015-04-26 01:16:15</t>
        </is>
      </c>
      <c r="H872" t="inlineStr">
        <is>
          <t>Type 1</t>
        </is>
      </c>
    </row>
    <row r="873">
      <c r="A873" t="inlineStr">
        <is>
          <t>33z009</t>
        </is>
      </c>
      <c r="B873" t="inlineStr">
        <is>
          <t>Keto Slip Up! What happened here!</t>
        </is>
      </c>
      <c r="C873" t="inlineStr">
        <is>
          <t xml:space="preserve">I have been keto/low carb for the past 3 years and never once cheated (aside from low GI fruit to treat low blood sugar). This morning I woke up CRAVING bread. I couldnt believe it! Or resist it. I went all day following my usual low carb routine until BAM - this evening i found myself needing to give in. I had 3 slices of 7 grain gluten free bread with butter. It was heavenly!!!! I was really happy - but I am ready to go back to full blown keto starting tomorrow!!!! Hopefully I will do it better than ever. Where did this need and moment of weakness come from! And what can I expect (weight wise / blood sugar wise) for the upcoming week. </t>
        </is>
      </c>
      <c r="D873" t="n">
        <v>1</v>
      </c>
      <c r="E873" t="n">
        <v>21</v>
      </c>
      <c r="F873">
        <f>HYPERLINK("https://www.reddit.com/r/diabetes/comments/33z009/keto_slip_up_what_happened_here/")</f>
        <v/>
      </c>
      <c r="G873" t="inlineStr">
        <is>
          <t>2015-04-26 16:40:22</t>
        </is>
      </c>
      <c r="H873" t="inlineStr">
        <is>
          <t>Type 1</t>
        </is>
      </c>
    </row>
    <row r="874">
      <c r="A874" t="inlineStr">
        <is>
          <t>33zqec</t>
        </is>
      </c>
      <c r="B874" t="inlineStr">
        <is>
          <t>Leaving needle tips on</t>
        </is>
      </c>
      <c r="C874" t="inlineStr">
        <is>
          <t xml:space="preserve">Only been diagnosed as T1 for about 2 months now and in the beginning I was changing the needle tips on my pens every time I used them but I was going through so many, especially with the Novolog that I was blowing through tips and decided to keep them on. I now switch out every few days or until the tip doesn't go in as easily anymore. My question is, outside of a possible infection I would imagine, what other issues are there with reusing tips? I keep the little green cover on it but I'm sure air is still getting into the pen, is that a huge concern? </t>
        </is>
      </c>
      <c r="D874" t="n">
        <v>7</v>
      </c>
      <c r="E874" t="n">
        <v>39</v>
      </c>
      <c r="F874">
        <f>HYPERLINK("https://www.reddit.com/r/diabetes/comments/33zqec/leaving_needle_tips_on/")</f>
        <v/>
      </c>
      <c r="G874" t="inlineStr">
        <is>
          <t>2015-04-26 20:39:14</t>
        </is>
      </c>
      <c r="H874" t="inlineStr">
        <is>
          <t>Type 1</t>
        </is>
      </c>
    </row>
    <row r="875">
      <c r="A875" t="inlineStr">
        <is>
          <t>340fno</t>
        </is>
      </c>
      <c r="B875" t="inlineStr">
        <is>
          <t>Type 2 and can't explain these numbers</t>
        </is>
      </c>
      <c r="C875" t="inlineStr">
        <is>
          <t>Currently on Metformin 1,000 taken twice a day while treating with diet and exercise as well.  Woke up and had to pee as if I hadn't peed in 16 hours.  Only been three hours since last movement.  It's just after 5 am now.  Checked sugar four times in different fingers within twenty minutes with the following numbers 364, 351, 372, 366. Diagnosed this year.  Typed on phone in case I can't attach flair.</t>
        </is>
      </c>
      <c r="D875" t="n">
        <v>2</v>
      </c>
      <c r="E875" t="n">
        <v>30</v>
      </c>
      <c r="F875">
        <f>HYPERLINK("https://www.reddit.com/r/diabetes/comments/340fno/type_2_and_cant_explain_these_numbers/")</f>
        <v/>
      </c>
      <c r="G875" t="inlineStr">
        <is>
          <t>2015-04-27 02:04:37</t>
        </is>
      </c>
      <c r="H875" t="inlineStr">
        <is>
          <t>Type 2</t>
        </is>
      </c>
    </row>
    <row r="876">
      <c r="A876" t="inlineStr">
        <is>
          <t>342gah</t>
        </is>
      </c>
      <c r="B876" t="inlineStr">
        <is>
          <t>Birth control pill for type one women?</t>
        </is>
      </c>
      <c r="C876" t="inlineStr">
        <is>
          <t>So I plan to start taking the pill soon. I'm 20, and have been diabetic for 6 years now. I just would like to know if certain brands of oral contraceptives might have any negative affects especially for me? Is it better to take the mini-pill or the ones with both estrogen and progesterone? What are some brands that are better for diabetics? I already know all the benefits, but should I be looking out for things like weight gain or high blood sugars?</t>
        </is>
      </c>
      <c r="D876" t="n">
        <v>3</v>
      </c>
      <c r="E876" t="n">
        <v>9</v>
      </c>
      <c r="F876">
        <f>HYPERLINK("https://www.reddit.com/r/diabetes/comments/342gah/birth_control_pill_for_type_one_women/")</f>
        <v/>
      </c>
      <c r="G876" t="inlineStr">
        <is>
          <t>2015-04-27 12:56:13</t>
        </is>
      </c>
      <c r="H876" t="inlineStr">
        <is>
          <t>Type 1</t>
        </is>
      </c>
    </row>
    <row r="877">
      <c r="A877" t="inlineStr">
        <is>
          <t>342q5r</t>
        </is>
      </c>
      <c r="B877" t="inlineStr">
        <is>
          <t>Frequent lows</t>
        </is>
      </c>
      <c r="C877" t="inlineStr">
        <is>
          <t>Female/24 yo/ type 1 diagnosed nov 2014
Hey guys! So at diagnosis my A1c was 9.8%. Got checked about 3 weeks ago and it was 5.7% which my doctor said was a little lower than he would like me to be but we would discuss it at my next appointment 
My insulin doses are:
13u Lantis at bedtime
4u humalog breakfast 
2u lunch 
3u dinner
1u brings me down about 50 and I am supposed to take of over 130 before bed. 
The past few weeks I've been having frequent lows. Two weeks ago in the middle of a pretty high carb Mexican dinner which I took 3 units for, I very suddenly felt like I was going to pass out and tested at 45.  I've gone low a few times really unexpectedly like shortly after a meal since then. 
Last night I felt completely fine and just happened to test again before bed (had a late dinner so didn't really feel I needed to) and was at 64 with no symptoms at all. Took a while to get back up. A few months ago I felt low at anything below 80 (I know it's normal when you're used to running high to feel low symptoms when not really low) but was concerned at the sudden onset of lows without warning lately and called my doctor. 
He said to cut my Lantis from 13u to 8u and see him in two weeks to talk about why my body may be pumping out more insulin. I know I'm still in honeymoon but I'm really confused and freaked out that I'm hypo unaware or something. I may be overreacting but could use some insight if anyone experienced this so that I don't worry for the next few weeks. 
Thanks!</t>
        </is>
      </c>
      <c r="D877" t="n">
        <v>5</v>
      </c>
      <c r="E877" t="n">
        <v>6</v>
      </c>
      <c r="F877">
        <f>HYPERLINK("https://www.reddit.com/r/diabetes/comments/342q5r/frequent_lows/")</f>
        <v/>
      </c>
      <c r="G877" t="inlineStr">
        <is>
          <t>2015-04-27 14:07:09</t>
        </is>
      </c>
      <c r="H877" t="inlineStr">
        <is>
          <t>Type 1</t>
        </is>
      </c>
    </row>
    <row r="878">
      <c r="A878" t="inlineStr">
        <is>
          <t>342z2c</t>
        </is>
      </c>
      <c r="B878" t="inlineStr">
        <is>
          <t>Just a quick rant while I wait....</t>
        </is>
      </c>
      <c r="C878" t="inlineStr">
        <is>
          <t>That time when you check your blood sugar before leaving for the grocery store and it's at 180.....then again when you're leaving the grocery store but this time you have managed to plummet down to 68 and are stuck waiting (with frozen groceries, rapidly unfreezing)  for the juice to start working before you can drive anywhere... And you retest just in case it was a fluke and it tells you 7 points LOWER. Sigh. Guess it's time to end the Dexcom break....how did I ever live life before a CGM?? It's frustrating to have become so dependent on a piece of tech.</t>
        </is>
      </c>
      <c r="D878" t="n">
        <v>6</v>
      </c>
      <c r="E878" t="n">
        <v>16</v>
      </c>
      <c r="F878">
        <f>HYPERLINK("https://www.reddit.com/r/diabetes/comments/342z2c/just_a_quick_rant_while_i_wait/")</f>
        <v/>
      </c>
      <c r="G878" t="inlineStr">
        <is>
          <t>2015-04-27 15:09:49</t>
        </is>
      </c>
      <c r="H878" t="inlineStr">
        <is>
          <t>Type 1</t>
        </is>
      </c>
    </row>
    <row r="879">
      <c r="A879" t="inlineStr">
        <is>
          <t>343j06</t>
        </is>
      </c>
      <c r="B879" t="inlineStr">
        <is>
          <t>Tips for getting back on track!</t>
        </is>
      </c>
      <c r="C879" t="inlineStr">
        <is>
          <t xml:space="preserve">As I mentioned yesterday - I cheated on keto! first real cheat in YEARS. I'd like to start fresh and strict! My first time around i started out super strict and loved it - over time i let the sneaky carbs (veggies, dark choc, nuts) wiggle their way in. The plan is to wake up tomorrow all new! Any tips? I think this time around i am going to cut down on some stuff - chewing gum of all things seems to stall and bloat me. Crazy! </t>
        </is>
      </c>
      <c r="D879" t="n">
        <v>3</v>
      </c>
      <c r="E879" t="n">
        <v>3</v>
      </c>
      <c r="F879">
        <f>HYPERLINK("https://www.reddit.com/r/diabetes/comments/343j06/tips_for_getting_back_on_track/")</f>
        <v/>
      </c>
      <c r="G879" t="inlineStr">
        <is>
          <t>2015-04-27 17:43:31</t>
        </is>
      </c>
      <c r="H879" t="inlineStr">
        <is>
          <t>Type 1</t>
        </is>
      </c>
    </row>
    <row r="880">
      <c r="A880" t="inlineStr">
        <is>
          <t>343nff</t>
        </is>
      </c>
      <c r="B880" t="inlineStr">
        <is>
          <t>Displaying diabetic symptoms, and I'm a little scared</t>
        </is>
      </c>
      <c r="C880" t="inlineStr">
        <is>
          <t>Reddit is fast becoming the place on the internet where I go to lookup information. Whether it's a product I'm looking at buying, world news, whatever, I find Reddit really useful. Today it's a place where I blow off some steam, and put some of my thoughts and worries down on paper (or rather, internet paper).
I've had a weird few weeks. My body hasn't been itself - I've been thirsty 24/7, I'm hungry all the time, I wake up four or five times a night to pee, I've been plagued with INSANE fatigue, I've lost around 7 kilos in the past three weeks and I've got some injuries that just won't go away and are getting really annoying...I know now that all of these symptoms point to a diabetes diagnosis, no thanks to my mother who told me I should look into into it after noticing how skinny I've become. Now that I've done some reading on the disease, I'm coming to the realisation that it's something I might have to accept as reality. 
I'm in my early twenties, I eat really well, and I'm a full time, high performance athlete aiming to compete at the 2018 Olympic Games. Because of this, diabetes has never really crossed my mind in any regard. I was even excited that I was peeing all the time because I thought it just meant I was super hydrated! Woohoo! 
Because these past few weeks have been the only rest from training I have in the whole year, I was writing off my symptoms as weird phenomena that a lot of athletes seem to experience when completely backing off from our quite exhausting routine. However, as my symptoms persist, and since my mum scared me into coming to this subreddit to do some research, I'm slowly convincing myself that I'm diabetic.
I know it sounds like I'm jumping to conclusions a little bit, so I should say that I've got a doctor's appointment scheduled in a couple of days time to address all of this. One of the reasons I'm posting here is because I don't want to talk to my friends and girlfriend about it until I know whether or not I actually suffer from diabetes. 
I'm not posting here to accomplish anything. Like I said, I just feel a need for somewhere I can dump all the thoughts sloshing around in my brain...so thanks r/diabetes - this seems like a nice place :)
**Update** Looks like I'm a part of the club! Had a long, surreal day. Thanks for the help everyone</t>
        </is>
      </c>
      <c r="D880" t="n">
        <v>1</v>
      </c>
      <c r="E880" t="n">
        <v>8</v>
      </c>
      <c r="F880">
        <f>HYPERLINK("https://www.reddit.com/r/diabetes/comments/343nff/displaying_diabetic_symptoms_and_im_a_little/")</f>
        <v/>
      </c>
      <c r="G880" t="inlineStr">
        <is>
          <t>2015-04-27 18:18:15</t>
        </is>
      </c>
      <c r="H880" t="inlineStr">
        <is>
          <t>Type 1</t>
        </is>
      </c>
    </row>
    <row r="881">
      <c r="A881" t="inlineStr">
        <is>
          <t>3450wx</t>
        </is>
      </c>
      <c r="B881" t="inlineStr">
        <is>
          <t>Feeling a bit silly posting this, but, numb toes anyone?</t>
        </is>
      </c>
      <c r="C881" t="inlineStr">
        <is>
          <t>I think I'm overly concerned about potential complications these days - not to mention I live in a part of the world where it is just not possible to get the same access to the care I could expect when I lived in the West, so I'm sure that's contributing to my paranoia as well. 
So, while I feel a little silly posting this, I'd just like to get any feedback about whether you think this is something I should be concerned about, if at all. 
Over a week ago, I was wearing thong sandals for about 4 days in a row. On the 4th day, I noticed that my second tow was going numb, and I switched to different shoes. It's about a week and a half later and my toe still hasn't got the feeling back. 
So, /r/diabetes, do you think this is something diabetes related? Is there any reason at all to be concerned?
Thanks :)</t>
        </is>
      </c>
      <c r="D881" t="n">
        <v>6</v>
      </c>
      <c r="E881" t="n">
        <v>6</v>
      </c>
      <c r="F881">
        <f>HYPERLINK("https://www.reddit.com/r/diabetes/comments/3450wx/feeling_a_bit_silly_posting_this_but_numb_toes/")</f>
        <v/>
      </c>
      <c r="G881" t="inlineStr">
        <is>
          <t>2015-04-28 03:31:42</t>
        </is>
      </c>
      <c r="H881" t="inlineStr">
        <is>
          <t>Type 1</t>
        </is>
      </c>
    </row>
    <row r="882">
      <c r="A882" t="inlineStr">
        <is>
          <t>348b99</t>
        </is>
      </c>
      <c r="B882" t="inlineStr">
        <is>
          <t>I don't know what I'm doing wrong.</t>
        </is>
      </c>
      <c r="C882" t="inlineStr">
        <is>
          <t>I'm 26 and was diagnosed with Type 1 in September. I lost a little over 20 pounds before I went to the doctor and was diagnosed. The problem is that I'm 6'2" and weigh 155lbs now and it makes me uncomfortable. I haven't been able to gain any of the weight back since then. Right now I'm taking 16 units of Lantus every night and correctional doses of Novolog. My dietician says I should be eating about 4-6 carb choices per meal, but anything over 2-3 causes my sugar to go up over 250. And if I go to bed with a sugar under 200 I wake up in the 60s. 
I feel like I wasn't educated very well on how to manage my sugar aside from being told to eat certain amounts of carb choices and taking corrective doses before meals and would like some insight on how people generally manage their blood sugars.</t>
        </is>
      </c>
      <c r="D882" t="n">
        <v>11</v>
      </c>
      <c r="E882" t="n">
        <v>17</v>
      </c>
      <c r="F882">
        <f>HYPERLINK("https://www.reddit.com/r/diabetes/comments/348b99/i_dont_know_what_im_doing_wrong/")</f>
        <v/>
      </c>
      <c r="G882" t="inlineStr">
        <is>
          <t>2015-04-28 19:23:33</t>
        </is>
      </c>
      <c r="H882" t="inlineStr">
        <is>
          <t>Type 1</t>
        </is>
      </c>
    </row>
    <row r="883">
      <c r="A883" t="inlineStr">
        <is>
          <t>348x5e</t>
        </is>
      </c>
      <c r="B883" t="inlineStr">
        <is>
          <t>T1 -Neuropathy strangeness, (opinion?)</t>
        </is>
      </c>
      <c r="C883" t="inlineStr">
        <is>
          <t>So my BG"s have been really bad forever, only the last few months have I gotten them under control, (&amp;lt;130), and I've noticed, the better my BG's are, the more my body hurts when I wake up in the morning.  My doc said that's normal, (whatever that means).  Also I've noticed a lot of lower leg/foot tingling/strangeness where it feels like something crawling over or in-between my toes, but nothing is ever there.  I assume it's Neuropathy and I know I get the occasional odd foot pains from it already.  
I'm just wondering if it's 'normal' to feel these irritating tingles all of the sudden now that my BG's are lower, (nerves working better and I'm noticing the damage I couldn't before when it was high?), or what?  Thanks for any advice/opinions!</t>
        </is>
      </c>
      <c r="D883" t="n">
        <v>4</v>
      </c>
      <c r="E883" t="n">
        <v>9</v>
      </c>
      <c r="F883">
        <f>HYPERLINK("https://www.reddit.com/r/diabetes/comments/348x5e/t1_neuropathy_strangeness_opinion/")</f>
        <v/>
      </c>
      <c r="G883" t="inlineStr">
        <is>
          <t>2015-04-28 23:01:40</t>
        </is>
      </c>
      <c r="H883" t="inlineStr">
        <is>
          <t>Type 1</t>
        </is>
      </c>
    </row>
    <row r="884">
      <c r="A884" t="inlineStr">
        <is>
          <t>349mew</t>
        </is>
      </c>
      <c r="B884" t="inlineStr">
        <is>
          <t>Guys is your diabetes week managed? i need your help.</t>
        </is>
      </c>
      <c r="C884" t="inlineStr">
        <is>
          <t xml:space="preserve">*GUYS IS YOUR DIABETES WELL MANAGED?*
I am Type 1 Diabetic diagnosed at age 5 and am now 21. I was also told at 11 that I am coeliac. (gluten free hipster life) 
I remember when I was in primary school my HBA1C was in good range my levels were normal and well controlled.
however since growing up and being given more control over my own management I never really managed to take good care of myself and now at 21 I'm freaking out and don't know what to do.
I am showing signs of early eye damage and high cholestrol. My current HBA1C is 9.3 (down from 11)
I am novorapid and lantus.
I really have never experience what being in control of this disease is like enough to continue that behaviour. please inform me in great detail if you are a healthy diabetic in control of your body!
PLEASE </t>
        </is>
      </c>
      <c r="D884" t="n">
        <v>7</v>
      </c>
      <c r="E884" t="n">
        <v>11</v>
      </c>
      <c r="F884">
        <f>HYPERLINK("https://www.reddit.com/r/diabetes/comments/349mew/guys_is_your_diabetes_week_managed_i_need_your/")</f>
        <v/>
      </c>
      <c r="G884" t="inlineStr">
        <is>
          <t>2015-04-29 04:59:30</t>
        </is>
      </c>
      <c r="H884" t="inlineStr">
        <is>
          <t>Type 1</t>
        </is>
      </c>
    </row>
    <row r="885">
      <c r="A885" t="inlineStr">
        <is>
          <t>34b848</t>
        </is>
      </c>
      <c r="B885" t="inlineStr">
        <is>
          <t>Honestly a little ashamed to even be asking this; how much drinking is "too much"?</t>
        </is>
      </c>
      <c r="C885" t="inlineStr">
        <is>
          <t xml:space="preserve">Sup guys?
So, I'm a 23 year old.  This means my friends like drinking.  Full disclosure: I do too. *gasp!*.  I'm kind of worried I might be...overdoing it.
So, how much is "too much" as a diabetic?  I realize this is kind of a subjective question but your input is definitely appreciated.
Typically during the week: Maybe 2 or 3 nights where I'll have a few drinks either with dinner/later on while watching TV.      
On the weekend there's usually at least one night where I go and *party*.  I.e. go out with the intent of getting drunk.  I used to drink a lot of beer, but recently I've switched to gin &amp;amp; sodas.  No carbs/sugars to deal with.
So friends, what do you think?  Do I need to cut back?
Again, any sort of input is really appreciated.  Not really anywhere else I can have a frank discussion about this stuff without being judged. </t>
        </is>
      </c>
      <c r="D885" t="n">
        <v>3</v>
      </c>
      <c r="E885" t="n">
        <v>21</v>
      </c>
      <c r="F885">
        <f>HYPERLINK("https://www.reddit.com/r/diabetes/comments/34b848/honestly_a_little_ashamed_to_even_be_asking_this/")</f>
        <v/>
      </c>
      <c r="G885" t="inlineStr">
        <is>
          <t>2015-04-29 12:36:50</t>
        </is>
      </c>
      <c r="H885" t="inlineStr">
        <is>
          <t>Type 1</t>
        </is>
      </c>
    </row>
    <row r="886">
      <c r="A886" t="inlineStr">
        <is>
          <t>34bti4</t>
        </is>
      </c>
      <c r="B886" t="inlineStr">
        <is>
          <t>Recently Diagnosed Lada. Thanks Reddit!</t>
        </is>
      </c>
      <c r="C886" t="inlineStr">
        <is>
          <t xml:space="preserve">I have been lurching around here since my diagnosis in early February. No reason to go into my origin story, pretty typical 32 year old male that won the genetic lottery. its been hard. My pancreas is still doing something since only metformin and low carbing it has kept my blood around 90-110 for a solid 2 months. I was at 380 when diagnosed. 
I am not really sure why I am posting this but I wanted everyone to know that you guys are an inspiration. For someone new like myself seeing so many other people having the same struggles has been amazing. I still can't deal with it some days and end up drowning my sorrow in a bowl of captain crunch only to see my number jump to 180 then I have to deal with that guilt. 
anyways.. I will probably post more around here and figured I would say hi. 
thanks again everyone!
</t>
        </is>
      </c>
      <c r="D886" t="n">
        <v>4</v>
      </c>
      <c r="E886" t="n">
        <v>3</v>
      </c>
      <c r="F886">
        <f>HYPERLINK("https://www.reddit.com/r/diabetes/comments/34bti4/recently_diagnosed_lada_thanks_reddit/")</f>
        <v/>
      </c>
      <c r="G886" t="inlineStr">
        <is>
          <t>2015-04-29 15:08:48</t>
        </is>
      </c>
      <c r="H886" t="inlineStr">
        <is>
          <t>Type 1.5/LADA</t>
        </is>
      </c>
    </row>
    <row r="887">
      <c r="A887" t="inlineStr">
        <is>
          <t>34cr5c</t>
        </is>
      </c>
      <c r="B887" t="inlineStr">
        <is>
          <t>Have "mild" type 1 diabetes. Curious how different it is from the average diabetic.</t>
        </is>
      </c>
      <c r="C887" t="inlineStr">
        <is>
          <t>I was diagnosed with Type 1 at about 14, just before 8th grade ended.
Post-diagnosis my doctors kept mentioning it would get harder to control when the "honeymoon period" ends. (where my pancreas is still producing insulin). This never did happen, in fact my pancreas still produces insulin to this day.
I took blood tests to see if I might have MODY, but those came back with nothing. Either way I would have to treat it the same way. My a1c is always under 7.0, last time it was 5.9.
My Diet:
High carb with lots of pasta and processed foods.
Breakfast is cereal with 2% milk (63 carbs) 
Lunch is usually pizza rolls and milk (84 carbs)
Dinner approaches 150 carbs (52 of that is often strawberry milk).
Snacks are usually crackers or cookies (around 50 carbs)
I drink diet soda except for at meals, (where I drink milk). 3 cans a day normally.
I rarely have problems relating to sugars, I've lurked and see a lot of people promoting low-carb (or Keto) diets while I get along fine with a diet of around 250 carbs. I'm curious how much different I have it.</t>
        </is>
      </c>
      <c r="D887" t="n">
        <v>1</v>
      </c>
      <c r="E887" t="n">
        <v>14</v>
      </c>
      <c r="F887">
        <f>HYPERLINK("https://www.reddit.com/r/diabetes/comments/34cr5c/have_mild_type_1_diabetes_curious_how_different/")</f>
        <v/>
      </c>
      <c r="G887" t="inlineStr">
        <is>
          <t>2015-04-29 19:38:03</t>
        </is>
      </c>
      <c r="H887" t="inlineStr">
        <is>
          <t>Type 1</t>
        </is>
      </c>
    </row>
    <row r="888">
      <c r="A888" t="inlineStr">
        <is>
          <t>34hco1</t>
        </is>
      </c>
      <c r="B888" t="inlineStr">
        <is>
          <t>Type 1 diabetic - life would be miserable if I couldn't drink diet soft drink</t>
        </is>
      </c>
      <c r="C888" t="inlineStr">
        <is>
          <t>http://www.lifehacker.com.au/2015/05/how-safe-are-artificial-sweeteners-really/</t>
        </is>
      </c>
      <c r="D888" t="n">
        <v>23</v>
      </c>
      <c r="E888" t="n">
        <v>25</v>
      </c>
      <c r="F888">
        <f>HYPERLINK("https://www.reddit.com/r/diabetes/comments/34hco1/type_1_diabetic_life_would_be_miserable_if_i/")</f>
        <v/>
      </c>
      <c r="G888" t="inlineStr">
        <is>
          <t>2015-04-30 20:54:28</t>
        </is>
      </c>
      <c r="H888" t="inlineStr">
        <is>
          <t>Type 1</t>
        </is>
      </c>
    </row>
    <row r="889">
      <c r="A889" t="inlineStr">
        <is>
          <t>34htbt</t>
        </is>
      </c>
      <c r="B889" t="inlineStr">
        <is>
          <t>Newly Diagnosed Type 1</t>
        </is>
      </c>
      <c r="C889" t="inlineStr">
        <is>
          <t xml:space="preserve">Hey guys! This is my first official reddit post. :) I just came here to find out how people with my condition deal with the daily ups and downs. I can be difficult to explain how it effects you to someone that doesnt know what its like to experience fluctuating BG.
I have been having a really hard time recently dealing with feeling completly over whelmed and stressed out. I feel like this is going to take my life even if I follow all the rules. 
One of my biggest problems with it is exercise. I am terrified of over exerting myself and getting low alone. So I was just wondering how people who are really active manage it
Edit: I guess is should probably share why im scared. About two months after being diagnosed i went ice skating. At the start i was always worried about keep my BG below 200. I didn't realize that moving around that fast was going to make me drop. So as i was skating I felt the low and there was nothing around as far as sugar because i wasn't used to having all my supplies on me. I started to see black spots and lost complete control of my emotions. My friend was standing next to ready to call 911 if I passed out while my girl friend ran to the store. Embarrassingly that was the last time I really used a lot of energy and that was on new years.
Little background: I was diagnosed in october of 2014 at age 27
my uncle has type one and is in a wheelchair.
</t>
        </is>
      </c>
      <c r="D889" t="n">
        <v>8</v>
      </c>
      <c r="E889" t="n">
        <v>15</v>
      </c>
      <c r="F889">
        <f>HYPERLINK("https://www.reddit.com/r/diabetes/comments/34htbt/newly_diagnosed_type_1/")</f>
        <v/>
      </c>
      <c r="G889" t="inlineStr">
        <is>
          <t>2015-05-01 00:21:45</t>
        </is>
      </c>
      <c r="H889" t="inlineStr">
        <is>
          <t>Type 1</t>
        </is>
      </c>
    </row>
    <row r="890">
      <c r="A890" t="inlineStr">
        <is>
          <t>34jlr5</t>
        </is>
      </c>
      <c r="B890" t="inlineStr">
        <is>
          <t>What is your CGM High Alarm setting?</t>
        </is>
      </c>
      <c r="C890" t="inlineStr">
        <is>
          <t>What do you have your high alarm set to on your CGM? I started Dexcom a month ago and my doctor told me to set it at 220. Over the past month I got my BG levels under control and now have it set at 160. By transitioning to low carb diet I'm planning on decreasing down to 140 in the next 2 month. As a side note, if I eat a meal that has more than 60g of carbs my BG usually spikes to 220-270. By eating low carb I max out around 140 now :)</t>
        </is>
      </c>
      <c r="D890" t="n">
        <v>2</v>
      </c>
      <c r="E890" t="n">
        <v>20</v>
      </c>
      <c r="F890">
        <f>HYPERLINK("https://www.reddit.com/r/diabetes/comments/34jlr5/what_is_your_cgm_high_alarm_setting/")</f>
        <v/>
      </c>
      <c r="G890" t="inlineStr">
        <is>
          <t>2015-05-01 11:32:28</t>
        </is>
      </c>
      <c r="H890" t="inlineStr">
        <is>
          <t>Type 1</t>
        </is>
      </c>
    </row>
    <row r="891">
      <c r="A891" t="inlineStr">
        <is>
          <t>34lhis</t>
        </is>
      </c>
      <c r="B891" t="inlineStr">
        <is>
          <t>Dexcom Users. What's your average blood sugar according to the Dexcom software when you have an A1C of 5.9 or below?</t>
        </is>
      </c>
      <c r="C891" t="inlineStr">
        <is>
          <t>As in... I got a 5.5 A1C when my month average on the Dexcom was ___. I know you can calculate this, but I'm talking about specifically with your Dexcom use experience. I've noticed the Dexcom tells me I'm a little lower than I actually am. Probably so it alarms earlier than it needs to for kids. Nothing that can't be easily adjusted for. I'm just curious if anyone knows what the Dexcom software average was at any time they hit 5.9 or below on an A1C test so I have something to shoot for as far as average blood sugar according to the Dexcom software. Not looking for anything scientifically relevant. Just a fart around goal to shoot for.</t>
        </is>
      </c>
      <c r="D891" t="n">
        <v>2</v>
      </c>
      <c r="E891" t="n">
        <v>0</v>
      </c>
      <c r="F891">
        <f>HYPERLINK("https://www.reddit.com/r/diabetes/comments/34lhis/dexcom_users_whats_your_average_blood_sugar/")</f>
        <v/>
      </c>
      <c r="G891" t="inlineStr">
        <is>
          <t>2015-05-01 22:19:44</t>
        </is>
      </c>
      <c r="H891" t="inlineStr">
        <is>
          <t>Type 1</t>
        </is>
      </c>
    </row>
    <row r="892">
      <c r="A892" t="inlineStr">
        <is>
          <t>34lny5</t>
        </is>
      </c>
      <c r="B892" t="inlineStr">
        <is>
          <t>Diagnosed in December, didn't do anything about it until March 25. Since then...</t>
        </is>
      </c>
      <c r="C892" t="inlineStr">
        <is>
          <t>I'm a little at the end of my rope.  Here's my story and I'll try to keep it short.
I used to have a successful business.  The Great Recession took care of that and wiped out my savings.  Went from making over 100k per year to literally nothing.  Got depressed and started gaining weight.
In spite of being chubby and struggling with life, I met a great girl in 2009.  She committed suicide on May 3, 2011.  Then I didn't give a fuck anymore.  
Between 2011 and 2014 I went from chubby to just plain fat.
In November of last year I started to get boils on my inner thigh.  I'd had them before, even when thin but I didn't know they were boils because they never came to a head and drained.  That one in November was different.  It was huge (a carbunkle I guess).  When it finally went away I kept getting smaller boils.
In late December I was admitted to the hospital for something unrelated.  I'd read that boils can be caused by diabetes.  Poor immune system.  Makes sense.  In the ER I got a blood panel and requested that they let me know my results for diabetes.  I think the a1C was 10.5 or something like that.  
In the hospital I couldn't eat or drink anything.  I barely ate or drank for a couple days before going to the hospital because I was too sick.  They treated me with insulin and I didn't know what the numbers meant at that time...I don't remember what they were like.  But obviously I wasn't eating anything and they were still giving me insulin so I guess things were bad.
Got out of the hospital and had a prescription to get a meter and metformin.  Was told to see my regular doctor but I didn't.  At the time I had no boils and was so happy to be out of the hospital I just didn't want to deal with anything medical.
So at first I didn't do anything about the diagnosis.  I started getting the boils and was even more depressed because I couldn't even move around.  Mad at the world.  Angry with myself above all.
Finally I go to the doctor in March.  The way he looked at me, I finally "got it".  I needed to do something about the diabetes.  And he diagnosed the boils as MRSA and gave me a prescription for an antibiotic that made me feel terrible for 10 days.  Three days in I got another boil even on the super strong antibiotics.  And after the course was over, more boils.
After recovering my strength, I decided to start metformin and change my diet.  That was March 25.
Since that day I brought my blood sugar under control.  My iPhone app says my A1C is 5.8, but of course it only has a little over a month of data.  These days I'm usually around 100.  I've sacrificed a lot to get here, but I feel better.
But today, out of the blue, a boil returns.  Same place.  The next step in my fight against diabetes was to start an exercise program, but there's not much I can do with this boil where it is.  Every move I make it hurts like all hell, and the more I move the slower they are to heal after they drain.  Constant friction.  I also cannot dress the wounds because no matter how I try to do it, the bandages or dressings or whatever I use just come off.  Painfully, too.  The skin moves around and stretches in different directions or something.
Anyway I had nearly constant boils in the same spot for months.  I get my blood sugar under control and they disappear.  The skin wasn't even raw anymore.  It had healed completely.  I don't understand what happened but I cannot live like this.  Two perfectly good legs, can't walk.  Boils that can start draining virulent, toxic shit out of them at any time, necessitating an immediate change in clothing and a good wash of the area over and over until the draining stops.
If the boil were caused by MRSA it seems like the Bactrin would have at least put a dent in it.  Didn't slow them down at all.  Only getting my sugar down has helped.  But now that apparently doesn't work.  What am I going to do?  I've lost two jobs since November because of not being able to move around.
I forgot to mention that I did see my doctor a couple weeks ago.  Lab A1C was down to 7.5 even though I hadn't been working on it that long.  I showed him my blood sugar tests and he agreed that if I kept going I'd be in good shape.  And he agreed the boils going away was due to my blood sugar going down.  He didn't seem surprised by that at all.  Due to a problem between his office and my insurance company I can't see him again until next year when I can change insurance.  I guess I'll have to find a new doctor and my plan sucks.  There are hardly any doctors on it even though I live in huge metro area.
Maybe this boil that's forming right now will go away without the draining and other bullshit.  Maybe it's a freak, one off occurrence, but I don't think so because it's in the same exact location as all the others.
What's the point in treating my diabetes if I can't hold a job and can't enjoy life like a normal person?  I cannot describe how painful and disgusting this problem is.  It even smells bad when they drain.  And it's right next to my balls and penis.  If these boils occurred anywhere else on my body I could deal with, but this is a life ruining thing.
So...
Has anyone else had a similar experience?  Any advice before I blow my head off?
Edit - If I would have made a post in this forum this morning, it would be a success story.  Completely different.  I was so proud of myself for a change.  And feeling good? Wow.  Better than I've felt in years just from eating better and quitting the sodas.  You should see the graph of my blood sugar readings since March 25.  My life was getting better in spite of having the shits and headaches all the time (metformin).  Blood sugar 2 hours after eating dinner earlier tonight?  108.  But I guess it hasn't solved the main problem.  I'm more than frustrated.  Frustrated doesn't describe it.</t>
        </is>
      </c>
      <c r="D892" t="n">
        <v>3</v>
      </c>
      <c r="E892" t="n">
        <v>15</v>
      </c>
      <c r="F892">
        <f>HYPERLINK("https://www.reddit.com/r/diabetes/comments/34lny5/diagnosed_in_december_didnt_do_anything_about_it/")</f>
        <v/>
      </c>
      <c r="G892" t="inlineStr">
        <is>
          <t>2015-05-01 23:52:04</t>
        </is>
      </c>
      <c r="H892" t="inlineStr">
        <is>
          <t>Type 2</t>
        </is>
      </c>
    </row>
    <row r="893">
      <c r="A893" t="inlineStr">
        <is>
          <t>34m4oz</t>
        </is>
      </c>
      <c r="B893" t="inlineStr">
        <is>
          <t>6 yr old son diagnosed with Type 1 last Monday, looking for resources on food!</t>
        </is>
      </c>
      <c r="C893" t="inlineStr">
        <is>
          <t>I'm trying to absorb as much information as I can but it's pretty overwhelming. Right now I'm curious about food. My son has miraculously turned into a great eater (finishes everything) with an insatiable appetite. I don't know if it's because we let him help plan his meals or because it's more scheduled and less snacking but it's pretty amazing! I hope it's not just a honeymoon phase thing.
Anyway, I'm wondering if there are certain types of food he should avoid or certain foods he should seek out. It seems like he can still eat whatever he wants as long as we cover his carbs. But really, we should be following normal good eating habits like limiting saturated fats and too much sugar, right? Is there anything else that a kid with Type 1 should be eating that I might not be thinking of?</t>
        </is>
      </c>
      <c r="D893" t="n">
        <v>18</v>
      </c>
      <c r="E893" t="n">
        <v>33</v>
      </c>
      <c r="F893">
        <f>HYPERLINK("https://www.reddit.com/r/diabetes/comments/34m4oz/6_yr_old_son_diagnosed_with_type_1_last_monday/")</f>
        <v/>
      </c>
      <c r="G893" t="inlineStr">
        <is>
          <t>2015-05-02 04:38:59</t>
        </is>
      </c>
      <c r="H893" t="inlineStr">
        <is>
          <t>Type 1</t>
        </is>
      </c>
    </row>
    <row r="894">
      <c r="A894" t="inlineStr">
        <is>
          <t>34mb1t</t>
        </is>
      </c>
      <c r="B894" t="inlineStr">
        <is>
          <t>I just shot up 'Intradermal'. Help</t>
        </is>
      </c>
      <c r="C894" t="inlineStr">
        <is>
          <t>So realized I shot up my basal insulin into my skin, instead of fat.. Little raised area has me worried. Will this affect the way my system handles my dose?</t>
        </is>
      </c>
      <c r="D894" t="n">
        <v>7</v>
      </c>
      <c r="E894" t="n">
        <v>6</v>
      </c>
      <c r="F894">
        <f>HYPERLINK("https://www.reddit.com/r/diabetes/comments/34mb1t/i_just_shot_up_intradermal_help/")</f>
        <v/>
      </c>
      <c r="G894" t="inlineStr">
        <is>
          <t>2015-05-02 06:09:00</t>
        </is>
      </c>
      <c r="H894" t="inlineStr">
        <is>
          <t>Type 1.5/LADA</t>
        </is>
      </c>
    </row>
    <row r="895">
      <c r="A895" t="inlineStr">
        <is>
          <t>34oag4</t>
        </is>
      </c>
      <c r="B895" t="inlineStr">
        <is>
          <t>Need a quick answer...do I bolus for beer???</t>
        </is>
      </c>
      <c r="C895" t="inlineStr">
        <is>
          <t xml:space="preserve">I typically drink liquor but have found myself out at a music festival and have had a beer.....do I bolus? Or no? Usually I don't for liquor
Edit: Thanks for all the input! Had dinner first then stopped at 2 beers, bolused for 1 of them (15g bolus) and had some funnel cake (definitely bolused conservatively for that) so lows weren't a problem. 
I would have added more info about what was going on except I was a little pre occupied! I'm not a stranger to alcohol in general, but I usually stick to liquor and diet sodas, and I always make sure I'm eating at the same time. My lows usually don't show up until the next morning or afternoon. I'll definitely keep some of this in mind for next time! </t>
        </is>
      </c>
      <c r="D895" t="n">
        <v>13</v>
      </c>
      <c r="E895" t="n">
        <v>29</v>
      </c>
      <c r="F895">
        <f>HYPERLINK("https://www.reddit.com/r/diabetes/comments/34oag4/need_a_quick_answerdo_i_bolus_for_beer/")</f>
        <v/>
      </c>
      <c r="G895" t="inlineStr">
        <is>
          <t>2015-05-02 17:24:55</t>
        </is>
      </c>
      <c r="H895" t="inlineStr">
        <is>
          <t>Type 1</t>
        </is>
      </c>
    </row>
    <row r="896">
      <c r="A896" t="inlineStr">
        <is>
          <t>34pt37</t>
        </is>
      </c>
      <c r="B896" t="inlineStr">
        <is>
          <t>Anyone have experience of BS levels creeping up like this? (T2)</t>
        </is>
      </c>
      <c r="C896" t="inlineStr">
        <is>
          <t>Normally my fasting BS level is between 5.2 and 5.4 and first thing in the morning its between 5.8 and 6.1
But over the last couple of days it has crept up to a level higher than I've had since just after I was diagnosed (about 18 months now)
Yesterday it was 6.1 and 6.2 before meals and 6.7 this morning, 6.2 before I had lunch. So it isnt just a one off spike after a bad meal.
I havent changed my diet, and washing my hands before each test, etc etc. I dont think I feel ill.
_
I have to admit I get very anxious about being diabetic and I find being ill in general very stressful. I understand that BS of 6-7 isn't "dangerous" but I'm just really worried that it's starting to creep up for no reason I can see.
Does anyone have any experience of it or know what sort of things could cause an increase like this?</t>
        </is>
      </c>
      <c r="D896" t="n">
        <v>3</v>
      </c>
      <c r="E896" t="n">
        <v>2</v>
      </c>
      <c r="F896">
        <f>HYPERLINK("https://www.reddit.com/r/diabetes/comments/34pt37/anyone_have_experience_of_bs_levels_creeping_up/")</f>
        <v/>
      </c>
      <c r="G896" t="inlineStr">
        <is>
          <t>2015-05-03 06:49:57</t>
        </is>
      </c>
      <c r="H896" t="inlineStr">
        <is>
          <t>Type 2</t>
        </is>
      </c>
    </row>
    <row r="897">
      <c r="A897" t="inlineStr">
        <is>
          <t>34q3vs</t>
        </is>
      </c>
      <c r="B897" t="inlineStr">
        <is>
          <t>A1C after four months of strict keto post-diagnosis</t>
        </is>
      </c>
      <c r="C897" t="inlineStr">
        <is>
          <t>I received my most recent a1c this week from my GP and am thrilled with the results.
I was diagnosed as a T2 diabetic Dec 14 with a A1C of 8.2% (not good). I promptly went Keto and have been keeping my blood glucose levels well within good norms for non-diabetics since about a week in. I've also did dropped sixty pounds and been exceeding daily.
I had a A1C last month and just got the results this week showing 5.5%.
Also I am off my blood pressure meds and my cholesterol/lipid profiles are all great. And the mild tingling on my feet and hands are long gone.
I showed my GP my four month log of morning fasting, fasting and post-prand BG results, all well within healthy norms for non-diabetics except for some low 3's after excersising. His comment was as far as he was concerned, I was "cured". I'm not taking that as gospel and I don't want to eat a plate of pasta to see what my BG would do, but it feels pretty good.
I'm going to keep LCHF and maintain the workouts and BG monitoring, but being healthy feels great.
Thanks to this subreddit and r/keto for the support and info.</t>
        </is>
      </c>
      <c r="D897" t="n">
        <v>23</v>
      </c>
      <c r="E897" t="n">
        <v>29</v>
      </c>
      <c r="F897">
        <f>HYPERLINK("https://www.reddit.com/r/diabetes/comments/34q3vs/a1c_after_four_months_of_strict_keto_postdiagnosis/")</f>
        <v/>
      </c>
      <c r="G897" t="inlineStr">
        <is>
          <t>2015-05-03 08:42:21</t>
        </is>
      </c>
      <c r="H897" t="inlineStr">
        <is>
          <t>Type 2</t>
        </is>
      </c>
    </row>
    <row r="898">
      <c r="A898" t="inlineStr">
        <is>
          <t>34qboz</t>
        </is>
      </c>
      <c r="B898" t="inlineStr">
        <is>
          <t>Hypothetical: Could it be possible to retire and move to a Latin American/Caribbean country and live a comfortable life without the worrying about running out of supplies?</t>
        </is>
      </c>
      <c r="C898" t="inlineStr">
        <is>
          <t xml:space="preserve">This is all hypothetical but I want my fellow diabetic redditors opinion on this since y'all know better than anyone else:
Do you think if I saved up enough money and 401K (realistically 25-50K specifically allocated for diabetic supplies) and when I'm ready to retire would I be able to move to a Latin American/Caribbean country without returning to America? I know how scarce (not sure on expense) it is to obtain decent insulin in those countries, but could it be done without returning to the United States? I feel like if I attempted to retire somewhere tropical, diabetes will prevent me from living a comfortable life since I will have to worry about obtaining diabetic supplies every so often. Age of retirement, I'm not sure. This is all hypothetical, but if anyone has experience on this subject I would like to hear it. 
EDIT: terrible grammar in the title, I apologize. </t>
        </is>
      </c>
      <c r="D898" t="n">
        <v>17</v>
      </c>
      <c r="E898" t="n">
        <v>30</v>
      </c>
      <c r="F898">
        <f>HYPERLINK("https://www.reddit.com/r/diabetes/comments/34qboz/hypothetical_could_it_be_possible_to_retire_and/")</f>
        <v/>
      </c>
      <c r="G898" t="inlineStr">
        <is>
          <t>2015-05-03 09:52:46</t>
        </is>
      </c>
      <c r="H898" t="inlineStr">
        <is>
          <t>Type 1</t>
        </is>
      </c>
    </row>
    <row r="899">
      <c r="A899" t="inlineStr">
        <is>
          <t>34rsj3</t>
        </is>
      </c>
      <c r="B899" t="inlineStr">
        <is>
          <t>Need help with picking good infusion sites for my pump, running out of good ones!</t>
        </is>
      </c>
      <c r="C899" t="inlineStr">
        <is>
          <t xml:space="preserve">I have been on a pump for about 7 years now, and am currently using the Sure T infusion set with my pump (the one with the metal cannula). I am a tall thin guy, and pretty much used the hell out of my hips and flank area for locations because thats where all my fat is. When I do revert to my hips, it noticeably effects the absorption of insulin and hello high blood sugars. Can anyone suggest any other good locations for a guy with not a lot of body fat? 
Ive used my stomach before, but it itches like crazy and I end up itching it to the point where it comes off way to early. </t>
        </is>
      </c>
      <c r="D899" t="n">
        <v>3</v>
      </c>
      <c r="E899" t="n">
        <v>6</v>
      </c>
      <c r="F899">
        <f>HYPERLINK("https://www.reddit.com/r/diabetes/comments/34rsj3/need_help_with_picking_good_infusion_sites_for_my/")</f>
        <v/>
      </c>
      <c r="G899" t="inlineStr">
        <is>
          <t>2015-05-03 17:29:44</t>
        </is>
      </c>
      <c r="H899" t="inlineStr">
        <is>
          <t>Type 1</t>
        </is>
      </c>
    </row>
    <row r="900">
      <c r="A900" t="inlineStr">
        <is>
          <t>34ttcw</t>
        </is>
      </c>
      <c r="B900" t="inlineStr">
        <is>
          <t>Target recommendations</t>
        </is>
      </c>
      <c r="C900" t="inlineStr">
        <is>
          <t>So I searched for this but couldn't find anything; for those of you using insulin pumps, what do you set your target blood sugar at?  
I've got it set at 100 and I'm thinking of changing it to 90 or 95.  I've been having a lot of 'higher than I'd like' BG's and I'm thinking this might help a little.  Thanks!</t>
        </is>
      </c>
      <c r="D900" t="n">
        <v>3</v>
      </c>
      <c r="E900" t="n">
        <v>10</v>
      </c>
      <c r="F900">
        <f>HYPERLINK("https://www.reddit.com/r/diabetes/comments/34ttcw/target_recommendations/")</f>
        <v/>
      </c>
      <c r="G900" t="inlineStr">
        <is>
          <t>2015-05-04 07:39:14</t>
        </is>
      </c>
      <c r="H900" t="inlineStr">
        <is>
          <t>Type 1</t>
        </is>
      </c>
    </row>
    <row r="901">
      <c r="A901" t="inlineStr">
        <is>
          <t>34u2ii</t>
        </is>
      </c>
      <c r="B901" t="inlineStr">
        <is>
          <t>Diabetes and Chemo question</t>
        </is>
      </c>
      <c r="C901" t="inlineStr">
        <is>
          <t>So, I just found out that not only am I not cancer free - I'm not stage 1 anymore either.  There's a good chance that at the very least - chemo will be a big part of my life soon.  So my question is this - can anyone tell me of what they went through with chemo as a diabetic?  I'm type II, I guess that's my only good thing in all this...</t>
        </is>
      </c>
      <c r="D901" t="n">
        <v>10</v>
      </c>
      <c r="E901" t="n">
        <v>6</v>
      </c>
      <c r="F901">
        <f>HYPERLINK("https://www.reddit.com/r/diabetes/comments/34u2ii/diabetes_and_chemo_question/")</f>
        <v/>
      </c>
      <c r="G901" t="inlineStr">
        <is>
          <t>2015-05-04 08:51:14</t>
        </is>
      </c>
      <c r="H901" t="inlineStr">
        <is>
          <t>Type 2</t>
        </is>
      </c>
    </row>
    <row r="902">
      <c r="A902" t="inlineStr">
        <is>
          <t>34v3fn</t>
        </is>
      </c>
      <c r="B902" t="inlineStr">
        <is>
          <t>CGM and Insurance? Type 1</t>
        </is>
      </c>
      <c r="C902" t="inlineStr">
        <is>
          <t xml:space="preserve">I'm an occasional peruser of /r/diabetes and been a diabetic for almost 14 year and on a pump for 12. I've been looking down quite a few of the posts and it seems like there's quite a few people here who are on CGM technology. I'm just curious as to how you all were able to get your health insurance to cover CGM and all the supplies? I've been battling with my insurance company for over a year now to get me a new insulin pump and even at that they will only cover %50 of it (of which I now have to figure out how to fund the other %50) let alone the CGM attachments! Any thoughts?  </t>
        </is>
      </c>
      <c r="D902" t="n">
        <v>10</v>
      </c>
      <c r="E902" t="n">
        <v>12</v>
      </c>
      <c r="F902">
        <f>HYPERLINK("https://www.reddit.com/r/diabetes/comments/34v3fn/cgm_and_insurance_type_1/")</f>
        <v/>
      </c>
      <c r="G902" t="inlineStr">
        <is>
          <t>2015-05-04 13:27:30</t>
        </is>
      </c>
      <c r="H902" t="inlineStr">
        <is>
          <t>Type 1</t>
        </is>
      </c>
    </row>
    <row r="903">
      <c r="A903" t="inlineStr">
        <is>
          <t>34vfrj</t>
        </is>
      </c>
      <c r="B903" t="inlineStr">
        <is>
          <t>How to use NPH insulin at night?</t>
        </is>
      </c>
      <c r="C903" t="inlineStr">
        <is>
          <t xml:space="preserve">Having to go the wal-mart route due to costs, and was wondering how many units I should start with before bed.  My morning fasting levels are about 140.  I realize this isn't horrible, but it's not great either. 
Luckily I have my wife to make sure I don't zonk out into hypo-land.  </t>
        </is>
      </c>
      <c r="D903" t="n">
        <v>7</v>
      </c>
      <c r="E903" t="n">
        <v>7</v>
      </c>
      <c r="F903">
        <f>HYPERLINK("https://www.reddit.com/r/diabetes/comments/34vfrj/how_to_use_nph_insulin_at_night/")</f>
        <v/>
      </c>
      <c r="G903" t="inlineStr">
        <is>
          <t>2015-05-04 14:58:29</t>
        </is>
      </c>
      <c r="H903" t="inlineStr">
        <is>
          <t>Type 1</t>
        </is>
      </c>
    </row>
    <row r="904">
      <c r="A904" t="inlineStr">
        <is>
          <t>34vfsj</t>
        </is>
      </c>
      <c r="B904" t="inlineStr">
        <is>
          <t>As a diabetic, I find solace in this song... thought I would share.</t>
        </is>
      </c>
      <c r="C904" t="inlineStr">
        <is>
          <t xml:space="preserve">Janelle Monae - Tightrope
https://www.youtube.com/watch?v=pwnefUaKCbc
Get to the chorus, you'll understand.
I'm type 1. </t>
        </is>
      </c>
      <c r="D904" t="n">
        <v>21</v>
      </c>
      <c r="E904" t="n">
        <v>4</v>
      </c>
      <c r="F904">
        <f>HYPERLINK("https://www.reddit.com/r/diabetes/comments/34vfsj/as_a_diabetic_i_find_solace_in_this_song_thought/")</f>
        <v/>
      </c>
      <c r="G904" t="inlineStr">
        <is>
          <t>2015-05-04 14:58:45</t>
        </is>
      </c>
      <c r="H904" t="inlineStr">
        <is>
          <t>Type 1</t>
        </is>
      </c>
    </row>
    <row r="905">
      <c r="A905" t="inlineStr">
        <is>
          <t>34via2</t>
        </is>
      </c>
      <c r="B905" t="inlineStr">
        <is>
          <t>I cured my diabetes (?) (part 6)</t>
        </is>
      </c>
      <c r="C905" t="inlineStr">
        <is>
          <t>**If you were recently diagnosed with Type 2 diabetes, please read the following - it may save your life, and can certainly change it. Diabetes is not the irreversible, chronic condition that everyone wants you to think it is . . . there is hope, and my store is just one of many examples that prove it.
**DIABETES REVERSAL** I previously documented my journey on a very low calorie diet (VLCD) which has been medically shown to reverse/cure type 2 diabetes (links to the Newcastle study itself are in the original post, linked below). 
The theory that gave rise to the study is pretty straightforward: a significant "negative energy" diet will restore liver and pancreatic function in Type 2 diabetics (i.e. normal glucose release from the liver and normal release of insulin from the pancreas, especially in the first phase of carbohydrate metabolism) so that both organs will handle carbs the "correct" way i.e. the liver won't keep dumping too much glucose into the bloodstream and pancreatic beta cells will produce the appropriate amount of insulin (and at the right time). As visceral fat disappears from the liver and pancreas, function returns to normal, while the reduction in body fat also helps reduce insulin resistance in cells - in short, making someone a non-diabetic by all diagnostic tests (A1C, fasting glucose, and performance on an oral glucose tolerance test).
The Newcastle study itself conducted rigorous glycemic clamping at 1, 4, and 8 weeks, and showed jaw dropping results - pancreatic function in previously-diabetic patients returned to normal levels, hepatic (liver) insulin sensitivity returned to normal, and 12 weeks after the subjects were done with the diet the majority were able to pass an oral glucose tolerance test - even after gaining some weight back.
I am effectively done with the experiment, with the end goal of curing my diabetes. Previous posts involved my daily weight and fasting glucose levels, as well as a rough idea of what I was experiencing on a day-to-day basis. I did this 800 calorie/day diet for 8 weeks, and I am approximately 50 pounds lighter than I was at diagnosis (and still dropping!)
My latest A1C came back at a whopping 5.3. I want it lower, but that is alright for now.
I will be taking an OGTT in June.
I quit smoking, and as of this post have not had a cigarette in more than five weeks (eliminating the nicotine will also eventually help insulin resistance)
I am training for a triathlon: I can now run a 5k at an 8:30/mile pace (before, I could not run more than five blocks before having to walk), I can swim 900 yards at a 2:30/100 yard pace, and can cover a hilly 20k bike course at a pace of 15.5 miles/hour (sorry for the metric/imperial conversions . . .) 
I am eating a net of approximately 2000 calories a day, give or take, in a rough ratio of 33%/33%/33% carbs/protein/fats. With exercise, I often gobble down closer to 3000 total/gross calories.
Here's a recent series of tests, done without any exercise at all on the day in question (I typically only use my meter to test my fasting BG every day, and that out of habit, but every now and then one of these types of post-prandial tests is fun). Keep in mind, my BG when diagnosed was over 350 mg/dL (12.0 mmol/L) with an A1C of 10.9. Now, on my "day off" from exercise, here's what I ate for lunch (note that this is not typical, this was an experiment - I don't want to [gain all that weight back](http://i.imgur.com/2mPJW4B.jpg)):
[Culver's](http://www.culvers.com/menu-and-nutrition/nutrition-grid/):
-Double Wisconsin Swiss Melt
-Medium French Fries
-Cheese Curds
-4 Tablespoons of Ketchup
-Two Scoops Fudge Pecan Sundae
Total calories: 2,411 (yikes . . .)
Total carbs: 257 grams
Total sugars: 111 grams
Total fiber: 10 measly grams
I tested my blood sugar at half hour intervals after this meal, starting at one hour from my first bite. The whole meal went down in about 15 minutes . . .
Pre-meal BG: 92 mg/dL
One hour after: 109 mg/dL
One and a half after: 132 mg/dL
Two hours after: 135 mg/dL
Two and a half after: 117 mg/dL
Three hours after: 91 mg/dL
My two hour peak was around 135 mg/dL, and after that my BG dropped fairly quickly. You can see that my insulin resistance is still present, but that my first phase insulin response is pretty damn remarkable, considering the copious amounts of high GI carbs that got consumed in this meal. 
And my numbers are only getting better . . . long story short - LOSE WEIGHT. Read on below for more of the details.
Original post [here](http://www.reddit.com/r/diabetes/comments/2uk6xu/im_going_to_cure_my_t2_diabetes_no_fatties/)
Second post [here](http://www.reddit.com/r/diabetes/comments/2w5brt/im_going_to_cure_my_t2_diabetes_part_2/)
Third post [here](http://www.reddit.com/r/diabetes/comments/2xhc11/im_going_to_cure_my_type_2_diabetes_part_3/)
Fourth post [here](http://www.reddit.com/r/diabetes/comments/2z0d6o/im_going_to_cure_my_diabetes_part_4/)
Fifth post [here](http://www.reddit.com/r/diabetes/comments/3072x2/im_going_to_cure_my_t2_diabetes_on_the_newcastle/)
[My post on the diabetes.co.uk forums](http://www.diabetes.co.uk/forum/threads/embarking-on-the-newcastle-diet.72394/) (these folks are a great resource for all diabetics - it's a huge, active community)
My [in-depth blog](http://www.diabetes.co.uk/forum/xfa-blogs/glitterbritches.161845/) -- hosted my the charity Diabetes UK (the sponsors of the Newcastle study)
Lose that weight - it may save your life.</t>
        </is>
      </c>
      <c r="D905" t="n">
        <v>0</v>
      </c>
      <c r="E905" t="n">
        <v>22</v>
      </c>
      <c r="F905">
        <f>HYPERLINK("https://www.reddit.com/r/diabetes/comments/34via2/i_cured_my_diabetes_part_6/")</f>
        <v/>
      </c>
      <c r="G905" t="inlineStr">
        <is>
          <t>2015-05-04 15:17:36</t>
        </is>
      </c>
      <c r="H905" t="inlineStr">
        <is>
          <t>Type 2</t>
        </is>
      </c>
    </row>
    <row r="906">
      <c r="A906" t="inlineStr">
        <is>
          <t>34wgnl</t>
        </is>
      </c>
      <c r="B906" t="inlineStr">
        <is>
          <t>Type 1 diabetic wanting to go on a week-long backpacking trip?</t>
        </is>
      </c>
      <c r="C906" t="inlineStr">
        <is>
          <t xml:space="preserve">I am planning a backpacking trip this summer for 4-5 days. I'm going with one other person who is very educated with type 1 and my numbers have been pretty stable for the last six months. I'm mostly worried about keeping my insulin cool (I'm on injections by the way), how much food I should take with us, what if there's an emergency and I'm far away from help (I'm already planning on bringing a few glucagons), Should I lower my long-acting insulin by a lot, etc. I'm looking for advice from anyone who's been backpacking as a Type 1 or has had a similar experience with something like this! Thank you! </t>
        </is>
      </c>
      <c r="D906" t="n">
        <v>16</v>
      </c>
      <c r="E906" t="n">
        <v>37</v>
      </c>
      <c r="F906">
        <f>HYPERLINK("https://www.reddit.com/r/diabetes/comments/34wgnl/type_1_diabetic_wanting_to_go_on_a_weeklong/")</f>
        <v/>
      </c>
      <c r="G906" t="inlineStr">
        <is>
          <t>2015-05-04 20:07:25</t>
        </is>
      </c>
      <c r="H906" t="inlineStr">
        <is>
          <t>Type 1</t>
        </is>
      </c>
    </row>
    <row r="907">
      <c r="A907" t="inlineStr">
        <is>
          <t>34ypnq</t>
        </is>
      </c>
      <c r="B907" t="inlineStr">
        <is>
          <t>Latest Test Results</t>
        </is>
      </c>
      <c r="C907" t="inlineStr">
        <is>
          <t>Hemoglobin A1c - 5.6%
Dr: Diabetes is well controlled
*does a little dance*
(Just sharing some good news. I am hyped!)</t>
        </is>
      </c>
      <c r="D907" t="n">
        <v>30</v>
      </c>
      <c r="E907" t="n">
        <v>16</v>
      </c>
      <c r="F907">
        <f>HYPERLINK("https://www.reddit.com/r/diabetes/comments/34ypnq/latest_test_results/")</f>
        <v/>
      </c>
      <c r="G907" t="inlineStr">
        <is>
          <t>2015-05-05 10:44:31</t>
        </is>
      </c>
      <c r="H907" t="inlineStr">
        <is>
          <t>Type 2</t>
        </is>
      </c>
    </row>
    <row r="908">
      <c r="A908" t="inlineStr">
        <is>
          <t>34yz3k</t>
        </is>
      </c>
      <c r="B908" t="inlineStr">
        <is>
          <t>[Type 1] Diabetes and MDMA</t>
        </is>
      </c>
      <c r="C908" t="inlineStr">
        <is>
          <t xml:space="preserve">20 year old diabetic with perfect levels and I'm wanting to experiment in drugs. 
At a party a friend has got some MD and I would like to give it ago. Please, instead no calling me stupid or just "don't do it". Has anyone ever tried it and did it effect your levels? 
</t>
        </is>
      </c>
      <c r="D908" t="n">
        <v>9</v>
      </c>
      <c r="E908" t="n">
        <v>26</v>
      </c>
      <c r="F908">
        <f>HYPERLINK("https://www.reddit.com/r/diabetes/comments/34yz3k/type_1_diabetes_and_mdma/")</f>
        <v/>
      </c>
      <c r="G908" t="inlineStr">
        <is>
          <t>2015-05-05 11:52:57</t>
        </is>
      </c>
      <c r="H908" t="inlineStr">
        <is>
          <t>Type 1</t>
        </is>
      </c>
    </row>
    <row r="909">
      <c r="A909" t="inlineStr">
        <is>
          <t>350bd0</t>
        </is>
      </c>
      <c r="B909" t="inlineStr">
        <is>
          <t>Insurance wants pay for needles unless paired with insulin. Any work arounds?</t>
        </is>
      </c>
      <c r="C909" t="inlineStr">
        <is>
          <t>My nine year old daughter was diagnosed with t1 diabetes in March.  Yesterday, she was running low on needles, so I called in the RX, but when I went in to pick it up, insurance denied it.  When I called the insurance company, they told me it must be filled with her insulin before they would pay it.  The issue is, she uses about one pen a month, so her 200 needles are gone, but we still have 3 Humalog pens in the fridge and 4 Lantus.  So it looks like my only option is to fill a very expensive RX we don't need just to get more needles.  Is there any work around where I can just get the needles without having to pay out of pocket?  I  calling tomorrow to see if I can get more than a 30 day supply of needles with 5 pens, but anything I can do to get the needles filled by themselves?</t>
        </is>
      </c>
      <c r="D909" t="n">
        <v>1</v>
      </c>
      <c r="E909" t="n">
        <v>0</v>
      </c>
      <c r="F909">
        <f>HYPERLINK("https://www.reddit.com/r/diabetes/comments/350bd0/insurance_wants_pay_for_needles_unless_paired/")</f>
        <v/>
      </c>
      <c r="G909" t="inlineStr">
        <is>
          <t>2015-05-05 18:15:31</t>
        </is>
      </c>
      <c r="H909" t="inlineStr">
        <is>
          <t>Type 1</t>
        </is>
      </c>
    </row>
    <row r="910">
      <c r="A910" t="inlineStr">
        <is>
          <t>350qox</t>
        </is>
      </c>
      <c r="B910" t="inlineStr">
        <is>
          <t>Insurance won't pay for needles unless I fill an insulin RX too! Help!</t>
        </is>
      </c>
      <c r="C910" t="inlineStr">
        <is>
          <t>My nine year old daughter was diagnosed with t1 diabetes in March.  Yesterday, she was running low on needles, so I called in the RX, but when I went in to pick it up, insurance denied it.  When I called the insurance company, they told me it must be filled with her insulin before they would pay it.  The issue is, she uses about one pen a month, so her 200 needles are gone, but we still have 3 Humalog pens in the fridge and 4 Lantus.  So it looks like my only option is to fill a very expensive RX we don't need just to get more needles.  Is there any work around where I can just get the needles without having to pay out of pocket?  I  calling tomorrow to see if I can get more than a 30 day supply of needles with 5 pens, but anything I can do to get the needles filled by themselves?
UPDATE:  thank you everyone. I just went to Walmart and bought them for $9!!! I had no idea I could do that as I thought they were all RXs!  Thanks for making my first diabetes post awesome.  You guys rock!</t>
        </is>
      </c>
      <c r="D910" t="n">
        <v>1</v>
      </c>
      <c r="E910" t="n">
        <v>17</v>
      </c>
      <c r="F910">
        <f>HYPERLINK("https://www.reddit.com/r/diabetes/comments/350qox/insurance_wont_pay_for_needles_unless_i_fill_an/")</f>
        <v/>
      </c>
      <c r="G910" t="inlineStr">
        <is>
          <t>2015-05-05 20:32:19</t>
        </is>
      </c>
      <c r="H910" t="inlineStr">
        <is>
          <t>Type 1</t>
        </is>
      </c>
    </row>
    <row r="911">
      <c r="A911" t="inlineStr">
        <is>
          <t>351iqp</t>
        </is>
      </c>
      <c r="B911" t="inlineStr">
        <is>
          <t>Current A1C is 5.5! Hell Yes!</t>
        </is>
      </c>
      <c r="C911" t="inlineStr">
        <is>
          <t>Diagnosed at 6.4 and saw a reduction to 5.5 with my last A1C, taken yesterday.  Most of it is from cutting soda and other sugary drinks out of my life and paying a bit more attention to the food I eat.  
Hey diabetes, take a fucking hike.</t>
        </is>
      </c>
      <c r="D911" t="n">
        <v>48</v>
      </c>
      <c r="E911" t="n">
        <v>19</v>
      </c>
      <c r="F911">
        <f>HYPERLINK("https://www.reddit.com/r/diabetes/comments/351iqp/current_a1c_is_55_hell_yes/")</f>
        <v/>
      </c>
      <c r="G911" t="inlineStr">
        <is>
          <t>2015-05-06 02:39:49</t>
        </is>
      </c>
      <c r="H911" t="inlineStr">
        <is>
          <t>Type 2</t>
        </is>
      </c>
    </row>
    <row r="912">
      <c r="A912" t="inlineStr">
        <is>
          <t>352597</t>
        </is>
      </c>
      <c r="B912" t="inlineStr">
        <is>
          <t>Exercising while Low</t>
        </is>
      </c>
      <c r="C912" t="inlineStr">
        <is>
          <t>I recently started bike riding which includes 15+ mile rides that take over an hour. By the end of the ride, sometimes my BG levels drop down to 70s or 60s. I have CGM and meter/glucose tabs on me during rides and I use them whenever necessary. I am not worried about passing out. My main concern is am I damaging my body by working out when my BG drops to 70 or 60?
Edit: it appears that most people are talking about negative aspects of being hypo. My actual question is do organs/muscles/brain suffer in long term if i'm exercising w/ BG level of 60-70 (i.e. if we do not take any immediate hypo symptoms into consideration).</t>
        </is>
      </c>
      <c r="D912" t="n">
        <v>6</v>
      </c>
      <c r="E912" t="n">
        <v>16</v>
      </c>
      <c r="F912">
        <f>HYPERLINK("https://www.reddit.com/r/diabetes/comments/352597/exercising_while_low/")</f>
        <v/>
      </c>
      <c r="G912" t="inlineStr">
        <is>
          <t>2015-05-06 06:57:37</t>
        </is>
      </c>
      <c r="H912" t="inlineStr">
        <is>
          <t>Type 1</t>
        </is>
      </c>
    </row>
    <row r="913">
      <c r="A913" t="inlineStr">
        <is>
          <t>352755</t>
        </is>
      </c>
      <c r="B913" t="inlineStr">
        <is>
          <t>Lab Results &amp;amp; Kidney Function - 11 years, T1</t>
        </is>
      </c>
      <c r="C913" t="inlineStr">
        <is>
          <t xml:space="preserve">So, after my latest run of labwork, my doctor told me everything came back normal, aside from my HbA1c of 8.3 (which I wasn't surprised about).  Looking over the rest of my bloodwork I noticed the lab highlighted another section that was out of the normal range.  My BUN/creatinine Ratio was elevated at 21, with normal being 8-20.  I was wondering why my doctor wouldn't have mentioned this, as it has to do with kidney function.  
As a type 1 diabetic with poor control over the past 11 years (HbA1c hovering around 8.5), I would think anything involving compromised kidney function would be immediately brought to my attention and talked about.  I looked over my previous 2 bloodwork results from this past year and realized that the two results for my BUN/creatinine ratios were at 24 and 23, and neither of these were brought to my attention either.  
Does anyone know why any of my doctors (3 different ones) would have not brought this to my attention or even mentioned the results that were out of range?  I see my GP tomorrow, so I'll be sure to ask, but I'm curious if maybe it's just a semi-normal type 1 diabetes thing.  </t>
        </is>
      </c>
      <c r="D913" t="n">
        <v>9</v>
      </c>
      <c r="E913" t="n">
        <v>5</v>
      </c>
      <c r="F913">
        <f>HYPERLINK("https://www.reddit.com/r/diabetes/comments/352755/lab_results_kidney_function_11_years_t1/")</f>
        <v/>
      </c>
      <c r="G913" t="inlineStr">
        <is>
          <t>2015-05-06 07:13:21</t>
        </is>
      </c>
      <c r="H913" t="inlineStr">
        <is>
          <t>Type 1</t>
        </is>
      </c>
    </row>
    <row r="914">
      <c r="A914" t="inlineStr">
        <is>
          <t>353teg</t>
        </is>
      </c>
      <c r="B914" t="inlineStr">
        <is>
          <t>Diabetic brother coming to the US from overseas</t>
        </is>
      </c>
      <c r="C914" t="inlineStr">
        <is>
          <t xml:space="preserve">Hello reddit!
So, my brother (23) is coming to the US to live with me, and he's diabetic. Some background information:
1) He is a green card holder and has a SSN.
2) Doesn't have an ID or license. He's not a resident in any state *yet*.
3) He's coming to live with me in Texas.
4) He'll have Insulin supply for a month or two, if needed.
5) He won't be working the first few months.
Now, I have to make sure that he has all of this figured out in a month post his arrival to Texas, at most! 
I am still new here myself (1 year), and it'd be greatly appreciated if y'all could provide me with some guidance **of the best way (cheapest) to provide him access to Insulin**. 
I really need your help with this! Thanks, guys!!
</t>
        </is>
      </c>
      <c r="D914" t="n">
        <v>7</v>
      </c>
      <c r="E914" t="n">
        <v>5</v>
      </c>
      <c r="F914">
        <f>HYPERLINK("https://www.reddit.com/r/diabetes/comments/353teg/diabetic_brother_coming_to_the_us_from_overseas/")</f>
        <v/>
      </c>
      <c r="G914" t="inlineStr">
        <is>
          <t>2015-05-06 14:38:09</t>
        </is>
      </c>
      <c r="H914" t="inlineStr">
        <is>
          <t>Type 1</t>
        </is>
      </c>
    </row>
    <row r="915">
      <c r="A915" t="inlineStr">
        <is>
          <t>353y1p</t>
        </is>
      </c>
      <c r="B915" t="inlineStr">
        <is>
          <t>Question: In an emergency, can alcohol be used to lower blood sugar?</t>
        </is>
      </c>
      <c r="C915" t="inlineStr">
        <is>
          <t xml:space="preserve">http://healthyeating.sfgate.com/drinking-alcohol-blood-glucose-level-10340.html
I don't drink so I have no experience with this, but from what I have read, when you drink alcohol, it keeps your liver busy metabolizing the alcohol instead of helping to regulate your blood sugar. It also sounds like alcohol can send you hypo. This got me wondering, if someone is without insulin for a while in an emergency, can alcohol be used to keep them at a safe level? Anyone know if there has been any science on this?
</t>
        </is>
      </c>
      <c r="D915" t="n">
        <v>10</v>
      </c>
      <c r="E915" t="n">
        <v>36</v>
      </c>
      <c r="F915">
        <f>HYPERLINK("https://www.reddit.com/r/diabetes/comments/353y1p/question_in_an_emergency_can_alcohol_be_used_to/")</f>
        <v/>
      </c>
      <c r="G915" t="inlineStr">
        <is>
          <t>2015-05-06 15:15:08</t>
        </is>
      </c>
      <c r="H915" t="inlineStr">
        <is>
          <t>Type 1</t>
        </is>
      </c>
    </row>
    <row r="916">
      <c r="A916" t="inlineStr">
        <is>
          <t>3541j6</t>
        </is>
      </c>
      <c r="B916" t="inlineStr">
        <is>
          <t>I think my relationship ended because of diabetes and that makes me really sad</t>
        </is>
      </c>
      <c r="C916" t="inlineStr">
        <is>
          <t xml:space="preserve">Let me rephrase that. I think diabetes was ONE of the reasons it ended so I will focus on that aspect only. 
I am 26 years old, male. We were in a relationship for 5 years. Since I'm older, I've had a much slower progression between when I first noticed symptoms and when I was diagnosed (a few months). Thinking back, I was very irritable when the symptoms started. A lot more fights between my gf and I broke out. I think there is a connection there. I also was waking up every night to go drink water and pee. This would wake her up (we lived together) and she would be annoyed (understandable, but it created problems). She often would be upset with me for going to the bathroom all of the time during the day. 
When I was finally diagnosed, I would get frustrated with blood sugar highs and lows. I was and am having a hard time controlling it. I would express this frustration with my girlfriend because she's the person I shared everything with. She would get very upset with me saying that I was being negative. I found out after the breakup that she thought I was ruining her nights or days by not being happy with sugar levels. She failed to understand that this is a disease of guilt and it throws things right in your face. I also got no appreciation for the fact that I get really irritable when I'm high and how that may have caused problems before diagnosis. She even mentioned to her friends and mom that she was not happy with me being irritable and that she was not happy about me being frustrated with blood sugar levels. I heard about this from said friends and mom after the breakup. A couple of times she made off-hand remarks that now I am the epitome of nerdiness because I'm both diabetic and asthmatic. She said it as a joke, but I always sensed she was thinking "and now I'm stuck with that." 
I don't know. Right now I feel really sad about this because I'm thinking it really was a factor in ending a relationship I thought would last forever. It makes me think that most people will react this way and that diabetes will always push people away. I am ashamed of my diabetes now and I try to hide it. 
Most people on this subreddit have had diabetes much longer than I have and for most of their developmental years. Do you find people are this shallow about your diabetes? Has anyone not dated you because of it? Has anyone else been diagnosed in their mid-twenties and had a similar story happen to you? </t>
        </is>
      </c>
      <c r="D916" t="n">
        <v>8</v>
      </c>
      <c r="E916" t="n">
        <v>27</v>
      </c>
      <c r="F916">
        <f>HYPERLINK("https://www.reddit.com/r/diabetes/comments/3541j6/i_think_my_relationship_ended_because_of_diabetes/")</f>
        <v/>
      </c>
      <c r="G916" t="inlineStr">
        <is>
          <t>2015-05-06 15:42:48</t>
        </is>
      </c>
      <c r="H916" t="inlineStr">
        <is>
          <t>Type 1</t>
        </is>
      </c>
    </row>
    <row r="917">
      <c r="A917" t="inlineStr">
        <is>
          <t>354nyo</t>
        </is>
      </c>
      <c r="B917" t="inlineStr">
        <is>
          <t>Pump questions! What is the best pump in your opinion? Anyone with Molina insurance know my options?</t>
        </is>
      </c>
      <c r="C917" t="inlineStr">
        <is>
          <t xml:space="preserve">Hey guys! I have been a type 1 since 2010 and have always used injections. I've been really wanting to try out a pump for a while, but I never was able to since they were so expensive through my previous insurance, but now I am covered through Molina. 
I went to an educator today to talk about pumps and she showed me a few such as the Medtronic, the T-Slim, and the Animas. I loved the T-Slim layout, but I have no idea how likely it would be for my insurance to cover it. She did inform me that some previous patients were given the Animas.
Honestly, they all looked like great pumps. I liked the idea that the Animas was linked with the Dexcom and she told me that she thinks the Dexcom is better than the Medtronic CGM. 
I would just like to hear opinions and maybe look at more reviews.
I haven't had a chance to call any of the companies or insurance to figure out what they cover.
If any of you are covered through Molina, do you know what the options are?
Thank you!
</t>
        </is>
      </c>
      <c r="D917" t="n">
        <v>1</v>
      </c>
      <c r="E917" t="n">
        <v>6</v>
      </c>
      <c r="F917">
        <f>HYPERLINK("https://www.reddit.com/r/diabetes/comments/354nyo/pump_questions_what_is_the_best_pump_in_your/")</f>
        <v/>
      </c>
      <c r="G917" t="inlineStr">
        <is>
          <t>2015-05-06 18:58:41</t>
        </is>
      </c>
      <c r="H917" t="inlineStr">
        <is>
          <t>Type 1</t>
        </is>
      </c>
    </row>
    <row r="918">
      <c r="A918" t="inlineStr">
        <is>
          <t>354r77</t>
        </is>
      </c>
      <c r="B918" t="inlineStr">
        <is>
          <t>20y/o diagnosed with Type 1 today</t>
        </is>
      </c>
      <c r="C918" t="inlineStr">
        <is>
          <t>Came back from college this past Saturday, and symptoms started Sunday evening. I had to piss 3x each night while trying to sleep on Sunday and Monday night, and each time I woke up I was incredibly thirsty. I knew this was weird and googled the symptoms. WebMD said diabetes. Well WebMD says a bunch of shit that doesn't happen. This couldn't happen to me. 
Just to be safe scheduled a primary care visit today to get a quick screening done. I do a urine test and they see high amounts of (sugar, I guess?) in my piss. They prick my finger, and my blood sugar maxes the reader, which tops out at 500. To the ER.
I'm in denial this whole time. 20 year olds don't just suddenly get t1 (or so I thought), and I'm otherwise in great shape, so it couldn't be t2. 
Well, here I am now. Taking 10 units of Lantus every evening for the rest of my life. Taking 2 units of Novolog before each meal. 
[Rant section] I feel pissed off. Cheated. I stayed healthy dammit. And now I have the 'betus. I want to rage, I want to cry, I want it all to be some sick prank life is playing on me. But it's not. This is the rest of my life. If anything, I can relate to others with incurable diseases now. But I don't want to. And I know none of you want this disease either. Fuck it. FUCK IT. I'm just a wash of emotions right now. Fuck it all [End rant]
I don't plan on any cures coming around in the next few ~~days~~ ~~weeks~~ ~~months~~ ~~years~~ for awhile, so I guess I just have to tackle this. 
I'm a complete noob, and the hospitalist answered my questions on how to use the pens, check my sugar, watch my diet, but never went into how to live with this. I'd greatly appreciate any tips you have. Anything to do with living with this. 
I guess I have one question too: How do you carry around all your equipment? Especially in the case of the Novolog pen, which I will need to use before meals but apparently must be refrigerated at all times (I've read the Lantus needs to be refrigerated before being opened, but at room temperature after first use). I will have to carry the Novolog, needles, and blood sugar testing supplies everywhere, and my pockets aren't quite big enough. I don't want to carry a man purse or a fanny pack. Would do you all do?</t>
        </is>
      </c>
      <c r="D918" t="n">
        <v>9</v>
      </c>
      <c r="E918" t="n">
        <v>51</v>
      </c>
      <c r="F918">
        <f>HYPERLINK("https://www.reddit.com/r/diabetes/comments/354r77/20yo_diagnosed_with_type_1_today/")</f>
        <v/>
      </c>
      <c r="G918" t="inlineStr">
        <is>
          <t>2015-05-06 19:26:21</t>
        </is>
      </c>
      <c r="H918" t="inlineStr">
        <is>
          <t>Type 1</t>
        </is>
      </c>
    </row>
    <row r="919">
      <c r="A919" t="inlineStr">
        <is>
          <t>355yqk</t>
        </is>
      </c>
      <c r="B919" t="inlineStr">
        <is>
          <t>Super Low Carb Breakfast Thoughts (T1)</t>
        </is>
      </c>
      <c r="C919" t="inlineStr">
        <is>
          <t>I have found that anything more than about 10g of carbs before 10am causes my blood sugar to go into the stratosphere. For the past few days I've been having a near-zero (~5g) carb breakfast, with good results, of:
1) One pack of Justin's Almond Butter (http://justins.com/product/classic-almond-butter/classic-almond-butter-1-15oz-pack/)
2) Half an avocado
3) One babybel cheese (http://www.caloriecount.com/calories-babybel-mini-original-i84868)
Does this strike you guys as a reasonable breakfast? I've always had at least 15-25g in the past (usually fruit yogurt or a piece of fruit) and am a bit hesitant on going super low carb and high fat/protein at breakfast, but am kind of at my wits end with these post-breakfast spikes.</t>
        </is>
      </c>
      <c r="D919" t="n">
        <v>4</v>
      </c>
      <c r="E919" t="n">
        <v>25</v>
      </c>
      <c r="F919">
        <f>HYPERLINK("https://www.reddit.com/r/diabetes/comments/355yqk/super_low_carb_breakfast_thoughts_t1/")</f>
        <v/>
      </c>
      <c r="G919" t="inlineStr">
        <is>
          <t>2015-05-07 04:41:50</t>
        </is>
      </c>
      <c r="H919" t="inlineStr">
        <is>
          <t>Type 1</t>
        </is>
      </c>
    </row>
    <row r="920">
      <c r="A920" t="inlineStr">
        <is>
          <t>3572un</t>
        </is>
      </c>
      <c r="B920" t="inlineStr">
        <is>
          <t>Anyone have any One Touch Ultra Test Strips?</t>
        </is>
      </c>
      <c r="C920" t="inlineStr">
        <is>
          <t>Edit:  Thank you all for the ideas and offers.  I have a few bucks so I am going to pick up a cheapo meter at walmart or CVS that will tide us over.  Thanks again.
There should be a hub where one can donate or ask for supplies.  Liabilitiy issues would make it impossible though.
 My daughter (8) has a few (maybe 6) days worth left.
She was sick for about 2 weeks this quarter and we were testing her like every couple hours, so we are short by a lot.  Med supply place gave us 100 strips a few days a go but those won't last till the 27th ish.  I have told doc to increase the scrpit so that should be happening.
This happened over Christmas and a wonderful pharmacist saw my desperation and bought me a box (i posted about it in here somewhere).  I have since paid her back and made a friend.
I am in a better position financially now, but they're basically a buck each!  Sheesh!.  Also, If no on has any I will just buy the wal mart cheapo strips and meter to tide her over if need be.
So, if you have any that you are not using, and never plan on using, PM me.  Thank you</t>
        </is>
      </c>
      <c r="D920" t="n">
        <v>6</v>
      </c>
      <c r="E920" t="n">
        <v>16</v>
      </c>
      <c r="F920">
        <f>HYPERLINK("https://www.reddit.com/r/diabetes/comments/3572un/anyone_have_any_one_touch_ultra_test_strips/")</f>
        <v/>
      </c>
      <c r="G920" t="inlineStr">
        <is>
          <t>2015-05-07 10:25:34</t>
        </is>
      </c>
      <c r="H920" t="inlineStr">
        <is>
          <t>Type 1</t>
        </is>
      </c>
    </row>
    <row r="921">
      <c r="A921" t="inlineStr">
        <is>
          <t>357uhy</t>
        </is>
      </c>
      <c r="B921" t="inlineStr">
        <is>
          <t>Type 1 - Changing lancets?</t>
        </is>
      </c>
      <c r="C921" t="inlineStr">
        <is>
          <t>For all my 7 years as a diabetic, I was told to move onto my new blood test needle (I use a multiclick) after doing it once. However, after looking around, people are saying move on when it starts to hurt more? Is that true?</t>
        </is>
      </c>
      <c r="D921" t="n">
        <v>4</v>
      </c>
      <c r="E921" t="n">
        <v>26</v>
      </c>
      <c r="F921">
        <f>HYPERLINK("https://www.reddit.com/r/diabetes/comments/357uhy/type_1_changing_lancets/")</f>
        <v/>
      </c>
      <c r="G921" t="inlineStr">
        <is>
          <t>2015-05-07 13:52:54</t>
        </is>
      </c>
      <c r="H921" t="inlineStr">
        <is>
          <t>Type 1</t>
        </is>
      </c>
    </row>
    <row r="922">
      <c r="A922" t="inlineStr">
        <is>
          <t>358rza</t>
        </is>
      </c>
      <c r="B922" t="inlineStr">
        <is>
          <t>TYPE 1. New Pumper. Canadian insurance providers that cover CGM?</t>
        </is>
      </c>
      <c r="C922" t="inlineStr">
        <is>
          <t>Hi all, 
I am a 25 female, living with Type one diabetes for the past 22 years.  Im in the process of making the switch from insulin pens to a pump.  Currently taking a combination of Lantus and Humalog.  I am strongly considering opting for the Animas Ping.  I have also done some research on the  Dexcom CGM technology, it  sounds very appealing.  I am wondering if any Canadian users have experience with insurance companies covering the cost of  the CDG system, or is this only available in the States? Any and all input appreciated!
thanks</t>
        </is>
      </c>
      <c r="D922" t="n">
        <v>4</v>
      </c>
      <c r="E922" t="n">
        <v>2</v>
      </c>
      <c r="F922">
        <f>HYPERLINK("https://www.reddit.com/r/diabetes/comments/358rza/type_1_new_pumper_canadian_insurance_providers/")</f>
        <v/>
      </c>
      <c r="G922" t="inlineStr">
        <is>
          <t>2015-05-07 18:31:35</t>
        </is>
      </c>
      <c r="H922" t="inlineStr">
        <is>
          <t>Type 1</t>
        </is>
      </c>
    </row>
    <row r="923">
      <c r="A923" t="inlineStr">
        <is>
          <t>359gjo</t>
        </is>
      </c>
      <c r="B923" t="inlineStr">
        <is>
          <t>Question, is lower need for long lasting good?</t>
        </is>
      </c>
      <c r="C923" t="inlineStr">
        <is>
          <t xml:space="preserve">I'm a T-1, when I was first diagnosed over a year ago, I went on lanuts, 15 units a day, as I start to see lows regularly, I adjust my ratios on fast acting (humalog) and dial it back a unit or so until I am stable again. This is the correct thing to do, yes? 
I ask because a few months ago, I went down to 10 of lantus, now I am at 7, considering going down to 6. I am slightly more active, but not a whole lot, I eat fairly low carb. I have not lost much weight. I went from about 250 to 230 (lb) and have just kind of stayed there.
I typically keep myself around 80 (4.4, holy crap, how long has that conversion chart been there?), from what I can tell, I have been in honeymoon period since I started on insulin. Could my insulin sensitivity be going up? Could what is left of my beta cells be producing more? I think what is going on is just peachy, but my wife is a bit worried. </t>
        </is>
      </c>
      <c r="D923" t="n">
        <v>1</v>
      </c>
      <c r="E923" t="n">
        <v>6</v>
      </c>
      <c r="F923">
        <f>HYPERLINK("https://www.reddit.com/r/diabetes/comments/359gjo/question_is_lower_need_for_long_lasting_good/")</f>
        <v/>
      </c>
      <c r="G923" t="inlineStr">
        <is>
          <t>2015-05-07 22:37:08</t>
        </is>
      </c>
      <c r="H923" t="inlineStr">
        <is>
          <t>Type 1</t>
        </is>
      </c>
    </row>
    <row r="924">
      <c r="A924" t="inlineStr">
        <is>
          <t>35b9bz</t>
        </is>
      </c>
      <c r="B924" t="inlineStr">
        <is>
          <t>T2 Diabetes in remission from diet changes.</t>
        </is>
      </c>
      <c r="C924" t="inlineStr">
        <is>
          <t>I was invited to /r/diabetes by someone who replied to my post in /r/keto. I didn't even know /r/diabetes existed. I am a T2 diabetic for 20 years and wanted to quickly share my story up to this point. All the good stuff happens in the last 2 months.
I was one of the fat kids in school. I wrestled in the 245/unlimited class at 195 pounds (I was 30lbs overweight). So I have always had a metabolic problem. In my mid 20's I was diagnosed with diabetes and started on different drugs. Glipizide made me gain another 60 pounds in 6 months but kept my glucose readings good. Metformin made me sick. There were about 6 years where I exercised my ass off and kept the diabetes at bay with no medication. In 2011 my A1c was back up again and so I tried to exercise again like crazy to get my diabetes under control, and an A1c of 7 was the best I could do. In 2013 I started taking insulin and I thought that was great because it was easy to control blood glucose level, until I found out what a friggen rollercoaster it really is. Here is my A1c [chart](http://imgur.com/SAzmeE5).
On 3/3/2015 I went into urgent care with chest pain, swollen ankles, and shortness of breath. They shuttled me into the E.R., and from there I got my very own hospital room for 5 days. I received 2 stents in my coronary arteries for 80% and 90% blockages. My ankle swelling disappeared immediately. I was told by my cardiologist not to return to work the following week (heavy equipment mechanic), that I might strain the artery they went through twice. So for the next week I tried to learn what led me to this point. I read ["Cholesterol is Not the Culprit"](http://www.amazon.com/Cholesterol-Not-Culprit-Preventing-Disease/dp/0983383561) and curiosity then led me to watch Dr. Lustig's video ["Fat Chance."](https://www.youtube.com/watch?v=P3WkXJokBAU)
Now the challenge was on! I started watching all sorts of videos and reading many articles. Here are just a few, because researching more will lead you into an abundance of them:
[Vicky Kuriel - Case Reports from LCHF Dietitian](https://www.youtube.com/watch?v=yTj03O9PSX4)
[Dr. Caryn Zinn - A Low Carb Dietitian's Perspective](https://www.youtube.com/watch?v=chP6NNbU9BE)
[Advantaged Metabolic State](https://www.youtube.com/watch?v=NqwvcrA7oe8&amp;amp;list=RDKaZRP-S-kA8&amp;amp;index=44)
[The two big lies of type 2 diabetes](https://www.youtube.com/watch?v=FcLoaVNQ3rc)
[Ketosis: Metabolic Flexibility in Action](
http://www.ketogenic-diet-resource.com/ketosis.html)
[Why your "normal" blood sugar isn't normal](http://chriskresser.com/when-your-%E2%80%9Cnormal%E2%80%9D-blood-sugar-isn%E2%80%99t-normal-part-2/)
[The Ketogenic Diet and Peter Attia’s War on Insulin](http://asweetlife.org/feature/the-ketogenic-diet-and-peter-attias-war-on-insulin/) (the interviewer is a T1 diabetic)
Also, if you have Netflix, the documentary "Fed Up."
After learning an abundance of information I wanted to take control over my health. Still skeptical I figured I was doing an N=1 experiment until I could get actual blood results. So I changed my diet completely (family not really on board with this, and I didn't tell my primary doctor). I did tell my endocrinologist and she was ok with it as "temporary" but still she prescribed me Januvia. When I found out Januvia causes pancreatitis and possibly death from it, I didn't even touch it. But by the time I had seen my endocrinologist my A1c had dropped from 11.2% (2/24/15) to 8.7% (4/3/2015) due to my diet changes anyway. My fasting sugar was in the 70-105 range and I had to stop taking the insulin completely because I was occasionally hypoglycemic. I kept taking the Metformin for another 2 weeks, then stopped it. I also stopped my statin because I didn't want the memory loss side effect and the basic fact it's another chemical into my body. I stopped taking metoprolol because my blood pressure came back down. The only medications I take now are 2 anti-platelets (Aspirin and Effient) because I have 2 stents and don't want restenosis or thrombosis in them.
So by following a low carb (&amp;lt;20g), moderate protein (100g), high fat (150g-190g) diet I have now been able to keep my fasting glucose levels between 80-105. After I eat a meal I rarely see a glucose spike above 120, and most of the time the spike stays under 110, occasionally the spike goes downward about 10 points. My favorite [finger](http://imgur.com/Tze9cvB) to use.
What I eat: Lots of whole eggs, all meats and fishes, all poultry, all pork, spinach, broccoli, blueberries, avocado, romaine, olives, protein powder, flax seeds, pecans, walnuts, almonds, low sugar dressings, low sugar bbq sauce or steak sauce, butter, olive oil, coconut oil, avocado oil. Those are the backbone of my new diet. I am not a cook, so I stick with basics.
What I don't eat: Anything with added sugar, wheat, grains (except flax seed), sugary fruits, sugary or starchy vegetables, legumes, processed oils.
What I drink: Water, Unsweetened Almond milk, Unsweetened Coconut milk, Powerade Zero, Decaf Tea's, and occasionally a diet soda. My desire for soda has diminished from a 2-liter bottle per day to practically nothing.
What I dont drink: Anything with sugar, including any cow's milk.
My benefits: Diabetes is in remission, fatigue is gone, migraines are gone, all those damn diabetic funguses are gone (thrush, ear fungus, in-between fungus), depression = gone!, anxiety gone, constipation gone, swollen ankles gone, hunger gone, lost 32lbs. so far, and obesity soon to be gone! Here is the list of my [ailments](http://imgur.com/21zYY2Q) from 2013.
For those of you worried about lipids, my personal results are getting better. [BEFORE](http://imgur.com/1fDkbyu) and [AFTER](http://imgur.com/bTbbRNY). Metabolic [results](http://imgur.com/j87FAX4) all normal (sorry only had room for 12 of the 16 items on printscreen, but they were all normal range).
My story is still ongoing, and it has been very substantial for me, but I have read and seen much more substantial improvements from others. That is what led me down this path of victory! May you too find your path of victory!</t>
        </is>
      </c>
      <c r="D924" t="n">
        <v>12</v>
      </c>
      <c r="E924" t="n">
        <v>17</v>
      </c>
      <c r="F924">
        <f>HYPERLINK("https://www.reddit.com/r/diabetes/comments/35b9bz/t2_diabetes_in_remission_from_diet_changes/")</f>
        <v/>
      </c>
      <c r="G924" t="inlineStr">
        <is>
          <t>2015-05-08 10:43:12</t>
        </is>
      </c>
      <c r="H924" t="inlineStr">
        <is>
          <t>Type 2</t>
        </is>
      </c>
    </row>
    <row r="925">
      <c r="A925" t="inlineStr">
        <is>
          <t>35c70y</t>
        </is>
      </c>
      <c r="B925" t="inlineStr">
        <is>
          <t>Dad has type 2 diabetes and wants me to be in charge of his diet.</t>
        </is>
      </c>
      <c r="C925" t="inlineStr">
        <is>
          <t>I know a lot about nutrition but almost nothing related to diabetes, what do I have to keep in mind when it comes to food? What should his macros be like?</t>
        </is>
      </c>
      <c r="D925" t="n">
        <v>1</v>
      </c>
      <c r="E925" t="n">
        <v>5</v>
      </c>
      <c r="F925">
        <f>HYPERLINK("https://www.reddit.com/r/diabetes/comments/35c70y/dad_has_type_2_diabetes_and_wants_me_to_be_in/")</f>
        <v/>
      </c>
      <c r="G925" t="inlineStr">
        <is>
          <t>2015-05-08 15:19:53</t>
        </is>
      </c>
      <c r="H925" t="inlineStr">
        <is>
          <t>Type 2</t>
        </is>
      </c>
    </row>
    <row r="926">
      <c r="A926" t="inlineStr">
        <is>
          <t>35cqjq</t>
        </is>
      </c>
      <c r="B926" t="inlineStr">
        <is>
          <t>Too much basal?</t>
        </is>
      </c>
      <c r="C926" t="inlineStr">
        <is>
          <t>I'm trying to get a handle on the kids numbers, so I've been waiting for a chance to check his basal amounts. For comparison, he is 6ft and 190lb, 15 year old. He typically does 15u of Levemir at about 6:00 PM.
He had lunch at 12:30 today. He doesn't currently bolus for breakfast or lunch (he hasn't needed to until recently - honeymoon), so when he got home he hadn't eaten for 3 hours and didn't have insulin on-board except his basal. 
3:20 - 359 (really high for him - I blame 2 cookies at lunch! Yes, he needs to start bolusing for lunch.)
He went and mowed the lawn for 10-15 minutes and I tested when he came back in:
3:38 - 301 
Still high, but he wasn't done with the lawn. He spent another 10 minutes outside mowing and came back in. I took his blood again, once he had cooled down and had a drink.
4:13 - 251
At this point, he sat at his computer watching YouTube videos until the next test and dinner time.
5:49 - 210 
Since he was still at 210, we corrected for that and bolused for dinner. 
I know this isn't ideal for calculating basal, but is it normal for him to drop 40 points just sitting around? Does that mean he has too much basal?
Is it stupid to even be looking at these numbers at this point?
He needs to start bolusing for lunch, but I wanted to get his basal right first. When he first started insulin, he would sometimes be low-ish when he got home from school. His school requires him to walk quite a bit between buildings (classes are spread out over several city blocks)  so we used his after-school numbers to figure out whether his basal was okay (so he didn't go low before getting home from school). 
Should he go ahead and start bolusing for lunch at school before mucking with the basal again? 
I'm hoping his endo gives him the okay for a pump at his next appointment. It would make minor adjustments a million times easier.</t>
        </is>
      </c>
      <c r="D926" t="n">
        <v>1</v>
      </c>
      <c r="E926" t="n">
        <v>12</v>
      </c>
      <c r="F926">
        <f>HYPERLINK("https://www.reddit.com/r/diabetes/comments/35cqjq/too_much_basal/")</f>
        <v/>
      </c>
      <c r="G926" t="inlineStr">
        <is>
          <t>2015-05-08 18:25:50</t>
        </is>
      </c>
      <c r="H926" t="inlineStr">
        <is>
          <t>Type 1</t>
        </is>
      </c>
    </row>
    <row r="927">
      <c r="A927" t="inlineStr">
        <is>
          <t>35d94r</t>
        </is>
      </c>
      <c r="B927" t="inlineStr">
        <is>
          <t>First year t2 here. New med questions and insane exercise ahead. Not sure how to regulate. Feeling very mortal</t>
        </is>
      </c>
      <c r="C927" t="inlineStr">
        <is>
          <t>Hey guys, i was on metformin 500mg twice a day and still had 180 mornings 7.6 a1c numbers. Doc decided to switch to glipazide 5 mg a day. I read that some people worry that that drug being an insulin stimulator that it will "burn out" my b-cells and pancreas over time. A few diabetics i cycle with said i'm better to raise the metformin that risk the lows and risk of increasing insulin. I cycle about 400miles a month and lost 65 lbs last year. Before the weight loss i was falling asleep after meals and was over 300 often. Now i get very tired after meals if they contain over 50g carbs+ sugar. In 2 weeks i will be cycling from San Francisco to portland at 80 miles a day and am afraid of running hypo. I will be roadside camping homeless for 10 days. My father passed away at 60 after I saved him 12 times calling the medics and forcing fruit punch down this throat while being hypo. I missed number 13.I've lost so much weight and tried to diet well but i'm still averaging high. I'm afraid of becoming T1 if i stress the system too much. To all T1's here I mean no offense, im just feeling fear and remembering what my dad went through. If I wasn't there he would have passed much earlier and I'm trying to regain whatever control over my life I can. My dawn numbers and 1 hr post meal are still mid 200's. As I type after dinner im at 237. I found reddit a few weeks ago and would so appreciate any advise. Thank you all in advance.</t>
        </is>
      </c>
      <c r="D927" t="n">
        <v>1</v>
      </c>
      <c r="E927" t="n">
        <v>4</v>
      </c>
      <c r="F927">
        <f>HYPERLINK("https://www.reddit.com/r/diabetes/comments/35d94r/first_year_t2_here_new_med_questions_and_insane/")</f>
        <v/>
      </c>
      <c r="G927" t="inlineStr">
        <is>
          <t>2015-05-08 21:53:16</t>
        </is>
      </c>
      <c r="H927" t="inlineStr">
        <is>
          <t>Type 2</t>
        </is>
      </c>
    </row>
    <row r="928">
      <c r="A928" t="inlineStr">
        <is>
          <t>35fv1l</t>
        </is>
      </c>
      <c r="B928" t="inlineStr">
        <is>
          <t>cuts/scratches/wound care tips?</t>
        </is>
      </c>
      <c r="C928" t="inlineStr">
        <is>
          <t>i believe it's a diabetic thing, but my cuts and scratches seem to take a ridiculously long time to heal, and i always end up with scars that will never disappear. I do my best to keep them clean (wiping off with alcohol pads and using creams like Neosporine) but does this happen to anyone else, and anyone have any tips on speeding up the healing time? I have a dog and a cat and I'm constantly getting scratches on my legs (they aren't attacking me, it's generally an accident or unexpected/surprise scratching), and I know how dangerous cuts/wounds especially on the legs can be.
thanks!</t>
        </is>
      </c>
      <c r="D928" t="n">
        <v>6</v>
      </c>
      <c r="E928" t="n">
        <v>7</v>
      </c>
      <c r="F928">
        <f>HYPERLINK("https://www.reddit.com/r/diabetes/comments/35fv1l/cutsscratcheswound_care_tips/")</f>
        <v/>
      </c>
      <c r="G928" t="inlineStr">
        <is>
          <t>2015-05-09 16:16:57</t>
        </is>
      </c>
      <c r="H928" t="inlineStr">
        <is>
          <t>Type 1</t>
        </is>
      </c>
    </row>
    <row r="929">
      <c r="A929" t="inlineStr">
        <is>
          <t>35g4mk</t>
        </is>
      </c>
      <c r="B929" t="inlineStr">
        <is>
          <t>How long does the honeymoon stage last?</t>
        </is>
      </c>
      <c r="C929" t="inlineStr">
        <is>
          <t>Today I was confirmed as a diabetic type 1 because of the presence of insulitis according to my GAD results (blood test).
I've been struggling with this condition from the past 9 weeks. I was the person who new in first place that had diabetes due to my initial symptomatology, I went to the doctor and I sadly I was right.
As a 17 y/o who knows how a life without diabetes is like and what kind of pleasures (like deserts and fast food) I have to avoid in order to keep me healthy. I really need sometimes to eat things that I am not allowed to ingest so bad.
I am for now using 10 units of lantus® at night and I keep an Apidra® for a case of a severe hyperglycemia (I haven't used it yet because I know how much do I have to inject in base of the glycemia) and everything looked to see not quite far from what I used to be because of the honeymoon stage.
In this point is where the fun begins. I don't even know when I will have to require more insulin than what I do now, my immune system is still killing my beta cells and my situation i going to become worse soon.
So. In your personal case how long did your honeymoon stage last and how have been your life from that time.
I feel pretty sad for my situation but I don't do anything by rejecting it. I need to control my diabetes and take proper care of me in order to not wreck my health and let things to get even worse.
I am quite grateful and please for the huge amount of useful information and this tightly united community of diabetics, I feel better when I know that I am not alone in this and we are always available to help each other.</t>
        </is>
      </c>
      <c r="D929" t="n">
        <v>6</v>
      </c>
      <c r="E929" t="n">
        <v>34</v>
      </c>
      <c r="F929">
        <f>HYPERLINK("https://www.reddit.com/r/diabetes/comments/35g4mk/how_long_does_the_honeymoon_stage_last/")</f>
        <v/>
      </c>
      <c r="G929" t="inlineStr">
        <is>
          <t>2015-05-09 17:51:29</t>
        </is>
      </c>
      <c r="H929" t="inlineStr">
        <is>
          <t>Type 1</t>
        </is>
      </c>
    </row>
    <row r="930">
      <c r="A930" t="inlineStr">
        <is>
          <t>35n5tm</t>
        </is>
      </c>
      <c r="B930" t="inlineStr">
        <is>
          <t>Newly diagnosed Type 1, 21st Birthday on the way</t>
        </is>
      </c>
      <c r="C930" t="inlineStr">
        <is>
          <t xml:space="preserve">Hey, I'm really new to all this, having been diagnosed just about 3 weeks ago. I was just wondering if anyone had any advice in regards to alcohol consumption, and how to go about it with my new-found condition. If i had to sum it up in a few questions I guess they would be:
(1) How much will i be able to drink?
(2) Will I have to adjust my normal insulin routine accordingly to BGL changes, or only to cover carbs?
(3) I know alcohol is a diuretic, so sugar levels should elevate, but is it a good idea to eat while drinking still?
Im pretty in the dark with this, anything at all would help, thanks. </t>
        </is>
      </c>
      <c r="D930" t="n">
        <v>6</v>
      </c>
      <c r="E930" t="n">
        <v>37</v>
      </c>
      <c r="F930">
        <f>HYPERLINK("https://www.reddit.com/r/diabetes/comments/35n5tm/newly_diagnosed_type_1_21st_birthday_on_the_way/")</f>
        <v/>
      </c>
      <c r="G930" t="inlineStr">
        <is>
          <t>2015-05-11 14:42:27</t>
        </is>
      </c>
      <c r="H930" t="inlineStr">
        <is>
          <t>Type 1</t>
        </is>
      </c>
    </row>
    <row r="931">
      <c r="A931" t="inlineStr">
        <is>
          <t>35rw3o</t>
        </is>
      </c>
      <c r="B931" t="inlineStr">
        <is>
          <t>Please help me out with some advice?</t>
        </is>
      </c>
      <c r="C931" t="inlineStr">
        <is>
          <t>Ive been a type 1 for about a year,  and lately I've been getting lazy with my control. I know this is bad, and I am mad at myself for it. But what has me worried is my blood sugar has been around 400 a couple times a day for the last two months or so. It is due to my sugary diet and bad food I eat, but my question is how long do I have until I go blind or lose my feet? Please respond I'm being serious. Thanks in advance everyone.</t>
        </is>
      </c>
      <c r="D931" t="n">
        <v>6</v>
      </c>
      <c r="E931" t="n">
        <v>13</v>
      </c>
      <c r="F931">
        <f>HYPERLINK("https://www.reddit.com/r/diabetes/comments/35rw3o/please_help_me_out_with_some_advice/")</f>
        <v/>
      </c>
      <c r="G931" t="inlineStr">
        <is>
          <t>2015-05-12 17:16:16</t>
        </is>
      </c>
      <c r="H931" t="inlineStr">
        <is>
          <t>Type 1</t>
        </is>
      </c>
    </row>
    <row r="932">
      <c r="A932" t="inlineStr">
        <is>
          <t>35t78f</t>
        </is>
      </c>
      <c r="B932" t="inlineStr">
        <is>
          <t>Unmedicated, undiagnosed type 2…some questions.</t>
        </is>
      </c>
      <c r="C932" t="inlineStr">
        <is>
          <t xml:space="preserve">**UPDATE**: I think you guys hit me where it hurts--my intelligence.  If a stupid person wouldn't go to the doctor for diabetes, and I'm not a stupid person, then I should go to the doctor for diabetes…or at least that's my post-hoc analysis.  Either way, **I just got back from the doctor, and I got my blood drawn for a diabetes test.**  Fortunately I hadn't eaten in the past ~12 hours, so that worked out well.  I'll hear back about my results tomorrow.   Thanks everyone, in a weird way, for revealing my stupidity.  
Long post…
**The Past**
So I've been skinny my whole life (5'9" 125-130lbs), and in general I thought diabetes was a disease of obesity.  If I wasn't overweight, I was fine.  However, from high school to my third year of college (~6-7 years) I was eating a  high-carb, highly processed diet and lived a pretty sedentary lifestyle.  But I was skinny.
During my third year of college I began to develop (unbeknownst to me) classic type 2 symptoms: excessive unquenchable thirst, excessive urination, and tingling in my hands and feet.   I was completely ignorant about this.  I didn't understand that these symptoms were related to diabetes, so I did nothing.
I (fortuitously) decided to go on a ketogenic diet (unrelated to my above symptoms), as I began seeing around reddit the potential maladies associated with high carb intake.  Since then, I had dropped my daily carb intake dramatically, but I'd freely indulge every now and then.
It only became apparent to me a few months ago that my symptoms were likely indicative of diabetes.  I had constant dry mouth and an occasional bout of excessive thirst, even on a relatively low carb diet.
**The Present**
I have been too afraid to go to a doctor.  My whole family is pretty healthy.  They're all relatively skinny like me.  It would be very embarrassing. I also don't want the burden of having to check my blood sugar constantly, etc.
*While I know it's irresponsible of me not go to see a doctor, I'm simply not in a place psychologically to go do that.  Hopefully I will come around, for my sake.*
Because I'm not (presently) seeking out a doctor's help, I've taken it upon myself to eat a low GI diet and exercise almost everyday.  My diet now mainly consists of lots of vegetables (typically asparagus, broccoli, mushrooms, spinach), chicken (sometimes other meat), cheese, occasionally some nuts, and olive oil.  I avoid all carbs, although I will occasionally eat beans.
Almost every day for the past 3 weeks I've gone running (or whatever fancy cardio machines the gym has).  If I can't help but eat a cupcake at a social event, I immediately go running afterward.  If I feel dry mouth coming on, I go running.  After lunch or dinner, I go running.  Exercise has become my diabetes medicine.
My dry mouth has completely disappeared.  My thirst is back to normal.  No tingling.  Regular urination.  No *superficial* diabetes symptoms.  (I know that the only way to truly know about my blood sugar is to test it directly.) 
**So my questions to you all: Is this sustainable?  How irresponsible am I being? I welcome absolutely any advice.**
----------------------------------------------------------------------------
**TLDR**:  Been skinny whole life, but ate poorly, no exercise.  Developed diabetes symptoms (thirsty, urine, tingling), but didn't know what they were.  Went on ketogenic diet randomly.  Been having dry mouth a lot--put the pieces together: diabetes.  Haven't seen a doctor, too afraid.  I now eat a low GI diet, run almost every day. No apparent diabetes symptoms.  Now see the questions above.
----------------------------------------------------------------------------
</t>
        </is>
      </c>
      <c r="D932" t="n">
        <v>2</v>
      </c>
      <c r="E932" t="n">
        <v>18</v>
      </c>
      <c r="F932">
        <f>HYPERLINK("https://www.reddit.com/r/diabetes/comments/35t78f/unmedicated_undiagnosed_type_2some_questions/")</f>
        <v/>
      </c>
      <c r="G932" t="inlineStr">
        <is>
          <t>2015-05-13 01:38:58</t>
        </is>
      </c>
      <c r="H932" t="inlineStr">
        <is>
          <t>Type 2</t>
        </is>
      </c>
    </row>
    <row r="933">
      <c r="A933" t="inlineStr">
        <is>
          <t>35u1bf</t>
        </is>
      </c>
      <c r="B933" t="inlineStr">
        <is>
          <t>Type 1 breakfast highs</t>
        </is>
      </c>
      <c r="C933" t="inlineStr">
        <is>
          <t>I was diagnosed a little over 2 years ago. I have very good control with A1C usually around high 5's low 6. My last was a little higher at 6.6 and I think this rise comes from high's i've been experiencing at breakfast. 
It seems that no matter what I eat I keep spiking up to 250ish. I changed my carb ratio from 15/1 to 10/1 and that hasn't helped. All I ate today were two eggs and a piece of 100% whole wheat toast with 23g carbs 7g of fiber and I'm currently at 240. This is new over about the past month and a half. Has anybody experienced anything similar?</t>
        </is>
      </c>
      <c r="D933" t="n">
        <v>13</v>
      </c>
      <c r="E933" t="n">
        <v>26</v>
      </c>
      <c r="F933">
        <f>HYPERLINK("https://www.reddit.com/r/diabetes/comments/35u1bf/type_1_breakfast_highs/")</f>
        <v/>
      </c>
      <c r="G933" t="inlineStr">
        <is>
          <t>2015-05-13 07:38:53</t>
        </is>
      </c>
      <c r="H933" t="inlineStr">
        <is>
          <t>Type 1</t>
        </is>
      </c>
    </row>
    <row r="934">
      <c r="A934" t="inlineStr">
        <is>
          <t>35ujjp</t>
        </is>
      </c>
      <c r="B934" t="inlineStr">
        <is>
          <t>Lipoatrophy caused by an Insulin pump, how do I treat it?</t>
        </is>
      </c>
      <c r="C934" t="inlineStr">
        <is>
          <t>My girlfriend have had diabetes (type-1) since she was nine years old, after using an Insulin pump for several years she developed Lipoatrophy in both her tights, the insulin type she used back then called "Novorapid", the condition was cured on it own after she changed the injection site to her buttocks. Unfortunately, after a year of using the Insulin pump in the sides of her buttocks, she developed Lipoatrophy there too, she stopped using the pump after the latter. she now has two "sockets" in the sides of her buttocks caused by the insulin injections, this affects her deeply as she is young and naturally embarrassed because of this issue.
We are trying to find a treatment that might help, we don't want to treat it using a cosmetic treatment and would use it as a last resort.
Please share any information you can regarding treating this phenomenon.
Thanks!</t>
        </is>
      </c>
      <c r="D934" t="n">
        <v>3</v>
      </c>
      <c r="E934" t="n">
        <v>3</v>
      </c>
      <c r="F934">
        <f>HYPERLINK("https://www.reddit.com/r/diabetes/comments/35ujjp/lipoatrophy_caused_by_an_insulin_pump_how_do_i/")</f>
        <v/>
      </c>
      <c r="G934" t="inlineStr">
        <is>
          <t>2015-05-13 10:02:14</t>
        </is>
      </c>
      <c r="H934" t="inlineStr">
        <is>
          <t>Type 1</t>
        </is>
      </c>
    </row>
    <row r="935">
      <c r="A935" t="inlineStr">
        <is>
          <t>35usp7</t>
        </is>
      </c>
      <c r="B935" t="inlineStr">
        <is>
          <t>No antibodies - but low (fasting) c-peptide and insulin</t>
        </is>
      </c>
      <c r="C935" t="inlineStr">
        <is>
          <t xml:space="preserve">Hello,
I am the one from this thread: http://www.reddit.com/r/diabetes/comments/2v36cx/high_postprandials_beta_blockers_and_lada/
(Summary: 33 years old. BMI 21. No diabetes in my family, not even distant relatives. "Normal" fasting glucose and hba1c, yet HIGH postprandials &amp;gt; 200 occasionally, depending on what I eat.)
I checked for LADA since I read that that is most likely with my stats ("young age", normal weight, and no diabetes in the family).
Ordered a whole range of blood panels (I didn't eat 12 hours before they took my blood and had no coffee or anything at all in the morning either, so these are completely fasting numbers) and here are the results (lab reference in brackets):
Glucose: 	      92 		mg/dl                  	(&amp;lt; 100)
Hba1c: 	      5.2 		%       			(&amp;lt; 6.2 %)
(I know, I know. Both bad according to Doc Bernstein. Hba1c used to be 5.1% in February, so it climbed up a bit here.)
MBG: 	      103 		mg/dl 			(&amp;lt;120)
Hemoglobine    13.9 		g/dl 			        (12.0 - 16.0)
Hematocrit:      41.1 		% 			        (36 - 47)
(so no "false low" hba1c due to anemia or some $h!t)
ICA:               negative                                 (&amp;lt; 3.125 JDF-Units)
GAD-65:        &amp;lt; 0.3              U/ml                 (&amp;lt;1.0)
IA-2:             &amp;lt; 0.8              U/ml                 (&amp;lt;1.0)
IAA:              &amp;lt;0.4               U/ml                 (&amp;lt;0.4)
(so far, so good. Now for the bad stuff:)
C-Peptide basal: 1.3 		ng/l 			(1.4 - 5.4)
Insulin basal:     1.9 		mU/l 			(5.0 - 30.0)
HOMA-IR:		0.4 					(&amp;lt; 2.5)
I have tons of other values too but I don't think they would be too interesting or matter much here. Lipids are all perfect. Kidney and liver too. 
Summary: 
no Insulin resistance (no Type 2?). 
No antibodies (no Type 1?). 
But low C-Peptide and Insulin - wth is wrong with me?
Am I such an early LADA case that my endogenous Insulin production is failing despite lack of antibodies? Am I one of those supposed 30% who don't show antibodies despite being LADA?
What else can I do or should I test for in order to find out what's wrong with me? Can any one of you make sense of these results?
</t>
        </is>
      </c>
      <c r="D935" t="n">
        <v>1</v>
      </c>
      <c r="E935" t="n">
        <v>13</v>
      </c>
      <c r="F935">
        <f>HYPERLINK("https://www.reddit.com/r/diabetes/comments/35usp7/no_antibodies_but_low_fasting_cpeptide_and_insulin/")</f>
        <v/>
      </c>
      <c r="G935" t="inlineStr">
        <is>
          <t>2015-05-13 11:10:52</t>
        </is>
      </c>
      <c r="H935" t="inlineStr">
        <is>
          <t>Type 1.5/LADA</t>
        </is>
      </c>
    </row>
    <row r="936">
      <c r="A936" t="inlineStr">
        <is>
          <t>361fk5</t>
        </is>
      </c>
      <c r="B936" t="inlineStr">
        <is>
          <t>Does anyone else not wake up when there low?</t>
        </is>
      </c>
      <c r="C936" t="inlineStr">
        <is>
          <t>Its happened a couple of times now where i'll wake up and my blood sugar will be 30. how do you guys deal with this, i haven't had a restful sleep in months.</t>
        </is>
      </c>
      <c r="D936" t="n">
        <v>1</v>
      </c>
      <c r="E936" t="n">
        <v>9</v>
      </c>
      <c r="F936">
        <f>HYPERLINK("https://www.reddit.com/r/diabetes/comments/361fk5/does_anyone_else_not_wake_up_when_there_low/")</f>
        <v/>
      </c>
      <c r="G936" t="inlineStr">
        <is>
          <t>2015-05-15 00:59:30</t>
        </is>
      </c>
      <c r="H936" t="inlineStr">
        <is>
          <t>Type 1</t>
        </is>
      </c>
    </row>
    <row r="937">
      <c r="A937" t="inlineStr">
        <is>
          <t>363rfc</t>
        </is>
      </c>
      <c r="B937" t="inlineStr">
        <is>
          <t>Paleo diet and T1?</t>
        </is>
      </c>
      <c r="C937" t="inlineStr">
        <is>
          <t>Hi all. My SO is a T1 diabetic with diagnosed celiac disease and very likely a lactose intolerance. We'd been discussing the benefits of a keto diet, but of he does have lactose intolerance that eliminates cheese and dairy-definitely useful pieces of the keto diet. 
Now I'm wondering how a Paleo diet would work for him? By nature it's a diet that has little gluten and dairy, and seems to err on the side of lowish carb (correct me if I'm wrong). Have any T1s tried it? What have your experiences been? Did it help with lowering insulin needs? Weight loss? Easier glucose control? 
I should add I would never tell him what to do for his diabetes. This has been a question in the back of my mind and it is becoming more relevant. He's curious what kind of experiences T1s have had with paleo as well. 
Thanks!</t>
        </is>
      </c>
      <c r="D937" t="n">
        <v>2</v>
      </c>
      <c r="E937" t="n">
        <v>15</v>
      </c>
      <c r="F937">
        <f>HYPERLINK("https://www.reddit.com/r/diabetes/comments/363rfc/paleo_diet_and_t1/")</f>
        <v/>
      </c>
      <c r="G937" t="inlineStr">
        <is>
          <t>2015-05-15 14:28:11</t>
        </is>
      </c>
      <c r="H937" t="inlineStr">
        <is>
          <t>Type 1</t>
        </is>
      </c>
    </row>
    <row r="938">
      <c r="A938" t="inlineStr">
        <is>
          <t>364vor</t>
        </is>
      </c>
      <c r="B938" t="inlineStr">
        <is>
          <t>When things get physical... [Child Care]</t>
        </is>
      </c>
      <c r="C938" t="inlineStr">
        <is>
          <t>My son is a 12 year old T1 on a pump.  9 times out of 10, we change his pump site with little resistance.  It's the 10th time out of 10 I'm concerned about.
He will resist having his site changed, until eventually it (the site) comes out.  At that point, we move on into verbal and eventually physical resistance.  After several hours of cajoling, bargaining, and begging, we eventually have to physically restrain him and insert a new site.
Needless to say, all three of us hate this.  (All four, really - it's not doing my daughter any good to have Friday Night Smackdown in the living room.)  But, it's either that or another DKA incident at the ER.
Some of you here have potentially grown up with a pump.  Some of you here are parents with a child on a pump.  My son is only getting bigger and stronger - obviously, we can't keep physically forcing him to cooperate.
I'd appreciate any advice on how to handle this reticence.  Trust me, I know it sucks for him.  I can only be practical and stoic for so long - my wife is already having emotional difficulties with what we have to do.  So, if I'm missing a trick, or I'm not considering something, I'd love to know what it is.  Thanks.</t>
        </is>
      </c>
      <c r="D938" t="n">
        <v>2</v>
      </c>
      <c r="E938" t="n">
        <v>8</v>
      </c>
      <c r="F938">
        <f>HYPERLINK("https://www.reddit.com/r/diabetes/comments/364vor/when_things_get_physical_child_care/")</f>
        <v/>
      </c>
      <c r="G938" t="inlineStr">
        <is>
          <t>2015-05-15 21:05:20</t>
        </is>
      </c>
      <c r="H938" t="inlineStr">
        <is>
          <t>Type 1</t>
        </is>
      </c>
    </row>
    <row r="939">
      <c r="A939" t="inlineStr">
        <is>
          <t>364z8i</t>
        </is>
      </c>
      <c r="B939" t="inlineStr">
        <is>
          <t>MODY or some strange honeymoon?</t>
        </is>
      </c>
      <c r="C939" t="inlineStr">
        <is>
          <t>So I've been type 1 for almost a year. I also started showing symptoms about a year before being officially diagnosed or starting on insulin. Diagnosed with an a1c of 15.4, things were a bit on the high side. Anyways the first time I saw an endo I was given whatever test it is to see which type of diabetes I had, and the doctor says I'm a t1 diabetic for sure. So anyways fast forward to today, and I take no long acting insulin. If I take even 2 units of levemir, all it does is slowly lower my blood sugar over night. My body for whatever reason produces insulin constantly the exact perfect level of basal insulin to keep my BG completely even. Now that sounds like typical honeymooning but heres what is strange and perplexing to me:
My bodys basal insulin does not correct itself, at all. If I go to bed at 300, my body will make no attempt to correct itself and I will wake up at 300. Also if I go to bed at 90, I will wake up at 90. Well briefly, and within about a half hour of waking I will be at 140+ (Dexcom).
I take the golden standard 1:10 ratio, and have been since my blood sugars normalized. (When first diagnosed my ratio was reversed for the first month lol). I never got to experience the typical honeymoon bolusing of an extremely low dose of insulin and still never going over 170.
I also have no mealtime help from my bodys natural insulin. It's not hard at all for me to be off on a bolus by a unit or 2 and end up in the 200s. Even carbless meals I have to bolus for.
Soo, what gives? Do I just accept my fate that eventually my body will completely stop making insulin or do I have hopes I have some possible sub sect of diabetes?</t>
        </is>
      </c>
      <c r="D939" t="n">
        <v>1</v>
      </c>
      <c r="E939" t="n">
        <v>1</v>
      </c>
      <c r="F939">
        <f>HYPERLINK("https://www.reddit.com/r/diabetes/comments/364z8i/mody_or_some_strange_honeymoon/")</f>
        <v/>
      </c>
      <c r="G939" t="inlineStr">
        <is>
          <t>2015-05-15 21:48:06</t>
        </is>
      </c>
      <c r="H939" t="inlineStr">
        <is>
          <t>Type 1</t>
        </is>
      </c>
    </row>
    <row r="940">
      <c r="A940" t="inlineStr">
        <is>
          <t>368n1i</t>
        </is>
      </c>
      <c r="B940" t="inlineStr">
        <is>
          <t>Blood Sugar is High... What to do?</t>
        </is>
      </c>
      <c r="C940" t="inlineStr">
        <is>
          <t>I was diagnosed about two weeks ago with T1. Since starting on MDI my sugar has been very much in control. I take 10 units of long acting Lantus each night and 2 units of short acting Novalog before meals. 
Before going to bed (which I wanted to do an hour ago) I checked my sugar and was at 270. I injected 1 unit of Novalog to try to bring it down.
I just checked again and I'm at 280. I'm drinking more water and doing some sit ups and push ups to try to bring it down. I want to get it down to 180 before going to bed. Any tips?</t>
        </is>
      </c>
      <c r="D940" t="n">
        <v>4</v>
      </c>
      <c r="E940" t="n">
        <v>24</v>
      </c>
      <c r="F940">
        <f>HYPERLINK("https://www.reddit.com/r/diabetes/comments/368n1i/blood_sugar_is_high_what_to_do/")</f>
        <v/>
      </c>
      <c r="G940" t="inlineStr">
        <is>
          <t>2015-05-16 22:59:43</t>
        </is>
      </c>
      <c r="H940" t="inlineStr">
        <is>
          <t>Type 1</t>
        </is>
      </c>
    </row>
    <row r="941">
      <c r="A941" t="inlineStr">
        <is>
          <t>36bbk3</t>
        </is>
      </c>
      <c r="B941" t="inlineStr">
        <is>
          <t>Pump Help - Recommendations and insights?</t>
        </is>
      </c>
      <c r="C941" t="inlineStr">
        <is>
          <t>Wife and I have started talking CGM and Pump(s) with our 7-year old son's Endo.  Know there's lots out there and we're going to do research and talk to sales reps for different kinds.
But, this has been a great resource for us and I figure some of you may have experiences and insights to share as we begin looking to travel down this path.
Pros/Cons of the pump in general, different types/brands, etc.?  Any info is greatly appreciated!</t>
        </is>
      </c>
      <c r="D941" t="n">
        <v>2</v>
      </c>
      <c r="E941" t="n">
        <v>4</v>
      </c>
      <c r="F941">
        <f>HYPERLINK("https://www.reddit.com/r/diabetes/comments/36bbk3/pump_help_recommendations_and_insights/")</f>
        <v/>
      </c>
      <c r="G941" t="inlineStr">
        <is>
          <t>2015-05-17 17:05:06</t>
        </is>
      </c>
      <c r="H941" t="inlineStr">
        <is>
          <t>Type 1</t>
        </is>
      </c>
    </row>
    <row r="942">
      <c r="A942" t="inlineStr">
        <is>
          <t>36bogx</t>
        </is>
      </c>
      <c r="B942" t="inlineStr">
        <is>
          <t>Any other T1.5 or "unusual" cases out there? 33(m)</t>
        </is>
      </c>
      <c r="C942" t="inlineStr">
        <is>
          <t xml:space="preserve">I was diagnosed on April 1 with diabetes after a couple of months of weight loss, excessive thirst, etc. Doctors at the hospital diagnosed me with T2. They put me on insulin and metformin. Fast forward to last Wednesday - first appointment with my endocrinologist. After going through my blood work and whatnot, he said that while my onset screams type 2, my blood leans type 1 due to low c-peptide and the presence of antibodies. He said I am still showing some pancreatic function (is this what you all call the honeymoon?).  He diagnosed me as somewhere between type 1 and type 2. 
Anyway, my query is... What has your experience been? Any ideas what I should expect? I feel like an outcast... I don't fit in with either! Just kidding on the last part.  My doc also told me to consider doing the advanced carb counting/bolisinf instead of just NPH + lispro before meals on a graduated scale. Any advice? </t>
        </is>
      </c>
      <c r="D942" t="n">
        <v>1</v>
      </c>
      <c r="E942" t="n">
        <v>14</v>
      </c>
      <c r="F942">
        <f>HYPERLINK("https://www.reddit.com/r/diabetes/comments/36bogx/any_other_t15_or_unusual_cases_out_there_33m/")</f>
        <v/>
      </c>
      <c r="G942" t="inlineStr">
        <is>
          <t>2015-05-17 19:07:33</t>
        </is>
      </c>
      <c r="H942" t="inlineStr">
        <is>
          <t>Type 1.5/LADA</t>
        </is>
      </c>
    </row>
    <row r="943">
      <c r="A943" t="inlineStr">
        <is>
          <t>36ci75</t>
        </is>
      </c>
      <c r="B943" t="inlineStr">
        <is>
          <t>Diabetic kidney disease diet</t>
        </is>
      </c>
      <c r="C943" t="inlineStr">
        <is>
          <t>Hi, my mother has diabetes for almost 15 years now, we found almost an year ago that protein leakage in urine has started and it's kind of at the higher level. I wanted to know, about the kind of food that she should be eating so the kidneys can process the food better? Any ideas/help are welcome, as we really need to know what has to be done, as it is no way reducing and the level keeps increasing.</t>
        </is>
      </c>
      <c r="D943" t="n">
        <v>2</v>
      </c>
      <c r="E943" t="n">
        <v>2</v>
      </c>
      <c r="F943">
        <f>HYPERLINK("https://www.reddit.com/r/diabetes/comments/36ci75/diabetic_kidney_disease_diet/")</f>
        <v/>
      </c>
      <c r="G943" t="inlineStr">
        <is>
          <t>2015-05-18 00:48:55</t>
        </is>
      </c>
      <c r="H943" t="inlineStr">
        <is>
          <t>Type 2</t>
        </is>
      </c>
    </row>
    <row r="944">
      <c r="A944" t="inlineStr">
        <is>
          <t>36fj6l</t>
        </is>
      </c>
      <c r="B944" t="inlineStr">
        <is>
          <t>I feel like I need a wake up call... I haven't been taking my health seriously and my weight has crept back up to almost its highest point, my sugars are not good, and I'm tired constantly, at only 21 years old.</t>
        </is>
      </c>
      <c r="C944" t="inlineStr">
        <is>
          <t>A few years back I lost about 60 pounds using Myfitnesspal and C25K and I looked and felt hella nice. I had a baby back in September, so I gained all my weight back sans ten pounds, which is where I've stayed for months. I've been eating junk food galore and I just can't find the drive to figure out how to get back to eating healthy. Exercise is very difficult as well, since I am a single working mom, so it's either baby or work. I'm not trying to make excuses and I know I need to do something about it, but I feel like I need someone to give me a kick in the pants. What sort of terrible damage am I doing to my body, in relation to my diabetes? My sugars have been not the worst they've ever been, but I know I can do MUCH better. I need to permanently hop on the health train and I feel like I keep missing it. Any advice is appreciated!</t>
        </is>
      </c>
      <c r="D944" t="n">
        <v>1</v>
      </c>
      <c r="E944" t="n">
        <v>10</v>
      </c>
      <c r="F944">
        <f>HYPERLINK("https://www.reddit.com/r/diabetes/comments/36fj6l/i_feel_like_i_need_a_wake_up_call_i_havent_been/")</f>
        <v/>
      </c>
      <c r="G944" t="inlineStr">
        <is>
          <t>2015-05-18 17:06:41</t>
        </is>
      </c>
      <c r="H944" t="inlineStr">
        <is>
          <t>Type 1</t>
        </is>
      </c>
    </row>
    <row r="945">
      <c r="A945" t="inlineStr">
        <is>
          <t>36jfn3</t>
        </is>
      </c>
      <c r="B945" t="inlineStr">
        <is>
          <t>Iodine</t>
        </is>
      </c>
      <c r="C945" t="inlineStr">
        <is>
          <t xml:space="preserve">Hi there! As mentioned in previous posts - I struggle with severe Keratosis Pilaris (chicken skin). I also have cold feet and pretty fine hair. I know that these are all symptoms of hypothyroid but all tests have come back fine! I have type 1 diabetes and know that insulin can mess with some stuff. Has anyone experiences any improvements when taking iodine supplements? If so, I would love to hear!!!! </t>
        </is>
      </c>
      <c r="D945" t="n">
        <v>2</v>
      </c>
      <c r="E945" t="n">
        <v>1</v>
      </c>
      <c r="F945">
        <f>HYPERLINK("https://www.reddit.com/r/diabetes/comments/36jfn3/iodine/")</f>
        <v/>
      </c>
      <c r="G945" t="inlineStr">
        <is>
          <t>2015-05-19 13:51:02</t>
        </is>
      </c>
      <c r="H945" t="inlineStr">
        <is>
          <t>Type 1</t>
        </is>
      </c>
    </row>
    <row r="946">
      <c r="A946" t="inlineStr">
        <is>
          <t>36jrzm</t>
        </is>
      </c>
      <c r="B946" t="inlineStr">
        <is>
          <t>Type 1: Something kind of weird with my numbers. Thoughts?</t>
        </is>
      </c>
      <c r="C946" t="inlineStr">
        <is>
          <t>Hey, I've been a type 1 for a few years and have been using the Omnipod for two I believe.  My numbers are always really good, like almost too good for my endo as she often keep readjusting my ratios to bring my A1C up as she worries about the risk for lows. My ratio is 1 unit per 10 gs of carbs Anyways, this morning I had a huge bowl of Raisin Bran for breakfast (prob 40gs of carbs) and when it came lunch time, I realized that I had completely forgotten in the chaos of the morning prep to bolus at breakfast. I went to check my blood sugar expecting a massive high, but it was instead super normal (4.4), maybe even a touch low. This really confused me and I have no explanation whatsoever. I was not physical the whole morning, and was just sitting at my desk at work.  Has this ever happened to anyone? Any thoughts?</t>
        </is>
      </c>
      <c r="D946" t="n">
        <v>1</v>
      </c>
      <c r="E946" t="n">
        <v>2</v>
      </c>
      <c r="F946">
        <f>HYPERLINK("https://www.reddit.com/r/diabetes/comments/36jrzm/type_1_something_kind_of_weird_with_my_numbers/")</f>
        <v/>
      </c>
      <c r="G946" t="inlineStr">
        <is>
          <t>2015-05-19 15:14:08</t>
        </is>
      </c>
      <c r="H946" t="inlineStr">
        <is>
          <t>Type 1</t>
        </is>
      </c>
    </row>
    <row r="947">
      <c r="A947" t="inlineStr">
        <is>
          <t>36js4h</t>
        </is>
      </c>
      <c r="B947" t="inlineStr">
        <is>
          <t>blood glucose is always higher in the morning</t>
        </is>
      </c>
      <c r="C947" t="inlineStr">
        <is>
          <t>Type 2:
I don't really know what to make of this. My blood sugar in the morning is usually 110-120 but 2 hours after eating it is always right around 100. It actually goes down when I eat.
I'm on a ketogenic diet, was out of control a couple of months ago, had 310 fasting blood sugar but keto has brought it way down. 
Just wondering if anyone else experiences the same thing. It seems like it's too high in the morning and too low after eating.</t>
        </is>
      </c>
      <c r="D947" t="n">
        <v>3</v>
      </c>
      <c r="E947" t="n">
        <v>6</v>
      </c>
      <c r="F947">
        <f>HYPERLINK("https://www.reddit.com/r/diabetes/comments/36js4h/blood_glucose_is_always_higher_in_the_morning/")</f>
        <v/>
      </c>
      <c r="G947" t="inlineStr">
        <is>
          <t>2015-05-19 15:15:15</t>
        </is>
      </c>
      <c r="H947" t="inlineStr">
        <is>
          <t>Type 2</t>
        </is>
      </c>
    </row>
    <row r="948">
      <c r="A948" t="inlineStr">
        <is>
          <t>36li5v</t>
        </is>
      </c>
      <c r="B948" t="inlineStr">
        <is>
          <t>Mom is T2 and just got diagnosed with pancreatic cancer. Possible T2 prescription drug connection?</t>
        </is>
      </c>
      <c r="C948" t="inlineStr">
        <is>
          <t xml:space="preserve">Hi all, 
I'm T1 and my mom is T2. Recently she was diagnosed with stage 3 pancreatic cancer. She has been on nearly all of the drugs given to T2s including Byetta and Januvia. I've heard that those two drugs in particular have been associated with pancreatic cancer. Do any T2s out there have any experience or knowledge with this? </t>
        </is>
      </c>
      <c r="D948" t="n">
        <v>4</v>
      </c>
      <c r="E948" t="n">
        <v>4</v>
      </c>
      <c r="F948">
        <f>HYPERLINK("https://www.reddit.com/r/diabetes/comments/36li5v/mom_is_t2_and_just_got_diagnosed_with_pancreatic/")</f>
        <v/>
      </c>
      <c r="G948" t="inlineStr">
        <is>
          <t>2015-05-20 00:13:17</t>
        </is>
      </c>
      <c r="H948" t="inlineStr">
        <is>
          <t>Type 2</t>
        </is>
      </c>
    </row>
    <row r="949">
      <c r="A949" t="inlineStr">
        <is>
          <t>36nbib</t>
        </is>
      </c>
      <c r="B949" t="inlineStr">
        <is>
          <t>If a type 1 doesn't eat for a few days, and doesn't take insulin during that time, what will their BG typically do?</t>
        </is>
      </c>
      <c r="C949" t="inlineStr">
        <is>
          <t>I ask because I am a fairly new type 1 and on 2 separate occasions now I didn't eat anything for a couple of days (sick) and I also didn't inject basal, but my blood sugar was a stable 6 the entire time. 
Everything I have read or understood on the matter has me thinking that it should not have been that way. 
Is this a honey-moon thing, or normal? 
Obviously I will ask my endo on my next appointment, but I was just curious if there were similar experiences.
Thanks.</t>
        </is>
      </c>
      <c r="D949" t="n">
        <v>6</v>
      </c>
      <c r="E949" t="n">
        <v>27</v>
      </c>
      <c r="F949">
        <f>HYPERLINK("https://www.reddit.com/r/diabetes/comments/36nbib/if_a_type_1_doesnt_eat_for_a_few_days_and_doesnt/")</f>
        <v/>
      </c>
      <c r="G949" t="inlineStr">
        <is>
          <t>2015-05-20 10:13:42</t>
        </is>
      </c>
      <c r="H949" t="inlineStr">
        <is>
          <t>Type 1</t>
        </is>
      </c>
    </row>
    <row r="950">
      <c r="A950" t="inlineStr">
        <is>
          <t>36rtj9</t>
        </is>
      </c>
      <c r="B950" t="inlineStr">
        <is>
          <t>Possible Diagnosis</t>
        </is>
      </c>
      <c r="C950" t="inlineStr">
        <is>
          <t>I've had some pretty severe health problems the past 3 days. I had a severe allergic reaction and been in and out of the hospital. 
I went back to my doc yesterday and she's very concerned of my blood glucose level. I'm F/27/150 lbs and it was 268 (us) after fasting (I went in after waking up and hadn't eaten breakfast). Unfortunately I'm on a lot of meds right now for my lungs and she doesn't want to test until next week.
I'm freaking out and know nothing about diabetes. I'm a teacher and have taken care of a few type 1s but the nurse did everything medical wise. Any suggestions or help would be appreciated.</t>
        </is>
      </c>
      <c r="D950" t="n">
        <v>3</v>
      </c>
      <c r="E950" t="n">
        <v>18</v>
      </c>
      <c r="F950">
        <f>HYPERLINK("https://www.reddit.com/r/diabetes/comments/36rtj9/possible_diagnosis/")</f>
        <v/>
      </c>
      <c r="G950" t="inlineStr">
        <is>
          <t>2015-05-21 09:48:08</t>
        </is>
      </c>
      <c r="H950" t="inlineStr">
        <is>
          <t>Type 2</t>
        </is>
      </c>
    </row>
    <row r="951">
      <c r="A951" t="inlineStr">
        <is>
          <t>36sn4x</t>
        </is>
      </c>
      <c r="B951" t="inlineStr">
        <is>
          <t>Running and Increasing Blood Sugar</t>
        </is>
      </c>
      <c r="C951" t="inlineStr">
        <is>
          <t xml:space="preserve">Hey guys!
So after breaking my pinkie toe I am finally able to run again but last week I went for a run and my blood sugar plummeted to 1.4. My sugars went crazy for a few days and since then I have been on 2 runs.
 On these runs I would eat a banana 30 minutes before to bring up the carbs and would go with a starting BG of 10 and both times after the long-ish run (5k) I would have an increase of BG to 12.5
What should I do to counteract this? </t>
        </is>
      </c>
      <c r="D951" t="n">
        <v>1</v>
      </c>
      <c r="E951" t="n">
        <v>9</v>
      </c>
      <c r="F951">
        <f>HYPERLINK("https://www.reddit.com/r/diabetes/comments/36sn4x/running_and_increasing_blood_sugar/")</f>
        <v/>
      </c>
      <c r="G951" t="inlineStr">
        <is>
          <t>2015-05-21 13:13:05</t>
        </is>
      </c>
      <c r="H951" t="inlineStr">
        <is>
          <t>Type 1</t>
        </is>
      </c>
    </row>
    <row r="952">
      <c r="A952" t="inlineStr">
        <is>
          <t>36t7hu</t>
        </is>
      </c>
      <c r="B952" t="inlineStr">
        <is>
          <t>[Type 1]Just saw a new doctor</t>
        </is>
      </c>
      <c r="C952" t="inlineStr">
        <is>
          <t>I haven't seen a doctor for a few years. I have been sticking with R/N insulin from Walmart because it is cheap and easy. I just got new insurance and started with Kaiser in the LA area. I went to see my doctor and I am not sure how I feel.
So first of all she recommended I stick with the R/N insulin. This is different from every doctor I have seen in my life, which all recommend using 24hr insulin with the rapid acting novolog, etc. With a prescription it is only slightly cheaper than just going to Walmart, bleh...
Second, she told me it was a good thing I'm on insulin. I gave her a peculiar look and asked what else would I be on. She told me pills. I reiterated I am type 1, where she told me some type 1's are on pills. This... is news to me.
Anyone see anything wrong here? Should I get another doctor? She was assigned to my automatically. I can try and get a specialist instead.</t>
        </is>
      </c>
      <c r="D952" t="n">
        <v>9</v>
      </c>
      <c r="E952" t="n">
        <v>27</v>
      </c>
      <c r="F952">
        <f>HYPERLINK("https://www.reddit.com/r/diabetes/comments/36t7hu/type_1just_saw_a_new_doctor/")</f>
        <v/>
      </c>
      <c r="G952" t="inlineStr">
        <is>
          <t>2015-05-21 15:44:09</t>
        </is>
      </c>
      <c r="H952" t="inlineStr">
        <is>
          <t>Type 1</t>
        </is>
      </c>
    </row>
    <row r="953">
      <c r="A953" t="inlineStr">
        <is>
          <t>36v6fj</t>
        </is>
      </c>
      <c r="B953" t="inlineStr">
        <is>
          <t>Diabetic Retinopathy / Diabetic maculopathy Support - UK</t>
        </is>
      </c>
      <c r="C953" t="inlineStr">
        <is>
          <t xml:space="preserve">I'm 33 and have diabetic retinopathy and diabetic maculopathy, been diabetic for 28 years.
I'm not coping too well with it. Are there any online support groups for people my age with this condition?
I'm in the UK
</t>
        </is>
      </c>
      <c r="D953" t="n">
        <v>3</v>
      </c>
      <c r="E953" t="n">
        <v>8</v>
      </c>
      <c r="F953">
        <f>HYPERLINK("https://www.reddit.com/r/diabetes/comments/36v6fj/diabetic_retinopathy_diabetic_maculopathy_support/")</f>
        <v/>
      </c>
      <c r="G953" t="inlineStr">
        <is>
          <t>2015-05-22 04:27:46</t>
        </is>
      </c>
      <c r="H953" t="inlineStr">
        <is>
          <t>Type 1</t>
        </is>
      </c>
    </row>
    <row r="954">
      <c r="A954" t="inlineStr">
        <is>
          <t>36vys3</t>
        </is>
      </c>
      <c r="B954" t="inlineStr">
        <is>
          <t>Celebrating the small stuff</t>
        </is>
      </c>
      <c r="C954" t="inlineStr">
        <is>
          <t xml:space="preserve">I just went to pick up my bloodwork today. Since I'm living in sub-saharan Africa, I was able to sneak a peek at my results since I'm the one who will deliver them to my doctor. 
Let me just preface this with a bit of background info. My last AIC was 10.8%. It's been like that for a long time to the point that I didn't even bother getting bloodwork done because I just didn't want to know the crappy results. The nature of my career makes diabetes management very tricky. It's ridiculously stressful and unfortunately, the effect it has on me is that I forget about my health until my sugars are off the charts. 
I'm finally starting to settle into my lifestyle a little more and I've been putting in a lot of effort into my diabetes lately - especially because I want to try to get pregnant and I want to be as healthy as possible before I go down that road. 
So today, when I opened the envelope and saw that it came down to 9.2%, I was thrilled! Now I know that's not the ideal, but it just felt really good for me. I feel like 8% is totally within reach and 7 and 6 are not far off. It's just been a nice little boost that I needed to keep me going and I wanted to share with others who know what it's like. </t>
        </is>
      </c>
      <c r="D954" t="n">
        <v>9</v>
      </c>
      <c r="E954" t="n">
        <v>9</v>
      </c>
      <c r="F954">
        <f>HYPERLINK("https://www.reddit.com/r/diabetes/comments/36vys3/celebrating_the_small_stuff/")</f>
        <v/>
      </c>
      <c r="G954" t="inlineStr">
        <is>
          <t>2015-05-22 08:41:30</t>
        </is>
      </c>
      <c r="H954" t="inlineStr">
        <is>
          <t>Type 1</t>
        </is>
      </c>
    </row>
    <row r="955">
      <c r="A955" t="inlineStr">
        <is>
          <t>36w81f</t>
        </is>
      </c>
      <c r="B955" t="inlineStr">
        <is>
          <t>Any non-medicated Type 2 diabetics here?</t>
        </is>
      </c>
      <c r="C955" t="inlineStr">
        <is>
          <t>Hi,
just got deleted from /r/fitness, so I'm posting here. 
I've signed up with my Gym today and will start training tomorrow. What do you guys eat before and after training?
How much time do you leave between meals? Because I'm eating every four hours and I'm not sure if I should eat more frequently when I'm training. 
I'm not on Metformin or Insulin and control my sugar with diet only.
Thanks.</t>
        </is>
      </c>
      <c r="D955" t="n">
        <v>3</v>
      </c>
      <c r="E955" t="n">
        <v>5</v>
      </c>
      <c r="F955">
        <f>HYPERLINK("https://www.reddit.com/r/diabetes/comments/36w81f/any_nonmedicated_type_2_diabetics_here/")</f>
        <v/>
      </c>
      <c r="G955" t="inlineStr">
        <is>
          <t>2015-05-22 10:08:33</t>
        </is>
      </c>
      <c r="H955" t="inlineStr">
        <is>
          <t>Type 2</t>
        </is>
      </c>
    </row>
    <row r="956">
      <c r="A956" t="inlineStr">
        <is>
          <t>36wthj</t>
        </is>
      </c>
      <c r="B956" t="inlineStr">
        <is>
          <t>Probably moving to a pump...can you help me feel better about it?</t>
        </is>
      </c>
      <c r="C956" t="inlineStr">
        <is>
          <t>I went into the IRC and asked a few people, but I figured it's probably worth posting here as well.
The short version of the story is that my insurance changed and I'm essentially being forced into going onto a pump after being on pens for well over a decade.  Frankly, I don't feel like I need it, and I don't really want it, but due to cost and what they say they'll cover, it's looking like the only realistic option for me at this point. Lantus is no longer covered and I just can't afford it anymore. Plus, the whole diabetes management division is pushing people toward pumps really hard.
So, to prepare for this, I'd like some help in allaying a few of the bigger worries I have. I'm asking actual diabetics here because I don't really trust educators and reps to give me accurate information versus what it takes to sell expensive medical devices. Here's what I'm concerned about:
-Infusion site infections. I've heard that they're statistically more likely to happen, but what are the real-world implications?
-Sleeping with the thing. Someone suggested just clipping it to undies, but I move around in my sleep *a lot*. I'm worried about tearing out the infusion set due to the tubing not having enough slack. I already have my headphones wrapped around my neck if I fall asleep with them on, so I know that me and lines don't always make good bedfellows.
-Where do I keep it during the day? The idea of a belt clip bothers the hell out of me because due to work, I'm always getting bumped in the sides and having things brushed by me, against my body. Clipping it to the inside of a pocket has been suggested, but since my pockets are already so full of stuff all the time, I don't know how it'll work. Any other suggestions or anecdotes?
And probably the touchiest subject (although I've done some googling on it already):
-How do you manage to get over the unsexy feeling of having random white circles and medical tape stuck to you during intimate moments? Presumably I'll be going with a CGM as well, since everyone seems to have them hand in hand, but something about the idea of having medical stuff stuck to me at all times just seems like it'd instantly kill the mood. The boyfriend says it won't bother him, but I think it's more that the idea bothers me. Did anyone else have that concern? How'd you get over it?
Thanks a lot, everyone. I'm really glad this place exists.</t>
        </is>
      </c>
      <c r="D956" t="n">
        <v>2</v>
      </c>
      <c r="E956" t="n">
        <v>11</v>
      </c>
      <c r="F956">
        <f>HYPERLINK("https://www.reddit.com/r/diabetes/comments/36wthj/probably_moving_to_a_pumpcan_you_help_me_feel/")</f>
        <v/>
      </c>
      <c r="G956" t="inlineStr">
        <is>
          <t>2015-05-22 12:44:16</t>
        </is>
      </c>
      <c r="H956" t="inlineStr">
        <is>
          <t>Type 1</t>
        </is>
      </c>
    </row>
    <row r="957">
      <c r="A957" t="inlineStr">
        <is>
          <t>36x85j</t>
        </is>
      </c>
      <c r="B957" t="inlineStr">
        <is>
          <t>Got my t:slim pump! Waiting for Dexcom to arrive. I will only have a month to learn before going to Vegas. Any tips?</t>
        </is>
      </c>
      <c r="C957" t="inlineStr">
        <is>
          <t>Hi guys, I just got my new tslim pump! Very excited. Then the same day I heard that I was approved for the Dexcom G4.
I'm assuming I'll start learning how to use the pump after the holiday weekend, and then I won't get the Dexcom till next Friday.
Anyways, I have been a t1 for almost 5 years, with sticking to pens and syringes. So being on a pump is new for me. 
Next month I will be going to Vegas for a wedding and to celebrate my 21st birthday.
I would just like some tips on what I should expect and how I can take care of the pump and Dexcom in the different environment.
I was looking into getting a frio case for the pump, but does anyone know if it's okay for the tslim to be in one? should I even worry about that?
Thanks again! If you would like to share your first pump experience, I would love to hear it!</t>
        </is>
      </c>
      <c r="D957" t="n">
        <v>8</v>
      </c>
      <c r="E957" t="n">
        <v>18</v>
      </c>
      <c r="F957">
        <f>HYPERLINK("https://www.reddit.com/r/diabetes/comments/36x85j/got_my_tslim_pump_waiting_for_dexcom_to_arrive_i/")</f>
        <v/>
      </c>
      <c r="G957" t="inlineStr">
        <is>
          <t>2015-05-22 14:34:36</t>
        </is>
      </c>
      <c r="H957" t="inlineStr">
        <is>
          <t>Type 1</t>
        </is>
      </c>
    </row>
    <row r="958">
      <c r="A958" t="inlineStr">
        <is>
          <t>36ygjp</t>
        </is>
      </c>
      <c r="B958" t="inlineStr">
        <is>
          <t>DHEA Supplements</t>
        </is>
      </c>
      <c r="C958" t="inlineStr">
        <is>
          <t xml:space="preserve">anyone that is type 2 taking dhea supplements? i hear it's good for maintaining lower bg levels and also enabling muscle gain.
</t>
        </is>
      </c>
      <c r="D958" t="n">
        <v>0</v>
      </c>
      <c r="E958" t="n">
        <v>1</v>
      </c>
      <c r="F958">
        <f>HYPERLINK("https://www.reddit.com/r/diabetes/comments/36ygjp/dhea_supplements/")</f>
        <v/>
      </c>
      <c r="G958" t="inlineStr">
        <is>
          <t>2015-05-22 21:27:21</t>
        </is>
      </c>
      <c r="H958" t="inlineStr">
        <is>
          <t>Type 2</t>
        </is>
      </c>
    </row>
    <row r="959">
      <c r="A959" t="inlineStr">
        <is>
          <t>370f6w</t>
        </is>
      </c>
      <c r="B959" t="inlineStr">
        <is>
          <t>A low day</t>
        </is>
      </c>
      <c r="C959" t="inlineStr">
        <is>
          <t>My bloods have been low 3 times today, but I havent been doing anything differently. Any idea what it is and how I can stop it happening again?</t>
        </is>
      </c>
      <c r="D959" t="n">
        <v>2</v>
      </c>
      <c r="E959" t="n">
        <v>7</v>
      </c>
      <c r="F959">
        <f>HYPERLINK("https://www.reddit.com/r/diabetes/comments/370f6w/a_low_day/")</f>
        <v/>
      </c>
      <c r="G959" t="inlineStr">
        <is>
          <t>2015-05-23 11:27:26</t>
        </is>
      </c>
      <c r="H959" t="inlineStr">
        <is>
          <t>Type 1</t>
        </is>
      </c>
    </row>
    <row r="960">
      <c r="A960" t="inlineStr">
        <is>
          <t>3712xq</t>
        </is>
      </c>
      <c r="B960" t="inlineStr">
        <is>
          <t>How would I go about losing weight?</t>
        </is>
      </c>
      <c r="C960" t="inlineStr">
        <is>
          <t>I've been depressed over my weight for a long time.
I'm a type 1 diagnosed at 12 years of age. I'm now 18, weigh 175lbs and am 1.72 meters long. Even as a kid I've been a fattie. 
My parents never promoted eating healthy/living a healthy lifestyle, and sometimes I even wonder if I'm not a type 2 diabetic instead.
Anyway, I've considered going haywire, bringing my body into ketosis and cutting off glucose from meals completely so fat can be used as a fuel resource instead. 
For now I've abandoned that. I'm still in school and barely find enough time to sleep, let alone work out. I don't eat anything extraordinarily healthy. I don't check my glucose regularly or visit my doctors often, but never skip insulin shots.
Reason? I don't visit the docs because I'm afraid they'll see me and my fat. Yeah I'm completely nuts.
I'd do anything to lose weight. Summer break is coming soon, so I've got the next three months free.
Where do I start? How would I change my diet? I don't mind you people not being doctors.
Any sharing of your experience will help me.</t>
        </is>
      </c>
      <c r="D960" t="n">
        <v>3</v>
      </c>
      <c r="E960" t="n">
        <v>13</v>
      </c>
      <c r="F960">
        <f>HYPERLINK("https://www.reddit.com/r/diabetes/comments/3712xq/how_would_i_go_about_losing_weight/")</f>
        <v/>
      </c>
      <c r="G960" t="inlineStr">
        <is>
          <t>2015-05-23 14:46:10</t>
        </is>
      </c>
      <c r="H960" t="inlineStr">
        <is>
          <t>Type 1</t>
        </is>
      </c>
    </row>
    <row r="961">
      <c r="A961" t="inlineStr">
        <is>
          <t>3790gm</t>
        </is>
      </c>
      <c r="B961" t="inlineStr">
        <is>
          <t>Thinking of starting a meetup for adults with T1 in my area.</t>
        </is>
      </c>
      <c r="C961" t="inlineStr">
        <is>
          <t>Hey there,
I've been missing my community of t1's since the days of diabetes camp.  Now that I'm 40 I would like to start a meetup in my area for adults with T1.  Not focused on "tips for diabetes control" or "healthy recipes" or anything - just a group that understands each other and wants to fuck off.  
I haven't really thought this through, but I don't want it to be family-friendly.  Just adults who've had this SOB since their young days.
I don't know much about running a meetup, so any ideas are welcome, whether they're related to diabetes or not.  Venues, topics for discussion, activities other than the usual "hiking," etc.  
What would people with diabetes love to do?
I would also welcome tips on doing a successful meetup or recruiting people.
Thanks if you have anything for me.</t>
        </is>
      </c>
      <c r="D961" t="n">
        <v>18</v>
      </c>
      <c r="E961" t="n">
        <v>18</v>
      </c>
      <c r="F961">
        <f>HYPERLINK("https://www.reddit.com/r/diabetes/comments/3790gm/thinking_of_starting_a_meetup_for_adults_with_t1/")</f>
        <v/>
      </c>
      <c r="G961" t="inlineStr">
        <is>
          <t>2015-05-25 14:22:32</t>
        </is>
      </c>
      <c r="H961" t="inlineStr">
        <is>
          <t>Type 1</t>
        </is>
      </c>
    </row>
    <row r="962">
      <c r="A962" t="inlineStr">
        <is>
          <t>3797d6</t>
        </is>
      </c>
      <c r="B962" t="inlineStr">
        <is>
          <t>I need help</t>
        </is>
      </c>
      <c r="C962" t="inlineStr">
        <is>
          <t xml:space="preserve">I have been  a type one diabetic since i was 20, five years late i am suffering from depression and feel helpless in trying to deal with it. im not an obese person, but fuck im dreaming of donuts. I am also dealing with drug addiction and trying hard to break it. I am genuinely scared this is going to encompass my life and kill me.
How do you do it?  </t>
        </is>
      </c>
      <c r="D962" t="n">
        <v>9</v>
      </c>
      <c r="E962" t="n">
        <v>8</v>
      </c>
      <c r="F962">
        <f>HYPERLINK("https://www.reddit.com/r/diabetes/comments/3797d6/i_need_help/")</f>
        <v/>
      </c>
      <c r="G962" t="inlineStr">
        <is>
          <t>2015-05-25 15:15:01</t>
        </is>
      </c>
      <c r="H962" t="inlineStr">
        <is>
          <t>Type 1</t>
        </is>
      </c>
    </row>
    <row r="963">
      <c r="A963" t="inlineStr">
        <is>
          <t>37b9b6</t>
        </is>
      </c>
      <c r="B963" t="inlineStr">
        <is>
          <t>Holiday- Drastic Change in Temperature</t>
        </is>
      </c>
      <c r="C963" t="inlineStr">
        <is>
          <t>Hey Everyone,
I am about to go on Holidays from Ireland, a very mild climate, averaging about (15 degrees Celsius / 59 Fahrenheit)  this time of year to Dubai (40 degrees Celcius / 104 Fahrenheit)
What tips do you have/ what should I be taking into account for this trip with such a change in conditions?</t>
        </is>
      </c>
      <c r="D963" t="n">
        <v>2</v>
      </c>
      <c r="E963" t="n">
        <v>1</v>
      </c>
      <c r="F963">
        <f>HYPERLINK("https://www.reddit.com/r/diabetes/comments/37b9b6/holiday_drastic_change_in_temperature/")</f>
        <v/>
      </c>
      <c r="G963" t="inlineStr">
        <is>
          <t>2015-05-26 03:27:05</t>
        </is>
      </c>
      <c r="H963" t="inlineStr">
        <is>
          <t>Type 1</t>
        </is>
      </c>
    </row>
    <row r="964">
      <c r="A964" t="inlineStr">
        <is>
          <t>37bejt</t>
        </is>
      </c>
      <c r="B964" t="inlineStr">
        <is>
          <t>Diabetic Retinopathy</t>
        </is>
      </c>
      <c r="C964" t="inlineStr">
        <is>
          <t>I've been told I have diabetic retinopathy, but its not serious. However, I'm still kind of worried about it. Any tips? Thanks</t>
        </is>
      </c>
      <c r="D964" t="n">
        <v>5</v>
      </c>
      <c r="E964" t="n">
        <v>15</v>
      </c>
      <c r="F964">
        <f>HYPERLINK("https://www.reddit.com/r/diabetes/comments/37bejt/diabetic_retinopathy/")</f>
        <v/>
      </c>
      <c r="G964" t="inlineStr">
        <is>
          <t>2015-05-26 04:32:33</t>
        </is>
      </c>
      <c r="H964" t="inlineStr">
        <is>
          <t>Type 1</t>
        </is>
      </c>
    </row>
    <row r="965">
      <c r="A965" t="inlineStr">
        <is>
          <t>37bgbm</t>
        </is>
      </c>
      <c r="B965" t="inlineStr">
        <is>
          <t>Does miso soup affect blood sugar?</t>
        </is>
      </c>
      <c r="C965" t="inlineStr">
        <is>
          <t>I take metformin and my blood sugar ranges from 110 to 160. I tried a recipie from cheapandhealthy, miso, tofo, mushrooms, sesame oil etc. I've had it twice now and after my sugar measured 85. I'm gonna try different ingredients to see what is causing this. I don't think its from a low carb meal?</t>
        </is>
      </c>
      <c r="D965" t="n">
        <v>0</v>
      </c>
      <c r="E965" t="n">
        <v>10</v>
      </c>
      <c r="F965">
        <f>HYPERLINK("https://www.reddit.com/r/diabetes/comments/37bgbm/does_miso_soup_affect_blood_sugar/")</f>
        <v/>
      </c>
      <c r="G965" t="inlineStr">
        <is>
          <t>2015-05-26 04:52:49</t>
        </is>
      </c>
      <c r="H965" t="inlineStr">
        <is>
          <t>Type 1</t>
        </is>
      </c>
    </row>
    <row r="966">
      <c r="A966" t="inlineStr">
        <is>
          <t>37h0k6</t>
        </is>
      </c>
      <c r="B966" t="inlineStr">
        <is>
          <t>How quickly is (poorly-controlled) diabetes supposed to progress?</t>
        </is>
      </c>
      <c r="C966" t="inlineStr">
        <is>
          <t>In 2014 I was told I had pre-diabetes. Just a few weeks ago, with an A1C of 6.8 I was told it is now full diabetes. I am assuming that I would be considered poorly-controled, since I was not living healthily before this.
- It seems like ever since then, I have frequently felt pins, tingling, and today unreasonable warmth in my feet (right foot feels worse, but left foot looks worse). This is despite the fact that I have been eating much differently and increased my exercise ever since that last doctor's visit. (using MyFitnessPal to log everything, aiming for a 1000-calorie deficit with ~180 carb target).
- In addition, I feel like something weird is going on with my vision and now find myself wearing my glasses more often. It's like one eye can't focus as well, or is weaker or something. 
- Finally, I may be suffering from ED. Yesterday I had morning wood, and during the night I enjoyed myself, but in the middle of the day, I tugged on it for a bit and nothing happened. Today I noticed no morning wood, and it actually feels like my testes may have shrunk slightly.
From what I have read, this seems highly unusual. In many cases, it's people in their 40s who start feeling a little off and discover that over years, they have started to get T2 diabetes. And out of all diabetics, including the ones that do nothing or very little to deal with it, a small minority end up facing amputation/blindness/etc... yet I am 23 and it feels like I am already well on my way to severe complications, even though my A1C hasn't even hit 7 yet. Am I just extremely unlucky, or is this the norm for diabetes?
Edit: just met the doctor. He said that my sugar is 95 (which is apparently good) and that I only need to test myself once a day. I asked him about that Newcastle stuff and he was very much opposed to it, and said what I was already doing would work just fine. Set me up with an endocrinologist as well. The really odd part is that after I left the office, it feels as if my vision is better and my feet are pretty much fine...</t>
        </is>
      </c>
      <c r="D966" t="n">
        <v>3</v>
      </c>
      <c r="E966" t="n">
        <v>27</v>
      </c>
      <c r="F966">
        <f>HYPERLINK("https://www.reddit.com/r/diabetes/comments/37h0k6/how_quickly_is_poorlycontrolled_diabetes_supposed/")</f>
        <v/>
      </c>
      <c r="G966" t="inlineStr">
        <is>
          <t>2015-05-27 08:55:09</t>
        </is>
      </c>
      <c r="H966" t="inlineStr">
        <is>
          <t>Type 2</t>
        </is>
      </c>
    </row>
    <row r="967">
      <c r="A967" t="inlineStr">
        <is>
          <t>37hxin</t>
        </is>
      </c>
      <c r="B967" t="inlineStr">
        <is>
          <t>Ugghhhhhh [Brief Rant]</t>
        </is>
      </c>
      <c r="C967" t="inlineStr">
        <is>
          <t>I found out today that, beginning next year, my insurance premium is going up AND the co-pay structure my employer had in place is completely getting overhauled.  Basically for non-generic meds my cost is quadrupling, which isn't a disaster but it's damn frustrating, because there's no such thing as generic insulin or test strips (I'm not counting ReliOn brand stuff)
Anyway, just wanted to gripe for a second.  It's irritating, and it's not fair.  I hate it.  Haaaate it.</t>
        </is>
      </c>
      <c r="D967" t="n">
        <v>1</v>
      </c>
      <c r="E967" t="n">
        <v>5</v>
      </c>
      <c r="F967">
        <f>HYPERLINK("https://www.reddit.com/r/diabetes/comments/37hxin/ugghhhhhh_brief_rant/")</f>
        <v/>
      </c>
      <c r="G967" t="inlineStr">
        <is>
          <t>2015-05-27 12:37:06</t>
        </is>
      </c>
      <c r="H967" t="inlineStr">
        <is>
          <t>Type 1</t>
        </is>
      </c>
    </row>
    <row r="968">
      <c r="A968" t="inlineStr">
        <is>
          <t>37k2jz</t>
        </is>
      </c>
      <c r="B968" t="inlineStr">
        <is>
          <t>Baking a birthday cake for my T1 little brother... help?</t>
        </is>
      </c>
      <c r="C968" t="inlineStr">
        <is>
          <t xml:space="preserve">Considered posting in /r/diabeats, but it seems kind of dead there, so I figured I'd ask here. My baby brother is a recently (early Feb) diagnosed T1. He's turning 14 this week. 
I love this kid. He's gone through hell in his life, and this diagnosis has really, really fucked with him. He's been very down about a lot, but food in general. He was diagnosed while in the hospital comatose with a blood sugar level of over 700. So he now tends very low due to a pretty serious fear of carbs. He's pretty much stable now, mostly due to my mom's amazing cooking, but runs low.
I'm home this year for his birthday. I've taken the day off work, and I'm off the day before. I'm known for my cooking among my family members. Every year, I make sure to be around to make his cake, because he's my baby brother. 
So how the hell do I make an amazing, low carb cake for a diabetic? Any recipes? Tips? </t>
        </is>
      </c>
      <c r="D968" t="n">
        <v>8</v>
      </c>
      <c r="E968" t="n">
        <v>45</v>
      </c>
      <c r="F968">
        <f>HYPERLINK("https://www.reddit.com/r/diabetes/comments/37k2jz/baking_a_birthday_cake_for_my_t1_little_brother/")</f>
        <v/>
      </c>
      <c r="G968" t="inlineStr">
        <is>
          <t>2015-05-27 21:59:45</t>
        </is>
      </c>
      <c r="H968" t="inlineStr">
        <is>
          <t>Type 1</t>
        </is>
      </c>
    </row>
    <row r="969">
      <c r="A969" t="inlineStr">
        <is>
          <t>37k4go</t>
        </is>
      </c>
      <c r="B969" t="inlineStr">
        <is>
          <t>Feeling a bit down about something I think is super exciting.</t>
        </is>
      </c>
      <c r="C969" t="inlineStr">
        <is>
          <t>So 2 weeks ago I got an insulin pump, and about 1 week ago I got my cgm. I've had my highs and lows but I'm starting to level out my bgs and everything is great. So far everyone has been super supportive of me, except.... I have 2 co workers that, though they are just trying to be "relatable" ( I think this is the wrong word, but I can't think of anything else that describes it), won't stop commenting on me having my pump. During break its: "oh you have to do that again, I could never do that." And they make these sour faces... I'm just a bit confused because I had to do this with my pens too. But since I got my pump they feel the need to comment on it and how they could never do that. Or oh does it hurt? Stuff like that. I'm getting really pissed off and I've told them that I've been doing this for 12 years... That no it doesn't hurt, that I like it better then the needles. But it just won't stop and I cant find the courage to tell them to stop because I do like them I'm just getting tired of the reminder that I am different, that I have diabetes. This could also be due to some stress of getting the new pump and not really have anyone but my nurse to talk to about it. How would you deal with this situation ? What should I say?
I also posted this with my phone, so I apologize for any formatting or spelling errors.</t>
        </is>
      </c>
      <c r="D969" t="n">
        <v>2</v>
      </c>
      <c r="E969" t="n">
        <v>9</v>
      </c>
      <c r="F969">
        <f>HYPERLINK("https://www.reddit.com/r/diabetes/comments/37k4go/feeling_a_bit_down_about_something_i_think_is/")</f>
        <v/>
      </c>
      <c r="G969" t="inlineStr">
        <is>
          <t>2015-05-27 22:29:53</t>
        </is>
      </c>
      <c r="H969" t="inlineStr">
        <is>
          <t>Type 1</t>
        </is>
      </c>
    </row>
    <row r="970">
      <c r="A970" t="inlineStr">
        <is>
          <t>37kmvz</t>
        </is>
      </c>
      <c r="B970" t="inlineStr">
        <is>
          <t>after 6-7 yrs of Type2 , I may actually not have it. [ Crosspost by me from /r/type2diabetes ]</t>
        </is>
      </c>
      <c r="C970" t="inlineStr">
        <is>
          <t xml:space="preserve">This is extremely complicated. But i need help. Does Type2 diabetes slowly go away as you make changes in food, slowly and gradually start moving and excerising and make good lifestyle decisions ?
please bear with me for the following wall of text, some 7 yrs of medical life and personal history is getting crammed in there.
7 yrs ago, i was absolutely huge for my height, i worked entire night for IT company for many years my entire life after coming out of college and in day I barely got any sleep due to my jackass family did not understand i need sleep, this went for many years till one day, i started having pain in left hand, chest spams after i ate food.
7 yrs ago, one day, i slowly realized i am barely drinking anything sweet at all, i am not having any snacks , i am even barely managing to eat small amount of food properly for entire day , the food barely goes in my mouth. the spasm in left hand and shoulder and chest pains scared me to shit and i went to doctor for full checkup, he said my heartbeats have gone insane , my blood pressure is above 200 and probably my cholestrol has shot up, told me to instantly go for full blood checkup and next day for chest scans + full body sonogram of all organs etc. he gave me quick meds for relief, told me to hold some oozing capsule beneath my tongue and told me to go home and relax and come back with results.
Test concluded all my organs are good , liver is little fatty, my Heart has not increased in size for my age 32. my cholestrol has absolutely shot up, my sugar levels have gone insane which is why i was not taking any food, my dramatic 18 pounds weightloss in 2 weeks was not some mirable but due to sugar issue and not eating anything .
I was put on cholestrol reducing meds + bloodpressure meds + type2diabetes meds. I had absolutely no history of this issues my entire life and all this turned my world upside down.
My meds : lomadip AT ( atenol 50mg, amlodipine 5mg) for BP , Glimster PM 2 ( http://www.drugsupdate.com/brand/generic/Pioglitazone%20Metformin/26188) for sugar .
NOTE both this meds got banned or they were stopped being made, i had to change them later on .
Instead of helping me to reduce stress and weight and help me get out of this life threatening disease , my dad and my sisters ganged up on me more than normal and whenever they could they fought me like hell cause i was all single in house but always coming after their mistakes and stuff like that. 3 yrs after getting type2 i was still bad in shape and suffering but surving because of meds. somehow by some miracle , i got married to a good girl who has been the most supportive person in my entire life.
past 4 years, i was under another hugeeee stress as i got married + got home of my own with huge mortage , my dad went absolutely batshit insane fighting with me ganging with my sisters because i got home which he didnt think i deserved and all that . I actually stopped talking with him for past 2 yrs cause each talk even after months of break was turning into huge fight. he installed cameras in his house to record me fighting and that was the last thing i could take from him.
somehow after settling in my new house and gaining control on my life by working in proper daytime and not stressing out, i managed to put myself on proper diet, cutout all the sweet/salty/oily snacks , like not even "cheat day of the week" stuff, i absolutely stopped eating shit stuff for months after months etc.
I got myself dumbells and got eliptical running machine and i got in regular routine of doing it slowly but regularly, soon i started eating green salad stuff for times when i felt to munch, started putting soaked sprouted pulses to mix stuff up, started eating good protiens, started regularly taking oatmeal for snack and soon i started eating nice green vegetable soup and good indian green vegetable recipe etc.
This good routine is going on past two years.
Now the tricky thing is I did not lose weight at all as i expected , also it quickly gained back when i went on vacation to in-laws and had to eat local good food cause i could not upset them by not eating (yup they didnt know full details of my recovery from this health issue) .
I lost weight in v v v small quatity , like maybe 8-10 pounds in whole 6-7 months . but i was feeling more active, I am not having sore back issue at all for past 2 years like i used to have absolutely daily after sitting long hours at work. I stopped having knee cap pain or huge leg pain after small walks with weight , i could walk and carry weight around freely now. many small niggles and pain stuff absolutely vanished as i kept good eating routine and excersiced properly. No neck and shoulder joint pain at all like i did for many years earlier etc.
My Meds now :
Volibose 0.2 M ( for sugar) : http://www.drugsupdate.com/brand/generic/Voglibose/4235 Telma 40 ( for BP) : http://www.medindia.net/drug-price/telmisartan/telma-40mg.htm
But past 8 months, my health has been hell regarding my sugar.
7-8 months ago, i soon see myself craving for food and sugary stuff after exercise on eliptical or dumbells, i started noticing i am getting suddenly sweating (even in cold wintery weather) bulllets from my forehead and face and head for no reason as i get hungry, i noticed if i did my regular 15mins of walk which istarted doing to break my long spells of sitting on chair , i would not be able to focus on my computer and would squint my eyes which would go heavy and blurry. soon at night i started absolutely soaking my pillow by sweat at the back of my necks at night and would suddenly wake up wanting to go water and eating something sweet for no reason which made me feel better , thats the only way i could sleep properly for entire night.
This was fucking weird for my, my glucose meter home test kit showed my sugar is always on border and goes down a lot before i have to take food. i revisted my doctor and she said , i am not eating properly on intervals and i m starving myself for way too long which is causing this issue.
4 months ago, after getting down from elliptical , i took water and started to cool down myself so i could soon take my breakfast. but i realized, my heart rate is still SHOT UP , i could feel the fucking heartbeat pulsating through my jugular vein and it was staying 100+ for hours after i had already stopped excerising, i could barely eat anything cause all i could focus on was why the fuck my heartrate wont go down. i could barely sleep cause i could literally hear my hearthumping entire night , I thought if this was heart-attack i could be clutching my chest or some pain in shoulder or chest or something but nothing like that was happening.
next evening i went to doc, tested for my blood pressure + pulse, it was absolutely shot up even aftr my meds, i told doc i am always heavy headed , sweating for no reason sometimes blurry eyed and this new thing of heart rate shot up is scaring me now. Doctor added new Tablet for me and did ECG for heart, it came out normal , the new table MetXL 25 calmed me down slowly but the sudden shivers , sweaty neck at night ,sweat bursts for no reason, suddenly empty stomach , sudden urge to eat food even afte rhaving food , did not go away .
my Meds now
Volibose 0.2 M ( for sugar) : http://www.drugsupdate.com/brand/generic/Voglibose/4235 , 1 full tab at lunch Telma 40 ( for BP) : http://www.medindia.net/drug-price/telmisartan/telma-40mg.htm , 1 tab in morning breakfast MetXL 25 ( for heart) : http://www.drugsupdate.com/brand/generic/Metoprolol/32888 , taking half tab twice in day didnt work at all, i had to increase this to 1 tab in morning, 1 at night .
10 days ago, a NEW thing started. i woke up with huge grumbling noise in my stomach, acidity shot up, hands shaking even when i just had good food 4 hrs ago. I managed to go to kitchen with my body completely shaking and my head v heavy, i thought i was going to crash, i gulped down sweet drink and juice and hand another huge meal right in the middle of night and checked my sugar when i started feeling good, it was fucking normal , like 128 , after having huge gulps of sweet drink and stuff. i thought maybe i having small quantity of food and this is causing havoc for the night.
next 3days, iwas constantly shaking for food and sweaty/heavy headed every hours of having food, i could not stop eating, i found myself constantly running to fridge to eating chomp or drink something sweet and then hav small dish of food. this was not normal as i felt my sugar is not stable at all, it keeps dropping below 80 for no reason after having meal and then not eating for 2 hrs.
I went to doctor . she was confused and said all this signs on sudden empty stomach, sugar constantly going at 80 after 2 hrs of no food and getting shaky and craving for sweet drink is sign of v low sugar , she said maybe taking half volibo tablet is also not helping you and its acting like full tablet so i should stop taking ANY sugar med , no volibo for me for next 3 days . check my sugar constantly if i feel uneasy and she has given 1 zental 400mg tab for deworming , i had it yesterday night, NO WORMS AT ALL in my poop next day .
I have to do FULL BLOOD SUGAR AND THYROID level checkup tomorow to see what is my new sugar level after 3 days of no sugar meds, this is so confusing but i am holding it all together and taking small amount of food now and then as i still get hungry ..
This is critical Day 2 in my life with no sugar meds past 48 hrs now, i was constantly on metformin 500 mg tablet for past 7yrs constanlty without missing a single day and not having this even in half dose is weird feeling , my sugar is still stable and its not crashing like it was doing 3 days ago and before thaT . i will keep this updated when my results are in my hand after two days of this experiment.
i wanted to know , has something like this happened to anyone here, has your type2 gone completely? did you go through same thing like i am doing ? or what i am feeling and going through is something abnormal ?
</t>
        </is>
      </c>
      <c r="D970" t="n">
        <v>1</v>
      </c>
      <c r="E970" t="n">
        <v>15</v>
      </c>
      <c r="F970">
        <f>HYPERLINK("https://www.reddit.com/r/diabetes/comments/37kmvz/after_67_yrs_of_type2_i_may_actually_not_have_it/")</f>
        <v/>
      </c>
      <c r="G970" t="inlineStr">
        <is>
          <t>2015-05-28 02:13:49</t>
        </is>
      </c>
      <c r="H970" t="inlineStr">
        <is>
          <t>Type 2</t>
        </is>
      </c>
    </row>
    <row r="971">
      <c r="A971" t="inlineStr">
        <is>
          <t>37lacf</t>
        </is>
      </c>
      <c r="B971" t="inlineStr">
        <is>
          <t>Tried Low Carb in the past few days</t>
        </is>
      </c>
      <c r="C971" t="inlineStr">
        <is>
          <t>I recently decided to take control of my diabetes and just started reading Pumping Insulin by John Walsh. I'm currently on Pump and CGM and have been trying to fine tune my basal levels. I think I got most of them almost 100% spot on. Before all of this, I would eat anywhere between 175 and 250 g of carbs per day but would not be able to control my sugars overnight or bring them down when I wanted. In the past few days I have been eating 35-70 g of carbs/day and noticed that my BG levels respond much better to insulin. I can finally keep them steady between meals and don't have any random BG level rises and falls which I can't explain. I think I have a long way to go to fully control my BG levels but I still can't believe on the amount of control that I was able to get in just 4 days. Has anybody had similar success or any pointers about Low Carb? Now I'm primarily eating nuts/green vegetables/chicken/meat.</t>
        </is>
      </c>
      <c r="D971" t="n">
        <v>4</v>
      </c>
      <c r="E971" t="n">
        <v>16</v>
      </c>
      <c r="F971">
        <f>HYPERLINK("https://www.reddit.com/r/diabetes/comments/37lacf/tried_low_carb_in_the_past_few_days/")</f>
        <v/>
      </c>
      <c r="G971" t="inlineStr">
        <is>
          <t>2015-05-28 06:24:49</t>
        </is>
      </c>
      <c r="H971" t="inlineStr">
        <is>
          <t>Type 1</t>
        </is>
      </c>
    </row>
    <row r="972">
      <c r="A972" t="inlineStr">
        <is>
          <t>37lgl5</t>
        </is>
      </c>
      <c r="B972" t="inlineStr">
        <is>
          <t>Protein shakes and T1D [x-post /r/keto]</t>
        </is>
      </c>
      <c r="C972" t="inlineStr">
        <is>
          <t>Since starting keto/lchf my go to breakfast is a protein shake and I love it! Shake and go, my mornings so much easier and I'm never even hungry by lunch.
But I'm having issues with bolusing for my shakes and wonder if anyone has any experience with this or advice.
According to the packaging and what I add to it (cocoa powder), I should be taking in 6g of carbs and 71g of protein. I bolus for total carbs so I ignore fibre and started by bolusing for the 6g. But by lunch time my BG was spiking to the teens! I've gradually started bolusing as if more carbs were in it but even after bolusing for 12g I'm still high by lunch!
I don't know what's up! 
**Extra info**: I eat breakfast (drink breakfast lol) around 6am and have lunch around 11am. I'm usually around 6-7.0 mmol/L at breakfast and 11-14.0mmol/L at lunch. I bolused for 15g carbs this morning, we'll see how that goes.
*TLDR* protein shakes for breakfast spiking my BG by lunch time even if I bolus for double the carbs that are actually in the shake. Help?</t>
        </is>
      </c>
      <c r="D972" t="n">
        <v>4</v>
      </c>
      <c r="E972" t="n">
        <v>6</v>
      </c>
      <c r="F972">
        <f>HYPERLINK("https://www.reddit.com/r/diabetes/comments/37lgl5/protein_shakes_and_t1d_xpost_rketo/")</f>
        <v/>
      </c>
      <c r="G972" t="inlineStr">
        <is>
          <t>2015-05-28 07:12:43</t>
        </is>
      </c>
      <c r="H972" t="inlineStr">
        <is>
          <t>Type 1</t>
        </is>
      </c>
    </row>
    <row r="973">
      <c r="A973" t="inlineStr">
        <is>
          <t>37mrm8</t>
        </is>
      </c>
      <c r="B973" t="inlineStr">
        <is>
          <t>Any T1's on Keto having a tough time getting into ketosis?</t>
        </is>
      </c>
      <c r="C973" t="inlineStr">
        <is>
          <t xml:space="preserve">I've been on the Keto Diet for almost a year and have only had positive results &amp;gt;1.0 using Precision Xtra Blood Ketone Monitor a few times.  My Macros are 65F/25 Protein/10 Carb.  
Why would I want to be in Ketosis?  2 Reasons 1) to make sure I'm doing my diet correctly. 2) I do alot of long road biking events in the summer. Fat for energy is what I'm seeking.  If I'm not in Ketosis...what am I burning for fuel?
On a side note: since going on the diet...my A1C's went from 6.5 to 5.5 in 3 months.  My good cholesterol went up 40% and my bad cholesterol went down 35% all while ingesting industrial amounts of saturated fat.  weight went down from 220 to 210.  I'm 6'5" and lean.  I had minor spotting of blood in the back of my eye that has totally went away as well.  </t>
        </is>
      </c>
      <c r="D973" t="n">
        <v>2</v>
      </c>
      <c r="E973" t="n">
        <v>19</v>
      </c>
      <c r="F973">
        <f>HYPERLINK("https://www.reddit.com/r/diabetes/comments/37mrm8/any_t1s_on_keto_having_a_tough_time_getting_into/")</f>
        <v/>
      </c>
      <c r="G973" t="inlineStr">
        <is>
          <t>2015-05-28 12:43:30</t>
        </is>
      </c>
      <c r="H973" t="inlineStr">
        <is>
          <t>Type 1</t>
        </is>
      </c>
    </row>
    <row r="974">
      <c r="A974" t="inlineStr">
        <is>
          <t>37puct</t>
        </is>
      </c>
      <c r="B974" t="inlineStr">
        <is>
          <t>Type 1 diabetic for 10 months now, here's my experience thus far.</t>
        </is>
      </c>
      <c r="C974" t="inlineStr">
        <is>
          <t>So in august 2014 i was diagnosed with type 1 at the age of 17. After typical symptoms of tiredness, dizziness etc on a weekend trip to London to watch a sporting event. I have an older brother (21) who was also diagnosed at 17 like me. He is the only other person in the family with type 1 as far as i know. The first few months of my diagnosis went good as far as I know; I was managing my glucose levels quite well, averaging around 11mmol. This continued into september of the same year and things were going well, with regular visitations to my diabetic nurse/team who were supporting me. From the months of november to december things rapidly went downhill; due to personal reasons and things going on in my life i started to not take any insulin at all. My diet was also increasingly unhealthy, drinking full sugar drinks and not caring. And not testing also. I didn't notice but i was drinking probably 10+ litres of water a day and visiting the toilet an even greater number. I started to think that if i just ignored what the doctors were telling me, and started believing i didn't have type 1 then my problems would go away and i could live my normal life again. I noticed a deterioration in my health, mainly my energy. I could barely walk from class to class at school, stairs were making me pant and exhausted ,(I have never been the fitness type but it was still a huge difference). I remember one particular night. I was at the local pub with some school friends, and because i wasn't taking any insulin my glucose levels were always high, i'd estimate around 30 mmol; i once did a test and my meter maxed out essentially because they were that high. But back to the story, i was so thirsty that i was drinking pints of beer, which i don't particularly like the taste of in a minute, not purposely but i was thirsty. And consequently i got very drunk, and very loud. But it was a good night despite this. Things were like this for a while, i'd say up to march 2015 i was following this same reckless mindset and my parents noticed this. I think they had noticed in previous months but they are very easy going (in a good way) and they didn't want to pressure me i guess. But since march i've been trying my best to get back on track, testing 5 times a day, taking all my insulin and hopefully i can keep this up. June will be my 10th month of having type 1 and i hope by August (1 year) i can have it well under control. Also i just received my insulin pump in the mail today :) excited to see how it changes things. Just sharing my story, any questions are most welcome, also advice or just anything you want to say. I'd appreciate it. 
Not sure if TL;DR's are common here but here goes: Boy, 17 diagnosed 2014. Goes well to start, shit goes down hill, gets better in march 2015, things are still going well to the present day.</t>
        </is>
      </c>
      <c r="D974" t="n">
        <v>1</v>
      </c>
      <c r="E974" t="n">
        <v>6</v>
      </c>
      <c r="F974">
        <f>HYPERLINK("https://www.reddit.com/r/diabetes/comments/37puct/type_1_diabetic_for_10_months_now_heres_my/")</f>
        <v/>
      </c>
      <c r="G974" t="inlineStr">
        <is>
          <t>2015-05-29 06:27:25</t>
        </is>
      </c>
      <c r="H974" t="inlineStr">
        <is>
          <t>Type 1</t>
        </is>
      </c>
    </row>
    <row r="975">
      <c r="A975" t="inlineStr">
        <is>
          <t>37qrvl</t>
        </is>
      </c>
      <c r="B975" t="inlineStr">
        <is>
          <t>Dexcom placement on thigh?</t>
        </is>
      </c>
      <c r="C975" t="inlineStr">
        <is>
          <t>My showerthought this morning was to give using my thigh for my Dexcom a shot. I have to decide if it's worth it since if it doesn't work out for me it's a pretty big monetary loss. 
I do have relatively muscular thighs, but I have some fatty pockets as well (It's hard to tell whether my skin is just really taught or if it's muscle sometimes)
For those of you who use it in your thigh, where do you usually place it? How is the accuracy and life for it? (In my arm I can get a solid 3 weeks) Do you have a lot of muscle? How much do you really need to be able to pinch up?</t>
        </is>
      </c>
      <c r="D975" t="n">
        <v>1</v>
      </c>
      <c r="E975" t="n">
        <v>0</v>
      </c>
      <c r="F975">
        <f>HYPERLINK("https://www.reddit.com/r/diabetes/comments/37qrvl/dexcom_placement_on_thigh/")</f>
        <v/>
      </c>
      <c r="G975" t="inlineStr">
        <is>
          <t>2015-05-29 10:24:50</t>
        </is>
      </c>
      <c r="H975" t="inlineStr">
        <is>
          <t>Type 1</t>
        </is>
      </c>
    </row>
    <row r="976">
      <c r="A976" t="inlineStr">
        <is>
          <t>37r4ae</t>
        </is>
      </c>
      <c r="B976" t="inlineStr">
        <is>
          <t>Cure? what do you know ? what do you think?</t>
        </is>
      </c>
      <c r="C976" t="inlineStr">
        <is>
          <t xml:space="preserve">i have read s few articles about Harvard getting somewhere. but is years away. and heard somewhere in Calgary has something going on......... anyone know anything? are diabetics optimistic?
</t>
        </is>
      </c>
      <c r="D976" t="n">
        <v>0</v>
      </c>
      <c r="E976" t="n">
        <v>21</v>
      </c>
      <c r="F976">
        <f>HYPERLINK("https://www.reddit.com/r/diabetes/comments/37r4ae/cure_what_do_you_know_what_do_you_think/")</f>
        <v/>
      </c>
      <c r="G976" t="inlineStr">
        <is>
          <t>2015-05-29 11:49:25</t>
        </is>
      </c>
      <c r="H976" t="inlineStr">
        <is>
          <t>Type 1</t>
        </is>
      </c>
    </row>
    <row r="977">
      <c r="A977" t="inlineStr">
        <is>
          <t>37uxs2</t>
        </is>
      </c>
      <c r="B977" t="inlineStr">
        <is>
          <t>Just diagnosed with diabetes</t>
        </is>
      </c>
      <c r="C977" t="inlineStr">
        <is>
          <t>I was diagnosed with Type 2 diabetes on Friday after spending four days in the hospital where my fasting blood sugars and 2 hour postprandial numbers were bad.  I don't understand how I have been diagnosed with this and no one else in my family or relatives have diabetes.  My doctor hasn't given me any help and I've been left wondering what to do.  When I had my daughter whose almost two now I never had any problems.</t>
        </is>
      </c>
      <c r="D977" t="n">
        <v>7</v>
      </c>
      <c r="E977" t="n">
        <v>75</v>
      </c>
      <c r="F977">
        <f>HYPERLINK("https://www.reddit.com/r/diabetes/comments/37uxs2/just_diagnosed_with_diabetes/")</f>
        <v/>
      </c>
      <c r="G977" t="inlineStr">
        <is>
          <t>2015-05-30 09:41:02</t>
        </is>
      </c>
      <c r="H977" t="inlineStr">
        <is>
          <t>Type 2</t>
        </is>
      </c>
    </row>
    <row r="978">
      <c r="A978" t="inlineStr">
        <is>
          <t>37vr7p</t>
        </is>
      </c>
      <c r="B978" t="inlineStr">
        <is>
          <t>no insurance, not broke enough for assistance, too broke to pay for it. how do you deal with the cost of diabetes??</t>
        </is>
      </c>
      <c r="C978" t="inlineStr">
        <is>
          <t xml:space="preserve">no insurance, not broke enough for assistance, too broke to pay for it. how do you deal with the cost of diabetes?? </t>
        </is>
      </c>
      <c r="D978" t="n">
        <v>21</v>
      </c>
      <c r="E978" t="n">
        <v>31</v>
      </c>
      <c r="F978">
        <f>HYPERLINK("https://www.reddit.com/r/diabetes/comments/37vr7p/no_insurance_not_broke_enough_for_assistance_too/")</f>
        <v/>
      </c>
      <c r="G978" t="inlineStr">
        <is>
          <t>2015-05-30 13:23:04</t>
        </is>
      </c>
      <c r="H978" t="inlineStr">
        <is>
          <t>Type 1</t>
        </is>
      </c>
    </row>
    <row r="979">
      <c r="A979" t="inlineStr">
        <is>
          <t>37wgq5</t>
        </is>
      </c>
      <c r="B979" t="inlineStr">
        <is>
          <t>How much does your basal rate/correction factor/carb factor vary over the course of a day?</t>
        </is>
      </c>
      <c r="C979" t="inlineStr">
        <is>
          <t>Hey all, in preparation for switching to a pump, I've been making extra efforts to document the stuff in the title over the course of a normal day, and realized that I am much more insulin resistant in the morning (1:4.5 carb factor) vs in the evening (1:9 or so).
Anybody else have significant swings in their insulin sensitivity over the course of a normal day? Is this weird? or just part of normal daily hormonal swings?</t>
        </is>
      </c>
      <c r="D979" t="n">
        <v>1</v>
      </c>
      <c r="E979" t="n">
        <v>4</v>
      </c>
      <c r="F979">
        <f>HYPERLINK("https://www.reddit.com/r/diabetes/comments/37wgq5/how_much_does_your_basal_ratecorrection/")</f>
        <v/>
      </c>
      <c r="G979" t="inlineStr">
        <is>
          <t>2015-05-30 16:44:10</t>
        </is>
      </c>
      <c r="H979" t="inlineStr">
        <is>
          <t>Type 1</t>
        </is>
      </c>
    </row>
    <row r="980">
      <c r="A980" t="inlineStr">
        <is>
          <t>37xqv9</t>
        </is>
      </c>
      <c r="B980" t="inlineStr">
        <is>
          <t>Question about using two Dexcom receivers... can I?</t>
        </is>
      </c>
      <c r="C980" t="inlineStr">
        <is>
          <t>So, I ***finally*** got the Dexcom Share upgrade shipped -- apparently their fill-out-this-form form was completely broken and just lied to me about the order delay. 
Anyway, the new receiver showed up in the mail quite literally 3 hours after I put a new sensor in today.  I was wondering if it's possible to use more than one receiver at the same time?  Like, could I "start sensor" on the new Share, wait the 2 hours, do the fingersticks, and have it Work?  And two thingies would get the numbers from the sensor?  
Is that even a thing?  Is that an incredibly stupid thing and I should just wait a week and use the Share then? (or stop it and start it with the share, instead?)</t>
        </is>
      </c>
      <c r="D980" t="n">
        <v>2</v>
      </c>
      <c r="E980" t="n">
        <v>5</v>
      </c>
      <c r="F980">
        <f>HYPERLINK("https://www.reddit.com/r/diabetes/comments/37xqv9/question_about_using_two_dexcom_receivers_can_i/")</f>
        <v/>
      </c>
      <c r="G980" t="inlineStr">
        <is>
          <t>2015-05-31 00:32:16</t>
        </is>
      </c>
      <c r="H980" t="inlineStr">
        <is>
          <t>Type 1</t>
        </is>
      </c>
    </row>
    <row r="981">
      <c r="A981" t="inlineStr">
        <is>
          <t>380g0z</t>
        </is>
      </c>
      <c r="B981" t="inlineStr">
        <is>
          <t>Nudie Diabetes Calendar : )</t>
        </is>
      </c>
      <c r="C981" t="inlineStr">
        <is>
          <t>Hello Diabadasses!
This Bay Area based project is real, and seeking participants for the 2016 calendar. The T1D Exposed Nude Advocacy Project is a 12 month calendar featuring tasteful nude portraits of individuals living with type one diabetes. Please visit the website for more information! http://www.T1DExposed.org
You all know that living with type one changes a person's body. Thousands upon thousands of calories are consumed in low blood sugar supplies. Bruises and scar tissue knots form from years of injections and insulin pump sites. Fingers become calloused from years of blood sugar checking. Diabetes can also inspire people to take better care of themselves in incredible ways. People may decide to be more active or eat healthier as they become more in tune with their bodies. Recognizing the importance of mental health and self care is another valuable lesson learned from living with a chronic illness. Regardless of the challenges, people living with T1D have able, working bodies that live on balancing synthetic hormone injections, food intake, and exercise. Gratitude is another side effect of type one; without the discovery and availability of insulin, none of the bodies in the calendar would have survived long after diagnosis.
We want to show people that type one bodies living with diabetes are diverse, beautiful, capable, and embraced. All proceeds from the calendar will go to several local and global diabetes organization.
We are so proud of this project and its success thus far. Last year we sold hundreds of calendars in about a dozen countries. If you are interested in being a participant this year, please message us via the website.
THANKS!</t>
        </is>
      </c>
      <c r="D981" t="n">
        <v>67</v>
      </c>
      <c r="E981" t="n">
        <v>21</v>
      </c>
      <c r="F981">
        <f>HYPERLINK("https://www.reddit.com/r/diabetes/comments/380g0z/nudie_diabetes_calendar/")</f>
        <v/>
      </c>
      <c r="G981" t="inlineStr">
        <is>
          <t>2015-05-31 15:55:21</t>
        </is>
      </c>
      <c r="H981" t="inlineStr">
        <is>
          <t>Type 1</t>
        </is>
      </c>
    </row>
    <row r="982">
      <c r="A982" t="inlineStr">
        <is>
          <t>382mae</t>
        </is>
      </c>
      <c r="B982" t="inlineStr">
        <is>
          <t>Newly Diagnosed: PCP vs Endocrinologist?</t>
        </is>
      </c>
      <c r="C982" t="inlineStr">
        <is>
          <t>I was diagnosed about three weeks ago (type 2), and had my follow up with my PCP last week. She never mentioned seeing an endocrinologist; actually she never mentioned a number of things, like home glucose blood testing. Will I get the right kind of care just seeing my PCP, or should I ask for a referral to an endocrinologist?</t>
        </is>
      </c>
      <c r="D982" t="n">
        <v>2</v>
      </c>
      <c r="E982" t="n">
        <v>44</v>
      </c>
      <c r="F982">
        <f>HYPERLINK("https://www.reddit.com/r/diabetes/comments/382mae/newly_diagnosed_pcp_vs_endocrinologist/")</f>
        <v/>
      </c>
      <c r="G982" t="inlineStr">
        <is>
          <t>2015-06-01 05:14:34</t>
        </is>
      </c>
      <c r="H982" t="inlineStr">
        <is>
          <t>Type 2</t>
        </is>
      </c>
    </row>
    <row r="983">
      <c r="A983" t="inlineStr">
        <is>
          <t>383tg3</t>
        </is>
      </c>
      <c r="B983" t="inlineStr">
        <is>
          <t>Question concerning fast acting insulin</t>
        </is>
      </c>
      <c r="C983" t="inlineStr">
        <is>
          <t xml:space="preserve">I'm Type 2 and the doctor pretty much told me to keep upping my insulin with meals until I see better numbers but I've been super nervous that I'll give myself too much. 
My question is that if I gave myself 10 units but realized I ate more carbs than I should and I'm at 17 mmol 2 hours later should I be giving myself more to bring it down ??
I've been giving myself 14 units at dinner time but often I'll still go up to 17-20 mmol. 
I really thought this insulin stuff would be easier but I have to much anxiety with having lows that I'm terrified of giving myself too much insulin and dropping too low. 
Most of the time I'm sitting around 12 and feel awful if I go below 9. I've read everything on the internet that I could find and I'm just feeling discouraged. </t>
        </is>
      </c>
      <c r="D983" t="n">
        <v>2</v>
      </c>
      <c r="E983" t="n">
        <v>17</v>
      </c>
      <c r="F983">
        <f>HYPERLINK("https://www.reddit.com/r/diabetes/comments/383tg3/question_concerning_fast_acting_insulin/")</f>
        <v/>
      </c>
      <c r="G983" t="inlineStr">
        <is>
          <t>2015-06-01 10:33:02</t>
        </is>
      </c>
      <c r="H983" t="inlineStr">
        <is>
          <t>Type 2</t>
        </is>
      </c>
    </row>
    <row r="984">
      <c r="A984" t="inlineStr">
        <is>
          <t>385q35</t>
        </is>
      </c>
      <c r="B984" t="inlineStr">
        <is>
          <t>Question about dosing for drinks</t>
        </is>
      </c>
      <c r="C984" t="inlineStr">
        <is>
          <t xml:space="preserve">I've been working overnights so I've had about 2-3 Monsters during the last week or two but shortly after I feel incredibly low. I know I'm dosing right so question is, should I be dosing for drinks at all or no? I always thought a carb is a carb so I have to dose for it and typically do for anything over 15g and these have 54g in them so I've been taking 4 units each time I have one. </t>
        </is>
      </c>
      <c r="D984" t="n">
        <v>2</v>
      </c>
      <c r="E984" t="n">
        <v>10</v>
      </c>
      <c r="F984">
        <f>HYPERLINK("https://www.reddit.com/r/diabetes/comments/385q35/question_about_dosing_for_drinks/")</f>
        <v/>
      </c>
      <c r="G984" t="inlineStr">
        <is>
          <t>2015-06-01 18:14:24</t>
        </is>
      </c>
      <c r="H984" t="inlineStr">
        <is>
          <t>Type 1</t>
        </is>
      </c>
    </row>
    <row r="985">
      <c r="A985" t="inlineStr">
        <is>
          <t>3887ji</t>
        </is>
      </c>
      <c r="B985" t="inlineStr">
        <is>
          <t>School and Diabetes</t>
        </is>
      </c>
      <c r="C985" t="inlineStr">
        <is>
          <t>Hey, so recently, some of my teachers have been complaining when I do my blood test. One of my teachers even said "You shouldn't be doing that" when I was doing my blood test. Another tried to keep me behind after school. Any idea what to do?
Note: I'm in a British school
EDIT: I took a look at the laws regarding it, and if calling me out on stuff like that and stopping me doing my bg test falls under discrimination, then they are breaking the law
&amp;gt; The Equality Act also states children with disability must not discriminated against
EDIT 2: Also found this
&amp;gt; No child should be prevented from treating themselves or managing their diabetes when and where necessary.
EDIT 3: Now that I'm looking I've found a ton of stuff
&amp;gt; If a child with diabetes requires treatment they should never be left unaccompanied or sent off to the medical room alone.
&amp;gt; A child’s diabetes pen, their pump, or blood glucose meter must never be locked away from them.
Any idea what I should do now that I have found all of this?</t>
        </is>
      </c>
      <c r="D985" t="n">
        <v>11</v>
      </c>
      <c r="E985" t="n">
        <v>54</v>
      </c>
      <c r="F985">
        <f>HYPERLINK("https://www.reddit.com/r/diabetes/comments/3887ji/school_and_diabetes/")</f>
        <v/>
      </c>
      <c r="G985" t="inlineStr">
        <is>
          <t>2015-06-02 08:27:50</t>
        </is>
      </c>
      <c r="H985" t="inlineStr">
        <is>
          <t>Type 1</t>
        </is>
      </c>
    </row>
    <row r="986">
      <c r="A986" t="inlineStr">
        <is>
          <t>388zi5</t>
        </is>
      </c>
      <c r="B986" t="inlineStr">
        <is>
          <t>All-you-can-eat sushi issues.</t>
        </is>
      </c>
      <c r="C986" t="inlineStr">
        <is>
          <t xml:space="preserve">I'm a fairly new type 1 just working out all the kinks, but I really can't get a grasp on sushi. My friends and I do all you can eat sushi maybe once a month and I love it and really don't want to give it up, but it really messes with my BG...sometimes as much as 5 hours later!
I've tried bolusing a large amount pre-meal, and found my BG at 8 about an hour afterward, but then at 15 three hours later! 
I've tried bolusing half pre-meal and half mid-meal and that didn't seem to work either.
It's tricky because with all-you-can-eat we are easily eating slowly for like an hour and a half with breaks in between to wait on our next orders. 
Does anyone have any experience with this or tips? I do not use a pump yet...should be getting one in the fall. I suspect it may be easier with a pump.
Sorry if this is a silly question, it's just that I've had a hard time with all the adjustments and transitions and I'd like to retain some normalcy and do the things I enjoy.
Thanks!
</t>
        </is>
      </c>
      <c r="D986" t="n">
        <v>1</v>
      </c>
      <c r="E986" t="n">
        <v>19</v>
      </c>
      <c r="F986">
        <f>HYPERLINK("https://www.reddit.com/r/diabetes/comments/388zi5/allyoucaneat_sushi_issues/")</f>
        <v/>
      </c>
      <c r="G986" t="inlineStr">
        <is>
          <t>2015-06-02 11:04:06</t>
        </is>
      </c>
      <c r="H986" t="inlineStr">
        <is>
          <t>Type 1</t>
        </is>
      </c>
    </row>
    <row r="987">
      <c r="A987" t="inlineStr">
        <is>
          <t>3890c1</t>
        </is>
      </c>
      <c r="B987" t="inlineStr">
        <is>
          <t>New app for managing Type 2--feedback wanted!</t>
        </is>
      </c>
      <c r="C987" t="inlineStr">
        <is>
          <t>Hi guys, we would love your thoughts on an app and website designed to help manage Type 2 diabetes.  Thrive365 uses a patented algorithm to assign a food score to any food item from our database of over 300,000 items.  Your goal is to eat up to your personal food score for every meal--we hesitate to use this example, but it's a little like the weight watchers point system, only specifically for diabetes.  
The website is here: www.Thrive365.com
And the (free) app: apple.co/1BHgcqx 
If you like the tool or see some potential, we would really appreciate a vote--we've entered a grant competition for funding to make the system better:
https://www.missionmainstreetgrants.com/b/38445</t>
        </is>
      </c>
      <c r="D987" t="n">
        <v>0</v>
      </c>
      <c r="E987" t="n">
        <v>7</v>
      </c>
      <c r="F987">
        <f>HYPERLINK("https://www.reddit.com/r/diabetes/comments/3890c1/new_app_for_managing_type_2feedback_wanted/")</f>
        <v/>
      </c>
      <c r="G987" t="inlineStr">
        <is>
          <t>2015-06-02 11:08:29</t>
        </is>
      </c>
      <c r="H987" t="inlineStr">
        <is>
          <t>Type 2</t>
        </is>
      </c>
    </row>
    <row r="988">
      <c r="A988" t="inlineStr">
        <is>
          <t>38asu6</t>
        </is>
      </c>
      <c r="B988" t="inlineStr">
        <is>
          <t>What Does a Low During Sleep Feel Like?</t>
        </is>
      </c>
      <c r="C988" t="inlineStr">
        <is>
          <t>What does a "low" feel like, especially when you're asleep? I've never had this before, but twice now I've woken up from being hot, sweaty, and the worst feeling - this whole body shakiness thing that I can't figure out, oh, and it felt like my heart was beating fast. I got out of bed, but didn't check my BG right away because my son intercepted me so there was a ten minute delay, but when I did check it it was 78. Any insight? I have lab work in 2 weeks and see my doctor in 3 weeks. I've been LCHF since August, which is when I was dx as a Type 2 and immediately started eating LCHF.  I do take 1000mg metformin twice a day.
Thank you!</t>
        </is>
      </c>
      <c r="D988" t="n">
        <v>1</v>
      </c>
      <c r="E988" t="n">
        <v>16</v>
      </c>
      <c r="F988">
        <f>HYPERLINK("https://www.reddit.com/r/diabetes/comments/38asu6/what_does_a_low_during_sleep_feel_like/")</f>
        <v/>
      </c>
      <c r="G988" t="inlineStr">
        <is>
          <t>2015-06-02 17:28:43</t>
        </is>
      </c>
      <c r="H988" t="inlineStr">
        <is>
          <t>Type 2</t>
        </is>
      </c>
    </row>
    <row r="989">
      <c r="A989" t="inlineStr">
        <is>
          <t>38fju1</t>
        </is>
      </c>
      <c r="B989" t="inlineStr">
        <is>
          <t>Type 1 ladies- any success with nexplanon bc?</t>
        </is>
      </c>
      <c r="C989" t="inlineStr">
        <is>
          <t>I've gone through a couple of pills without success trying to find something that doesn't significantly affect my blood sugars. I found what looked like a legitimate publication that suggested that implants were usually pretty safe and did not significantly affect metabolic processes.  [Page 14 if anyone's interested](http://www.cecity.com/aoa/healthwatch/april_11/print3.pdf)
However, when I went looking online for stories about T1 women who have actually used it, the responses seemed to be all negative. I'm not sure if this is just because people just post about it when it doesn't work or if it's actually pretty bad most of the time. I know everyone's different both in and it may or may not work out, but I was wondering if any of you out there have had positive experiences with the nexplanon implant. Any advice helps! Thanks.</t>
        </is>
      </c>
      <c r="D989" t="n">
        <v>5</v>
      </c>
      <c r="E989" t="n">
        <v>12</v>
      </c>
      <c r="F989">
        <f>HYPERLINK("https://www.reddit.com/r/diabetes/comments/38fju1/type_1_ladies_any_success_with_nexplanon_bc/")</f>
        <v/>
      </c>
      <c r="G989" t="inlineStr">
        <is>
          <t>2015-06-03 14:48:39</t>
        </is>
      </c>
      <c r="H989" t="inlineStr">
        <is>
          <t>Type 1</t>
        </is>
      </c>
    </row>
    <row r="990">
      <c r="A990" t="inlineStr">
        <is>
          <t>38fvle</t>
        </is>
      </c>
      <c r="B990" t="inlineStr">
        <is>
          <t>Animas - "End of Operational Life (pump) 2023?</t>
        </is>
      </c>
      <c r="C990" t="inlineStr">
        <is>
          <t>So I'm currently in the process of getting a new Insulin Pump and have been dead set on getting an Animas Vibe pump. Right now I have a Minimed Paradigm pump which has lasted me a venerable 8 years but it has been developing cracks all over it and is (literally) held together with tape. And even more annoying, it developed those cracks immediately after the warranty ran out. So I was wanting to do the switch because I'm looking for a pump that could be guaranteed as waterproof and will last hopefully a long time after the warranty expires just incase I don't happen to have insurance. But upon reading the Animas Vibe manual online, in the specifications part it says "End of Operational Life (pump): December 31, 2023" which seems absolutely bizarre considering you pay $7100CAD for medical device that just abruptly stops working after a certain date. Then doing a little more digging, apparently the older Animas pumps (2020 and the IR1200) have this same issue where they will abruptly stop working after December 31 of this year. Seriously, WTF??? How can they justify that?
Anybody know any details as to why this is? Can setting the date back several years avoid this or is there some unknown internal clock that keeps track? It's making me kind of skeptical about buying an Animas Vibe if at some point it will just stop working just because they want you to buy another pump. It seems so two-faced coming from a company that advertises on their website "Our innovation is you".</t>
        </is>
      </c>
      <c r="D990" t="n">
        <v>2</v>
      </c>
      <c r="E990" t="n">
        <v>9</v>
      </c>
      <c r="F990">
        <f>HYPERLINK("https://www.reddit.com/r/diabetes/comments/38fvle/animas_end_of_operational_life_pump_2023/")</f>
        <v/>
      </c>
      <c r="G990" t="inlineStr">
        <is>
          <t>2015-06-03 16:05:32</t>
        </is>
      </c>
      <c r="H990" t="inlineStr">
        <is>
          <t>Type 1</t>
        </is>
      </c>
    </row>
    <row r="991">
      <c r="A991" t="inlineStr">
        <is>
          <t>38gp4p</t>
        </is>
      </c>
      <c r="B991" t="inlineStr">
        <is>
          <t>Dexcom CGM Sensor locations</t>
        </is>
      </c>
      <c r="C991" t="inlineStr">
        <is>
          <t xml:space="preserve">Hey all,
So after a recent post a bunch of you guys inspired me to look into a dexom. A week after using it and I love it. I placed the initial sensor on my abdomen as dexcom suggests but I know people put them else where like their arms. 
I was wondering where everyone is putting them? I'm more on the muscular side so my arms are out of the question (would be directly in triceps) but I've heard of people placing it in their thighs also, that sounds good but I don't have much cushion their either, plus I don't think it would feel great doing some squats lol. 
Any suggestions/pics of sites? Thanks! </t>
        </is>
      </c>
      <c r="D991" t="n">
        <v>1</v>
      </c>
      <c r="E991" t="n">
        <v>5</v>
      </c>
      <c r="F991">
        <f>HYPERLINK("https://www.reddit.com/r/diabetes/comments/38gp4p/dexcom_cgm_sensor_locations/")</f>
        <v/>
      </c>
      <c r="G991" t="inlineStr">
        <is>
          <t>2015-06-03 19:21:52</t>
        </is>
      </c>
      <c r="H991" t="inlineStr">
        <is>
          <t>Type 1</t>
        </is>
      </c>
    </row>
    <row r="992">
      <c r="A992" t="inlineStr">
        <is>
          <t>38hejt</t>
        </is>
      </c>
      <c r="B992" t="inlineStr">
        <is>
          <t>Metformin and diarrhea (type 2)</t>
        </is>
      </c>
      <c r="C992" t="inlineStr">
        <is>
          <t>I have type 2 diabetes, and I found out in October of 2013. My A1C was 13 at the time (if I recall correctly.) I was prescribed Metformin.
Recently I read that one of the side effects of metformin is diarrhea, which I didn't encounter at all. On the contrary, I was very regular after I started taking metformin. 
I've had a couple times where I forgot to take my metformin and I ended up getting terrible diarrhea, which went away as soon as I took my metformin again. Fast forward to yesterday. I went into my doctors office and they did an A1C on me. I came up at a 5.2 I think. The doctor said I'm doing great, and they said they're going to take me off of my metformin. So, today I didn't take any metformin. I spent most of the day after lunch at work running to the bathroom with horrible intestinal pain and uncontrollable diarrhea. 
Has anyone else had a similar experience? Should I just try taking over the counter anti-diarrhea medicine? I think it might just be a problem with my system being used to having the metformin and it might go away in a few days. 
I'm going to head into the doctors office on Saturday (the first day that work won't get in the way of me getting to the doctor) if I'm still having this problem.
Any advice/experiences are appreciated.
Edit: Also, my appetite was through the roof today. I was hungry almost all day.</t>
        </is>
      </c>
      <c r="D992" t="n">
        <v>3</v>
      </c>
      <c r="E992" t="n">
        <v>6</v>
      </c>
      <c r="F992">
        <f>HYPERLINK("https://www.reddit.com/r/diabetes/comments/38hejt/metformin_and_diarrhea_type_2/")</f>
        <v/>
      </c>
      <c r="G992" t="inlineStr">
        <is>
          <t>2015-06-03 22:50:09</t>
        </is>
      </c>
      <c r="H992" t="inlineStr">
        <is>
          <t>Type 2</t>
        </is>
      </c>
    </row>
    <row r="993">
      <c r="A993" t="inlineStr">
        <is>
          <t>38hh5z</t>
        </is>
      </c>
      <c r="B993" t="inlineStr">
        <is>
          <t>Type 2 - Low of 39 Last Night - What Do I Do Tonight?</t>
        </is>
      </c>
      <c r="C993" t="inlineStr">
        <is>
          <t>I was dx in August of last year.  I immediately started eating a lchf keto diet.  I was put on, and still take 2000mg of metformin daily.  One 1,000mg in the morning, and one at night.  I have had several episodes of waking up very hot, sweating, heart racing/pounding - but last night I actually checked my BG and it was 39.  I ate 4 Smarties while lying in bed and ten minutes later my BG was 79.  (I never checked my BG during these episodes before because I was under the impression that Type 2s don't get dangerous low.  ALSO, right before bed my BG was 89...about 4 hours before the low of 39 woke me up.)
I called my doctor and got to talk to the nurse who said to eat a snack - so I grabbed a handful of my son's cereal.  I asked the nurse if I should reduce my metformin and she said not to do that.  So, I was tired later because of not sleeping well and was scared to go to sleep - so I ate 5 Ritz crackers before laying down.  I slept for 3 hours and it seemed okay, but had a lot of nightmares - so, not restful in any way.
As you can imagine, I'm exhausted, but scared to go to sleep tonight.  I don't think I should take my metformin.  Should I eat a snack before bed?  I'm at a loss. 
The nurse moved my A1C appointment up from next week to Friday, and then moved my follow-up with my doctor to June 12th rather than the third week of June.  So, I won't really know how to handle going to sleep until then.  That's 9 days away and I really cannot handle the stress of this right now - thinking that I'm going to die if i fall asleep - with everything else that's going on in my life at the moment.
Please, any advice would be so appreciated.  Thank you in advance.
Edited to add:  My last A1c - 3 months ago - was 6.1, down from 6.9 3 months prior to that, and 8.9 prior to that when I was diagnosed.  My BG is 106 right now, but I just ate dinner 2 hours ago.  All I desperately want to do is sleep.</t>
        </is>
      </c>
      <c r="D993" t="n">
        <v>0</v>
      </c>
      <c r="E993" t="n">
        <v>9</v>
      </c>
      <c r="F993">
        <f>HYPERLINK("https://www.reddit.com/r/diabetes/comments/38hh5z/type_2_low_of_39_last_night_what_do_i_do_tonight/")</f>
        <v/>
      </c>
      <c r="G993" t="inlineStr">
        <is>
          <t>2015-06-03 23:15:26</t>
        </is>
      </c>
      <c r="H993" t="inlineStr">
        <is>
          <t>Type 2</t>
        </is>
      </c>
    </row>
    <row r="994">
      <c r="A994" t="inlineStr">
        <is>
          <t>38lmf9</t>
        </is>
      </c>
      <c r="B994" t="inlineStr">
        <is>
          <t>Tips for T1D on Prolonged Cardio?</t>
        </is>
      </c>
      <c r="C994" t="inlineStr">
        <is>
          <t xml:space="preserve">I played hockey for 18 years and into college. I called it quits just 6 months before I was hospitalized for T1D. Since then I have still been physically active (lifting weights, cycling, etc.) but hockey is a very cardio intensive sport and I am scared to get out there and play again because I drop low even during a half hour run. I find myself missing the sport a lot and I want to get back out there. Any advice on how to get back into it? (I do not have a pump)
TL;DR I miss playing hockey but my diabetes worries me about trying to play again due to lows. </t>
        </is>
      </c>
      <c r="D994" t="n">
        <v>1</v>
      </c>
      <c r="E994" t="n">
        <v>7</v>
      </c>
      <c r="F994">
        <f>HYPERLINK("https://www.reddit.com/r/diabetes/comments/38lmf9/tips_for_t1d_on_prolonged_cardio/")</f>
        <v/>
      </c>
      <c r="G994" t="inlineStr">
        <is>
          <t>2015-06-04 17:38:47</t>
        </is>
      </c>
      <c r="H994" t="inlineStr">
        <is>
          <t>Type 1</t>
        </is>
      </c>
    </row>
    <row r="995">
      <c r="A995" t="inlineStr">
        <is>
          <t>38ny3o</t>
        </is>
      </c>
      <c r="B995" t="inlineStr">
        <is>
          <t>Possible medical breakthrough for type 1</t>
        </is>
      </c>
      <c r="C995" t="inlineStr">
        <is>
          <t xml:space="preserve">http://nos.nl/artikel/2039634-genezing-diabetes-1-dichtbij.html
the article is in Dutch and i cant find a credible source with a translation atm
"Chances are that type 1 diabetes is curable in a few years. The fight against the disease has gained momentum after discovering that diabetes patients are indeed themselves still able to create insulin. Until recently assumed the medical world that was impossible.
Professor Bart Roep internationally prominent diabetes researcher at the Leiden University Medical Center, speaks of a breakthrough. "We now know that it is not so that the body of diabetes can not produce insulin, but the body is unwilling to."
With this understanding, the fight against diabetes is now focused on activating the pancreas to produce insulin. This may, for people who have long been diabetes type 1 patient, lead to the prevention of the disease and even recovery. But there are very recent successful results with the use of the new method for preventive treatments. This is given to children who are prone to diabetes.
The search for a cure for Type 2 diabetes is a lot slower. This has to do, among other things with the fact that this type of diabetes is also related to lifestyle."
if the information is miss leading or false then that wasn't my intention. the LUMC (leiden university medical center) and Dr B. Roep seem highly credible
</t>
        </is>
      </c>
      <c r="D995" t="n">
        <v>20</v>
      </c>
      <c r="E995" t="n">
        <v>37</v>
      </c>
      <c r="F995">
        <f>HYPERLINK("https://www.reddit.com/r/diabetes/comments/38ny3o/possible_medical_breakthrough_for_type_1/")</f>
        <v/>
      </c>
      <c r="G995" t="inlineStr">
        <is>
          <t>2015-06-05 06:10:15</t>
        </is>
      </c>
      <c r="H995" t="inlineStr">
        <is>
          <t>Type 1</t>
        </is>
      </c>
    </row>
    <row r="996">
      <c r="A996" t="inlineStr">
        <is>
          <t>38qdmi</t>
        </is>
      </c>
      <c r="B996" t="inlineStr">
        <is>
          <t>People who are using the [FreeStyle Libre](http://www.freestylelibre.co.uk/) system - how's it working out?</t>
        </is>
      </c>
      <c r="C996" t="inlineStr">
        <is>
          <t>I'd like to know particularly how it compares to regular test strips for accuracy.</t>
        </is>
      </c>
      <c r="D996" t="n">
        <v>1</v>
      </c>
      <c r="E996" t="n">
        <v>0</v>
      </c>
      <c r="F996">
        <f>HYPERLINK("https://www.reddit.com/r/diabetes/comments/38qdmi/people_who_are_using_the_freestyle/")</f>
        <v/>
      </c>
      <c r="G996" t="inlineStr">
        <is>
          <t>2015-06-05 15:59:52</t>
        </is>
      </c>
      <c r="H996" t="inlineStr">
        <is>
          <t>Type 1</t>
        </is>
      </c>
    </row>
    <row r="997">
      <c r="A997" t="inlineStr">
        <is>
          <t>38sanw</t>
        </is>
      </c>
      <c r="B997" t="inlineStr">
        <is>
          <t>T1 and drinking beer</t>
        </is>
      </c>
      <c r="C997" t="inlineStr">
        <is>
          <t>I already know this isn't the answer but when I find myself drinking say more than 2-3 beers when out I wind up eating with my drinks as usual and completely disregarding dosing for the food because I found that I was all over the place and it was just a pita to do it. Anyone have any tips for when they drink and are out? How do you all manage it? I'm on MDIs and the cost of a pump/cgm is out of my budget right now.</t>
        </is>
      </c>
      <c r="D997" t="n">
        <v>5</v>
      </c>
      <c r="E997" t="n">
        <v>15</v>
      </c>
      <c r="F997">
        <f>HYPERLINK("https://www.reddit.com/r/diabetes/comments/38sanw/t1_and_drinking_beer/")</f>
        <v/>
      </c>
      <c r="G997" t="inlineStr">
        <is>
          <t>2015-06-06 04:14:24</t>
        </is>
      </c>
      <c r="H997" t="inlineStr">
        <is>
          <t>Type 1</t>
        </is>
      </c>
    </row>
    <row r="998">
      <c r="A998" t="inlineStr">
        <is>
          <t>38sinp</t>
        </is>
      </c>
      <c r="B998" t="inlineStr">
        <is>
          <t>ELI5: If being high/low is too dangerous, why didn't I have any issues before being diagnosed?</t>
        </is>
      </c>
      <c r="C998" t="inlineStr">
        <is>
          <t>So I was T1 diagnosed in Jan/Feb this year and experienced symptoms like thirst, peeing, loss of weight for over a year prior to this. My question is, if being too high or too low is so dangerous why am I not dead? Why didn't I possibly die from hypo or hyperglycemia?</t>
        </is>
      </c>
      <c r="D998" t="n">
        <v>7</v>
      </c>
      <c r="E998" t="n">
        <v>7</v>
      </c>
      <c r="F998">
        <f>HYPERLINK("https://www.reddit.com/r/diabetes/comments/38sinp/eli5_if_being_highlow_is_too_dangerous_why_didnt/")</f>
        <v/>
      </c>
      <c r="G998" t="inlineStr">
        <is>
          <t>2015-06-06 06:00:05</t>
        </is>
      </c>
      <c r="H998" t="inlineStr">
        <is>
          <t>Type 1</t>
        </is>
      </c>
    </row>
    <row r="999">
      <c r="A999" t="inlineStr">
        <is>
          <t>38soqr</t>
        </is>
      </c>
      <c r="B999" t="inlineStr">
        <is>
          <t>T2 on oral meds only- blood sugar and A1C have increased dramatically since the last test...help!</t>
        </is>
      </c>
      <c r="C999" t="inlineStr">
        <is>
          <t>I was diagnosed with Type 2 a couple years ago after being sick for a long time, and taken to the ER with a blood sugar of 400. My first A1C was 12.6, but after taking the max dose of Metformin and also Tradgenta added, my A1C's have been 6.5 ever since...until this month. 
My A1C from last month was 8.0! Since January my fasting and pp sugars have been around 200, and I'm not sure why, other than the fact that I have relaxed somewhat on my diet. Are my oral meds not working as well? Does this mean my diabetes may have progressed? Is damage being done at these levels? I plan to call my doctor soon, but have cut out most carbs since I got the lab work back and hoped that would help, but my fasting and PP sugars have still been 190-200 while while eating low fat, high protein low carb.
What are my options at this point? I also worry about eating since my blood sugars have been so high, but am always still hungry after low carb meals and don't know what snacks etc would be best to limit spikes. Any help would be really appreciated!</t>
        </is>
      </c>
      <c r="D999" t="n">
        <v>5</v>
      </c>
      <c r="E999" t="n">
        <v>35</v>
      </c>
      <c r="F999">
        <f>HYPERLINK("https://www.reddit.com/r/diabetes/comments/38soqr/t2_on_oral_meds_only_blood_sugar_and_a1c_have/")</f>
        <v/>
      </c>
      <c r="G999" t="inlineStr">
        <is>
          <t>2015-06-06 07:03:17</t>
        </is>
      </c>
      <c r="H999" t="inlineStr">
        <is>
          <t>Type 2</t>
        </is>
      </c>
    </row>
    <row r="1000">
      <c r="A1000" t="inlineStr">
        <is>
          <t>38to6h</t>
        </is>
      </c>
      <c r="B1000" t="inlineStr">
        <is>
          <t>Getting My Diabetes Under Control</t>
        </is>
      </c>
      <c r="C1000" t="inlineStr">
        <is>
          <t xml:space="preserve">An amazing thing happened.
Back story: I was diagnosed with Type 2 Diabetes two years ago and now I need an insulin injection and multiple pills every day.  I had been very active in my youth (weren’t we all), but kinda slowed down a little once I hit retirement.  Then the diabetes just kinda happened…and scared the hell out of me. So, I made some changes.  …Exercise, diet change, and a little gardening.
I started exercises regularly at least three times a week… all sorts of things…but always between 30-60min a session.  Nothing too intense, just very active…like aerobic workouts that included treadmill, weights, partner exercises, bands, etc… Stuff that allowed me to tone muscle while keeping my heart rate elevated for 30-60min.  Starting slow at first and increasing intensity when my body let me.  I have been able to maintain that for the last two years.  I talked to my doctor first about the intensity because I would start to tank because of low blood sugar and he helped me with that.  
Gardening…  A small raised bed and some pots.  Big enough to grow herbs, some lettuces, some tomatoes, mint, etc…… All this to help me with my diet.  I wanted to include something from my garden every day into every meal I eat.  
Next my diet.  I didn’t go on a diet, I improved it.  I didn’t stop eating carbs, or protein, or sugar, or go Paleo, or go Vegan, or Adkins, or none of that.  I put myself in a position that forced me to eat…want to eat… healthy.  I cut out soda almost completely and started drinking water and tea.  (I didn’t stop alcohol I just reduced it) I really reduced the amount of simple carbs (potatoes, rice, bread, etc.) and reduced dairy…  …not stop…just really reduced.  And then I went crazy on eating vegetables and fruits.  Grilled, saluted, raw, etc.  Dips where no longer sour cream based, instead it was fresh salsa and dips based on sesame seeds, and all kinds of nuts and beans.  (Love that stuff.) I also made one day each week a vegan or raw vegan day.  (That helped me = forced me = to discover all veggie dishes to help reduce my red meat intake.)  My favorite one is zucchini spaghetti …not spaghetti made from zucchini, but zucchini cut into little strips, topped with tomato, parmesan, olive oil, balsamic…mmm.. Damn good eating.  I didn’t have to reduce my calorie intake very much, I just made nutrient dense choices….which leads me to…
And the number one way I was able to triple up on my fruits and veggies was through smoothies.  Not juicing, but SMOOTHIEs.  THAT is what really helped me eat healthy (and keep me regular ;-).  I made the plunge and invested in a Vitamix.  Now I drink a smoothie for both breakfast and lunch (with an after lunch snack around 3pm …carrot and celery sticks, nut/bean based dips, dates, figs, etc.) to keep my blood sugars up.)  
But my smoothies keep you full.  AND THAT IS THE KEY.  Stay full.  I swear…you won’s miss solid food for breakfast and lunch…because you know you will “be able to chew” at dinner!  Besides…if you are full you don’t crave as much. (Well, at least I don’t.)
I wouldn’t have believed it if I hadn’t tried it myself.  Basically I start with a liquid (Juice, almond milk, coconut water) and some fruit (apple, banana, frozen berries  ...strawberry, blue berry, raspberry) add a large handful of spinach and one of kale, add ice, and the key to staying full…add hemp hearts, or flax seed or chia seeds and some plant based protein powder. (Hemp hearts are hulled hemp seeds)  I won’t go into all the nutritional values of everything, but just suffice to say: THAT is how I reduced simple carbs and INCREASED my veggie intake.
In the beginning you might want your smoothies sweeter (more fruit than greens), but eventually you can have it less sweet (more greens than fruits.)  
The result.  I have more energy, don’t get tired in the middle of the day, get up earlier in the morning (I have to for garden maintenance…)  and…DRUM ROLL…PLEASE…
I saw my doctor last week, and my blood sugar numbers are good… So good in fact, that I am coming off my insulin shots!  He thinks that this is all due to me getting off my ass, being active, and eating better.
It is a simple formula that, like anything worth having, takes some work, but you can start today…
Exercise for 10 minutes today, eat one vegetarian meal this week, drink a green smoothie instead of lunch.  Start making those things a habit. 
Talk to your doctor… let him/her know what you are doing.
That’s my story …and I am sticking to it.
</t>
        </is>
      </c>
      <c r="D1000" t="n">
        <v>16</v>
      </c>
      <c r="E1000" t="n">
        <v>20</v>
      </c>
      <c r="F1000">
        <f>HYPERLINK("https://www.reddit.com/r/diabetes/comments/38to6h/getting_my_diabetes_under_control/")</f>
        <v/>
      </c>
      <c r="G1000" t="inlineStr">
        <is>
          <t>2015-06-06 11:51:57</t>
        </is>
      </c>
      <c r="H1000" t="inlineStr">
        <is>
          <t>Type 2</t>
        </is>
      </c>
    </row>
    <row r="1001">
      <c r="A1001" t="inlineStr">
        <is>
          <t>38trby</t>
        </is>
      </c>
      <c r="B1001" t="inlineStr">
        <is>
          <t>I guess I'm T2 now.</t>
        </is>
      </c>
      <c r="C1001" t="inlineStr">
        <is>
          <t xml:space="preserve">So here's my story, 6 months ago I had a yearly physical, my A1c came back at 6.4, doctor said to come back in 6 months to see if it changes. I went in Monday for the follow up exam and blood work, as well as for a terrible sore throat I had just developed. I got a Z-pack for the throat and was told they would give me a call when the labs came back.
Fast forward one day, I work up with my throat nearly swollen shut and super painful, went to work for the morning because no one could cover for me then went home and took a nap. After the nap throat was no better so I called the doctor and asked for help, I talked to the MA and she said that I needed to see an ENT, to hold for more info, then she came back on and said your blood work came back, you are diabetic, try low carb for 3 months and we will check again, here's the number for the ENT, I hope you feel better. *click*
I had a fever and had a hard time swallowing, so it took a minute to realize what she had said but I needed to deal with the more pressing problem. Turns out I have severe tonsillitis. UGH!
Anyway, I haven't had a chance to call back about this diagnosis, but I went to Wal-Mart and picked up a cheap meter and strips downloaded the Glucose Buddy app and and checking my numbers when I wake up, 2 hours after each meal and at bedtime. I also started Whole30 on the first of the month, so low carb isn't a problem this month, I guess I will keep it up until I go back. 
So that's my story so far. I'm reading as much as I can online and talking to other T2 friends, but it's a little scary and any words of wisdom would be greatly appreciated.
Edit: My readings on Sunday and what I ate. I was a Panera for most of the day with my knitting group.
Out of bed: 108
After breakfast:163 Breakfast was 2 eggs scrambled in ghee with 2 1/2 pieces of sugar free bacon and 1/2 plantain pan fried in coconut oil with black coffee.
After Lunch: 145 Lunch was a Panera Steak Cobb with Avocado salad with a little balsamic vinegar and olive oil.
After dinner: 95 Dinner was a Panera Classic salad with no onions, steak added and a little balsamic vinegar and olive oil.
This morning was 101 out of bed.
</t>
        </is>
      </c>
      <c r="D1001" t="n">
        <v>6</v>
      </c>
      <c r="E1001" t="n">
        <v>22</v>
      </c>
      <c r="F1001">
        <f>HYPERLINK("https://www.reddit.com/r/diabetes/comments/38trby/i_guess_im_t2_now/")</f>
        <v/>
      </c>
      <c r="G1001" t="inlineStr">
        <is>
          <t>2015-06-06 12:17:19</t>
        </is>
      </c>
      <c r="H1001" t="inlineStr">
        <is>
          <t>Type 2</t>
        </is>
      </c>
    </row>
    <row r="1002">
      <c r="A1002" t="inlineStr">
        <is>
          <t>38x8im</t>
        </is>
      </c>
      <c r="B1002" t="inlineStr">
        <is>
          <t>What do you consider low carb?</t>
        </is>
      </c>
      <c r="C1002" t="inlineStr">
        <is>
          <t>Newly diagnosed (about six weeks), and had an appointment with a nutritionist last week. She is recommending 180 - 270 grams/day. While we were talking, she mentioned this system of using 15 gram increments as carb choices. Anyway, I was wondering what kind of carb totals / day you aim for? 
[EDIT] You all have been just wonderful this noob to your world! I feel like I'm learning more here than I am from the professionals. Cheers, and I'll be back with any more questions!</t>
        </is>
      </c>
      <c r="D1002" t="n">
        <v>1</v>
      </c>
      <c r="E1002" t="n">
        <v>58</v>
      </c>
      <c r="F1002">
        <f>HYPERLINK("https://www.reddit.com/r/diabetes/comments/38x8im/what_do_you_consider_low_carb/")</f>
        <v/>
      </c>
      <c r="G1002" t="inlineStr">
        <is>
          <t>2015-06-07 09:51:11</t>
        </is>
      </c>
      <c r="H1002" t="inlineStr">
        <is>
          <t>Type 2</t>
        </is>
      </c>
    </row>
    <row r="1003">
      <c r="A1003" t="inlineStr">
        <is>
          <t>38yww2</t>
        </is>
      </c>
      <c r="B1003" t="inlineStr">
        <is>
          <t>I used to think low carb was the best diet for type1 diabetes.</t>
        </is>
      </c>
      <c r="C1003" t="inlineStr">
        <is>
          <t>I had been doing a version of the Bernstein method for several years. It seemed to be going well according to my blood sugar but once I decided to ramp up athletic efforts I began to see it otherwise. 
I am working on a blog series about this (it's all my own experimentation) because I feel like what I will learn as I depart from my "tried and true" methods could be useful and relevant to others.
http://livingvertical.org/my-falling-out-with-the-ketogenic-diet/
Thanks!</t>
        </is>
      </c>
      <c r="D1003" t="n">
        <v>11</v>
      </c>
      <c r="E1003" t="n">
        <v>25</v>
      </c>
      <c r="F1003">
        <f>HYPERLINK("https://www.reddit.com/r/diabetes/comments/38yww2/i_used_to_think_low_carb_was_the_best_diet_for/")</f>
        <v/>
      </c>
      <c r="G1003" t="inlineStr">
        <is>
          <t>2015-06-07 17:43:38</t>
        </is>
      </c>
      <c r="H1003" t="inlineStr">
        <is>
          <t>Type 1</t>
        </is>
      </c>
    </row>
    <row r="1004">
      <c r="A1004" t="inlineStr">
        <is>
          <t>38yz78</t>
        </is>
      </c>
      <c r="B1004" t="inlineStr">
        <is>
          <t>Dr. Faustman's Phase II is kicking off!</t>
        </is>
      </c>
      <c r="C1004" t="inlineStr">
        <is>
          <t xml:space="preserve">[link](http://www.eurekalert.org/pub_releases/2015-06/mgh-mgh060315.php)
[Blog of someone who is participating in phase 2](https://lgraber81.wordpress.com/)
[Dr. Fuastman's lab](http://www.faustmanlab.org/)
Dr. Fuastman's promising (imo) research is kicking off phase II. It's one of the few treatment/cure's that I have my fingers crossed for. Can't wait to see how it goes. </t>
        </is>
      </c>
      <c r="D1004" t="n">
        <v>11</v>
      </c>
      <c r="E1004" t="n">
        <v>15</v>
      </c>
      <c r="F1004">
        <f>HYPERLINK("https://www.reddit.com/r/diabetes/comments/38yz78/dr_faustmans_phase_ii_is_kicking_off/")</f>
        <v/>
      </c>
      <c r="G1004" t="inlineStr">
        <is>
          <t>2015-06-07 18:03:05</t>
        </is>
      </c>
      <c r="H1004" t="inlineStr">
        <is>
          <t>Type 1</t>
        </is>
      </c>
    </row>
    <row r="1005">
      <c r="A1005" t="inlineStr">
        <is>
          <t>38z70f</t>
        </is>
      </c>
      <c r="B1005" t="inlineStr">
        <is>
          <t>I live in Canada, and I think I got the wrong size of minimed insulin pump. The 554, hold up to 180 units.</t>
        </is>
      </c>
      <c r="C1005" t="inlineStr">
        <is>
          <t xml:space="preserve">I find I'm changing my site before the 3rd day ever comes, when the lady on the phone asked me how many units I use a day (to choose the pump that would supply me with the right amount of units) I wasn't really sure exactly what she was talking about and what a reservoir was, so I chose the 554 with 180 units, sounded like a lot. However, now I'm finding I change my site before the 3rd day, and this worries me because that means I'm going to have to spend more on infusion sets and I'll damage my skin faster. 
My question is, How easy is it for me to switch out my pump for the larger version? Does anyone know? Who should I contact? What should I do!?
Also, if my sites are constantly bad should I go with the longer cannulas? </t>
        </is>
      </c>
      <c r="D1005" t="n">
        <v>3</v>
      </c>
      <c r="E1005" t="n">
        <v>6</v>
      </c>
      <c r="F1005">
        <f>HYPERLINK("https://www.reddit.com/r/diabetes/comments/38z70f/i_live_in_canada_and_i_think_i_got_the_wrong_size/")</f>
        <v/>
      </c>
      <c r="G1005" t="inlineStr">
        <is>
          <t>2015-06-07 19:08:19</t>
        </is>
      </c>
      <c r="H1005" t="inlineStr">
        <is>
          <t>Type 1</t>
        </is>
      </c>
    </row>
    <row r="1006">
      <c r="A1006" t="inlineStr">
        <is>
          <t>38zsyq</t>
        </is>
      </c>
      <c r="B1006" t="inlineStr">
        <is>
          <t>Air bubbles in tubing with t:slim</t>
        </is>
      </c>
      <c r="C1006" t="inlineStr">
        <is>
          <t xml:space="preserve">Note: Sorry for text format. I'm on my phone.
I'm new to pumping, and still trying to figure it all out.
I noticed that when I fill a new cartridge with my t:slim, that I find some bubbles in the luer lock when everything is finished. I know I can't get all the bubbles, but sometimes they can be pretty big.
When my diabetes educator was showing me how to change cartridges, she just filled the cartridge with insulin and then hooked it up. But in the manual it says to fill the cartridge and then *pull* the insulin back up into the syringe to get air out.. And then put it back in the cartridge. The first time I did that myself I screwed it up and felt like it was to much pressure trying to put the insulin back in.
Anyways, I'm just wondering how everyone else does it.
Thanks!
</t>
        </is>
      </c>
      <c r="D1006" t="n">
        <v>2</v>
      </c>
      <c r="E1006" t="n">
        <v>2</v>
      </c>
      <c r="F1006">
        <f>HYPERLINK("https://www.reddit.com/r/diabetes/comments/38zsyq/air_bubbles_in_tubing_with_tslim/")</f>
        <v/>
      </c>
      <c r="G1006" t="inlineStr">
        <is>
          <t>2015-06-07 22:22:51</t>
        </is>
      </c>
      <c r="H1006" t="inlineStr">
        <is>
          <t>Type 1</t>
        </is>
      </c>
    </row>
    <row r="1007">
      <c r="A1007" t="inlineStr">
        <is>
          <t>3902lz</t>
        </is>
      </c>
      <c r="B1007" t="inlineStr">
        <is>
          <t>[Shower_Thought] Diabetes Is Much Like Lock-smithing</t>
        </is>
      </c>
      <c r="C1007" t="inlineStr">
        <is>
          <t xml:space="preserve">You can take your time and obtain that perfect blood sugar by checking roughly every 20 minutes, and adjusting accordingly (unlocking the safe without any damage). Or, you can brute force it, and cause harm to your body by injecting ridiculous amounts of insulin (for highs) or chugging ridiculous amounts of OJ when you're low (which I've done many times, and regretted after about 30 mins, but to be honest, being high is much better than being low (for the short-term)).
I'm sitting here in bed at 1am, needing to fall asleep, but my blood sugar currently sits at about 280 mg/dl. I have to wake up for work at 6:30am, and I'm patiently waiting for it to fall back down. The thing is, I can't get a good nights sleep with a high blood sugar, so I have to wait. Also, I need to be careful about going low. This just made me think about the above analogy. </t>
        </is>
      </c>
      <c r="D1007" t="n">
        <v>1</v>
      </c>
      <c r="E1007" t="n">
        <v>2</v>
      </c>
      <c r="F1007">
        <f>HYPERLINK("https://www.reddit.com/r/diabetes/comments/3902lz/shower_thought_diabetes_is_much_like_locksmithing/")</f>
        <v/>
      </c>
      <c r="G1007" t="inlineStr">
        <is>
          <t>2015-06-08 00:07:49</t>
        </is>
      </c>
      <c r="H1007" t="inlineStr">
        <is>
          <t>Type 1</t>
        </is>
      </c>
    </row>
    <row r="1008">
      <c r="A1008" t="inlineStr">
        <is>
          <t>392fak</t>
        </is>
      </c>
      <c r="B1008" t="inlineStr">
        <is>
          <t>Diabetic Tattoos</t>
        </is>
      </c>
      <c r="C1008" t="inlineStr">
        <is>
          <t xml:space="preserve">Does anyone have a Type 1 tattoo?  
If so, where is it on your body? Can you share a pic? 
I am considering getting on because I use mass transit to work and am a runner and sometimes you just never know what can happen.  </t>
        </is>
      </c>
      <c r="D1008" t="n">
        <v>9</v>
      </c>
      <c r="E1008" t="n">
        <v>41</v>
      </c>
      <c r="F1008">
        <f>HYPERLINK("https://www.reddit.com/r/diabetes/comments/392fak/diabetic_tattoos/")</f>
        <v/>
      </c>
      <c r="G1008" t="inlineStr">
        <is>
          <t>2015-06-08 12:36:11</t>
        </is>
      </c>
      <c r="H1008" t="inlineStr">
        <is>
          <t>Type 1</t>
        </is>
      </c>
    </row>
    <row r="1009">
      <c r="A1009" t="inlineStr">
        <is>
          <t>395ied</t>
        </is>
      </c>
      <c r="B1009" t="inlineStr">
        <is>
          <t>My night...</t>
        </is>
      </c>
      <c r="C1009" t="inlineStr">
        <is>
          <t xml:space="preserve">I'm up, and you have all probably seen these kinds of posts a whole lot of times. But if you don't laugh you cry right?
6 months ago, upon returning from 10 years overseas working, I was diagnosed with T1 and glandular fever (mono) at the same time. Between the diabetes rollercoaster, and fever symptoms I was not in good shape. I wasn't even able to get out of the house, let alone look for a job.
Last month my glands finally settled down after a cool 5 months of a swollen neck and unrelenting tiredness. Tomorrow, I finally start a new job. To celebrate, I went out for dinner with a couple of mates, and we ordered steamed bread dumplings (big mistake #1). I took a good dose of insulin. No worries.
I get home, half expecting to be coming on low-ish on account of the amount of insulin I took. I was so very wrong. My 2hr reading was 17.3 (311.4), I immediately took two more units, and set the timer for another two hours, extending my bedtime to 11pm. Just doable, if I wanted some sleep before work.
Two hours later, at 10 pm I test again. 18.8 (338.4). Time to panic. I had two more units (big mistake #2). This pushed my bed time out to 1am. Not a good way to prepare for a new job. I knock back lots of water and make myself busy around the house, because I can't afford to run another dose. I have to get my BS down.
In about 45 minutes I start feeling weird. Not weird, like a low, but weird dizzy. Great I think. My BS is coming down. Better test. 6.0 (108). Oh. Shit. In under an hour I have cut my BS by 66%. Two teaspoons of honey. Set my alarm for 10 minutes. Test again. 3.8 (68.4). Time to get serious. Go for the glucose. 6 teaspoons, 7 teaspoons. Wait 10 minutes. 6.1 (109.8). Holy hell.
I work out, backwards, my active insulin and figure I still have the tail end of the first correction and the full second correction pumping through me. More honey.
It's now midnight and I have around an hour of active insulin left in me. I had too much honey and now I'm on 12 (216). But I'm safe. It should taper off and if I'm lucky I'll get a few hours sleep full of sugar and thinking about work.
Moral of the story. Don't guess carbs when you're counting on getting a good nights rest. Steamed bread dumplings are clearly full of sugar. And DONT get carried away with your correction doses. Active insulin doesn't dissipate linearly.
On the plus side. As long as I don't fall asleep at my desk tomorrow, I have a job. Also, my wife told me today she was pregnant. So that's pretty sweet;)
Update: So it's morning now and after a long commute I'm sitting outside of work. I got to bed at 1am and couldn't get to sleep until 3. I'm wrecked, but even got here a little early. Just got a text from my boss saying he's running 45 minutes late and to take a stroll or get a coffee. The sun is shining. Here's to new beginnings. And sleep. Sleep is awesome. Looking forward to getting some.
</t>
        </is>
      </c>
      <c r="D1009" t="n">
        <v>3</v>
      </c>
      <c r="E1009" t="n">
        <v>8</v>
      </c>
      <c r="F1009">
        <f>HYPERLINK("https://www.reddit.com/r/diabetes/comments/395ied/my_night/")</f>
        <v/>
      </c>
      <c r="G1009" t="inlineStr">
        <is>
          <t>2015-06-09 05:01:43</t>
        </is>
      </c>
      <c r="H1009" t="inlineStr">
        <is>
          <t>Type 1</t>
        </is>
      </c>
    </row>
    <row r="1010">
      <c r="A1010" t="inlineStr">
        <is>
          <t>395nlo</t>
        </is>
      </c>
      <c r="B1010" t="inlineStr">
        <is>
          <t>"Specks" on my eyes - anyone else had / has that?</t>
        </is>
      </c>
      <c r="C1010" t="inlineStr">
        <is>
          <t>I know, go and see a doctor. That's not the question.
It just reminds me so much of [dust specks on a camera sensor](https://sparepixels.files.wordpress.com/2014/09/spots.jpg) and I'm curious if one of you guys had a similar experience. 
It happens from time to time and I'm a bit dizzy as well when it happens, it feels much like being tipsy. Normally it goes away after a few hours but want to get it checked obviously.</t>
        </is>
      </c>
      <c r="D1010" t="n">
        <v>2</v>
      </c>
      <c r="E1010" t="n">
        <v>11</v>
      </c>
      <c r="F1010">
        <f>HYPERLINK("https://www.reddit.com/r/diabetes/comments/395nlo/specks_on_my_eyes_anyone_else_had_has_that/")</f>
        <v/>
      </c>
      <c r="G1010" t="inlineStr">
        <is>
          <t>2015-06-09 05:52:50</t>
        </is>
      </c>
      <c r="H1010" t="inlineStr">
        <is>
          <t>Type 1</t>
        </is>
      </c>
    </row>
    <row r="1011">
      <c r="A1011" t="inlineStr">
        <is>
          <t>397y8e</t>
        </is>
      </c>
      <c r="B1011" t="inlineStr">
        <is>
          <t>Met with diabetes educator, feeling much better about things!</t>
        </is>
      </c>
      <c r="C1011" t="inlineStr">
        <is>
          <t xml:space="preserve">See the first part of my tale [here](http://www.reddit.com/r/diabetes/comments/38trby/i_guess_im_t2_now/)
I called my doctor's office yesterday complaining that I didn't appreciate how I was informed about my diabetes and that I had a lot of questions. THe assistant called back and gave me the information for the diabetes educator. I met with her for an hour and a half today.
We discussed my previous pancreatic surgery and what effect, if any, it might be having as well as how my lack of spleen may affect my A1c due to how it would be filtering out red blood cells, if I had it. She is  going to look into any effect this may have.
She gave me a spiel about what T2 means and how it happens and progresses. I asked about the c-peptide and antibodies tests but she said we would wait of that for now as my being obese and very slowly increasing A1c don't give any indicators for those being necessary. I'm ok with this for the time being. 
Next we talked about food and how it affects blood sugar, I mentioned what I am doing this month and possibly moving to keto after the Whole30 is over. She admitted to not being very knowledgeable about keto and would look into that also.
Then I was given a One Touch VerioIQ shown how to use it and we talked about how often to test and what numbers I want to see. She doesn't recommend any medication at this time and wants me to check in, in 3 months.
So I have some resources, answers to my big questions and a prescription for test strips. I feel better about my current low carb plan and keeping it up for the most part. I will, however, indulge in gelato with I go to Italy next month!
</t>
        </is>
      </c>
      <c r="D1011" t="n">
        <v>4</v>
      </c>
      <c r="E1011" t="n">
        <v>4</v>
      </c>
      <c r="F1011">
        <f>HYPERLINK("https://www.reddit.com/r/diabetes/comments/397y8e/met_with_diabetes_educator_feeling_much_better/")</f>
        <v/>
      </c>
      <c r="G1011" t="inlineStr">
        <is>
          <t>2015-06-09 15:19:28</t>
        </is>
      </c>
      <c r="H1011" t="inlineStr">
        <is>
          <t>Type 2</t>
        </is>
      </c>
    </row>
    <row r="1012">
      <c r="A1012" t="inlineStr">
        <is>
          <t>39an16</t>
        </is>
      </c>
      <c r="B1012" t="inlineStr">
        <is>
          <t>8 ultra marathons in 8 days by 2 Type 1 Diabetics</t>
        </is>
      </c>
      <c r="C1012" t="inlineStr">
        <is>
          <t>Only 17 days away now.
I mentioned on this subreddit a couple of weeks back about a friend of mine running from Austin, TX to Whitesboro, TX. Total of 300 miles in 8 days. He found another type 1 diabetic to run with him and 2 ultra marathoners as well. We also have a ultra dog who is going to run what she can of it!
This run, The Camp Sweeney Run, is a 300 mile run to bring awareness to diabetes &amp;amp; Camp Sweeney, a camp for young diabetics. You can follow the journey at https://www.facebook.com/groups/410274939136537/
Are we crazy? Wanna join us? Anyone can come run parts of it with us if you want. Here are the maps of the route (https://sweeneyrun.wordpress.com) if you can join us on your feet, bike, car, or just holding a sign. Run or bike 1 mile or 30. We'd just love the encouragement on the way.
Thoughts? We are just out to prove that with proper diabetes management and training, we can do anything!</t>
        </is>
      </c>
      <c r="D1012" t="n">
        <v>9</v>
      </c>
      <c r="E1012" t="n">
        <v>4</v>
      </c>
      <c r="F1012">
        <f>HYPERLINK("https://www.reddit.com/r/diabetes/comments/39an16/8_ultra_marathons_in_8_days_by_2_type_1_diabetics/")</f>
        <v/>
      </c>
      <c r="G1012" t="inlineStr">
        <is>
          <t>2015-06-10 06:29:22</t>
        </is>
      </c>
      <c r="H1012" t="inlineStr">
        <is>
          <t>Type 1</t>
        </is>
      </c>
    </row>
    <row r="1013">
      <c r="A1013" t="inlineStr">
        <is>
          <t>39bib1</t>
        </is>
      </c>
      <c r="B1013" t="inlineStr">
        <is>
          <t>Anyone taking Ramapril?</t>
        </is>
      </c>
      <c r="C1013" t="inlineStr">
        <is>
          <t>So my Endo just perscribed me some Ramapril.. 
As far as I can tell it is for prevention of kidney and heart problems...
Any first hand experiance?
thanks in advance &amp;lt;3</t>
        </is>
      </c>
      <c r="D1013" t="n">
        <v>1</v>
      </c>
      <c r="E1013" t="n">
        <v>5</v>
      </c>
      <c r="F1013">
        <f>HYPERLINK("https://www.reddit.com/r/diabetes/comments/39bib1/anyone_taking_ramapril/")</f>
        <v/>
      </c>
      <c r="G1013" t="inlineStr">
        <is>
          <t>2015-06-10 10:15:51</t>
        </is>
      </c>
      <c r="H1013" t="inlineStr">
        <is>
          <t>Type 1</t>
        </is>
      </c>
    </row>
    <row r="1014">
      <c r="A1014" t="inlineStr">
        <is>
          <t>39c722</t>
        </is>
      </c>
      <c r="B1014" t="inlineStr">
        <is>
          <t>In big big trouble. Need advice about how to proceed.</t>
        </is>
      </c>
      <c r="C1014" t="inlineStr">
        <is>
          <t>So I'm currently not insured and this disease is taking a real toll on my finances. Seriously, the worst symptom of Diabetes is the COST.
So I call Medtronic today to order 1 box of infusion sets @ $109.00 and they tell me my script has expired. I haven't seen a doc in well over 2 years and have been treating myself pretty successfully since I became uninsured. So Medtronic can not sell me my life saving infusion sets without a script and I'm not really sure what to do. Funds are running very low. 
I currently buy the "rely-on" brand of insulin OTC from Wal-mart @ ~$23 per vial then buy my other supplies from Medtronic. 
Has anyone else ever been in this type of situation? What are we supposed to do when we don't have insurance and funds run out?</t>
        </is>
      </c>
      <c r="D1014" t="n">
        <v>4</v>
      </c>
      <c r="E1014" t="n">
        <v>18</v>
      </c>
      <c r="F1014">
        <f>HYPERLINK("https://www.reddit.com/r/diabetes/comments/39c722/in_big_big_trouble_need_advice_about_how_to/")</f>
        <v/>
      </c>
      <c r="G1014" t="inlineStr">
        <is>
          <t>2015-06-10 12:55:14</t>
        </is>
      </c>
      <c r="H1014" t="inlineStr">
        <is>
          <t>Type 1</t>
        </is>
      </c>
    </row>
    <row r="1015">
      <c r="A1015" t="inlineStr">
        <is>
          <t>39d1lm</t>
        </is>
      </c>
      <c r="B1015" t="inlineStr">
        <is>
          <t>Frequent Urination</t>
        </is>
      </c>
      <c r="C1015" t="inlineStr">
        <is>
          <t>I was just reading up on insulin and I then read in to diabetes. Have I finally found the solution to my frequent urination? I hope not. I am scared. I hit 7 of the symptoms and several are things I have been trying incessantly to solve for the last few years, but to me they seem rather innocuous. 
Unusual thirst - Always. I can't go anywhere without a water bottle.
Frequent urination - The battle of my life: I have urinated frequently forever, so much so that I can't enjoy a movie or concert. Friends and family know me as someone that frequently urinates. I wake up 2-3 time a night, every single night, to urinate at age 24.
Weight change (gain or loss) - Not notable
Extreme fatigue or lack of energy - I am lethargic, constantly and always have been. I take armodafinil, ephedrine, insane doses of caffeine.
Blurred vision - Something I experience often.
Frequent or recurring infections - Not something that I experience.
Cuts and bruises that are slow to heal - I have always been a very slow healer, healing from a 6 month old cut right now.
Tingling or numbness in the hands or feet - Not notable
Trouble getting or maintaining an erection - Something I have struggled with my entire life. I do not wake up with morning wood. I have had difficulties with sex my entire life. I recently found some viagra to cope and the difference in erections is night and day even when compared to masturbating.
Here is where it gets really scary. I googled more symptoms and found images of blotchy/darkened skin. I have similar areas on my body to the images I found.
I have taken blood tests and kidney ultrasounds, etc. when I had a UTI (apparently diabetics get UTIs often) as well as other times fairly recently. Would diabetes show up on simple blood tests? How obvious is it that I have diabetes? I'm going to make a call first thing in the morning... What are my next steps?</t>
        </is>
      </c>
      <c r="D1015" t="n">
        <v>0</v>
      </c>
      <c r="E1015" t="n">
        <v>1</v>
      </c>
      <c r="F1015">
        <f>HYPERLINK("https://www.reddit.com/r/diabetes/comments/39d1lm/frequent_urination/")</f>
        <v/>
      </c>
      <c r="G1015" t="inlineStr">
        <is>
          <t>2015-06-10 16:09:42</t>
        </is>
      </c>
      <c r="H1015" t="inlineStr">
        <is>
          <t>Type 1</t>
        </is>
      </c>
    </row>
    <row r="1016">
      <c r="A1016" t="inlineStr">
        <is>
          <t>39d7i9</t>
        </is>
      </c>
      <c r="B1016" t="inlineStr">
        <is>
          <t>[Type 2] A1C at a 2-3 year low!</t>
        </is>
      </c>
      <c r="C1016" t="inlineStr">
        <is>
          <t>I tested at 6.2 at my appointment today.  For the first time in a while, no new medications were discussed - indeed, my doctor brought up the possibility of dialing back on meds if my recent weight loss continues - and the only concern over my blood sugar was that it might be too *low* on occasion.  I will definitely take that over an A1C in the double digits!  Hopefully I can drop more pounds and drop some of my pills next.
All I have to say about my success so far is, *thank you*, /r/keto.  Anyone looking for a good diet to follow, check out what the folks over there have to say.</t>
        </is>
      </c>
      <c r="D1016" t="n">
        <v>1</v>
      </c>
      <c r="E1016" t="n">
        <v>0</v>
      </c>
      <c r="F1016">
        <f>HYPERLINK("https://www.reddit.com/r/diabetes/comments/39d7i9/type_2_a1c_at_a_23_year_low/")</f>
        <v/>
      </c>
      <c r="G1016" t="inlineStr">
        <is>
          <t>2015-06-10 16:51:20</t>
        </is>
      </c>
      <c r="H1016" t="inlineStr">
        <is>
          <t>Type 2</t>
        </is>
      </c>
    </row>
    <row r="1017">
      <c r="A1017" t="inlineStr">
        <is>
          <t>39d8wj</t>
        </is>
      </c>
      <c r="B1017" t="inlineStr">
        <is>
          <t>A1C at 2-3 year low!</t>
        </is>
      </c>
      <c r="C1017" t="inlineStr">
        <is>
          <t>I tested at 6.2 at my appointment today. For the first time in a while, no new medications were discussed - indeed, my doctor brought up the possibility of dialing back on meds if my recent weight loss continues - and the only concern over my blood sugar was that it might be too *low* on occasion. I will definitely take that over an A1C in the double digits! Hopefully I can drop more pounds and drop some of my pills next.
All I have to say about my success so far is, thank you, /r/keto . Anyone looking for a good diet to follow, check out what the folks over there have to say.</t>
        </is>
      </c>
      <c r="D1017" t="n">
        <v>34</v>
      </c>
      <c r="E1017" t="n">
        <v>9</v>
      </c>
      <c r="F1017">
        <f>HYPERLINK("https://www.reddit.com/r/diabetes/comments/39d8wj/a1c_at_23_year_low/")</f>
        <v/>
      </c>
      <c r="G1017" t="inlineStr">
        <is>
          <t>2015-06-10 17:01:23</t>
        </is>
      </c>
      <c r="H1017" t="inlineStr">
        <is>
          <t>Type 2</t>
        </is>
      </c>
    </row>
    <row r="1018">
      <c r="A1018" t="inlineStr">
        <is>
          <t>39e6t7</t>
        </is>
      </c>
      <c r="B1018" t="inlineStr">
        <is>
          <t>Help with Bionic Girlfriend (T1D)</t>
        </is>
      </c>
      <c r="C1018" t="inlineStr">
        <is>
          <t xml:space="preserve">Hi there r/diabetes! My girlfriend Paige (who has T1D) is trying to raise some money to be a part of the clinical trials for the bionic pancreas in Boston! She just finished writing her first gofundme.com campaign, which is at this link:
http://www.gofundme.com/wq8nzg
If you have a minute, please read her story. It's quite compelling. And thank you in advance if you donate to her cause. Every penny helps! </t>
        </is>
      </c>
      <c r="D1018" t="n">
        <v>1</v>
      </c>
      <c r="E1018" t="n">
        <v>3</v>
      </c>
      <c r="F1018">
        <f>HYPERLINK("https://www.reddit.com/r/diabetes/comments/39e6t7/help_with_bionic_girlfriend_t1d/")</f>
        <v/>
      </c>
      <c r="G1018" t="inlineStr">
        <is>
          <t>2015-06-10 20:39:01</t>
        </is>
      </c>
      <c r="H1018" t="inlineStr">
        <is>
          <t>Type 1</t>
        </is>
      </c>
    </row>
    <row r="1019">
      <c r="A1019" t="inlineStr">
        <is>
          <t>39ek7n</t>
        </is>
      </c>
      <c r="B1019" t="inlineStr">
        <is>
          <t>Weight gain, tried a lot of things. Advice needed...</t>
        </is>
      </c>
      <c r="C1019" t="inlineStr">
        <is>
          <t xml:space="preserve">Before I had my type 2 diabetes under control I lost weight. Went from 3x shirts to 1x... I lost about 80 lbs over a couple years.  Then diagnosed and after a lot pills, shots and tests for 4 years I am a type 2 on a pump and cgm.  I have been for about a year.  My numbers are 78 to 190 and a1c of 6.3.  I track my foods on GoFoods app, read labels like a religion, walk about 10 to 15 miles a week tracked by Fitbit... I really am trying.  I am up 60 lbs since last summer.  My calories are around 1300-1900 a day, protein at 30%, carbs at 40% and saturated fats at 30%.  I limit breads, sugars, pastas, white rice, potatoes and deserts.  I eat 3 meals a day, a whole grain cereal and sometimes fruit, lunch and dinner of leftovers, grilled foods or veggies/meats.  I only take humalog via Animas Vibe and Bydurion weekly.  I geocache on the weekends and work from home during the week.  Any advice, tips, ideas?  I talked to the endo today and got an apt for late August, but at a pound or two a week... I will be more rotund... And I really, really don't want to be.  </t>
        </is>
      </c>
      <c r="D1019" t="n">
        <v>2</v>
      </c>
      <c r="E1019" t="n">
        <v>19</v>
      </c>
      <c r="F1019">
        <f>HYPERLINK("https://www.reddit.com/r/diabetes/comments/39ek7n/weight_gain_tried_a_lot_of_things_advice_needed/")</f>
        <v/>
      </c>
      <c r="G1019" t="inlineStr">
        <is>
          <t>2015-06-10 22:14:44</t>
        </is>
      </c>
      <c r="H1019" t="inlineStr">
        <is>
          <t>Type 2</t>
        </is>
      </c>
    </row>
    <row r="1020">
      <c r="A1020" t="inlineStr">
        <is>
          <t>39enek</t>
        </is>
      </c>
      <c r="B1020" t="inlineStr">
        <is>
          <t>Diabetics and electronics!</t>
        </is>
      </c>
      <c r="C1020" t="inlineStr">
        <is>
          <t>SO, I thought about making a post about what you do to protect your eyes while looking at computer screens etc! I personally try to sit a little bit back and turn the brightness low! I am on a computer VERY often so I try to protect my eyes like that! What do you guys do!</t>
        </is>
      </c>
      <c r="D1020" t="n">
        <v>0</v>
      </c>
      <c r="E1020" t="n">
        <v>5</v>
      </c>
      <c r="F1020">
        <f>HYPERLINK("https://www.reddit.com/r/diabetes/comments/39enek/diabetics_and_electronics/")</f>
        <v/>
      </c>
      <c r="G1020" t="inlineStr">
        <is>
          <t>2015-06-10 22:40:30</t>
        </is>
      </c>
      <c r="H1020" t="inlineStr">
        <is>
          <t>Type 1</t>
        </is>
      </c>
    </row>
    <row r="1021">
      <c r="A1021" t="inlineStr">
        <is>
          <t>39fysy</t>
        </is>
      </c>
      <c r="B1021" t="inlineStr">
        <is>
          <t>I'm excited at the possibility of getting CGM data on an Apple Watch</t>
        </is>
      </c>
      <c r="C1021" t="inlineStr">
        <is>
          <t>Apple just said they are allowing 3rd party developers to make apple watch complications (things/widgets in the corners that don't tell you the time but something else). Its good for a bunch of things you want to check occasionally. But I always think of how useful this would be for diabetes. My dream is to have CGM data be that "glance-able" as that would really be useful in so many situations. Really would only need a number ie. 125 and the up down arrow things.  
*I have the medtronic pump &amp;amp; CGM so the arrow thing is how it displays trending. Could also use color if space doesn't allow for it. 
Edit for sentence structure botches due to editing</t>
        </is>
      </c>
      <c r="D1021" t="n">
        <v>2</v>
      </c>
      <c r="E1021" t="n">
        <v>4</v>
      </c>
      <c r="F1021">
        <f>HYPERLINK("https://www.reddit.com/r/diabetes/comments/39fysy/im_excited_at_the_possibility_of_getting_cgm_data/")</f>
        <v/>
      </c>
      <c r="G1021" t="inlineStr">
        <is>
          <t>2015-06-11 06:41:12</t>
        </is>
      </c>
      <c r="H1021" t="inlineStr">
        <is>
          <t>Type 1</t>
        </is>
      </c>
    </row>
    <row r="1022">
      <c r="A1022" t="inlineStr">
        <is>
          <t>39klqo</t>
        </is>
      </c>
      <c r="B1022" t="inlineStr">
        <is>
          <t>How long will it take for symptoms of high blood sugar to go away after better management?</t>
        </is>
      </c>
      <c r="C1022" t="inlineStr">
        <is>
          <t>I was managing my T2 Diabetes horribly for a couple of years. My sugars were in the 20's on a regular basis and at one point I was taking 400 units of insulin a day (lantis) + metformin X 4. I of course had all the textbook symptoms like dizzyness, focus problems, light-headedness, etc. My question is: I have regained control of my sugars about 3 months ago through mostly diet, take 50 insulin a day, and lost 30 lbs, but I still have sporadic symptoms of the high sugar condition, what's going on? My dr. says my body needs to normalize itself but anyone experience this or know how long it could possibly take?</t>
        </is>
      </c>
      <c r="D1022" t="n">
        <v>1</v>
      </c>
      <c r="E1022" t="n">
        <v>6</v>
      </c>
      <c r="F1022">
        <f>HYPERLINK("https://www.reddit.com/r/diabetes/comments/39klqo/how_long_will_it_take_for_symptoms_of_high_blood/")</f>
        <v/>
      </c>
      <c r="G1022" t="inlineStr">
        <is>
          <t>2015-06-12 04:26:12</t>
        </is>
      </c>
      <c r="H1022" t="inlineStr">
        <is>
          <t>Type 2</t>
        </is>
      </c>
    </row>
    <row r="1023">
      <c r="A1023" t="inlineStr">
        <is>
          <t>39ktin</t>
        </is>
      </c>
      <c r="B1023" t="inlineStr">
        <is>
          <t>Do you gain weight with Amaryl?</t>
        </is>
      </c>
      <c r="C1023" t="inlineStr">
        <is>
          <t>I was doing a keto diet and was feeling great and losing weight, then I started taking Amaryl(doctor still said I want to see lower a1c) I started gaining 3 to 4 pounds a day. I'm thinking about stopping this today and just trying to get back in to Keto. 
Anyone there taken Amaryl? Did you gain weight? Is it ok just to stop taking the drug?</t>
        </is>
      </c>
      <c r="D1023" t="n">
        <v>0</v>
      </c>
      <c r="E1023" t="n">
        <v>3</v>
      </c>
      <c r="F1023">
        <f>HYPERLINK("https://www.reddit.com/r/diabetes/comments/39ktin/do_you_gain_weight_with_amaryl/")</f>
        <v/>
      </c>
      <c r="G1023" t="inlineStr">
        <is>
          <t>2015-06-12 05:45:26</t>
        </is>
      </c>
      <c r="H1023" t="inlineStr">
        <is>
          <t>Type 2</t>
        </is>
      </c>
    </row>
    <row r="1024">
      <c r="A1024" t="inlineStr">
        <is>
          <t>39mpu7</t>
        </is>
      </c>
      <c r="B1024" t="inlineStr">
        <is>
          <t>Officially (maybe?) Type 2 now - feeling depressed</t>
        </is>
      </c>
      <c r="C1024" t="inlineStr">
        <is>
          <t>Some background: I'm in my early 30's, have symptoms of metabolic syndrome/pre-diabetes, strong paternal family history of Type 2; have done low-carb/keto off and on but have had trouble sticking to it.
Back in early March I went to see my gyno due to PCOS issues/excessive bleeding. This is pretty common with me whenever I'm off of hormonal birth control, so I just went in to get a new prescription. The doc asked what physician was managing my metabolic syndrome, and I had to answer...uh, nobody. (Have moved a lot lately, don't have a PCP yet, etc.) So the gyno went ahead and ordered some blood work done, and put me on Yaz and metformin, which I had taken years ago when I was on my parent's insurance. I was told I would get a copy of blood work results in the mail when they came in, and that I needed to come back in a few months for an annual before I could get a renewed prescription for both meds.
Fast forward to June - work has been insanely stressful (I work in the public school system in the U.S., my role involves a TON of paperwork, there's been administration drama at my school, most days I go in 1-2 hours early AND stay 1-2 hours late just to get everything done). My eating habits have been really shitty, with most of my meals coming from fast food restaurants since I'm too tired to cook at the end of the day. I also hadn't been taking my medication consistently - partly because of gastrointestinal side effects (I have students I'm responsible for, I can't just run to the bathroom every half hour), and because you're supposed to take metformin with food, and most days I wasn't eating breakfast until lunch time, or some days not until 4:00 - 5:00 pm depending on how many meetings I had to go to and whether or not I actually got my lunch break. Anyway, yeah, it's been a rough few months. :(
Summer break is finally here though, so I went back to the gyno. I had never received my blood work results but with everything else going on I didn't call and check. (Apparently they called and left a message on my phone.) Anyway...the numbers are bad:
*Glucose: 145 mg/dL
*Insulin: 115 uIU/mL
*TSH: 1.850 uIU/mL (not sure what that is)
*Serum Testosterone: 57 ng/DL (not sure if that's high or not)
*DHEA-Sulfate: 563.5 ug/DL (no idea what that is either)
So after reading the glucose and insulin numbers to me, the doc turns around and tells me, basically, "That's in the diabetic range. You're diabetic. It's not in the pre-diabetes range, it's diabetes now. You need to see a primary care doctor." And then I just burst into tears. She gave me some advice about food and exercise and gave me tissues and was trying to say something comforting but I really didn't hear it at that point. I've been crying off and on since then. I just feel like this is all my fault. Like, I had pre-diabetes, everyone on my Dad's side of the family is diabetic, I KNEW what would happen if I kept going the way I was...and I still didn't do enough to prevent it. And now it's too late and I'm going to end up like my grandma and lose my feet and vision and I'm so scared.
After the doctor's visit I went straight to the grocery store and stocked up on meat, eggs and veggies, threw out all the biscuits/pasta/chips/crackers/rice/bread in the house, and made an appointment to see a PCP for Monday. And then I cried some more. But then I had a thought - had I eaten anything the morning I got the blood work drawn? I can't remember if I had. I went in for bleeding issues so I hadn't been told to fast, the gyno just decided to take some blood anyway. I know glucose of 145 is high regardless of whether it's fasting or non-fasting...but if it wasn't a fasting number, would it still be in the diabetic range? I guess I will find out more on Monday.
**Tl;dr: Got some bloodwork back showing glucose of 145 and insulin of 115, but am unsure if those numbers were fasting or not - feeling depressed about probably officially having Type 2 now.**</t>
        </is>
      </c>
      <c r="D1024" t="n">
        <v>1</v>
      </c>
      <c r="E1024" t="n">
        <v>7</v>
      </c>
      <c r="F1024">
        <f>HYPERLINK("https://www.reddit.com/r/diabetes/comments/39mpu7/officially_maybe_type_2_now_feeling_depressed/")</f>
        <v/>
      </c>
      <c r="G1024" t="inlineStr">
        <is>
          <t>2015-06-12 13:53:30</t>
        </is>
      </c>
      <c r="H1024" t="inlineStr">
        <is>
          <t>Type 2</t>
        </is>
      </c>
    </row>
    <row r="1025">
      <c r="A1025" t="inlineStr">
        <is>
          <t>39nl7p</t>
        </is>
      </c>
      <c r="B1025" t="inlineStr">
        <is>
          <t>Diabetic cyclist issue (T1 w/ pump)</t>
        </is>
      </c>
      <c r="C1025" t="inlineStr">
        <is>
          <t>I'd like to know what other pumpers do when they wear cycling bibs and their pump. I have yet to purchase a pair of bibs and was looking for advice. 
Do you run your pump cord all the way back into a jersey pocket or can you clip it to the side of the bib as you would regular street pants? Or are bibs impractical with the pump and you only use cycling shorts with no over-the-shoulder type feature?
Also, are there any diabetic-athlete subreddits/ is this sub appropriate for sports related diabetes management questions?</t>
        </is>
      </c>
      <c r="D1025" t="n">
        <v>3</v>
      </c>
      <c r="E1025" t="n">
        <v>13</v>
      </c>
      <c r="F1025">
        <f>HYPERLINK("https://www.reddit.com/r/diabetes/comments/39nl7p/diabetic_cyclist_issue_t1_w_pump/")</f>
        <v/>
      </c>
      <c r="G1025" t="inlineStr">
        <is>
          <t>2015-06-12 18:00:49</t>
        </is>
      </c>
      <c r="H1025" t="inlineStr">
        <is>
          <t>Type 1</t>
        </is>
      </c>
    </row>
    <row r="1026">
      <c r="A1026" t="inlineStr">
        <is>
          <t>39slga</t>
        </is>
      </c>
      <c r="B1026" t="inlineStr">
        <is>
          <t>Just how progressive is Type 2?</t>
        </is>
      </c>
      <c r="C1026" t="inlineStr">
        <is>
          <t>I've heard a lot about how Type 2 is progressive, but I'm interested to know how quickly it progresses, particularly from anyone who's had T2 a while and has been able to manage it with diet and exercise initially, how long before you needed medication?</t>
        </is>
      </c>
      <c r="D1026" t="n">
        <v>3</v>
      </c>
      <c r="E1026" t="n">
        <v>17</v>
      </c>
      <c r="F1026">
        <f>HYPERLINK("https://www.reddit.com/r/diabetes/comments/39slga/just_how_progressive_is_type_2/")</f>
        <v/>
      </c>
      <c r="G1026" t="inlineStr">
        <is>
          <t>2015-06-14 03:30:09</t>
        </is>
      </c>
      <c r="H1026" t="inlineStr">
        <is>
          <t>Type 2</t>
        </is>
      </c>
    </row>
    <row r="1027">
      <c r="A1027" t="inlineStr">
        <is>
          <t>39u1ae</t>
        </is>
      </c>
      <c r="B1027" t="inlineStr">
        <is>
          <t>How do you deal with tiredness when trying to keep your bloodsugar at good numbers after being on little high numbers regularly?</t>
        </is>
      </c>
      <c r="C1027" t="inlineStr">
        <is>
          <t xml:space="preserve">So recently I've been having just a little high numbers like around 8-10. Mostly because I have started exercising and I'm always afraid of giving myself too much insulin. But now I'm trying to bring those numbers down and omg I am soo tired when I am around like 4-6, and I feel like I have a low blood sugar but I don't. How can I feel more energetic? I know that over time it will fix itself and I will start feeling normal around these numbers. But I have school and I also want to continue exercising, but this tiredness just makes me want to sleep all the time. Just now my bloodsugar was 4.4, it can be a bit low as it's easy to get a low bloodsugar from there, but overall it is still a normal number and I felt like a zombie. All I can really do is just eat but give myself appropriate insulin for it. </t>
        </is>
      </c>
      <c r="D1027" t="n">
        <v>3</v>
      </c>
      <c r="E1027" t="n">
        <v>2</v>
      </c>
      <c r="F1027">
        <f>HYPERLINK("https://www.reddit.com/r/diabetes/comments/39u1ae/how_do_you_deal_with_tiredness_when_trying_to/")</f>
        <v/>
      </c>
      <c r="G1027" t="inlineStr">
        <is>
          <t>2015-06-14 12:41:37</t>
        </is>
      </c>
      <c r="H1027" t="inlineStr">
        <is>
          <t>Type 1</t>
        </is>
      </c>
    </row>
    <row r="1028">
      <c r="A1028" t="inlineStr">
        <is>
          <t>39uj07</t>
        </is>
      </c>
      <c r="B1028" t="inlineStr">
        <is>
          <t>T1 with Insulin Resistance</t>
        </is>
      </c>
      <c r="C1028" t="inlineStr">
        <is>
          <t>Ok so here's the thing guys, two weeks ago I went on summer break for work (work at a elementary school) I've been sedentary for a couple of days and my body just stopped responding to insulin, COMPLETELY. I started exercising and my BG drops immediately when I do... But the strange thing is.. my body still doesn't respond to insulin.. I ran a mile 30 minutes ago and as a test I took a unit of insulin and checked my BG 15 minutes later... absolutely no change at all... I have no clue whats going on and why my body isn't responding to the medicine... I've tried different vials and different injection sites... nothing seems to work... has this happened to any other T1's out there?... I'm freaking out</t>
        </is>
      </c>
      <c r="D1028" t="n">
        <v>4</v>
      </c>
      <c r="E1028" t="n">
        <v>16</v>
      </c>
      <c r="F1028">
        <f>HYPERLINK("https://www.reddit.com/r/diabetes/comments/39uj07/t1_with_insulin_resistance/")</f>
        <v/>
      </c>
      <c r="G1028" t="inlineStr">
        <is>
          <t>2015-06-14 15:09:47</t>
        </is>
      </c>
      <c r="H1028" t="inlineStr">
        <is>
          <t>Type 1</t>
        </is>
      </c>
    </row>
    <row r="1029">
      <c r="A1029" t="inlineStr">
        <is>
          <t>39w6fy</t>
        </is>
      </c>
      <c r="B1029" t="inlineStr">
        <is>
          <t>Tingling in fingers and toes</t>
        </is>
      </c>
      <c r="C1029" t="inlineStr">
        <is>
          <t xml:space="preserve">I've only been diagnosed for a few months. I'm really scared about this. I've had tingling in my fingers and toes for a week straight and it's driving me crazy. It can't be neuropathy, can it? Doesn't it take years of high blood sugar to develop it? FYI: I just got a new a1c and it was 6.7 (down from 12.7). </t>
        </is>
      </c>
      <c r="D1029" t="n">
        <v>1</v>
      </c>
      <c r="E1029" t="n">
        <v>3</v>
      </c>
      <c r="F1029">
        <f>HYPERLINK("https://www.reddit.com/r/diabetes/comments/39w6fy/tingling_in_fingers_and_toes/")</f>
        <v/>
      </c>
      <c r="G1029" t="inlineStr">
        <is>
          <t>2015-06-15 01:05:02</t>
        </is>
      </c>
      <c r="H1029" t="inlineStr">
        <is>
          <t>Type 1</t>
        </is>
      </c>
    </row>
    <row r="1030">
      <c r="A1030" t="inlineStr">
        <is>
          <t>39xki3</t>
        </is>
      </c>
      <c r="B1030" t="inlineStr">
        <is>
          <t>T1D and keto diet</t>
        </is>
      </c>
      <c r="C1030" t="inlineStr">
        <is>
          <t>I've been looking into a keto diet for a bit now and I'm just more confused. All the information is very mixed, either raving about the benefits or warning of serious risk to your body. I'm hesitant to go to my endo due to seeming overwhelming amount of resistance in the medical community, so I'm asking you guys for your personal opinions.</t>
        </is>
      </c>
      <c r="D1030" t="n">
        <v>6</v>
      </c>
      <c r="E1030" t="n">
        <v>39</v>
      </c>
      <c r="F1030">
        <f>HYPERLINK("https://www.reddit.com/r/diabetes/comments/39xki3/t1d_and_keto_diet/")</f>
        <v/>
      </c>
      <c r="G1030" t="inlineStr">
        <is>
          <t>2015-06-15 09:52:45</t>
        </is>
      </c>
      <c r="H1030" t="inlineStr">
        <is>
          <t>Type 1</t>
        </is>
      </c>
    </row>
    <row r="1031">
      <c r="A1031" t="inlineStr">
        <is>
          <t>39z0oy</t>
        </is>
      </c>
      <c r="B1031" t="inlineStr">
        <is>
          <t>[Type 2] When my blood glucose gets near 100, I feel dizzy</t>
        </is>
      </c>
      <c r="C1031" t="inlineStr">
        <is>
          <t>Hi there.  Just newly diagnosed last week.  Blood glucose (not fasting) was 350 and HbA1c was 11 something.  I'm on Metformin now, and have really tried to reduce carbs, and it's paying off.  Recently I've had a few situations where my blood sugar is in the low 100s.
Problem is, when it gets that "low", I get lightheaded, hungry, and stupid (can't do math well, for example).  Will that eventually stop happening?  I would hate to think that that's what it feels like to have a normal blood sugar.</t>
        </is>
      </c>
      <c r="D1031" t="n">
        <v>11</v>
      </c>
      <c r="E1031" t="n">
        <v>14</v>
      </c>
      <c r="F1031">
        <f>HYPERLINK("https://www.reddit.com/r/diabetes/comments/39z0oy/type_2_when_my_blood_glucose_gets_near_100_i_feel/")</f>
        <v/>
      </c>
      <c r="G1031" t="inlineStr">
        <is>
          <t>2015-06-15 16:01:29</t>
        </is>
      </c>
      <c r="H1031" t="inlineStr">
        <is>
          <t>Type 2</t>
        </is>
      </c>
    </row>
    <row r="1032">
      <c r="A1032" t="inlineStr">
        <is>
          <t>39zosg</t>
        </is>
      </c>
      <c r="B1032" t="inlineStr">
        <is>
          <t>Pre-diabetic or diabetic? Still not quite sure.</t>
        </is>
      </c>
      <c r="C1032" t="inlineStr">
        <is>
          <t>I posted a few days ago freaking out about some lab results from March where it looked like I might have Type 2 diabetes [(link here)](http://www.reddit.com/r/diabetes/comments/39mpu7/officially_maybe_type_2_now_feeling_depressed/). I saw a PCP today and got some more blood work done (this time I was fasting):
Fasting blood glucose: 98
A1C: 6.5
Blood pressure: 126/87
The doctor told me that according to some authorities an A1C of 6.5 is on the upper end of pre-diabetic, and others say 6.5 and above is indicative of diabetes. So...I guess I'm in some sort of limbo between pre-diabetic and diabetic. She also ordered tests for cholesterol but the results of that haven't come in yet. 
I have to go back in 6 weeks, and in the meantime I'm to continue with diet and exercise. Am still doing keto/low carb and that's going well - I already feel like I have more energy / am more alert / don't want to sleep all the time like I did before. Hopefully within 6 weeks some of those numbers will improve!</t>
        </is>
      </c>
      <c r="D1032" t="n">
        <v>2</v>
      </c>
      <c r="E1032" t="n">
        <v>3</v>
      </c>
      <c r="F1032">
        <f>HYPERLINK("https://www.reddit.com/r/diabetes/comments/39zosg/prediabetic_or_diabetic_still_not_quite_sure/")</f>
        <v/>
      </c>
      <c r="G1032" t="inlineStr">
        <is>
          <t>2015-06-15 19:20:49</t>
        </is>
      </c>
      <c r="H1032" t="inlineStr">
        <is>
          <t>Type 2</t>
        </is>
      </c>
    </row>
    <row r="1033">
      <c r="A1033" t="inlineStr">
        <is>
          <t>3a21gw</t>
        </is>
      </c>
      <c r="B1033" t="inlineStr">
        <is>
          <t>Psychedelic mushrooms and Diabetes</t>
        </is>
      </c>
      <c r="C1033" t="inlineStr">
        <is>
          <t>I was diagnosed with type 2 about 2 1/2, 3 years ago. Which is around the last time I did anything trippy. I am planning on doing shrooms in the next day or so and wandering if anyone else has experienced it as a diabetic. 
I'm not worried about going low, with my metformin I hover between 180 and 210. The doctors are putting me on insulin later this summer and I have a prescription for glimepiride that I haven't gotten filled yet. 
I've tripped lots in the past, probably while I was even t2 before diagnosis. I just want to make sure there isn't any danger that I'm unaware of.</t>
        </is>
      </c>
      <c r="D1033" t="n">
        <v>5</v>
      </c>
      <c r="E1033" t="n">
        <v>22</v>
      </c>
      <c r="F1033">
        <f>HYPERLINK("https://www.reddit.com/r/diabetes/comments/3a21gw/psychedelic_mushrooms_and_diabetes/")</f>
        <v/>
      </c>
      <c r="G1033" t="inlineStr">
        <is>
          <t>2015-06-16 09:50:07</t>
        </is>
      </c>
      <c r="H1033" t="inlineStr">
        <is>
          <t>Type 2</t>
        </is>
      </c>
    </row>
    <row r="1034">
      <c r="A1034" t="inlineStr">
        <is>
          <t>3a2rny</t>
        </is>
      </c>
      <c r="B1034" t="inlineStr">
        <is>
          <t>Has anyone tried Tujeo? Got a sample from the endo. Is it the same as lantus?</t>
        </is>
      </c>
      <c r="C1034" t="inlineStr">
        <is>
          <t xml:space="preserve">The instructions say that it is three times stronger, but that you take the same amount of units because the pen adjusts for that, and that it causes fewer lows than lantus. But they said you also still have to take it every day. I'm a little reticent about trying new things. Seeing if anyone has tried it and what your experience was. </t>
        </is>
      </c>
      <c r="D1034" t="n">
        <v>3</v>
      </c>
      <c r="E1034" t="n">
        <v>6</v>
      </c>
      <c r="F1034">
        <f>HYPERLINK("https://www.reddit.com/r/diabetes/comments/3a2rny/has_anyone_tried_tujeo_got_a_sample_from_the_endo/")</f>
        <v/>
      </c>
      <c r="G1034" t="inlineStr">
        <is>
          <t>2015-06-16 12:48:47</t>
        </is>
      </c>
      <c r="H1034" t="inlineStr">
        <is>
          <t>Type 1</t>
        </is>
      </c>
    </row>
    <row r="1035">
      <c r="A1035" t="inlineStr">
        <is>
          <t>3a5x4d</t>
        </is>
      </c>
      <c r="B1035" t="inlineStr">
        <is>
          <t>T1 Daughter with Extreme Highs today. Advice?</t>
        </is>
      </c>
      <c r="C1035" t="inlineStr">
        <is>
          <t>My 5 year old daughter (dx almost 2 years now) has had high blood sugar for over 24 hours now. Her fasting was over 280 yesterday, and we only got her under 200 for about an hour or two. Overnight she hovered from 250-350, and she woke up famished this morning. I gave her the lowest carb breakfast I could (eggs, sausage, low-carb yogurt) and we've given her 2-3x her normal dose of insulin. We changed pump sites, new insulin, and given insulin via syringe. Right now she's at 389 and no decline in sight (according to her Dexcom). Her urine is showing the 2nd largest level of ketones. 
Aside from being a bit cranky, she is fine - no vomiting, no difficulty breathing etc. I plan to call her doctor's office in an hour or so if the ketones are still strong. We've got her drinking lots of water. How quickly can DKA come on? Am I missing any steps? Any other advice? (Also, is it possible the pain from her 6-year molars coming in could make her BS go this high? I have no idea what is causing the highs!)</t>
        </is>
      </c>
      <c r="D1035" t="n">
        <v>3</v>
      </c>
      <c r="E1035" t="n">
        <v>36</v>
      </c>
      <c r="F1035">
        <f>HYPERLINK("https://www.reddit.com/r/diabetes/comments/3a5x4d/t1_daughter_with_extreme_highs_today_advice/")</f>
        <v/>
      </c>
      <c r="G1035" t="inlineStr">
        <is>
          <t>2015-06-17 07:06:04</t>
        </is>
      </c>
      <c r="H1035" t="inlineStr">
        <is>
          <t>Type 1</t>
        </is>
      </c>
    </row>
    <row r="1036">
      <c r="A1036" t="inlineStr">
        <is>
          <t>3a6xet</t>
        </is>
      </c>
      <c r="B1036" t="inlineStr">
        <is>
          <t>A Huge Thank you to Akron Children's Hospital--Diabetes Camp!</t>
        </is>
      </c>
      <c r="C1036" t="inlineStr">
        <is>
          <t>I wanted to thank you for giving my daughter the time of her life.
A little backstory:  She is 8, diagnosed about 2 years ago.  She knows of one or two other kids that have T1 and none her age.
When we dropped her off for camp on Sunday she was very excited and nervous.  She walked into her room to see ten girls her age and another ten in the next room, all with T1.
Giving her a hug goodbye, she was a bit scared, but I knew she would have fun.
We picked her up today and she was totally excited to see  us, but more than that, she had a BLAST!  She said she now has 20 new friends all with T1 and already is making plans.  She has felt so alone for so long.  This camp was the best thing ever for her.
A big thanks goes out to the staff at Akron Children's that volunteer their time to make this camp possible.</t>
        </is>
      </c>
      <c r="D1036" t="n">
        <v>13</v>
      </c>
      <c r="E1036" t="n">
        <v>4</v>
      </c>
      <c r="F1036">
        <f>HYPERLINK("https://www.reddit.com/r/diabetes/comments/3a6xet/a_huge_thank_you_to_akron_childrens/")</f>
        <v/>
      </c>
      <c r="G1036" t="inlineStr">
        <is>
          <t>2015-06-17 11:30:35</t>
        </is>
      </c>
      <c r="H1036" t="inlineStr">
        <is>
          <t>Type 1</t>
        </is>
      </c>
    </row>
    <row r="1037">
      <c r="A1037" t="inlineStr">
        <is>
          <t>3abl47</t>
        </is>
      </c>
      <c r="B1037" t="inlineStr">
        <is>
          <t>Insulin</t>
        </is>
      </c>
      <c r="C1037" t="inlineStr">
        <is>
          <t xml:space="preserve">I feel stupid asking this but I have to
I didn't take my insulin at lunch. I ate a salmon sandwich and some cottage cheese. My bg is 16.7 3 hours later. 
Can I take insulin now (novo rapid) it's been 3 hrs since I last ate. 
I'm type 2
</t>
        </is>
      </c>
      <c r="D1037" t="n">
        <v>3</v>
      </c>
      <c r="E1037" t="n">
        <v>19</v>
      </c>
      <c r="F1037">
        <f>HYPERLINK("https://www.reddit.com/r/diabetes/comments/3abl47/insulin/")</f>
        <v/>
      </c>
      <c r="G1037" t="inlineStr">
        <is>
          <t>2015-06-18 12:46:17</t>
        </is>
      </c>
      <c r="H1037" t="inlineStr">
        <is>
          <t>Type 2</t>
        </is>
      </c>
    </row>
    <row r="1038">
      <c r="A1038" t="inlineStr">
        <is>
          <t>3ac6e3</t>
        </is>
      </c>
      <c r="B1038" t="inlineStr">
        <is>
          <t>21 and Prediabetic</t>
        </is>
      </c>
      <c r="C1038" t="inlineStr">
        <is>
          <t>Hi everyone, 
I'm a 21 years old and was told by my PCP today that I am pre diabetic (a1c of 5.8). I'm otherwise healthy and fairly skinny (bmi of 18.8). I have some family history of diabetes, but nothing unusual (my mom is prediabetic, but she was diagnosed at 50 and is overweight). I'm worried that there's something wrong with my pancreas. Any ideas about what might have caused this? Any ideas are much appreciated!</t>
        </is>
      </c>
      <c r="D1038" t="n">
        <v>4</v>
      </c>
      <c r="E1038" t="n">
        <v>22</v>
      </c>
      <c r="F1038">
        <f>HYPERLINK("https://www.reddit.com/r/diabetes/comments/3ac6e3/21_and_prediabetic/")</f>
        <v/>
      </c>
      <c r="G1038" t="inlineStr">
        <is>
          <t>2015-06-18 15:25:17</t>
        </is>
      </c>
      <c r="H1038" t="inlineStr">
        <is>
          <t>Type 2</t>
        </is>
      </c>
    </row>
    <row r="1039">
      <c r="A1039" t="inlineStr">
        <is>
          <t>3acf7t</t>
        </is>
      </c>
      <c r="B1039" t="inlineStr">
        <is>
          <t>How much Insulin do you keep on hand?</t>
        </is>
      </c>
      <c r="C1039" t="inlineStr">
        <is>
          <t>So my doctor (maybe intentionally) prescribed a ton of insulin for me 3 months ago.  My insulin needs have reduced themselves greatly since, (thanks to Keto).  But I used to live 'insulin bottle to insulin bottle' week to week, frequently running out and having to get it at the last minute a lot.  So I kind of like having tons on hand/makes me feel secure.  But I dunno, I don't want to take advantage/hoard insulin.  So how much do you keep on hand on average?  
tl;dr - Wants to compare how much insulin I have with other people to see if I'm hoarding it, or if I'm normal &amp;amp; feel kind of weird about it.    Thnx!</t>
        </is>
      </c>
      <c r="D1039" t="n">
        <v>3</v>
      </c>
      <c r="E1039" t="n">
        <v>18</v>
      </c>
      <c r="F1039">
        <f>HYPERLINK("https://www.reddit.com/r/diabetes/comments/3acf7t/how_much_insulin_do_you_keep_on_hand/")</f>
        <v/>
      </c>
      <c r="G1039" t="inlineStr">
        <is>
          <t>2015-06-18 16:40:40</t>
        </is>
      </c>
      <c r="H1039" t="inlineStr">
        <is>
          <t>Type 1</t>
        </is>
      </c>
    </row>
    <row r="1040">
      <c r="A1040" t="inlineStr">
        <is>
          <t>3adf35</t>
        </is>
      </c>
      <c r="B1040" t="inlineStr">
        <is>
          <t>Keto Diet-- I did it guys!!!</t>
        </is>
      </c>
      <c r="C1040" t="inlineStr">
        <is>
          <t xml:space="preserve">After seeing the countless Pro-keto posts and doubting myself control I actually succeeded at day one! And it was so easy! I'm sooo excited! I can't wait till I start to see results. I'm so thankful to this sub for pointing me in this direction!
Tonight's dinner:
http://i.imgur.com/fi8e12T.jpg
</t>
        </is>
      </c>
      <c r="D1040" t="n">
        <v>17</v>
      </c>
      <c r="E1040" t="n">
        <v>17</v>
      </c>
      <c r="F1040">
        <f>HYPERLINK("https://www.reddit.com/r/diabetes/comments/3adf35/keto_diet_i_did_it_guys/")</f>
        <v/>
      </c>
      <c r="G1040" t="inlineStr">
        <is>
          <t>2015-06-18 22:21:44</t>
        </is>
      </c>
      <c r="H1040" t="inlineStr">
        <is>
          <t>Type 1</t>
        </is>
      </c>
    </row>
    <row r="1041">
      <c r="A1041" t="inlineStr">
        <is>
          <t>3afvhd</t>
        </is>
      </c>
      <c r="B1041" t="inlineStr">
        <is>
          <t>Unexpected hypos, or not??</t>
        </is>
      </c>
      <c r="C1041" t="inlineStr">
        <is>
          <t xml:space="preserve">So I had a rather scary experience earlier this morning on my way to work. I woke up feeling a bit under the weather (possibly coming down with strep throat) but my fasting blood sugar was where it normally is, I did my everyday routine, took my breakfast &amp;amp; bolus as normal and went off on my way to work as usual. 
20 mins into my 30 minute commute, whilst driving at 70mph I suddenly without any warning started to feel weird, then dizzy, and started to shake. Literally went from normal to feeling super hypo in about 30 seconds. Felt like my blood sugar was in the low 2's (40s mg/dl). Immediately pulled over and stuffed my face with 4 glucose tablets (16g glucose) washed down with a mouthful of water. Didn't even test I felt so super low. Since I was stopped in a dangerous place on a slip road and I started to feel better after a few minutes I moved the car off the main road, parked up and tested my blood sugar, which showed I was at...... 9.9 (180)?? 15 minutes after that test I was at 12.5 (225). 
I know false hypos can happen but my blood sugars are in general 95% in range (5.5% hba1c). Normally I feel hypos around 3.8 (70). According to my ratios in the morning, 16g glucose should have raised me by 3.2mmol/l (60) which fits with what I would have expected my blood sugar to be at that point in order to get 9.9 after eating the glucose tabs (it's usually between 6 and 8 after breakfast).
Anyone have any suggestions as to what happened here? Can 16g of glucose tablets really raise your blood sugar that fast - 40 to 180 in &amp;lt;10 mins? I am very carb sensitive in the morning but I have no idea based on that 180 if I was actually hypo when I pulled over? It sure felt like it! Anyone else have experience of feeling so low you're in danger of passing out but not being low, whilst having generally very good blood sugars? Might it be connected to coming down with some kind of bug?
I'm a bit freaked out by this as feeling super hypo on the motorway was not a fun experience, so any help working out what happened would be appreciated!
</t>
        </is>
      </c>
      <c r="D1041" t="n">
        <v>2</v>
      </c>
      <c r="E1041" t="n">
        <v>13</v>
      </c>
      <c r="F1041">
        <f>HYPERLINK("https://www.reddit.com/r/diabetes/comments/3afvhd/unexpected_hypos_or_not/")</f>
        <v/>
      </c>
      <c r="G1041" t="inlineStr">
        <is>
          <t>2015-06-19 13:20:20</t>
        </is>
      </c>
      <c r="H1041" t="inlineStr">
        <is>
          <t>Type 1</t>
        </is>
      </c>
    </row>
    <row r="1042">
      <c r="A1042" t="inlineStr">
        <is>
          <t>3aj9p8</t>
        </is>
      </c>
      <c r="B1042" t="inlineStr">
        <is>
          <t>Type 2 Diabetics, currently close/living with someone who has episodes of low blood sugar (shakey, dizzy, weak etc) despite a balanced diet.</t>
        </is>
      </c>
      <c r="C1042" t="inlineStr">
        <is>
          <t>What is your go to source to stabilize blood sugar levels? I don't drink cokes/soft drinks so I don't have them around, and I don't eat many sugars at all.
What should I keep on hand to help her out in a situation where she becomes shakey? It seems awful and I just want to know what kind of things I can have on hand at home to prevent or help this.
thank you in advance.</t>
        </is>
      </c>
      <c r="D1042" t="n">
        <v>4</v>
      </c>
      <c r="E1042" t="n">
        <v>17</v>
      </c>
      <c r="F1042">
        <f>HYPERLINK("https://www.reddit.com/r/diabetes/comments/3aj9p8/type_2_diabetics_currently_closeliving_with/")</f>
        <v/>
      </c>
      <c r="G1042" t="inlineStr">
        <is>
          <t>2015-06-20 12:04:30</t>
        </is>
      </c>
      <c r="H1042" t="inlineStr">
        <is>
          <t>Type 2</t>
        </is>
      </c>
    </row>
    <row r="1043">
      <c r="A1043" t="inlineStr">
        <is>
          <t>3ajxxw</t>
        </is>
      </c>
      <c r="B1043" t="inlineStr">
        <is>
          <t>Weed, MDI and control after honeymoon</t>
        </is>
      </c>
      <c r="C1043" t="inlineStr">
        <is>
          <t xml:space="preserve">I've being T1 for close to a year now and I've carried my life on. My control has gotten better and better however I have went back to a more relaxed way of eating and I eat way to many carbs than I should but from now on i'm going to lower my portions of carbs and so on. I am also 17
I've smoked a dozen joints in the past year and my first time while being diagnosed I was a bit skeptical about it however i've found smoking strains like Sour Diesel don't give you the munchies and lowers my sugars. If I don't smoke too much I find it helps with the pain of my MDI and it's relaxing.
I find my MDI really painful in my legs, they are slim but they're not skinny but it just hurts. I'm injecting in the correct place and sometime it doesn't hurt but sometimes I get very sharp pain from my legs. My stomach and arms are fine though.
I lost a lot of weight when diagnosed and i've only put 1/4 of my weight back on which considering my body is still producing insulin(which can't be predicted) and getting my own measurements correct. When I was diagnosed I started to exercise a bit but it's slowly halted and continued to be just walking to and from college and walks with my girlfriend(she also consumes a lot of my time). 
I would love to know if anyone has experiences with 
- Putting on weight after honeymoon?
- How much exercise is acceptable to do?
- Is weed once in a while okay?
</t>
        </is>
      </c>
      <c r="D1043" t="n">
        <v>4</v>
      </c>
      <c r="E1043" t="n">
        <v>7</v>
      </c>
      <c r="F1043">
        <f>HYPERLINK("https://www.reddit.com/r/diabetes/comments/3ajxxw/weed_mdi_and_control_after_honeymoon/")</f>
        <v/>
      </c>
      <c r="G1043" t="inlineStr">
        <is>
          <t>2015-06-20 15:51:44</t>
        </is>
      </c>
      <c r="H1043" t="inlineStr">
        <is>
          <t>Type 1</t>
        </is>
      </c>
    </row>
    <row r="1044">
      <c r="A1044" t="inlineStr">
        <is>
          <t>3akk89</t>
        </is>
      </c>
      <c r="B1044" t="inlineStr">
        <is>
          <t>T1D Sick Today, when do I go to the hospital?</t>
        </is>
      </c>
      <c r="C1044" t="inlineStr">
        <is>
          <t>&amp;gt; Should I see a doctor?
I know the answer to this,  it's Yes!  However, I thought I'd seek some advice first.   
I'm a Type 1 Diabetic,  but otherwise I've been blessed with very good health, I'm hardly ever sick.  However,  for some reason starting today around 11:00 AM,  I started having lots of trouble with Hypoglycemia.  I kept eating candy and drinking apple juice every 20-30 minutes,  but I was still testing out below 70 (typically 50-60).
Eventually, I just turned suspended my basal insulin and was perplexed why I wasn't bouncing back up when I suddenly fell quite ill.  I've been regularly throwing up now for almost 4 hours as well as having other unpleasant bathroom experiences.
I'm hesitant to go to the hospital for two reasons:
* My company was just acquired by another and my transition to the new benefits is probably complete, but we haven't yet received any of our id cards or anything along those lines.  
* The last time I got sick I went to the hospital (food poisoning, they suspected) and it was a terrible experience. I was out of town on vacation, so I got treated as "uninsured" and they did an atrocious job of managing my diabetes. They wound up taking me off my pump and managing me on a sliding scale,  but never gave me enough insulin and I wound up having high blood sugar that caused them to not want to release me.  Eventually I think I had to tell the doctor that either he let me manage my disease or I was  never going to get discharged,  sure enough a day later I had everything under control.  But it literally took a week to get to that point.
I'm just trying to avoid a repeat of what I experienced last time. Based on my experience,  the best way to avoid that today is to avoid going to the hospital.  But,  I admit this may not be the wisest approach.
How about you guys?  How long of vomiting/diarrhea and not being able to keep food down before I should head to the hospital? I'm not running a temperature at all,  but I do feel a bit feverish.  If my pre and post-diagnosis health is any indication at all I'd have this licked overnight.</t>
        </is>
      </c>
      <c r="D1044" t="n">
        <v>3</v>
      </c>
      <c r="E1044" t="n">
        <v>10</v>
      </c>
      <c r="F1044">
        <f>HYPERLINK("https://www.reddit.com/r/diabetes/comments/3akk89/t1d_sick_today_when_do_i_go_to_the_hospital/")</f>
        <v/>
      </c>
      <c r="G1044" t="inlineStr">
        <is>
          <t>2015-06-20 19:45:47</t>
        </is>
      </c>
      <c r="H1044" t="inlineStr">
        <is>
          <t>Type 1</t>
        </is>
      </c>
    </row>
    <row r="1045">
      <c r="A1045" t="inlineStr">
        <is>
          <t>3amm4l</t>
        </is>
      </c>
      <c r="B1045" t="inlineStr">
        <is>
          <t>Type2 diabetic here. Pharmacy is refusing to refill my prescription</t>
        </is>
      </c>
      <c r="C1045" t="inlineStr">
        <is>
          <t>I'm thinking I may just need to switch my pharmacy. Every time I need a prescription refilled they give me a hard time and it's always a different excuse. I go to CVS in town. I need my diabetes medication and I am out of refills. I have been hunting down my doctor for a week now and I told him I was running out of prescription. Well I have been out of both my diabetes medications for 5 days now and the last time I went days without my medication I almost ended up in a hospital from how bad my blood sugar levels were and this even with me trying my best to keep them managed and under control. 
After I get a call from the pharmacy that the doctor faxed over a prescription request on Friday I went to go pick it up. I was told that the doctor forgot to put an authorization code on the prescription when his office faxed the script over and for this they cannot refill my medication. I wish they would have told me this over the phone instead of me having to go there and find out once I got there that I can't get my refill. Don't they have samples they can give you? 
This is not the first time I have been out of medication for days at a time and although I plan to go see my doctor first thing tomorrow morning to resolve this I can't be missing out on my diabetes meds for days at a time every time I need a refill just because something else came up. Has anyone here had any trouble getting refills done and if so were you able to get some samples for a few days?</t>
        </is>
      </c>
      <c r="D1045" t="n">
        <v>2</v>
      </c>
      <c r="E1045" t="n">
        <v>18</v>
      </c>
      <c r="F1045">
        <f>HYPERLINK("https://www.reddit.com/r/diabetes/comments/3amm4l/type2_diabetic_here_pharmacy_is_refusing_to/")</f>
        <v/>
      </c>
      <c r="G1045" t="inlineStr">
        <is>
          <t>2015-06-21 11:38:21</t>
        </is>
      </c>
      <c r="H1045" t="inlineStr">
        <is>
          <t>Type 2</t>
        </is>
      </c>
    </row>
    <row r="1046">
      <c r="A1046" t="inlineStr">
        <is>
          <t>3ampb3</t>
        </is>
      </c>
      <c r="B1046" t="inlineStr">
        <is>
          <t>Is anyone using IF to manage their T2?</t>
        </is>
      </c>
      <c r="C1046" t="inlineStr">
        <is>
          <t xml:space="preserve">I was diagnosed back in 2009 and have struggled with diabetes management since.  When I was diagnosed, I was coming off an injury that left me unable to walk for nearly a year and once they started me on insulin, I slowly gained weight, peaking at 350 lbs.
Fast forward to this year and I had a major string of terrible events.  My mother died, the bank I worked for merged and moved my job hundreds of miles away (basically, lost my job) and I moved in with an elderly relative to take care of him so he doesnt end up in a nursing home.  Depression and issues with controlling my diabetes nearly killed me.  I had BS spikes that were mind boggling.  So after spending a day fantasizing about jumping off a bridge, I decided to stop and think.  I needed something to focus on that wasnt money related, family related, etc and thought that the one thing I had was me and the biggest problem with me was being diabetic.
I did a lot of research and tried a few things.  I did vegan first and that didnt really work well.  I switched to Paleo, which was cool but didnt have the impact on my blood sugar that I was looking for.  I found keto and that had a major impact right away but ultimately, I have settled on intermittent fasting and more specifically, Warrior Fasting.  I had to stop taking insulin altogether and my blood sugars still hover just above normal.  I currently weigh 290 lbs.  I am looking for someone who has had success or failure with fasting in regards to being T2 Diabetic.
     </t>
        </is>
      </c>
      <c r="D1046" t="n">
        <v>2</v>
      </c>
      <c r="E1046" t="n">
        <v>12</v>
      </c>
      <c r="F1046">
        <f>HYPERLINK("https://www.reddit.com/r/diabetes/comments/3ampb3/is_anyone_using_if_to_manage_their_t2/")</f>
        <v/>
      </c>
      <c r="G1046" t="inlineStr">
        <is>
          <t>2015-06-21 12:05:48</t>
        </is>
      </c>
      <c r="H1046" t="inlineStr">
        <is>
          <t>Type 2</t>
        </is>
      </c>
    </row>
    <row r="1047">
      <c r="A1047" t="inlineStr">
        <is>
          <t>3amyf6</t>
        </is>
      </c>
      <c r="B1047" t="inlineStr">
        <is>
          <t>Meter that works with iPhone health app</t>
        </is>
      </c>
      <c r="C1047" t="inlineStr">
        <is>
          <t xml:space="preserve">Hi, type 2 diabetic here. Been really careless about tracking and would like to get more serious about it. 
I've been searching for a meter that works with iPhone, preferably by Bluetooth (instead of attached to phone type). 
Also, would be nice to log directly into the health app, either directly or imported from the meter's own app. 
I googled and there are some out there, I just wanted to get your recommendations for reliable ones. Thanks. </t>
        </is>
      </c>
      <c r="D1047" t="n">
        <v>3</v>
      </c>
      <c r="E1047" t="n">
        <v>6</v>
      </c>
      <c r="F1047">
        <f>HYPERLINK("https://www.reddit.com/r/diabetes/comments/3amyf6/meter_that_works_with_iphone_health_app/")</f>
        <v/>
      </c>
      <c r="G1047" t="inlineStr">
        <is>
          <t>2015-06-21 13:25:06</t>
        </is>
      </c>
      <c r="H1047" t="inlineStr">
        <is>
          <t>Type 2</t>
        </is>
      </c>
    </row>
    <row r="1048">
      <c r="A1048" t="inlineStr">
        <is>
          <t>3apwim</t>
        </is>
      </c>
      <c r="B1048" t="inlineStr">
        <is>
          <t>[T2] Forgive me, /r/diabetes, for I have sinned...</t>
        </is>
      </c>
      <c r="C1048" t="inlineStr">
        <is>
          <t>I went to an all-inclusive resort for a company gathering.  It was a four-day event, filled with teambuilding, presentations about earnings, and the company's future.  They had buffets for breakfast, lunch, and dinner.  There was coconut ice cream, meringue cookies, tarts, and as many sugary alcoholic beverages as you could drink.
Heaven help me, I tried to be good... I drank only water or coffee w/ cream for most of the trip, save one margarita on the last day.  I had a good fill of grilled vegetables, fresh fruit, and plenty of protein, in an attempt to have a balanced diet.  But buffets are difficult to resist.  Who has the willpower to turn down all-you-can-eat bacon?  Plus, it's way too easy to fill your plate up 2-3 times for each meal.  Not to mention that the dessert section was in the most prominent place possible.  I had to sample the coconut ice cream, and I haven't had meringue cookies in years.
My fasting glucose level was over 140.  I tested at various intervals (before eating, an hour after eating, and sometimes at a random time), and I was always in the 140-160 range.
A day later, I'm finally back to a fasting level of 85, but I feel defeated.  Like all of my progress over the last 9 months was for naught.
Buffet: 1
/u/nnadeau: 0</t>
        </is>
      </c>
      <c r="D1048" t="n">
        <v>6</v>
      </c>
      <c r="E1048" t="n">
        <v>19</v>
      </c>
      <c r="F1048">
        <f>HYPERLINK("https://www.reddit.com/r/diabetes/comments/3apwim/t2_forgive_me_rdiabetes_for_i_have_sinned/")</f>
        <v/>
      </c>
      <c r="G1048" t="inlineStr">
        <is>
          <t>2015-06-22 08:26:20</t>
        </is>
      </c>
      <c r="H1048" t="inlineStr">
        <is>
          <t>Type 2</t>
        </is>
      </c>
    </row>
    <row r="1049">
      <c r="A1049" t="inlineStr">
        <is>
          <t>3asqdg</t>
        </is>
      </c>
      <c r="B1049" t="inlineStr">
        <is>
          <t>Novolog Pens acting up</t>
        </is>
      </c>
      <c r="C1049" t="inlineStr">
        <is>
          <t>Not really sure how to word this but here goes;
Whenever I try to inject myself with my novolog pen it feels like I'm pushing air in and then when I take the needle out (after 5 seconds of course) all the insulin leaks through the needle and on the floor. I tried different needles, different pens and different injection sites and it is still doing the same thing. Anyone experience this/have a solution? Thanks.</t>
        </is>
      </c>
      <c r="D1049" t="n">
        <v>3</v>
      </c>
      <c r="E1049" t="n">
        <v>6</v>
      </c>
      <c r="F1049">
        <f>HYPERLINK("https://www.reddit.com/r/diabetes/comments/3asqdg/novolog_pens_acting_up/")</f>
        <v/>
      </c>
      <c r="G1049" t="inlineStr">
        <is>
          <t>2015-06-22 22:13:39</t>
        </is>
      </c>
      <c r="H1049" t="inlineStr">
        <is>
          <t>Type 1</t>
        </is>
      </c>
    </row>
    <row r="1050">
      <c r="A1050" t="inlineStr">
        <is>
          <t>3auyu2</t>
        </is>
      </c>
      <c r="B1050" t="inlineStr">
        <is>
          <t>How can one go into DKA if one is on lantus and not sick?</t>
        </is>
      </c>
      <c r="C1050" t="inlineStr">
        <is>
          <t xml:space="preserve">I have a friend whose type 1 college age son has gone into dka a few times. He is a great kid.  He is on lantus and hasn't been sick when it happened. I just wonder how that can happen if you get your basal. </t>
        </is>
      </c>
      <c r="D1050" t="n">
        <v>4</v>
      </c>
      <c r="E1050" t="n">
        <v>21</v>
      </c>
      <c r="F1050">
        <f>HYPERLINK("https://www.reddit.com/r/diabetes/comments/3auyu2/how_can_one_go_into_dka_if_one_is_on_lantus_and/")</f>
        <v/>
      </c>
      <c r="G1050" t="inlineStr">
        <is>
          <t>2015-06-23 11:43:30</t>
        </is>
      </c>
      <c r="H1050" t="inlineStr">
        <is>
          <t>Type 1</t>
        </is>
      </c>
    </row>
    <row r="1051">
      <c r="A1051" t="inlineStr">
        <is>
          <t>3avqrp</t>
        </is>
      </c>
      <c r="B1051" t="inlineStr">
        <is>
          <t>Funding for CGM(UK)</t>
        </is>
      </c>
      <c r="C1051" t="inlineStr">
        <is>
          <t xml:space="preserve">Hi, I'm currently 17 and i'm on my honeymoon. Soon to be learning to carb count. Currently my HbA1c is 40 mmol (5.9%) and I have being told I have excellent control. I don't really take my diabetes as seriously as I could but i'm soon to change that. I do eat healthily and my exercise mainly consists of walking and I plan on changing that. My BMI is 21.9 and I'm 5'10. I lost a lot of weight from getting my diabetes, I somehow find this a miricale because I was largely overweight before getting T1.
In the UK they only seem to fund people who have frequent hypos or have bad control. Is there any way I can fund a CGM. I find the nerve endings in my finger becoming damaged and I don't have much feelings in my fingers. I prick closer to the tips of my finger because I can't get blood from the sides rarely. I play guitar so I have a build up of calluses in my fingers and I am constantly typing because I study computer science therefore I would love a CGM. Even a basic one. The only thing I require for it is to be small and I dont really want a big box hanging off me. Is there any possible way of me getting a CGM such as the Dexcom or the Freestyle Libre. I would love it for personal research, even better control and making my life a lot easier. I am going to University next year to study Business, Economics or Marketting and it involves a lot of travel and I think the CGM would make all of that a lot easier.
I'm really interested in my disease and i've taken part in research with the local hospital and i'm currently developing some software to manage control of blood sugar. It's pretty basic at the moment but if anyone wants to take a look at it. Here's the beta( http://i.imgur.com/Sru3WA4.png ) 
Cheers 
</t>
        </is>
      </c>
      <c r="D1051" t="n">
        <v>2</v>
      </c>
      <c r="E1051" t="n">
        <v>16</v>
      </c>
      <c r="F1051">
        <f>HYPERLINK("https://www.reddit.com/r/diabetes/comments/3avqrp/funding_for_cgmuk/")</f>
        <v/>
      </c>
      <c r="G1051" t="inlineStr">
        <is>
          <t>2015-06-23 15:00:04</t>
        </is>
      </c>
      <c r="H1051" t="inlineStr">
        <is>
          <t>Type 1</t>
        </is>
      </c>
    </row>
    <row r="1052">
      <c r="A1052" t="inlineStr">
        <is>
          <t>3awrjx</t>
        </is>
      </c>
      <c r="B1052" t="inlineStr">
        <is>
          <t>Keep getting lows and I don't know why?</t>
        </is>
      </c>
      <c r="C1052" t="inlineStr">
        <is>
          <t>I have type 2 and generally have good control but lately I keep getting lows after eating meals. I had chicken breast with mashed potatoes and broccoli and 2 hours later I was at 60 feeling sick, so I ate a snack, and now I'm low again. 
I was on prednisone for a week for asthma, and went off it, could that be causing these issues? Normally prednison makes me high when I'm on it and I go back to normal after. But for a weekish now I feel like I am getting low like every day. What could be causing this? Should I be concerned and call up my doctor?</t>
        </is>
      </c>
      <c r="D1052" t="n">
        <v>2</v>
      </c>
      <c r="E1052" t="n">
        <v>13</v>
      </c>
      <c r="F1052">
        <f>HYPERLINK("https://www.reddit.com/r/diabetes/comments/3awrjx/keep_getting_lows_and_i_dont_know_why/")</f>
        <v/>
      </c>
      <c r="G1052" t="inlineStr">
        <is>
          <t>2015-06-23 20:08:40</t>
        </is>
      </c>
      <c r="H1052" t="inlineStr">
        <is>
          <t>Type 2</t>
        </is>
      </c>
    </row>
    <row r="1053">
      <c r="A1053" t="inlineStr">
        <is>
          <t>3axyrj</t>
        </is>
      </c>
      <c r="B1053" t="inlineStr">
        <is>
          <t>so im a type 1 and am on a pump need some help</t>
        </is>
      </c>
      <c r="C1053" t="inlineStr">
        <is>
          <t>so this may seem like a weird thing but i just dont care.im a type one and i know the risks of not taking care of your self but i dont give insulin and very rarely check my sugar,only when i can tell that its not what it should be.i give insulin when i need it but not after all meals,i can feel when my sugar is high and when its low and give according.but i want to take better care of myself.so how do i go from not caring to actually being a good diabetic?i goto the hospitial with dka about once a year around the time school starts up due to illness.my sugar runs 200- 500 depending on circumstances.when it dose drop to the lows it stays there for quite  some time.as i said im on a pump the tslim one.</t>
        </is>
      </c>
      <c r="D1053" t="n">
        <v>3</v>
      </c>
      <c r="E1053" t="n">
        <v>40</v>
      </c>
      <c r="F1053">
        <f>HYPERLINK("https://www.reddit.com/r/diabetes/comments/3axyrj/so_im_a_type_1_and_am_on_a_pump_need_some_help/")</f>
        <v/>
      </c>
      <c r="G1053" t="inlineStr">
        <is>
          <t>2015-06-24 04:58:29</t>
        </is>
      </c>
      <c r="H1053" t="inlineStr">
        <is>
          <t>Type 1</t>
        </is>
      </c>
    </row>
    <row r="1054">
      <c r="A1054" t="inlineStr">
        <is>
          <t>3aygb8</t>
        </is>
      </c>
      <c r="B1054" t="inlineStr">
        <is>
          <t>Eye still dilated 24 hours later after laser treatment. Normal?</t>
        </is>
      </c>
      <c r="C1054" t="inlineStr">
        <is>
          <t>Hi All. After 32 years with T1 the eye doc saw I needed to get some zapping done. He dilated my eyes for the procedure, and 24 hours later it is still dilated. Is this normal? Anyone else experience this after the laser treatment? I've gotten my eyes dilated before but it usually goes away by dinner time the same day. I've called the doctor and am awaiting a call back in a couple of hours. Thanks</t>
        </is>
      </c>
      <c r="D1054" t="n">
        <v>4</v>
      </c>
      <c r="E1054" t="n">
        <v>8</v>
      </c>
      <c r="F1054">
        <f>HYPERLINK("https://www.reddit.com/r/diabetes/comments/3aygb8/eye_still_dilated_24_hours_later_after_laser/")</f>
        <v/>
      </c>
      <c r="G1054" t="inlineStr">
        <is>
          <t>2015-06-24 07:44:06</t>
        </is>
      </c>
      <c r="H1054" t="inlineStr">
        <is>
          <t>Type 1</t>
        </is>
      </c>
    </row>
    <row r="1055">
      <c r="A1055" t="inlineStr">
        <is>
          <t>3ayqdq</t>
        </is>
      </c>
      <c r="B1055" t="inlineStr">
        <is>
          <t>F*(k you, Dawn Phenomenon</t>
        </is>
      </c>
      <c r="C1055" t="inlineStr">
        <is>
          <t>Woke up &amp;lt;150. An hour later, I'm &amp;gt;250 despite not even having had a sip of coffee yet.
C'mon Tandem, get me my pump so I can start doing something about this.</t>
        </is>
      </c>
      <c r="D1055" t="n">
        <v>1</v>
      </c>
      <c r="E1055" t="n">
        <v>7</v>
      </c>
      <c r="F1055">
        <f>HYPERLINK("https://www.reddit.com/r/diabetes/comments/3ayqdq/fk_you_dawn_phenomenon/")</f>
        <v/>
      </c>
      <c r="G1055" t="inlineStr">
        <is>
          <t>2015-06-24 09:01:47</t>
        </is>
      </c>
      <c r="H1055" t="inlineStr">
        <is>
          <t>Type 1</t>
        </is>
      </c>
    </row>
    <row r="1056">
      <c r="A1056" t="inlineStr">
        <is>
          <t>3b3rn8</t>
        </is>
      </c>
      <c r="B1056" t="inlineStr">
        <is>
          <t>extreme highs and lows, confused (T2)</t>
        </is>
      </c>
      <c r="C1056" t="inlineStr">
        <is>
          <t>I was dxed w gestational diabetes a year ago based on the glucose tolerance test. I was retested after having the baby and my results were worse (around 300  mg/dl at 1 hour, 280 at 2 hr). However my a1c was normal so I was diagnosed as diet controlled type 2. I'm not on any meds or using insulin.
I have been eating low to moderately low carb since the initial GD diagnosis and generally my numbers have been good. However occasionally I experience the following pattern (which happened today):
I wake up with hypoglycemic numbers (40-60mg/dl), shaking and sweating.
I eat fruit or bread to bring my blood sugar up (this morning I had half a whole wheat bagel with water).
90 minutes later my BG has shot up to 280mg/dl.
So for lunch I was careful to eat protein with low carbs.
1 hour later I'm at 45mg/dl, shaking and sweating again.
So I just had a small serving a watermelon and will test in an hour.
What am I doing wrong here, if anything? My dr has been unhelpful, his only advice when I was dxed was to eat brown rice and potatoes :/. He doesn't feel I need an endocrinologist.
I am normal weight (BMI 19) and fairly active- mostly walking.
thanks!</t>
        </is>
      </c>
      <c r="D1056" t="n">
        <v>2</v>
      </c>
      <c r="E1056" t="n">
        <v>6</v>
      </c>
      <c r="F1056">
        <f>HYPERLINK("https://www.reddit.com/r/diabetes/comments/3b3rn8/extreme_highs_and_lows_confused_t2/")</f>
        <v/>
      </c>
      <c r="G1056" t="inlineStr">
        <is>
          <t>2015-06-25 11:55:55</t>
        </is>
      </c>
      <c r="H1056" t="inlineStr">
        <is>
          <t>Type 2</t>
        </is>
      </c>
    </row>
    <row r="1057">
      <c r="A1057" t="inlineStr">
        <is>
          <t>3b4q60</t>
        </is>
      </c>
      <c r="B1057" t="inlineStr">
        <is>
          <t>Insulin barely working</t>
        </is>
      </c>
      <c r="C1057" t="inlineStr">
        <is>
          <t>Ok first of all, this might be a little rant-ish as I am seriously furious right now that I cannot get my blood sugars under control and probably the high blood sugar is making me even angrier, so please try to understand. Also beware, high bg = stupid jokes in my case, so expect that as well.
So here is what's up. I am a type 1, 16M. And the last 2-3 days have been very fun! Not. I am on Apidra and it has been acting weird recently. Basically it looks like it has lost its potency. I tried to open up a new pen, but that didn't solve the problem. 
I also checked the expiration date and it is 9/2015 - that is in 2 months. I, of course, keep the pens refrigerated, but don't let the freeze and I think I got this one like a week ago so it can't possibly be spoiled.
Blood sugar kept going up or staying at the same already high level. 
We are talking 144 and up. That is WAY high for me. I usually stick to the 86-108 range and even 108 is a little high for what I am aiming at. Right now I am at 221 and just injected another 8 units without eating a single gram of carbs. At this point, I am starting to be scared of DKA. I have had much higher values before my low carb diet but now my body has gotten used to the low sugar and I am sure it is going to be much more sensitive to high bs. This is not just an assumption. It IS more sensitive. That includes going into DKA more easily. I had a close call last month when my sugar went out of wack, because I failed to control it. It was around the same level as it is now. I do know that DKA is not only caused by high blood sugar but by dehydration as well, but I am still concerned.
Right now I feel like crap. I am angry, my head hurts(happens to me because of high bs sometimes) and at times I feel like breaking something, especially when I saw my most recent bs.  I hate being high on blood sugar. This shit sucks. I'd rather eat a packet of 'shrooms and die. Eminem anyone? Anyone? No? Oh.. :( Ok. :(
I eat very low carb, so I am 100% sure that food is not the problem. Even if it was, sugar couldn't be going up when I don't eat and still take insulin, which it does! And yes I know I have to wait 2 hours after eating and 5 hours after injecting if I want to get any meaningful results. 
This leaves infection, but I feel perfectly fine. No early symptom of infection. No dizzines, not even a little, not even a cough or a clogged nose. Nothing. Nada. I have no idea what might be going on with me, but I don't like it.  Could it be hormones? I doubt it. Could it be an early warning before I get sick? This has happened once before, but I was already having mild symptoms of an infection.
I am definitely calling my endo tomorrow as it is 2 am here right now, but I just want some opinions before I do.
**UPDATE:** Hmm just woke up and I am starting to see some very mild cold symptoms. It maybe was an early warning after all.</t>
        </is>
      </c>
      <c r="D1057" t="n">
        <v>4</v>
      </c>
      <c r="E1057" t="n">
        <v>9</v>
      </c>
      <c r="F1057">
        <f>HYPERLINK("https://www.reddit.com/r/diabetes/comments/3b4q60/insulin_barely_working/")</f>
        <v/>
      </c>
      <c r="G1057" t="inlineStr">
        <is>
          <t>2015-06-25 16:18:20</t>
        </is>
      </c>
      <c r="H1057" t="inlineStr">
        <is>
          <t>Type 1</t>
        </is>
      </c>
    </row>
    <row r="1058">
      <c r="A1058" t="inlineStr">
        <is>
          <t>3b59zv</t>
        </is>
      </c>
      <c r="B1058" t="inlineStr">
        <is>
          <t>Metformin and meals questions</t>
        </is>
      </c>
      <c r="C1058" t="inlineStr">
        <is>
          <t xml:space="preserve">I eat 3 small meals and 2 smaller snacks. I take metformin 3 times a day, with meals.  Dietician suggested 230 g of carbs per day.
Here's the thing, I'll snack around 10:00 at night, check my sugar at midnite, usually under 115 but in the morning I'm up around 140.
How long is the metformin active? Would I be better off eating just 3 meals a day and eliminate the snacks? </t>
        </is>
      </c>
      <c r="D1058" t="n">
        <v>5</v>
      </c>
      <c r="E1058" t="n">
        <v>24</v>
      </c>
      <c r="F1058">
        <f>HYPERLINK("https://www.reddit.com/r/diabetes/comments/3b59zv/metformin_and_meals_questions/")</f>
        <v/>
      </c>
      <c r="G1058" t="inlineStr">
        <is>
          <t>2015-06-25 19:12:56</t>
        </is>
      </c>
      <c r="H1058" t="inlineStr">
        <is>
          <t>Type 2</t>
        </is>
      </c>
    </row>
    <row r="1059">
      <c r="A1059" t="inlineStr">
        <is>
          <t>3b5ch7</t>
        </is>
      </c>
      <c r="B1059" t="inlineStr">
        <is>
          <t>Floating a river with a pump?</t>
        </is>
      </c>
      <c r="C1059" t="inlineStr">
        <is>
          <t xml:space="preserve">Well, not an actual river. But I'm going to vegas in two weeks and was informed that we will float a lazy river in a hotel. I'm assuming we'll be on it for a few hours, so I don't want to disconnect. :/
Have any of you ever floated a river with a pump? I'm also asking this because my friends have been wanting to float an actual river this summer, but I know there would be more of a chance of me flipping in that, then in the lazy river. 
Any ideas? How should I go about protecting it? </t>
        </is>
      </c>
      <c r="D1059" t="n">
        <v>5</v>
      </c>
      <c r="E1059" t="n">
        <v>14</v>
      </c>
      <c r="F1059">
        <f>HYPERLINK("https://www.reddit.com/r/diabetes/comments/3b5ch7/floating_a_river_with_a_pump/")</f>
        <v/>
      </c>
      <c r="G1059" t="inlineStr">
        <is>
          <t>2015-06-25 19:34:40</t>
        </is>
      </c>
      <c r="H1059" t="inlineStr">
        <is>
          <t>Type 1</t>
        </is>
      </c>
    </row>
    <row r="1060">
      <c r="A1060" t="inlineStr">
        <is>
          <t>3b5r1g</t>
        </is>
      </c>
      <c r="B1060" t="inlineStr">
        <is>
          <t>OmniPod free test kit</t>
        </is>
      </c>
      <c r="C1060" t="inlineStr">
        <is>
          <t>Well, after being diagnosed in Jan/Feb of this year, I have decided to get a free test kit for the OmniPod to see if it is something I'd like to use. The reason I went with this is because I have an active job and also in general live an active life style, summers at the beach in the water, river by me tubing etc. so I 1. didn't want to be connecting and disconnecting constantly and 2. didn't want to feel attached to the device like I think I would if I used one of the tethered ones. 
Question, any one have any tips or suggestions? I currently don't have a CGM but do plan to get one when money isn't tight but I'd much rather have the freedom from MDIs right now vs freedom of a regular BGM. Any suggestions or tips you guys can think of that may be useful?</t>
        </is>
      </c>
      <c r="D1060" t="n">
        <v>3</v>
      </c>
      <c r="E1060" t="n">
        <v>11</v>
      </c>
      <c r="F1060">
        <f>HYPERLINK("https://www.reddit.com/r/diabetes/comments/3b5r1g/omnipod_free_test_kit/")</f>
        <v/>
      </c>
      <c r="G1060" t="inlineStr">
        <is>
          <t>2015-06-25 21:51:26</t>
        </is>
      </c>
      <c r="H1060" t="inlineStr">
        <is>
          <t>Type 1</t>
        </is>
      </c>
    </row>
    <row r="1061">
      <c r="A1061" t="inlineStr">
        <is>
          <t>3b5sh2</t>
        </is>
      </c>
      <c r="B1061" t="inlineStr">
        <is>
          <t>Any of you still have really poor diets even as T1?</t>
        </is>
      </c>
      <c r="C1061" t="inlineStr">
        <is>
          <t xml:space="preserve">I was diagnosed in Jan/Feb of this year and in the beginning I was pretty good diet wise but now my mentality is just, "meh I'll just take insulin to cover it." I don't go crazy, maybe a bowl of ice cream 2 times a week, donuts once in awhile but I just love pasta, rice and bread and have had a hard time cutting the stuff out. I was also underweight due to being sick with this and not getting checked out for over a year that I was down to 160lb at 6'6. I've since put on 50lbs and up to 210 but want to gain more as I am still skinny and want to put on muscle which means eating... a lot. My dietician wants me under 75g of carbs per meal which I am usually under but still chowing down on rice, pasta, potatoes and bread at least twice a day for a few of these. Just curious how many of you out there are just saying f it with the diet and doing whatever you want? I don't experience too many high or lows and so my BS is pretty steady throughout the day but still seeing the horror stories with peoples eye problems and other issues on here has me worried. </t>
        </is>
      </c>
      <c r="D1061" t="n">
        <v>12</v>
      </c>
      <c r="E1061" t="n">
        <v>41</v>
      </c>
      <c r="F1061">
        <f>HYPERLINK("https://www.reddit.com/r/diabetes/comments/3b5sh2/any_of_you_still_have_really_poor_diets_even_as_t1/")</f>
        <v/>
      </c>
      <c r="G1061" t="inlineStr">
        <is>
          <t>2015-06-25 22:06:09</t>
        </is>
      </c>
      <c r="H1061" t="inlineStr">
        <is>
          <t>Type 1</t>
        </is>
      </c>
    </row>
    <row r="1062">
      <c r="A1062" t="inlineStr">
        <is>
          <t>3b6db9</t>
        </is>
      </c>
      <c r="B1062" t="inlineStr">
        <is>
          <t>not my day</t>
        </is>
      </c>
      <c r="C1062" t="inlineStr">
        <is>
          <t>Went to bed at 4.1, So I had a snack of 15g carbs before bed.
Woke up at 8am with a reading of 12.3, so I gave myself 1 unit and slowly woke up, went for a jog at around 9:30.
Got back at 10am, check my reading again and its 13.8..
don't think I will ever get stable levels from injections, and don't think I could get a pump in the UK from what i gather ;/</t>
        </is>
      </c>
      <c r="D1062" t="n">
        <v>9</v>
      </c>
      <c r="E1062" t="n">
        <v>16</v>
      </c>
      <c r="F1062">
        <f>HYPERLINK("https://www.reddit.com/r/diabetes/comments/3b6db9/not_my_day/")</f>
        <v/>
      </c>
      <c r="G1062" t="inlineStr">
        <is>
          <t>2015-06-26 02:48:47</t>
        </is>
      </c>
      <c r="H1062" t="inlineStr">
        <is>
          <t>Type 1</t>
        </is>
      </c>
    </row>
    <row r="1063">
      <c r="A1063" t="inlineStr">
        <is>
          <t>3b7fy4</t>
        </is>
      </c>
      <c r="B1063" t="inlineStr">
        <is>
          <t>Steroid Drugs for Poison Ivy</t>
        </is>
      </c>
      <c r="C1063" t="inlineStr">
        <is>
          <t>So, I got in a bout of poison ivy 2 weekends ago, the dr wrote me a prescription for a steroid drug, which I know is bad for diabetes.
Any advice to get through the next week on this medicine or just dealing with poison ivy in general?</t>
        </is>
      </c>
      <c r="D1063" t="n">
        <v>6</v>
      </c>
      <c r="E1063" t="n">
        <v>7</v>
      </c>
      <c r="F1063">
        <f>HYPERLINK("https://www.reddit.com/r/diabetes/comments/3b7fy4/steroid_drugs_for_poison_ivy/")</f>
        <v/>
      </c>
      <c r="G1063" t="inlineStr">
        <is>
          <t>2015-06-26 09:07:22</t>
        </is>
      </c>
      <c r="H1063" t="inlineStr">
        <is>
          <t>Type 1</t>
        </is>
      </c>
    </row>
    <row r="1064">
      <c r="A1064" t="inlineStr">
        <is>
          <t>3b7jas</t>
        </is>
      </c>
      <c r="B1064" t="inlineStr">
        <is>
          <t>What's the problem with this campaign? Solidarity is dead?</t>
        </is>
      </c>
      <c r="C1064" t="inlineStr">
        <is>
          <t>https://www.indiegogo.com/projects/glucosewizard
non for profit project, inspired on my daughter diabetic debut months ago. Even diabetics that visit don't contribute nor spread the word.
Whats the problem with the campaign? with the service? I'm I too impatient?</t>
        </is>
      </c>
      <c r="D1064" t="n">
        <v>0</v>
      </c>
      <c r="E1064" t="n">
        <v>14</v>
      </c>
      <c r="F1064">
        <f>HYPERLINK("https://www.reddit.com/r/diabetes/comments/3b7jas/whats_the_problem_with_this_campaign_solidarity/")</f>
        <v/>
      </c>
      <c r="G1064" t="inlineStr">
        <is>
          <t>2015-06-26 09:32:03</t>
        </is>
      </c>
      <c r="H1064" t="inlineStr">
        <is>
          <t>Type 1</t>
        </is>
      </c>
    </row>
    <row r="1065">
      <c r="A1065" t="inlineStr">
        <is>
          <t>3b7zyx</t>
        </is>
      </c>
      <c r="B1065" t="inlineStr">
        <is>
          <t>(Type 1) I've had this for 19 years. .. and today I had another extreme low</t>
        </is>
      </c>
      <c r="C1065" t="inlineStr">
        <is>
          <t xml:space="preserve">This is my first post here so bear with me...I'm not sure if you'd really consider them seizures,  but I do. I'm not the best at taking care of myself in my opinion,  but I do have a 6.7A1C. Today my SO had to stuff juice down my throat at 4AM as I thrashed and screamed while falling off the bed in my sleep. Sometimes I'm just not sure how to mentality handle any of this. You'd think after 19 years this would be old news and I'd "get over" having diabetes.... but it still affects me now. I hate hurting the people I love and feeling as if I have no control of my body. I want to be an art teacher and a mom but I'm so afraid that my class would have to see me in a condition like this and god forbid having a child and possibly giving them this disease. I'm not sure who else to talk to about this. No one really understands what Type 1 diabetes does to you over time (even if you extensively take care of yourself). I'm starting to lose hope of a cure, and losing confidence in my ability to act "normal." I didn't know this sub reddit existed until now... how do you guys handle it?  Do you have any advice?  I've tried the pump, lantus, the older insulins (I was little when I got this so I can't recall them by name) and I'm currently on levemir and novolog. I'm 22 and in college,  so I have to deal with a lot of stress and cheap food.
Edit: thank you everyone for your kind replies. I didn't think I could find anyone this supportive and understanding of what I go through every day. I'm so glad I came here. </t>
        </is>
      </c>
      <c r="D1065" t="n">
        <v>16</v>
      </c>
      <c r="E1065" t="n">
        <v>24</v>
      </c>
      <c r="F1065">
        <f>HYPERLINK("https://www.reddit.com/r/diabetes/comments/3b7zyx/type_1_ive_had_this_for_19_years_and_today_i_had/")</f>
        <v/>
      </c>
      <c r="G1065" t="inlineStr">
        <is>
          <t>2015-06-26 11:31:02</t>
        </is>
      </c>
      <c r="H1065" t="inlineStr">
        <is>
          <t>Type 1</t>
        </is>
      </c>
    </row>
    <row r="1066">
      <c r="A1066" t="inlineStr">
        <is>
          <t>3b9kxf</t>
        </is>
      </c>
      <c r="B1066" t="inlineStr">
        <is>
          <t>Looking to get a CGM and pump but can't afford both, chicken or egg kind of question...</t>
        </is>
      </c>
      <c r="C1066" t="inlineStr">
        <is>
          <t xml:space="preserve">I have either a $1000 or $1500 deductible with my insurance so obviously if it's $100 then I'd get both since the DexCom was quoted to me at a little over $900 by itself but if it's the higher # then I can only get one or the other. Does it make much sense to get a pump without having a CGM first or should I get the CGM then the pump later? Really at a loss. I mean I don't mind doing MDIs but I just feel like my life would be made so much easier by having a pump but again not sure if the benefit is lost by not having a CGM first.
Edit: Evidently Dexcom bills as medical so I can't use prescription coverage for it. According to OmniPod I have used $160 of my $1500 deductible so I'd owe $900 and change out of pocket for the pump. Once I meet the deductible according to Dexcom it'd be about $220 out of pocket for the CGM. Since deductible is a colander year I'm trying to decide if it's more beneficial to wait until next year to do all of this that way I can get more supplies covered vs having wasted 6 mo already. </t>
        </is>
      </c>
      <c r="D1066" t="n">
        <v>2</v>
      </c>
      <c r="E1066" t="n">
        <v>11</v>
      </c>
      <c r="F1066">
        <f>HYPERLINK("https://www.reddit.com/r/diabetes/comments/3b9kxf/looking_to_get_a_cgm_and_pump_but_cant_afford/")</f>
        <v/>
      </c>
      <c r="G1066" t="inlineStr">
        <is>
          <t>2015-06-26 19:33:52</t>
        </is>
      </c>
      <c r="H1066" t="inlineStr">
        <is>
          <t>Type 1</t>
        </is>
      </c>
    </row>
    <row r="1067">
      <c r="A1067" t="inlineStr">
        <is>
          <t>3ba9u5</t>
        </is>
      </c>
      <c r="B1067" t="inlineStr">
        <is>
          <t>Does anyone know what happened to Dosch's research?</t>
        </is>
      </c>
      <c r="C1067" t="inlineStr">
        <is>
          <t>Hi all,
I was just wondering if anyone had any idea as to what happened to the research done by Dosch. It seemed pretty promising but I couldn't find anything past them saying they were attempting human trials in the future and that was in 2006.
I found another from 2010 but that's pretty much it...
Hopefully someone can let me know if they found anything.
Thanks in advance!
http://www.newscientist.com/article/dn10812-breakthrough-sheds-light-on-cause-of-diabetes.html#.VY5D0PlVhBc
http://www.institutefornaturalhealing.com/2010/10/canadian-scientist-breaks-diabetic-dilemma/</t>
        </is>
      </c>
      <c r="D1067" t="n">
        <v>9</v>
      </c>
      <c r="E1067" t="n">
        <v>2</v>
      </c>
      <c r="F1067">
        <f>HYPERLINK("https://www.reddit.com/r/diabetes/comments/3ba9u5/does_anyone_know_what_happened_to_doschs_research/")</f>
        <v/>
      </c>
      <c r="G1067" t="inlineStr">
        <is>
          <t>2015-06-27 00:25:49</t>
        </is>
      </c>
      <c r="H1067" t="inlineStr">
        <is>
          <t>Type 1</t>
        </is>
      </c>
    </row>
    <row r="1068">
      <c r="A1068" t="inlineStr">
        <is>
          <t>3bckga</t>
        </is>
      </c>
      <c r="B1068" t="inlineStr">
        <is>
          <t>NEW: Introducing myself</t>
        </is>
      </c>
      <c r="C1068" t="inlineStr">
        <is>
          <t>Hi everyone, 
I have not been a big redditor in the past, mostly because I have never really ventured to these parts but recently I have found some subreddits that are really close to me.  I guess there really is a subreddit for everything!  
Regardless, I am 24 years old and was diagnosed as a T1 about a year ago at the age of 23.  It's been 'fun' in the sense that I understand that I will always have it and try to make everything competitive with myself.  IE  how low can I get my A1c (not like unhealthy low) and how well can i maintain it.  Trying to learn as much as possible.  Even today I started a website where I hope I can reach some people like myself that may not have taken the initiative that I have to learn things.  
I enjoy playing on the computer, building things (excel, nooby programs, etc) and hope to meet other like-minded individuals where I can hopefully learn more from those more experienced.  I am currently on a Tandem T-Slim insulin pump, use a VERIO IQ meter, and just got off my trial with the DEXCOM G4 and should be getting my own in a week or so :)
Blake</t>
        </is>
      </c>
      <c r="D1068" t="n">
        <v>17</v>
      </c>
      <c r="E1068" t="n">
        <v>15</v>
      </c>
      <c r="F1068">
        <f>HYPERLINK("https://www.reddit.com/r/diabetes/comments/3bckga/new_introducing_myself/")</f>
        <v/>
      </c>
      <c r="G1068" t="inlineStr">
        <is>
          <t>2015-06-27 15:54:31</t>
        </is>
      </c>
      <c r="H1068" t="inlineStr">
        <is>
          <t>Type 1</t>
        </is>
      </c>
    </row>
    <row r="1069">
      <c r="A1069" t="inlineStr">
        <is>
          <t>3bi9fy</t>
        </is>
      </c>
      <c r="B1069" t="inlineStr">
        <is>
          <t>Using diabetes as a way to suggest I live a structured and disciplined life on my UCAS(University) Personal Statement</t>
        </is>
      </c>
      <c r="C1069" t="inlineStr">
        <is>
          <t xml:space="preserve">Previous post about me: http://www.reddit.com/r/diabetes/comments/3avqrp/funding_for_cgmuk/
I'm wondering what your opinion of using my diabetes as an example of instance in which I am a good time manager, I live a disciplined and structured life and proves that I am a critical thinker.
Or is it bad to use my illness in this way? I feel somewhat bad if I mention this. I think I would be used it as an invalid excuse. I don't know??
I'm applying for a Business Degree(unsure what specifically yet probably business economics) and I'm wondering if I should do this? </t>
        </is>
      </c>
      <c r="D1069" t="n">
        <v>11</v>
      </c>
      <c r="E1069" t="n">
        <v>11</v>
      </c>
      <c r="F1069">
        <f>HYPERLINK("https://www.reddit.com/r/diabetes/comments/3bi9fy/using_diabetes_as_a_way_to_suggest_i_live_a/")</f>
        <v/>
      </c>
      <c r="G1069" t="inlineStr">
        <is>
          <t>2015-06-29 06:13:52</t>
        </is>
      </c>
      <c r="H1069" t="inlineStr">
        <is>
          <t>Type 1</t>
        </is>
      </c>
    </row>
    <row r="1070">
      <c r="A1070" t="inlineStr">
        <is>
          <t>3bir7h</t>
        </is>
      </c>
      <c r="B1070" t="inlineStr">
        <is>
          <t>T2 Anyone get WORSE gastro problems when switched to Metformin ER?</t>
        </is>
      </c>
      <c r="C1070" t="inlineStr">
        <is>
          <t>I'm very new to this whole thing. I'm 26 and was just diagnosed back in March this year. I started out with regular metformin (think it was HCL and I took it twice a day with meals). My regular doctor proscribed it and I took it for ~2 months. 
My regular doc also wanted me to see an endocrinologist. When talking to her I explained how I often didn't eat breakfast at all (normal for me both before and after diagnosis). So she wanted to switch me over to ER so I could take it once a day with dinner. I switched directly to that and didn't have any issues from it.
Earlier this month I got some seriously bad food poisoning and didn't eat much of anything for a week. Also stopped my metformin cause I simply couldn't keep it down. Stayed off it for a week or so after just to feel normal again. 
Well last week I finally started back into my usual ER dosage. I was expecting my stomach to do some flips having to readjust to it again, but this is insane. I've been feeling terrible for a week. It feels like I'm crazy hungry all the time now (never had that before). I've talked to my doc and he is kind of weirded out by this, but wants me to try and make it through the week to see if it is just another readjustment.
Has anyone else had anything similar happen or have some insight as to what is going on?</t>
        </is>
      </c>
      <c r="D1070" t="n">
        <v>3</v>
      </c>
      <c r="E1070" t="n">
        <v>8</v>
      </c>
      <c r="F1070">
        <f>HYPERLINK("https://www.reddit.com/r/diabetes/comments/3bir7h/t2_anyone_get_worse_gastro_problems_when_switched/")</f>
        <v/>
      </c>
      <c r="G1070" t="inlineStr">
        <is>
          <t>2015-06-29 08:47:04</t>
        </is>
      </c>
      <c r="H1070" t="inlineStr">
        <is>
          <t>Type 2</t>
        </is>
      </c>
    </row>
    <row r="1071">
      <c r="A1071" t="inlineStr">
        <is>
          <t>3bkang</t>
        </is>
      </c>
      <c r="B1071" t="inlineStr">
        <is>
          <t>T2 Just had my first official low emergency.</t>
        </is>
      </c>
      <c r="C1071" t="inlineStr">
        <is>
          <t xml:space="preserve">It was scary.  I'm going to post a question in a different thread in a bit about my meds.
I took my injection and had steak but nothing with carbs or sugar.  I took too much.  I have never had a problem before.  My diet is not great usually, so I am usually high and sometimes get it to normal.  
Been trying to eat better.  That's why this happened, I didn't adjust accordingly.
I got very sleepy and woozy, broke out into an incredible sweat all over, just soaking wet.  I was shaky and wobbly.  Heartbeat felt a little shallow but I get that from time to time because heart issues.  Nothing out of the ordinary with heart but it was the sweating and woozy that clued me in.
I was driving around in Texas heat, a/c in car but still hot.  Did not have blood test gear on me.  I don't get out much and never stay out long, so it is normal for me to not need to take blood monitor with me.
I remembered just in case it was blood sugar I should have something in me.  If blood sugar was high it wouldn't feel like this -- that's my issue usually is high blood sugar and it feels much different.  I can usually tell if I messed up and now sugar is too high.  This was different.
I was SOAKED with sweat.  I stopped at 7 11 and got a big gulp coca cola.  I drank it and I almost stopped by the urgent care clinic on the way home.  I got home and my blood sugar was 104 about 25 minutes after having the coca cola.  So I don't know what it was but it had to have been very low.
In hindsight I should have stopped at the urgent care clinic right then.  I am better but if I had just come straight home and taken a nap (am tired anyways, a/c in house went out saturday and I haven't had good sleep because Texas heat, it's fixed as of when I got in a bit ago, maintenance put in a new motor and it's cooling down very quick).  If I had just come in and taken a nap that could have been fatal!  
I was not disoriented or agitated.  I was mostly calm and very sleepy and woozy.  My problem has always been, I can get dehydrated easy.  I've been in the ER on a fluid IV too many times in my life to count.  The first summer in Texas was quite the adjustment.  So I was thinking I ws just getting dehydrated until I thought, hey this might be blood sugar, instead of water get a coca cola just to be safe.
Man.  Thank God for that coca cola.  
Byetta+Humalog question forthcoming.
</t>
        </is>
      </c>
      <c r="D1071" t="n">
        <v>0</v>
      </c>
      <c r="E1071" t="n">
        <v>4</v>
      </c>
      <c r="F1071">
        <f>HYPERLINK("https://www.reddit.com/r/diabetes/comments/3bkang/t2_just_had_my_first_official_low_emergency/")</f>
        <v/>
      </c>
      <c r="G1071" t="inlineStr">
        <is>
          <t>2015-06-29 15:30:58</t>
        </is>
      </c>
      <c r="H1071" t="inlineStr">
        <is>
          <t>Type 2</t>
        </is>
      </c>
    </row>
    <row r="1072">
      <c r="A1072" t="inlineStr">
        <is>
          <t>3bm65w</t>
        </is>
      </c>
      <c r="B1072" t="inlineStr">
        <is>
          <t>Any numbers on how much carbs alcohol "replaces"?</t>
        </is>
      </c>
      <c r="C1072" t="inlineStr">
        <is>
          <t>Hi!
I was about to eat some ice cream I usually take 4,5 units of fast acting insulin too. I was also thinking about taking a beer to the ice cream as well, 50 cl with 3,5 % alcohol. 
When my livers starts to work with breaking down the alcohol in my body the glucose output will lower. Is there any numbers i can use to know how much lower my insulin dosage to the ice cream? I completely discard the carb content of the beer. I know everyone reacts differently to alcohol but there must be some way to approximate?
Sorry for my bad language, English is not my native language. I'm gonna try with 4 units for now and see where i end up.
Any tips?</t>
        </is>
      </c>
      <c r="D1072" t="n">
        <v>10</v>
      </c>
      <c r="E1072" t="n">
        <v>20</v>
      </c>
      <c r="F1072">
        <f>HYPERLINK("https://www.reddit.com/r/diabetes/comments/3bm65w/any_numbers_on_how_much_carbs_alcohol_replaces/")</f>
        <v/>
      </c>
      <c r="G1072" t="inlineStr">
        <is>
          <t>2015-06-30 02:56:03</t>
        </is>
      </c>
      <c r="H1072" t="inlineStr">
        <is>
          <t>Type 1</t>
        </is>
      </c>
    </row>
    <row r="1073">
      <c r="A1073" t="inlineStr">
        <is>
          <t>3bo806</t>
        </is>
      </c>
      <c r="B1073" t="inlineStr">
        <is>
          <t>I wanted to share my wife's victory with her a1c</t>
        </is>
      </c>
      <c r="C1073" t="inlineStr">
        <is>
          <t>WARNING: this is like a super super long post...sorry
My wife is a 24 year old T1 diabetic and has been since she was about 13.  I just wanted to share our victory from yesterday's doctor appointment and what my experience has been along the way to this point.  
So first of all, when she first was diagnosed at 13, she was very much in control and did everything right.  According to her, after she got a pump a year later she started to only take insulin for what she ate without ever checking her glucose and this lead to things getting out of control.  Her mom told me that at one point her a1c was over 16.
Well, fast forward to when I met her about 3.5 years ago, she wasn't even taking insulin for food, just her daily shot of Lantus and that was it.  I thought it was weird but I didn't really worry about it while we were dating, I figured it's her condition and she knows better than me so I let her do her thing.  Later that year she went into DKA and it was horrible for me to watch her like that, hearing her ask me to bring her things that I already gave her or asking me questions about things that didn't make any sense was really tough to be around.  Also doing my research into DKA during our stay at the hospital I realized how serious it could've been.
Well she got better and I started learning about diabetes and how I can help her, after her DKA episode I talked her into testing her blood and actually taking her Novolog for food and it was really hard getting her to actually do it; it was really frustrating when she forgot and I would get upset easily because it seemed like such an easy thing to do.  We got married after being together for a year and she didn't really improve much, so I would have to pressure her into taking it and she'd still forget, maybe checking her blood once a day, if that.  
Talking to her about this, I learned that she'd always felt really bad that she didn't do a good job at it and eventually started to fear checking her blood because she knew it'd be bad and she felt that her doctors and parents would basically shame her for it, which didn't help much.  Well we were newlyweds and I still wasn't very good at it so I would try to encourage her but it always came out just being me getting frustrated and mad that she won't take care of herself, I was worried a lot that she'd end up dying or being sick and I'd have to go through that and that was very stressful for me to watch.  At this point I had been to one appointment with her Endo and her a1c came back as ~12, which I knew wasn't very good but I figured we would just have to work on it.  Instead, she just felt really bad about it and wanted to crawl in a hole and not deal with it.  I didn't really know how to help her, so I tried in the only way I did, which was to hover and ask what her blood glucose was and how much insulin she needed, etc...not the correct way, but it's all I knew to do.
Fast forward to the beginning of last year, her latest a1c was ~10, it's improving but not as much as I would like.  I'm in the military, so when I get deployed last year, my whole thought was that I don't want her to die while I'm gone.  So I tell her how worried I am and I make her promise to take care of herself while I'm gone, she agrees and tries her best but finds it hard to eat for the first week that I'm gone.  She doesn't respond very well to me being gone.  To help her stay motivated I came up with a point plan, where every time she checks her blood and does what needs to be done for it (take insulin, or not depending on if she's eating, wuteva) she'll get a point and if she gets 21 points in a week I'll send her an email, pictures, I'll stay up and talk to her extra long, and I'll promise her a backrub and foot massage whenever she wants once I get back.  Well she did great for a while but started falling off the wagon and regressing but more or less she was getting it done a little more than 2/3 of the time.  
Once I get back we're getting ready to go to South Korea for my next assignment, we're both really excited and I make her promise to take care of herself really well because there's not as good of facilities there for her so it'll be much more risky.  She agrees and we go.  So over the past six months, she's been trying to keep on it and she's made mistakes, missing a day of her Lantus, forgetting to check blood, etc. but for the most part she was doing alright.  
Then I got the idea (I've heard of this before but didn't try it) of not checking her blood with her, I only remind her to do it by giving her a tissue for her blood and then I leave her to it, I don't ask what the number was, I don't look, I just let her do it, I'll still ask how she's doing every week or so but just to know if I can help, not to "grade" her.  I try to just trust that she'll take care of the numbers and I'll just try to lightly remind her when she doesn't check her blood, I'm still working on my tact but I think I'm doing pretty well.  It's very hard.  
Well, we are currently back in the States on vacation and we had an appointment with her Endo yesterday and we were really curious to know what her a1c was going to be as this would determine if we can start trying for having a baby.  It was freaking 6.9!!!  We were so happy and still are, we've gone a long ways, from her with up to over 12 to a 6.9 in a couple years and we still have room to improve but I'm still really proud of all the hard work she's been putting in, working out, eating better, always checking blood, etc.  Well sorry for such a super long post but I wanted to share =)
#TL;DR: My wife had +16 a1c before we met and never checked her blood, she tried really hard, I badgered her, I got better, now it's at 6.9, I'm really proud of her =)</t>
        </is>
      </c>
      <c r="D1073" t="n">
        <v>14</v>
      </c>
      <c r="E1073" t="n">
        <v>6</v>
      </c>
      <c r="F1073">
        <f>HYPERLINK("https://www.reddit.com/r/diabetes/comments/3bo806/i_wanted_to_share_my_wifes_victory_with_her_a1c/")</f>
        <v/>
      </c>
      <c r="G1073" t="inlineStr">
        <is>
          <t>2015-06-30 13:16:11</t>
        </is>
      </c>
      <c r="H1073" t="inlineStr">
        <is>
          <t>Type 1</t>
        </is>
      </c>
    </row>
    <row r="1074">
      <c r="A1074" t="inlineStr">
        <is>
          <t>3boex9</t>
        </is>
      </c>
      <c r="B1074" t="inlineStr">
        <is>
          <t>Just had the best A1C of my life!</t>
        </is>
      </c>
      <c r="C1074" t="inlineStr">
        <is>
          <t xml:space="preserve">So excited to be able to post this.. I've had A1C's as high as 13 (as a teenager) but more recently have been right around 9. Well the past couple months I really got my shit together, partially because I started reading about everyone's success on this sub and it really motivated me! 
Well guys, I am thrilled to say that my latest A1C this morning was ***6.7***!!! :D I was so happy I cried! I'm still kinda two seconds away from tears of happiness and its been hours since that appointment. :) </t>
        </is>
      </c>
      <c r="D1074" t="n">
        <v>10</v>
      </c>
      <c r="E1074" t="n">
        <v>15</v>
      </c>
      <c r="F1074">
        <f>HYPERLINK("https://www.reddit.com/r/diabetes/comments/3boex9/just_had_the_best_a1c_of_my_life/")</f>
        <v/>
      </c>
      <c r="G1074" t="inlineStr">
        <is>
          <t>2015-06-30 14:06:50</t>
        </is>
      </c>
      <c r="H1074" t="inlineStr">
        <is>
          <t>Type 1</t>
        </is>
      </c>
    </row>
    <row r="1075">
      <c r="A1075" t="inlineStr">
        <is>
          <t>3bphoq</t>
        </is>
      </c>
      <c r="B1075" t="inlineStr">
        <is>
          <t>Dawn Phenomenon and What I learned with the Dexcom G4</t>
        </is>
      </c>
      <c r="C1075" t="inlineStr">
        <is>
          <t>Hey everyone, as I think i wrote in my intro post a week ago or so, I had a week trial with the Dexcom G4 and I wanted to lay out a post with some of my results, I knew that I was waking up with high blood sugars and that it was going to be interesting to see but the dexcom results are pretty eye opening.  I plan to do another post, maybe a youtube video where I attempt to walk through the graphs and let people laugh at me and maybe help me out.  I have insurance going and hope I can get my own G4 so I can do more posts and keep kinda a diary per say.  But until my longer posts these were 2 of the nights that the 'dawn phenomenon' was pretty interesting.  Please tell me what you think! 
http://thecarbcount.com/the-dawn-phenomenon-dexcom-g4-lesson/</t>
        </is>
      </c>
      <c r="D1075" t="n">
        <v>2</v>
      </c>
      <c r="E1075" t="n">
        <v>0</v>
      </c>
      <c r="F1075">
        <f>HYPERLINK("https://www.reddit.com/r/diabetes/comments/3bphoq/dawn_phenomenon_and_what_i_learned_with_the/")</f>
        <v/>
      </c>
      <c r="G1075" t="inlineStr">
        <is>
          <t>2015-06-30 19:42:46</t>
        </is>
      </c>
      <c r="H1075" t="inlineStr">
        <is>
          <t>Type 1</t>
        </is>
      </c>
    </row>
    <row r="1076">
      <c r="A1076" t="inlineStr">
        <is>
          <t>3br97y</t>
        </is>
      </c>
      <c r="B1076" t="inlineStr">
        <is>
          <t>My friend who has T1 would have blackout moments when his blood sugar was too low and wouldn't remember anything about it after his level was raised. I only saw it a couple times, but I'm curious what experiences others have had during these blackouts.</t>
        </is>
      </c>
      <c r="C1076" t="inlineStr">
        <is>
          <t>I'm particularly curious about if there was any sense of control, because he suddenly seemed like a completely different person. Could that kind of low blood sugar result from drinking too much? Is it possible he could do something violent that he regrets while in that blackout state? There was just a recent situation that I'm trying to make sense of in my mind, and I'm just really hoping it might have had something to do with a combination of T1 and the depression he had been dealing with.
EDIT: Thank you all so much. I guess I'm still in a bit of denial. My friend actually committed suicide. While I would guess depression and other factors probably played the most significant roles in things culminating to that point for him, part of me kinda hoped that just maybe if he'd been out drinking a bit too much, maybe his blood glucose level would have been low enough that perhaps he was fully not aware of his actions. Of course he's dealt with T1 since he was a kid, so around 40 years, plus he was a medtronic rep at one point, so its not like he wasn't well versed in preventing such a situation. Still, thank you all so much.</t>
        </is>
      </c>
      <c r="D1076" t="n">
        <v>10</v>
      </c>
      <c r="E1076" t="n">
        <v>34</v>
      </c>
      <c r="F1076">
        <f>HYPERLINK("https://www.reddit.com/r/diabetes/comments/3br97y/my_friend_who_has_t1_would_have_blackout_moments/")</f>
        <v/>
      </c>
      <c r="G1076" t="inlineStr">
        <is>
          <t>2015-07-01 07:39:28</t>
        </is>
      </c>
      <c r="H1076" t="inlineStr">
        <is>
          <t>Type 1</t>
        </is>
      </c>
    </row>
    <row r="1077">
      <c r="A1077" t="inlineStr">
        <is>
          <t>3brju6</t>
        </is>
      </c>
      <c r="B1077" t="inlineStr">
        <is>
          <t>Having Vietnamese for lunch...</t>
        </is>
      </c>
      <c r="C1077" t="inlineStr">
        <is>
          <t xml:space="preserve">... And I have no clue how to bolus for it!  I plan on getting bún w/ beef, which is rice noodles, lettuce, bean sprouts, etc.  Any carb counting masters out there have any input? Just guestimate and test? </t>
        </is>
      </c>
      <c r="D1077" t="n">
        <v>4</v>
      </c>
      <c r="E1077" t="n">
        <v>2</v>
      </c>
      <c r="F1077">
        <f>HYPERLINK("https://www.reddit.com/r/diabetes/comments/3brju6/having_vietnamese_for_lunch/")</f>
        <v/>
      </c>
      <c r="G1077" t="inlineStr">
        <is>
          <t>2015-07-01 09:00:33</t>
        </is>
      </c>
      <c r="H1077" t="inlineStr">
        <is>
          <t>Type 1.5/LADA</t>
        </is>
      </c>
    </row>
    <row r="1078">
      <c r="A1078" t="inlineStr">
        <is>
          <t>3bvfhx</t>
        </is>
      </c>
      <c r="B1078" t="inlineStr">
        <is>
          <t>Diet and A1C?</t>
        </is>
      </c>
      <c r="C1078" t="inlineStr">
        <is>
          <t>Just wondering how many carbs everyone takes in daily and what your A1C is usually at? I take in about 200-215 carbs a day and my A1C is usually 6.5-6.8.
I know that there are a million other factors which effect A1C not just food intake but I am simply curious!</t>
        </is>
      </c>
      <c r="D1078" t="n">
        <v>3</v>
      </c>
      <c r="E1078" t="n">
        <v>9</v>
      </c>
      <c r="F1078">
        <f>HYPERLINK("https://www.reddit.com/r/diabetes/comments/3bvfhx/diet_and_a1c/")</f>
        <v/>
      </c>
      <c r="G1078" t="inlineStr">
        <is>
          <t>2015-07-02 06:54:45</t>
        </is>
      </c>
      <c r="H1078" t="inlineStr">
        <is>
          <t>Type 1</t>
        </is>
      </c>
    </row>
    <row r="1079">
      <c r="A1079" t="inlineStr">
        <is>
          <t>3bw475</t>
        </is>
      </c>
      <c r="B1079" t="inlineStr">
        <is>
          <t>Type 1 Diabetes and Crossfit</t>
        </is>
      </c>
      <c r="C1079" t="inlineStr">
        <is>
          <t xml:space="preserve">I was was shocked by the crude comments attributed to Crossfit concerning type 1 diabetes. My daughter was diagnosed at age 3. The impact of this auto immune disease has had on our family for over 27 years now is substantial. I have spent a great deal of time educating individuals over the about T1 and T2 and how to be supportive of anyone who is dealing with diabetes. The comments made by Crossfit are, at  the least, hurtful and if one person said that to another, it would be considered to be bullying. Shame on them! 
</t>
        </is>
      </c>
      <c r="D1079" t="n">
        <v>1</v>
      </c>
      <c r="E1079" t="n">
        <v>4</v>
      </c>
      <c r="F1079">
        <f>HYPERLINK("https://www.reddit.com/r/diabetes/comments/3bw475/type_1_diabetes_and_crossfit/")</f>
        <v/>
      </c>
      <c r="G1079" t="inlineStr">
        <is>
          <t>2015-07-02 10:10:02</t>
        </is>
      </c>
      <c r="H1079" t="inlineStr">
        <is>
          <t>Type 1</t>
        </is>
      </c>
    </row>
    <row r="1080">
      <c r="A1080" t="inlineStr">
        <is>
          <t>3bwh95</t>
        </is>
      </c>
      <c r="B1080" t="inlineStr">
        <is>
          <t>Afrezza Lows</t>
        </is>
      </c>
      <c r="C1080" t="inlineStr">
        <is>
          <t>I posted last week about having some troubles with afrezza and got a lot of helpful information on here.  I was inhaling too hard and/or hitting my tongue or back of throat with the insulin so it all wasn't being absorbed.  I got that problem fixed, but have now run into new issues.  Namely, I have read multiple places on the interwebs that this stuff doesn't cause lows.  That has not been my experience at all.  It works just like other insulins in that it shovels sugar into the cells until it quits working, regardless of rather it needs to or not.
Here is a picture of my dexcom reading from last night.  My basal was good.  I had taken humalog 3 hours or so before taking afrezza (and I get rid of humalog in a couple hours and don't have it hanging around for 4 hours).  My BS rose about 70 points in 30 minutes before taking afrezza to 140ish and an hour later I was at 45 mg/dl.
http://imgur.com/gallery/Y5TwNS6/new
Another time, over the weekend.  I had an even bigger problem.  I was at 120 and my dexcom started showing a rise.  I let it go to 170 before taking afrezza.  I took 4 units.  And, 30 minutes later, the dexcom was still showing 170.  So, I took another 4 units.  That dropped it to 80 on my dexcom but i felt like shit and checked on my meter.  29.  Then, I checked again and it was at 31.  So, I am confident that was correct and the dexcom was off.  That is obviously my fault, and isn't indicative of how dangerous afrezza is as taking insulin when low/not needed is obviously going to cause problems.  But, it still shows you can go low w afrezza.
Anyway, I just wanted to share this and say that I don't think it's accurate to say afrezza/super fast acting insulins can't cause lows.</t>
        </is>
      </c>
      <c r="D1080" t="n">
        <v>7</v>
      </c>
      <c r="E1080" t="n">
        <v>13</v>
      </c>
      <c r="F1080">
        <f>HYPERLINK("https://www.reddit.com/r/diabetes/comments/3bwh95/afrezza_lows/")</f>
        <v/>
      </c>
      <c r="G1080" t="inlineStr">
        <is>
          <t>2015-07-02 11:47:04</t>
        </is>
      </c>
      <c r="H1080" t="inlineStr">
        <is>
          <t>Type 1</t>
        </is>
      </c>
    </row>
    <row r="1081">
      <c r="A1081" t="inlineStr">
        <is>
          <t>3bws7y</t>
        </is>
      </c>
      <c r="B1081" t="inlineStr">
        <is>
          <t>July 4 and some drinks</t>
        </is>
      </c>
      <c r="C1081" t="inlineStr">
        <is>
          <t xml:space="preserve">With the holiday coming up, how do you guys coup as T1s? Before diagnosis I was a big margarita fan and would enjoy one or 2 but not sure how to dose or anything like that. How do you guys handle this? I enjoy frozen margaritas, do you now just avoid them? </t>
        </is>
      </c>
      <c r="D1081" t="n">
        <v>4</v>
      </c>
      <c r="E1081" t="n">
        <v>15</v>
      </c>
      <c r="F1081">
        <f>HYPERLINK("https://www.reddit.com/r/diabetes/comments/3bws7y/july_4_and_some_drinks/")</f>
        <v/>
      </c>
      <c r="G1081" t="inlineStr">
        <is>
          <t>2015-07-02 13:08:39</t>
        </is>
      </c>
      <c r="H1081" t="inlineStr">
        <is>
          <t>Type 1</t>
        </is>
      </c>
    </row>
    <row r="1082">
      <c r="A1082" t="inlineStr">
        <is>
          <t>3by3fd</t>
        </is>
      </c>
      <c r="B1082" t="inlineStr">
        <is>
          <t>No more General Tso's for me.</t>
        </is>
      </c>
      <c r="C1082" t="inlineStr">
        <is>
          <t xml:space="preserve">Still pretty new to this; I was dianosed about two months ago. I've been doing really well on diet, especially since I got my monitor. I've dropped about 17 lbs. Tonight, I thought, hey, I can have Chinese. I'll just count the carbs and make sure it's a reasonable amount. Tow hours after I ate, I tested my BG and I was at 191! Crap crap crap. </t>
        </is>
      </c>
      <c r="D1082" t="n">
        <v>3</v>
      </c>
      <c r="E1082" t="n">
        <v>22</v>
      </c>
      <c r="F1082">
        <f>HYPERLINK("https://www.reddit.com/r/diabetes/comments/3by3fd/no_more_general_tsos_for_me/")</f>
        <v/>
      </c>
      <c r="G1082" t="inlineStr">
        <is>
          <t>2015-07-02 19:49:54</t>
        </is>
      </c>
      <c r="H1082" t="inlineStr">
        <is>
          <t>Type 2</t>
        </is>
      </c>
    </row>
    <row r="1083">
      <c r="A1083" t="inlineStr">
        <is>
          <t>3c147j</t>
        </is>
      </c>
      <c r="B1083" t="inlineStr">
        <is>
          <t>Most recent A1c</t>
        </is>
      </c>
      <c r="C1083" t="inlineStr">
        <is>
          <t>5 point mother fucking 9!  Was 6.6 before that, and 7.8 before that.  (I'm allowed to gloat, I haven't eaten bread in 5 months.)
I contribute it to a 100% keto diet.  All I eat is meat and fat and cheese, and my Cholesterol numbers have improved. 147 today.  Was 224 before that.  Triglycerides, everything is better, it's amazing to me.  How are breads and grains and crap still advertised as being healthy when IMHO I think carbs contribute more to heart disease than fat.
This shit is crazy.  I wish I knew this stuff 20 years ago.</t>
        </is>
      </c>
      <c r="D1083" t="n">
        <v>9</v>
      </c>
      <c r="E1083" t="n">
        <v>12</v>
      </c>
      <c r="F1083">
        <f>HYPERLINK("https://www.reddit.com/r/diabetes/comments/3c147j/most_recent_a1c/")</f>
        <v/>
      </c>
      <c r="G1083" t="inlineStr">
        <is>
          <t>2015-07-03 13:19:58</t>
        </is>
      </c>
      <c r="H1083" t="inlineStr">
        <is>
          <t>Type 1</t>
        </is>
      </c>
    </row>
    <row r="1084">
      <c r="A1084" t="inlineStr">
        <is>
          <t>3c2c6m</t>
        </is>
      </c>
      <c r="B1084" t="inlineStr">
        <is>
          <t>Newly diagnosed Type 1*</t>
        </is>
      </c>
      <c r="C1084" t="inlineStr">
        <is>
          <t xml:space="preserve">Hello everyone! Thank god for this sub. So I have been diagnosed about 10 weeks ago. As an uninsured person, I haven't had a yearly check up for many years. So when I got a fellowship that required a medical clearance, I borrowed money from family members and went to the doctor. Everything else turned out fine except for my blood sugar and a1c. Blood sugar of 300 and a1c at 11. It was overwhelming. The first few weeks were very hard. I refused to accept it and so I wallowed in misery and self-loathing. At one point I even entertained suicidal ideas. Three weeks ago I went for a long walk and coming back home a voice in my head insisted that I do something about it. So I cut out almost all carbs and now I feel better. It's not easy because I am from a culture where rice is cooked every day but so far I am sticking to the plan. Since I changed my diet, I haven't had any highs or lows. It's been between 73 (fasting) and 103 mg/dl. Unfortunately since I am not insured, I am not yet on insulin. I am planning to buy insurance when Obamacare enrollment is opened again later this year. The only problem is that I am leaving for Europe in September and so I don't know how much of use it will be down there. 
I am glad this community exists. It's a great resource. 
Any advice for me?
* I haven't see an endo (cost again) but the doctor who diagnosed me is pretty certain it's type 1. Pretty certain is not scientific but it's what I got now. I am saving to see and endo though so hopefully I can have it cleared. </t>
        </is>
      </c>
      <c r="D1084" t="n">
        <v>5</v>
      </c>
      <c r="E1084" t="n">
        <v>15</v>
      </c>
      <c r="F1084">
        <f>HYPERLINK("https://www.reddit.com/r/diabetes/comments/3c2c6m/newly_diagnosed_type_1/")</f>
        <v/>
      </c>
      <c r="G1084" t="inlineStr">
        <is>
          <t>2015-07-03 19:50:00</t>
        </is>
      </c>
      <c r="H1084" t="inlineStr">
        <is>
          <t>Type 1</t>
        </is>
      </c>
    </row>
    <row r="1085">
      <c r="A1085" t="inlineStr">
        <is>
          <t>3c61if</t>
        </is>
      </c>
      <c r="B1085" t="inlineStr">
        <is>
          <t>Quit Stigmatizing diabetes, I swear I didn't forget I had it!</t>
        </is>
      </c>
      <c r="C1085" t="inlineStr">
        <is>
          <t>Hey guys, I did a little bit of an overhaul on my site (www.thecarbcount.com) and would love some feedback, I am going for more simple and clean looking. Also I wrote a new blog on all the ridiculous things I have heard over the last couple weeks, a lot of which were said tonight (The 4th of July), I would like some feedback on that too!  Thanks!
http://thecarbcount.com/stop-stigmatizing-diabetes/</t>
        </is>
      </c>
      <c r="D1085" t="n">
        <v>7</v>
      </c>
      <c r="E1085" t="n">
        <v>17</v>
      </c>
      <c r="F1085">
        <f>HYPERLINK("https://www.reddit.com/r/diabetes/comments/3c61if/quit_stigmatizing_diabetes_i_swear_i_didnt_forget/")</f>
        <v/>
      </c>
      <c r="G1085" t="inlineStr">
        <is>
          <t>2015-07-04 21:06:28</t>
        </is>
      </c>
      <c r="H1085" t="inlineStr">
        <is>
          <t>Type 1</t>
        </is>
      </c>
    </row>
    <row r="1086">
      <c r="A1086" t="inlineStr">
        <is>
          <t>3c8os8</t>
        </is>
      </c>
      <c r="B1086" t="inlineStr">
        <is>
          <t>Trying to figure out how to handle my meals while on a trip out of state.</t>
        </is>
      </c>
      <c r="C1086" t="inlineStr">
        <is>
          <t>The specs: 26M T1 taking Novolog and Lantus injections. Diagnosed last September.
At the end of the month I'm going to be going on a 4-day trip out of state and I'd like to try and avoid as much fast food as possible and to try and keep my sugars right so I don't feel crappy the entire time. We're going to be staying in a hotel that's attached to the convention center for the event that we're attending. I'm not worried about food during the actual trip portion, but more for the following days at the convention/hotel. Basically looking for quick easy meals that don't require much cooking aside from maybe microwaving. Anyone have any ideas they've used to some success?</t>
        </is>
      </c>
      <c r="D1086" t="n">
        <v>5</v>
      </c>
      <c r="E1086" t="n">
        <v>8</v>
      </c>
      <c r="F1086">
        <f>HYPERLINK("https://www.reddit.com/r/diabetes/comments/3c8os8/trying_to_figure_out_how_to_handle_my_meals_while/")</f>
        <v/>
      </c>
      <c r="G1086" t="inlineStr">
        <is>
          <t>2015-07-05 16:04:34</t>
        </is>
      </c>
      <c r="H1086" t="inlineStr">
        <is>
          <t>Type 1</t>
        </is>
      </c>
    </row>
    <row r="1087">
      <c r="A1087" t="inlineStr">
        <is>
          <t>3cbfr8</t>
        </is>
      </c>
      <c r="B1087" t="inlineStr">
        <is>
          <t>I'm a type 1 needing help to lose a little weight</t>
        </is>
      </c>
      <c r="C1087" t="inlineStr">
        <is>
          <t xml:space="preserve">Alright, so I'm a little overweight (~20-30 lbs on a 6'3" athletic build male, so not *that* much considering I'm a large individual to begin with.)  I graduated college in 2013 which drastically changed my activity level. I am still moderately active and go to the gym maybe 3 days a week. Whenever I work out I get lows and end up having to pound the sugar to get my sugar back up, effectively undoing my workout. It gets super frustrating. I think this is because my activity is more sporadic than in college, so the same basal rate doesn't cut it for really active days and sedentary days. I'm starting to do some small things like lowering my basal rate before and after working out. 
I am wondering, if any other type 1's have some advice for losing weight and managing highs and lows with activity. </t>
        </is>
      </c>
      <c r="D1087" t="n">
        <v>7</v>
      </c>
      <c r="E1087" t="n">
        <v>17</v>
      </c>
      <c r="F1087">
        <f>HYPERLINK("https://www.reddit.com/r/diabetes/comments/3cbfr8/im_a_type_1_needing_help_to_lose_a_little_weight/")</f>
        <v/>
      </c>
      <c r="G1087" t="inlineStr">
        <is>
          <t>2015-07-06 09:34:51</t>
        </is>
      </c>
      <c r="H1087" t="inlineStr">
        <is>
          <t>Type 1</t>
        </is>
      </c>
    </row>
    <row r="1088">
      <c r="A1088" t="inlineStr">
        <is>
          <t>3cchgd</t>
        </is>
      </c>
      <c r="B1088" t="inlineStr">
        <is>
          <t>YESSSS, Just Got My CGM Approved, What Kinda Tips You Got For Me Vets?</t>
        </is>
      </c>
      <c r="C1088" t="inlineStr">
        <is>
          <t>What up! I know I've posted about having a trial run of the Dexcom CGM before but I am officially gonna have my own at the end of this week, woohoo! What kind of tips can you all give me to get the maximum benefit from it? 
I can't wait to share my progress to them straight line blood sugars!  (like that will happen!)</t>
        </is>
      </c>
      <c r="D1088" t="n">
        <v>1</v>
      </c>
      <c r="E1088" t="n">
        <v>0</v>
      </c>
      <c r="F1088">
        <f>HYPERLINK("https://www.reddit.com/r/diabetes/comments/3cchgd/yessss_just_got_my_cgm_approved_what_kinda_tips/")</f>
        <v/>
      </c>
      <c r="G1088" t="inlineStr">
        <is>
          <t>2015-07-06 13:58:43</t>
        </is>
      </c>
      <c r="H1088" t="inlineStr">
        <is>
          <t>Type 1</t>
        </is>
      </c>
    </row>
    <row r="1089">
      <c r="A1089" t="inlineStr">
        <is>
          <t>3cfj27</t>
        </is>
      </c>
      <c r="B1089" t="inlineStr">
        <is>
          <t>Pump/CGM Recommendations for Active 8 Year Old (Type1)</t>
        </is>
      </c>
      <c r="C1089" t="inlineStr">
        <is>
          <t>My son has Type1 (diagnosed at 2).  We've been manually testing and administering insulin for the last 6 years, but would like to get him on a pump as well as a continuous glucose monitor. 
I'd love to have some recommendations from other parents with children with Type1.  Ideally, the pump/monitor would support multiple receivers/controller, since he will need one with the nurse at school, and his two homes (divorced parents).
Any recommendations?</t>
        </is>
      </c>
      <c r="D1089" t="n">
        <v>3</v>
      </c>
      <c r="E1089" t="n">
        <v>12</v>
      </c>
      <c r="F1089">
        <f>HYPERLINK("https://www.reddit.com/r/diabetes/comments/3cfj27/pumpcgm_recommendations_for_active_8_year_old/")</f>
        <v/>
      </c>
      <c r="G1089" t="inlineStr">
        <is>
          <t>2015-07-07 07:51:31</t>
        </is>
      </c>
      <c r="H1089" t="inlineStr">
        <is>
          <t>Type 1</t>
        </is>
      </c>
    </row>
    <row r="1090">
      <c r="A1090" t="inlineStr">
        <is>
          <t>3cg015</t>
        </is>
      </c>
      <c r="B1090" t="inlineStr">
        <is>
          <t>[Type 1] Got back from the Endo today with a new A1C...</t>
        </is>
      </c>
      <c r="C1090" t="inlineStr">
        <is>
          <t>6.5%. Booya. This is my third sub-7 reading in a row. First one in March was 6.6%. Next one in May was 6.8% (was leaving the country and wanted to know he it would be effected while I was gone). Came back and have been home for a week, and boom, 6.5%. Lowest I have ever been.
The best blood sugar management tool? **Without a doubt this community**. I could not do it without you. Never have I ever been so motivated to take control of this disease. After being introduced to this community, I changed my diet (keto) and largely my outlook on life. I have finally accepted who I am as a person and how this disease will most likely be with me for the rest of my life. Once accepting that fact, moving forward in my life and pursuit of control (and happiness, I suppose) has been easier. Not to say it is easy by any means, but coming to terms with what I have to deal with has been a huge help in my life. Growing up I used to consider myself in good control. Floated mid 7's to low 8's. However, in this point in my life, 20 years with this fucking thing, I truly know what control feels like. I am not done yet, my next goal is 6.3%. This disease can push you to your limits. I enjoy challenges, and I'm going to do all I can to get there. I will need your help.
To all of those struggling: ***you are not alone.*** This disease can be cruel, punishing, and unforgiving. But only the strong can deal with it, yeah? Your friends in good health wouldn't be able to manage the pressures and stress's that come with this. Take solace in knowing you are strong. Physical health is half the battle with Diabetes. Mental health is the other half. If you need help, **ask.** There is nothing to be ashamed about.
Please reach out if you want someone to talk to. Whether it be me, or this sub in general. We aren't going down without a fight. #notdeadyet.</t>
        </is>
      </c>
      <c r="D1090" t="n">
        <v>33</v>
      </c>
      <c r="E1090" t="n">
        <v>10</v>
      </c>
      <c r="F1090">
        <f>HYPERLINK("https://www.reddit.com/r/diabetes/comments/3cg015/type_1_got_back_from_the_endo_today_with_a_new_a1c/")</f>
        <v/>
      </c>
      <c r="G1090" t="inlineStr">
        <is>
          <t>2015-07-07 09:53:51</t>
        </is>
      </c>
      <c r="H1090" t="inlineStr">
        <is>
          <t>Type 1</t>
        </is>
      </c>
    </row>
    <row r="1091">
      <c r="A1091" t="inlineStr">
        <is>
          <t>3cgzz9</t>
        </is>
      </c>
      <c r="B1091" t="inlineStr">
        <is>
          <t>Type2 diabetes and feeling cranky?</t>
        </is>
      </c>
      <c r="C1091" t="inlineStr">
        <is>
          <t>Hi folks,
I have type 2 diabetes for about 5 years, and am seeking to control it through medication (Janumet). Problem is, often I feel cranky, like in the comics where the character has a black cloud over his head signifying his mental state. That maybe is silly but it's the closest way I can describe how I feel sometime.
Could this be connected to blood sugar being too low? DAE experience this kind of symptom connected to blood glucose?
Recently I felt really cranky, ate something sugary and I began to feel less agitated. So IDK...</t>
        </is>
      </c>
      <c r="D1091" t="n">
        <v>2</v>
      </c>
      <c r="E1091" t="n">
        <v>6</v>
      </c>
      <c r="F1091">
        <f>HYPERLINK("https://www.reddit.com/r/diabetes/comments/3cgzz9/type2_diabetes_and_feeling_cranky/")</f>
        <v/>
      </c>
      <c r="G1091" t="inlineStr">
        <is>
          <t>2015-07-07 14:00:47</t>
        </is>
      </c>
      <c r="H1091" t="inlineStr">
        <is>
          <t>Type 2</t>
        </is>
      </c>
    </row>
    <row r="1092">
      <c r="A1092" t="inlineStr">
        <is>
          <t>3cjq9y</t>
        </is>
      </c>
      <c r="B1092" t="inlineStr">
        <is>
          <t>CGM or no CGM?</t>
        </is>
      </c>
      <c r="C1092" t="inlineStr">
        <is>
          <t>Father of a 13yr old T1D. Just curious how many of you use a CGM and what your results have been with it. My son has tried it but we've always had difficulty with managing two insertion sites as well as maintaining connection with the pump.
Any wisdom or advice on this would be helpful. Thanks.</t>
        </is>
      </c>
      <c r="D1092" t="n">
        <v>12</v>
      </c>
      <c r="E1092" t="n">
        <v>39</v>
      </c>
      <c r="F1092">
        <f>HYPERLINK("https://www.reddit.com/r/diabetes/comments/3cjq9y/cgm_or_no_cgm/")</f>
        <v/>
      </c>
      <c r="G1092" t="inlineStr">
        <is>
          <t>2015-07-08 06:18:27</t>
        </is>
      </c>
      <c r="H1092" t="inlineStr">
        <is>
          <t>Type 1</t>
        </is>
      </c>
    </row>
    <row r="1093">
      <c r="A1093" t="inlineStr">
        <is>
          <t>3ckrxc</t>
        </is>
      </c>
      <c r="B1093" t="inlineStr">
        <is>
          <t>13.9 a1c 3.5 months ago at Diagnosis, 5.4 today.</t>
        </is>
      </c>
      <c r="C1093" t="inlineStr">
        <is>
          <t>I was diagnosed as type 1 on March 18 of this year, with a fasting glucose of 290 and an a1c of 13.9.  I was put on 20u of Lantus taken at night, and put on a sliding scale for Humalog.  After doing some research, I almost immediately switched to carb counting, and narrowed it down to about a 1:15 carb ratio.
Today I went in and my a1c has dropped to 5.4.  I thought that was great, but the doctor told me that she thinks that is too low. She is worried that I am probably going low to often, and will not be able to feel my lows anymore.  I told her that I only go "low" once every week or two, and I usually start noticing it around the mid 60s.  She said with an a1c that low, I must be going hypo at night, but not realizing it.  She wants me to drop down to 18u Lantus, and going to a 1:20 carb ratio, but I think that will probably put me higher than I want to be.  I'm thinking about just lowering the lantus, but leaving my boluses as is.
So, what do you guys think.  Is an a1c of 5.4 TOO low?</t>
        </is>
      </c>
      <c r="D1093" t="n">
        <v>42</v>
      </c>
      <c r="E1093" t="n">
        <v>23</v>
      </c>
      <c r="F1093">
        <f>HYPERLINK("https://www.reddit.com/r/diabetes/comments/3ckrxc/139_a1c_35_months_ago_at_diagnosis_54_today/")</f>
        <v/>
      </c>
      <c r="G1093" t="inlineStr">
        <is>
          <t>2015-07-08 11:01:29</t>
        </is>
      </c>
      <c r="H1093" t="inlineStr">
        <is>
          <t>Type 1</t>
        </is>
      </c>
    </row>
    <row r="1094">
      <c r="A1094" t="inlineStr">
        <is>
          <t>3cldv7</t>
        </is>
      </c>
      <c r="B1094" t="inlineStr">
        <is>
          <t>Type II Diabetic, can't see a doctor until January and have some questions</t>
        </is>
      </c>
      <c r="C1094" t="inlineStr">
        <is>
          <t>My insurance is crappy in some ways but really good in other ways.  One of the ways it's crappy is that even though I live in a large city, the number of doctors I can see is very limited.  My doctor doesn't take their insurance (even though his staff told me they did...another story).  Other doctors anywhere near me either aren't taking new patients or have bad reputations.  So I'm just waiting it out until I can see my normal doctor.  Strangely I have better access to endocrinologists than I have to primary doctors, but I don't feel I need to see one of those.  Within five miles of me I can see 5 endocrinologists, 12 dermatologists, and exactly one primary care doctor who will not take new patients.  Crazy, huh?
So last December I was diagnosed.  A1C was 10.0%.  I got a meter and tested occasionally.  I made some very slight adjustments to what I ate and drank.  I didn't take it seriously for some reason.
In late March it finally clicked that this was something I needed to handle.  I called my doctor and made an appointment.  I started taking my metformin.  I changed the way I ate and drank drastically.  Started testing with the glucometer a lot.  A little less than two weeks later I go in to get my blood drawn in advance of my appointment.  A1C had dropped to 7.9%.  Progress, I guess.  But I'd only taken things seriously for a couple weeks.
So that was the last A1C test I've had.  I explained to my doctor why I couldn't see him until next open enrollment and showed him my numbers from my glucometer.  He agreed that if I stuck to it I could wait until January, but that if I saw my numbers go up or had any problems I should see another doctor.
So here's what my numbers have been like the last couple months.
I rarely see a post-meal high over 120.  They are usually closer to 110.  This is two hours post-meal, which my doctor suggested.  I know I peak earlier especially if I eat something without a lot of protein and fat, but he said I should also consider how my body deals with those peaks and that two hours was fine.
Fasting blood glucose is all over the place.  It averages out to the mid nineties.  In the last couple weeks it's been as high as 105 and as low as 84.  It seems the amount I sleep has a lot to do with what that number is, but sometimes I just have trouble sleeping.
If I test at a random time of day between meals, it's usually in the high 80s.  Occasionally higher...sometimes around 100.  Now and then it's lower, in the mid 70s or so but that doesn't happen often.
Sometimes I'll test an hour after meals just to see what's happening (my insurance is good in that it provides me with enough test strips to test five times a day).  I'll do this with "cheat meals".  I consider a cheat meal one that contains 50 or more carbs.   Last time I hate an 80 carb meal on my birthday.  An hour later I was at 168.  An hour after that I was at 117.  And my "before bed" test that night was 99, about four hours after I ate.
Overall the trend has been fewer high BG tests, but it seems the low BG tests aren't getting any better.  At one time it looked like I was heading for some nice 75 readings.  I hit that a couple times, but usually my lowest reading of the day is going to be in the mid 80s.
So I'm just wondering how you guys think I'm doing?  I found a site that estimates your A1C based on your capillary BG tests, and it has me at 5.2% over the last 90 days.  I don't know how much to trust it.  I have found some formulas online and have duplicated that number with spreadsheets, but I'm not sure how close math can get to a true lab test.
One last thing...
One thing I have not been able to do is exercise.  I had a cyst in a problematic part of my body.  That was removed last week and I should be able to finally exercise once the stitches are out.  I really haven't even been able to walk all this time.  Very sedentary.  But not for long!
So thoughts?  Advice?  I think I'm doing pretty well but I don't have a lot of experience with this. 
---
Edit:
Want to say thanks to everyone who responded.  What I was fearing was that multiple people would say "your A1C is probably way higher than you think it is".  That I wasn't doing as well as I thought.  Doesn't seem to be the case, though.</t>
        </is>
      </c>
      <c r="D1094" t="n">
        <v>2</v>
      </c>
      <c r="E1094" t="n">
        <v>24</v>
      </c>
      <c r="F1094">
        <f>HYPERLINK("https://www.reddit.com/r/diabetes/comments/3cldv7/type_ii_diabetic_cant_see_a_doctor_until_january/")</f>
        <v/>
      </c>
      <c r="G1094" t="inlineStr">
        <is>
          <t>2015-07-08 13:30:57</t>
        </is>
      </c>
      <c r="H1094" t="inlineStr">
        <is>
          <t>Type 2</t>
        </is>
      </c>
    </row>
    <row r="1095">
      <c r="A1095" t="inlineStr">
        <is>
          <t>3cnx5j</t>
        </is>
      </c>
      <c r="B1095" t="inlineStr">
        <is>
          <t>Somehow managed to suspend my pump while I slept. Anyone ever done it? Any thoughts on how to make sure it doesn't happen again?</t>
        </is>
      </c>
      <c r="C1095" t="inlineStr">
        <is>
          <t>I have had my pump for several years, yet somehow, after I went to bed last night, I somehow managed to suspend my pump. I woke up as some point, checked my sugar, was over 400, and when I went to do insulin, the "restart" screen came up. I was half asleep, but I restarted, bloused, and went back to bed. I woke up this morning and downloaded my pump data to see how long it was off for: 3 hours. It's terrifying I was without insulin for that long, especially because I was asleep when my pump was suspended. Any way to avoid this in the future? I know there's a way to lock the pump, but how difficult is it to unlock? I want to make sure my half asleep self can figure it out if I need to in the middle of the night.</t>
        </is>
      </c>
      <c r="D1095" t="n">
        <v>2</v>
      </c>
      <c r="E1095" t="n">
        <v>5</v>
      </c>
      <c r="F1095">
        <f>HYPERLINK("https://www.reddit.com/r/diabetes/comments/3cnx5j/somehow_managed_to_suspend_my_pump_while_i_slept/")</f>
        <v/>
      </c>
      <c r="G1095" t="inlineStr">
        <is>
          <t>2015-07-09 04:08:34</t>
        </is>
      </c>
      <c r="H1095" t="inlineStr">
        <is>
          <t>Type 1</t>
        </is>
      </c>
    </row>
    <row r="1096">
      <c r="A1096" t="inlineStr">
        <is>
          <t>3cqw1f</t>
        </is>
      </c>
      <c r="B1096" t="inlineStr">
        <is>
          <t>CGM in the mail, gonna get it tomorrow...any tips?</t>
        </is>
      </c>
      <c r="C1096" t="inlineStr">
        <is>
          <t xml:space="preserve">As some have seen in earlier posts I had a test run of a Dexcom a little while ago, and it was great.  Now I will have my own, any tips?  What have you learned over years of using it that may be beneficial? </t>
        </is>
      </c>
      <c r="D1096" t="n">
        <v>4</v>
      </c>
      <c r="E1096" t="n">
        <v>17</v>
      </c>
      <c r="F1096">
        <f>HYPERLINK("https://www.reddit.com/r/diabetes/comments/3cqw1f/cgm_in_the_mail_gonna_get_it_tomorrowany_tips/")</f>
        <v/>
      </c>
      <c r="G1096" t="inlineStr">
        <is>
          <t>2015-07-09 18:27:20</t>
        </is>
      </c>
      <c r="H1096" t="inlineStr">
        <is>
          <t>Type 1</t>
        </is>
      </c>
    </row>
    <row r="1097">
      <c r="A1097" t="inlineStr">
        <is>
          <t>3ctkw3</t>
        </is>
      </c>
      <c r="B1097" t="inlineStr">
        <is>
          <t>Newly Diagnosed 02/15</t>
        </is>
      </c>
      <c r="C1097" t="inlineStr">
        <is>
          <t xml:space="preserve">Hey
So, I stumbled on this forum a couple months ago in my research. I figured I would share my experience with all of you once I got a handle on everything. 
02/08/15; I went into the hospital with a massive abscess on my neck, about the size of half a grapefruit! The doctors started running tests to figure out what was wrong. We found my A1C was 12.9 and BG was around 450. Needless to say, that's when they asked me if I knew I was diabetic, no clue here! Four days, two CT scans, surgical draining of the abscess, 18 rounds of IV antibiotics, playing with needles on myself, and about 20 lab draws later I'm out! They sent me on my way with an RX for pens and needles. 
02/28/15; Abscess is almost completely gone! I visit my Endocrinologist and they slap a Dexcom on my for a trial week. It was love at first sight, I knew I needed one. After reviewing the results the Nurse Practitioner tells me I'm type 2 and puts me on Farxiga and Metformin. That's when I knew something was wrong. I'm 23 years old, 6'2" and 190 lbs! So I fired my Endo, threw out the script and found the best Endo in Metro Detroit. She ran the test my other Endo didn't and confirmed type 1. My GAD antibodies test showed a result of like 38, not normal!
03/15/15; My very own Dexcom comes in the mail!!!
Today 07/10/15; I just got the result from my current A1C test and am proud to report 5.2. Some might claim "honeymoon period", but I am confident it's due to my diligent carb counting and help from my CGM. 
Thanks for reading!
-Scott </t>
        </is>
      </c>
      <c r="D1097" t="n">
        <v>0</v>
      </c>
      <c r="E1097" t="n">
        <v>15</v>
      </c>
      <c r="F1097">
        <f>HYPERLINK("https://www.reddit.com/r/diabetes/comments/3ctkw3/newly_diagnosed_0215/")</f>
        <v/>
      </c>
      <c r="G1097" t="inlineStr">
        <is>
          <t>2015-07-10 10:45:49</t>
        </is>
      </c>
      <c r="H1097" t="inlineStr">
        <is>
          <t>Type 1</t>
        </is>
      </c>
    </row>
    <row r="1098">
      <c r="A1098" t="inlineStr">
        <is>
          <t>3cuq17</t>
        </is>
      </c>
      <c r="B1098" t="inlineStr">
        <is>
          <t>T1DM summer camp for kids</t>
        </is>
      </c>
      <c r="C1098" t="inlineStr">
        <is>
          <t>Hey guys! 
I am volunteering at Camp Conrad Chinnock this summer and thought that you guys would like to know about it.
It is a summer camp for T1DM kids only. I think it is such a great and safe place for children who may feel like they are the only T1DM. Many T1DM kids feel different from others at school and often can't go to summer camps because of the lack of medical professionals to watch their BGs and titrate their insulin appropriately.
More info below:
http://www.diabetescamping.org/</t>
        </is>
      </c>
      <c r="D1098" t="n">
        <v>8</v>
      </c>
      <c r="E1098" t="n">
        <v>9</v>
      </c>
      <c r="F1098">
        <f>HYPERLINK("https://www.reddit.com/r/diabetes/comments/3cuq17/t1dm_summer_camp_for_kids/")</f>
        <v/>
      </c>
      <c r="G1098" t="inlineStr">
        <is>
          <t>2015-07-10 15:52:45</t>
        </is>
      </c>
      <c r="H1098" t="inlineStr">
        <is>
          <t>Type 1</t>
        </is>
      </c>
    </row>
    <row r="1099">
      <c r="A1099" t="inlineStr">
        <is>
          <t>3cuups</t>
        </is>
      </c>
      <c r="B1099" t="inlineStr">
        <is>
          <t>Vegetarian Basal/Bolus Percentage</t>
        </is>
      </c>
      <c r="C1099" t="inlineStr">
        <is>
          <t>I'm on a Minimed pump, and when I went to see my doctor earlier this week, and she said the 'ideal' ratio for basal/bolus is 50/50. I'm at 67/33%. I'm a vegetarian and eat, tops, 140g/carbs a day. My A1C is 7.0, so I think I'm doing alright. Anyone else not the 'ideal?' Why bother changing it if it's working? Thanks guys!</t>
        </is>
      </c>
      <c r="D1099" t="n">
        <v>3</v>
      </c>
      <c r="E1099" t="n">
        <v>6</v>
      </c>
      <c r="F1099">
        <f>HYPERLINK("https://www.reddit.com/r/diabetes/comments/3cuups/vegetarian_basalbolus_percentage/")</f>
        <v/>
      </c>
      <c r="G1099" t="inlineStr">
        <is>
          <t>2015-07-10 16:30:44</t>
        </is>
      </c>
      <c r="H1099" t="inlineStr">
        <is>
          <t>Type 1</t>
        </is>
      </c>
    </row>
    <row r="1100">
      <c r="A1100" t="inlineStr">
        <is>
          <t>3cwxoj</t>
        </is>
      </c>
      <c r="B1100" t="inlineStr">
        <is>
          <t>Can I eat everything I want if I take the insulin for it?</t>
        </is>
      </c>
      <c r="C1100" t="inlineStr">
        <is>
          <t>Hey y'all.
I don't know if I'm sounding stupid or not to ask this. I have type 1 diabetes for a few months now, but I feel like I'm still not used to this new lifestyle. I often forget my insulin and i still eat everything I want. ( mostly junkfood. ) So I was just wondering what you guys think and if you have any advice for me. 
EDIT: Thank you guys so much for all the answers. I'll see my endo &amp;amp; dietician later on this month. So I will discuss this with them in dept :)</t>
        </is>
      </c>
      <c r="D1100" t="n">
        <v>8</v>
      </c>
      <c r="E1100" t="n">
        <v>28</v>
      </c>
      <c r="F1100">
        <f>HYPERLINK("https://www.reddit.com/r/diabetes/comments/3cwxoj/can_i_eat_everything_i_want_if_i_take_the_insulin/")</f>
        <v/>
      </c>
      <c r="G1100" t="inlineStr">
        <is>
          <t>2015-07-11 07:25:23</t>
        </is>
      </c>
      <c r="H1100" t="inlineStr">
        <is>
          <t>Type 1</t>
        </is>
      </c>
    </row>
    <row r="1101">
      <c r="A1101" t="inlineStr">
        <is>
          <t>3cx5oe</t>
        </is>
      </c>
      <c r="B1101" t="inlineStr">
        <is>
          <t>Diagnosed with Type 2 a little over three months ago, A1C &amp;gt;14. My wife and I changed everything. First followup A1C was 5.0 and we're thrilled.</t>
        </is>
      </c>
      <c r="C1101" t="inlineStr">
        <is>
          <t xml:space="preserve">This is just a celebratory post because we're so happy with the results. It's been a difficult couple of months, but the proof of our hard work makes us feel amazing. We're lucky and thankful to have this community to have been lurking in and learning from these past three months. 
EDIT : A thing my wife and I just discussed - some people work very, very hard and do all of the right things and they don't see the kind of results they want to see. My post was made in a moment of exuberance and I mean no disrespect to anyone having a difficult time. My intent was not to say, in any way, "look! all you have to do is do things right and it all gets better!". That must feel awful for someone who IS doing all the right things and still waking up with a fasting number higher than they can understand or seeing spikes that don't seem to make any sense. The struggle is real, and I sincerely recognize that comparatively speaking I have it very, very easy and not everyone is that lucky. </t>
        </is>
      </c>
      <c r="D1101" t="n">
        <v>16</v>
      </c>
      <c r="E1101" t="n">
        <v>30</v>
      </c>
      <c r="F1101">
        <f>HYPERLINK("https://www.reddit.com/r/diabetes/comments/3cx5oe/diagnosed_with_type_2_a_little_over_three_months/")</f>
        <v/>
      </c>
      <c r="G1101" t="inlineStr">
        <is>
          <t>2015-07-11 08:44:15</t>
        </is>
      </c>
      <c r="H1101" t="inlineStr">
        <is>
          <t>Type 2</t>
        </is>
      </c>
    </row>
    <row r="1102">
      <c r="A1102" t="inlineStr">
        <is>
          <t>3cxbkn</t>
        </is>
      </c>
      <c r="B1102" t="inlineStr">
        <is>
          <t>Perfect Storm aka pump &amp;amp; CGM conspired against me</t>
        </is>
      </c>
      <c r="C1102" t="inlineStr">
        <is>
          <t>Two days ago, my Dex transmitter malfunctioned and Dexcom had to send me a new one.  Yesterday was the only day I had to go without the CGM for a full 24 hours in the last year and a half.  What are the odds it's also the day I have my first bent cannula since starting the pump three months ago?  It didn't help that I also decided to eat a couple cookies and be lax about the carb counting.  Blergh!  459 last night, finally back to 150 and getting things squared away, but I do wonder where the insulin goes when the cannula is bent and nothing was leaking around the site.</t>
        </is>
      </c>
      <c r="D1102" t="n">
        <v>4</v>
      </c>
      <c r="E1102" t="n">
        <v>0</v>
      </c>
      <c r="F1102">
        <f>HYPERLINK("https://www.reddit.com/r/diabetes/comments/3cxbkn/perfect_storm_aka_pump_cgm_conspired_against_me/")</f>
        <v/>
      </c>
      <c r="G1102" t="inlineStr">
        <is>
          <t>2015-07-11 09:38:16</t>
        </is>
      </c>
      <c r="H1102" t="inlineStr">
        <is>
          <t>Type 1</t>
        </is>
      </c>
    </row>
    <row r="1103">
      <c r="A1103" t="inlineStr">
        <is>
          <t>3cxgfg</t>
        </is>
      </c>
      <c r="B1103" t="inlineStr">
        <is>
          <t>It's been 19 years!</t>
        </is>
      </c>
      <c r="C1103" t="inlineStr">
        <is>
          <t>I can't remember a time before being diabetic. And in all honesty, I can believe it's been 19 years already.
If any of you are dealing with a new diagnosis and are scared, overwhelmed, upset, angry, any or all of the above, don't stress. You'll get the hang of it.
I don't know if it gets easier, maybe we just get better at it. But I can say that I never stop learning, about this disease, about food and diet, about medicine and management.
Here's to the next 19 years!</t>
        </is>
      </c>
      <c r="D1103" t="n">
        <v>34</v>
      </c>
      <c r="E1103" t="n">
        <v>29</v>
      </c>
      <c r="F1103">
        <f>HYPERLINK("https://www.reddit.com/r/diabetes/comments/3cxgfg/its_been_19_years/")</f>
        <v/>
      </c>
      <c r="G1103" t="inlineStr">
        <is>
          <t>2015-07-11 10:20:13</t>
        </is>
      </c>
      <c r="H1103" t="inlineStr">
        <is>
          <t>Type 1</t>
        </is>
      </c>
    </row>
    <row r="1104">
      <c r="A1104" t="inlineStr">
        <is>
          <t>3cyos0</t>
        </is>
      </c>
      <c r="B1104" t="inlineStr">
        <is>
          <t>Super dumb question about the Dexcom Share</t>
        </is>
      </c>
      <c r="C1104" t="inlineStr">
        <is>
          <t xml:space="preserve">Ok, have had the dex for years, and also did Nightscout with the pebble watch, which was awesome too. Have an iPhone. Got the dexcom share but haven't taken it out of the box yet because numbers have been good so haven't been using the dex lately. Anyhow, when you use the dexcom share do you still have to carry the receiver or can the transmitter transmit directly to my iPhone and can I leave the dex at home? Thanks </t>
        </is>
      </c>
      <c r="D1104" t="n">
        <v>3</v>
      </c>
      <c r="E1104" t="n">
        <v>7</v>
      </c>
      <c r="F1104">
        <f>HYPERLINK("https://www.reddit.com/r/diabetes/comments/3cyos0/super_dumb_question_about_the_dexcom_share/")</f>
        <v/>
      </c>
      <c r="G1104" t="inlineStr">
        <is>
          <t>2015-07-11 16:55:08</t>
        </is>
      </c>
      <c r="H1104" t="inlineStr">
        <is>
          <t>Type 1</t>
        </is>
      </c>
    </row>
    <row r="1105">
      <c r="A1105" t="inlineStr">
        <is>
          <t>3d23bp</t>
        </is>
      </c>
      <c r="B1105" t="inlineStr">
        <is>
          <t>Has anyone ever tried "The 22-day revolution" plant-based/vegan diet [type 1]</t>
        </is>
      </c>
      <c r="C1105" t="inlineStr">
        <is>
          <t>http://www.amazon.com/The-22-Day-Revolution-Plant-Based-Transform/dp/0451474848
My wife just got this book and wants to try this, which means I will be trying it as well. I've never tried anything other than an "eat basically whatever I want but try to not overdo it" but that being said I could be doing much better. A1c around 9, which i'm working on bringing down, and I could certainly stand to lose 25lbs or so. 
I know there are plenty of people who absolutely love Paleo and Keto, just curious if any other Type-1's had ever tried this one.
thanks!</t>
        </is>
      </c>
      <c r="D1105" t="n">
        <v>0</v>
      </c>
      <c r="E1105" t="n">
        <v>1</v>
      </c>
      <c r="F1105">
        <f>HYPERLINK("https://www.reddit.com/r/diabetes/comments/3d23bp/has_anyone_ever_tried_the_22day_revolution/")</f>
        <v/>
      </c>
      <c r="G1105" t="inlineStr">
        <is>
          <t>2015-07-12 15:15:49</t>
        </is>
      </c>
      <c r="H1105" t="inlineStr">
        <is>
          <t>Type 1</t>
        </is>
      </c>
    </row>
    <row r="1106">
      <c r="A1106" t="inlineStr">
        <is>
          <t>3d2s41</t>
        </is>
      </c>
      <c r="B1106" t="inlineStr">
        <is>
          <t>Hippity Dippity, the Dexcom shows my control is crap!</t>
        </is>
      </c>
      <c r="C1106" t="inlineStr">
        <is>
          <t xml:space="preserve">Well, sum of the matter is I got my dexcom and hooked up last friday and for the most part my control is shit.  It's everywhere, I have been as high as 280 today and as low as 60.  I am going to try and go the rest of the week before I make any changes to my insulin, hopefully more data can show patterns and give me somewhere to go!
As of now, it seems:
Dinner carb ratio WRONG
nighttime basil WRONG
mid afternoon basil WRONG
blah blah its all wrong and its all frustrating. my A1c may be a 6.1 but if it stays like it right now im scared to see my A1c in 3 months.  
I think its time to bust out think like a pancreas and run some of those tests again. </t>
        </is>
      </c>
      <c r="D1106" t="n">
        <v>15</v>
      </c>
      <c r="E1106" t="n">
        <v>21</v>
      </c>
      <c r="F1106">
        <f>HYPERLINK("https://www.reddit.com/r/diabetes/comments/3d2s41/hippity_dippity_the_dexcom_shows_my_control_is/")</f>
        <v/>
      </c>
      <c r="G1106" t="inlineStr">
        <is>
          <t>2015-07-12 18:47:00</t>
        </is>
      </c>
      <c r="H1106" t="inlineStr">
        <is>
          <t>Type 1</t>
        </is>
      </c>
    </row>
    <row r="1107">
      <c r="A1107" t="inlineStr">
        <is>
          <t>3d7vz3</t>
        </is>
      </c>
      <c r="B1107" t="inlineStr">
        <is>
          <t>I can blame T1 for stress related lack of sleep right?</t>
        </is>
      </c>
      <c r="C1107" t="inlineStr">
        <is>
          <t xml:space="preserve">^If I can't doctors need to get that shit fixed(I know stress and sleep are related I just want to rant.) I can't sleep and I have to work the midnight shift in 3 hours. I can't sleep because when I laid down to rest, I was overcome with thoughts. Mostly thoughts that were dark, sad, and blue, (only as an expression, I'm actually quite fond of blue), but these thoughts have been happening too often for too long. I was diagnosed with T1 when I was 7 and I am 22 now, and I've spent too long feeling wronged and bitching about it being unfair, I've spent too long whining, moping, developing bad habits and generally not coping. My last A1C was 8.1, which was an improvement of the previous which was 9.0 and a few years back arent much more impressive than those. Too many nights I've gone to bed happy and never made it to an easy sleep due to stressing or crying, not like, every night mind you but it's been too often lately. Alcohol is a 50/50 chance of a bit of happy-go-lucky waterworks before bed lately, which I'm actually thankful for because it's one of the habits I'm now actively trying to get rid of. I use to love beers with friends and the rugby team, but I can no longer (and probably never really could) tolerate games to get drunk, or drinking with the goal of getting drunk. Hell, I don't even really care for any more than maybe 2 pints every now and then. I picked up a bit of a pot habit when I was 19, decided I liked it due to being able to laugh a lot more. Lately I've been using it mostly as an alternative though (I find it does have a lot of neat little niches for a T1, like being sick not able to keep down food battling lows...thank you Mary Jane.) and when I do opt for an alternative to advil, gravol, and the (less often than they were) times where I just want to relax, I vaporize the stuff now. Around 90/95% of the time anyway, but I don't want to turn this into a yay! Pot! kind of post.
I remember when I was diagnosed, my family and friends that came to the hospital, I remember being relatively curious and not feeling like it was a big deal that I had to take shots every day. I wish I still had the optimism 7 year old me had. 7 year old me did not think 22 year old me would be a mess that cries before sleep every now and then, never thought future me would pick up beer and alcohol habits that have landed me in the ER once directly. I didn't think I would use T1 like a crutch to feel sorry for myself for. I blame it for everything, and it also causes me to be afraid of a great many things. I bite back a lot of tears and emotions at weddings now, because I probably won't ever allow myself one. I can't open myself up to even my family anymore but it's happened once or twice recently, only because I finally broke down in front of my parents. I'm only recently finally started to get stubborn and optimistic again, I say stubborn because there have been a couple very unpleasant thoughts of late, and here and there since high school. I do not want to die knowing I sat idle and helped hurried along with a bit of self destruction. I want to say I spent my whole goddamn life swinging. I've picked myself up every time I've fallen so far, and I'm going to continue to do so. I've started recently counting carbs properly, exercising intensely/regularly, and plan to get my A1C to 7 for the next one, and between 6/7 on the reg by the years end. Also looking into a pump as I'm still using pens. Optimistically (not that that's me too often anymore) I'd like to get there immediately, but when I get there I'm going to do my damnedest to stay. 
I'm u/DamnitCyril, and if I get my way I am going to be around a lot longer than I damn well should be. </t>
        </is>
      </c>
      <c r="D1107" t="n">
        <v>6</v>
      </c>
      <c r="E1107" t="n">
        <v>6</v>
      </c>
      <c r="F1107">
        <f>HYPERLINK("https://www.reddit.com/r/diabetes/comments/3d7vz3/i_can_blame_t1_for_stress_related_lack_of_sleep/")</f>
        <v/>
      </c>
      <c r="G1107" t="inlineStr">
        <is>
          <t>2015-07-13 22:05:54</t>
        </is>
      </c>
      <c r="H1107" t="inlineStr">
        <is>
          <t>Type 1</t>
        </is>
      </c>
    </row>
    <row r="1108">
      <c r="A1108" t="inlineStr">
        <is>
          <t>3d86v3</t>
        </is>
      </c>
      <c r="B1108" t="inlineStr">
        <is>
          <t>HbA1c at 6.4% !</t>
        </is>
      </c>
      <c r="C1108" t="inlineStr">
        <is>
          <t>At the endo today and my A1c was at 6.4% down from 6.8% from 3 months ago and from my highest at 9.3%. I got a dexcom about two months ago and a pump a few weeks ago. I rarely go over 200 now that I'm on a pump.</t>
        </is>
      </c>
      <c r="D1108" t="n">
        <v>20</v>
      </c>
      <c r="E1108" t="n">
        <v>4</v>
      </c>
      <c r="F1108">
        <f>HYPERLINK("https://www.reddit.com/r/diabetes/comments/3d86v3/hba1c_at_64/")</f>
        <v/>
      </c>
      <c r="G1108" t="inlineStr">
        <is>
          <t>2015-07-14 00:06:46</t>
        </is>
      </c>
      <c r="H1108" t="inlineStr">
        <is>
          <t>Type 1</t>
        </is>
      </c>
    </row>
    <row r="1109">
      <c r="A1109" t="inlineStr">
        <is>
          <t>3d8hc1</t>
        </is>
      </c>
      <c r="B1109" t="inlineStr">
        <is>
          <t>Sugars have been crazy lately, wondering if I should get off of U-500.</t>
        </is>
      </c>
      <c r="C1109" t="inlineStr">
        <is>
          <t>It’s 4am and I’m awake. My blood glucose is over 400. My sugars have been absolutely out of control lately. Looking at my Dexcom data, it truly looks like a roller coaster, with some of my settings shooting up or down 300 or more points in the course of an hour. And I’ve been feeling terrible. Increasingly, I’m suspecting that using this U-500 insulin may just not be for me. I switched to it last year on my endo's advice because I was chaining my Animas cartridge out every 1-1.5 days.  But I'm wondering if the effect of U-500 to last up to 24 hours isn't causing me more issues than it's worth. Since it takes longer to leave the system, there really isn’t an accurate “Insulin on Board” reading, making it far too easy to stack my insulin. Additionally, it takes a bit longer to reach it’s peak effect, meaning that if I don’t give myself ample time prior to eating, my insulin doesn’t take effect and my sugar shoots up.
I’m in a bit of a quandary now trying to decide on my next investment for diabetes tech. Up to this point, I’ve been waiting on the Tandem t:slim pump to gain Dexcom integration. It’s just waiting on FDA approval. I’ve always felt it would be very neat to carry one device around instead of two and to have my Dexcom readings right there in my pump. However, the Dexcom G5 sensor, which packs in Bluetooth and allows the transmitter to send readings directly to an iPhone, is also waiting on FDA approval. At this point, moving to any system that doesn’t include Dexcom Share is a nonstarter. My wife has become too accustomed to seeing my readings while she’s at work, and I’ve come to enjoy having all of my blood sugar readings report to the iOS Health app via HealthKit. I don’t believe the Dexcom-enabled t:slim would enable me that.
I’m wondering now if I should consider going ahead and moving to the new Tandem pump, the t:flex, which has a 480 unit insulin capacity. I could get off of the U-500 insulin and go back to Humalog or Novolog, and just keep my current Dexcom configuration. Then, whenever the Bluetooth-enabled Dexcom G5 comes out, I could move to that. I wouldn’t have my Dexcom readings in my insulin pump, but I would have them in my phone and not have to carry around the Dexcom Receiver. My readings would still be shared with Melissa and reported to the Health app via HealthKit.
Before I bring this up with my endocrinologist, what do you guys think?</t>
        </is>
      </c>
      <c r="D1109" t="n">
        <v>5</v>
      </c>
      <c r="E1109" t="n">
        <v>4</v>
      </c>
      <c r="F1109">
        <f>HYPERLINK("https://www.reddit.com/r/diabetes/comments/3d8hc1/sugars_have_been_crazy_lately_wondering_if_i/")</f>
        <v/>
      </c>
      <c r="G1109" t="inlineStr">
        <is>
          <t>2015-07-14 02:28:11</t>
        </is>
      </c>
      <c r="H1109" t="inlineStr">
        <is>
          <t>Type 1</t>
        </is>
      </c>
    </row>
    <row r="1110">
      <c r="A1110" t="inlineStr">
        <is>
          <t>3d8lri</t>
        </is>
      </c>
      <c r="B1110" t="inlineStr">
        <is>
          <t>[Type 2] Dealing with alcohol? (Aussies? Kiwis?)</t>
        </is>
      </c>
      <c r="C1110" t="inlineStr">
        <is>
          <t>Hi all,
Recently re-diagnosed with my type 2, at age 28, originally found out a few years back but rebelled due to mis-management and me being ignorant about it.
My question is around alcohol, i'm not a big drinker (only at parties/going out once a couple of months) and I don't drink on a Friday for "afternoon beers" nor do I drink at home.
However I would like to understand more about drinking when say going to a bar for a meal or to catch up with friends?
I'm assuming I want to aim for the obvious, low carb beer, spirits with sugar-free mixers?
From what i've skimmed on this subject, as long as you balance these out with some type of food it will avoid going low? Assuming just test,test,test after to ensure it's going good?
Now for a bigger question, in NZ anyways, an average guy would drink between 6-12 beers if they were really celebrating. I don't intend to do this ever again as getting drunk isn't that enjoyable and could be dangerous (forgetting to eat or even overeat wrong foods + missing insulin etc)
But apart from those two last points, what would you do to ensure you get a good buzz but stay safe?
For what it's worth, i'm currently on 15 units each night of Protophane and 2x 500mg Metformin each day.
I'm only 1 week into insulin so working with my clinic on the numbers and food but was just interested to hear from type 2's actually out there doing it.
(sorry if I sound crazy/silly, and no offense intended, but if you can keep the usual FAQ/guides and comments regarding damage etc away that would be great, i've read everything linked to me on other forums so i'm well aware.)</t>
        </is>
      </c>
      <c r="D1110" t="n">
        <v>2</v>
      </c>
      <c r="E1110" t="n">
        <v>15</v>
      </c>
      <c r="F1110">
        <f>HYPERLINK("https://www.reddit.com/r/diabetes/comments/3d8lri/type_2_dealing_with_alcohol_aussies_kiwis/")</f>
        <v/>
      </c>
      <c r="G1110" t="inlineStr">
        <is>
          <t>2015-07-14 03:25:53</t>
        </is>
      </c>
      <c r="H1110" t="inlineStr">
        <is>
          <t>Type 2</t>
        </is>
      </c>
    </row>
    <row r="1111">
      <c r="A1111" t="inlineStr">
        <is>
          <t>3d9uws</t>
        </is>
      </c>
      <c r="B1111" t="inlineStr">
        <is>
          <t>Question regarding fruit's effect on blood sugars</t>
        </is>
      </c>
      <c r="C1111" t="inlineStr">
        <is>
          <t>I am curious what the experience with other type 2s is with fruit and squash.
I was able to go from a 11.5 to a 5.8 A1C in 3 months by sticking to a strictly ketogenic diet (a few lapses but everything as low carb as possible). 
I am interested in expanding my diet out to some more carb rich vegetables and fruit and am just curious what people have noticed in their sugars after eating squash, apples, plums, that kinda thing.</t>
        </is>
      </c>
      <c r="D1111" t="n">
        <v>6</v>
      </c>
      <c r="E1111" t="n">
        <v>12</v>
      </c>
      <c r="F1111">
        <f>HYPERLINK("https://www.reddit.com/r/diabetes/comments/3d9uws/question_regarding_fruits_effect_on_blood_sugars/")</f>
        <v/>
      </c>
      <c r="G1111" t="inlineStr">
        <is>
          <t>2015-07-14 10:03:08</t>
        </is>
      </c>
      <c r="H1111" t="inlineStr">
        <is>
          <t>Type 2</t>
        </is>
      </c>
    </row>
    <row r="1112">
      <c r="A1112" t="inlineStr">
        <is>
          <t>3da6hf</t>
        </is>
      </c>
      <c r="B1112" t="inlineStr">
        <is>
          <t>A bit of a celebration</t>
        </is>
      </c>
      <c r="C1112" t="inlineStr">
        <is>
          <t>I was diagnosed as Type 2 in April with an A1C of 6.6. I went in for a followup visit and more tests last Friday. My A1C is now 5.5 and I'm down 17 pounds. I went on a lean and low carb diet (I'm trying to stay below 40 grams of carbs a day) when I was diagnosed and it appears to be working. I'm almost half way to my weight loss goal and shaving a little more off the A1C won't hurt my feelings a bit. I'm happy, my wife's happy, the cat doesn't care one way or the other.</t>
        </is>
      </c>
      <c r="D1112" t="n">
        <v>8</v>
      </c>
      <c r="E1112" t="n">
        <v>8</v>
      </c>
      <c r="F1112">
        <f>HYPERLINK("https://www.reddit.com/r/diabetes/comments/3da6hf/a_bit_of_a_celebration/")</f>
        <v/>
      </c>
      <c r="G1112" t="inlineStr">
        <is>
          <t>2015-07-14 11:22:03</t>
        </is>
      </c>
      <c r="H1112" t="inlineStr">
        <is>
          <t>Type 2</t>
        </is>
      </c>
    </row>
    <row r="1113">
      <c r="A1113" t="inlineStr">
        <is>
          <t>3daahp</t>
        </is>
      </c>
      <c r="B1113" t="inlineStr">
        <is>
          <t>Just got diagnosed with T2 diabetes a few weeks ago, but Metformin really is doing nothing.</t>
        </is>
      </c>
      <c r="C1113" t="inlineStr">
        <is>
          <t>i went to the urgent care a month ago feeling like garbage and they diagnosed me with diabetes (I also had metabolic acidosis). My fasting then was 340, my fasting now is 340. I am on 2000mg of Metformin a day and it doesn't seem to be doing much except upset my stomach. I just moved so I have to establish a PCP but can't see them until the end of August. The people at the ER gave me no dietary advice and gave me no information on what I should expect. My A1C was 12.5 and I am a little worried oral meds aren't going to be enough. I've been eating low carb and still can't bring it down. How low does it have to be to be considered "controlled?" If I have type 2 and take insulin will I ever be able to still "reverse" it? Right now it's so hard to exercise because I am constantly so tired. Also I am male, 32yo, 6'1" 230lbs so I can definitely lose some weight. Problem is I am on planes all the time and always traveling. Getting exercise it is difficulty for me even if I wasn't too tired to do it.</t>
        </is>
      </c>
      <c r="D1113" t="n">
        <v>3</v>
      </c>
      <c r="E1113" t="n">
        <v>46</v>
      </c>
      <c r="F1113">
        <f>HYPERLINK("https://www.reddit.com/r/diabetes/comments/3daahp/just_got_diagnosed_with_t2_diabetes_a_few_weeks/")</f>
        <v/>
      </c>
      <c r="G1113" t="inlineStr">
        <is>
          <t>2015-07-14 11:49:36</t>
        </is>
      </c>
      <c r="H1113" t="inlineStr">
        <is>
          <t>Type 2</t>
        </is>
      </c>
    </row>
    <row r="1114">
      <c r="A1114" t="inlineStr">
        <is>
          <t>3dang4</t>
        </is>
      </c>
      <c r="B1114" t="inlineStr">
        <is>
          <t>Lada type 1 Do I need to worry about my kids?</t>
        </is>
      </c>
      <c r="C1114" t="inlineStr">
        <is>
          <t xml:space="preserve">I was diagnosed as a LADA type 1 at age 32. Can I pass type 1 onto my children? My guess is yes. I have the antibodies like any other type 1 the attack just started late? 
sorry if I am seriously misinformed. </t>
        </is>
      </c>
      <c r="D1114" t="n">
        <v>6</v>
      </c>
      <c r="E1114" t="n">
        <v>13</v>
      </c>
      <c r="F1114">
        <f>HYPERLINK("https://www.reddit.com/r/diabetes/comments/3dang4/lada_type_1_do_i_need_to_worry_about_my_kids/")</f>
        <v/>
      </c>
      <c r="G1114" t="inlineStr">
        <is>
          <t>2015-07-14 13:16:41</t>
        </is>
      </c>
      <c r="H1114" t="inlineStr">
        <is>
          <t>Type 1.5/LADA</t>
        </is>
      </c>
    </row>
    <row r="1115">
      <c r="A1115" t="inlineStr">
        <is>
          <t>3dba0k</t>
        </is>
      </c>
      <c r="B1115" t="inlineStr">
        <is>
          <t>My fellow T1 Diabetics, what is your career?</t>
        </is>
      </c>
      <c r="C1115" t="inlineStr">
        <is>
          <t>Question for all of my fellow T1's who were diagnosed as a child and are now adults with careers. What do you do and why? Did diabetes have an effect on your career path? Were you able to follow your dream or was your dream job affected by having T1?
I ask because for as long as I've been alive I've always wanted to be in Law Enforcement and/or join the military. When I was 18-20 years old I tried joining both and was told NO DIABETES DISQUALIFIES YOU! No in my older years I am in a career that I am really not happy in and as I approach 40 I really am at a cross roads as to what to do next with my life. I still would love to join a law enforcement career but fear I am too old.
EDIT: Great stories from everyone! Thanks for all of the feedback! Keep it coming!</t>
        </is>
      </c>
      <c r="D1115" t="n">
        <v>25</v>
      </c>
      <c r="E1115" t="n">
        <v>72</v>
      </c>
      <c r="F1115">
        <f>HYPERLINK("https://www.reddit.com/r/diabetes/comments/3dba0k/my_fellow_t1_diabetics_what_is_your_career/")</f>
        <v/>
      </c>
      <c r="G1115" t="inlineStr">
        <is>
          <t>2015-07-14 15:57:33</t>
        </is>
      </c>
      <c r="H1115" t="inlineStr">
        <is>
          <t>Type 1</t>
        </is>
      </c>
    </row>
    <row r="1116">
      <c r="A1116" t="inlineStr">
        <is>
          <t>3dbb09</t>
        </is>
      </c>
      <c r="B1116" t="inlineStr">
        <is>
          <t>Why does taking medication for diabetes (Metformin, Invokana) cause me to have very long periods despite birth control? (Cross-posted to Ask a Doctor)</t>
        </is>
      </c>
      <c r="C1116" t="inlineStr">
        <is>
          <t xml:space="preserve">Hi everyone,
I'm having a really worrying medical problem that I hope you can help me with.
I was diagnosed with type two diabetes about a year and a half ago. When was first diagnosed I took insulin and my menstrual cycle was normal-for me anyway, 8 to 9 days and very painful cramping. I was able to skip my period with pills or the Nuvaring, my preferred birth control.
Some info about me: Caucasian, 34 years old, 30 pounds overweight but losing weight due to Invokana, experiencing prolonged menstruation for more than eight weeks, live in the US, have type 2 diabetes, had one ovary removed at age 19.
Unfortunately my blood sugar was still out of control with insulin and it made me gain weight, so I tried Metformin (for about 9 months) which I quit due to severe nausea and exhaustion. I'm now taking Invokana and having good numbers with my blood sugar. The menstrual bleeding is my only side effect.
My problem is, with both of these pills, I had/have extremely long, heavy periods. I would have periods of 9 to 14 days on Metformin while using a new Nuvaring every 21 days.
I've currently been bleeding on and off for over two months(!)--basically, since I started the Invokana.
I've seen my gynecologist twice about this as well as my GP and they both agree that my reproductive health is fine, it's just a reaction to the medications.
The gynecologist gave me a prescription for the generic version of Seasonique, since I was bleeding so much on the Nuvaring with either Metformin or Invokana.
Unfortunately, the bleeding still hasn't stopped after 4 weeks on the pill. This is a problem for more than the obvious reasons--the annoyance of a ridiculously long period and cramps.
When I was 19, I developed two non-cancerous tumors on my left ovary and it had to be removed. I'm supposed to take birth control to prevent the formation of more tumors. Because my periods are very painful since the loss of my ovary, I use birth control to skip them entirely.
Also, a lot of other diabetes medications are off-limits to me due to the risk of pancreatitis--I once had pancreatitis induced by an epilepsy medication. I no longer have epilepsy (I had a normal EEG six years ago and have been fine since) and don't have to take seizure medication anymore.
Can anyone point me in the right direction here? Is this caused by low estrogen, low progesterone, or both? Or is there another issue that I should be looking into?
Thank you so much for any advice that you can give me!
</t>
        </is>
      </c>
      <c r="D1116" t="n">
        <v>4</v>
      </c>
      <c r="E1116" t="n">
        <v>12</v>
      </c>
      <c r="F1116">
        <f>HYPERLINK("https://www.reddit.com/r/diabetes/comments/3dbb09/why_does_taking_medication_for_diabetes_metformin/")</f>
        <v/>
      </c>
      <c r="G1116" t="inlineStr">
        <is>
          <t>2015-07-14 16:04:59</t>
        </is>
      </c>
      <c r="H1116" t="inlineStr">
        <is>
          <t>Type 2</t>
        </is>
      </c>
    </row>
    <row r="1117">
      <c r="A1117" t="inlineStr">
        <is>
          <t>3dc1go</t>
        </is>
      </c>
      <c r="B1117" t="inlineStr">
        <is>
          <t>Getting bloodwork done in the morning, very nervous about getting a diabetes diagnosis</t>
        </is>
      </c>
      <c r="C1117" t="inlineStr">
        <is>
          <t xml:space="preserve">I'm a 21 year old female who's less than sedentary and a few pounds overweight. I've been having this weird symptom lately where I will get random numbness, pins and needles, then slight pain in my legs, arms, fingers, toes, and face. My doctor ordered bloodwork today, as it could be a possible sign of undetected diabetes. I'm really nervous I'm going to be diagnosed diabetic or pre-diabetic. I've never really noticed frequent urination, weight loss or any of the other symptoms, but I have had a few episodes in the past few years that mimic hypoglycemia attacks. Any words of consolation or advice? </t>
        </is>
      </c>
      <c r="D1117" t="n">
        <v>7</v>
      </c>
      <c r="E1117" t="n">
        <v>14</v>
      </c>
      <c r="F1117">
        <f>HYPERLINK("https://www.reddit.com/r/diabetes/comments/3dc1go/getting_bloodwork_done_in_the_morning_very/")</f>
        <v/>
      </c>
      <c r="G1117" t="inlineStr">
        <is>
          <t>2015-07-14 19:31:51</t>
        </is>
      </c>
      <c r="H1117" t="inlineStr">
        <is>
          <t>Type 2</t>
        </is>
      </c>
    </row>
    <row r="1118">
      <c r="A1118" t="inlineStr">
        <is>
          <t>3ddcc7</t>
        </is>
      </c>
      <c r="B1118" t="inlineStr">
        <is>
          <t>Diabetic ketoacidosis without hyperglycemia on low carb diets- why does it happen?</t>
        </is>
      </c>
      <c r="C1118" t="inlineStr">
        <is>
          <t>I've heard about people saying that low carb diets (like keto) could and do put people in DKA. The body can produce the carbs it needs  gluconeogenesis. If a diabetic person then takes insulin to keep their blood glucose in a good range and goes on a very low carb diet, how can the person get ketoacidosis? I know that the person will burn fat and that way get ketones, like any "normal" person, how does it differ in a type 1 diabetic? 
Hopefully someone here knows the answer! :)</t>
        </is>
      </c>
      <c r="D1118" t="n">
        <v>11</v>
      </c>
      <c r="E1118" t="n">
        <v>20</v>
      </c>
      <c r="F1118">
        <f>HYPERLINK("https://www.reddit.com/r/diabetes/comments/3ddcc7/diabetic_ketoacidosis_without_hyperglycemia_on/")</f>
        <v/>
      </c>
      <c r="G1118" t="inlineStr">
        <is>
          <t>2015-07-15 04:26:47</t>
        </is>
      </c>
      <c r="H1118" t="inlineStr">
        <is>
          <t>Type 1</t>
        </is>
      </c>
    </row>
    <row r="1119">
      <c r="A1119" t="inlineStr">
        <is>
          <t>3de8qh</t>
        </is>
      </c>
      <c r="B1119" t="inlineStr">
        <is>
          <t>Getting warm pain/pressure in my left eye - start of retinopathy?</t>
        </is>
      </c>
      <c r="C1119" t="inlineStr">
        <is>
          <t>First and foremost, I have an appointment in two weeks with the ophthalmologist, so I am going to see a doctor, just wanted feedback on what it could be first.
For about a month, I was busy with work and dealing with a breakup and my diabetes care went to hell. I ate whatever I wanted, measured my BG about once a day and just gave myself some willy-nilly amount of insulin. It was running usually about 250-350 mg/dl (13.8-19.4 mmol/l).
Started feeling signs of neuropathy - burning sensation all over my skin and this eye thing (more on that in a bit), so I got back on the wagon, per se. I'm back down to 60 carbs per meal, carefully planned out insulin amounts and daily exercise. About two weeks have past, I'm finally getting my levels back down to healthy amounts and fine-tuning my insulin amounts. The burning senstation is gone, but the eye things is still there.
So, I feel like a warm pressure around my left eye only. Sometimes it hurts, like it feels like something is inside my eye. That side of my vision also feels dark and blurry, but when I cover my right eye, I can see normally out of it.
It comes and goes, feels much better since my BG levels have returned to healthy levels but still there at times. Is this retinopathy or something else?</t>
        </is>
      </c>
      <c r="D1119" t="n">
        <v>8</v>
      </c>
      <c r="E1119" t="n">
        <v>4</v>
      </c>
      <c r="F1119">
        <f>HYPERLINK("https://www.reddit.com/r/diabetes/comments/3de8qh/getting_warm_painpressure_in_my_left_eye_start_of/")</f>
        <v/>
      </c>
      <c r="G1119" t="inlineStr">
        <is>
          <t>2015-07-15 09:14:22</t>
        </is>
      </c>
      <c r="H1119" t="inlineStr">
        <is>
          <t>Type 1</t>
        </is>
      </c>
    </row>
    <row r="1120">
      <c r="A1120" t="inlineStr">
        <is>
          <t>3dewgo</t>
        </is>
      </c>
      <c r="B1120" t="inlineStr">
        <is>
          <t>Low-carb diet</t>
        </is>
      </c>
      <c r="C1120" t="inlineStr">
        <is>
          <t xml:space="preserve">I was wondering whether anyone had some low-carb diet recommendations as a way of getting my blood glucose under control and hopefully lower my insulin dosage! 
</t>
        </is>
      </c>
      <c r="D1120" t="n">
        <v>4</v>
      </c>
      <c r="E1120" t="n">
        <v>21</v>
      </c>
      <c r="F1120">
        <f>HYPERLINK("https://www.reddit.com/r/diabetes/comments/3dewgo/lowcarb_diet/")</f>
        <v/>
      </c>
      <c r="G1120" t="inlineStr">
        <is>
          <t>2015-07-15 11:59:53</t>
        </is>
      </c>
      <c r="H1120" t="inlineStr">
        <is>
          <t>Type 1</t>
        </is>
      </c>
    </row>
    <row r="1121">
      <c r="A1121" t="inlineStr">
        <is>
          <t>3dg5qt</t>
        </is>
      </c>
      <c r="B1121" t="inlineStr">
        <is>
          <t>Symptoms of Insulin Resistance in T1? (T1 for 34 yrs, pump/cgm)</t>
        </is>
      </c>
      <c r="C1121" t="inlineStr">
        <is>
          <t>Hi all. I usually lurk, but I'm popping up again with a question. I started cutting down on carbs several months ago because my bg was a bit out of wack. At first it was great and my bg came into line, but now it's completely off the charts, going extremely high every time I eat, even when the meal doesn't include more than 4 or 5 grams of carb. I'm 50 and female, so menopause may be a factor, but I'm wondering if this is insulin resistance? Does anyone have experience with T1 and insulin resistance? How are you handling it and how did you get confirmation of it?</t>
        </is>
      </c>
      <c r="D1121" t="n">
        <v>4</v>
      </c>
      <c r="E1121" t="n">
        <v>14</v>
      </c>
      <c r="F1121">
        <f>HYPERLINK("https://www.reddit.com/r/diabetes/comments/3dg5qt/symptoms_of_insulin_resistance_in_t1_t1_for_34/")</f>
        <v/>
      </c>
      <c r="G1121" t="inlineStr">
        <is>
          <t>2015-07-15 17:33:37</t>
        </is>
      </c>
      <c r="H1121" t="inlineStr">
        <is>
          <t>Type 1</t>
        </is>
      </c>
    </row>
    <row r="1122">
      <c r="A1122" t="inlineStr">
        <is>
          <t>3dgg3b</t>
        </is>
      </c>
      <c r="B1122" t="inlineStr">
        <is>
          <t>Metformin in Pre Diabetes</t>
        </is>
      </c>
      <c r="C1122" t="inlineStr">
        <is>
          <t xml:space="preserve">I have recently been diagnosed with pre-diabetes and was given Metformin in conjunction with a weight loss plan.
My question is, if I loose sufficient weight and get my insulin and glucose levels to return to a healthy range, can I come off the Metformin? I'm hoping to not have to take this for too long. </t>
        </is>
      </c>
      <c r="D1122" t="n">
        <v>6</v>
      </c>
      <c r="E1122" t="n">
        <v>13</v>
      </c>
      <c r="F1122">
        <f>HYPERLINK("https://www.reddit.com/r/diabetes/comments/3dgg3b/metformin_in_pre_diabetes/")</f>
        <v/>
      </c>
      <c r="G1122" t="inlineStr">
        <is>
          <t>2015-07-15 19:00:45</t>
        </is>
      </c>
      <c r="H1122" t="inlineStr">
        <is>
          <t>Type 2</t>
        </is>
      </c>
    </row>
    <row r="1123">
      <c r="A1123" t="inlineStr">
        <is>
          <t>3dizt7</t>
        </is>
      </c>
      <c r="B1123" t="inlineStr">
        <is>
          <t>NYC Diabetes!</t>
        </is>
      </c>
      <c r="C1123" t="inlineStr">
        <is>
          <t xml:space="preserve">Hi All,
T1D living in NYC here and participating in the Walk this September! Any fellow NYC Type 1's looking to register and support would be awesome!!!!!!
walk.jdrf.org/manhattan
</t>
        </is>
      </c>
      <c r="D1123" t="n">
        <v>11</v>
      </c>
      <c r="E1123" t="n">
        <v>4</v>
      </c>
      <c r="F1123">
        <f>HYPERLINK("https://www.reddit.com/r/diabetes/comments/3dizt7/nyc_diabetes/")</f>
        <v/>
      </c>
      <c r="G1123" t="inlineStr">
        <is>
          <t>2015-07-16 10:35:34</t>
        </is>
      </c>
      <c r="H1123" t="inlineStr">
        <is>
          <t>Type 1</t>
        </is>
      </c>
    </row>
    <row r="1124">
      <c r="A1124" t="inlineStr">
        <is>
          <t>3dj9wk</t>
        </is>
      </c>
      <c r="B1124" t="inlineStr">
        <is>
          <t>Lost a Diabetes friend today.</t>
        </is>
      </c>
      <c r="C1124" t="inlineStr">
        <is>
          <t xml:space="preserve">I moved into a new house the first part of March. I was a newly diagnosed type 1 and found out my neighbors wife was a diabetic. She was so nice to me and my daughter. It was a lonely time being the only diabetic I knew. Having someone to relate with even if it was for 30 seconds on the porch was comforting. This morning my wife said she saw an ambulance leave the house, then the neighborhood Facebook page confirmed her passing. I talked to her husband last week and he said she was having troubles keeping blood sugars down. 
I am kind of crushed. hug the ones you love guys and keep up the good fight. 
RIP friend. </t>
        </is>
      </c>
      <c r="D1124" t="n">
        <v>39</v>
      </c>
      <c r="E1124" t="n">
        <v>11</v>
      </c>
      <c r="F1124">
        <f>HYPERLINK("https://www.reddit.com/r/diabetes/comments/3dj9wk/lost_a_diabetes_friend_today/")</f>
        <v/>
      </c>
      <c r="G1124" t="inlineStr">
        <is>
          <t>2015-07-16 11:47:29</t>
        </is>
      </c>
      <c r="H1124" t="inlineStr">
        <is>
          <t>Type 1</t>
        </is>
      </c>
    </row>
    <row r="1125">
      <c r="A1125" t="inlineStr">
        <is>
          <t>3dkcj7</t>
        </is>
      </c>
      <c r="B1125" t="inlineStr">
        <is>
          <t>Has anyone here been successful in curing their Type 2 diabetes?</t>
        </is>
      </c>
      <c r="C1125" t="inlineStr">
        <is>
          <t xml:space="preserve">I'm new to this sub and apologize ahead of time if this is a question that gets repeated all the time.  
Short version of my history is that I was diagnosed with pre diabetes a few years ago but my doctor didn't seem to care that much.  Since he didn't put much interest in it I ignored it as well.  A few years of no examinations went by and a routine checkup from a new doctor revealed I was diabetic.  My BG levels were stupidly high, in the 300 range.  As I'm sure everyone here can relate, finding out was a really bad day.  I started working out, quit smoking and started eating healthy (cut all soda, balanced meals, smaller portions, lots of fruits and vegetables).  My doctor put me on insulin, Metformin and Jentadueto.  She changed the Jentadueto to Victoza a few months ago.  Six months later and I have dropped 40 pounds (40 more to go) and my BG levels are completely normal.  
Here is my question.  I have been able to cut my medications in half thus far and am wondering if anyone else there has been "cured" of their diabetes.  Did anyone get healthy then be able to stop all the medications because they no longer needed them?  Is there a point where your body reaches equilibrium and you can stop the medicine? 
I love the new, healthy lifestyle and would hope a day could come that I am not reminded daily of the old, fat me.
</t>
        </is>
      </c>
      <c r="D1125" t="n">
        <v>1</v>
      </c>
      <c r="E1125" t="n">
        <v>41</v>
      </c>
      <c r="F1125">
        <f>HYPERLINK("https://www.reddit.com/r/diabetes/comments/3dkcj7/has_anyone_here_been_successful_in_curing_their/")</f>
        <v/>
      </c>
      <c r="G1125" t="inlineStr">
        <is>
          <t>2015-07-16 16:38:12</t>
        </is>
      </c>
      <c r="H1125" t="inlineStr">
        <is>
          <t>Type 2</t>
        </is>
      </c>
    </row>
    <row r="1126">
      <c r="A1126" t="inlineStr">
        <is>
          <t>3dltct</t>
        </is>
      </c>
      <c r="B1126" t="inlineStr">
        <is>
          <t>Making a new diet plan, help?</t>
        </is>
      </c>
      <c r="C1126" t="inlineStr">
        <is>
          <t>I want to attempt going on a no-carb diet. 
*I'm not at all educated on this subject and would like some help from this community. I apologise in advance if my ignorance offends anyone.*
I'm 21 and female. I was diagnosed with diabetes when I was 19. When I was 17 I was put on anti-psychotic medication (risperdal) which made me gain around 90lbs/ 35kgs. Looking back, I was experiencing symptoms of pre-diabetes since I started taking the medication, but I just ignored it.
Last year I managed to control my diabetes without medication and I lost almost all the weight through hard work and careful diet. Unfortunately due to a relapse in my mental health I gained almost all of the weight I lost back. 
I'm not testing my BG and I'm not experiencing any symptoms (I know... silent killer) but I just want to be healthy and fit again.
For people who have tried going no-carb, please share your experiences. 
I do have some questions:
1. I exercise (cardio) for up to 1 hr per day. I find that if I don't eat bread or some other type of carb, I have less energy which makes it harder to work out. What foods would be good for quick energy for workouts?
2. How long will it take for my body to stop craving carbs? And how long for results?
3. Would you recommend this route?</t>
        </is>
      </c>
      <c r="D1126" t="n">
        <v>3</v>
      </c>
      <c r="E1126" t="n">
        <v>7</v>
      </c>
      <c r="F1126">
        <f>HYPERLINK("https://www.reddit.com/r/diabetes/comments/3dltct/making_a_new_diet_plan_help/")</f>
        <v/>
      </c>
      <c r="G1126" t="inlineStr">
        <is>
          <t>2015-07-17 01:48:15</t>
        </is>
      </c>
      <c r="H1126" t="inlineStr">
        <is>
          <t>Type 2</t>
        </is>
      </c>
    </row>
    <row r="1127">
      <c r="A1127" t="inlineStr">
        <is>
          <t>3dmgu2</t>
        </is>
      </c>
      <c r="B1127" t="inlineStr">
        <is>
          <t>Type 1 in Metro Detroit???</t>
        </is>
      </c>
      <c r="C1127" t="inlineStr">
        <is>
          <t xml:space="preserve">It would be cool to meet more people with T1 in the area. Maybe get together at a pub or something? Being diagnosed in February I could use some advice from people that have been dealing with this a lot longer. </t>
        </is>
      </c>
      <c r="D1127" t="n">
        <v>6</v>
      </c>
      <c r="E1127" t="n">
        <v>5</v>
      </c>
      <c r="F1127">
        <f>HYPERLINK("https://www.reddit.com/r/diabetes/comments/3dmgu2/type_1_in_metro_detroit/")</f>
        <v/>
      </c>
      <c r="G1127" t="inlineStr">
        <is>
          <t>2015-07-17 06:44:46</t>
        </is>
      </c>
      <c r="H1127" t="inlineStr">
        <is>
          <t>Type 1</t>
        </is>
      </c>
    </row>
    <row r="1128">
      <c r="A1128" t="inlineStr">
        <is>
          <t>3dnnmi</t>
        </is>
      </c>
      <c r="B1128" t="inlineStr">
        <is>
          <t>Had cheat meal can't get blood sugar back down</t>
        </is>
      </c>
      <c r="C1128" t="inlineStr">
        <is>
          <t>I'm a bit of a T2 newbie and im 6 months into my beetus after eating terrible Atkins meals and "exercise" I dropped my a1c from a 9.5 to 6.9 so to celebrate I got a pizza still moderately ate it but whenever I eat now my blood sugar super spikes and im having a hard time getting it back down to a reasonable level after a couple days. While it's high like this it makes intimacy incredibly difficult and life all around kind of challenging. Any advice on ways to lower my blood sugar back to a acceptable level?</t>
        </is>
      </c>
      <c r="D1128" t="n">
        <v>5</v>
      </c>
      <c r="E1128" t="n">
        <v>9</v>
      </c>
      <c r="F1128">
        <f>HYPERLINK("https://www.reddit.com/r/diabetes/comments/3dnnmi/had_cheat_meal_cant_get_blood_sugar_back_down/")</f>
        <v/>
      </c>
      <c r="G1128" t="inlineStr">
        <is>
          <t>2015-07-17 12:14:33</t>
        </is>
      </c>
      <c r="H1128" t="inlineStr">
        <is>
          <t>Type 2</t>
        </is>
      </c>
    </row>
    <row r="1129">
      <c r="A1129" t="inlineStr">
        <is>
          <t>3dtrkl</t>
        </is>
      </c>
      <c r="B1129" t="inlineStr">
        <is>
          <t>Is there anything I can do to combat the 'Dawn Phenomenon'</t>
        </is>
      </c>
      <c r="C1129" t="inlineStr">
        <is>
          <t>Every day for a week now, I go to bed at a normal level and wake up at 11-15 mmol..
Last night I go to bed at 4.8, which is a tad lower than I want to be so I ate a few nuts, only a few because I didnt want to go high.. This morning, I woke up at 7am at 15.3, injected 3 units and dropped to 11.9 by 10am, injected another 2 units and am still 11.7 by 12:15...
really need to get my levels under control and this is annoying the hell out of me because for 10/24 hours I cannot control my levels at all... help pls
Edit: during the day, my insulin:carb is around 1:10 and 1 unit will drop me by 3-4mmol easily</t>
        </is>
      </c>
      <c r="D1129" t="n">
        <v>14</v>
      </c>
      <c r="E1129" t="n">
        <v>34</v>
      </c>
      <c r="F1129">
        <f>HYPERLINK("https://www.reddit.com/r/diabetes/comments/3dtrkl/is_there_anything_i_can_do_to_combat_the_dawn/")</f>
        <v/>
      </c>
      <c r="G1129" t="inlineStr">
        <is>
          <t>2015-07-19 04:23:21</t>
        </is>
      </c>
      <c r="H1129" t="inlineStr">
        <is>
          <t>Type 1</t>
        </is>
      </c>
    </row>
    <row r="1130">
      <c r="A1130" t="inlineStr">
        <is>
          <t>3dv0rs</t>
        </is>
      </c>
      <c r="B1130" t="inlineStr">
        <is>
          <t>Fingerprint ID</t>
        </is>
      </c>
      <c r="C1130" t="inlineStr">
        <is>
          <t xml:space="preserve">I'm wondering if any type ones (like myself) have had any experience with fingerprint scanners on Apple ipads/phones etc. I test on the pads of my fingers most of the time vs the sides of my fingers as recommended. I don't own an ipad but my son will very shortly and I was wondering if it would see my print properly as they look like a watering can from testing often (lol).So im looking for some input on this im sure lots of diabetics own apple hardware with fingerprint security enabled. </t>
        </is>
      </c>
      <c r="D1130" t="n">
        <v>3</v>
      </c>
      <c r="E1130" t="n">
        <v>12</v>
      </c>
      <c r="F1130">
        <f>HYPERLINK("https://www.reddit.com/r/diabetes/comments/3dv0rs/fingerprint_id/")</f>
        <v/>
      </c>
      <c r="G1130" t="inlineStr">
        <is>
          <t>2015-07-19 12:13:12</t>
        </is>
      </c>
      <c r="H1130" t="inlineStr">
        <is>
          <t>Type 1</t>
        </is>
      </c>
    </row>
    <row r="1131">
      <c r="A1131" t="inlineStr">
        <is>
          <t>3dwjsm</t>
        </is>
      </c>
      <c r="B1131" t="inlineStr">
        <is>
          <t>Question on relationship/social barriers with Type 1</t>
        </is>
      </c>
      <c r="C1131" t="inlineStr">
        <is>
          <t xml:space="preserve">Hello! I am currently dating a lovely man who is 5 years into a type 1 diagnosis (he is 31). I've been researching as much as I can to understand diabetes a little better and how to better support him. It's a bit of a challenge, but I welcome it.  I'm having some trouble finding resources that aren't focused around children and socializing or really personal examples of how to navigate some of the potential obstacles with diabetes. Example, I love wandering hot summer days in the city and eating out. He's a homebody who feels very cut off from the world sometimes due to his health and I'm sure what is comorbid depression. He's also completely disassociated from enjoying any kind of food experience since being diagnosed. 
A bit of a back story for context: while he's accepted it, he's still mourning a lot of the things that he'd been forced to give up (touring musician, certain foods, there's an insecurity in how he thinks he's viewed romantically/sexually, etc). There's a lingering depression for sure.  
He's on a constant glucose monitor, which is truly a remarkable piece of technology. I can't believe the Canadian government isn't funding the shit of it. I've suggested looking to ODSP since diabetes is recognized as a disability in Ontario. He does not have a pump but uses multiple daily injections of insulin. 
Getting down to why I'm here...It stresses the shit out of me how poorly he eats at times. He has issues with appetite and I'm wondering if anyone here has encountered the same issue. Sometimes it seems like he's just chasing highs and lows and then eats dinner late when he's off work. I'm trying to encourage him to do proactive things, like going for walks in the evening or encouraging him to buy a slow cooker (he works stupid long and late hours and just relies on take out a lot). I love to cook and I'm a fitness enthusiast myself so I do as often as possible and map out his carbs perfectly. We don't live together so I can't house wife it up all the time and have my own school/work schedule. 
I guess bottom line...how to support him in making positive changes and just being the best and healthiest him. Without making it into a struggle for forced change or nagging, that is. 
Thanks, reddit :) 
</t>
        </is>
      </c>
      <c r="D1131" t="n">
        <v>5</v>
      </c>
      <c r="E1131" t="n">
        <v>5</v>
      </c>
      <c r="F1131">
        <f>HYPERLINK("https://www.reddit.com/r/diabetes/comments/3dwjsm/question_on_relationshipsocial_barriers_with_type/")</f>
        <v/>
      </c>
      <c r="G1131" t="inlineStr">
        <is>
          <t>2015-07-19 20:11:14</t>
        </is>
      </c>
      <c r="H1131" t="inlineStr">
        <is>
          <t>Type 1</t>
        </is>
      </c>
    </row>
    <row r="1132">
      <c r="A1132" t="inlineStr">
        <is>
          <t>3dwjug</t>
        </is>
      </c>
      <c r="B1132" t="inlineStr">
        <is>
          <t>Young daughter diagnosed in February - But some incredible encouragement received over the weekend. HAD to share.</t>
        </is>
      </c>
      <c r="C1132" t="inlineStr">
        <is>
          <t>So I posted something about this earlier this week. A few days ago, I found out that George Blagden (known recently as Athelstan on History's Vikings) is raising money for Diabetes Research in the UK. His girlfriend Ellie (an actress, and also on Vikings) is Type 1. I came across his twitter account a few days ago and happened to see that he had just posted something about it. I thought "oh, that's cool. First celebrity I have seen doing something for diabetes...". Turns out he will be biking from London to Paris in September, and is documenting his training this summer for it.
So I tweeted our thanks to him, and he responded. Long story short, he and Ellie just posted one of their progress report videos on their vlog (found here: https://www.youtube.com/watch?v=Kg0JqiGhbo4).  They dedicated it to our daughter - who was diagnosed T1 in February at 15 months old - and included a "Top 10" list for her and anyone filled with advice about growing up T1.
They genuinely care and are committed to helping to find better treatments and a cure.  The donation page is here: https://www.justgiving.com/gblagden.
This has been the highlight of a very bad year for us.  George and Ellie have been SO encouraging to us, and so I figured I would share.  Sometimes the good in this world just smacks you in the face.</t>
        </is>
      </c>
      <c r="D1132" t="n">
        <v>18</v>
      </c>
      <c r="E1132" t="n">
        <v>2</v>
      </c>
      <c r="F1132">
        <f>HYPERLINK("https://www.reddit.com/r/diabetes/comments/3dwjug/young_daughter_diagnosed_in_february_but_some/")</f>
        <v/>
      </c>
      <c r="G1132" t="inlineStr">
        <is>
          <t>2015-07-19 20:11:45</t>
        </is>
      </c>
      <c r="H1132" t="inlineStr">
        <is>
          <t>Type 1</t>
        </is>
      </c>
    </row>
    <row r="1133">
      <c r="A1133" t="inlineStr">
        <is>
          <t>3dz68l</t>
        </is>
      </c>
      <c r="B1133" t="inlineStr">
        <is>
          <t>I need some advice</t>
        </is>
      </c>
      <c r="C1133" t="inlineStr">
        <is>
          <t>On saturday I had low blood sugar and I passed out, and my mim freaked out and called an ambulance and did all the wrong things. I ended up being fine, but since then every night she refuses to let my sleep in my room alone and wakes me up every 15 minutes saying "are you okay!? Do you recognize me??". It has gotten extremely frustrating for me. She has been telling me that I should thank her for saving my life, and when I asked her if I could spend the night at a longtime friends house she said "are you kidding me? you can't leave the house for a month". She has been going around telling everyone she can how she 'saved my life' and how unstable I am. Please someone give me some advice as to how I can get through this.
EDIT: im 16
EDIT 2: thanks for all the thoughtful responses everyone</t>
        </is>
      </c>
      <c r="D1133" t="n">
        <v>12</v>
      </c>
      <c r="E1133" t="n">
        <v>16</v>
      </c>
      <c r="F1133">
        <f>HYPERLINK("https://www.reddit.com/r/diabetes/comments/3dz68l/i_need_some_advice/")</f>
        <v/>
      </c>
      <c r="G1133" t="inlineStr">
        <is>
          <t>2015-07-20 11:43:58</t>
        </is>
      </c>
      <c r="H1133" t="inlineStr">
        <is>
          <t>Type 1</t>
        </is>
      </c>
    </row>
    <row r="1134">
      <c r="A1134" t="inlineStr">
        <is>
          <t>3dzpsn</t>
        </is>
      </c>
      <c r="B1134" t="inlineStr">
        <is>
          <t>Possible MODY(DX'd as T1)</t>
        </is>
      </c>
      <c r="C1134" t="inlineStr">
        <is>
          <t>Hi,
Firstly I would like to give some background on myself. I'm 17 and was slightly overweight prior to be DX'd a year ago and lost the weight due to my 'T1 diabetes' and exercise/healthy eating. In the time period of being DX'd with T1 I was doing exercise and eating well so I was loosing a lot of weight plus the weight loss from diabetes.  I'm 5 ft 9 inches and weigh 150 pounds. When I was DX'd my A1c was 15.2%(143) and it has fallen gradually ever since and is now 5.5%(37mmol) and I'm taking very very small doses. I currently take 12.5 units of Levimir(Lantus) and I take very small units of NovoRapid(Bolus) 1 unit for every 10g of carbs. I'm still on my honeymoon and I also was DX'd with celiacs disease in November 2014. I eat 40 - 80 grams of carbs per day and possibly more if I have something high in carbs like a gluten free pizza or a takeout. 
I'm 17 and always go to the endo alone because I like to feel independant, I live my normal life and go out and do what all teenagers do and have a good time. I go to the gym, I eat healthy and I have a balanced diet and this is a lot. 
Today at my endo appointment my Doc said my A1C was 37 mmol and in US measurements that is 5.5% which is very low according to my endo however this month I tried a low carb diet which apparently was a "really bad idea" and on there advice going to do more exercise and eat more carbs(i'm underweight and already do exercise). 
He then went on to ask me if i consider my a1c low and I said of course I do and he then went on to say that they want to test for MODY and it's likely that I have it because of my very low doses and when I was first DX'd my general doctor did a blood test and the blood they took wasn't sent in time to be tested so that was inconclusive and the blood they took at the hospital when I was admittied was borderline in regards to antibodies. 
I've given 6 pots of blood today for them to test. They are now doubting everything. They were also inconclusive tests about my celiacs disease because I have no symptoms and when they checked my gut during the biopsy my gut wasn't damaged much and the blood test the antibodies where also borderline. They're now doubting I have type-1. This is now a part of me and I live a comfortable and happy life, it's making me doubt my whole life. How can they get something so wrong? I've being taking insulin, living a disciplined and controlled life for the past year and since november have made my diet even stricter. 
I do go out and have a good time with my friends in bars once in a while but i'm missing out on living it wild and having the best time possible because I need to be careful and now they do this? I feel really confused and muddled. I have so many questions. 
* This site(http://monogenicdiabetes.uchicago.edu/what-is-monogenic-diabetes/mody-maturity-onset-diabetes-of-the-young/) states that "a “type 1″ diabetes patient who has negative blood testing for autoantibodies" could possibly have any of the 6 known MODY forms of Diabetes, however I have some so what does that mean?
* The site above also states "a “type 1″ diabetes patient who generates a significant amount of insulin years beyond diagnosis (detectable blood levels of c-peptide, proinsulin, and/ or insulin)", I have being creating large amounts of insulin for a year however what does this mean in relation to MODY diabetes, can my pancreas just suddenly give up or what 
* Is MODY diabetes different to handle?
* Since I have celiacs disease which is auto immune, I assumed that this was from having t1 diabetes and when I brought this up to my endo his reply was "it may be a coincidence", I've read so much today about MODY online and it's a genetic disorder and it has no relation to celiacs which is auto immune
* I went low carb for a week this month which may have lowered my a1c since the last test 2 months ago and i've being eating less and went to the gym more frequently.
I would love some answers and help, Thanks!</t>
        </is>
      </c>
      <c r="D1134" t="n">
        <v>3</v>
      </c>
      <c r="E1134" t="n">
        <v>20</v>
      </c>
      <c r="F1134">
        <f>HYPERLINK("https://www.reddit.com/r/diabetes/comments/3dzpsn/possible_modydxd_as_t1/")</f>
        <v/>
      </c>
      <c r="G1134" t="inlineStr">
        <is>
          <t>2015-07-20 14:02:33</t>
        </is>
      </c>
      <c r="H1134" t="inlineStr">
        <is>
          <t>Type 1</t>
        </is>
      </c>
    </row>
    <row r="1135">
      <c r="A1135" t="inlineStr">
        <is>
          <t>3e4y3t</t>
        </is>
      </c>
      <c r="B1135" t="inlineStr">
        <is>
          <t>[T2] Does Hypoglycemia Indicate IR Reversal?</t>
        </is>
      </c>
      <c r="C1135" t="inlineStr">
        <is>
          <t>In the last two weeks or so, I've let my diet slip somewhat.  Whenever I ate some cookies and brownies for 4 July, my blood sugar skyrocketed to 364 mg/dL.  I started doing research on diabetes since then, realizing just how serious blood sugar spikes are on the body.  Since then I've regained control on my diet and exercise.
Today I performed an experiment, by eating a small 160-Calorie bag of mini Oreos, to test if my body could handle carbs at all.  Now for the past few days, I have slowly re-introduced carbs into my diet, to account for the possibility of physiological insulin resistance.  Today, for the first time since I can remember, I experienced an episode of hypoglycemia, where my blood sugar fell to around 70 mg/dL.
Given my understanding of insulin resistance and Type-2 diabetes, hypoglycemia should not occur, especially when I haven't exercised for the past three days.  Where is the glucose going, if not into my cells, in order to cause the blood sugar drop?  Does that not indicate my IR has reversed itself, at least somewhat?</t>
        </is>
      </c>
      <c r="D1135" t="n">
        <v>6</v>
      </c>
      <c r="E1135" t="n">
        <v>8</v>
      </c>
      <c r="F1135">
        <f>HYPERLINK("https://www.reddit.com/r/diabetes/comments/3e4y3t/t2_does_hypoglycemia_indicate_ir_reversal/")</f>
        <v/>
      </c>
      <c r="G1135" t="inlineStr">
        <is>
          <t>2015-07-21 17:07:07</t>
        </is>
      </c>
      <c r="H1135" t="inlineStr">
        <is>
          <t>Type 2</t>
        </is>
      </c>
    </row>
    <row r="1136">
      <c r="A1136" t="inlineStr">
        <is>
          <t>3eaqin</t>
        </is>
      </c>
      <c r="B1136" t="inlineStr">
        <is>
          <t>Any diabetic surfers out there on a pump?</t>
        </is>
      </c>
      <c r="C1136" t="inlineStr">
        <is>
          <t xml:space="preserve">I am just getting into surfing. Currently, I am on MDI, but I want to switch to a pump soon. It occurred to me the other day that it would be very difficult to surf with a pump (besides the omnipod). I couldn't leave it on the beach because of tide concerns, it is too hot in the car, and I'm usually out there for like 4 hours. What could I do? </t>
        </is>
      </c>
      <c r="D1136" t="n">
        <v>4</v>
      </c>
      <c r="E1136" t="n">
        <v>11</v>
      </c>
      <c r="F1136">
        <f>HYPERLINK("https://www.reddit.com/r/diabetes/comments/3eaqin/any_diabetic_surfers_out_there_on_a_pump/")</f>
        <v/>
      </c>
      <c r="G1136" t="inlineStr">
        <is>
          <t>2015-07-23 00:19:58</t>
        </is>
      </c>
      <c r="H1136" t="inlineStr">
        <is>
          <t>Type 1</t>
        </is>
      </c>
    </row>
    <row r="1137">
      <c r="A1137" t="inlineStr">
        <is>
          <t>3ecp1i</t>
        </is>
      </c>
      <c r="B1137" t="inlineStr">
        <is>
          <t>Pumping PSA: maybe try a different type of infusion set!</t>
        </is>
      </c>
      <c r="C1137" t="inlineStr">
        <is>
          <t>So, I'm type 1 for 11 years now.  Never had good control, my A1C's were consistently 8-9% (230-ish) for the past 8 years of using an insulin pump.  Even with basal testing and ratio testing, my bolusing was erratic.  One day they would work, the next they would send me super high or super low.  This contributed to me second guessing every ratio and insulin bolus I ever gave, causing me to not fully bolus a lot of the time, and of course, a lot of rollercoastering.  To top it off, my pump infusion sites were irritated, scarring, and leaving me very discouraged. 
I kind of felt like maybe I needed to try something else, so after some horrendous back and forth with animas, I finally got my hands on a different type of infusion set (at my initial intro to pumping 8 years ago, I was only introduced to one type of infusion set: the comfort short, manual angled teflon sets).  
For the past month I've been using the contact detach 6mm steel sets.  It has been a world of a difference.  My bolusing has been much more accurate and reliable, and I have much more confidence in my absorption.  My blood sugars have come down and I'm averaging closer to 150 at this point.  Also, when I take the site out, my skin is WAY less irritated.  
It took me nearly 8 years to figure out that my infusion sets were simply not right for me, so I just want to give a little PSA that you should try different infusion sets if you think you've tried everything else!  Especially those of you who were only introduced to one type of set like I was!  Absorption is the groundwork for everything else!</t>
        </is>
      </c>
      <c r="D1137" t="n">
        <v>26</v>
      </c>
      <c r="E1137" t="n">
        <v>12</v>
      </c>
      <c r="F1137">
        <f>HYPERLINK("https://www.reddit.com/r/diabetes/comments/3ecp1i/pumping_psa_maybe_try_a_different_type_of/")</f>
        <v/>
      </c>
      <c r="G1137" t="inlineStr">
        <is>
          <t>2015-07-23 11:30:20</t>
        </is>
      </c>
      <c r="H1137" t="inlineStr">
        <is>
          <t>Type 1</t>
        </is>
      </c>
    </row>
    <row r="1138">
      <c r="A1138" t="inlineStr">
        <is>
          <t>3ef7ek</t>
        </is>
      </c>
      <c r="B1138" t="inlineStr">
        <is>
          <t>TIFU by cheating with ice cream</t>
        </is>
      </c>
      <c r="C1138" t="inlineStr">
        <is>
          <t>I eat ice cream at home pretty frequently, because the fat and protein slow things down enough that it doesn't raise my numbers that badly. So today I went out for lunch and decided to splurge on a milkshake. I got home and my blood sugar was in the high 300s and stayed there all day. Damn it! I think it's because I had more ice cream than usual, and I think it might have been some kind of soft serve that maybe didn't have as much fat and protein as the ice cream I buy at home. I obviously need to learn to look at the nutritional facts before ordering restaurant food in the future.</t>
        </is>
      </c>
      <c r="D1138" t="n">
        <v>5</v>
      </c>
      <c r="E1138" t="n">
        <v>11</v>
      </c>
      <c r="F1138">
        <f>HYPERLINK("https://www.reddit.com/r/diabetes/comments/3ef7ek/tifu_by_cheating_with_ice_cream/")</f>
        <v/>
      </c>
      <c r="G1138" t="inlineStr">
        <is>
          <t>2015-07-24 00:45:07</t>
        </is>
      </c>
      <c r="H1138" t="inlineStr">
        <is>
          <t>Type 2</t>
        </is>
      </c>
    </row>
    <row r="1139">
      <c r="A1139" t="inlineStr">
        <is>
          <t>3elo7m</t>
        </is>
      </c>
      <c r="B1139" t="inlineStr">
        <is>
          <t>Insulin from a month or so ago kicking in.</t>
        </is>
      </c>
      <c r="C1139" t="inlineStr">
        <is>
          <t>So my lantus spoiled a few months prior. I figured it out because I was running consistently high until I changed the pen.
I've had this happen once prior with bad insulin as a kid. I thought i was magically cured but turns out insulin literally kicked in a month later.
I'm monitoring bgs and eating / drinking to keep my numbers in the normal range but man is this annoying. Anyone have any experience or tips?</t>
        </is>
      </c>
      <c r="D1139" t="n">
        <v>0</v>
      </c>
      <c r="E1139" t="n">
        <v>5</v>
      </c>
      <c r="F1139">
        <f>HYPERLINK("https://www.reddit.com/r/diabetes/comments/3elo7m/insulin_from_a_month_or_so_ago_kicking_in/")</f>
        <v/>
      </c>
      <c r="G1139" t="inlineStr">
        <is>
          <t>2015-07-25 15:13:35</t>
        </is>
      </c>
      <c r="H1139" t="inlineStr">
        <is>
          <t>Type 1</t>
        </is>
      </c>
    </row>
    <row r="1140">
      <c r="A1140" t="inlineStr">
        <is>
          <t>3em6k3</t>
        </is>
      </c>
      <c r="B1140" t="inlineStr">
        <is>
          <t>Booze? Booze...!</t>
        </is>
      </c>
      <c r="C1140" t="inlineStr">
        <is>
          <t xml:space="preserve">I drink often, most days about a six pack. I always correct for the carbs with Humalog so I end up having to give myself at least four shots because I maintain tight BG control. My question is, why does everyone say it's really bad to drink as a diabetic? My Endo seems to think it's okay since I am correcting and my A1C is 5.2. Obviously she wants me to cut back for my liver's sake though. Is this more of an issue for type 2's? I swear everyone that tells me "knows someone" with diabetes and drinking was going to kill them. Can anyone elaborate? </t>
        </is>
      </c>
      <c r="D1140" t="n">
        <v>1</v>
      </c>
      <c r="E1140" t="n">
        <v>11</v>
      </c>
      <c r="F1140">
        <f>HYPERLINK("https://www.reddit.com/r/diabetes/comments/3em6k3/booze_booze/")</f>
        <v/>
      </c>
      <c r="G1140" t="inlineStr">
        <is>
          <t>2015-07-25 18:10:10</t>
        </is>
      </c>
      <c r="H1140" t="inlineStr">
        <is>
          <t>Type 1</t>
        </is>
      </c>
    </row>
    <row r="1141">
      <c r="A1141" t="inlineStr">
        <is>
          <t>3epe16</t>
        </is>
      </c>
      <c r="B1141" t="inlineStr">
        <is>
          <t>Can I bring my diabetic supplies on an airplane?</t>
        </is>
      </c>
      <c r="C1141" t="inlineStr">
        <is>
          <t>I'm planning a trip to visit my family who lives out of state. At the end of last year I was given the news by my doctor that my blood test results came back and I am in fact diabetic type 2. The last time I went traveling on a plane was around this time last year but I did not hear the news from my doctor until a few weeks after I returned from my trip and I have not been traveling since. 
I have a prescription for metformin and another for lisinopril. I also have a prescription for testing needles, test strips, and my meter. I just don't know if I have to check these items or if I can bring them in my carry on. I don't like to go too many hours without my diabetes stuff just in case.</t>
        </is>
      </c>
      <c r="D1141" t="n">
        <v>13</v>
      </c>
      <c r="E1141" t="n">
        <v>29</v>
      </c>
      <c r="F1141">
        <f>HYPERLINK("https://www.reddit.com/r/diabetes/comments/3epe16/can_i_bring_my_diabetic_supplies_on_an_airplane/")</f>
        <v/>
      </c>
      <c r="G1141" t="inlineStr">
        <is>
          <t>2015-07-26 15:32:32</t>
        </is>
      </c>
      <c r="H1141" t="inlineStr">
        <is>
          <t>Type 2</t>
        </is>
      </c>
    </row>
    <row r="1142">
      <c r="A1142" t="inlineStr">
        <is>
          <t>3equqc</t>
        </is>
      </c>
      <c r="B1142" t="inlineStr">
        <is>
          <t>Ignoring BG while losing weight</t>
        </is>
      </c>
      <c r="C1142" t="inlineStr">
        <is>
          <t>I'm 21, female and diagnosed with diabetes at age 19. I was wondering if anyone completely ignored their BG while in the weight loss process? It is extremely difficult for me to live life, exercise daily *and* pay such careful attention to my diet. I'm attempting to clean up my diet by adding lots of veggies but a lot of people here recommend quitting trigger foods cold turkey. I eat a good amount of bread and I feel like I can't give that up. Help!
**TL;DR I feel like I can't sustain a diabetic diet and have the energy to exercise at the same time.**</t>
        </is>
      </c>
      <c r="D1142" t="n">
        <v>1</v>
      </c>
      <c r="E1142" t="n">
        <v>8</v>
      </c>
      <c r="F1142">
        <f>HYPERLINK("https://www.reddit.com/r/diabetes/comments/3equqc/ignoring_bg_while_losing_weight/")</f>
        <v/>
      </c>
      <c r="G1142" t="inlineStr">
        <is>
          <t>2015-07-26 23:56:14</t>
        </is>
      </c>
      <c r="H1142" t="inlineStr">
        <is>
          <t>Type 2</t>
        </is>
      </c>
    </row>
    <row r="1143">
      <c r="A1143" t="inlineStr">
        <is>
          <t>3ers2u</t>
        </is>
      </c>
      <c r="B1143" t="inlineStr">
        <is>
          <t>What are the most effective specific strategies for treating type II diabetes and managing blood sugar?</t>
        </is>
      </c>
      <c r="C1143" t="inlineStr">
        <is>
          <t>I am helping my dad (type II diabetic for 32 years and currently 60 years old) reduce his blood sugar (his most recent HbA1C was 8.1%). He is on long-acting + rapid-acting insulin (26 units of Lantus in morning and 6-10 units of Novorapid before bkfst/lunch/dinner). He is also taking some meds for high blood pressure and vitamins.
I see lots of generic advice on the internet about reducing carbs, increasing vegetables, etc) but until we consulted a professional dietician a few weeks ago we were clueless about portion sizes. 
What has worked or not worked for people? Specific diets? Specific exercises? Something else?
I am also interested in learning how diabetes is treated in different countries - i.e. what does a diabetes care team comprise of, how often does a patient visit the team, etc. Is there a particularly effective way to bring about the necessary lifestyle changes? Is there some system that works great? I can then try and manually replicate that team in India for my dad.
Thanks so much!</t>
        </is>
      </c>
      <c r="D1143" t="n">
        <v>3</v>
      </c>
      <c r="E1143" t="n">
        <v>26</v>
      </c>
      <c r="F1143">
        <f>HYPERLINK("https://www.reddit.com/r/diabetes/comments/3ers2u/what_are_the_most_effective_specific_strategies/")</f>
        <v/>
      </c>
      <c r="G1143" t="inlineStr">
        <is>
          <t>2015-07-27 06:55:45</t>
        </is>
      </c>
      <c r="H1143" t="inlineStr">
        <is>
          <t>Type 2</t>
        </is>
      </c>
    </row>
    <row r="1144">
      <c r="A1144" t="inlineStr">
        <is>
          <t>3erw05</t>
        </is>
      </c>
      <c r="B1144" t="inlineStr">
        <is>
          <t>Depressed and don't know what to do, diabetes management and cost</t>
        </is>
      </c>
      <c r="C1144" t="inlineStr">
        <is>
          <t xml:space="preserve">Hey guys, I'm 24 currently years old and I just have questions. Today, I went to the doctor and had fasting blood glucose test, the result came and my doctor concluded that I am suffering from type 1 diabetes. 
She told me that I would eventually have to inject insulin in about 5 years. I'm a Filipino and I live in Philippines. I was wondering  What are the maintenance cost of being a Diabetic and how much would insulin injections be?(I asked my doctor about this and she kept insisting that i shouldn't worry about this for now) I am clueless, confused and don't know what to do or how to start with anything. Is there anything that I can do to get some sort of free medication? what are the important things that I need to know? I am currently depressed and afraid of what's going to happen. I am very scared of dying or going blind and the financial problems especially now that I am suffering from this condition are going to be worse(which is already bad to begin with) and I'm pretty sure that sooner or later we will not be able to pay for medications and that i will be left to die without medications.
PS : I am also suffering from Psoriasis which causes my skin to randomly get wounds in any part of my body(which sucks since diabetes slows the healing of wounds)
</t>
        </is>
      </c>
      <c r="D1144" t="n">
        <v>5</v>
      </c>
      <c r="E1144" t="n">
        <v>25</v>
      </c>
      <c r="F1144">
        <f>HYPERLINK("https://www.reddit.com/r/diabetes/comments/3erw05/depressed_and_dont_know_what_to_do_diabetes/")</f>
        <v/>
      </c>
      <c r="G1144" t="inlineStr">
        <is>
          <t>2015-07-27 07:27:34</t>
        </is>
      </c>
      <c r="H1144" t="inlineStr">
        <is>
          <t>Type 1</t>
        </is>
      </c>
    </row>
    <row r="1145">
      <c r="A1145" t="inlineStr">
        <is>
          <t>3esk1m</t>
        </is>
      </c>
      <c r="B1145" t="inlineStr">
        <is>
          <t>Type One Feeling Sick while working out</t>
        </is>
      </c>
      <c r="C1145" t="inlineStr">
        <is>
          <t>I am a type one diabetic for about 6 years now. Whenever I work out, I feel sick; like drained, nauseous, and tired. Admittedly I even puked my last work out. 
 I am not over doing it, everything I do is at my own pace and never pushing myself that hard. Yet I feel horrible about 3/4 of the way through and for about 30 minutes after I am done. I never used to be like this, it seems to have gotten worse lately too.
My usual workout involves just some weightlifting. Nothing extreme, no max weights. Just pretty average stuff. 
It sucks because I hate working out because of this and that isn't very good for my health.
I do plan on my next endo appt to talk with him about it, but that isnt for awhile.
Has anybody else experienced something like this? How did you get it to stop? and why does it happen??? Thanks!</t>
        </is>
      </c>
      <c r="D1145" t="n">
        <v>12</v>
      </c>
      <c r="E1145" t="n">
        <v>25</v>
      </c>
      <c r="F1145">
        <f>HYPERLINK("https://www.reddit.com/r/diabetes/comments/3esk1m/type_one_feeling_sick_while_working_out/")</f>
        <v/>
      </c>
      <c r="G1145" t="inlineStr">
        <is>
          <t>2015-07-27 10:21:38</t>
        </is>
      </c>
      <c r="H1145" t="inlineStr">
        <is>
          <t>Type 1</t>
        </is>
      </c>
    </row>
    <row r="1146">
      <c r="A1146" t="inlineStr">
        <is>
          <t>3etepz</t>
        </is>
      </c>
      <c r="B1146" t="inlineStr">
        <is>
          <t>Strange Lantus behavior</t>
        </is>
      </c>
      <c r="C1146" t="inlineStr">
        <is>
          <t>Hi all,
I've been T1 for nearly 11 years now, and on Lantus for 10 of those years. However, I've only been on a CGM for about three months now, and I have seen the strangest behavior for overnight BG levels for the last few weeks. 
Here's my routine: I take 10-12u Lantus every night between 11-12 PM. Lately I have been aiming for a pre-bedtime BG of 120-150 since I quite often wake up low. Usually what the CGM shows is that the Lantus starts hitting at about 2 AM, and I'll have a steady drop all through the night until I hit a low between 7-9. However, in the last couple weeks, what happens is that I will go to bed between 110-150 (it's a small window and hard to hit), spike up to 200, and just stay there until I wake up. As soon as I start moving around the Lantus kicks in and I drop about 50 points an hour. 
A couple of these spikes I can attribute to a fatty dinner (though the spikes were late, usually they arrive after 3 hours and these took about 5). I just don't understand why the Lantus is sitting inert in my body until I wake up. This is my big concern. Thoughts?</t>
        </is>
      </c>
      <c r="D1146" t="n">
        <v>4</v>
      </c>
      <c r="E1146" t="n">
        <v>7</v>
      </c>
      <c r="F1146">
        <f>HYPERLINK("https://www.reddit.com/r/diabetes/comments/3etepz/strange_lantus_behavior/")</f>
        <v/>
      </c>
      <c r="G1146" t="inlineStr">
        <is>
          <t>2015-07-27 13:48:56</t>
        </is>
      </c>
      <c r="H1146" t="inlineStr">
        <is>
          <t>Type 1</t>
        </is>
      </c>
    </row>
    <row r="1147">
      <c r="A1147" t="inlineStr">
        <is>
          <t>3eu999</t>
        </is>
      </c>
      <c r="B1147" t="inlineStr">
        <is>
          <t>Time for a New Pump- Suggestions?</t>
        </is>
      </c>
      <c r="C1147" t="inlineStr">
        <is>
          <t xml:space="preserve">My 13 year old daughter is eligible for a new pump.  She's super active, plays volley ball, soccer, lots of swimming.  We've had a Medtronic for the last four years.  We're considering the TSlim, Animas Ping, or the Medtronic 530 G.  Any thoughts/suggestions?
</t>
        </is>
      </c>
      <c r="D1147" t="n">
        <v>4</v>
      </c>
      <c r="E1147" t="n">
        <v>10</v>
      </c>
      <c r="F1147">
        <f>HYPERLINK("https://www.reddit.com/r/diabetes/comments/3eu999/time_for_a_new_pump_suggestions/")</f>
        <v/>
      </c>
      <c r="G1147" t="inlineStr">
        <is>
          <t>2015-07-27 17:44:01</t>
        </is>
      </c>
      <c r="H1147" t="inlineStr">
        <is>
          <t>Type 1</t>
        </is>
      </c>
    </row>
    <row r="1148">
      <c r="A1148" t="inlineStr">
        <is>
          <t>3evzva</t>
        </is>
      </c>
      <c r="B1148" t="inlineStr">
        <is>
          <t>Nice Relaxing Holiday</t>
        </is>
      </c>
      <c r="C1148" t="inlineStr">
        <is>
          <t xml:space="preserve">So I'm spending a week in the sun with the family, and I manage my diabetes with diet and exercise, which shouldn't be too hard...
Oh, but my back has gone from lifting luggage so I can't exercise, but diet I can manage...
Oh, but the family has decided everyone can live on pasta and pizza for a week because it's "easy".  At least with all the rest from exercise I can take good care of my feet...
Oh, but they've been attacked by mosquitoes and are covered in itchy sores!
Yes, a nice relaxing holiday. </t>
        </is>
      </c>
      <c r="D1148" t="n">
        <v>5</v>
      </c>
      <c r="E1148" t="n">
        <v>3</v>
      </c>
      <c r="F1148">
        <f>HYPERLINK("https://www.reddit.com/r/diabetes/comments/3evzva/nice_relaxing_holiday/")</f>
        <v/>
      </c>
      <c r="G1148" t="inlineStr">
        <is>
          <t>2015-07-28 04:56:58</t>
        </is>
      </c>
      <c r="H1148" t="inlineStr">
        <is>
          <t>Type 2</t>
        </is>
      </c>
    </row>
    <row r="1149">
      <c r="A1149" t="inlineStr">
        <is>
          <t>3ez155</t>
        </is>
      </c>
      <c r="B1149" t="inlineStr">
        <is>
          <t>No health insurance, or job</t>
        </is>
      </c>
      <c r="C1149" t="inlineStr">
        <is>
          <t>I'm a 21 year old type 1 diabetic with no income currently. How do I get help with Health insurance until I'm on my feet again?</t>
        </is>
      </c>
      <c r="D1149" t="n">
        <v>4</v>
      </c>
      <c r="E1149" t="n">
        <v>11</v>
      </c>
      <c r="F1149">
        <f>HYPERLINK("https://www.reddit.com/r/diabetes/comments/3ez155/no_health_insurance_or_job/")</f>
        <v/>
      </c>
      <c r="G1149" t="inlineStr">
        <is>
          <t>2015-07-28 18:16:25</t>
        </is>
      </c>
      <c r="H1149" t="inlineStr">
        <is>
          <t>Type 1</t>
        </is>
      </c>
    </row>
    <row r="1150">
      <c r="A1150" t="inlineStr">
        <is>
          <t>3f177o</t>
        </is>
      </c>
      <c r="B1150" t="inlineStr">
        <is>
          <t>Question about low bs and symptoms</t>
        </is>
      </c>
      <c r="C1150" t="inlineStr">
        <is>
          <t>Normally I will feel bad, both psysically and mentally below 3 mmol/L and I would think that I would be pretty non-functional below 1, but I had an unfortunate chain of events recently, which made me question how the body processes brain activity with extremely low bs under certain circumstances
SO, what happened one evening was: I was done with a hard session of swimming practice, headed home, took a good load of insulin to cover the huge meal I was about to devour, all good. Half way into the meal, I feel ill and run to the bathroom to throw everything up (found out later it was a virus). From here I can't even drink water without throwing it back up, leaving me with a huge amount of insulin in my blood without the carbs to cover. So after desperately trying to eat 3 packs of tablets and drinking juice with no luck, I test my bs.. 1.1, fuck. The thing is, though, that I'm fully conscious and no physical issues, besides the virus making my stomach ill. So I call an ambulance, they arrive, look at me, have a chit chat, checking my eyes with a light and conclude that we're not in a rush. Test my bs again, now saying, simply, "LO". Still, the ambulance folks aren't in a rush and just drive me to the hospital, trying to feed me different substances of sugar.. with no luck. I suggested glucagon injection or giving me some sugar-infusion, but again, no rush. So I'm just sitting in a hospital bed now, been under 1 mmol/L for at least 40 minutes now and still feeling clear-minded. I ended up getting sugar infused and went home the morning after.
tl;dr: Got ill and couldn't eat, went below 1 mmol/L without having symptoms of low bs
Question is: What gives? Was it because of excercise or maybe adrenaline?</t>
        </is>
      </c>
      <c r="D1150" t="n">
        <v>3</v>
      </c>
      <c r="E1150" t="n">
        <v>6</v>
      </c>
      <c r="F1150">
        <f>HYPERLINK("https://www.reddit.com/r/diabetes/comments/3f177o/question_about_low_bs_and_symptoms/")</f>
        <v/>
      </c>
      <c r="G1150" t="inlineStr">
        <is>
          <t>2015-07-29 07:39:05</t>
        </is>
      </c>
      <c r="H1150" t="inlineStr">
        <is>
          <t>Type 1</t>
        </is>
      </c>
    </row>
    <row r="1151">
      <c r="A1151" t="inlineStr">
        <is>
          <t>3f1lug</t>
        </is>
      </c>
      <c r="B1151" t="inlineStr">
        <is>
          <t>Cloudy vision</t>
        </is>
      </c>
      <c r="C1151" t="inlineStr">
        <is>
          <t>I've been going through some issues and not monitoring my blood sugar regularly.
In the past month I've not been paying much attention to my diet (binging like a pig) and just generally been in a bad state of health both physically and mentally.
I've been getting these giant boils on my back and my vision has got worse in this month. Should I get fitted for new glasses or try controlling my blood sugar for some time and see if the cloudiness disappears?
Suffering from depression and anxiety makes it difficult for me to take care of myself physically. It's good a day if I get to have a shower.
Thanks for all the help and will visit a doctor soon.</t>
        </is>
      </c>
      <c r="D1151" t="n">
        <v>4</v>
      </c>
      <c r="E1151" t="n">
        <v>8</v>
      </c>
      <c r="F1151">
        <f>HYPERLINK("https://www.reddit.com/r/diabetes/comments/3f1lug/cloudy_vision/")</f>
        <v/>
      </c>
      <c r="G1151" t="inlineStr">
        <is>
          <t>2015-07-29 09:19:12</t>
        </is>
      </c>
      <c r="H1151" t="inlineStr">
        <is>
          <t>Type 2</t>
        </is>
      </c>
    </row>
    <row r="1152">
      <c r="A1152" t="inlineStr">
        <is>
          <t>3f2b3v</t>
        </is>
      </c>
      <c r="B1152" t="inlineStr">
        <is>
          <t>August 1st is my 27th anniversary of being Type I</t>
        </is>
      </c>
      <c r="C1152" t="inlineStr">
        <is>
          <t xml:space="preserve">It's crazy to think I was diagnosed 27 years ago.  I grew up in a small town of about 12k people and a kid I played baseball with a kid that had diabetes.  It was probably June of 1988 when I learned what he had to do - take needles every single day.  I  remember freaking out at the time thinking, "I could never do that!"  Well, a month later I was in the hospital...strange but true.  I'm healthy as a horse (a healthy horse) thankfully  </t>
        </is>
      </c>
      <c r="D1152" t="n">
        <v>38</v>
      </c>
      <c r="E1152" t="n">
        <v>22</v>
      </c>
      <c r="F1152">
        <f>HYPERLINK("https://www.reddit.com/r/diabetes/comments/3f2b3v/august_1st_is_my_27th_anniversary_of_being_type_i/")</f>
        <v/>
      </c>
      <c r="G1152" t="inlineStr">
        <is>
          <t>2015-07-29 12:01:18</t>
        </is>
      </c>
      <c r="H1152" t="inlineStr">
        <is>
          <t>Type 1</t>
        </is>
      </c>
    </row>
    <row r="1153">
      <c r="A1153" t="inlineStr">
        <is>
          <t>3f6nha</t>
        </is>
      </c>
      <c r="B1153" t="inlineStr">
        <is>
          <t>Medtronic 530g with Enlite</t>
        </is>
      </c>
      <c r="C1153" t="inlineStr">
        <is>
          <t>T1 for 18 years and have been wearing the Enlite sensor for a year and a half now. I have to admit there is a steep learning curve to figure out how to best use this but I really really enjoy the Enlite sensor and it has definitely helped with my overall control.
But everything I read about the sensor is negative and people hate it. I have never tried Dexcom and it may be better, but does anyone else really enjoy their Enlite sensor?</t>
        </is>
      </c>
      <c r="D1153" t="n">
        <v>4</v>
      </c>
      <c r="E1153" t="n">
        <v>13</v>
      </c>
      <c r="F1153">
        <f>HYPERLINK("https://www.reddit.com/r/diabetes/comments/3f6nha/medtronic_530g_with_enlite/")</f>
        <v/>
      </c>
      <c r="G1153" t="inlineStr">
        <is>
          <t>2015-07-30 10:33:12</t>
        </is>
      </c>
      <c r="H1153" t="inlineStr">
        <is>
          <t>Type 1</t>
        </is>
      </c>
    </row>
    <row r="1154">
      <c r="A1154" t="inlineStr">
        <is>
          <t>3fbj94</t>
        </is>
      </c>
      <c r="B1154" t="inlineStr">
        <is>
          <t>How do you ensure accurate blood sugar tests?</t>
        </is>
      </c>
      <c r="C1154" t="inlineStr">
        <is>
          <t>Short of purchasing my own [EKF Diagnostics Biosen C-line](http://www.selectscience.net/products/biosen-c-line--glucose-and-lactate-analysers/?prodID=172449#productDescription) blood analyzer (which is considered sufficiently accurate to be a [reference method](http://www.ncbi.nlm.nih.gov/pubmed/21824188)), which I am seriously considering as I fortunately have the resources to do so, how else are others ensuring the accuracy of their blood glucose lab tests?
When I ask at my branches of [Clinical Pathology Laboratories](http://www.cpllabs.com/) and [AnyLabTestNow](http://www.anylabtestnow.com/) if they can also send the calibration results that go along with the batch my test took place within, they tell me they can't do that (won't?).
I'm asking because when I go in for blood panels drawn for a lab, I bring along a glucometer and a Bayer A1CNow unit, to use the lab results to calibrate. But my HbA1c results do not line up with my glucometer averages.
In January 2015, [AnyLabTestNow!](http://www.anylabtestnow.com/) (who sends in the samples to [Clinical Pathology Laboratories](http://www.cpllabs.com/)) returned a 6.0% HbA1c. That same day, my Bayer A1CNow kit, run multiple times, returned 5.6, 5.3, 5.5, 5.3, and 5.0. My True2Go glucometer, used on average 5 times per day, was returning a 3-month average of 89 across 483 records. The [estimated average blood glucose](http://www.diabeteschart.org/bloodsugarchart.html) from that HbA1c is 125 mg/dL. My glucometer immediately before the blood draw for FBG read 77 mg/dL, which agreed exactly with CPL's result.
This month (July 2015), a [Clinical Pathology Laboratories](http://www.cpllabs.com/) branch returned a 5.7 HbA1c. Same day readings off my Bayer A1CNow kit: 5.4, 5.6, 5.9, 5.6. My True2Go glucometer was returning a 3-month average of 74 across 302 records. The estimated average blood glucose for this HbA1c reading is 117 mg/dL. My glucometer reading for FBG immediately before the blood draw read 65 mg/dL, while CPL read 78 mg/dL.
Concerned about the discrepancies between HbA1c and averages I'm recording, and the blood sugar results between my glucometer (True2Go) and the lab result this month, I went out and purchased two more different brands of glucometers: Abbott Labs' FreeStyle Lite, and Roche's Accu-Chek. They're consistently reading 15 mg/dL higher than the True2Go, which partly but doesn't completely explain the HbA1c and glucometer reading differences.
I was diagnosed at an 11.3% HbA1c in March 2014, so I see a definite trend, but I want much more accurate and granular results than +/- 15-20 mg/dL and trend data spread across months; I'd even settle for precision blood glucose readings if I can calibrate against a trusted reference. For now, I am adding 15 mg/dL to all my True2Go readings and recording that result instead of the meter-reported result (I have three separate True2Go units, and replacing the batteries with fresh ones just-purchased from a store did not change their results), am doubling my test frequency to try to hunt down any uncaught highs, increasing my intermittent fasting intervals and frequencies, and in the future I'll add more glucometer brands to compare between.</t>
        </is>
      </c>
      <c r="D1154" t="n">
        <v>7</v>
      </c>
      <c r="E1154" t="n">
        <v>16</v>
      </c>
      <c r="F1154">
        <f>HYPERLINK("https://www.reddit.com/r/diabetes/comments/3fbj94/how_do_you_ensure_accurate_blood_sugar_tests/")</f>
        <v/>
      </c>
      <c r="G1154" t="inlineStr">
        <is>
          <t>2015-07-31 11:27:18</t>
        </is>
      </c>
      <c r="H1154" t="inlineStr">
        <is>
          <t>Type 2</t>
        </is>
      </c>
    </row>
    <row r="1155">
      <c r="A1155" t="inlineStr">
        <is>
          <t>3fencc</t>
        </is>
      </c>
      <c r="B1155" t="inlineStr">
        <is>
          <t>Newly Diagnosed Type 1, Questions.</t>
        </is>
      </c>
      <c r="C1155" t="inlineStr">
        <is>
          <t xml:space="preserve">Hi guys, here's my story.
I'm a 21 year old guy living in Melbourne, Australia. I was diagnosed with Type 1 Diabetes a month ago. I was on a family holiday when I got all the usual symptoms like fatigue, thirst, dry skin. One afternoon I started throwing up and just felt like none of my muscles were working, went to a GP who tested my blood sugar and then sent me to emergency with a  reading of 34 mmol/L. Way to ruin my holiday, right.
Since then I've slowly been getting used to it and learning the things I need to know, I just have a few things I can't seem to find definitive answers for and I thought maybe you guys could give me some insight and/or personal experiences.
1. I love sport, in the winter I play australian rules football and in summer I play cricket. For those of you who don't know, AFL is a high intensity running game played over 4 quarters. Cricket can often involve running around in temperatures around 35 degrees celsius for 6 hours. I suppose I'm just not really sure what to do with my insulin when I'm going to be doing this, is it better to run a little high during the games? Should I eat carbs and not inject before playing? And how often should I be testing during? What sort of foods/insulin should I have on hand if I get high/low?
2. Alcohol. I won't lie, I love a beer, but I'm scared about what it's going to do to my blood sugar. I know that beer will initially lead to a high but then could drop my sugars later due to the liver being busy sorting out the alcohol? Does that mean low-carb beers are a bad idea, since you probably want to run a little high while drinking?
3. Carrying my shit around. I hate carrying a backpack everywhere, despise it. Do you guys have any way around carrying everything necessary with a bit more ease?
4. Realistically, how often should I be going to the doctor? I feel like I've got a good handle on my sugars, I'm just not sure how often I should be checking in, and what I should be asking?
5.  Currently I'm on 4 daily injections, 3 X NovoRapid with meals and 1 X Lantus before bed. I know there's other options out there (pumps, continuous monitors) but I've got no idea about the pros and cons of them, and at what price they come.
I'd love it if you guys have any other tips you think I might find helpful, or that you found helpful when you were first diagnosed. I'm just looking to soak in as much information as possible at the moment!
Thanks,
BILC. </t>
        </is>
      </c>
      <c r="D1155" t="n">
        <v>5</v>
      </c>
      <c r="E1155" t="n">
        <v>21</v>
      </c>
      <c r="F1155">
        <f>HYPERLINK("https://www.reddit.com/r/diabetes/comments/3fencc/newly_diagnosed_type_1_questions/")</f>
        <v/>
      </c>
      <c r="G1155" t="inlineStr">
        <is>
          <t>2015-08-01 06:52:51</t>
        </is>
      </c>
      <c r="H1155" t="inlineStr">
        <is>
          <t>Type 1</t>
        </is>
      </c>
    </row>
    <row r="1156">
      <c r="A1156" t="inlineStr">
        <is>
          <t>3ffgjs</t>
        </is>
      </c>
      <c r="B1156" t="inlineStr">
        <is>
          <t>a type 2 diabetic with NORMAL weight enjoys a commercially available vegetable drink (88kcal, carb 10 gm, sugar 8 gm dietary fiber 2.5 gm, salt 2.3 gm, per 250 ml = 1 cup) with supper. Would this be considered medium or low carb/sugar?</t>
        </is>
      </c>
      <c r="C1156" t="inlineStr">
        <is>
          <t>Hello, a type 2 diabetic  with NORMAL WEIGHT enjoys a commercially available vegetable drink (88kcal, carb 10 gm, sugar 8 gm dietary fiber 2.5 gm, salt 2.3 gm, per 250 ml = 1 cup) with supper. Would this be considered medium or low carb/sugar? In terms of carb/sugar how much is reasonable? 250 ml? 500 ml (even better!)? thank you so much for your time and help.</t>
        </is>
      </c>
      <c r="D1156" t="n">
        <v>1</v>
      </c>
      <c r="E1156" t="n">
        <v>11</v>
      </c>
      <c r="F1156">
        <f>HYPERLINK("https://www.reddit.com/r/diabetes/comments/3ffgjs/a_type_2_diabetic_with_normal_weight_enjoys_a/")</f>
        <v/>
      </c>
      <c r="G1156" t="inlineStr">
        <is>
          <t>2015-08-01 11:19:04</t>
        </is>
      </c>
      <c r="H1156" t="inlineStr">
        <is>
          <t>Type 2</t>
        </is>
      </c>
    </row>
    <row r="1157">
      <c r="A1157" t="inlineStr">
        <is>
          <t>3fggm7</t>
        </is>
      </c>
      <c r="B1157" t="inlineStr">
        <is>
          <t>Vibe or t:slim?</t>
        </is>
      </c>
      <c r="C1157" t="inlineStr">
        <is>
          <t>New here to the subreddit. My animas ping's warranty just expired, and looking to move forward as new tech comes out. 
What are your thoughts on the vibe and t:slim? 
Some context: t1, socal kaiser, currently using dexcom cgm.</t>
        </is>
      </c>
      <c r="D1157" t="n">
        <v>3</v>
      </c>
      <c r="E1157" t="n">
        <v>2</v>
      </c>
      <c r="F1157">
        <f>HYPERLINK("https://www.reddit.com/r/diabetes/comments/3fggm7/vibe_or_tslim/")</f>
        <v/>
      </c>
      <c r="G1157" t="inlineStr">
        <is>
          <t>2015-08-01 16:34:25</t>
        </is>
      </c>
      <c r="H1157" t="inlineStr">
        <is>
          <t>Type 1</t>
        </is>
      </c>
    </row>
    <row r="1158">
      <c r="A1158" t="inlineStr">
        <is>
          <t>3fi42s</t>
        </is>
      </c>
      <c r="B1158" t="inlineStr">
        <is>
          <t>Girlfriend recently diagnosed type 1.</t>
        </is>
      </c>
      <c r="C1158" t="inlineStr">
        <is>
          <t>So my girlfriend was Diagnosed Type 1 about a week and abit ago. Im feeling really out of place with things i can do to help her and what to do if something was to happen whilst i am around.
If anybody has any advice they can give me first hand, id appreciate that alot.
Edit: Me and my girlfriend live in Scotland.</t>
        </is>
      </c>
      <c r="D1158" t="n">
        <v>15</v>
      </c>
      <c r="E1158" t="n">
        <v>30</v>
      </c>
      <c r="F1158">
        <f>HYPERLINK("https://www.reddit.com/r/diabetes/comments/3fi42s/girlfriend_recently_diagnosed_type_1/")</f>
        <v/>
      </c>
      <c r="G1158" t="inlineStr">
        <is>
          <t>2015-08-02 05:19:14</t>
        </is>
      </c>
      <c r="H1158" t="inlineStr">
        <is>
          <t>Type 1</t>
        </is>
      </c>
    </row>
    <row r="1159">
      <c r="A1159" t="inlineStr">
        <is>
          <t>3fj7ki</t>
        </is>
      </c>
      <c r="B1159" t="inlineStr">
        <is>
          <t>[Pumpers] Insulin duration (for IOB calculations)?</t>
        </is>
      </c>
      <c r="C1159" t="inlineStr">
        <is>
          <t>Hi guys- I'm a little over a month into the pump club, and still fine-tuning basal rates, carb ratios and correction factors, etc.
I was just wondering if there's any kind of consensus (or consensus range) for insulin duration among the pumpers of /r/diabetes 
My endo had me start at 4 hours, and I've determined that it's a little too long, so I've dropped it to 3:30, but I'm curious as to what works for others. Obviously, I appreciate the ability to avoid stacking, etc, but that has to be balanced with the pump being able to accurately calculate a needed correction bolus. So, what do you use?</t>
        </is>
      </c>
      <c r="D1159" t="n">
        <v>5</v>
      </c>
      <c r="E1159" t="n">
        <v>16</v>
      </c>
      <c r="F1159">
        <f>HYPERLINK("https://www.reddit.com/r/diabetes/comments/3fj7ki/pumpers_insulin_duration_for_iob_calculations/")</f>
        <v/>
      </c>
      <c r="G1159" t="inlineStr">
        <is>
          <t>2015-08-02 11:50:29</t>
        </is>
      </c>
      <c r="H1159" t="inlineStr">
        <is>
          <t>Type 1</t>
        </is>
      </c>
    </row>
    <row r="1160">
      <c r="A1160" t="inlineStr">
        <is>
          <t>3fjzzz</t>
        </is>
      </c>
      <c r="B1160" t="inlineStr">
        <is>
          <t>Anyone had to switch from Lantus to Levemir?</t>
        </is>
      </c>
      <c r="C1160" t="inlineStr">
        <is>
          <t>Financial reasons have forced me to switch from Lantus to Levemir.  Has anyone out there in Reddit land had to make this switch and is there anything I have to look out for?  Pharmacist said it was a straight 1:1 conversion but I want your feedback.  Thanks!</t>
        </is>
      </c>
      <c r="D1160" t="n">
        <v>5</v>
      </c>
      <c r="E1160" t="n">
        <v>13</v>
      </c>
      <c r="F1160">
        <f>HYPERLINK("https://www.reddit.com/r/diabetes/comments/3fjzzz/anyone_had_to_switch_from_lantus_to_levemir/")</f>
        <v/>
      </c>
      <c r="G1160" t="inlineStr">
        <is>
          <t>2015-08-02 15:49:19</t>
        </is>
      </c>
      <c r="H1160" t="inlineStr">
        <is>
          <t>Type 1</t>
        </is>
      </c>
    </row>
    <row r="1161">
      <c r="A1161" t="inlineStr">
        <is>
          <t>3fkjec</t>
        </is>
      </c>
      <c r="B1161" t="inlineStr">
        <is>
          <t>My housemate and I are both type 1.</t>
        </is>
      </c>
      <c r="C1161" t="inlineStr">
        <is>
          <t xml:space="preserve">I just got a flat with an old friend from high school. My GF wasn't too happy about it at first (since roomie is a chick, glad we never hooked up), but she chose not to move in so I don't feel so bad, haha. Roomie has been type 1 for two years now, I just found out in Feb. It's kinda cool, we keep an eye on each other, bitch about diabetes, yearn for sugary substances yadda yadda... Most people think it's cool that we are both T1, just thought I would share with my fellow /r/diabetes folks. </t>
        </is>
      </c>
      <c r="D1161" t="n">
        <v>26</v>
      </c>
      <c r="E1161" t="n">
        <v>15</v>
      </c>
      <c r="F1161">
        <f>HYPERLINK("https://www.reddit.com/r/diabetes/comments/3fkjec/my_housemate_and_i_are_both_type_1/")</f>
        <v/>
      </c>
      <c r="G1161" t="inlineStr">
        <is>
          <t>2015-08-02 18:41:55</t>
        </is>
      </c>
      <c r="H1161" t="inlineStr">
        <is>
          <t>Type 1</t>
        </is>
      </c>
    </row>
    <row r="1162">
      <c r="A1162" t="inlineStr">
        <is>
          <t>3fluks</t>
        </is>
      </c>
      <c r="B1162" t="inlineStr">
        <is>
          <t>Dealing with NLD</t>
        </is>
      </c>
      <c r="C1162" t="inlineStr">
        <is>
          <t>I was diagnosed with a not so bad case of necrobiosis lipoidica diabeticorum about 7 years ago. I began treatment in 2010, and it was showing little progress he gave me clobetosol) but had to stop as I moved and went to college. I began treatment again a few months ago with a different dermatologist. This time the treatment is working (I was given the weaker cream). I put it up to the fact that my diabetes is in better control now.
My question is, the doctor doesn't want me to use this cream for too much longer because of the thinning out of my skin, as it is already thinning. Has anyone had success with doing thickening skin regiments? I've googled it and the main suggestion is getting a Retin-A cream prescription. And also some massaging Vitamin E (I think it was Vit. E...) to the area on a daily basis. Anyone try this out or is dealing with this diagnosis? Thank you!</t>
        </is>
      </c>
      <c r="D1162" t="n">
        <v>2</v>
      </c>
      <c r="E1162" t="n">
        <v>0</v>
      </c>
      <c r="F1162">
        <f>HYPERLINK("https://www.reddit.com/r/diabetes/comments/3fluks/dealing_with_nld/")</f>
        <v/>
      </c>
      <c r="G1162" t="inlineStr">
        <is>
          <t>2015-08-03 03:56:35</t>
        </is>
      </c>
      <c r="H1162" t="inlineStr">
        <is>
          <t>Type 1</t>
        </is>
      </c>
    </row>
    <row r="1163">
      <c r="A1163" t="inlineStr">
        <is>
          <t>3fmhjy</t>
        </is>
      </c>
      <c r="B1163" t="inlineStr">
        <is>
          <t>Anyone in the UK got a Dexcom?</t>
        </is>
      </c>
      <c r="C1163" t="inlineStr">
        <is>
          <t xml:space="preserve">I'm looking to get one once I leave college and go to university because I will be able to structure my own finances and will be able to spend freely. I worked out I could technically afford it but it would be a struggle. I've looked into funding from government, charities that support diabetes related issues and I don't fit any of the requirements because of my 5.5% a1c(37 mmol) and the fact I live a healthy life and am coping more than fine without.
What options do I have to lower the cost? </t>
        </is>
      </c>
      <c r="D1163" t="n">
        <v>1</v>
      </c>
      <c r="E1163" t="n">
        <v>4</v>
      </c>
      <c r="F1163">
        <f>HYPERLINK("https://www.reddit.com/r/diabetes/comments/3fmhjy/anyone_in_the_uk_got_a_dexcom/")</f>
        <v/>
      </c>
      <c r="G1163" t="inlineStr">
        <is>
          <t>2015-08-03 07:45:14</t>
        </is>
      </c>
      <c r="H1163" t="inlineStr">
        <is>
          <t>Type 1</t>
        </is>
      </c>
    </row>
    <row r="1164">
      <c r="A1164" t="inlineStr">
        <is>
          <t>3fmlj3</t>
        </is>
      </c>
      <c r="B1164" t="inlineStr">
        <is>
          <t>T1 Anxiety Brought On or Revealed by Lows?</t>
        </is>
      </c>
      <c r="C1164" t="inlineStr">
        <is>
          <t>I've had T1 for 10 yrs, have pretty good control (A1c &amp;lt; 6.5 for 10 yrs, usually around 6.1) and have just started experiencing anxiety that appears to be revealed during lows. I've always relied on breathing and mental exercises to deal with anxiety (which rarely affects me), but recently I've woken up with pretty serious anxiety (heart racing, rapid breathing, stomach upset, mind won't stop obsessing, edit - believe I'm a failure or inadequate and going to lose my job) and none of my normal routines can shake it. It's occurred a number of times throughout the past year. Usually surrounding particularly stressful work situations. 
Each time it's happened it has correlated directly to low blood sugar. I get up, fix my blood sugar, and within 10 minutes I'm fine. The main problem is that I'm so worked up by it that I can't go back to sleep. 
Any ideas on a connection or has anyone else noticed this?
This is work base anxiety. It hasn't previously, but it's starting to make me question my career choice. 
A couple edits: Thank you everyone for your responses! I really appreciate your sentiments and ideas. I'm sorry that other people are experiencing this too. Tho, you also made me feel better that I'm not alone - which this sub always does :) 
Also, I NEVER think or feel that way outside of these episodes at night. Lows usually manifest as light headed, poor decision making abilities, a loss of complex thinking ability, or unprovoked aggression
I have no interest in treating this in any way other than recognizing it quicker and getting some sugar STAT. I do find it very interesting. I'll have to look into the adrenaline thing. I have to point out - it may not be triggered as anxiety, but it becomes anxiety when I start to believe that something is wrong and I'm going to lose my job or something is going to happen to me.</t>
        </is>
      </c>
      <c r="D1164" t="n">
        <v>16</v>
      </c>
      <c r="E1164" t="n">
        <v>17</v>
      </c>
      <c r="F1164">
        <f>HYPERLINK("https://www.reddit.com/r/diabetes/comments/3fmlj3/t1_anxiety_brought_on_or_revealed_by_lows/")</f>
        <v/>
      </c>
      <c r="G1164" t="inlineStr">
        <is>
          <t>2015-08-03 08:15:28</t>
        </is>
      </c>
      <c r="H1164" t="inlineStr">
        <is>
          <t>Type 1</t>
        </is>
      </c>
    </row>
    <row r="1165">
      <c r="A1165" t="inlineStr">
        <is>
          <t>3fn8qt</t>
        </is>
      </c>
      <c r="B1165" t="inlineStr">
        <is>
          <t>What's the most important thing to say to someone who doesn't know you have diabetes type 1?</t>
        </is>
      </c>
      <c r="C1165" t="inlineStr">
        <is>
          <t>Hi guys, 
I am a future university student and in about 2 weeks I will have my 'introduction week'. I am going to meet a lot of new people, and I am scared that something goes wrong with my blood sugars. I am a type 1 diabetic and I kind of always controlled my diabetes quite nicely, but I have been so low before that I couldn't do anything (this was always at night, luckily my family was there). 
With this introduction week coming up, I was wondering what would be the best thing to say to my mentor (who is a second year university student).. I don't know if I should concern them with my worries.
 It's a week with lots of alcohol and running around the city, so there isn't a lot of time to think about my blood sugars and I want to keep track but I am worried that I might not want to when all those new people are there.
I would love some advice on this.. I don't know, I am just freaking out.
(Sorry if there are grammatical mistakes in here, I am not a native speaker)</t>
        </is>
      </c>
      <c r="D1165" t="n">
        <v>4</v>
      </c>
      <c r="E1165" t="n">
        <v>7</v>
      </c>
      <c r="F1165">
        <f>HYPERLINK("https://www.reddit.com/r/diabetes/comments/3fn8qt/whats_the_most_important_thing_to_say_to_someone/")</f>
        <v/>
      </c>
      <c r="G1165" t="inlineStr">
        <is>
          <t>2015-08-03 10:59:19</t>
        </is>
      </c>
      <c r="H1165" t="inlineStr">
        <is>
          <t>Type 1</t>
        </is>
      </c>
    </row>
    <row r="1166">
      <c r="A1166" t="inlineStr">
        <is>
          <t>3fnuoa</t>
        </is>
      </c>
      <c r="B1166" t="inlineStr">
        <is>
          <t>NFL player claims type 1 diabetes is reversible and he is "diabetes free"</t>
        </is>
      </c>
      <c r="C1166" t="inlineStr">
        <is>
          <t>What am I reading? this is clearly a typo correct? 
http://www.azcardinals.com/news-and-events/article-2/Patrick-Peterson-Says-Hes-Diabetes-Free/ddecc2dd-5d57-42ed-9c2d-92ddbee5360e</t>
        </is>
      </c>
      <c r="D1166" t="n">
        <v>6</v>
      </c>
      <c r="E1166" t="n">
        <v>21</v>
      </c>
      <c r="F1166">
        <f>HYPERLINK("https://www.reddit.com/r/diabetes/comments/3fnuoa/nfl_player_claims_type_1_diabetes_is_reversible/")</f>
        <v/>
      </c>
      <c r="G1166" t="inlineStr">
        <is>
          <t>2015-08-03 13:28:08</t>
        </is>
      </c>
      <c r="H1166" t="inlineStr">
        <is>
          <t>Type 1</t>
        </is>
      </c>
    </row>
    <row r="1167">
      <c r="A1167" t="inlineStr">
        <is>
          <t>3fph21</t>
        </is>
      </c>
      <c r="B1167" t="inlineStr">
        <is>
          <t>Lantus leakage after injection?</t>
        </is>
      </c>
      <c r="C1167" t="inlineStr">
        <is>
          <t>I took a pump break while on vacation at the beach and decided to stick with it for awhile.  It's been a long time since I've been on pens, so I don't remember exactly all the nuances.  I know that after doing an injection, you're supposed to keep the needle in your skin for like 5 seconds or something before removing it.  
After taking my Lantus injection tonight, when I removed the needle, there was some liquid that pooled up on my skin.  A tiny bit of blood, but mostly clear liquid.  It wasn't a super small amount either.  I kind of poked at the area a little and more liquid came out.  I'm assuming that this liquid was my Lantus, yes?  That hadn't absorbed yet?
Am I supposed to wait longer than 5 seconds?  How do I deal with the fact that I have no idea how much Lantus I actually took?  Just take a shit ton of corrections all day tomorrow?  How can I prevent this in the future?</t>
        </is>
      </c>
      <c r="D1167" t="n">
        <v>1</v>
      </c>
      <c r="E1167" t="n">
        <v>11</v>
      </c>
      <c r="F1167">
        <f>HYPERLINK("https://www.reddit.com/r/diabetes/comments/3fph21/lantus_leakage_after_injection/")</f>
        <v/>
      </c>
      <c r="G1167" t="inlineStr">
        <is>
          <t>2015-08-03 20:58:39</t>
        </is>
      </c>
      <c r="H1167" t="inlineStr">
        <is>
          <t>Type 1</t>
        </is>
      </c>
    </row>
    <row r="1168">
      <c r="A1168" t="inlineStr">
        <is>
          <t>3fplui</t>
        </is>
      </c>
      <c r="B1168" t="inlineStr">
        <is>
          <t>Something Weird</t>
        </is>
      </c>
      <c r="C1168" t="inlineStr">
        <is>
          <t xml:space="preserve">So, I was feeling very run down today and decided to buy an energy drink.  Said to myself, 'yup this is gonna mess with my sugar levels', but the strange thing is?  My sugar levels are down 5 points.  from 10(a bit high for me) to 5.  Any idea what's going on?  Is this a sign of a horrible unforeseen problem?  Any advice would be fantastic, since I'm just a tad worried. </t>
        </is>
      </c>
      <c r="D1168" t="n">
        <v>1</v>
      </c>
      <c r="E1168" t="n">
        <v>9</v>
      </c>
      <c r="F1168">
        <f>HYPERLINK("https://www.reddit.com/r/diabetes/comments/3fplui/something_weird/")</f>
        <v/>
      </c>
      <c r="G1168" t="inlineStr">
        <is>
          <t>2015-08-03 21:43:36</t>
        </is>
      </c>
      <c r="H1168" t="inlineStr">
        <is>
          <t>Type 2</t>
        </is>
      </c>
    </row>
    <row r="1169">
      <c r="A1169" t="inlineStr">
        <is>
          <t>3frn30</t>
        </is>
      </c>
      <c r="B1169" t="inlineStr">
        <is>
          <t>Questioning Type 1 Diagnosis</t>
        </is>
      </c>
      <c r="C1169" t="inlineStr">
        <is>
          <t>In late May of this year I started having the classic signs of diabetes.  First I started losing weight, and I thought it was my new “Smoothie miracle diet”.  Then I started getting extremely thirsty, and having to pee all the time.  I got ahold of a glucose meter and tested at 450.  The next day it was up 500, later in the day it just read “HI”.  Dr. Google told me to check my ketones (and get to the ER right away, but meh).  I got some ketone strips and they were off scale as HI.  I had my wife check hers (as a control) and they tested normal.
This was all over the weekend.  I got in to see my primary on Monday (no rush, right?) and he said I needed to go to the ER.  So, I went to the ER that night and was admitted.  I was given insulin, potassium, and bags of IV fluid.  My A1c was 13.8.
After I was released from the hospital, my primary care Dr. referred me to an Endocrinologist.   The endo took one look at me and said I think your type 1.  Mostly because I wasn’t overweight.  After losing those 50 lbs, I was at about 175 lbs (6ft tall).  He said we should check my C-peptide and go from there.  That test came back as “normal” but the endo interpreted that as “relatively low - Type 1 confirmed”.  Recently I asked if they could check my GAD antibodies.  The labs found no antibodies.
Maybe I shouldn’t care about the “type” if the meds and diet seem to be working.  I am currently on 25U of Lantus at night, and am doing great with a low carb diet.  I average around 105/week with a couple of highs in the 180s and a couple of lows in the 60s per week. 
Do you guys think they have my diagnosis right as Type 1?  I know that some type 1 people do not test positive for antibodies; I was only tested for GADA.  It just seems that if you were to look at the labs, I would say Type 2.  I’m in my early 40’s, I didn’t eat well before the diagnosis, and before the weight loss I was definitely not skinny.
I’m going to see the endo again next week.  Let me know if there are any other additional questions I should ask the Dr.  This experience has really made me feel for those of you that suspect you are type 1, but the doctors shrug it off because overweight=Type 2.</t>
        </is>
      </c>
      <c r="D1169" t="n">
        <v>1</v>
      </c>
      <c r="E1169" t="n">
        <v>10</v>
      </c>
      <c r="F1169">
        <f>HYPERLINK("https://www.reddit.com/r/diabetes/comments/3frn30/questioning_type_1_diagnosis/")</f>
        <v/>
      </c>
      <c r="G1169" t="inlineStr">
        <is>
          <t>2015-08-04 10:05:26</t>
        </is>
      </c>
      <c r="H1169" t="inlineStr">
        <is>
          <t>Type 1</t>
        </is>
      </c>
    </row>
    <row r="1170">
      <c r="A1170" t="inlineStr">
        <is>
          <t>3fsxx3</t>
        </is>
      </c>
      <c r="B1170" t="inlineStr">
        <is>
          <t>Lancets: How frequently should I change them?</t>
        </is>
      </c>
      <c r="C1170" t="inlineStr">
        <is>
          <t>So I tend to go for months without changing my lancets. Has anyone here gotten infected from not changing them? Know anyone who has? I think I should probably change them more frequently, but I never think to do it.</t>
        </is>
      </c>
      <c r="D1170" t="n">
        <v>3</v>
      </c>
      <c r="E1170" t="n">
        <v>19</v>
      </c>
      <c r="F1170">
        <f>HYPERLINK("https://www.reddit.com/r/diabetes/comments/3fsxx3/lancets_how_frequently_should_i_change_them/")</f>
        <v/>
      </c>
      <c r="G1170" t="inlineStr">
        <is>
          <t>2015-08-04 15:24:49</t>
        </is>
      </c>
      <c r="H1170" t="inlineStr">
        <is>
          <t>Type 1</t>
        </is>
      </c>
    </row>
    <row r="1171">
      <c r="A1171" t="inlineStr">
        <is>
          <t>3ftrjx</t>
        </is>
      </c>
      <c r="B1171" t="inlineStr">
        <is>
          <t>I recently wrote a cookbook on amazon in memory of my father.</t>
        </is>
      </c>
      <c r="C1171" t="inlineStr">
        <is>
          <t>I am a chef at a 5 star steak house in indiana and I compiled a cookbook of my fathers favorite recipes it is complete with all nutritional facts he was type 2 as well as I if you have a kindle feel free to check it out it is also available for kindle web viewer forgive me if there is any formatting mistakes I am a chef not much of an author here you go hope you enjoy http://www.amazon.com/gp/product/B013FAINYQ?*Version*=1&amp;amp;*entries*=0</t>
        </is>
      </c>
      <c r="D1171" t="n">
        <v>1</v>
      </c>
      <c r="E1171" t="n">
        <v>2</v>
      </c>
      <c r="F1171">
        <f>HYPERLINK("https://www.reddit.com/r/diabetes/comments/3ftrjx/i_recently_wrote_a_cookbook_on_amazon_in_memory/")</f>
        <v/>
      </c>
      <c r="G1171" t="inlineStr">
        <is>
          <t>2015-08-04 19:22:18</t>
        </is>
      </c>
      <c r="H1171" t="inlineStr">
        <is>
          <t>Type 2</t>
        </is>
      </c>
    </row>
    <row r="1172">
      <c r="A1172" t="inlineStr">
        <is>
          <t>3fvct8</t>
        </is>
      </c>
      <c r="B1172" t="inlineStr">
        <is>
          <t>Numbness in toes for over two days</t>
        </is>
      </c>
      <c r="C1172" t="inlineStr">
        <is>
          <t>Also, there is also a little pain when I step--especially at the end of the day.
Is this neuropathy?
If it is, will the feeling in my toes ever return?
What can I expect over the next weeks and months?
I'm making an appointment with my doctor, just figured I'd get the skinny while I wait.  
Thanks.</t>
        </is>
      </c>
      <c r="D1172" t="n">
        <v>3</v>
      </c>
      <c r="E1172" t="n">
        <v>8</v>
      </c>
      <c r="F1172">
        <f>HYPERLINK("https://www.reddit.com/r/diabetes/comments/3fvct8/numbness_in_toes_for_over_two_days/")</f>
        <v/>
      </c>
      <c r="G1172" t="inlineStr">
        <is>
          <t>2015-08-05 05:57:26</t>
        </is>
      </c>
      <c r="H1172" t="inlineStr">
        <is>
          <t>Type 1</t>
        </is>
      </c>
    </row>
    <row r="1173">
      <c r="A1173" t="inlineStr">
        <is>
          <t>3fw220</t>
        </is>
      </c>
      <c r="B1173" t="inlineStr">
        <is>
          <t>Type I's: What do you see happen to your blood sugar after drinking beer?</t>
        </is>
      </c>
      <c r="C1173" t="inlineStr">
        <is>
          <t>I am a Type I and am always a bit befuddled by what happens to my blood sugars after beer. I like IPAs, but sometimes the carbs don't seem to affect me, while other times I'll see a quick spike in my blood sugar. What do you guys notice after you've had a beer, or two?</t>
        </is>
      </c>
      <c r="D1173" t="n">
        <v>3</v>
      </c>
      <c r="E1173" t="n">
        <v>19</v>
      </c>
      <c r="F1173">
        <f>HYPERLINK("https://www.reddit.com/r/diabetes/comments/3fw220/type_is_what_do_you_see_happen_to_your_blood/")</f>
        <v/>
      </c>
      <c r="G1173" t="inlineStr">
        <is>
          <t>2015-08-05 09:12:53</t>
        </is>
      </c>
      <c r="H1173" t="inlineStr">
        <is>
          <t>Type 1</t>
        </is>
      </c>
    </row>
    <row r="1174">
      <c r="A1174" t="inlineStr">
        <is>
          <t>3fwsjy</t>
        </is>
      </c>
      <c r="B1174" t="inlineStr">
        <is>
          <t>Success! Had to share with anyone who will listen!</t>
        </is>
      </c>
      <c r="C1174" t="inlineStr">
        <is>
          <t xml:space="preserve">I've been on a great diet/exercise program for the past month. I've lost about 5 pounds so far, and I'm feeling really great! I've been really cutting back on carbs and mainly focusing on proteins, veggies and fruits. I've been drinking water or La Croix carbonated flavored water. My sensitivity to insulin has increased dramatically! I have barely bolused for food and I'm still in the 65-100 range every time I test. I've been gradually decreasing my basal rates because my blood sugars have been dropping significantly. This is crazy to me! I bet my next A1C will be amazing. Has this happened to anyone else here? For reference, my past habits have been pretty poor; going out to eat, not caring about my blood sugars, and not exercising. I feel like I've turned a leaf over and I'm ready to really start caring for my body and myself! I feel more confident and happy in general! I hope I can keep up the hard work and stick with this. I have to remind myself of where I've been and how I feel today. My mom used to always tell me it's "nearly impossible" for T1 diabetics to lose weight. She always made me feel terrible about myself and would criticize me for my blood sugars. I am going to prove her wrong! I CAN lose weight, I can feel good, and I can love myself! If you're reading this and are struggling with weight, let me tell you that you CAN do it! Once you take the first step, it gets easier and part of your routine. Maybe start with adding a walk every day. Maybe start getting rid of the bad foods in your diet one by one. Every little bit helps! :-) I wish I would have started this weight loss/wellness journey sooner! </t>
        </is>
      </c>
      <c r="D1174" t="n">
        <v>1</v>
      </c>
      <c r="E1174" t="n">
        <v>1</v>
      </c>
      <c r="F1174">
        <f>HYPERLINK("https://www.reddit.com/r/diabetes/comments/3fwsjy/success_had_to_share_with_anyone_who_will_listen/")</f>
        <v/>
      </c>
      <c r="G1174" t="inlineStr">
        <is>
          <t>2015-08-05 12:11:48</t>
        </is>
      </c>
      <c r="H1174" t="inlineStr">
        <is>
          <t>Type 1</t>
        </is>
      </c>
    </row>
    <row r="1175">
      <c r="A1175" t="inlineStr">
        <is>
          <t>3fxhzt</t>
        </is>
      </c>
      <c r="B1175" t="inlineStr">
        <is>
          <t>Pump wearers who are athletic or have lypoatrophy, are you running out of places to put your pump?</t>
        </is>
      </c>
      <c r="C1175" t="inlineStr">
        <is>
          <t>I am a fairly athletic person that also gets giant dents from the pump sucking away my fat. It seems like I am nearly out of places to put my pump. Anyone else have this problem?</t>
        </is>
      </c>
      <c r="D1175" t="n">
        <v>1</v>
      </c>
      <c r="E1175" t="n">
        <v>4</v>
      </c>
      <c r="F1175">
        <f>HYPERLINK("https://www.reddit.com/r/diabetes/comments/3fxhzt/pump_wearers_who_are_athletic_or_have_lypoatrophy/")</f>
        <v/>
      </c>
      <c r="G1175" t="inlineStr">
        <is>
          <t>2015-08-05 15:08:18</t>
        </is>
      </c>
      <c r="H1175" t="inlineStr">
        <is>
          <t>Type 1</t>
        </is>
      </c>
    </row>
    <row r="1176">
      <c r="A1176" t="inlineStr">
        <is>
          <t>3fxiq4</t>
        </is>
      </c>
      <c r="B1176" t="inlineStr">
        <is>
          <t>Impending stomach bug - any way to prepare?</t>
        </is>
      </c>
      <c r="C1176" t="inlineStr">
        <is>
          <t>Hi all,
I have type 1, and am a CGM and pump user. Last night I ate a bunch of chicken, but this morning when I went to eat leftovers I realized that the chicken was really, really undercooked. Oops :/ My body tends to go into DKA really quickly when I have stomach bugs, and I always seem to end up in the hospital. Google tells me I have 72 hours for salmonella to hit if it's going to. Any ways you can think of for me to prepare myself for this if it's going to happen? I'm thinking like meds I should buy now while I still can, or foods I should eat or avoid or whatever. 
I'm crossing my fingers that I'll get lucky and not get sick, but can't hurt to try to prepare as much as possible. Thanks all!</t>
        </is>
      </c>
      <c r="D1176" t="n">
        <v>4</v>
      </c>
      <c r="E1176" t="n">
        <v>10</v>
      </c>
      <c r="F1176">
        <f>HYPERLINK("https://www.reddit.com/r/diabetes/comments/3fxiq4/impending_stomach_bug_any_way_to_prepare/")</f>
        <v/>
      </c>
      <c r="G1176" t="inlineStr">
        <is>
          <t>2015-08-05 15:13:56</t>
        </is>
      </c>
      <c r="H1176" t="inlineStr">
        <is>
          <t>Type 1</t>
        </is>
      </c>
    </row>
    <row r="1177">
      <c r="A1177" t="inlineStr">
        <is>
          <t>3g45sr</t>
        </is>
      </c>
      <c r="B1177" t="inlineStr">
        <is>
          <t>Anyone else type 1 and have an end ileostomy?</t>
        </is>
      </c>
      <c r="C1177" t="inlineStr">
        <is>
          <t>Hi,
I was diagnosed last year with type 1 diabetes and I have an end ileostomy (stoma).  
I have had trouble with keeping consistent BG levels, and suffer from hypo unawareness.  
I had been talking to my consultant and nurse about going onto a pump, but just had a call today, asking me to try not taking the basal insulin, and just bolus for meals! not to happy as on fasting tests my BG levels stay steady, but will do as they have asked.  
I was wondering if there is anyone else here who is also Type 1 and has an end ileostomy, how have you got on, do you have erratic BG levels, other complications with BG due to your stoma ?</t>
        </is>
      </c>
      <c r="D1177" t="n">
        <v>2</v>
      </c>
      <c r="E1177" t="n">
        <v>4</v>
      </c>
      <c r="F1177">
        <f>HYPERLINK("https://www.reddit.com/r/diabetes/comments/3g45sr/anyone_else_type_1_and_have_an_end_ileostomy/")</f>
        <v/>
      </c>
      <c r="G1177" t="inlineStr">
        <is>
          <t>2015-08-07 03:31:17</t>
        </is>
      </c>
      <c r="H1177" t="inlineStr">
        <is>
          <t>Type 1</t>
        </is>
      </c>
    </row>
    <row r="1178">
      <c r="A1178" t="inlineStr">
        <is>
          <t>3g4f0y</t>
        </is>
      </c>
      <c r="B1178" t="inlineStr">
        <is>
          <t>Alcohol and Diabetes type 1</t>
        </is>
      </c>
      <c r="C1178" t="inlineStr">
        <is>
          <t>I was recently diagnosed with Diabetes type 1 and I'm beginning to understand most concepts but no doctor will tell me about drinking alcohol and I was just wondering what every bodies experiences with drinking have been and how they manage it.</t>
        </is>
      </c>
      <c r="D1178" t="n">
        <v>21</v>
      </c>
      <c r="E1178" t="n">
        <v>37</v>
      </c>
      <c r="F1178">
        <f>HYPERLINK("https://www.reddit.com/r/diabetes/comments/3g4f0y/alcohol_and_diabetes_type_1/")</f>
        <v/>
      </c>
      <c r="G1178" t="inlineStr">
        <is>
          <t>2015-08-07 05:25:48</t>
        </is>
      </c>
      <c r="H1178" t="inlineStr">
        <is>
          <t>Type 1</t>
        </is>
      </c>
    </row>
    <row r="1179">
      <c r="A1179" t="inlineStr">
        <is>
          <t>3g9v8t</t>
        </is>
      </c>
      <c r="B1179" t="inlineStr">
        <is>
          <t>When was the last time you had a blood sugar reading over 200?</t>
        </is>
      </c>
      <c r="C1179" t="inlineStr">
        <is>
          <t>I just got one of 229 and im freaking out</t>
        </is>
      </c>
      <c r="D1179" t="n">
        <v>5</v>
      </c>
      <c r="E1179" t="n">
        <v>44</v>
      </c>
      <c r="F1179">
        <f>HYPERLINK("https://www.reddit.com/r/diabetes/comments/3g9v8t/when_was_the_last_time_you_had_a_blood_sugar/")</f>
        <v/>
      </c>
      <c r="G1179" t="inlineStr">
        <is>
          <t>2015-08-08 12:34:53</t>
        </is>
      </c>
      <c r="H1179" t="inlineStr">
        <is>
          <t>Type 1</t>
        </is>
      </c>
    </row>
    <row r="1180">
      <c r="A1180" t="inlineStr">
        <is>
          <t>3g9xgv</t>
        </is>
      </c>
      <c r="B1180" t="inlineStr">
        <is>
          <t>Broke and need medicine</t>
        </is>
      </c>
      <c r="C1180" t="inlineStr">
        <is>
          <t xml:space="preserve">I am flat broke, have my account in negative status, and today is my last unit of Lantus. I get paid next Friday so I'll be able to afford it then. My prescription is $300. How bad is it if I hold off on getting the prescription until next week? I still have my Lantus so I'm curious on how badly the negative affects will be. </t>
        </is>
      </c>
      <c r="D1180" t="n">
        <v>3</v>
      </c>
      <c r="E1180" t="n">
        <v>19</v>
      </c>
      <c r="F1180">
        <f>HYPERLINK("https://www.reddit.com/r/diabetes/comments/3g9xgv/broke_and_need_medicine/")</f>
        <v/>
      </c>
      <c r="G1180" t="inlineStr">
        <is>
          <t>2015-08-08 12:53:37</t>
        </is>
      </c>
      <c r="H1180" t="inlineStr">
        <is>
          <t>Type 1</t>
        </is>
      </c>
    </row>
    <row r="1181">
      <c r="A1181" t="inlineStr">
        <is>
          <t>3gam9p</t>
        </is>
      </c>
      <c r="B1181" t="inlineStr">
        <is>
          <t>Has type 1 diabetes made you unable to have a normal life?</t>
        </is>
      </c>
      <c r="C1181" t="inlineStr">
        <is>
          <t xml:space="preserve">Hi!
I haven't had T1D for long and is still in my honeymoon. I read a lot of diabetic resources, here and other more scientific resources. Through doctors appointments and so fourth I have come across medical professionals claiming, I'll quote, "you can't have a normal life but a good one". I'm not the person the pick up debates as I find it useless to try and change  peoples mind but hearing that bothered me. 
Have anyone of you felt unable to conduct a normal life? By normal "conforming to the standard or the common type" I think it's entirely possible to have a normal life with diabetes. Today even more so with all the technological advances. If I were to draw a parallel to my situation (honeymoon) I can't say i'm in any way unable to do anything due to my diabetes. Of course I can't do certain things like fly an airplane but that's not something I'd do in which case. If you're young and unable to treat yourself I could see some hinders but in the context it was said (to me) it is to an adult situation. 
Anyone of you any any thoughts on this? </t>
        </is>
      </c>
      <c r="D1181" t="n">
        <v>16</v>
      </c>
      <c r="E1181" t="n">
        <v>40</v>
      </c>
      <c r="F1181">
        <f>HYPERLINK("https://www.reddit.com/r/diabetes/comments/3gam9p/has_type_1_diabetes_made_you_unable_to_have_a/")</f>
        <v/>
      </c>
      <c r="G1181" t="inlineStr">
        <is>
          <t>2015-08-08 16:42:30</t>
        </is>
      </c>
      <c r="H1181" t="inlineStr">
        <is>
          <t>Type 1</t>
        </is>
      </c>
    </row>
    <row r="1182">
      <c r="A1182" t="inlineStr">
        <is>
          <t>3gcjvr</t>
        </is>
      </c>
      <c r="B1182" t="inlineStr">
        <is>
          <t>Randomly having lots of trouble keeping numbers down, would like some advice!</t>
        </is>
      </c>
      <c r="C1182" t="inlineStr">
        <is>
          <t>Hi everyone, I'm having some trouble managing numbers lately so I was hoping I could get some advice from you guys on what I should do.
So normally my numbers are fine, (6.3 last a1c) but the last few days, especially late night, my normal food insulin is landing me between 10-14. I give insulin to correct this and unfortunately I'm not dropping until I give more insulin (like way more then I should have to give). 
I'm really getting frustrated because I'm in this 10-14 range for way longer then I should be (2-5 hours), and i'm taking so much insulin that seems to be doing very little.
I guess to summarize, It just feels like I'm WAY more insulin resistant then I should be.
If it helps I'm on medtronic pump, I've changed sites, insulin etc. and it still continues to happen the past few days. I hear people get crazy numbers when they're sick, but for myself I usually don't get have that problem. Could it be stress maybe? 
Anyways, I'm hoping some of you guys have experienced this before and could offer some advice. Thanks in advance.</t>
        </is>
      </c>
      <c r="D1182" t="n">
        <v>5</v>
      </c>
      <c r="E1182" t="n">
        <v>7</v>
      </c>
      <c r="F1182">
        <f>HYPERLINK("https://www.reddit.com/r/diabetes/comments/3gcjvr/randomly_having_lots_of_trouble_keeping_numbers/")</f>
        <v/>
      </c>
      <c r="G1182" t="inlineStr">
        <is>
          <t>2015-08-09 06:37:27</t>
        </is>
      </c>
      <c r="H1182" t="inlineStr">
        <is>
          <t>Type 1</t>
        </is>
      </c>
    </row>
    <row r="1183">
      <c r="A1183" t="inlineStr">
        <is>
          <t>3geb9v</t>
        </is>
      </c>
      <c r="B1183" t="inlineStr">
        <is>
          <t>Out of long acting insulin until tomorrow, any tips?</t>
        </is>
      </c>
      <c r="C1183" t="inlineStr">
        <is>
          <t xml:space="preserve">Thought I had a full dose of 20u left last night but only had 10u. I'm out of Lantus until tomorrow so any tips on how to manage until then? Just keep checking and adjusting with my Novolog? </t>
        </is>
      </c>
      <c r="D1183" t="n">
        <v>3</v>
      </c>
      <c r="E1183" t="n">
        <v>17</v>
      </c>
      <c r="F1183">
        <f>HYPERLINK("https://www.reddit.com/r/diabetes/comments/3geb9v/out_of_long_acting_insulin_until_tomorrow_any_tips/")</f>
        <v/>
      </c>
      <c r="G1183" t="inlineStr">
        <is>
          <t>2015-08-09 15:45:09</t>
        </is>
      </c>
      <c r="H1183" t="inlineStr">
        <is>
          <t>Type 1</t>
        </is>
      </c>
    </row>
    <row r="1184">
      <c r="A1184" t="inlineStr">
        <is>
          <t>3ghhmo</t>
        </is>
      </c>
      <c r="B1184" t="inlineStr">
        <is>
          <t>Insulin Site Rotations</t>
        </is>
      </c>
      <c r="C1184" t="inlineStr">
        <is>
          <t xml:space="preserve">How important is it to rotate injection sites?
For me, I'm only on a basal 1x day.  Do I really need to make sure I rotate the site?  I can imagine if you are on MDI it might be more of an issue.
How about rotating sites weekly instead of daily?  I just always seem to forget where I left off.  I have the same problem with finger lances, but I can at least tell which fingers are tender and need a break.  </t>
        </is>
      </c>
      <c r="D1184" t="n">
        <v>3</v>
      </c>
      <c r="E1184" t="n">
        <v>5</v>
      </c>
      <c r="F1184">
        <f>HYPERLINK("https://www.reddit.com/r/diabetes/comments/3ghhmo/insulin_site_rotations/")</f>
        <v/>
      </c>
      <c r="G1184" t="inlineStr">
        <is>
          <t>2015-08-10 10:12:12</t>
        </is>
      </c>
      <c r="H1184" t="inlineStr">
        <is>
          <t>Type 1</t>
        </is>
      </c>
    </row>
    <row r="1185">
      <c r="A1185" t="inlineStr">
        <is>
          <t>3gkz50</t>
        </is>
      </c>
      <c r="B1185" t="inlineStr">
        <is>
          <t>I just got my new pump...</t>
        </is>
      </c>
      <c r="C1185" t="inlineStr">
        <is>
          <t xml:space="preserve">And I want to hear your opinions about it! I'm newly diagnosed ( about 5 months ago ). And I wanted to try out a pump, because I'm not the best in controlling my bs.
It's a Medtronic Minimed 640G. I didn't hear a lot about this model on here. And I'm wondering if any of you use this pump and what the pro's and con's are.
</t>
        </is>
      </c>
      <c r="D1185" t="n">
        <v>1</v>
      </c>
      <c r="E1185" t="n">
        <v>2</v>
      </c>
      <c r="F1185">
        <f>HYPERLINK("https://www.reddit.com/r/diabetes/comments/3gkz50/i_just_got_my_new_pump/")</f>
        <v/>
      </c>
      <c r="G1185" t="inlineStr">
        <is>
          <t>2015-08-11 04:49:36</t>
        </is>
      </c>
      <c r="H1185" t="inlineStr">
        <is>
          <t>Type 1</t>
        </is>
      </c>
    </row>
    <row r="1186">
      <c r="A1186" t="inlineStr">
        <is>
          <t>3glnvp</t>
        </is>
      </c>
      <c r="B1186" t="inlineStr">
        <is>
          <t>A1c down to 6.1%</t>
        </is>
      </c>
      <c r="C1186" t="inlineStr">
        <is>
          <t>I've been pretty consistently between 6-7% for the last four years, but last November I was up to 7.2% and yesterday I was back down to 6.1 :)
My lowest ever, while not feeling low all the time, was 5.8 and I'm aiming for that again. 
Just wanted to share with people who understand the struggle AND the joy!</t>
        </is>
      </c>
      <c r="D1186" t="n">
        <v>42</v>
      </c>
      <c r="E1186" t="n">
        <v>7</v>
      </c>
      <c r="F1186">
        <f>HYPERLINK("https://www.reddit.com/r/diabetes/comments/3glnvp/a1c_down_to_61/")</f>
        <v/>
      </c>
      <c r="G1186" t="inlineStr">
        <is>
          <t>2015-08-11 08:19:50</t>
        </is>
      </c>
      <c r="H1186" t="inlineStr">
        <is>
          <t>Type 1</t>
        </is>
      </c>
    </row>
    <row r="1187">
      <c r="A1187" t="inlineStr">
        <is>
          <t>3gnvnc</t>
        </is>
      </c>
      <c r="B1187" t="inlineStr">
        <is>
          <t>Hi, my name is Steve and I am a T2 diabetic.</t>
        </is>
      </c>
      <c r="C1187" t="inlineStr">
        <is>
          <t>I hope that this is an appropriate post for this subreddit.
My intent is to re-engage with my diabetes.
Today I saw my endocrinologist and in addition to my 1000mg twice a day and 100mg Invokana once a day I have now joined the ranks of those who take insulin.  I will be starting in an hour and a half with my first 10 units of Levemir.
I am here because the past two years have been a bit of a shambles lifewise and taking care of my D has taken a bit of a back seat.
Just looking for some support and hoping to help others along the way.
To give some background:
Diagnosed 9/10 - A1c 9.6
Dropped 40 lbs to 176 lbs in 3 months and down to
12/10 - A1c 5.4
Spinal steriods in mid-2012 derailed me completely, no exercise for 4 months.
12/12 - A1c 6.1
Climbed steadily until today where I am back up to A1c 7.2
Goal is to get back down to 180lbs and A1c of 5.4
Any tips, advice, encouragement is greatly appreciated.</t>
        </is>
      </c>
      <c r="D1187" t="n">
        <v>13</v>
      </c>
      <c r="E1187" t="n">
        <v>19</v>
      </c>
      <c r="F1187">
        <f>HYPERLINK("https://www.reddit.com/r/diabetes/comments/3gnvnc/hi_my_name_is_steve_and_i_am_a_t2_diabetic/")</f>
        <v/>
      </c>
      <c r="G1187" t="inlineStr">
        <is>
          <t>2015-08-11 17:34:06</t>
        </is>
      </c>
      <c r="H1187" t="inlineStr">
        <is>
          <t>Type 2</t>
        </is>
      </c>
    </row>
    <row r="1188">
      <c r="A1188" t="inlineStr">
        <is>
          <t>3grvtf</t>
        </is>
      </c>
      <c r="B1188" t="inlineStr">
        <is>
          <t>going on a 5 day trip stateside tomorrow, and I had a pretty bad seizure last night and a low the night before.. Sugars now are really screwy....any tips for stabilizing things super fast?</t>
        </is>
      </c>
      <c r="C1188" t="inlineStr">
        <is>
          <t>I'm a little older and have trouble over 250 (which isn't often) and I've run 5.8-6 for about a decade and a half.  I'm worried I'll screw up trip to see fiance's family.
type one with humolog and lantus....2 lantus shots a day with humolog per meal</t>
        </is>
      </c>
      <c r="D1188" t="n">
        <v>1</v>
      </c>
      <c r="E1188" t="n">
        <v>5</v>
      </c>
      <c r="F1188">
        <f>HYPERLINK("https://www.reddit.com/r/diabetes/comments/3grvtf/going_on_a_5_day_trip_stateside_tomorrow_and_i/")</f>
        <v/>
      </c>
      <c r="G1188" t="inlineStr">
        <is>
          <t>2015-08-12 14:43:04</t>
        </is>
      </c>
      <c r="H1188" t="inlineStr">
        <is>
          <t>Type 1</t>
        </is>
      </c>
    </row>
    <row r="1189">
      <c r="A1189" t="inlineStr">
        <is>
          <t>3gteg2</t>
        </is>
      </c>
      <c r="B1189" t="inlineStr">
        <is>
          <t>a1c from 10.7 to 5.1 in 3 months</t>
        </is>
      </c>
      <c r="C1189" t="inlineStr">
        <is>
          <t>No exercise, no drugs, just a ketogenic diet. Funny how not a single doctor told me to do this.</t>
        </is>
      </c>
      <c r="D1189" t="n">
        <v>38</v>
      </c>
      <c r="E1189" t="n">
        <v>26</v>
      </c>
      <c r="F1189">
        <f>HYPERLINK("https://www.reddit.com/r/diabetes/comments/3gteg2/a1c_from_107_to_51_in_3_months/")</f>
        <v/>
      </c>
      <c r="G1189" t="inlineStr">
        <is>
          <t>2015-08-12 22:28:16</t>
        </is>
      </c>
      <c r="H1189" t="inlineStr">
        <is>
          <t>Type 2</t>
        </is>
      </c>
    </row>
    <row r="1190">
      <c r="A1190" t="inlineStr">
        <is>
          <t>3gup2e</t>
        </is>
      </c>
      <c r="B1190" t="inlineStr">
        <is>
          <t>A1C down 4.3% and 10 pounds loss in 2 months!</t>
        </is>
      </c>
      <c r="C1190" t="inlineStr">
        <is>
          <t>My primary doctor is impressed by my progress since my diagnosis in June and while he knows my Endo will do an A1C in October, he wanted to see what I'm at now. So on Monday he had me head off to the lab. I got my results today. I'm down 4.3% from 11.8 to 7.5! I've also lost 10 pounds and am aiming to lose another 5-10.  I'm so proud of me that I'm pretty much wiggling in my chair as I type this and wanted to share with others that would be just as excited. :)</t>
        </is>
      </c>
      <c r="D1190" t="n">
        <v>9</v>
      </c>
      <c r="E1190" t="n">
        <v>18</v>
      </c>
      <c r="F1190">
        <f>HYPERLINK("https://www.reddit.com/r/diabetes/comments/3gup2e/a1c_down_43_and_10_pounds_loss_in_2_months/")</f>
        <v/>
      </c>
      <c r="G1190" t="inlineStr">
        <is>
          <t>2015-08-13 07:22:37</t>
        </is>
      </c>
      <c r="H1190" t="inlineStr">
        <is>
          <t>Type 2</t>
        </is>
      </c>
    </row>
    <row r="1191">
      <c r="A1191" t="inlineStr">
        <is>
          <t>3gvjys</t>
        </is>
      </c>
      <c r="B1191" t="inlineStr">
        <is>
          <t>DKA question</t>
        </is>
      </c>
      <c r="C1191" t="inlineStr">
        <is>
          <t>Hey guys,
Does DKA always have nausea/vomiting as a symptom?  Is it possible to experience long-term DKA without it being debilitating, and having me end up in the hospital?  
Wondering if I should go check myself into the merge right now haha</t>
        </is>
      </c>
      <c r="D1191" t="n">
        <v>1</v>
      </c>
      <c r="E1191" t="n">
        <v>13</v>
      </c>
      <c r="F1191">
        <f>HYPERLINK("https://www.reddit.com/r/diabetes/comments/3gvjys/dka_question/")</f>
        <v/>
      </c>
      <c r="G1191" t="inlineStr">
        <is>
          <t>2015-08-13 11:02:36</t>
        </is>
      </c>
      <c r="H1191" t="inlineStr">
        <is>
          <t>Type 1</t>
        </is>
      </c>
    </row>
    <row r="1192">
      <c r="A1192" t="inlineStr">
        <is>
          <t>3gwl31</t>
        </is>
      </c>
      <c r="B1192" t="inlineStr">
        <is>
          <t>[T1] A1c - how much of it is the last month?</t>
        </is>
      </c>
      <c r="C1192" t="inlineStr">
        <is>
          <t>I ask because after a month on a pump, I've improved from an 8.4% to a 7.5%. I know that although the A1c encompasses the last 3 months, it's going to be front-weighted (most recent month counts the most). My question is, by how much? Is the most recent month 50% of the number? I'm trying to guess what the final number will be. 6.5%? Better than that?</t>
        </is>
      </c>
      <c r="D1192" t="n">
        <v>3</v>
      </c>
      <c r="E1192" t="n">
        <v>4</v>
      </c>
      <c r="F1192">
        <f>HYPERLINK("https://www.reddit.com/r/diabetes/comments/3gwl31/t1_a1c_how_much_of_it_is_the_last_month/")</f>
        <v/>
      </c>
      <c r="G1192" t="inlineStr">
        <is>
          <t>2015-08-13 15:24:09</t>
        </is>
      </c>
      <c r="H1192" t="inlineStr">
        <is>
          <t>Type 1</t>
        </is>
      </c>
    </row>
    <row r="1193">
      <c r="A1193" t="inlineStr">
        <is>
          <t>3h2r9i</t>
        </is>
      </c>
      <c r="B1193" t="inlineStr">
        <is>
          <t>Depression and the use of diabetes for self-harm</t>
        </is>
      </c>
      <c r="C1193" t="inlineStr">
        <is>
          <t>Guys, 
I think I am depressed. I am a 26 year old male. First, a little context. This past year has been hard on me. First, I got diagnosed with T1D. Then, my significant other left me and forced me out of our house. A few weeks after that, my mother got diagnosed with pancreatic cancer and she has not reacted well to the treatment. I had major employment issues all during this time, but luckily I resolved that one so far. 
I just...wanted to tell somebody with no judgements...that sometimes I take little to no insulin just to hurt myself. Just to feel shitty. Just to feel sick. Part of this directly relates to my diabetes diagnosis. I no longer feel in control and by taking little insulin I "pretend" like I am not diabetic. 
I know I'm honeymooning still because I do this. I am also testing myself throughout the periods that I do this to myself. Perhaps I am turning myself into a science experiment? 
Maybe this is a T1D way of wrist cutting? I just wanted to tell somebody. Perhaps there is somebody out there who does the same. I know this is not good and I should go talk to somebody, but this is part of my process so please just let me be... :(</t>
        </is>
      </c>
      <c r="D1193" t="n">
        <v>14</v>
      </c>
      <c r="E1193" t="n">
        <v>19</v>
      </c>
      <c r="F1193">
        <f>HYPERLINK("https://www.reddit.com/r/diabetes/comments/3h2r9i/depression_and_the_use_of_diabetes_for_selfharm/")</f>
        <v/>
      </c>
      <c r="G1193" t="inlineStr">
        <is>
          <t>2015-08-15 00:39:27</t>
        </is>
      </c>
      <c r="H1193" t="inlineStr">
        <is>
          <t>Type 1</t>
        </is>
      </c>
    </row>
    <row r="1194">
      <c r="A1194" t="inlineStr">
        <is>
          <t>3h4spf</t>
        </is>
      </c>
      <c r="B1194" t="inlineStr">
        <is>
          <t>[t1d] Hubby has a pump and CGM, sometimes gets prolonged highs. What's the best way to bring it down?</t>
        </is>
      </c>
      <c r="C1194" t="inlineStr">
        <is>
          <t>My husband works long and very stressful hours. He doesn't always have time to eat, and when he does it's typically not healthy food. I'm working with him on strategies to fix this (he's been T1D for 20 years but until recently [34 years old] didn't have a lot of problems due to extreme highs or lows) so that he doesn't go too long without eating and so that the food he eats doesn't cause spikes. He's been able to lower his a1c from 9.4 to 8.3 in the past 3 months which is great, but there is definitely room for improvement.
In the mean time, he often gets high (above 200) and seriously struggles to bring his sugars down. He's been on the couch all day dealing with 350; he is feeling very shitty and can't keep fluids down. 
What's the best strategies to bring down a prolonged high? I've read on this board before that taking extra insulin (because of insulin resistance with high sugars), drinking tons of fluids, and exercising helps. Is this just people's experience or is this published? Thanks in advance :-/
Edit: After taking an injected 1.5x bolus, honey's BG went down 80 in the first hour, 30 in the second hour, and we'll see what happens this hour (took another, smaller, bolus). It was absolutely a bad injection set that was contributing to the initial problems-- he took it out and the cannula was kinked in half. I think the lessons we are learning (slowly) are to only ever change a set/CGM in the mornings, to check BG rigorously the first few hours it's in, and when taking a bolus from a high, inject it and just replace the set. Assume it's done. (and, of course, try to solve the problem before he's been high for several hours!) (PS, I didn't say in the original post, but he had removed his CGM last night before bed because he needed to replace it but was too exhausted to manage it last night. That's why we didn't know he wasn't getting insulin ALL FLIPPING NIGHT)
 He's still sleeping but he's rehydrating and feeling a little better. I wanted to thank everybody for their advice and kind words :-) you all are great. Next step is to get him to understand that he's at the age and stage where he needs to take better care of himself</t>
        </is>
      </c>
      <c r="D1194" t="n">
        <v>2</v>
      </c>
      <c r="E1194" t="n">
        <v>18</v>
      </c>
      <c r="F1194">
        <f>HYPERLINK("https://www.reddit.com/r/diabetes/comments/3h4spf/t1d_hubby_has_a_pump_and_cgm_sometimes_gets/")</f>
        <v/>
      </c>
      <c r="G1194" t="inlineStr">
        <is>
          <t>2015-08-15 13:52:10</t>
        </is>
      </c>
      <c r="H1194" t="inlineStr">
        <is>
          <t>Type 1</t>
        </is>
      </c>
    </row>
    <row r="1195">
      <c r="A1195" t="inlineStr">
        <is>
          <t>3h8zqr</t>
        </is>
      </c>
      <c r="B1195" t="inlineStr">
        <is>
          <t>[T1] Help understanding my carbohydrate tolerance and how to modify my diet</t>
        </is>
      </c>
      <c r="C1195" t="inlineStr">
        <is>
          <t>Hello everyone, let me start by saying what a huge help this community has been for me.  I started this journey in early June at diagnosis with an A1c of 10.9, a fasting bg of 252, and weighed 220lbs.
I am currently controlling my diabetes with diet and exercise, and twice daily doses of 500mg of metformin.  I'm also taking supplemental vitamins, coQ10, B12, and magnesium.
Today my fasting bg is between 75 and 85, and I weigh 188lbs, as I continue to push down towards my goal weight of 170.
I'm beginning planning for approaching my maintenance weight, and I've started strength training, and I realize in the near future I will have to seriously increase my caloric intake.  Right now I consume &amp;lt;1350 calories per day, and I'm doing about 1000 calories of exercise per day, and have been losing 2-3 lbs every week.
I'd like to maintain, and actually increase, my exercise routine as part of my life style changes.  I'm lifting weights 3-4x per week, and spending 90m in the gym every day, at a minimum, and I've begun training to run a 5k to help me with my goals long term once I hit my ideal weight.
One of my concerns is my macro-nutrient balance as I increase my calorie intake.  Right now my sugar levels seem to be great, the highest bg rating I've witnessed has been 117 in the last month, but I'm keeping my carbs down too.  Here is a summary of the last 15 days of my diet:
    Average carbohydrates:      72.7857142857
    High carbohydrates:         93
    Low carbohydrates:          48
    Cal From carbohydrates:     291.1        
    Average fat:                75.7         
    High fat:                   92
    Low fat:                    52
    Cal From fat:               681.4        
    Average protein:            84.4         
    High protein:               131
    Low protein:                54
    Cal From protein:           337.7        
    Average calories:           1264.0       
    High calories:              1469
    Low calories:               1202
I need to up my calories from carbohydrates, and from protein.  So my questions are:
1. How can I best learn how many carbs I can add per meal, and per day without triggering a high blood sugar?
2. As I continue to lose weight and improve my physical fitness, can I expect the number of carbs I can safely handle per meal and per day to go up?
3. What are good sources of protein I can easily add to my diet?
4. Any other recommendations?</t>
        </is>
      </c>
      <c r="D1195" t="n">
        <v>1</v>
      </c>
      <c r="E1195" t="n">
        <v>0</v>
      </c>
      <c r="F1195">
        <f>HYPERLINK("https://www.reddit.com/r/diabetes/comments/3h8zqr/t1_help_understanding_my_carbohydrate_tolerance/")</f>
        <v/>
      </c>
      <c r="G1195" t="inlineStr">
        <is>
          <t>2015-08-16 15:59:50</t>
        </is>
      </c>
      <c r="H1195" t="inlineStr">
        <is>
          <t>Type 2</t>
        </is>
      </c>
    </row>
    <row r="1196">
      <c r="A1196" t="inlineStr">
        <is>
          <t>3h94bd</t>
        </is>
      </c>
      <c r="B1196" t="inlineStr">
        <is>
          <t>Trying to understand how to increase the carbohydrate content of my diet, and my limits as a T2 diabetic, as I plan to shift from weight loss to weight maintenance and a new more active lifestyle.</t>
        </is>
      </c>
      <c r="C1196" t="inlineStr">
        <is>
          <t>Hello everyone, let me start by saying what a huge help this community has been for me.  I started this journey in early June at diagnosis with an A1c of 10.9, a fasting bg of 252, and weighed 220lbs.
I am currently controlling my diabetes with diet and exercise, and twice daily doses of 500mg of metformin.  I'm also taking supplemental vitamins, coQ10, B12, and magnesium.
Today my fasting bg is between 75 and 85, and I weigh 188lbs, as I continue to push down towards my goal weight of 170.
I'm beginning planning for approaching my maintenance weight, and I've started strength training, and I realize in the near future I will have to seriously increase my caloric intake.  Right now I consume &amp;amp;lt;1350 calories per day, and I'm doing about 1000 calories of exercise per day, and have been losing 2-3 lbs every week.
I'd like to maintain, and actually increase, my exercise routine as part of my life style changes.  I'm lifting weights 3-4x per week, and spending 90m in the gym every day, at a minimum, and I've begun training to run a 5k to help me with my goals long term once I hit my ideal weight.
One of my concerns is my macro-nutrient balance as I increase my calorie intake.  Right now my sugar levels seem to be great, the highest bg rating I've witnessed has been 117 in the last month, but I'm keeping my carbs down too.  Here is a summary of the last 15 days of my diet:
    Average carbohydrates:      72.7857142857
    High carbohydrates:         93
    Low carbohydrates:          48
    Cal From carbohydrates:     291.1        
    Average fat:                75.7         
    High fat:                   92
    Low fat:                    52
    Cal From fat:               681.4        
    Average protein:            84.4         
    High protein:               131
    Low protein:                54
    Cal From protein:           337.7        
    Average calories:           1264.0       
    High calories:              1469
    Low calories:               1202
I need to up my calories from carbohydrates, and from protein.  So my questions are:
1. How can I best learn how many carbs I can add per meal, and per day without triggering a high blood sugar?
2. As I continue to lose weight and improve my physical fitness, can I expect the number of carbs I can safely handle per meal and per day to go up?
3. What are good sources of protein I can easily add to my diet?
4. Any other recommendations?
**EDIT:** I conducted an experiment post dinner.  I consumed a 5.5g carb square of chocolate after benchmarking my bg at 92 and falling.  30 minutes later it was 98, 20 minutes later it was 89.  Hard to infer peak, but this seems like a reasonable insulin response I guess?  Any guidance?</t>
        </is>
      </c>
      <c r="D1196" t="n">
        <v>1</v>
      </c>
      <c r="E1196" t="n">
        <v>5</v>
      </c>
      <c r="F1196">
        <f>HYPERLINK("https://www.reddit.com/r/diabetes/comments/3h94bd/trying_to_understand_how_to_increase_the/")</f>
        <v/>
      </c>
      <c r="G1196" t="inlineStr">
        <is>
          <t>2015-08-16 16:38:29</t>
        </is>
      </c>
      <c r="H1196" t="inlineStr">
        <is>
          <t>Type 2</t>
        </is>
      </c>
    </row>
    <row r="1197">
      <c r="A1197" t="inlineStr">
        <is>
          <t>3h9gup</t>
        </is>
      </c>
      <c r="B1197" t="inlineStr">
        <is>
          <t>Medtronic to Animas . can you switch within 90 days?</t>
        </is>
      </c>
      <c r="C1197" t="inlineStr">
        <is>
          <t>I'm currently a Medtronic user but i'm still in my first 90 (change your mind) days period. i personally think that animas would be 100000 times better for me cause i'm always always in a boat, canoe or water-board. and its very inconvenient to always disconnect especially if i want to be on the water for a couple hours. does anyone know if i can some how switch to animas while on an ADP program in ONT. canada?
:)</t>
        </is>
      </c>
      <c r="D1197" t="n">
        <v>1</v>
      </c>
      <c r="E1197" t="n">
        <v>4</v>
      </c>
      <c r="F1197">
        <f>HYPERLINK("https://www.reddit.com/r/diabetes/comments/3h9gup/medtronic_to_animas_can_you_switch_within_90_days/")</f>
        <v/>
      </c>
      <c r="G1197" t="inlineStr">
        <is>
          <t>2015-08-16 18:27:12</t>
        </is>
      </c>
      <c r="H1197" t="inlineStr">
        <is>
          <t>Type 1</t>
        </is>
      </c>
    </row>
    <row r="1198">
      <c r="A1198" t="inlineStr">
        <is>
          <t>3h9qg9</t>
        </is>
      </c>
      <c r="B1198" t="inlineStr">
        <is>
          <t>I just spent three days in the hospital (Creatinine level at 3.37) - Type 2 Diabetic - Take care of yourself, people</t>
        </is>
      </c>
      <c r="C1198" t="inlineStr">
        <is>
          <t>I was changing insurance and doctors, and didn't have any of my Lantus long-acting insulin for about three weeks. My new doctor did a blood test and when he saw my creatinine level at 3.37 he made me go to the emergency room.</t>
        </is>
      </c>
      <c r="D1198" t="n">
        <v>8</v>
      </c>
      <c r="E1198" t="n">
        <v>12</v>
      </c>
      <c r="F1198">
        <f>HYPERLINK("https://www.reddit.com/r/diabetes/comments/3h9qg9/i_just_spent_three_days_in_the_hospital/")</f>
        <v/>
      </c>
      <c r="G1198" t="inlineStr">
        <is>
          <t>2015-08-16 19:54:37</t>
        </is>
      </c>
      <c r="H1198" t="inlineStr">
        <is>
          <t>Type 2</t>
        </is>
      </c>
    </row>
    <row r="1199">
      <c r="A1199" t="inlineStr">
        <is>
          <t>3hcxl2</t>
        </is>
      </c>
      <c r="B1199" t="inlineStr">
        <is>
          <t>Symlin thoughts?</t>
        </is>
      </c>
      <c r="C1199" t="inlineStr">
        <is>
          <t>Has been posted about a bunch of times but not lately.
I just took my first symlin dose today at lunch (15mcg) and took half my normal ratio (something like 1:16 rather than 1:8). I went up a bit but did not spike and my numbers were much flatter than normal post-meal, so I'm going to just go to more like 1:14 tomorrow. 
No nausea, felt fine, maybe a little more full than normal but not really. What do other people on the board think of symlin?
I'm pretty excited if it can stop a lot of my postmeal spikes, which I think is what is keeping me from getting to the low 6's (I'm stuck in the high 6's to low 7's).</t>
        </is>
      </c>
      <c r="D1199" t="n">
        <v>4</v>
      </c>
      <c r="E1199" t="n">
        <v>2</v>
      </c>
      <c r="F1199">
        <f>HYPERLINK("https://www.reddit.com/r/diabetes/comments/3hcxl2/symlin_thoughts/")</f>
        <v/>
      </c>
      <c r="G1199" t="inlineStr">
        <is>
          <t>2015-08-17 13:33:52</t>
        </is>
      </c>
      <c r="H1199" t="inlineStr">
        <is>
          <t>Type 1</t>
        </is>
      </c>
    </row>
    <row r="1200">
      <c r="A1200" t="inlineStr">
        <is>
          <t>3hdfwm</t>
        </is>
      </c>
      <c r="B1200" t="inlineStr">
        <is>
          <t>Missed Lantus Dose</t>
        </is>
      </c>
      <c r="C1200" t="inlineStr">
        <is>
          <t>What do you do if you miss your basal dose?  Is it best to take it (or an adjusted amount) when you remember, or just skip it?
I’m currently on 25U of Lantus.  Recently diagnosed and still in my honeymoon, I’m not on a bolus regime yet.  I’ve come close to missing a dose at night, but so far I have always remembered.  Would it be ok to take it in the morning, or should I just try to keep my numbers in check for the day without it?   I’m almost tempted to skip a day and see how badly my numbers react.  I figured someone here has already done that “research”.  
Obviously I’ll ask my endo what he recommends for me, but if you can share your experience with missed insulin doses it would help.</t>
        </is>
      </c>
      <c r="D1200" t="n">
        <v>4</v>
      </c>
      <c r="E1200" t="n">
        <v>7</v>
      </c>
      <c r="F1200">
        <f>HYPERLINK("https://www.reddit.com/r/diabetes/comments/3hdfwm/missed_lantus_dose/")</f>
        <v/>
      </c>
      <c r="G1200" t="inlineStr">
        <is>
          <t>2015-08-17 15:42:58</t>
        </is>
      </c>
      <c r="H1200" t="inlineStr">
        <is>
          <t>Type 1</t>
        </is>
      </c>
    </row>
    <row r="1201">
      <c r="A1201" t="inlineStr">
        <is>
          <t>3hdyzf</t>
        </is>
      </c>
      <c r="B1201" t="inlineStr">
        <is>
          <t>Tips for dialing in how much insulin to take, especially basal?</t>
        </is>
      </c>
      <c r="C1201" t="inlineStr">
        <is>
          <t>Hi guys,
Type 1 diabetic for 18 years. I used to be on Lantus and Humalog. When I lost my insurance I switched to NPH and Regular from Walmart to make it easier. I got insurance and Kaiser apparently doesn't like to spend money, so they just gave me prescriptions for NPH and R from them, which is a whole 20% savings, whoopie.
Anyway before I went to Kaiser I just basically made up my own insulin plan. I gave them my plan and they said "looks about right" and that was it. My AIC was 7.9 so I certainly am not doing great but not dying.
I am doing /r/keto and I found that my insulin requirement has gone down, but not sure if I am still taking too much because I feel hungry all the time.
Any tips? I've been trying to lose weight on keto and I lost a lot and then the weight loss stopped. My hunger came back and I don't know if it's because of my insulin or what. I just keep snacking all day. I'm trying to do some research and get it dialed in instead of "looks fine to me" from a doctor.
30 years old, 7.9 AIC, 300lb, 6'2, low carb diet, 30 NPH 12AM, 30NPH 12PM, 5-15 R 2-3 times a day.
Thanks for any input.</t>
        </is>
      </c>
      <c r="D1201" t="n">
        <v>2</v>
      </c>
      <c r="E1201" t="n">
        <v>11</v>
      </c>
      <c r="F1201">
        <f>HYPERLINK("https://www.reddit.com/r/diabetes/comments/3hdyzf/tips_for_dialing_in_how_much_insulin_to_take/")</f>
        <v/>
      </c>
      <c r="G1201" t="inlineStr">
        <is>
          <t>2015-08-17 18:07:28</t>
        </is>
      </c>
      <c r="H1201" t="inlineStr">
        <is>
          <t>Type 1</t>
        </is>
      </c>
    </row>
    <row r="1202">
      <c r="A1202" t="inlineStr">
        <is>
          <t>3hg2do</t>
        </is>
      </c>
      <c r="B1202" t="inlineStr">
        <is>
          <t>Heredity and genetics for passing on T1?</t>
        </is>
      </c>
      <c r="C1202" t="inlineStr">
        <is>
          <t>So i know that as a male, I have a 1/17 (about 5%) chance of passing on my Type 1 to a child. For that reason I really don't want to risk having kids...I know the risk is relatively low, but I just couldn't live with myself if I chose to have a kid and then they turned out to have my disease.  I would adopt most likely. 
Are there any other maternal factors that would further increase risk for someone who say, didn't have type 1 but was the mother of my kid? Or will it always be ~5% chance?</t>
        </is>
      </c>
      <c r="D1202" t="n">
        <v>8</v>
      </c>
      <c r="E1202" t="n">
        <v>29</v>
      </c>
      <c r="F1202">
        <f>HYPERLINK("https://www.reddit.com/r/diabetes/comments/3hg2do/heredity_and_genetics_for_passing_on_t1/")</f>
        <v/>
      </c>
      <c r="G1202" t="inlineStr">
        <is>
          <t>2015-08-18 06:48:09</t>
        </is>
      </c>
      <c r="H1202" t="inlineStr">
        <is>
          <t>Type 1</t>
        </is>
      </c>
    </row>
    <row r="1203">
      <c r="A1203" t="inlineStr">
        <is>
          <t>3hgb61</t>
        </is>
      </c>
      <c r="B1203" t="inlineStr">
        <is>
          <t>Dawn Phenomenon? Request for Advice/Expertise!</t>
        </is>
      </c>
      <c r="C1203" t="inlineStr">
        <is>
          <t>Hey, 
Does anyone have any experience/expertise regarding the "dawn phenomenon"? I think that may be happening to me and I need some help; it's a complete and utter pain in the ass and I need to find a way to mitigate/fix it. Basically, my sugars are great throughout the day and fine when I go to bed, but irregardless of what I eat/do during the day and at night I'll wake up with a BG over 100mg/dL of what I went to bed with. It's especially awful because, as all of you well know, waking up with high blood glucose makes you exhausted and like you're the 8-ball all day. I've been reading about it and heard of remedies like vinegar at bedtime, but wondered if you guy's had any experience or recommendations on how to best deal with this - it totally, totally sucks and I want to make it better. I'm in the process of moving from the pens to the t:slim insulin pump in hopes that it will help, but wanted to mine my Diabetic friends and fam for any nuggets of knowledge you might have. With much love and respect, Adam.</t>
        </is>
      </c>
      <c r="D1203" t="n">
        <v>3</v>
      </c>
      <c r="E1203" t="n">
        <v>5</v>
      </c>
      <c r="F1203">
        <f>HYPERLINK("https://www.reddit.com/r/diabetes/comments/3hgb61/dawn_phenomenon_request_for_adviceexpertise/")</f>
        <v/>
      </c>
      <c r="G1203" t="inlineStr">
        <is>
          <t>2015-08-18 07:53:30</t>
        </is>
      </c>
      <c r="H1203" t="inlineStr">
        <is>
          <t>Type 1</t>
        </is>
      </c>
    </row>
    <row r="1204">
      <c r="A1204" t="inlineStr">
        <is>
          <t>3hgk3j</t>
        </is>
      </c>
      <c r="B1204" t="inlineStr">
        <is>
          <t>My Type 1 Awareness Video (VFX FMP)</t>
        </is>
      </c>
      <c r="C1204" t="inlineStr">
        <is>
          <t xml:space="preserve">For my final major project at college, I decided to produce a CGI Type 1 Diabetes Awareness Video. It took a couple of months from start to end and I would appreciate to hear what you think about it? 
https://www.youtube.com/watch?v=R0OQM8-6RQ0 </t>
        </is>
      </c>
      <c r="D1204" t="n">
        <v>3</v>
      </c>
      <c r="E1204" t="n">
        <v>0</v>
      </c>
      <c r="F1204">
        <f>HYPERLINK("https://www.reddit.com/r/diabetes/comments/3hgk3j/my_type_1_awareness_video_vfx_fmp/")</f>
        <v/>
      </c>
      <c r="G1204" t="inlineStr">
        <is>
          <t>2015-08-18 08:54:58</t>
        </is>
      </c>
      <c r="H1204" t="inlineStr">
        <is>
          <t>Type 1</t>
        </is>
      </c>
    </row>
    <row r="1205">
      <c r="A1205" t="inlineStr">
        <is>
          <t>3hgznd</t>
        </is>
      </c>
      <c r="B1205" t="inlineStr">
        <is>
          <t>So proud of my A1C!!!</t>
        </is>
      </c>
      <c r="C1205" t="inlineStr">
        <is>
          <t>So I haven't always had the best control... I've spent quite a bit of time in diabetic burnout and my numbers were all over the place. I've been working really hard on developing tighter control, I've been dealing with some big stress (and subsequent big highs) as well as a bit of hypo unawareness that's developed recently. It's a process, it's not like there's a cure, just gotta find that balance and I feel like I'm getting there.
* Nov 2014 A1C 8.5%
* Jan 2015 A1C 7.4%
* May 2015 A1C 7.1%
* Aug 2015 A1C 6.2%
Hell yes!! I'm liking that number and where this is headed!</t>
        </is>
      </c>
      <c r="D1205" t="n">
        <v>24</v>
      </c>
      <c r="E1205" t="n">
        <v>17</v>
      </c>
      <c r="F1205">
        <f>HYPERLINK("https://www.reddit.com/r/diabetes/comments/3hgznd/so_proud_of_my_a1c/")</f>
        <v/>
      </c>
      <c r="G1205" t="inlineStr">
        <is>
          <t>2015-08-18 10:36:06</t>
        </is>
      </c>
      <c r="H1205" t="inlineStr">
        <is>
          <t>Type 1</t>
        </is>
      </c>
    </row>
    <row r="1206">
      <c r="A1206" t="inlineStr">
        <is>
          <t>3hh8dg</t>
        </is>
      </c>
      <c r="B1206" t="inlineStr">
        <is>
          <t>CGMs</t>
        </is>
      </c>
      <c r="C1206" t="inlineStr">
        <is>
          <t>I've been T1 for the last 8 years, when I was diagnosed my A1Cs were stellar for the first 3 or so years now not so much. My last A1C was in th ehigh 8s. My endocrinologist has been pushing a cgm for the last few years. I did a three day trial of one a few years ago and it was painful. I haven't been interested in one since. I saw him last week and he suggested it again. We just discussed me checking more often but should I reevaluate getting a CGM? I'm currently on the Animas One Touch Ping, but just having that connected is annoying. Is a CGM worth it?</t>
        </is>
      </c>
      <c r="D1206" t="n">
        <v>4</v>
      </c>
      <c r="E1206" t="n">
        <v>10</v>
      </c>
      <c r="F1206">
        <f>HYPERLINK("https://www.reddit.com/r/diabetes/comments/3hh8dg/cgms/")</f>
        <v/>
      </c>
      <c r="G1206" t="inlineStr">
        <is>
          <t>2015-08-18 11:31:45</t>
        </is>
      </c>
      <c r="H1206" t="inlineStr">
        <is>
          <t>Type 1</t>
        </is>
      </c>
    </row>
    <row r="1207">
      <c r="A1207" t="inlineStr">
        <is>
          <t>3hh9np</t>
        </is>
      </c>
      <c r="B1207" t="inlineStr">
        <is>
          <t>Trying to get a CGM: does any of this sound correct to you?</t>
        </is>
      </c>
      <c r="C1207" t="inlineStr">
        <is>
          <t>I really want a CGM for peace of mind while sleeping through the night.  I can't afford to spend a ton on it, I am already tapped out buying insulin, endo visits, PCP visits etc. You all know this story.
So I call Dexcom because my endo said they might help me navigate the insurance part of the question.  The lady I spoke with was not helpful.  She could not tell me the price for the Dexcom for me, she said I needed to call a 3rd party company for that.  She said that the cash price is $1,400.  Does that sound right at all? I thought they were 3K+ based on what I have read here at reddit.
So in theory, since I will meet my deductible soon, I would only need to pay 20% of the initial cost ($280 to me) and then 20% for each month's sensors which she said were $300/month ($60/month to me) until next year when I'd start paying the full $300/month again.  Plus there is some other expensive component you have to replace every 6 months?
So do these prices sound right to you guys?  Even if what she said was true I don't know if I can swing it, and I really really really want to.  I know some people make the sensors last longer than they say.
Presumably this all relates to the newest version.  Anyone know where I could get my hands on the older version? I'll try anything. I welcome any "getting your hand on a CGM" advice! My insurance is Anthem BCBS of Colorado.</t>
        </is>
      </c>
      <c r="D1207" t="n">
        <v>5</v>
      </c>
      <c r="E1207" t="n">
        <v>16</v>
      </c>
      <c r="F1207">
        <f>HYPERLINK("https://www.reddit.com/r/diabetes/comments/3hh9np/trying_to_get_a_cgm_does_any_of_this_sound/")</f>
        <v/>
      </c>
      <c r="G1207" t="inlineStr">
        <is>
          <t>2015-08-18 11:39:54</t>
        </is>
      </c>
      <c r="H1207" t="inlineStr">
        <is>
          <t>Type 1</t>
        </is>
      </c>
    </row>
    <row r="1208">
      <c r="A1208" t="inlineStr">
        <is>
          <t>3hhmwa</t>
        </is>
      </c>
      <c r="B1208" t="inlineStr">
        <is>
          <t>T1D Pump Vacation: From a t:slim to MDI- looking for tips on Dawn Phenomenon</t>
        </is>
      </c>
      <c r="C1208" t="inlineStr">
        <is>
          <t xml:space="preserve">So I've been on a t:slim and a Dexcom for about 2 years now. Lately I've just been getting annoyed having something attached to me, so when my pump site ripped out in yoga class last weekend I decided...that's it! I'm taking a pump vacation. The first couple of days were okay. I took my Lantus shot at 11pm and just did boluses for corrections and when I was eating. Then I realized I really missed the Insulin On Board (IOB) feature on the Slim. I downloaded RapidCalc onto my iPhone to try to estimate my dosages based on blood sugar and active insulin. Not sure if this is helping yet. My biggest problem is freaking Dawn Phenomenon. Whereas on the Slim, I just had about 150% of my regular basal happening between 3-430AM, I can't do that with Lantus. So I either wake up at 3AM and bolus for what is usually a 200 blood sugar with up trending arrow OR...like last night I sleep through the Dex alarm and wake up 300+. What gives? Anyone solve the Dawn Phenomenon Problem with MDI? It's lame. I had a 6.5% a1C at my last endo appointment so I was really hoping to keep that in place or at least keep it under 7. Advice? Anyone out there using MDI have any other suggestions for helpful apps? Or tricks? </t>
        </is>
      </c>
      <c r="D1208" t="n">
        <v>1</v>
      </c>
      <c r="E1208" t="n">
        <v>6</v>
      </c>
      <c r="F1208">
        <f>HYPERLINK("https://www.reddit.com/r/diabetes/comments/3hhmwa/t1d_pump_vacation_from_a_tslim_to_mdi_looking_for/")</f>
        <v/>
      </c>
      <c r="G1208" t="inlineStr">
        <is>
          <t>2015-08-18 13:05:09</t>
        </is>
      </c>
      <c r="H1208" t="inlineStr">
        <is>
          <t>Type 1</t>
        </is>
      </c>
    </row>
    <row r="1209">
      <c r="A1209" t="inlineStr">
        <is>
          <t>3hib43</t>
        </is>
      </c>
      <c r="B1209" t="inlineStr">
        <is>
          <t>Just got a Dexcom...have some questions...</t>
        </is>
      </c>
      <c r="C1209" t="inlineStr">
        <is>
          <t>Hi Everyone,
As the title says, I just got a Dexcom G4 Platinum or whatever they brand it as.  Anyway, literally just started using is yesterday and liking it so far.  Didn't mind it while doing activities/sleeping; however, I seem to be acutely aware of it.  Does this go away with time, or will I always "feel a presence".  Just curious what other's experience has been.
As a follow up, the transmitter is said to only last 6 months, and the sensor needs to be changed weekly.  Can these time frames be stretched or should I stick to the schedule?
Thanks!</t>
        </is>
      </c>
      <c r="D1209" t="n">
        <v>2</v>
      </c>
      <c r="E1209" t="n">
        <v>14</v>
      </c>
      <c r="F1209">
        <f>HYPERLINK("https://www.reddit.com/r/diabetes/comments/3hib43/just_got_a_dexcomhave_some_questions/")</f>
        <v/>
      </c>
      <c r="G1209" t="inlineStr">
        <is>
          <t>2015-08-18 15:45:17</t>
        </is>
      </c>
      <c r="H1209" t="inlineStr">
        <is>
          <t>Type 1</t>
        </is>
      </c>
    </row>
    <row r="1210">
      <c r="A1210" t="inlineStr">
        <is>
          <t>3hiw91</t>
        </is>
      </c>
      <c r="B1210" t="inlineStr">
        <is>
          <t>Afraid to tell my friend I'm T2 diabetic</t>
        </is>
      </c>
      <c r="C1210" t="inlineStr">
        <is>
          <t xml:space="preserve">Hey all, sorry this post might be a bit long...
I'm a 25Y Female, who was diagnose a year ago with T2. I went to my doctor for an annual physical and I had a fasting glucose of 238. (I can't even believe that number when I look at it now). When the test results came in, the nurse called me immediately saying that I needed to come back in for an A1C, saying simply "You're definitely diabetic". It came as an absolute shock. A few days later, my A1c came back at 8.4. 
I told only my Mom and my sister at the time. I was moving 100 miles away, starting a new college and a new job all at the same time, and I didn't have time to deal with my diabetes. Finally, in November I met with a Endo in my new city. She gave me a list of foods to avoid and some good information about insulin resistance (I had several signs of it). I broke down in tears in her office, because I didn't know how to deal with having a "disease".
I was prescribed MetFormin immediately after my diagnosis, and after my November appointment, I started eating low-carb. I avoided bread, rice, pasta, potatoes, and all fruit (except apples and strawberries, my doctor said those were fine). At my follow up appointment with my Endo, only 6 months after my diagnosis, I already got my A1c down to 5.7, and lost 20lb. 
I'm ecstatic about my results, and have been doing great with my levels, staying around 90-115 on my fasting glucose consistently. I've upped my exercise and i'm doing great keeping up a healthy diet. I have lost 32lbs since last year, and only have another 20-25 to go before I'm in a healthy weight range! 
I'm very proud of my progress, but the only problem is that I'm still ashamed of telling some people that I have diabetes. I've been scared since I was diagnosed that people only see T2 as the "Fat People Disease". A few of my friends a co-workers know, which is really helpful at times, because they don't offer me sweets or junk food that they know I can't eat-- but at the same time, I'm afraid of being judged every time someone sees me put food in my mouth. I do still indulge occasionally on a burger and fries, or allow myself ice cream from time to time. These are very occasional treats, and my numbers are good, so I feel okay about treating myself sometimes. I have a group of really good friends that I see regularly, and there is usually food involved whenever we get together. I'm really afraid to tell them that I'm diabetic because I feel that they won't understand. 
Has anyone else experienced this? In my mind, I know my friends will accept me for who I am, but I also feel like there is such a shameful stigma associated with T2 and being overweight. I don't want people too look at my body and say "No wonder she's diabetic". </t>
        </is>
      </c>
      <c r="D1210" t="n">
        <v>7</v>
      </c>
      <c r="E1210" t="n">
        <v>11</v>
      </c>
      <c r="F1210">
        <f>HYPERLINK("https://www.reddit.com/r/diabetes/comments/3hiw91/afraid_to_tell_my_friend_im_t2_diabetic/")</f>
        <v/>
      </c>
      <c r="G1210" t="inlineStr">
        <is>
          <t>2015-08-18 18:20:21</t>
        </is>
      </c>
      <c r="H1210" t="inlineStr">
        <is>
          <t>Type 2</t>
        </is>
      </c>
    </row>
    <row r="1211">
      <c r="A1211" t="inlineStr">
        <is>
          <t>3hklys</t>
        </is>
      </c>
      <c r="B1211" t="inlineStr">
        <is>
          <t>Was diagnosed with T2 Diabetes a few days ago, I have a few questions.</t>
        </is>
      </c>
      <c r="C1211" t="inlineStr">
        <is>
          <t>okay so I am a 22yo male, 5'9" 220lbs and was just diagnosed with diabetes. I have a few questions. Yes I know I should be consulting my doctor but I also want to hear from people with the same disease.
first of all, I started calorie counting yesterday. my app tells me how much cals I should take daily but it doesn't say anything about carbs. How much total carbs can my diabetic body handle in a day?
also, someone in my class joked about diabetes not being a problem because you can still eat anything as long as you learn to cut down. if so, can I, say, eat a small bite of a chocolate bar once a week?
lastly, if I maintain a healthy lifestyle, would I eliminate the onset of diseases and other complications caused by diabetes? or would that be inevitable? cause I heard no matter what you do, once you have diabetes, you get even sicker. Just wanted to confirm this.
oh and I will try to fix my body clock so I can wake up early and jog. would 30mins every morning suffice?</t>
        </is>
      </c>
      <c r="D1211" t="n">
        <v>1</v>
      </c>
      <c r="E1211" t="n">
        <v>0</v>
      </c>
      <c r="F1211">
        <f>HYPERLINK("https://www.reddit.com/r/diabetes/comments/3hklys/was_diagnosed_with_t2_diabetes_a_few_days_ago_i/")</f>
        <v/>
      </c>
      <c r="G1211" t="inlineStr">
        <is>
          <t>2015-08-19 04:28:55</t>
        </is>
      </c>
      <c r="H1211" t="inlineStr">
        <is>
          <t>Type 2</t>
        </is>
      </c>
    </row>
    <row r="1212">
      <c r="A1212" t="inlineStr">
        <is>
          <t>3hktla</t>
        </is>
      </c>
      <c r="B1212" t="inlineStr">
        <is>
          <t>Pramlintide/Symlin</t>
        </is>
      </c>
      <c r="C1212" t="inlineStr">
        <is>
          <t>Somehow I'd never heard of this until today - as well as not producing insulin as a T1 I also don't produce something called amylin which controls the rate at which glucose is absorbed.
I sometimes have big BG spikes after meals so this was interesting to me.
Pramlintide (marketed as Symlin) is an amylin analogue which is injected to restore this absorption control.
I suspect this just plain isn't available in the UK but I'm nonetheless curious to know if anyone on this sub is using Symlin and what their experience has been.</t>
        </is>
      </c>
      <c r="D1212" t="n">
        <v>5</v>
      </c>
      <c r="E1212" t="n">
        <v>7</v>
      </c>
      <c r="F1212">
        <f>HYPERLINK("https://www.reddit.com/r/diabetes/comments/3hktla/pramlintidesymlin/")</f>
        <v/>
      </c>
      <c r="G1212" t="inlineStr">
        <is>
          <t>2015-08-19 05:46:38</t>
        </is>
      </c>
      <c r="H1212" t="inlineStr">
        <is>
          <t>Type 1</t>
        </is>
      </c>
    </row>
    <row r="1213">
      <c r="A1213" t="inlineStr">
        <is>
          <t>3hlei5</t>
        </is>
      </c>
      <c r="B1213" t="inlineStr">
        <is>
          <t>Adult Type 1 Diabetics and DTC Tax Credit</t>
        </is>
      </c>
      <c r="C1213" t="inlineStr">
        <is>
          <t>I am a type 1 diabetic and I received the retroactive tax credit.  It was over $15,000. for ten years.  The CRA is very specific about what you can and cannot include in the 14 yrs. week.  I worked with the lady at www.crmbluegroup.com   She was very helpful because she is a diabetic too.</t>
        </is>
      </c>
      <c r="D1213" t="n">
        <v>1</v>
      </c>
      <c r="E1213" t="n">
        <v>4</v>
      </c>
      <c r="F1213">
        <f>HYPERLINK("https://www.reddit.com/r/diabetes/comments/3hlei5/adult_type_1_diabetics_and_dtc_tax_credit/")</f>
        <v/>
      </c>
      <c r="G1213" t="inlineStr">
        <is>
          <t>2015-08-19 08:24:52</t>
        </is>
      </c>
      <c r="H1213" t="inlineStr">
        <is>
          <t>Type 1</t>
        </is>
      </c>
    </row>
    <row r="1214">
      <c r="A1214" t="inlineStr">
        <is>
          <t>3hlri2</t>
        </is>
      </c>
      <c r="B1214" t="inlineStr">
        <is>
          <t>Question about lows in Type 2</t>
        </is>
      </c>
      <c r="C1214" t="inlineStr">
        <is>
          <t>I was diagnosed Type 2 in June of this year, so far I have been managing pretty well with diet alone.
Monday evening right after I ordered some sushi I started feeling a little shaky and dizzy. I tested at 53mg/dl. I talked to my DE yesterday, as she requested I let her know if I go below 70, and she suggested I start testing before I eat. Just before lunch today I was at 75. I am mostly following a keto diet averaging 30 grams of carbs per day. Since diagnosis I have lost about 14 lbs following keto and I really would like to lose more, however I'm afraid that I need to add more carbs to keep from going low.
So, have any of you had this happen?  If so, what did you do to prevent lows between meals?</t>
        </is>
      </c>
      <c r="D1214" t="n">
        <v>4</v>
      </c>
      <c r="E1214" t="n">
        <v>11</v>
      </c>
      <c r="F1214">
        <f>HYPERLINK("https://www.reddit.com/r/diabetes/comments/3hlri2/question_about_lows_in_type_2/")</f>
        <v/>
      </c>
      <c r="G1214" t="inlineStr">
        <is>
          <t>2015-08-19 09:51:43</t>
        </is>
      </c>
      <c r="H1214" t="inlineStr">
        <is>
          <t>Type 2</t>
        </is>
      </c>
    </row>
    <row r="1215">
      <c r="A1215" t="inlineStr">
        <is>
          <t>3hmmfw</t>
        </is>
      </c>
      <c r="B1215" t="inlineStr">
        <is>
          <t>Managing Diabetes Without Medications: My 7 Year Journey So Far.</t>
        </is>
      </c>
      <c r="C1215" t="inlineStr">
        <is>
          <t xml:space="preserve">I was diagnosed with T2 about 7 years ago at age 24.  I had something like over 300 on a fasting glucose test, which was caught when I went in to the doctor because I just felt weird.  I was 6'4" and 250 lbs.  I had a motorcycle accident when I was 21 years old and almost lost my foot.  It's still heavily damaged and, at the time, felt like walking on a mildly twisted ankle.  I was fairly athletic in high school and was on the swim team, so I was used to eating 5000+ calories per day.  So, take my normal eating habits plus a lack of activity, and I gained about 50 lbs in a couple years.
After being diagnosed, I decided I wanted to go it with diet and exercise until/unless that didn't work.  It took a couple months, but I got my fasting below 126, and started losing weight.  I was doing something close to Zone with calorie restriction to about 2200 per day along with using my university's gym to swim and lift weights for something like 10-15 hours per week.  I finally found some shoes that made walking virtually pain-free (Sketchers Shape-ups...damn the lawsuit!).  I lost ~30 lbs in a few months and then backed off of the diet restriction, and didn't see any problems with my blood sugar as long as I didn't do anything too extravagant like eat a bunch of jellybeans. 
Over the next couple years, I gained about 10 lbs back and had some intermittency with the exercise. My wife and I were then going to have our first child, and I knew I wouldn't really have time or energy to exercise and diet, so I decided to lose as much as I could before the baby was born, and lost another 35 lbs over ~4 months doing weight lifting and stationary cycling.  I had no real blood sugar problems, and was only testing myself once every few months for fasting BG.  After my son was born, I stopped exercising.  Two years later, we then had our twin boys, and there was definitely no time to exercise.  
Once the twins reached about 1 years old, I realized my blood sugar was out of control when I couldn't get life insurance because my A1C was too high.  I had gained those first 35 lbs back over the course of about 3 years.  I then got back on the exercising bandwagon by buying a Concept2 rower and weightlifting (total time about 6 hours per week of actual exercise).  This dropped my fasting BG to around 120, which was good enough.  Over the next 6 months, I lost and gained back 10 lbs because I wasn't doing any diet restriction.  I then decided I wanted to lose the weight, so I tried out intermittent fasting, which worked great for the weight loss and, incidentally, cholesterol.  However, my fasting BG rose to 140 and my A1C was 7.1.  The large meals were just creating too much of a spike: up to 250.  I realized I basically couldn't eat starchy/sugary carbs at all if I wanted to keep the BG down.  Steamed rice was out of the question.
Due to this exercise regimen, I actually have more muscle and less fat than I have ever had in my life, yet my BG was still out of control.  I began to seriously consider getting on Metformin, but I didn't really like the cost/benefit of taking it while exercising regularly.  I found the intermittent fasting was very effective for limiting my calorie intake without requiring much willpower (much easier to not eat than it is to eat a little bit, and this factors in a scheduled large binge), but it wasn't working for my BG control.  Things were just really not going well in my life, and I had a huge amount of anxiety, not about anything in particular, just an intense sense of impending doom.  So, I had my testosterone tested, and that was pretty low (230).  Low T is a complication with T2, and low T also impacts insulin sensitivity.  Of all the research I did, it looks like there's no drawback to Testosterone Replacement Therapy (TRT) since the heart disease complications are not there for T2 diabetics, and I'm done having children.  
So, I got on TRT about 3 weeks ago.  I also bought a [Desk Cycle](http://www.amazon.com/DeskCycle-Exercise-Pedal-Exerciser-White/dp/B00B1VDNQA/ref=sr_1_1?ie=UTF8&amp;amp;qid=1440010745&amp;amp;sr=8-1&amp;amp;keywords=desk+cycle), which is very silent.  The combination of these two things has brought my blood sugars back in line (as well as my anxiety).  I think the deskcycle has the biggest impact, but I can't really know: being able to do low grade exercise for several hours per day while working has been pretty critical: I do about 2.5 hour and ~500 extra Calories on it per day plus my main workouts at night.  I'm now at 110 fasting when I get in to work (with 125 or so right when I get up).  I stay pretty near 120 most of the day, with a small spike to around 140 for a 1500 calorie lunch (My TDEE is around 4000 Calories due to height, weight, and activity level), which includes a lot of meat, vegetables, fat, and about 200 Calories of M&amp;amp;M's.  If I go severely off reservation and have 80g or more of carbs at once as a snack, it rises to about 180 (as opposed to ~230 before these changes).
So, all in all, things are under adequate control for now and things seem to continue improving, though I realize I don't have anymore wiggle room to fall off the wagon, and that eventually I will need the medications as my beta cells stop producing as much insulin and my Liver continues to progress in its insulin resistance (causing overproduction of glucose).
Some things I've learned over my journey: low grade exercise throughout the day is very important in addition to intense, scheduled exercise.  A silent desk cycle and getting set up for it is more socially acceptable than I thought it would be.  Eat a lot of fat with your carbs to prevent BG spikes (if you're going to have carbs).  Virgin Coconut oil is the stuff of the gods especially mixed in Greek yogurt.  Losing weight is only a temporary T2 management.  The key to exercising long term is finding something you enjoy.  When you stop enjoying it, find something else you enjoy.  The right exercises will make you feel awesome: before I started, I had pretty major back, neck, and knee problems, which are now a thing of the past.  I love being able to run and jump, play with my kids until they drop, and I had forgotten how fun sprinting at top speed can be.  Kinect fitness programs are surprisingly entertaining and effective.  Body fat calipers are your best friend when tracking progress.  You only need so much protein, you have to restrict carbs because diabetes, so fat's your friend (and it's cheap Calories), but dietary fat's got major drawbacks with how you feel if you don't do some high intensity exercise pretty regularly.  High intensity exercise can make you feel 10 years younger...if you do it right.  If you do it wrong, it'll make you feel tired and worn down all the time.  
</t>
        </is>
      </c>
      <c r="D1215" t="n">
        <v>5</v>
      </c>
      <c r="E1215" t="n">
        <v>5</v>
      </c>
      <c r="F1215">
        <f>HYPERLINK("https://www.reddit.com/r/diabetes/comments/3hmmfw/managing_diabetes_without_medications_my_7_year/")</f>
        <v/>
      </c>
      <c r="G1215" t="inlineStr">
        <is>
          <t>2015-08-19 13:10:28</t>
        </is>
      </c>
      <c r="H1215" t="inlineStr">
        <is>
          <t>Type 2</t>
        </is>
      </c>
    </row>
    <row r="1216">
      <c r="A1216" t="inlineStr">
        <is>
          <t>3hmmiq</t>
        </is>
      </c>
      <c r="B1216" t="inlineStr">
        <is>
          <t>Recommendations for carb intake on a newly diagnosed T2?</t>
        </is>
      </c>
      <c r="C1216" t="inlineStr">
        <is>
          <t xml:space="preserve">I'm asking on behalf of a good buddy of mine who doesn't reddit. He was recently diagnosed with T2 diabetes and is currently taking metformin to control his blood sugar. I'm trying to help him out on a diet plan but his doc gave very vague directions on changing eating habits which was eliminate carbs altogether and restrict bad fats (I'm assuming his cholesterol is also elevated.)   
I know he's 245lbs/5'10 and he (now) is serious about getting that down to a minimum of 220 within a year with diet and exercise.
So my question is... is there a ballpark figure of carbs per day (g) that is generally accepted as okay? I'm finding it hard to make a diet plan that revolves around near 0 carbs a day (which he assumes what his doc meant.) If the best answer is &amp;lt;10 a day then I suppose 24/7 salads could work. </t>
        </is>
      </c>
      <c r="D1216" t="n">
        <v>3</v>
      </c>
      <c r="E1216" t="n">
        <v>6</v>
      </c>
      <c r="F1216">
        <f>HYPERLINK("https://www.reddit.com/r/diabetes/comments/3hmmiq/recommendations_for_carb_intake_on_a_newly/")</f>
        <v/>
      </c>
      <c r="G1216" t="inlineStr">
        <is>
          <t>2015-08-19 13:11:00</t>
        </is>
      </c>
      <c r="H1216" t="inlineStr">
        <is>
          <t>Type 2</t>
        </is>
      </c>
    </row>
    <row r="1217">
      <c r="A1217" t="inlineStr">
        <is>
          <t>3hmq2i</t>
        </is>
      </c>
      <c r="B1217" t="inlineStr">
        <is>
          <t>Tips for project regarding type 1 diabetes</t>
        </is>
      </c>
      <c r="C1217" t="inlineStr">
        <is>
          <t>Hi!
I'm about to do a (upper secondary) diploma project. I want to study something regarding type 1 diabetes, from a scientific aspect as I study natural science. Do you guys have any ideas?
Thanks!</t>
        </is>
      </c>
      <c r="D1217" t="n">
        <v>2</v>
      </c>
      <c r="E1217" t="n">
        <v>2</v>
      </c>
      <c r="F1217">
        <f>HYPERLINK("https://www.reddit.com/r/diabetes/comments/3hmq2i/tips_for_project_regarding_type_1_diabetes/")</f>
        <v/>
      </c>
      <c r="G1217" t="inlineStr">
        <is>
          <t>2015-08-19 13:33:23</t>
        </is>
      </c>
      <c r="H1217" t="inlineStr">
        <is>
          <t>Type 1</t>
        </is>
      </c>
    </row>
    <row r="1218">
      <c r="A1218" t="inlineStr">
        <is>
          <t>3hnbye</t>
        </is>
      </c>
      <c r="B1218" t="inlineStr">
        <is>
          <t>New Pump decision time. Do I leave Medtronic to go to Animas/Dexcom...or...</t>
        </is>
      </c>
      <c r="C1218" t="inlineStr">
        <is>
          <t>So I got a call last week from Medtronic that my pump is out of warranty and it is time for a new one. I've had a Medtronic pump since I started pumping ca. 2001. I have the Medtronic CGM, and, for the most part, it works well for me (I know that others have issues with it). 
I thought I was just going to go happily in to the new 530G with Enlite. I like that the sensor inserter is shorter now, and the threshold suspend sounds good to me- I do a lot of travel on my own and have some fears of lows during the night, plus I'm a runner and it'd be helpful to have it suspend itself. 
One of my main reasons for liking my Medtronic is that it is integrated. I don't have to carry two devices. Again, distance runner, so the less crap I need to carry, the better. 
So just for the sake of comparison, I checked on the Animas Vibe with Dexcom integration, and I'm intrigued. All I hear about is how much everyone loves their Dex, and that's my main reason for being interested. However, I've read that it won't be upgradable to the new Dex algorithm, which concerns me. 
The T:Slim doesn't have integration yet, and I don't know if I can spend a year fumbling two devices until the FDA approves integration, and how that will sort itself out if it does get approved? 
I'm tentatively leaning towards staying with Medtronic, but I'd like some points not to. 
Stats:
1) Don't need to 700 series, my insulin needs are pretty standard. 
2) Still fairly hypo aware, but have had some bad night time lows.
2a) I have a partner with whom I share a bed 9 times out of 10. 
2b) I do travel frequently on my own (conferences, speaking gigs, etc)
3) I'm a long distance runner, so whatever I get needs to be durable and not huge (which is one of my hesitations w/ T:Slim but correct me if I'm wrong). 
4) I've had good accuracy with my Medtronic CGM, although I know that's not everyone's experience. 
I'm just afraid of making a crappy choice and spending the next 5 years wishing I had a different pump. 
HALP. 
EDIT: Should note that money, fortunately, isn't a problem. My partner sacrfices some ridiculous recruiter calls to stay at his firm with an unbelievable medical plan. Pump and CGM will be fully covered with no out of pocket costs.</t>
        </is>
      </c>
      <c r="D1218" t="n">
        <v>2</v>
      </c>
      <c r="E1218" t="n">
        <v>9</v>
      </c>
      <c r="F1218">
        <f>HYPERLINK("https://www.reddit.com/r/diabetes/comments/3hnbye/new_pump_decision_time_do_i_leave_medtronic_to_go/")</f>
        <v/>
      </c>
      <c r="G1218" t="inlineStr">
        <is>
          <t>2015-08-19 16:01:02</t>
        </is>
      </c>
      <c r="H1218" t="inlineStr">
        <is>
          <t>Type 1</t>
        </is>
      </c>
    </row>
    <row r="1219">
      <c r="A1219" t="inlineStr">
        <is>
          <t>3hncxa</t>
        </is>
      </c>
      <c r="B1219" t="inlineStr">
        <is>
          <t>What's the craziest thing you've done while low?</t>
        </is>
      </c>
      <c r="C1219" t="inlineStr">
        <is>
          <t>Unfortunately I can't think of one right now, but if I remember one, I'll make an edit.</t>
        </is>
      </c>
      <c r="D1219" t="n">
        <v>6</v>
      </c>
      <c r="E1219" t="n">
        <v>12</v>
      </c>
      <c r="F1219">
        <f>HYPERLINK("https://www.reddit.com/r/diabetes/comments/3hncxa/whats_the_craziest_thing_youve_done_while_low/")</f>
        <v/>
      </c>
      <c r="G1219" t="inlineStr">
        <is>
          <t>2015-08-19 16:07:42</t>
        </is>
      </c>
      <c r="H1219" t="inlineStr">
        <is>
          <t>Type 1</t>
        </is>
      </c>
    </row>
    <row r="1220">
      <c r="A1220" t="inlineStr">
        <is>
          <t>3hndrk</t>
        </is>
      </c>
      <c r="B1220" t="inlineStr">
        <is>
          <t>Cipro and Low BG?</t>
        </is>
      </c>
      <c r="C1220" t="inlineStr">
        <is>
          <t>I was just put on Cipro yesterday for an UTI and read all the info that came with it, specifically the fact that I'd need to watch my sugars carefully. I did some research (read a ton of forums) and everything I found was that Cipro makes people run high. Granted most people also said that it could be from the infection too. So I was expecting to be high for the next handful of days but I got a surprise low today. I didn't change anything in my routine except to add the Cipro. I dropped 80 points in 2 hours after my breakfast and morning dose. I corrected to 180 and had dropped another 30 points an hour and a half later. Should I be concerned or should I just enjoy the ability to eat some massive (for me) amounts of carbs for the next few days? TIA!</t>
        </is>
      </c>
      <c r="D1220" t="n">
        <v>3</v>
      </c>
      <c r="E1220" t="n">
        <v>8</v>
      </c>
      <c r="F1220">
        <f>HYPERLINK("https://www.reddit.com/r/diabetes/comments/3hndrk/cipro_and_low_bg/")</f>
        <v/>
      </c>
      <c r="G1220" t="inlineStr">
        <is>
          <t>2015-08-19 16:13:17</t>
        </is>
      </c>
      <c r="H1220" t="inlineStr">
        <is>
          <t>Type 2</t>
        </is>
      </c>
    </row>
    <row r="1221">
      <c r="A1221" t="inlineStr">
        <is>
          <t>3hnsie</t>
        </is>
      </c>
      <c r="B1221" t="inlineStr">
        <is>
          <t>...Does anyone else eat whatever they want and not really have any problems with it?</t>
        </is>
      </c>
      <c r="C1221" t="inlineStr">
        <is>
          <t>I saw the post about someone confessing to eating a chocolate donut, and all the commenters were also confessing to when they ate sweets like that, like they hadn't had pizza in years, or a donut, or stuff like that. 
Personally, when I was first diagnosed I stayed away from these things too, but these last 6 or 7 months i literally eat whatever i want and don't really have any problems with it (unless i carb count wrong, which I'll admit definitely happens more frequently with these bigger "bad" meals). For example, I had half a pizza last night with a glass of milk, it was about 90 carbs, tested 1.5 hour after eating and was at around 160, and actually ended up dropping a little low later that night. (I know pizza is kind of a funny food because of all the fat, but this is just an example, it really is with most any food, unless it's just like straight up sugar, which would spike me hard unless I bolus then wait maybe 30 mins before I eat it)
Any other T1's feel totally unrestricted in their diet? I feel kinda bad seeing all these people watching their diet, and feel like im kind of "cheating" or something by eating whatever I want, even though it doesn't really affect me. I eat 300+ carbs a day usually and have a great A1C and BG levels, anyone else the same?</t>
        </is>
      </c>
      <c r="D1221" t="n">
        <v>41</v>
      </c>
      <c r="E1221" t="n">
        <v>59</v>
      </c>
      <c r="F1221">
        <f>HYPERLINK("https://www.reddit.com/r/diabetes/comments/3hnsie/does_anyone_else_eat_whatever_they_want_and_not/")</f>
        <v/>
      </c>
      <c r="G1221" t="inlineStr">
        <is>
          <t>2015-08-19 18:05:53</t>
        </is>
      </c>
      <c r="H1221" t="inlineStr">
        <is>
          <t>Type 1</t>
        </is>
      </c>
    </row>
    <row r="1222">
      <c r="A1222" t="inlineStr">
        <is>
          <t>3hohlm</t>
        </is>
      </c>
      <c r="B1222" t="inlineStr">
        <is>
          <t>Just ordered a G4 and OmniPod!! Need some tips.</t>
        </is>
      </c>
      <c r="C1222" t="inlineStr">
        <is>
          <t>Ok so I finally got my insurance squared away and put in my order for a G4 and OmniPod. I work retail so I'm fairly active and also active outside of it so didn't want to be stuck being attached to my pump. Do any of you have any tips on what to do in terms of prolonging the life of the sensors? I know a G4 should be replaced weekly and the OmniPod I believe every 3 days but of course I would like to extend this a bit to help cut costs. I see some mention skin tac and others tape. Do you guys just tape right over the sensor or cut out a hole for the sensor to fit through and the tape just basically covers the sensors tape? The G4 videos I watched from Dexcoms YouTube channel says to go abdomen with it but where are you all using it? Can I get away with doing any areas like back of arms, thighs or top of ass/lower back? Any other tips you guys have in mind I'd appreciate it. 
EDIT: Also another question, when blousing, is it still advisable to do so about 20 minutes before actually eating? I've found myself going low a few times when I've eaten certain things right after MDI and then when the insulin hits me around 20 mins later or so, it is too late and I go low. Should I still plan around 20 mins before meals to bolus?</t>
        </is>
      </c>
      <c r="D1222" t="n">
        <v>4</v>
      </c>
      <c r="E1222" t="n">
        <v>7</v>
      </c>
      <c r="F1222">
        <f>HYPERLINK("https://www.reddit.com/r/diabetes/comments/3hohlm/just_ordered_a_g4_and_omnipod_need_some_tips/")</f>
        <v/>
      </c>
      <c r="G1222" t="inlineStr">
        <is>
          <t>2015-08-19 21:34:55</t>
        </is>
      </c>
      <c r="H1222" t="inlineStr">
        <is>
          <t>Type 1</t>
        </is>
      </c>
    </row>
    <row r="1223">
      <c r="A1223" t="inlineStr">
        <is>
          <t>3hp2t0</t>
        </is>
      </c>
      <c r="B1223" t="inlineStr">
        <is>
          <t>Eating sweets and blood glucose question</t>
        </is>
      </c>
      <c r="C1223" t="inlineStr">
        <is>
          <t>Hey guys, so I'm newly diagnosed for type 2 diabetes and my doctor told me to test my bg 2 hours after meals and that i should try to keep it below 160. I don't test my bg a lot but i do it whenever i feel like i ate enough or too much. Anyways, I'm very anxious about my bg and today, I ate ice cream and lots of rice and then tested my bg with my glucometer just 2 hours after eating, and it came out as 90mg/dl. I'm on galvusmet (vildagliptin+metformin 50mg/500mg) twice daily. should I be worried about anything or is it okay for me to eat sweets? my next doctor visit will be on November so i just really wanna know if i'm doing alright. constructive criticisms are very much welcome. 
here are my bg test results from my OneTouch select glucometer
August 13, 2015
80mg/dl : 11:00PM = random test
August 14, 2015
112 mg/dl = 2 hours after meal (fried brown rice and egg)
August 15, 2015
85 mg/dl = 2 hrs 30 minutes after meal
August 16, 2015
85mg/dl = 10 PM random test
August 18, 2015
121 mg/dl = 2 hours after eating mcflurry ice cream, soft drinks, french fries and burger
August 20, 2015
90 mg/dl = 2 hours after eating mcflurry ice cream and lots of rice.</t>
        </is>
      </c>
      <c r="D1223" t="n">
        <v>1</v>
      </c>
      <c r="E1223" t="n">
        <v>15</v>
      </c>
      <c r="F1223">
        <f>HYPERLINK("https://www.reddit.com/r/diabetes/comments/3hp2t0/eating_sweets_and_blood_glucose_question/")</f>
        <v/>
      </c>
      <c r="G1223" t="inlineStr">
        <is>
          <t>2015-08-20 01:36:18</t>
        </is>
      </c>
      <c r="H1223" t="inlineStr">
        <is>
          <t>Type 2</t>
        </is>
      </c>
    </row>
    <row r="1224">
      <c r="A1224" t="inlineStr">
        <is>
          <t>3hpojf</t>
        </is>
      </c>
      <c r="B1224" t="inlineStr">
        <is>
          <t>T1 Insulin types and price</t>
        </is>
      </c>
      <c r="C1224" t="inlineStr">
        <is>
          <t>I have no insurance, and have run out of my novolog stockpile.  I will end up switching back to the novolin vials you get at walmart for $25.  My questions is, is there a better alternative even if it costs a few bucks more?  I can not afford almost $300 for a box of pens or the $150-200 for the vial where I can find it.  Any thoughts is appreciated.
Clafification:  I would like to stick to novolog or something similar as it is a quick acting, vs the novolin I get which is a much slower acting mealtime option.</t>
        </is>
      </c>
      <c r="D1224" t="n">
        <v>2</v>
      </c>
      <c r="E1224" t="n">
        <v>25</v>
      </c>
      <c r="F1224">
        <f>HYPERLINK("https://www.reddit.com/r/diabetes/comments/3hpojf/t1_insulin_types_and_price/")</f>
        <v/>
      </c>
      <c r="G1224" t="inlineStr">
        <is>
          <t>2015-08-20 05:47:35</t>
        </is>
      </c>
      <c r="H1224" t="inlineStr">
        <is>
          <t>Type 1</t>
        </is>
      </c>
    </row>
    <row r="1225">
      <c r="A1225" t="inlineStr">
        <is>
          <t>3hqknb</t>
        </is>
      </c>
      <c r="B1225" t="inlineStr">
        <is>
          <t>Diabetic Nutritionists/Trainers: Is a metabolic assessment recommended for type 1 diabetics?</t>
        </is>
      </c>
      <c r="C1225" t="inlineStr">
        <is>
          <t>I recently joined a new gym and am starting to work with a trainer and dietician on a program to increase muscle and lose weight and body fat. The dietician recommended I have a metabolic assessment so that me and my trainer know my Heart Rate Zones because "it is very easy for Type 1 Diabetics to go catabolic". 
This assessment they offer is $100 and I want to make sure it's worth spending the money on vs something I'm being sold.
Does anyone here have any experience with this/know if it's worth it?</t>
        </is>
      </c>
      <c r="D1225" t="n">
        <v>1</v>
      </c>
      <c r="E1225" t="n">
        <v>2</v>
      </c>
      <c r="F1225">
        <f>HYPERLINK("https://www.reddit.com/r/diabetes/comments/3hqknb/diabetic_nutritioniststrainers_is_a_metabolic/")</f>
        <v/>
      </c>
      <c r="G1225" t="inlineStr">
        <is>
          <t>2015-08-20 09:46:09</t>
        </is>
      </c>
      <c r="H1225" t="inlineStr">
        <is>
          <t>Type 1</t>
        </is>
      </c>
    </row>
    <row r="1226">
      <c r="A1226" t="inlineStr">
        <is>
          <t>3hryhl</t>
        </is>
      </c>
      <c r="B1226" t="inlineStr">
        <is>
          <t>MODY tests came back negative</t>
        </is>
      </c>
      <c r="C1226" t="inlineStr">
        <is>
          <t>Hi,
I'm 17, 5.5% hb1ac(37mmol) and i'm all around pretty healthy. I eat a healthy proportional diet and I have my interests. Enjoy live music and a bit pot once in a while. I play soccer with my friends each week, enjoy running when I can get around to it and i'm studying Computer Science, Business/Economics and Geography at College. I don't really drink much because I know it's bad for my health in the long term and my diabetes. Currently on MDI using novorapid and levimir. I've tried low carb diets but I just love carb based foods and if they're part of my diet and i'm healthy I will include them until I consider low carb again once i'm older. 
Doc thought i had mody a month back, got the results back today and they all came back negative for all genetic causes of diabetes however I'm still on my honeymoon and only take 20-30 units in total per day. 
I dont understand how genetics could present symptoms now(low use of insulin, long honey etc) but not have the gentics present?
Are the docs just over reacting and being precautions.
Also check out my diabetes bloog sugar management software: http://richardc.link/post/127151433894/glucosebuddy-release-v17</t>
        </is>
      </c>
      <c r="D1226" t="n">
        <v>2</v>
      </c>
      <c r="E1226" t="n">
        <v>1</v>
      </c>
      <c r="F1226">
        <f>HYPERLINK("https://www.reddit.com/r/diabetes/comments/3hryhl/mody_tests_came_back_negative/")</f>
        <v/>
      </c>
      <c r="G1226" t="inlineStr">
        <is>
          <t>2015-08-20 15:27:38</t>
        </is>
      </c>
      <c r="H1226" t="inlineStr">
        <is>
          <t>Type 1</t>
        </is>
      </c>
    </row>
    <row r="1227">
      <c r="A1227" t="inlineStr">
        <is>
          <t>3hs9fh</t>
        </is>
      </c>
      <c r="B1227" t="inlineStr">
        <is>
          <t>Drum roll, please!</t>
        </is>
      </c>
      <c r="C1227" t="inlineStr">
        <is>
          <t>I got my A1C today! 6.2%! my first measurement was 11.7%, on April 29.
Thank you, /r/diabetes. I credit you and all your good advice on diet for this. You guys rock.</t>
        </is>
      </c>
      <c r="D1227" t="n">
        <v>23</v>
      </c>
      <c r="E1227" t="n">
        <v>21</v>
      </c>
      <c r="F1227">
        <f>HYPERLINK("https://www.reddit.com/r/diabetes/comments/3hs9fh/drum_roll_please/")</f>
        <v/>
      </c>
      <c r="G1227" t="inlineStr">
        <is>
          <t>2015-08-20 16:52:58</t>
        </is>
      </c>
      <c r="H1227" t="inlineStr">
        <is>
          <t>Type 2</t>
        </is>
      </c>
    </row>
    <row r="1228">
      <c r="A1228" t="inlineStr">
        <is>
          <t>3hz8wm</t>
        </is>
      </c>
      <c r="B1228" t="inlineStr">
        <is>
          <t>In response to a comment a teammate made at practice the other night</t>
        </is>
      </c>
      <c r="C1228" t="inlineStr">
        <is>
          <t>I know you didn't mean it, but you made a comment about my disability the other night that was really awful.
You probably don't think of diabetes as a disability. It doesn't look that hard: eat the check blood sugar, eat the right foods, take insulin. Rinse and repeat. But it's a life-threatening illness that is a constant struggle to maintain control.
You take it for granted that at any given time, you can lace up and be ready to play. If I want to play--or do any form of exercise--I have to plan for hours in advance. On practice days, I spend all afternoon closely monitoring my blood sugar. I have to be very careful about what to eat for lunch, and even more careful about what I eat between getting home from work and going to practice. And even then, there's about a million factors--many of which are out of my control--that can fuck around and render me unable to play. (Believe it or not, even the weather can affect my blood sugars.)
You have no idea how awful it feels to have to sit out and watch because my body won't cooperate with me. It's been worse this season than last season. I've had a lot of other health issues to deal with, including the injury that kept me out for half the season. It's so much more frustrating than you will ever know to not be able to participate in something I love.
This sport is a big fucking deal to me. I never, ever thought that I'd be able to play a sport as intense as this one. That's why it means so much to me--the fact that I'm able to do something I didn't ever think my disability would allow.
That comment may have been a lighthearted joke to you, but to me, it was reinforcing every single message I've ever gotten from teammates, coaches, and captains: You're lazy and you're just using your diabetes as an excuse to get out of drills you don't like. You're not trying hard enough. You're a bad teammate for not always being able to control your diabetes. You're just making it up for attention.
You have no idea how awful that feels.
You made a comment about my having to miss a drill, and it brought back every single insecurity I thought I had been able to push through about my health.</t>
        </is>
      </c>
      <c r="D1228" t="n">
        <v>29</v>
      </c>
      <c r="E1228" t="n">
        <v>20</v>
      </c>
      <c r="F1228">
        <f>HYPERLINK("https://www.reddit.com/r/diabetes/comments/3hz8wm/in_response_to_a_comment_a_teammate_made_at/")</f>
        <v/>
      </c>
      <c r="G1228" t="inlineStr">
        <is>
          <t>2015-08-22 08:53:10</t>
        </is>
      </c>
      <c r="H1228" t="inlineStr">
        <is>
          <t>Type 1</t>
        </is>
      </c>
    </row>
    <row r="1229">
      <c r="A1229" t="inlineStr">
        <is>
          <t>3i1nu0</t>
        </is>
      </c>
      <c r="B1229" t="inlineStr">
        <is>
          <t>What targets do people use for bed time and morning?</t>
        </is>
      </c>
      <c r="C1229" t="inlineStr">
        <is>
          <t xml:space="preserve">When I was diagnosed last year I was told by my diabetes dietitian that I shouldn't be going to bed below 10mmol. These days that seems way too conservative. My basal keeps me steady now, ie if I go to bed on 6mmol I wake up on 6. I know I have dawn phenomenon, which makes me think I dip a little overnight. I can't afford a CGM (would love one). Just wondering what others do.  It seems pretty unhealthy to be high all night, every night.
Edit: This is mainly a type 1 question. </t>
        </is>
      </c>
      <c r="D1229" t="n">
        <v>8</v>
      </c>
      <c r="E1229" t="n">
        <v>37</v>
      </c>
      <c r="F1229">
        <f>HYPERLINK("https://www.reddit.com/r/diabetes/comments/3i1nu0/what_targets_do_people_use_for_bed_time_and/")</f>
        <v/>
      </c>
      <c r="G1229" t="inlineStr">
        <is>
          <t>2015-08-22 21:10:32</t>
        </is>
      </c>
      <c r="H1229" t="inlineStr">
        <is>
          <t>Type 1</t>
        </is>
      </c>
    </row>
    <row r="1230">
      <c r="A1230" t="inlineStr">
        <is>
          <t>3i2agq</t>
        </is>
      </c>
      <c r="B1230" t="inlineStr">
        <is>
          <t>I need help...</t>
        </is>
      </c>
      <c r="C1230" t="inlineStr">
        <is>
          <t>I have Type 2 diabetes and CKD. My nephrologist says I need to be on a low carb, protein-restricted diet. I'm having a hard time finding an online resource for low carb, restricted protein... everything I find is low carb/high protein.
Can anyone help me find an online guide, meal planner, diet plan, food picker, whatever, for a LOW CARB but RESTRICTED PROTEIN diet?</t>
        </is>
      </c>
      <c r="D1230" t="n">
        <v>8</v>
      </c>
      <c r="E1230" t="n">
        <v>7</v>
      </c>
      <c r="F1230">
        <f>HYPERLINK("https://www.reddit.com/r/diabetes/comments/3i2agq/i_need_help/")</f>
        <v/>
      </c>
      <c r="G1230" t="inlineStr">
        <is>
          <t>2015-08-23 02:06:09</t>
        </is>
      </c>
      <c r="H1230" t="inlineStr">
        <is>
          <t>Type 2</t>
        </is>
      </c>
    </row>
    <row r="1231">
      <c r="A1231" t="inlineStr">
        <is>
          <t>3i2kjj</t>
        </is>
      </c>
      <c r="B1231" t="inlineStr">
        <is>
          <t>[help] What to do with hypoglicemic symptoms?</t>
        </is>
      </c>
      <c r="C1231" t="inlineStr">
        <is>
          <t>My mother, who is a type 2 diabetic, (46yo) just measured her sugar and it results to be 62mg/dl. She said that she is feeling weak and is cold sweating. The reason the sugar is this low might be that yesterday she refused to have full dinner and just ate a few forks of steak. I told her to get some light sugar snacks or to drink some fruit juice but she refused, and now she is just taking a nap. Should I worry?
Update: She is now fine, her glucose level arose to 160 (2h after having lunch). Ty everyone for the suggestions :)</t>
        </is>
      </c>
      <c r="D1231" t="n">
        <v>5</v>
      </c>
      <c r="E1231" t="n">
        <v>4</v>
      </c>
      <c r="F1231">
        <f>HYPERLINK("https://www.reddit.com/r/diabetes/comments/3i2kjj/help_what_to_do_with_hypoglicemic_symptoms/")</f>
        <v/>
      </c>
      <c r="G1231" t="inlineStr">
        <is>
          <t>2015-08-23 04:44:52</t>
        </is>
      </c>
      <c r="H1231" t="inlineStr">
        <is>
          <t>Type 2</t>
        </is>
      </c>
    </row>
    <row r="1232">
      <c r="A1232" t="inlineStr">
        <is>
          <t>3i3412</t>
        </is>
      </c>
      <c r="B1232" t="inlineStr">
        <is>
          <t>I hit 185lbs today!</t>
        </is>
      </c>
      <c r="C1232" t="inlineStr">
        <is>
          <t>I started this journey in early June at 6'3" and 225lbs.  After constant exercise (~1000cals a day of exercise over 90m), and a new diet (low carb, ~45-90/day, 1350cal a day) I am now 185lbs!
My goal weight is 170, or as low as I have to go to strip away any excess flab.
So close!</t>
        </is>
      </c>
      <c r="D1232" t="n">
        <v>45</v>
      </c>
      <c r="E1232" t="n">
        <v>11</v>
      </c>
      <c r="F1232">
        <f>HYPERLINK("https://www.reddit.com/r/diabetes/comments/3i3412/i_hit_185lbs_today/")</f>
        <v/>
      </c>
      <c r="G1232" t="inlineStr">
        <is>
          <t>2015-08-23 08:15:42</t>
        </is>
      </c>
      <c r="H1232" t="inlineStr">
        <is>
          <t>Type 2</t>
        </is>
      </c>
    </row>
    <row r="1233">
      <c r="A1233" t="inlineStr">
        <is>
          <t>3i4jyr</t>
        </is>
      </c>
      <c r="B1233" t="inlineStr">
        <is>
          <t>I know I need to see a doctor but can you develop full blown T2 diabetes in one year?</t>
        </is>
      </c>
      <c r="C1233" t="inlineStr">
        <is>
          <t>I had blood work (fasting) done July of last year so it's been more than a year. My blood glucose level was 84 which was considered normal. I was tested because I was experiencing dry mouth, drinking a lot and frequently urinating. It turned out that it was likely the medication I was on at the time was causing the dry mouth and increase of water.
A year later, the symptoms are back but they're pretty awful right now. I'm on five different medications, and some of them do list dry mouth for side effects. The newest one I started was Adderall IR and the dry mouth starting coming back. I don't feel like psychologically "thirsty", but I HAVE to drink water so my mouth isn't a desert. I drink a gallon or more of water a day and as far as I know, that's unsafe but I read that you must drink water with Adderall to stay hydrated but I'm trying and the dry mouth isn't going away.
Here's where I'm worried about diabetes. I am totally at risk. I quit smoking this year, major weight gain from that. Weight gain from a very stressful year (so far), and weight gain from a new med. The last time I was weighed (back in Spring) I was at 285 (6'1"). I don't even want to know what I am now. I think I'm probably morbidly obese and I absolutely need to address these issues and I will, scout's honor.
I'm afraid of going back to have blood work done because finding I might have T2 Diabetes PLUS other things. My cholesterol was dangerously high from that lab work last year even though I was smoking a lot. I don't want to find out it's worse. My depression is improving, so finding out my physical health is deteriorating would actually send me into a depression.
I realize I have to go and will.
But what is your opinion (besides go to the doctor, or go get a glucose meter- I seriously can't afford a THING right now due to the medication costs)
Do you think it could have gone from 84 to T2 diabetes levels to 126 or more in a little over a year? Have you heard of anything like that? (fasting)
Thank you
Edit: No blurred vision. No weight loss. But hungry... I don't eat a lot now until night because of adderall but when I do eat, I'll admit, it's not the healthiest. One of my meds makes me crave carbs and sweets shortly after I take it. :\</t>
        </is>
      </c>
      <c r="D1233" t="n">
        <v>4</v>
      </c>
      <c r="E1233" t="n">
        <v>24</v>
      </c>
      <c r="F1233">
        <f>HYPERLINK("https://www.reddit.com/r/diabetes/comments/3i4jyr/i_know_i_need_to_see_a_doctor_but_can_you_develop/")</f>
        <v/>
      </c>
      <c r="G1233" t="inlineStr">
        <is>
          <t>2015-08-23 14:56:02</t>
        </is>
      </c>
      <c r="H1233" t="inlineStr">
        <is>
          <t>Type 2</t>
        </is>
      </c>
    </row>
    <row r="1234">
      <c r="A1234" t="inlineStr">
        <is>
          <t>3i6fbk</t>
        </is>
      </c>
      <c r="B1234" t="inlineStr">
        <is>
          <t>Numbness of my big toe (type 1)</t>
        </is>
      </c>
      <c r="C1234" t="inlineStr">
        <is>
          <t>Been a type 1 diabetic for 10 years now.
About a week ago I had an acute pain in my toe. I thought it was an ingrown toenail or infection of some kind so I went to the doctor on my day off. This doctor just waved me away with some anti-biotics after looking at my toe for 5 seconds and performing no tests (despite me mentioning I'm a T1 diabetic several times).
Now, as of the past day or two I've found that the same toe is now displaying numbness. Not the whole toe but just one section of the toe. If I pinch it I can still feel but in general it's much more numb than any other of my extremities.
I guess I'm just freaking out a little bit so just reaching out for some advice or something. I smoke a couple of cigarettes a day and have started enjoying having a beer or two with dinner lately so I've decided to quit both of those habits straight away until I find out what is going on. While I do test my blood sugar, it's usually only on an occasional basis and I don't have a habit of testing before and after meals and recording them down so I'm a little useless in the sense of having any records of patterns in my levels. As far as I know I don't have any chronic high blood sugar levels (if anything I find myself having a lot of lows around 3 - 4) and recently took up a rather sedentary lifestyle (outside of 4 hours of filling shelves at work).
Now I'm going to try and find a doctor who isn't incompetent and knows about diabetes, but that might take a week or two to see them. I know that I should watch my diet, exercise and control the sugar levels so I don't know what advice I'm really looking for...just don't have many people to vent to about my diabetes. Any one been through anything like this? Is this it for my toe? Will the numbness spread or can I counter act it with exercise and control?
Sorry for all this, but again I don't have a lot of people to talk to about this. Thought I might reach out for help to people who know the struggles :)</t>
        </is>
      </c>
      <c r="D1234" t="n">
        <v>2</v>
      </c>
      <c r="E1234" t="n">
        <v>1</v>
      </c>
      <c r="F1234">
        <f>HYPERLINK("https://www.reddit.com/r/diabetes/comments/3i6fbk/numbness_of_my_big_toe_type_1/")</f>
        <v/>
      </c>
      <c r="G1234" t="inlineStr">
        <is>
          <t>2015-08-24 01:07:41</t>
        </is>
      </c>
      <c r="H1234" t="inlineStr">
        <is>
          <t>Type 1</t>
        </is>
      </c>
    </row>
    <row r="1235">
      <c r="A1235" t="inlineStr">
        <is>
          <t>3i7705</t>
        </is>
      </c>
      <c r="B1235" t="inlineStr">
        <is>
          <t>Oops! Double dosed Lantus. (Type 1)</t>
        </is>
      </c>
      <c r="C1235" t="inlineStr">
        <is>
          <t>So, being an idiot, I took my regular dose of 32 units of Lantus at about 10 pm last night and then again at about 7:45 am today. What is the best strategy here? As far as I can tell, monitor a lot, eat a lot, and have fast acting carbs on hand? This is probably gonna be fine, right? RIGHT?</t>
        </is>
      </c>
      <c r="D1235" t="n">
        <v>7</v>
      </c>
      <c r="E1235" t="n">
        <v>18</v>
      </c>
      <c r="F1235">
        <f>HYPERLINK("https://www.reddit.com/r/diabetes/comments/3i7705/oops_double_dosed_lantus_type_1/")</f>
        <v/>
      </c>
      <c r="G1235" t="inlineStr">
        <is>
          <t>2015-08-24 06:27:50</t>
        </is>
      </c>
      <c r="H1235" t="inlineStr">
        <is>
          <t>Type 1</t>
        </is>
      </c>
    </row>
    <row r="1236">
      <c r="A1236" t="inlineStr">
        <is>
          <t>3i80my</t>
        </is>
      </c>
      <c r="B1236" t="inlineStr">
        <is>
          <t>Stoked for Endo Appointment Tomorrow.</t>
        </is>
      </c>
      <c r="C1236" t="inlineStr">
        <is>
          <t xml:space="preserve">I guess this is a humble brag, but I just got done tallying my meters readings in preparation for my endocrinologist appointment. Readings are over the past 2.5 months,(it only hold's 500 in history)testing ~8x daily. All data in mg/dl.
Cartguy's bgl | 494 total
-------------|---------
70-119 | 470
hyper 120+ | 2
low 56-69 | 21
hypo &amp;lt;55 | 3
</t>
        </is>
      </c>
      <c r="D1236" t="n">
        <v>12</v>
      </c>
      <c r="E1236" t="n">
        <v>9</v>
      </c>
      <c r="F1236">
        <f>HYPERLINK("https://www.reddit.com/r/diabetes/comments/3i80my/stoked_for_endo_appointment_tomorrow/")</f>
        <v/>
      </c>
      <c r="G1236" t="inlineStr">
        <is>
          <t>2015-08-24 10:06:08</t>
        </is>
      </c>
      <c r="H1236" t="inlineStr">
        <is>
          <t>Type 1</t>
        </is>
      </c>
    </row>
    <row r="1237">
      <c r="A1237" t="inlineStr">
        <is>
          <t>3i8pl8</t>
        </is>
      </c>
      <c r="B1237" t="inlineStr">
        <is>
          <t>Bolus and Carb Counting</t>
        </is>
      </c>
      <c r="C1237" t="inlineStr">
        <is>
          <t>Why do people on a bolus routine worry about eating too many carbs?  That is, if you know the exact carbs a meal has, why can’t you just cover those carbs with insulin?  Why all the fuss about eating low carb?  
I’m newly diagnosed T1D myself, and my wife asked me this.  I had a hard time trying to explain the reasoning.   I know it can be hard to figure out the variables for meal types, but are there other reasons to avoid carbs?
We were in a store and she picked up a Snickers candy bar and said “Ok, this has 28g of carbs in it.  Can’t you just figure out what the bolus would be and enjoy it?”  I finally gave up and said “carbs are just bad”.  I’m hoping someone here could help me explain this better.</t>
        </is>
      </c>
      <c r="D1237" t="n">
        <v>4</v>
      </c>
      <c r="E1237" t="n">
        <v>18</v>
      </c>
      <c r="F1237">
        <f>HYPERLINK("https://www.reddit.com/r/diabetes/comments/3i8pl8/bolus_and_carb_counting/")</f>
        <v/>
      </c>
      <c r="G1237" t="inlineStr">
        <is>
          <t>2015-08-24 12:53:29</t>
        </is>
      </c>
      <c r="H1237" t="inlineStr">
        <is>
          <t>Type 1</t>
        </is>
      </c>
    </row>
    <row r="1238">
      <c r="A1238" t="inlineStr">
        <is>
          <t>3i8pnp</t>
        </is>
      </c>
      <c r="B1238" t="inlineStr">
        <is>
          <t>Update after 1 week with Dexcom CGM</t>
        </is>
      </c>
      <c r="C1238" t="inlineStr">
        <is>
          <t>So just had my appt with the Endo today, and after one week with the CGM, huge difference in sugars.  My last two A1C were 9.2 and 8.5.  I averaged 139 last week, Endo said that's about a 6.8-7.0  Great start!
Thanks everyone that posted on my previous posts with questions on the unit.
I'm really excited for this technology to help me manage my sugars.</t>
        </is>
      </c>
      <c r="D1238" t="n">
        <v>7</v>
      </c>
      <c r="E1238" t="n">
        <v>1</v>
      </c>
      <c r="F1238">
        <f>HYPERLINK("https://www.reddit.com/r/diabetes/comments/3i8pnp/update_after_1_week_with_dexcom_cgm/")</f>
        <v/>
      </c>
      <c r="G1238" t="inlineStr">
        <is>
          <t>2015-08-24 12:54:03</t>
        </is>
      </c>
      <c r="H1238" t="inlineStr">
        <is>
          <t>Type 1</t>
        </is>
      </c>
    </row>
    <row r="1239">
      <c r="A1239" t="inlineStr">
        <is>
          <t>3ibp9l</t>
        </is>
      </c>
      <c r="B1239" t="inlineStr">
        <is>
          <t>Accuracy problems with Medtronic's Enlite Sensor.</t>
        </is>
      </c>
      <c r="C1239" t="inlineStr">
        <is>
          <t xml:space="preserve">Does anyone else have problems with keeping the enlite sensor accurate? Mine is frequently 50+ points off from what my actual blood sugar is. Right now it says I'm 56, but my monitor shows 130. This happens nearly everyday. 
I always calibrate it in the morning, afternoon, and before I go to bed. I also make sure my pump doesnt show in arrows (up or down) when I do calibrate.
I love the sensor, but its extremely annoying how inaccurate it can be. Especially when you keep getting woken up in the middle of the night because it thinks your blood sugar is below 60 when you are actually around 100. </t>
        </is>
      </c>
      <c r="D1239" t="n">
        <v>2</v>
      </c>
      <c r="E1239" t="n">
        <v>5</v>
      </c>
      <c r="F1239">
        <f>HYPERLINK("https://www.reddit.com/r/diabetes/comments/3ibp9l/accuracy_problems_with_medtronics_enlite_sensor/")</f>
        <v/>
      </c>
      <c r="G1239" t="inlineStr">
        <is>
          <t>2015-08-25 05:17:25</t>
        </is>
      </c>
      <c r="H1239" t="inlineStr">
        <is>
          <t>Type 1</t>
        </is>
      </c>
    </row>
    <row r="1240">
      <c r="A1240" t="inlineStr">
        <is>
          <t>3idbaj</t>
        </is>
      </c>
      <c r="B1240" t="inlineStr">
        <is>
          <t>What has worked best for you to lose weight?</t>
        </is>
      </c>
      <c r="C1240" t="inlineStr">
        <is>
          <t>Hi guys,
I'm a T2 female.  I'm 5'2 and weighed 194lbs when I was diagnosed. It has been a year since my diagnosis and I'm down to 164. However, for the last 3-5 months I have been fluctuating between 170 and 160. I have been a little more lenient on my low carb diet (eating one bread  item or something sweet maybe  once a week), however, this entire summer I have biked to work every day, which is 7 miles and 60 minutes of vigorous exercise (I have a 1-speed and it's fairly hilly terrain, so I work up a sweat very quickly). I also take a yoga class once a week.  This is way more activity than I was doing before the summer, but it hasn't helped me lose weight at all. 
I'm curious what diets/exercise routines are working for other people to lose weight,  because mine isn't working anymore,  and I still have 30lbs so lose to be within a healthy weight range.  
Also, I'll give you guys an idea of what I eat. I do not count calories,  because I find I tedious, I don't count carbs because never advised me on how many carbs I should be eating.  I just try to avoid any foods over 18 carbs per serving,  with the exception of brown rice and quinoa and sweet potatoes.  
Breakfast: 6oz 2% Plain Greek yogurt. Sometimes I add a granola that has 13 carbs and only 3g of sugar. It is oats and nuts.  
Snack: hummus and cucumbers 
Lunch: quinoa salad, quinoa olive oil,  fresh veggies and olives 
Snack: cheese stick and raw mixed nuts 
Dinner: oven baked salmon, sweet potato, leafy green salad.  
The only beverages I drink are coffee (with half and half,  no sugar), and tons of water (80-120oz per day on average). 
Finally,  I have never met with a nutritionist since diagnosed.  Is that something that is helpful to people?  
Sorry about the super long post.  All advice is welcome!!</t>
        </is>
      </c>
      <c r="D1240" t="n">
        <v>2</v>
      </c>
      <c r="E1240" t="n">
        <v>28</v>
      </c>
      <c r="F1240">
        <f>HYPERLINK("https://www.reddit.com/r/diabetes/comments/3idbaj/what_has_worked_best_for_you_to_lose_weight/")</f>
        <v/>
      </c>
      <c r="G1240" t="inlineStr">
        <is>
          <t>2015-08-25 12:12:20</t>
        </is>
      </c>
      <c r="H1240" t="inlineStr">
        <is>
          <t>Type 2</t>
        </is>
      </c>
    </row>
    <row r="1241">
      <c r="A1241" t="inlineStr">
        <is>
          <t>3idhn6</t>
        </is>
      </c>
      <c r="B1241" t="inlineStr">
        <is>
          <t>Diabetic Service Dog program - San Francisco Bay Area</t>
        </is>
      </c>
      <c r="C1241" t="inlineStr">
        <is>
          <t xml:space="preserve">Hey dudeabetics-
I just wanted to share the program that I've been involved with for the past few years. It's [Dogs4Diabetics](http://www.dogs4diabetics.com) and it's located in the San Francisco Bay Area. Concord to be specific.
The dogs that are trained through the program are able to smell and alert on low bloodsugars as your sugar drops. It's super interesting. 
I encourage anyone that's local to learn more about the program and sign up if you're a type 1 and you meet the requirements! It's been such an amazing experience volunteering, helping out, and learning about the other diabetics involved. I am currently on the waiting list to be matched with a dog. That comes after the long process from the initial sign up, to meeting all the criteria, to the class you need to take in order to become a service dog handler, and eventually getting paired with a potential dog. 
If you're a dog person, and frequent lows are part of your every day diabetes, it's definitely worth a look.
</t>
        </is>
      </c>
      <c r="D1241" t="n">
        <v>2</v>
      </c>
      <c r="E1241" t="n">
        <v>11</v>
      </c>
      <c r="F1241">
        <f>HYPERLINK("https://www.reddit.com/r/diabetes/comments/3idhn6/diabetic_service_dog_program_san_francisco_bay/")</f>
        <v/>
      </c>
      <c r="G1241" t="inlineStr">
        <is>
          <t>2015-08-25 12:55:41</t>
        </is>
      </c>
      <c r="H1241" t="inlineStr">
        <is>
          <t>Type 1</t>
        </is>
      </c>
    </row>
    <row r="1242">
      <c r="A1242" t="inlineStr">
        <is>
          <t>3idlu9</t>
        </is>
      </c>
      <c r="B1242" t="inlineStr">
        <is>
          <t>Testing Different Fingers - Vastly Different Results</t>
        </is>
      </c>
      <c r="C1242" t="inlineStr">
        <is>
          <t>So...went to verify my CGM before dosing today, CGM = 150, Meter = 78....WTF right...retest on different finger with meter = 146...retest 3 different fingers 125-135...
What's going on here?</t>
        </is>
      </c>
      <c r="D1242" t="n">
        <v>6</v>
      </c>
      <c r="E1242" t="n">
        <v>18</v>
      </c>
      <c r="F1242">
        <f>HYPERLINK("https://www.reddit.com/r/diabetes/comments/3idlu9/testing_different_fingers_vastly_different_results/")</f>
        <v/>
      </c>
      <c r="G1242" t="inlineStr">
        <is>
          <t>2015-08-25 13:23:44</t>
        </is>
      </c>
      <c r="H1242" t="inlineStr">
        <is>
          <t>Type 1</t>
        </is>
      </c>
    </row>
    <row r="1243">
      <c r="A1243" t="inlineStr">
        <is>
          <t>3idx5w</t>
        </is>
      </c>
      <c r="B1243" t="inlineStr">
        <is>
          <t>Insurance!</t>
        </is>
      </c>
      <c r="C1243" t="inlineStr">
        <is>
          <t>I needed somewhere to celebrate this since no one really understands how big this is for me. I was diagnosed T1 last March and have been struggling with maintaining it due to lack of insurance (no Dr. appointments, never met with an endo, poor knowledge of T1.) But my new job just gave me my insurance paperwork and I'll officially have insurance for the first time since 2012. If anyone has any suggestions for what I should do first it would be greatly appreciated! Already planning on getting an eye exam, and finding a GP &amp;amp; endo. Any other things I should look into? Thank you r/diabetes!</t>
        </is>
      </c>
      <c r="D1243" t="n">
        <v>11</v>
      </c>
      <c r="E1243" t="n">
        <v>9</v>
      </c>
      <c r="F1243">
        <f>HYPERLINK("https://www.reddit.com/r/diabetes/comments/3idx5w/insurance/")</f>
        <v/>
      </c>
      <c r="G1243" t="inlineStr">
        <is>
          <t>2015-08-25 14:37:51</t>
        </is>
      </c>
      <c r="H1243" t="inlineStr">
        <is>
          <t>Type 1</t>
        </is>
      </c>
    </row>
    <row r="1244">
      <c r="A1244" t="inlineStr">
        <is>
          <t>3iehma</t>
        </is>
      </c>
      <c r="B1244" t="inlineStr">
        <is>
          <t>Bad A1c - need to step it up</t>
        </is>
      </c>
      <c r="C1244" t="inlineStr">
        <is>
          <t>Had a check up today, A1c is 9.2! Way too high. Looking at getting the Dexcom G5 to help manage, but need to lose weight as well. 6'2" and 205 lbs, would like to drop to 185 - any advice from other t1s out there? Also 28 y/o, male.</t>
        </is>
      </c>
      <c r="D1244" t="n">
        <v>1</v>
      </c>
      <c r="E1244" t="n">
        <v>4</v>
      </c>
      <c r="F1244">
        <f>HYPERLINK("https://www.reddit.com/r/diabetes/comments/3iehma/bad_a1c_need_to_step_it_up/")</f>
        <v/>
      </c>
      <c r="G1244" t="inlineStr">
        <is>
          <t>2015-08-25 17:05:41</t>
        </is>
      </c>
      <c r="H1244" t="inlineStr">
        <is>
          <t>Type 1</t>
        </is>
      </c>
    </row>
    <row r="1245">
      <c r="A1245" t="inlineStr">
        <is>
          <t>3ih56h</t>
        </is>
      </c>
      <c r="B1245" t="inlineStr">
        <is>
          <t>Just wanted to share Team Novo Nordisk in case some haven't heard of them, amazing athletes. http://www.teamnovonordisk.com/find-out-more-about-diabetes/</t>
        </is>
      </c>
      <c r="C1245" t="inlineStr">
        <is>
          <t xml:space="preserve">Local Atlantan Phil Southerland was dx with type 1 as a baby and they told his Mom he couldn't live. She proved them wrong. He went on to become a biker, athlete, and founder of Team Type 1, now Team Novo Nordisk, the first all type 1 bike racing team. He goes all over the world educating and providing d supplies for type 1 patients in poorer countries. The team does a great work inspiring and educating all over the world. </t>
        </is>
      </c>
      <c r="D1245" t="n">
        <v>8</v>
      </c>
      <c r="E1245" t="n">
        <v>2</v>
      </c>
      <c r="F1245">
        <f>HYPERLINK("https://www.reddit.com/r/diabetes/comments/3ih56h/just_wanted_to_share_team_novo_nordisk_in_case/")</f>
        <v/>
      </c>
      <c r="G1245" t="inlineStr">
        <is>
          <t>2015-08-26 08:18:00</t>
        </is>
      </c>
      <c r="H1245" t="inlineStr">
        <is>
          <t>Type 1</t>
        </is>
      </c>
    </row>
    <row r="1246">
      <c r="A1246" t="inlineStr">
        <is>
          <t>3ih78y</t>
        </is>
      </c>
      <c r="B1246" t="inlineStr">
        <is>
          <t>Type 2 Diabetic with lots of protein in the urine...</t>
        </is>
      </c>
      <c r="C1246" t="inlineStr">
        <is>
          <t xml:space="preserve">Hello. Ever since I was diagnosed I haven't don't much to take care of myself. I am now starting to and I'm hoping it's not too late. I've been spilling a lot of protein in my urging for a long time now and I was wondering if anyone went through this and how they were able to reverse it or control it better. Doctor gave me lisinprol because he said it helped take pressure off my kidneys. I take it everyday. I'm also on glipizide because metformin destroyed my stomach and I couldn't handle it. Any recommendations on what to do? Besides good diet and exercise? Thanks! Any input is appreciated. </t>
        </is>
      </c>
      <c r="D1246" t="n">
        <v>2</v>
      </c>
      <c r="E1246" t="n">
        <v>7</v>
      </c>
      <c r="F1246">
        <f>HYPERLINK("https://www.reddit.com/r/diabetes/comments/3ih78y/type_2_diabetic_with_lots_of_protein_in_the_urine/")</f>
        <v/>
      </c>
      <c r="G1246" t="inlineStr">
        <is>
          <t>2015-08-26 08:33:04</t>
        </is>
      </c>
      <c r="H1246" t="inlineStr">
        <is>
          <t>Type 2</t>
        </is>
      </c>
    </row>
    <row r="1247">
      <c r="A1247" t="inlineStr">
        <is>
          <t>3ihfko</t>
        </is>
      </c>
      <c r="B1247" t="inlineStr">
        <is>
          <t>new to the club</t>
        </is>
      </c>
      <c r="C1247" t="inlineStr">
        <is>
          <t>so i was diagnosed type II yesterday after a 500+ spike that made me feel so bad i thought i was gonna pass out trying to get to a doctor. so now im on 2 kinds of oral meds for diabetes (cant remember names as i am not at home). been told i have to stay on max of 30-40 carbs per meal and to drink tons of water. im not real overweight or anything. im 33 years old, 206 lbs and 6 foot tall.
guess reason i am posting to ask if anyone has any insight on whats to come. i know my diet is gonna change forever. i know i need to get on a exercise regiment. anything else i should know?</t>
        </is>
      </c>
      <c r="D1247" t="n">
        <v>5</v>
      </c>
      <c r="E1247" t="n">
        <v>36</v>
      </c>
      <c r="F1247">
        <f>HYPERLINK("https://www.reddit.com/r/diabetes/comments/3ihfko/new_to_the_club/")</f>
        <v/>
      </c>
      <c r="G1247" t="inlineStr">
        <is>
          <t>2015-08-26 09:30:21</t>
        </is>
      </c>
      <c r="H1247" t="inlineStr">
        <is>
          <t>Type 2</t>
        </is>
      </c>
    </row>
    <row r="1248">
      <c r="A1248" t="inlineStr">
        <is>
          <t>3ijcs0</t>
        </is>
      </c>
      <c r="B1248" t="inlineStr">
        <is>
          <t>Newly diagnosed advice (CGM)</t>
        </is>
      </c>
      <c r="C1248" t="inlineStr">
        <is>
          <t>Hi, I've recently been diagnosed as a T1 diabetic. 
I've been looking into CGM as I do a huge amount of mountain biking for long periods and would like alarms for when my sugars are dropping. 
I'm in the UK so I'm currently using the NHS to fund my strips/machines.
I've been looking at the Dexcom G4 and availability. I am quite happy to self-fund a machine and sensors for myself from estimates of pricing i've seen (£1-1.5k). 
Right now i've also seen the approval for the G5. Does anyone have any idea when i'd be able to get my hands on this in the UK and the estimated pricing for it? Or would it be worth trying to get the G4 &amp;amp; upgrading later down the line?
Also would it be a possibility to get the NHS to fund/partially fund my sensors?</t>
        </is>
      </c>
      <c r="D1248" t="n">
        <v>1</v>
      </c>
      <c r="E1248" t="n">
        <v>2</v>
      </c>
      <c r="F1248">
        <f>HYPERLINK("https://www.reddit.com/r/diabetes/comments/3ijcs0/newly_diagnosed_advice_cgm/")</f>
        <v/>
      </c>
      <c r="G1248" t="inlineStr">
        <is>
          <t>2015-08-26 17:39:05</t>
        </is>
      </c>
      <c r="H1248" t="inlineStr">
        <is>
          <t>Type 1</t>
        </is>
      </c>
    </row>
    <row r="1249">
      <c r="A1249" t="inlineStr">
        <is>
          <t>3ijnie</t>
        </is>
      </c>
      <c r="B1249" t="inlineStr">
        <is>
          <t>Diabetes (freestyle) meter acting up</t>
        </is>
      </c>
      <c r="C1249" t="inlineStr">
        <is>
          <t>It started yesterday. I have a freestyle meter (the one with the butterfly logo). It worked just fine but ever since yesterday it has been acting up. Usually when I do a reading it beeps once to let me know that the reading is being processed and then I get my reading. Well it no longer beeps. I see my reading is set to 200 but I have not had a reading that high in a while now. So I decided to try again. 
I try another reading with a new needle and test strip and again the meter does not beep but this time I see that the meter reads 180. Now this can't be right because my reading was just at 200. I was just wondering if anyone else has had this problem with their readings at all? For anyone who has used the freestyle meter have you had this happen to you? I have only had this meter since the start of this year. Do you think it could be a battery problem or is it something else?</t>
        </is>
      </c>
      <c r="D1249" t="n">
        <v>1</v>
      </c>
      <c r="E1249" t="n">
        <v>3</v>
      </c>
      <c r="F1249">
        <f>HYPERLINK("https://www.reddit.com/r/diabetes/comments/3ijnie/diabetes_freestyle_meter_acting_up/")</f>
        <v/>
      </c>
      <c r="G1249" t="inlineStr">
        <is>
          <t>2015-08-26 19:03:05</t>
        </is>
      </c>
      <c r="H1249" t="inlineStr">
        <is>
          <t>Type 2</t>
        </is>
      </c>
    </row>
    <row r="1250">
      <c r="A1250" t="inlineStr">
        <is>
          <t>3ilvua</t>
        </is>
      </c>
      <c r="B1250" t="inlineStr">
        <is>
          <t>Does anyone have a diabetes service dog??</t>
        </is>
      </c>
      <c r="C1250" t="inlineStr">
        <is>
          <t>The one's that can tell when you have a high/low blood sugar? I want one, I've had diabetes for 8 years. Does anyone have one that could give me feedback?</t>
        </is>
      </c>
      <c r="D1250" t="n">
        <v>7</v>
      </c>
      <c r="E1250" t="n">
        <v>30</v>
      </c>
      <c r="F1250">
        <f>HYPERLINK("https://www.reddit.com/r/diabetes/comments/3ilvua/does_anyone_have_a_diabetes_service_dog/")</f>
        <v/>
      </c>
      <c r="G1250" t="inlineStr">
        <is>
          <t>2015-08-27 08:19:53</t>
        </is>
      </c>
      <c r="H1250" t="inlineStr">
        <is>
          <t>Type 1</t>
        </is>
      </c>
    </row>
    <row r="1251">
      <c r="A1251" t="inlineStr">
        <is>
          <t>3imkev</t>
        </is>
      </c>
      <c r="B1251" t="inlineStr">
        <is>
          <t>New York insurance for T1D?</t>
        </is>
      </c>
      <c r="C1251" t="inlineStr">
        <is>
          <t xml:space="preserve">Last week, my employer notified me that our company is shutting down. I am currently on company health coverage (a decent PPO plan with Oxford United Healthcare) but coverage will end August 31. 
I have applied on the New York healthcare marketplace and, as someone with a Medtronic pump and Dexcom CGM, need to make sure those supplies will continue to be covered. I am pissed that there are only HMOs, as I see umpteen specialists and no PCP and now need to not only find a good PCP but establish a relationship to get a million referrals in a tight timeframe. 
1. Does anyone here have Gold or Platinum plans in New York that you have found cover Medtronic and Dexcom to your liking?
2. Has anyone here purchased private individual insurance out of pocket that you are happy with in New York? 
My company coverage is not eligible for COBRA, because we are too small. That would, based on my calculations, have been cheaper than buying on the marketplace or privately. I wish there were some way to hold the company accountable for not giving adequate notification, or to have state coverage, but the company is closing. 
Any advice will be very appreciated. Thank you for your help! </t>
        </is>
      </c>
      <c r="D1251" t="n">
        <v>4</v>
      </c>
      <c r="E1251" t="n">
        <v>0</v>
      </c>
      <c r="F1251">
        <f>HYPERLINK("https://www.reddit.com/r/diabetes/comments/3imkev/new_york_insurance_for_t1d/")</f>
        <v/>
      </c>
      <c r="G1251" t="inlineStr">
        <is>
          <t>2015-08-27 11:06:44</t>
        </is>
      </c>
      <c r="H1251" t="inlineStr">
        <is>
          <t>Type 1</t>
        </is>
      </c>
    </row>
    <row r="1252">
      <c r="A1252" t="inlineStr">
        <is>
          <t>3ink4f</t>
        </is>
      </c>
      <c r="B1252" t="inlineStr">
        <is>
          <t>Type 2- New Patient and getting stuff off my chest</t>
        </is>
      </c>
      <c r="C1252" t="inlineStr">
        <is>
          <t>Hi all, I should quickly introduce myself. I'm a 22 year old 98KG at 180cm with family history of T2 DM. I'm currently undergoing treatment by diet and exercise.
I was diagnosed by chance. It was during a pre-employment health check for a company involved in aviation maintenance. At that time, my fasting blood glucose and average blood glucose was  at 12 mmol/l (It peaked at about 14). I was devastated by this news as I've always kept a close watch on diet and exercise.
That was about 2 months ago. My most recent blood check shows my fasting blood glucose at 7 mmol/l. In these 2 months, I've completely cut off any excess glucose as well as switching over to full grain rice. I've also maintained my exercise regime but it's been getting really hard to stick to it as my work schedule means I'm generally don't have much free time.
I suppose the question is when will I start using insulin. My gut feeling so far is that my glucose control is still poor at best and being a lazy arse doesn't help.</t>
        </is>
      </c>
      <c r="D1252" t="n">
        <v>2</v>
      </c>
      <c r="E1252" t="n">
        <v>12</v>
      </c>
      <c r="F1252">
        <f>HYPERLINK("https://www.reddit.com/r/diabetes/comments/3ink4f/type_2_new_patient_and_getting_stuff_off_my_chest/")</f>
        <v/>
      </c>
      <c r="G1252" t="inlineStr">
        <is>
          <t>2015-08-27 15:19:22</t>
        </is>
      </c>
      <c r="H1252" t="inlineStr">
        <is>
          <t>Type 2</t>
        </is>
      </c>
    </row>
    <row r="1253">
      <c r="A1253" t="inlineStr">
        <is>
          <t>3inr2a</t>
        </is>
      </c>
      <c r="B1253" t="inlineStr">
        <is>
          <t>Which Pump to Pick?! (type 1)</t>
        </is>
      </c>
      <c r="C1253" t="inlineStr">
        <is>
          <t xml:space="preserve">I've been on an insulin pump for 15 years now. Currently, I'm on the One Touch Ping Animas, but it's time for a new one. Are there any good wireless pumps out there? I can't find any reports comparing/contrasting wireless vs. non, and really looking for one without a chord. Would love to get feedback! </t>
        </is>
      </c>
      <c r="D1253" t="n">
        <v>2</v>
      </c>
      <c r="E1253" t="n">
        <v>11</v>
      </c>
      <c r="F1253">
        <f>HYPERLINK("https://www.reddit.com/r/diabetes/comments/3inr2a/which_pump_to_pick_type_1/")</f>
        <v/>
      </c>
      <c r="G1253" t="inlineStr">
        <is>
          <t>2015-08-27 16:13:12</t>
        </is>
      </c>
      <c r="H1253" t="inlineStr">
        <is>
          <t>Type 1</t>
        </is>
      </c>
    </row>
    <row r="1254">
      <c r="A1254" t="inlineStr">
        <is>
          <t>3iop0d</t>
        </is>
      </c>
      <c r="B1254" t="inlineStr">
        <is>
          <t>Anyone having issues with processing upgrade request for a G5?</t>
        </is>
      </c>
      <c r="C1254" t="inlineStr">
        <is>
          <t xml:space="preserve">So, I just received my G4 in the mail this week and it is my first CGM. Of course they announce the new G5 yesterday but luckily I am allowed the free upgrade. I just tried doing it for about 15-20 mins and it keeps giving me an error saying I am missing card information when I have filled out every single damn line on the page. I have no fn clue what it wants and was curious if anyone else had this problem? I'm probably just going to have to call tomorrow and do it over the phone. </t>
        </is>
      </c>
      <c r="D1254" t="n">
        <v>1</v>
      </c>
      <c r="E1254" t="n">
        <v>2</v>
      </c>
      <c r="F1254">
        <f>HYPERLINK("https://www.reddit.com/r/diabetes/comments/3iop0d/anyone_having_issues_with_processing_upgrade/")</f>
        <v/>
      </c>
      <c r="G1254" t="inlineStr">
        <is>
          <t>2015-08-27 20:56:20</t>
        </is>
      </c>
      <c r="H1254" t="inlineStr">
        <is>
          <t>Type 1</t>
        </is>
      </c>
    </row>
    <row r="1255">
      <c r="A1255" t="inlineStr">
        <is>
          <t>3irud0</t>
        </is>
      </c>
      <c r="B1255" t="inlineStr">
        <is>
          <t>Any insulin pump life hacks?</t>
        </is>
      </c>
      <c r="C1255" t="inlineStr">
        <is>
          <t>I'm a new pumper as of this past Tuesday and I'm LOVING it so far. I use a Medtronic Minimed 350G with Enlite sensor and it's been absolutely phenomenal. But I'm wondering if there are things that I can do to improve the convenience factor? (For example, places to put it while you sleep, places to hide it in clothes, etc.)
I'm a 20 year old girl so there's the obvious option to put it in my bra, but I hate having to dig it out of my shirt during meals. Kinda awkward. 
If there are any little pieces of advice any of you experienced pumpers can share, I'd love to hear them!
Thanks in advance!</t>
        </is>
      </c>
      <c r="D1255" t="n">
        <v>1</v>
      </c>
      <c r="E1255" t="n">
        <v>4</v>
      </c>
      <c r="F1255">
        <f>HYPERLINK("https://www.reddit.com/r/diabetes/comments/3irud0/any_insulin_pump_life_hacks/")</f>
        <v/>
      </c>
      <c r="G1255" t="inlineStr">
        <is>
          <t>2015-08-28 14:03:22</t>
        </is>
      </c>
      <c r="H1255" t="inlineStr">
        <is>
          <t>Type 1</t>
        </is>
      </c>
    </row>
    <row r="1256">
      <c r="A1256" t="inlineStr">
        <is>
          <t>3irvdh</t>
        </is>
      </c>
      <c r="B1256" t="inlineStr">
        <is>
          <t>Good Bye Contour USB Hello OneTouch</t>
        </is>
      </c>
      <c r="C1256" t="inlineStr">
        <is>
          <t>My Pharmacy just told me my Beyer Contour USB test strips will no longer be covered and I must switch to OneTouch Ultra 2, UltraMini or VerioIQ.  Anyone have any preferences and why?</t>
        </is>
      </c>
      <c r="D1256" t="n">
        <v>1</v>
      </c>
      <c r="E1256" t="n">
        <v>3</v>
      </c>
      <c r="F1256">
        <f>HYPERLINK("https://www.reddit.com/r/diabetes/comments/3irvdh/good_bye_contour_usb_hello_onetouch/")</f>
        <v/>
      </c>
      <c r="G1256" t="inlineStr">
        <is>
          <t>2015-08-28 14:10:50</t>
        </is>
      </c>
      <c r="H1256" t="inlineStr">
        <is>
          <t>Type 1</t>
        </is>
      </c>
    </row>
    <row r="1257">
      <c r="A1257" t="inlineStr">
        <is>
          <t>3itc1b</t>
        </is>
      </c>
      <c r="B1257" t="inlineStr">
        <is>
          <t>Insulin and working out</t>
        </is>
      </c>
      <c r="C1257" t="inlineStr">
        <is>
          <t xml:space="preserve">Is there an optimal way to use insulin to your advantage when working out to help build muscle? For example, is it better to take insulin before or after a work out for it to have better affects on muscle growth?
EDIT: I should have also mentioned that I'll be on a pump soon and no longer doing mdis so this probably limits me in what I can do, right? </t>
        </is>
      </c>
      <c r="D1257" t="n">
        <v>4</v>
      </c>
      <c r="E1257" t="n">
        <v>10</v>
      </c>
      <c r="F1257">
        <f>HYPERLINK("https://www.reddit.com/r/diabetes/comments/3itc1b/insulin_and_working_out/")</f>
        <v/>
      </c>
      <c r="G1257" t="inlineStr">
        <is>
          <t>2015-08-28 21:47:07</t>
        </is>
      </c>
      <c r="H1257" t="inlineStr">
        <is>
          <t>Type 1</t>
        </is>
      </c>
    </row>
    <row r="1258">
      <c r="A1258" t="inlineStr">
        <is>
          <t>3itd8e</t>
        </is>
      </c>
      <c r="B1258" t="inlineStr">
        <is>
          <t>New to Dexcom, when should I set up?</t>
        </is>
      </c>
      <c r="C1258" t="inlineStr">
        <is>
          <t>I know there is the initial 2 hour period then you calibrate and then every 12 hrs after that. I also know that you should do this all when you're relatively flat lined so would the best time to do this be early morning? I figure insert at 8a then I'd do my double prick at 10a and then again 10p. I assume that the morning would be best as most people are probably relatively stable initially and for me anyway, I can't eat as soon as I wake up so I typically don't eat breakfast until at least 10-11 anyway so I won't run the risk of setting up, eating and being high or low during my initial check. This all sound right?</t>
        </is>
      </c>
      <c r="D1258" t="n">
        <v>1</v>
      </c>
      <c r="E1258" t="n">
        <v>6</v>
      </c>
      <c r="F1258">
        <f>HYPERLINK("https://www.reddit.com/r/diabetes/comments/3itd8e/new_to_dexcom_when_should_i_set_up/")</f>
        <v/>
      </c>
      <c r="G1258" t="inlineStr">
        <is>
          <t>2015-08-28 22:00:26</t>
        </is>
      </c>
      <c r="H1258" t="inlineStr">
        <is>
          <t>Type 1</t>
        </is>
      </c>
    </row>
    <row r="1259">
      <c r="A1259" t="inlineStr">
        <is>
          <t>3itgb2</t>
        </is>
      </c>
      <c r="B1259" t="inlineStr">
        <is>
          <t>Anyone Type 1 EMTs out there?</t>
        </is>
      </c>
      <c r="C1259" t="inlineStr">
        <is>
          <t>Would love to be an EMT and I'm wondering if anyone on here can tell me what it's like. From what I can tell you can't have a CDL, but do you need one to drive an ambulance? Any other issues I might run in to?</t>
        </is>
      </c>
      <c r="D1259" t="n">
        <v>3</v>
      </c>
      <c r="E1259" t="n">
        <v>8</v>
      </c>
      <c r="F1259">
        <f>HYPERLINK("https://www.reddit.com/r/diabetes/comments/3itgb2/anyone_type_1_emts_out_there/")</f>
        <v/>
      </c>
      <c r="G1259" t="inlineStr">
        <is>
          <t>2015-08-28 22:36:33</t>
        </is>
      </c>
      <c r="H1259" t="inlineStr">
        <is>
          <t>Type 1</t>
        </is>
      </c>
    </row>
    <row r="1260">
      <c r="A1260" t="inlineStr">
        <is>
          <t>3iu85k</t>
        </is>
      </c>
      <c r="B1260" t="inlineStr">
        <is>
          <t>Roommate drank too much on birthday, in hospital with DKA now...</t>
        </is>
      </c>
      <c r="C1260" t="inlineStr">
        <is>
          <t>I don't think I've been DKA since my diagnosis. What steps can be taken to avoid this? What causes it? If you respond "drink less" or something similar, I will kick you in the muff through my screen. :)</t>
        </is>
      </c>
      <c r="D1260" t="n">
        <v>24</v>
      </c>
      <c r="E1260" t="n">
        <v>41</v>
      </c>
      <c r="F1260">
        <f>HYPERLINK("https://www.reddit.com/r/diabetes/comments/3iu85k/roommate_drank_too_much_on_birthday_in_hospital/")</f>
        <v/>
      </c>
      <c r="G1260" t="inlineStr">
        <is>
          <t>2015-08-29 05:31:35</t>
        </is>
      </c>
      <c r="H1260" t="inlineStr">
        <is>
          <t>Type 1</t>
        </is>
      </c>
    </row>
    <row r="1261">
      <c r="A1261" t="inlineStr">
        <is>
          <t>3ixcml</t>
        </is>
      </c>
      <c r="B1261" t="inlineStr">
        <is>
          <t>New to the OmniPod, question about insulin</t>
        </is>
      </c>
      <c r="C1261" t="inlineStr">
        <is>
          <t>Now that I have an OmniPod, I have almost like 4 pens of insulin. I know I should use the syringe provides with the pump but can I use these pens to fill up my pods or no?</t>
        </is>
      </c>
      <c r="D1261" t="n">
        <v>2</v>
      </c>
      <c r="E1261" t="n">
        <v>3</v>
      </c>
      <c r="F1261">
        <f>HYPERLINK("https://www.reddit.com/r/diabetes/comments/3ixcml/new_to_the_omnipod_question_about_insulin/")</f>
        <v/>
      </c>
      <c r="G1261" t="inlineStr">
        <is>
          <t>2015-08-29 21:54:26</t>
        </is>
      </c>
      <c r="H1261" t="inlineStr">
        <is>
          <t>Type 1</t>
        </is>
      </c>
    </row>
    <row r="1262">
      <c r="A1262" t="inlineStr">
        <is>
          <t>3iy1wc</t>
        </is>
      </c>
      <c r="B1262" t="inlineStr">
        <is>
          <t>Question about Dexcom</t>
        </is>
      </c>
      <c r="C1262" t="inlineStr">
        <is>
          <t>I have a three and a half year old daughter with type 1 who just got her Dexcom about two months ago. So far it's been fantastic but recently (last day and a half) the reading have been way off. They have regularly been off by as much as 50 - 100 percent. She has had a cold the last few days, perhaps that could account for the unreliable reading. I was wondering if anyone who has had their Dexcom longer could hazard a guess as to why this is happening?
Br.</t>
        </is>
      </c>
      <c r="D1262" t="n">
        <v>1</v>
      </c>
      <c r="E1262" t="n">
        <v>5</v>
      </c>
      <c r="F1262">
        <f>HYPERLINK("https://www.reddit.com/r/diabetes/comments/3iy1wc/question_about_dexcom/")</f>
        <v/>
      </c>
      <c r="G1262" t="inlineStr">
        <is>
          <t>2015-08-30 04:14:31</t>
        </is>
      </c>
      <c r="H1262" t="inlineStr">
        <is>
          <t>Type 1</t>
        </is>
      </c>
    </row>
    <row r="1263">
      <c r="A1263" t="inlineStr">
        <is>
          <t>3iyg8k</t>
        </is>
      </c>
      <c r="B1263" t="inlineStr">
        <is>
          <t>Alternate injection sites?</t>
        </is>
      </c>
      <c r="C1263" t="inlineStr">
        <is>
          <t>T1
competitive weightlifter
The normal recommended injection sites based off BD.com are areas of muscle development and low body fat.  I have been using the Nano size needle w insulin pen for years and still get bruising or blood at times even when entering on an angle.  I clearly need to continue taking my insulin however, I am worried that my site locations will develop scar tissue and alter my bodies ability to absorb the insulin.
What are my options</t>
        </is>
      </c>
      <c r="D1263" t="n">
        <v>2</v>
      </c>
      <c r="E1263" t="n">
        <v>7</v>
      </c>
      <c r="F1263">
        <f>HYPERLINK("https://www.reddit.com/r/diabetes/comments/3iyg8k/alternate_injection_sites/")</f>
        <v/>
      </c>
      <c r="G1263" t="inlineStr">
        <is>
          <t>2015-08-30 07:12:37</t>
        </is>
      </c>
      <c r="H1263" t="inlineStr">
        <is>
          <t>Type 1</t>
        </is>
      </c>
    </row>
    <row r="1264">
      <c r="A1264" t="inlineStr">
        <is>
          <t>3izdic</t>
        </is>
      </c>
      <c r="B1264" t="inlineStr">
        <is>
          <t>Starting Novolin R</t>
        </is>
      </c>
      <c r="C1264" t="inlineStr">
        <is>
          <t>Newly diagnosed T1D.  Currently taking 25U Lantus at night.
I'm not on a bolus yet, and my endo thinks my numbers are great.  Last A1C was 5.7.  The only problem is that my morning numbers seem to go high, even after a low/no carb meal.  I average at about 180 1 hour after eating breakfast (18g carbs).
My plan was to take a unit or two of Novolin R 30 minutes before breakfast.  Any thoughts on what to expect, or testing to get my carb ratio?  I'm at or below 100 the rest of the day, but I would like to lower that morning number a tad.
Should I test with 1U when my levels are stable to see how much it effects me first?  Obviously I will keep a close eye on my numbers when testing.</t>
        </is>
      </c>
      <c r="D1264" t="n">
        <v>1</v>
      </c>
      <c r="E1264" t="n">
        <v>10</v>
      </c>
      <c r="F1264">
        <f>HYPERLINK("https://www.reddit.com/r/diabetes/comments/3izdic/starting_novolin_r/")</f>
        <v/>
      </c>
      <c r="G1264" t="inlineStr">
        <is>
          <t>2015-08-30 11:40:26</t>
        </is>
      </c>
      <c r="H1264" t="inlineStr">
        <is>
          <t>Type 1</t>
        </is>
      </c>
    </row>
    <row r="1265">
      <c r="A1265" t="inlineStr">
        <is>
          <t>3izdo7</t>
        </is>
      </c>
      <c r="B1265" t="inlineStr">
        <is>
          <t>Diabetic fiance had seizure this morning- just have to let out how I'm feeling</t>
        </is>
      </c>
      <c r="C1265" t="inlineStr">
        <is>
          <t>Hi, I'm in love with a man with type 1 diabetes. He's the first person I was ever close to with diabetes, so our relationship has been a learning process in that regard, but at this point I'm very used to it. Usually I can tell when his sugar is low before he can and I'll get him something sugary fast.
Anyway, this morning we woke up and we were cuddling. I was still half asleep. His body jerked slightly and I asked him if he was ok. When it jerked again I asked him if he was low, he said yes and I grabbed him an ice cream bar from the fridge in our room. He dropped some of it on the ground and said he couldn't really control himself, but he ate most of it. Then he laid down on the bed. I had some chocolate on hand and I asked him to sit up so I could give it to him. He said he felt like he was going to puke if he sat up, so I sort of propped him up on a pillow a little and gave him some chocolate. Then he stopped me, said he had enough and we should wait for his sugar level to go up. His voice turned more normal and he said he felt better. Then he suddenly started seizing.
I had never seen a seizure before but there was no doubt that was what was happening. He was flailing, spasming, making gurgling noises, his eyes rolled up in his head. His head turned to the side and his eyes started bugging out and he was puking a little and blood was coming out (I freaked out because I thought he was puking blood but he had really just bitten his tongue). I was just trying to keep him from flying off the bed or banging his head on something. Then he was unconscious and breathing heavy.
It was my first time calling 911. During the call he regained consciousness but he was still really out of it. Police officers came. He was responding more. We got him up and gave him juice. They were asking me tons of questions. We tested his blood sugar and it was up to 91. He was obviously still pretty confused although he was answering questions too. We got him downstairs and the paramedics arrived. There were lots of people, idk why, but yeah I was pretty much running all over the place grabbing juice, his id, whatever. I had thought he'd never had a seizure before but when he started making sense he told them he had. He signed a bunch of forms saying we weren't going to go to the hospital, they all said feel better, and they left.
He's ok now. His head and stomach hurt but he's back to normal. He was kind of annoyed that I called an ambulance. He pretty much doesn't remember any of it. He said "You should have given me sugar." I'm just like "dude you were having a seizure and I thought you were puking blood I wasn't going to take chances" lol. He's worried that he's going to have to pay a lot for it. The paramedics said they weren't sure if he was going to be billed or not. But he also said thank you, he said "Thank you for saving my life." It's just kind of scary to think about, that if I wasn't around his life honestly could have been in real danger.
I just needed to let this out. The image of him suddenly seizing up was burned in my brain.</t>
        </is>
      </c>
      <c r="D1265" t="n">
        <v>30</v>
      </c>
      <c r="E1265" t="n">
        <v>57</v>
      </c>
      <c r="F1265">
        <f>HYPERLINK("https://www.reddit.com/r/diabetes/comments/3izdo7/diabetic_fiance_had_seizure_this_morning_just/")</f>
        <v/>
      </c>
      <c r="G1265" t="inlineStr">
        <is>
          <t>2015-08-30 11:41:33</t>
        </is>
      </c>
      <c r="H1265" t="inlineStr">
        <is>
          <t>Type 1</t>
        </is>
      </c>
    </row>
    <row r="1266">
      <c r="A1266" t="inlineStr">
        <is>
          <t>3izm2u</t>
        </is>
      </c>
      <c r="B1266" t="inlineStr">
        <is>
          <t>Going to a beer and food truck festival that, coincidentally, is also a fund raiser for type 1 diabetes</t>
        </is>
      </c>
      <c r="C1266" t="inlineStr">
        <is>
          <t>As a type one diabetic myself do I have to donate or can I just, like, buy myself some insulin? Will they have a place where I get to make a wish? Man, it's weird to have a disease where people have like walks for you and stuff, right? I mean, I feel like I'm mostly fine...</t>
        </is>
      </c>
      <c r="D1266" t="n">
        <v>8</v>
      </c>
      <c r="E1266" t="n">
        <v>8</v>
      </c>
      <c r="F1266">
        <f>HYPERLINK("https://www.reddit.com/r/diabetes/comments/3izm2u/going_to_a_beer_and_food_truck_festival_that/")</f>
        <v/>
      </c>
      <c r="G1266" t="inlineStr">
        <is>
          <t>2015-08-30 12:41:21</t>
        </is>
      </c>
      <c r="H1266" t="inlineStr">
        <is>
          <t>Type 1</t>
        </is>
      </c>
    </row>
    <row r="1267">
      <c r="A1267" t="inlineStr">
        <is>
          <t>3izpnz</t>
        </is>
      </c>
      <c r="B1267" t="inlineStr">
        <is>
          <t>Completely confused. Drank a single sangria with 25g carbs and had dinner.</t>
        </is>
      </c>
      <c r="C1267" t="inlineStr">
        <is>
          <t>So I had a dinner of jamon iberico, manchego, some bread, and a glass of sangria with 25g sugar.
An hour later my big is at. 77.  Checked again, 78.
What the hell?  Shouldn't I be soaring?  How is my blood glucose possibly so low after drinking such a sugary drink?</t>
        </is>
      </c>
      <c r="D1267" t="n">
        <v>0</v>
      </c>
      <c r="E1267" t="n">
        <v>14</v>
      </c>
      <c r="F1267">
        <f>HYPERLINK("https://www.reddit.com/r/diabetes/comments/3izpnz/completely_confused_drank_a_single_sangria_with/")</f>
        <v/>
      </c>
      <c r="G1267" t="inlineStr">
        <is>
          <t>2015-08-30 13:07:08</t>
        </is>
      </c>
      <c r="H1267" t="inlineStr">
        <is>
          <t>Type 2</t>
        </is>
      </c>
    </row>
    <row r="1268">
      <c r="A1268" t="inlineStr">
        <is>
          <t>3j0wea</t>
        </is>
      </c>
      <c r="B1268" t="inlineStr">
        <is>
          <t>Question about checking levels.</t>
        </is>
      </c>
      <c r="C1268" t="inlineStr">
        <is>
          <t xml:space="preserve">Recently diagnosed as type 2. I've only talked to my doctor over the phone where she gave me the news. Going to see her next week. 
I'm trying to be proactive, learn everything I can, and get my act together now. 
I'm pretty good at finding something I like to eat, and then eating the same thing over and over again. What can I say, I like routines :)
So the one question I have is, if I eat the same thing for breakfast every day do I need to check my glucose level two hours after breakfast every day? 
Since I'm type 2, I'm assuming I don't really need to worry about my glucose being to low. My goal is to get my glucose lower. 
Thanks!
</t>
        </is>
      </c>
      <c r="D1268" t="n">
        <v>5</v>
      </c>
      <c r="E1268" t="n">
        <v>9</v>
      </c>
      <c r="F1268">
        <f>HYPERLINK("https://www.reddit.com/r/diabetes/comments/3j0wea/question_about_checking_levels/")</f>
        <v/>
      </c>
      <c r="G1268" t="inlineStr">
        <is>
          <t>2015-08-30 18:06:47</t>
        </is>
      </c>
      <c r="H1268" t="inlineStr">
        <is>
          <t>Type 2</t>
        </is>
      </c>
    </row>
    <row r="1269">
      <c r="A1269" t="inlineStr">
        <is>
          <t>3j1dhy</t>
        </is>
      </c>
      <c r="B1269" t="inlineStr">
        <is>
          <t>Advice: Type 1 and distance running</t>
        </is>
      </c>
      <c r="C1269" t="inlineStr">
        <is>
          <t>Prior to getting diagnosed as a type 1 a year ago, I would regularly run for 1-3 hours at a time (~50 miles a week). Obviously, things are more difficult now (I stick to mostly 3-4 mile runs out of fear). I am curious if there are some best practices that other Type-1's have used with distance running or other long term endurance activities? These days, I don't feel comfortable going for a run unless my blood sugar is &amp;gt;225mg/12.5mmol, since it drops 40-50mg/2.7mmol every 10 minutes. 
While running/before going out for a run: 
- I supplement on the run with Gu every 20 minutes or so
- Heavily cut back on the short acting insulin several hours before exercise. 
Is there anything else I should be doing? I appreciate the advice!
Thanks!</t>
        </is>
      </c>
      <c r="D1269" t="n">
        <v>6</v>
      </c>
      <c r="E1269" t="n">
        <v>24</v>
      </c>
      <c r="F1269">
        <f>HYPERLINK("https://www.reddit.com/r/diabetes/comments/3j1dhy/advice_type_1_and_distance_running/")</f>
        <v/>
      </c>
      <c r="G1269" t="inlineStr">
        <is>
          <t>2015-08-30 20:12:04</t>
        </is>
      </c>
      <c r="H1269" t="inlineStr">
        <is>
          <t>Type 1</t>
        </is>
      </c>
    </row>
    <row r="1270">
      <c r="A1270" t="inlineStr">
        <is>
          <t>3j30eh</t>
        </is>
      </c>
      <c r="B1270" t="inlineStr">
        <is>
          <t>Insulin makes you fat?</t>
        </is>
      </c>
      <c r="C1270" t="inlineStr">
        <is>
          <t>I've seen this statement a few times here an other places and it just doesn't make sense to me. Can anyone knowledgeable comment?
The only way I can see this being true is because insulin allows you to convert the sugar in your blood into energy the excess of which is converted to fat. A diabetic injecting insulin will be no more prone to gaining fat than a normal person who makes their own.</t>
        </is>
      </c>
      <c r="D1270" t="n">
        <v>2</v>
      </c>
      <c r="E1270" t="n">
        <v>35</v>
      </c>
      <c r="F1270">
        <f>HYPERLINK("https://www.reddit.com/r/diabetes/comments/3j30eh/insulin_makes_you_fat/")</f>
        <v/>
      </c>
      <c r="G1270" t="inlineStr">
        <is>
          <t>2015-08-31 06:32:17</t>
        </is>
      </c>
      <c r="H1270" t="inlineStr">
        <is>
          <t>Type 1</t>
        </is>
      </c>
    </row>
    <row r="1271">
      <c r="A1271" t="inlineStr">
        <is>
          <t>3j4up0</t>
        </is>
      </c>
      <c r="B1271" t="inlineStr">
        <is>
          <t>Brand New College Diabetic</t>
        </is>
      </c>
      <c r="C1271" t="inlineStr">
        <is>
          <t>Hi all! I was recently diagnosed with type 1 this past Monday and I am scheduled to go back to college next weekend. It seems like so much information was already thrown at me, but is there any advice I should know so I can still live a good life while at school?</t>
        </is>
      </c>
      <c r="D1271" t="n">
        <v>16</v>
      </c>
      <c r="E1271" t="n">
        <v>18</v>
      </c>
      <c r="F1271">
        <f>HYPERLINK("https://www.reddit.com/r/diabetes/comments/3j4up0/brand_new_college_diabetic/")</f>
        <v/>
      </c>
      <c r="G1271" t="inlineStr">
        <is>
          <t>2015-08-31 14:12:25</t>
        </is>
      </c>
      <c r="H1271" t="inlineStr">
        <is>
          <t>Type 1</t>
        </is>
      </c>
    </row>
    <row r="1272">
      <c r="A1272" t="inlineStr">
        <is>
          <t>3j9ksp</t>
        </is>
      </c>
      <c r="B1272" t="inlineStr">
        <is>
          <t>Diabetes T2 and Insurance Experiences</t>
        </is>
      </c>
      <c r="C1272" t="inlineStr">
        <is>
          <t xml:space="preserve">Hello all! I'm a new subscriber and while I don't have diabetes my sister was just diagnosed with T2 which came at an interesting time because I was recently contracted to ghostwrite a book about diabetes that aims to address policy failure within the system. That being said I expect to spend a lot of time on this forum reading about your struggles and listening to your stories. This is my first post and I'm hoping to glean some much needed insight into the trials diabetes sufferers experience with their insurance companies. So, my question to you guys:
What have you come up against with your insurance companies (Medicare/Medicaid particularly) while trying to manage your diabetes? Have you been dropped? At what point? How have spend down types of Medicaid effected you? Have you had trouble getting supplies or enough supplies? Have you had your medications switched or stopped without notice or reason? What are you paying out of pocket? What have you been refused? Have you been harassed or discriminated again? Please specify what kind of insurance you have, if you got it through work or individually. I want to hear your stories! If you would like to give an interview, please don't hesitate to DM me, you can remain anonymous or not. 
I can't wait to read your responses, my author and I are really hoping to be able to make an impact on future policy with this project so anything you have to say on the subject is more than welcome. 
Thank you in advance.
edit: Yes, I am in the US and that's my primary interest market but international responses, esp concerning universal, would be very appreciated!
TL:DR: Tell me your diabetes T2 insurance horror stories. </t>
        </is>
      </c>
      <c r="D1272" t="n">
        <v>1</v>
      </c>
      <c r="E1272" t="n">
        <v>11</v>
      </c>
      <c r="F1272">
        <f>HYPERLINK("https://www.reddit.com/r/diabetes/comments/3j9ksp/diabetes_t2_and_insurance_experiences/")</f>
        <v/>
      </c>
      <c r="G1272" t="inlineStr">
        <is>
          <t>2015-09-01 13:29:48</t>
        </is>
      </c>
      <c r="H1272" t="inlineStr">
        <is>
          <t>Type 2</t>
        </is>
      </c>
    </row>
    <row r="1273">
      <c r="A1273" t="inlineStr">
        <is>
          <t>3jakfq</t>
        </is>
      </c>
      <c r="B1273" t="inlineStr">
        <is>
          <t>Carb Absorption, I can't math it seems.</t>
        </is>
      </c>
      <c r="C1273" t="inlineStr">
        <is>
          <t>Also posted in Subreddit:
https://www.reddit.com/r/T1D/comments/3j8tcu/carb_absorption_help/
Attempting to follow test to determine carbohydrate absorption rate. Consumed 8 oz or 226g of orange juice at 7:01 am on 9.01.2015 with no insulin on board outside of basil from previous night and no pre/post bolus. Also no protein for 12 hours preceding the test.
Using carb to BG ratio, it can be calculated using my carb to insulin ratio (meal bolus ratio) divided by my correction ratio. For example, if my meal bolus ratio is 5 g carbs per 1U insulin, and my correction ratio is 25 mg/dl per 1U insulin, then my carb to BG ratio is 5g carbs to 25 mg/dl of BG; or simply 1 g carbs to 5 mg/dl of BG. In that case, if my initial BG level is 121 mg/dl, and I consume 26 g of carbs, I should expect my BG to rise 130 mg/dl, to 251 mg/dl, by the end of the test.
Initial values and assumptions:
1u per 5g consumed
1u will drop 25mg/dl
5g will raise 25mg/dl or simply 1g:5mg/dl
So consuming 26g of carbs with initial BG value of 121, I expect 130 mg/dl rise to a value of 251 at the end of the test at which point I'll bolus.
Once the test is complete, I noted my initial carb absorption delay (the time required for glucose to get from my mouth to my CGM receiver), which is simply the time between when I ate the carbohydrates and the first significant uptick (generally more than 5 mg/dl in a 5 minute measurement interval). Then, once I started to see a sustained rise, I can calculate the rise rate. For example, if after 30 minutes from the start of the rise (~45 minutes from when I ate the carbs) I’ve risen 60 mg/dl that would be a rise rate of 2 mg/dl /minute. If your carb to BG ratio is 1 g carbs to 5 mg/dl of BG, that would equate to 0.5 g carbs / minute, or 30 g carbs / hour.
117 mg/dl at 7:32 am
222 mg/dl at 8:32 am
Rise began 30 minutes after carbs taken.
Peaks 90 minutes after consumed
Initial carb intake 7:01 am. Uptick began at 7:27am going from 110mg/dl to 117 mg/dl
9:51am bolus of 4u Humalog injected into left arm. Expected drop to 100 mg/dl
http://diyps.net/wp/wp-content/uploads/2014/05/diyps-how-to-calculate-carbohydrate-absorption-rate-for-people-with-type-1-diabetes.png
26 initial carbs-(60 minutes measured – 30 for initial rise divided by 2 mg/dl rise / min averaged equals out to 11 carbs / hour</t>
        </is>
      </c>
      <c r="D1273" t="n">
        <v>1</v>
      </c>
      <c r="E1273" t="n">
        <v>3</v>
      </c>
      <c r="F1273">
        <f>HYPERLINK("https://www.reddit.com/r/diabetes/comments/3jakfq/carb_absorption_i_cant_math_it_seems/")</f>
        <v/>
      </c>
      <c r="G1273" t="inlineStr">
        <is>
          <t>2015-09-01 17:50:00</t>
        </is>
      </c>
      <c r="H1273" t="inlineStr">
        <is>
          <t>Type 1</t>
        </is>
      </c>
    </row>
    <row r="1274">
      <c r="A1274" t="inlineStr">
        <is>
          <t>3jbgo9</t>
        </is>
      </c>
      <c r="B1274" t="inlineStr">
        <is>
          <t>Dexcom placement</t>
        </is>
      </c>
      <c r="C1274" t="inlineStr">
        <is>
          <t>New to using a Dexcom and just received mine end of last week but haven't set it up yet. I read the instructions and it says to use your stomach and to place it horizontally NOT vertically. It doesn't mention any other locations like my pump does so can I use my Dexcom on the back of my arm? I sometimes sleep on my stomach so it might get in the way there. If I can do my arm, can I go vertically with it? Why does it recommend horizontal vs vertical to begin with?</t>
        </is>
      </c>
      <c r="D1274" t="n">
        <v>1</v>
      </c>
      <c r="E1274" t="n">
        <v>12</v>
      </c>
      <c r="F1274">
        <f>HYPERLINK("https://www.reddit.com/r/diabetes/comments/3jbgo9/dexcom_placement/")</f>
        <v/>
      </c>
      <c r="G1274" t="inlineStr">
        <is>
          <t>2015-09-01 22:01:20</t>
        </is>
      </c>
      <c r="H1274" t="inlineStr">
        <is>
          <t>Type 1</t>
        </is>
      </c>
    </row>
    <row r="1275">
      <c r="A1275" t="inlineStr">
        <is>
          <t>3jbnvj</t>
        </is>
      </c>
      <c r="B1275" t="inlineStr">
        <is>
          <t>Thinking on getting an Omnipod - no support whatsoever in my country</t>
        </is>
      </c>
      <c r="C1275" t="inlineStr">
        <is>
          <t xml:space="preserve">I want to take better control of my diabetes and this seems to be the best option - but my country does not have any kind of support or doctors involved in this system. 
I currently use MDI.
How difficult would it be to manage it myself if I were to get one? 
There's not really many options where I am, except for a Medtronic pump at really high price; I've been told they're pretty much a shit company anyway. 
</t>
        </is>
      </c>
      <c r="D1275" t="n">
        <v>1</v>
      </c>
      <c r="E1275" t="n">
        <v>4</v>
      </c>
      <c r="F1275">
        <f>HYPERLINK("https://www.reddit.com/r/diabetes/comments/3jbnvj/thinking_on_getting_an_omnipod_no_support/")</f>
        <v/>
      </c>
      <c r="G1275" t="inlineStr">
        <is>
          <t>2015-09-01 23:17:54</t>
        </is>
      </c>
      <c r="H1275" t="inlineStr">
        <is>
          <t>Type 1</t>
        </is>
      </c>
    </row>
    <row r="1276">
      <c r="A1276" t="inlineStr">
        <is>
          <t>3jbysp</t>
        </is>
      </c>
      <c r="B1276" t="inlineStr">
        <is>
          <t>Sensor life?</t>
        </is>
      </c>
      <c r="C1276" t="inlineStr">
        <is>
          <t>Hi,  
My consultant and DSN are putting me forward to the pump comity (I'm in the UK), and believe I have a very good chance that I will be approved.  
Only the pump will be funded, if I want to use a CGM I will have to pay for that myself.  
I'm looking at two options, the Minimed 640G, and the Animas Vibe.
The sensor are very expensive, does anyone have any experience of the life span of the sensors, can they last longer than the 6/7 days that they are rated for?  
From what I have read so far, both pumps work equally well, so my decision is most likely going to come down on which one offers the better CGM. So far I'm leaning towards going for the Minimed 640G.</t>
        </is>
      </c>
      <c r="D1276" t="n">
        <v>1</v>
      </c>
      <c r="E1276" t="n">
        <v>19</v>
      </c>
      <c r="F1276">
        <f>HYPERLINK("https://www.reddit.com/r/diabetes/comments/3jbysp/sensor_life/")</f>
        <v/>
      </c>
      <c r="G1276" t="inlineStr">
        <is>
          <t>2015-09-02 01:26:03</t>
        </is>
      </c>
      <c r="H1276" t="inlineStr">
        <is>
          <t>Type 1</t>
        </is>
      </c>
    </row>
    <row r="1277">
      <c r="A1277" t="inlineStr">
        <is>
          <t>3jdmmt</t>
        </is>
      </c>
      <c r="B1277" t="inlineStr">
        <is>
          <t>T2 experience with long-acting insulin?</t>
        </is>
      </c>
      <c r="C1277" t="inlineStr">
        <is>
          <t xml:space="preserve">Why did you switch from oral meds to insulin? What has your experience been like? Any regrets? Weight gain? Fear of low blood sugar episodes?
I'm on Metformin and Glipizide. The Glipizide side effects are brutal and I'm finding it difficult to live with the nausea. Almost puked at the gym last night. Aargh! BS control is not that great either. My doctor is willing to prescribe long-acting insulin, but I am really afraid of low blood sugar episodes. I strive for 5 meals/day but I'm not 100% organized about regular eating habits. My biggest fear is overeating because of low blood sugar fear and weight gain from the insulin.
FYI: I'm an overweight woman, working with a personal trainer for fitness and diet. Also starting yoga this weekend. Was without health insurance for a couple of years and back on meds for 2 months now. 
I would really appreciate hearing about your experiences. I'm on the fence between lowering carbs to try to stay on oral meds, or taking insulin. </t>
        </is>
      </c>
      <c r="D1277" t="n">
        <v>1</v>
      </c>
      <c r="E1277" t="n">
        <v>14</v>
      </c>
      <c r="F1277">
        <f>HYPERLINK("https://www.reddit.com/r/diabetes/comments/3jdmmt/t2_experience_with_longacting_insulin/")</f>
        <v/>
      </c>
      <c r="G1277" t="inlineStr">
        <is>
          <t>2015-09-02 09:56:32</t>
        </is>
      </c>
      <c r="H1277" t="inlineStr">
        <is>
          <t>Type 2</t>
        </is>
      </c>
    </row>
    <row r="1278">
      <c r="A1278" t="inlineStr">
        <is>
          <t>3jdveu</t>
        </is>
      </c>
      <c r="B1278" t="inlineStr">
        <is>
          <t>Temp Basal and Timing</t>
        </is>
      </c>
      <c r="C1278" t="inlineStr">
        <is>
          <t>So I'm reading conflicting things regarding the timing of temp basals. For example, Gary Scheiner suggests setting it an hour or two before it is needed. Chuck Eichten says that if you feel low, you can dial your pump back then. This is the logic behind threshold suspend too I guess. What works for you? Do you notice basal changes quickly or do they take a while?</t>
        </is>
      </c>
      <c r="D1278" t="n">
        <v>2</v>
      </c>
      <c r="E1278" t="n">
        <v>7</v>
      </c>
      <c r="F1278">
        <f>HYPERLINK("https://www.reddit.com/r/diabetes/comments/3jdveu/temp_basal_and_timing/")</f>
        <v/>
      </c>
      <c r="G1278" t="inlineStr">
        <is>
          <t>2015-09-02 10:53:41</t>
        </is>
      </c>
      <c r="H1278" t="inlineStr">
        <is>
          <t>Type 1</t>
        </is>
      </c>
    </row>
    <row r="1279">
      <c r="A1279" t="inlineStr">
        <is>
          <t>3jhpls</t>
        </is>
      </c>
      <c r="B1279" t="inlineStr">
        <is>
          <t>T1 in search of expired G4 transmitter</t>
        </is>
      </c>
      <c r="C1279" t="inlineStr">
        <is>
          <t>Hi!
I'm looking for expired transmitter(s) for the Dexcom G4.
The reason behind is that insurance does not cover CGMS-es in my country, and having to buy a receiver and a transmitter is way over the budget for most of us. (Average salary here is ~400 USD/month)
Luckily, there are hacks for poor people, as there is a possibility to "revive" a transmitter (although the end result is not so nice), and it's also possible to use xDrip hw instead of the receiver, that would reduce the total cost of ownership to a tolerable level.
Basically the plan is to use xDrip bridge hardware, and revived transmitter(s) to reduce the initial costs.
I can pay a small amount of money for the transmitter to cover the shipping and efforts.
Thanks in advance for your help!</t>
        </is>
      </c>
      <c r="D1279" t="n">
        <v>7</v>
      </c>
      <c r="E1279" t="n">
        <v>15</v>
      </c>
      <c r="F1279">
        <f>HYPERLINK("https://www.reddit.com/r/diabetes/comments/3jhpls/t1_in_search_of_expired_g4_transmitter/")</f>
        <v/>
      </c>
      <c r="G1279" t="inlineStr">
        <is>
          <t>2015-09-03 07:27:33</t>
        </is>
      </c>
      <c r="H1279" t="inlineStr">
        <is>
          <t>Type 1</t>
        </is>
      </c>
    </row>
    <row r="1280">
      <c r="A1280" t="inlineStr">
        <is>
          <t>3ji39i</t>
        </is>
      </c>
      <c r="B1280" t="inlineStr">
        <is>
          <t>Bolus Voodoo</t>
        </is>
      </c>
      <c r="C1280" t="inlineStr">
        <is>
          <t>I’ve been trying to pin down the down phenomenon for my body.  I’m still in my honeymoon, but my morning sugar levels get up to the 180s after breakfast (18g carbs).
At first I thought it must be the breakfast I was eating, but I think I have ruled that out.  The strange thing is that a bolus doesn’t seem to help.  I’ve been testing with small doses of Novolin R (I know, older, slower insulin).  I’ve gone from 1 unit, up to 5 today and I don’t see a change in my numbers (before breakfast).  Does it sound like I need to bolus higher?  I’m afraid to go much past 5 units, with no food.  Especially with great fasting numbers.
As an example, fasting was 90 this morning.  Took 5U Novolin R.  1 hour later:  110.  Two hours later: 125.  Still no food.  
I’m happy with the numbers, but these are the same numbers I was getting without a bolus.  I just figured I would see a drop after 5U of insulin (I’m about 180 lbs).  Off to eat breakfast now and watch my numbers go back up to the 180s.</t>
        </is>
      </c>
      <c r="D1280" t="n">
        <v>1</v>
      </c>
      <c r="E1280" t="n">
        <v>6</v>
      </c>
      <c r="F1280">
        <f>HYPERLINK("https://www.reddit.com/r/diabetes/comments/3ji39i/bolus_voodoo/")</f>
        <v/>
      </c>
      <c r="G1280" t="inlineStr">
        <is>
          <t>2015-09-03 09:02:13</t>
        </is>
      </c>
      <c r="H1280" t="inlineStr">
        <is>
          <t>Type 1</t>
        </is>
      </c>
    </row>
    <row r="1281">
      <c r="A1281" t="inlineStr">
        <is>
          <t>3jn9z2</t>
        </is>
      </c>
      <c r="B1281" t="inlineStr">
        <is>
          <t>I'm an idiot....got my lab results back today.</t>
        </is>
      </c>
      <c r="C1281" t="inlineStr">
        <is>
          <t>Got my lab results back today...my A1C is 13.0 and my average glucose is 300. I need to make a change and i'm starting now, I will re-post with better news in a month. I need to get my life back on track! Sorry...that's my rant for the day.</t>
        </is>
      </c>
      <c r="D1281" t="n">
        <v>3</v>
      </c>
      <c r="E1281" t="n">
        <v>10</v>
      </c>
      <c r="F1281">
        <f>HYPERLINK("https://www.reddit.com/r/diabetes/comments/3jn9z2/im_an_idiotgot_my_lab_results_back_today/")</f>
        <v/>
      </c>
      <c r="G1281" t="inlineStr">
        <is>
          <t>2015-09-04 10:49:56</t>
        </is>
      </c>
      <c r="H1281" t="inlineStr">
        <is>
          <t>Type 2</t>
        </is>
      </c>
    </row>
    <row r="1282">
      <c r="A1282" t="inlineStr">
        <is>
          <t>3jupro</t>
        </is>
      </c>
      <c r="B1282" t="inlineStr">
        <is>
          <t>losing weight on ketosis w/ diabetes?</t>
        </is>
      </c>
      <c r="C1282" t="inlineStr">
        <is>
          <t>im a type 1 diabetic, have been for about 10 years.
i've being trying to lose weight for about 2-3 years now, i exercide 6 days a week and keep my (net) calories under 1500, i've never really done MUCH in terms of macronutrients though.
as of right now, i DO try to keep a lower FAT intake (30-50g tops), higher CARB (150-200g) and moderate protein (100g). 
i've never thought about going on a ketosis diet as i've always thought that carbs give you fuel and are what diabetics need to keep going.
have any of you gone on a ketosis diet and been successful in your weight loss? 
or does anyone have any advice/recommendations in general?</t>
        </is>
      </c>
      <c r="D1282" t="n">
        <v>15</v>
      </c>
      <c r="E1282" t="n">
        <v>21</v>
      </c>
      <c r="F1282">
        <f>HYPERLINK("https://www.reddit.com/r/diabetes/comments/3jupro/losing_weight_on_ketosis_w_diabetes/")</f>
        <v/>
      </c>
      <c r="G1282" t="inlineStr">
        <is>
          <t>2015-09-06 06:03:35</t>
        </is>
      </c>
      <c r="H1282" t="inlineStr">
        <is>
          <t>Type 1</t>
        </is>
      </c>
    </row>
    <row r="1283">
      <c r="A1283" t="inlineStr">
        <is>
          <t>3jv1z8</t>
        </is>
      </c>
      <c r="B1283" t="inlineStr">
        <is>
          <t>Tips needed for working in a lab</t>
        </is>
      </c>
      <c r="C1283" t="inlineStr">
        <is>
          <t>I'm going to be in multiple labs this year ( biology and chemistry) and I'm unsure how to manage the no eating/ drinking in the lab. Generally speaking I'll be fine as long as I don't go low but let's be honest, that's not happening. So what do I do, or rather what do you do in this situation. How dangerous would it be if I walked away from my bench and just inhaled some glucogel or something similar? Tips/tricks/ ideas ?</t>
        </is>
      </c>
      <c r="D1283" t="n">
        <v>4</v>
      </c>
      <c r="E1283" t="n">
        <v>12</v>
      </c>
      <c r="F1283">
        <f>HYPERLINK("https://www.reddit.com/r/diabetes/comments/3jv1z8/tips_needed_for_working_in_a_lab/")</f>
        <v/>
      </c>
      <c r="G1283" t="inlineStr">
        <is>
          <t>2015-09-06 08:06:29</t>
        </is>
      </c>
      <c r="H1283" t="inlineStr">
        <is>
          <t>Type 1</t>
        </is>
      </c>
    </row>
    <row r="1284">
      <c r="A1284" t="inlineStr">
        <is>
          <t>3jypyx</t>
        </is>
      </c>
      <c r="B1284" t="inlineStr">
        <is>
          <t>Crazy BG on very low carb diet, need help</t>
        </is>
      </c>
      <c r="C1284" t="inlineStr">
        <is>
          <t>Info: T1D since 2007, on lantus 2x daily every 12 hours, novorapid and previously on metformin MR
So I've been doing low carb since april and everything's been cool, I've done it before with no issues. About 7 weeks ago I stopped taking the metformin because it was giving me cramps so bad that if they had been in the correct part of my abdomen I would have gone to the ER thinking my appendix had burst. Since then my blood sugars have gone INSANE.
I eat under 20g carbs per day. Every time I eat, no matter how small the amount of carbs (even 0!!) my blood sugar shoots up. I've tried increasing the lantus but I did a overnight background test and my blood sugar was actually dropping overnight, the dose was too high. So I'm just really really confused about what could be causing my blood glucose to shoot up even though I'm barely eating any carbs at alll...
I have an endo appointment on Wednesday but he's been kinda useless and the senior diabetic nurse there is a serious bitch and I don't want her to talk to me like I'm 7 again. I've been looking through a book I have (Think Like a Pancreas) and it doesn't describe anything like what I'm experiencing...
I really really don't want to take the metformin again, I was in complete agony from it :(
EDIT: After feedback from this thread, I had a meal where I counted my carbteins (carbs + half the proteins) and my blood glucose has done exactly 100% what I wanted it to (going from 5.5mmol/l to 7.5mmol/l). Thanks everyone.</t>
        </is>
      </c>
      <c r="D1284" t="n">
        <v>10</v>
      </c>
      <c r="E1284" t="n">
        <v>34</v>
      </c>
      <c r="F1284">
        <f>HYPERLINK("https://www.reddit.com/r/diabetes/comments/3jypyx/crazy_bg_on_very_low_carb_diet_need_help/")</f>
        <v/>
      </c>
      <c r="G1284" t="inlineStr">
        <is>
          <t>2015-09-07 05:03:37</t>
        </is>
      </c>
      <c r="H1284" t="inlineStr">
        <is>
          <t>Type 1</t>
        </is>
      </c>
    </row>
    <row r="1285">
      <c r="A1285" t="inlineStr">
        <is>
          <t>3k29uz</t>
        </is>
      </c>
      <c r="B1285" t="inlineStr">
        <is>
          <t>Medical alert tattoo</t>
        </is>
      </c>
      <c r="C1285" t="inlineStr">
        <is>
          <t>I've been thinking about getting a medical alert tattoo for 3 years, this is the result, insulin dependent information is on the other side. What do you guys think?
http://imgur.com/vrDl4Op</t>
        </is>
      </c>
      <c r="D1285" t="n">
        <v>2</v>
      </c>
      <c r="E1285" t="n">
        <v>2</v>
      </c>
      <c r="F1285">
        <f>HYPERLINK("https://www.reddit.com/r/diabetes/comments/3k29uz/medical_alert_tattoo/")</f>
        <v/>
      </c>
      <c r="G1285" t="inlineStr">
        <is>
          <t>2015-09-07 23:18:22</t>
        </is>
      </c>
      <c r="H1285" t="inlineStr">
        <is>
          <t>Type 1</t>
        </is>
      </c>
    </row>
    <row r="1286">
      <c r="A1286" t="inlineStr">
        <is>
          <t>3k44za</t>
        </is>
      </c>
      <c r="B1286" t="inlineStr">
        <is>
          <t>3 month a1c check</t>
        </is>
      </c>
      <c r="C1286" t="inlineStr">
        <is>
          <t>I was diagnosed in June, a1c was 6.7, I had a 3 month check last week and just by eating low carb/keto I'm down to 6.0! My doctor is pleased and told me to keep doing what I'm doing!</t>
        </is>
      </c>
      <c r="D1286" t="n">
        <v>3</v>
      </c>
      <c r="E1286" t="n">
        <v>8</v>
      </c>
      <c r="F1286">
        <f>HYPERLINK("https://www.reddit.com/r/diabetes/comments/3k44za/3_month_a1c_check/")</f>
        <v/>
      </c>
      <c r="G1286" t="inlineStr">
        <is>
          <t>2015-09-08 10:01:17</t>
        </is>
      </c>
      <c r="H1286" t="inlineStr">
        <is>
          <t>Type 2</t>
        </is>
      </c>
    </row>
    <row r="1287">
      <c r="A1287" t="inlineStr">
        <is>
          <t>3k6lil</t>
        </is>
      </c>
      <c r="B1287" t="inlineStr">
        <is>
          <t>Sudden insulin sensitivity after diabetic coma</t>
        </is>
      </c>
      <c r="C1287" t="inlineStr">
        <is>
          <t>Hey everyone. I'm mostly posting because a) I feel completely out of control, and need answers, and b) Hoping that someone, anyone, may have an idea on what to do about whats going on.
I've been type one for 23 years, and during the summer, I fell into a diabetic coma. I've struggled with diabulimia in the past, and was exercising regularly, and eating extremely well. (from a 14.8 A1C to a 8.3) Lows have never been a problem, until now. Ever since reconnecting my pump in the hospital, I go low almost constantly. I've cut my exercise, and haven't worked out since pre-coma. I was on a basal of 1.2/h overnight and 1.3/h during the day, and now i'm on 0.5/hour, and am still going low with things as simple as running errands. We've checked everything possible my endo could think of, and everything has come back normal. I've lost about 20 or so pounds in my lifestyle changes, but the weight loss was almost a year ago, and saw no changes to my diabetes until recently.
I know that's a bunch of information, But i'm completely at a loss for what to do. I'm terrified of going to bed every night in fear of going so hypo again, and my endo's solution is to keep cutting and cutting and just "figuring it out from there." Does anyone have any experience with sudden sensitivity or this kind of drastic change? I'm desperate for some answers, so I can start feeling safe again, because at the moment, I really don't.</t>
        </is>
      </c>
      <c r="D1287" t="n">
        <v>2</v>
      </c>
      <c r="E1287" t="n">
        <v>9</v>
      </c>
      <c r="F1287">
        <f>HYPERLINK("https://www.reddit.com/r/diabetes/comments/3k6lil/sudden_insulin_sensitivity_after_diabetic_coma/")</f>
        <v/>
      </c>
      <c r="G1287" t="inlineStr">
        <is>
          <t>2015-09-08 19:52:06</t>
        </is>
      </c>
      <c r="H1287" t="inlineStr">
        <is>
          <t>Type 1</t>
        </is>
      </c>
    </row>
    <row r="1288">
      <c r="A1288" t="inlineStr">
        <is>
          <t>3k8zyt</t>
        </is>
      </c>
      <c r="B1288" t="inlineStr">
        <is>
          <t>Finally got A1C results!</t>
        </is>
      </c>
      <c r="C1288" t="inlineStr">
        <is>
          <t>So, before I get to my results, I'd like to share a quick little bit with you good folks.
* "Recently" diagnosed in December 2014
* Still learning more and more about my T1 everyday
* Previous A1C when diagnosed - 12.1 / Blood sugar at 955 (DKA)
* Haven't been tested since that hospital visit (not the greatest medical staff w/Medicaid)
Had blood work done on the 17th of Aug. Just got a call from my doc 15 min. ago, and I was floored when I heard that my A1C was a 5! I thought that me dropping 60 lbs because of my T1 was pretty good, but this nearly has me in tears. I wish I had found you good folks here at r/diabetes sooner, but I'm just glad you all are here. Have a wonderful day everyone!</t>
        </is>
      </c>
      <c r="D1288" t="n">
        <v>11</v>
      </c>
      <c r="E1288" t="n">
        <v>10</v>
      </c>
      <c r="F1288">
        <f>HYPERLINK("https://www.reddit.com/r/diabetes/comments/3k8zyt/finally_got_a1c_results/")</f>
        <v/>
      </c>
      <c r="G1288" t="inlineStr">
        <is>
          <t>2015-09-09 07:55:24</t>
        </is>
      </c>
      <c r="H1288" t="inlineStr">
        <is>
          <t>Type 1</t>
        </is>
      </c>
    </row>
    <row r="1289">
      <c r="A1289" t="inlineStr">
        <is>
          <t>3kbpvx</t>
        </is>
      </c>
      <c r="B1289" t="inlineStr">
        <is>
          <t>Thinking of getting a pump...</t>
        </is>
      </c>
      <c r="C1289" t="inlineStr">
        <is>
          <t>...but I'm not sure which one to get. I am interested in the size of the t-slim, but I heard that the vibe is much more reliable (and comes with a cgm). I also have looked into an omnipod, but they seem like they have a reputation of not working all the time.
Can you guys please give me some insight on which pump I should go with?</t>
        </is>
      </c>
      <c r="D1289" t="n">
        <v>4</v>
      </c>
      <c r="E1289" t="n">
        <v>13</v>
      </c>
      <c r="F1289">
        <f>HYPERLINK("https://www.reddit.com/r/diabetes/comments/3kbpvx/thinking_of_getting_a_pump/")</f>
        <v/>
      </c>
      <c r="G1289" t="inlineStr">
        <is>
          <t>2015-09-09 17:37:04</t>
        </is>
      </c>
      <c r="H1289" t="inlineStr">
        <is>
          <t>Type 1</t>
        </is>
      </c>
    </row>
    <row r="1290">
      <c r="A1290" t="inlineStr">
        <is>
          <t>3kcisk</t>
        </is>
      </c>
      <c r="B1290" t="inlineStr">
        <is>
          <t>T1D in Ontario-Coming off of fathers coverage,unemployed, how do I afford supplies?</t>
        </is>
      </c>
      <c r="C1290" t="inlineStr">
        <is>
          <t xml:space="preserve">As the title says I am a type one diabetic living in Ontario,Canada and am going to be taking off of my fathers insurance plan. I am currently unemployed(have been job hunting for months with no success)and am wondering how on earth am I going to be able to keep myself alive when I have no way to pay for supplies. I am not on a pump, I use pen needles to administer my insulin. What options do I have until I can find a job with benefits or go back to school? 
Thank you in advanced for any help you can provide. </t>
        </is>
      </c>
      <c r="D1290" t="n">
        <v>1</v>
      </c>
      <c r="E1290" t="n">
        <v>4</v>
      </c>
      <c r="F1290">
        <f>HYPERLINK("https://www.reddit.com/r/diabetes/comments/3kcisk/t1d_in_ontariocoming_off_of_fathers/")</f>
        <v/>
      </c>
      <c r="G1290" t="inlineStr">
        <is>
          <t>2015-09-09 20:50:42</t>
        </is>
      </c>
      <c r="H1290" t="inlineStr">
        <is>
          <t>Type 1</t>
        </is>
      </c>
    </row>
    <row r="1291">
      <c r="A1291" t="inlineStr">
        <is>
          <t>3kcklv</t>
        </is>
      </c>
      <c r="B1291" t="inlineStr">
        <is>
          <t>Test first blood droplet? or second? At the doctor's office the first blood droplet is wiped away. The second droplet is tested.</t>
        </is>
      </c>
      <c r="C1291" t="inlineStr">
        <is>
          <t>Test the first blood droplet? Or the second? At the doctor's office the first finger blood droplet is wiped away. The second blood droplet is tested with a NonBayer meter. At home Bayer Contour Next USB meter users are instructed to test the first droplet after hands are dried from handwashing. How do you sort out inconsistency about testing the first or second blood droplet?</t>
        </is>
      </c>
      <c r="D1291" t="n">
        <v>1</v>
      </c>
      <c r="E1291" t="n">
        <v>10</v>
      </c>
      <c r="F1291">
        <f>HYPERLINK("https://www.reddit.com/r/diabetes/comments/3kcklv/test_first_blood_droplet_or_second_at_the_doctors/")</f>
        <v/>
      </c>
      <c r="G1291" t="inlineStr">
        <is>
          <t>2015-09-09 21:03:35</t>
        </is>
      </c>
      <c r="H1291" t="inlineStr">
        <is>
          <t>Type 2</t>
        </is>
      </c>
    </row>
    <row r="1292">
      <c r="A1292" t="inlineStr">
        <is>
          <t>3kglnb</t>
        </is>
      </c>
      <c r="B1292" t="inlineStr">
        <is>
          <t>Anybody sweating excessively as a T1?</t>
        </is>
      </c>
      <c r="C1292" t="inlineStr">
        <is>
          <t xml:space="preserve">I know its summer, but lately I feel like I have been sweating excessively (Even in air conditioning!). Especially at night. Anybody else experience this? 
Note: I am a Type 1. </t>
        </is>
      </c>
      <c r="D1292" t="n">
        <v>2</v>
      </c>
      <c r="E1292" t="n">
        <v>14</v>
      </c>
      <c r="F1292">
        <f>HYPERLINK("https://www.reddit.com/r/diabetes/comments/3kglnb/anybody_sweating_excessively_as_a_t1/")</f>
        <v/>
      </c>
      <c r="G1292" t="inlineStr">
        <is>
          <t>2015-09-10 14:32:46</t>
        </is>
      </c>
      <c r="H1292" t="inlineStr">
        <is>
          <t>Type 1</t>
        </is>
      </c>
    </row>
    <row r="1293">
      <c r="A1293" t="inlineStr">
        <is>
          <t>3ki0yl</t>
        </is>
      </c>
      <c r="B1293" t="inlineStr">
        <is>
          <t>Newly diagnosed T2 and totally overwhelmed</t>
        </is>
      </c>
      <c r="C1293" t="inlineStr">
        <is>
          <t xml:space="preserve">Went to the doc's for an abscess, came out of it with a T2 diagnosis and threats of the hospital, insulin, and all sorts of bad things.  (As an aside, doctors should not be allowed to give such serious diagnoses over the phone. GRRR!) Prescribed Metformin 850 mg 1x day with a ramp up in 14 days, simvastatin, a meter, and a laundry list of appointments that start in another week, but no other real info. I am LOST, hungry, grumpy, and kicking myself for not getting the weight off before now. 
Before my diagnosis I decided it was time to get off my duff and get serious about losing weight and getting in to shape. I have lost 22 pounds since June 1, work out 5 days a week, and was following Weight Watchers religiously. Now - just started going back to the gym after a 2.5 week break because of the damn abscess. I'm tracking blood sugars in the AM and 2 hours after eating...but the food part is kicking my butt. If I eat the 45-60 grams of carbs recommended for my big meals my sugars get all out of whack and take almost 2 days to come down. If I stick to under 20 grams of carbs per big meal and little to no carbs for snacks I can keep myself between 150 and 199 pretty consistently. 
What in the heck can I eat? Will I ever be able to have pizza, bread, pasta, or rice again? I don't get to meet with my PCP, diabetes nurse, outpatient program, nutritionist, or endo until late next week. 
</t>
        </is>
      </c>
      <c r="D1293" t="n">
        <v>3</v>
      </c>
      <c r="E1293" t="n">
        <v>27</v>
      </c>
      <c r="F1293">
        <f>HYPERLINK("https://www.reddit.com/r/diabetes/comments/3ki0yl/newly_diagnosed_t2_and_totally_overwhelmed/")</f>
        <v/>
      </c>
      <c r="G1293" t="inlineStr">
        <is>
          <t>2015-09-10 21:07:52</t>
        </is>
      </c>
      <c r="H1293" t="inlineStr">
        <is>
          <t>Type 2</t>
        </is>
      </c>
    </row>
    <row r="1294">
      <c r="A1294" t="inlineStr">
        <is>
          <t>3kjdgp</t>
        </is>
      </c>
      <c r="B1294" t="inlineStr">
        <is>
          <t>Sensor ISIG?</t>
        </is>
      </c>
      <c r="C1294" t="inlineStr">
        <is>
          <t xml:space="preserve">Hey everyone,
So I'm pretty prepared for people to think this is a dumb question, because everyone seems to know this except for me. But can someone tell me what sensor isig is? I just recently started using the Enlite sensors and I see on my pump screen where the isig information is displayed, but I just don't know what it means. Is it good when it is a big number? I feel like it has to do with calibration and signal strength but no one has ever explained it to me before. </t>
        </is>
      </c>
      <c r="D1294" t="n">
        <v>1</v>
      </c>
      <c r="E1294" t="n">
        <v>4</v>
      </c>
      <c r="F1294">
        <f>HYPERLINK("https://www.reddit.com/r/diabetes/comments/3kjdgp/sensor_isig/")</f>
        <v/>
      </c>
      <c r="G1294" t="inlineStr">
        <is>
          <t>2015-09-11 06:05:43</t>
        </is>
      </c>
      <c r="H1294" t="inlineStr">
        <is>
          <t>Type 1</t>
        </is>
      </c>
    </row>
    <row r="1295">
      <c r="A1295" t="inlineStr">
        <is>
          <t>3kk8j2</t>
        </is>
      </c>
      <c r="B1295" t="inlineStr">
        <is>
          <t>Coffee- I get sleepy</t>
        </is>
      </c>
      <c r="C1295" t="inlineStr">
        <is>
          <t>Does anyone else get really sleepy from drinking coffee (no sugar, and very very little milk)?</t>
        </is>
      </c>
      <c r="D1295" t="n">
        <v>1</v>
      </c>
      <c r="E1295" t="n">
        <v>7</v>
      </c>
      <c r="F1295">
        <f>HYPERLINK("https://www.reddit.com/r/diabetes/comments/3kk8j2/coffee_i_get_sleepy/")</f>
        <v/>
      </c>
      <c r="G1295" t="inlineStr">
        <is>
          <t>2015-09-11 09:49:33</t>
        </is>
      </c>
      <c r="H1295" t="inlineStr">
        <is>
          <t>Type 2</t>
        </is>
      </c>
    </row>
    <row r="1296">
      <c r="A1296" t="inlineStr">
        <is>
          <t>3kkpd3</t>
        </is>
      </c>
      <c r="B1296" t="inlineStr">
        <is>
          <t>CGM and air travel</t>
        </is>
      </c>
      <c r="C1296" t="inlineStr">
        <is>
          <t>I have a three year old daughter who just got her Dexcom a month or two ago. We have a trip planned and I was wondering if anyone knows if it is likely to cause any problems in security if she is wearing her CGM?
Best regards</t>
        </is>
      </c>
      <c r="D1296" t="n">
        <v>1</v>
      </c>
      <c r="E1296" t="n">
        <v>7</v>
      </c>
      <c r="F1296">
        <f>HYPERLINK("https://www.reddit.com/r/diabetes/comments/3kkpd3/cgm_and_air_travel/")</f>
        <v/>
      </c>
      <c r="G1296" t="inlineStr">
        <is>
          <t>2015-09-11 11:41:48</t>
        </is>
      </c>
      <c r="H1296" t="inlineStr">
        <is>
          <t>Type 1</t>
        </is>
      </c>
    </row>
    <row r="1297">
      <c r="A1297" t="inlineStr">
        <is>
          <t>3km6hk</t>
        </is>
      </c>
      <c r="B1297" t="inlineStr">
        <is>
          <t>My husband had a high ACR (albumin to creatanine) result suggestive of early kidney disease. What can I do? What can he do?</t>
        </is>
      </c>
      <c r="C1297" t="inlineStr">
        <is>
          <t>My husband is late twenties, very active, low blood pressure, low cholesterol, and manages his blood sugar very well (highest A1c in the last 5 years was 7.4, most recent was 7). His last lab results indicated that he could have early CKD (chronic kidney disease).  We are both really bummed by this news, especially since he takes good care of himself. I know many people here advocate the keto diet, but is this appropriate for someone with high protein in his kidneys? Does anyone have any experience with this sort of situation? How long can a diabetic in otherwise good health live with CKD before needing a transplant? How can I help him? I would totally give a kidney to this man. Any help is appreciated. Thanks!
*creatinine (spelling)</t>
        </is>
      </c>
      <c r="D1297" t="n">
        <v>3</v>
      </c>
      <c r="E1297" t="n">
        <v>3</v>
      </c>
      <c r="F1297">
        <f>HYPERLINK("https://www.reddit.com/r/diabetes/comments/3km6hk/my_husband_had_a_high_acr_albumin_to_creatanine/")</f>
        <v/>
      </c>
      <c r="G1297" t="inlineStr">
        <is>
          <t>2015-09-11 18:15:28</t>
        </is>
      </c>
      <c r="H1297" t="inlineStr">
        <is>
          <t>Type 1</t>
        </is>
      </c>
    </row>
    <row r="1298">
      <c r="A1298" t="inlineStr">
        <is>
          <t>3kosqh</t>
        </is>
      </c>
      <c r="B1298" t="inlineStr">
        <is>
          <t>Just switched to afrezza, have questions.</t>
        </is>
      </c>
      <c r="C1298" t="inlineStr">
        <is>
          <t>Switched because jabbing myself so many times a day still gets to me, so that's where I hope I can assign some value in switching from Novolog. 
Anyone have any good tips, tricks or words of wisdom for a newbie? Things you wish your endo would have mentioned when you talked to them about it? Much thanks in advance.</t>
        </is>
      </c>
      <c r="D1298" t="n">
        <v>8</v>
      </c>
      <c r="E1298" t="n">
        <v>12</v>
      </c>
      <c r="F1298">
        <f>HYPERLINK("https://www.reddit.com/r/diabetes/comments/3kosqh/just_switched_to_afrezza_have_questions/")</f>
        <v/>
      </c>
      <c r="G1298" t="inlineStr">
        <is>
          <t>2015-09-12 11:10:34</t>
        </is>
      </c>
      <c r="H1298" t="inlineStr">
        <is>
          <t>Type 1</t>
        </is>
      </c>
    </row>
    <row r="1299">
      <c r="A1299" t="inlineStr">
        <is>
          <t>3kp1xo</t>
        </is>
      </c>
      <c r="B1299" t="inlineStr">
        <is>
          <t>Happy Dance</t>
        </is>
      </c>
      <c r="C1299" t="inlineStr">
        <is>
          <t>Just got back from the endo.  Our little one's A1C is 6.2!  We've now had an A1C under 7 for over a year!  My wife and I are doing the happy dance.</t>
        </is>
      </c>
      <c r="D1299" t="n">
        <v>72</v>
      </c>
      <c r="E1299" t="n">
        <v>5</v>
      </c>
      <c r="F1299">
        <f>HYPERLINK("https://www.reddit.com/r/diabetes/comments/3kp1xo/happy_dance/")</f>
        <v/>
      </c>
      <c r="G1299" t="inlineStr">
        <is>
          <t>2015-09-12 12:15:39</t>
        </is>
      </c>
      <c r="H1299" t="inlineStr">
        <is>
          <t>Type 1</t>
        </is>
      </c>
    </row>
    <row r="1300">
      <c r="A1300" t="inlineStr">
        <is>
          <t>3kpp41</t>
        </is>
      </c>
      <c r="B1300" t="inlineStr">
        <is>
          <t>Type 2 a bit confused on dieting and weight loss.</t>
        </is>
      </c>
      <c r="C1300" t="inlineStr">
        <is>
          <t xml:space="preserve">On August 9th I decided enough was enough.  I weighed 295 pounds.  My levels were anywhere from 200-350.  I actually have kidney scaring and damage after just a few years of not caring about my diabetes.  My last blood tests from December were as follows, 
Triglycerides: 2685
Glucose: 375
A1c: 11.2
Now from December until August, nothing really changed in my diet.  So I am going to assume that from December to August the test results where the same. On August 9th, I decided enough is enough, and to take myself serious.  I got into reading about all the diets, and what to do with diabetes, and the one common factor I could see was “Try to eat as few carbs as possible”  along with diet and exercise.  
So, I decided to do just that.  I try to stay away from as many carbs as possible.  Some days I don't eat any “unless they are hidden and I didn't see them like in a salad or something' I exercise 1 hour at least everyday which consists of 30+ minutes of cardio along with lifting weights both upper and lower body.  Some days I take a break from the lifting, but do an hour cardio instead.  
At first with my low carb diet, I read that its fine to supplement your lack of carbs for protein.  Then I read that protein is actually bad for you as well, due to your body being able to turn it into sugar, that high in fat foods would be better for you.  So I decided to jump onto the limited protein fad, but I don't want to do high fat foods “I guess the words just scare me” So for a month my diet has kind of been all over the place, with the exception of the no/low carbs.  
September 4th I had a fasting test done.  These where my results. 
Glucose-116 “Which is a bit high based on my self testing”
A1c-7.8
Triglycerides-waiting for results. 
Weight-275 pounds
Now I have lost 20 pounds in a month, and it def, shows its was much more than water weight.  I take pictures every week and you can see the skin sagging “I know nasty right” but the problem comes in, I don't know which diet it is that is working for me, because I have been all over the place when it comes to food, and when I start working on a long term solution, I don't want to pick wrong.  
Now I know the doctor is going to recommend me to start taking my Metformin again.  He was actually happy I hadn't been taking it during my dieting and exercising so that he could get a true number on my levels.  So when he recommends me taking this Metformin again, I read that some people gain weight when they take it, because their body is finally starting to work correctly and their diet wasn't correct so they gained weight, and I want to make sure that doesn't happen to me.  
So any advice on this issue would be great.  Should I go low carb low fat, low carb high fat, or low carb high protein?  So confused.  </t>
        </is>
      </c>
      <c r="D1300" t="n">
        <v>11</v>
      </c>
      <c r="E1300" t="n">
        <v>10</v>
      </c>
      <c r="F1300">
        <f>HYPERLINK("https://www.reddit.com/r/diabetes/comments/3kpp41/type_2_a_bit_confused_on_dieting_and_weight_loss/")</f>
        <v/>
      </c>
      <c r="G1300" t="inlineStr">
        <is>
          <t>2015-09-12 15:03:37</t>
        </is>
      </c>
      <c r="H1300" t="inlineStr">
        <is>
          <t>Type 2</t>
        </is>
      </c>
    </row>
    <row r="1301">
      <c r="A1301" t="inlineStr">
        <is>
          <t>3kqlpp</t>
        </is>
      </c>
      <c r="B1301" t="inlineStr">
        <is>
          <t>Have been an Animas Vibe User for 3 months. Have you other Vibe and Ping users had problems with the infusion-sets that use the plastic cannulas -- the Inset 30 and so forth?</t>
        </is>
      </c>
      <c r="C1301" t="inlineStr">
        <is>
          <t>The good news is that, finally, after three months I got an order of contact infusion sets that use the metal needles instead of the plastic cannulas.  The metal needles always worked reliably with my old Disetronic pump, also.
But for whatever reason,  and despite my textbook cannula insertions and reinforcement of the catheter sites using Tegaderm-tape,  I have spent the the last three months experiencing intermittent insulin delivery.   I don't know if it's due to my relatively low body fat or what -- it looked like the plastic cannulas were hitting muscle and getting pinched at the end or otherwise allowing the insulin to "rebound" off the muscle and back up the outside of the cannula to form a wet spot on the underside of the catheter (I witnessed this several times)
I tried changing insertion spots on my abdomen,  right leg and right hip, but still had spotty insulin delivery
Anyway, just wanted to see if my situation is novel or if you all have had the same problems with the plastic cannula infusion sets for the Animas Ping and Vibe.   And as I said before, the metal needle infusion sets solved the problem for me (I'd recommend those to new users).  
Also, I've found the Dexcom CGM integrated with the Vibe to work very well.
----
Been Type 1 since 1990, 25 years.  Disetronic pump user from 2001-2010; took a break and then resumed pump-use, now with the Animas Vibe pump/CGM this year, 2015.  HBA1C was 6.6 prior to beginning use of the Animas Vibe.  I'd like to safely get my HBA1C under 6.0 with the Vibe</t>
        </is>
      </c>
      <c r="D1301" t="n">
        <v>8</v>
      </c>
      <c r="E1301" t="n">
        <v>7</v>
      </c>
      <c r="F1301">
        <f>HYPERLINK("https://www.reddit.com/r/diabetes/comments/3kqlpp/have_been_an_animas_vibe_user_for_3_months_have/")</f>
        <v/>
      </c>
      <c r="G1301" t="inlineStr">
        <is>
          <t>2015-09-12 19:31:59</t>
        </is>
      </c>
      <c r="H1301" t="inlineStr">
        <is>
          <t>Type 1</t>
        </is>
      </c>
    </row>
    <row r="1302">
      <c r="A1302" t="inlineStr">
        <is>
          <t>3ktmtd</t>
        </is>
      </c>
      <c r="B1302" t="inlineStr">
        <is>
          <t>Need help for injecting and avoid psychological results</t>
        </is>
      </c>
      <c r="C1302" t="inlineStr">
        <is>
          <t>I use novorapid for bolusing. I usually do injections on stomach. I have only little fat on my stomach perhaps because of that i was unfortunate to hit a vien a few monts ago although i pulled the skin properly. (It seems there may be viens on the skin too) Wİth lots of sugar and juice i was lucky to deal with it without fainting.
I was begining to develop a fear of eating because i would need to bolus for it. What if my blood sugar dropped to quickly. What it that happenend when i am alone? I  was trying to overcome my fear thinking that it was irrational. I was really unlucky that time. And perhaps it was because i tried to inject on far left side of my stomach.
But today when i was injecting abdominally, pulled the skin again. I ınjected 5 units and when I pulled the needle back i saw blood coming out. And I said "SH*T!" Of course it bruised quickly. I was having breakfast in cafe I quickly ordered a fruid juice  and quickly explained  how to use my glucagon shot to the cafe workers in case I fainted and told them I am doing best I can not to. (Unfortunately they were afraid to inject something to somebody)
By the way I prefer stomach because I experienced it provides better control and It is much easier to do it in public. 
Fortunately again I could avoid hypo. It went a little higher after but i was in no position to complain.
I am definitely planning on speaking to endo but since private hospitals are expensive here and state hospital doctors don't seem to worry on these things as i do I have to ask you.
So here are my questions:
1) Any skinny people having similar problems? What should I do what should I avoid? I know and follow the standart advice for injecting. I used to use 8mm and i went down to 6 mm. And I didnt even push it all the way to skin.
2) I have never used a pump. I think I have to fight a battle with health insurance to get one (at least a part it) But Am I subject to similar problems using a pump since it has a needle and it can go wrong similarly.  Is it possible to understand that it went wrong before starting pumping
3) What can I do to avoid the psychological fear at every meal?
4) Any other particular advice?
Thank you all. This subreddit has been the most valuable source of information for me. And I hope it will be so this time.
Edit: The drop I experienced could not be a measurement error since I double checked. My basal is fairly low. And I didn't have that rapid change in any other case. Thats why I suspect It was related with the shot. 
First experience was left side of the abdomen and with a 8mm perhaps I really did find some kind of vessel.
Second was on abdomen but i cannot remember the moment clearly perhaps I didn't do it completely vertically since i pulled the skin. There may be a chance that I teared the capillary rather than drilling it. And since it is very different from my other bruises and it swelled a little bit for a moment I think there was some bleeding inside. Perhaps that was the reason.
Not i decided to go down to 4mm from 6mm and be more careful.
Seing that how unlikely it is normally, perhaps I was unlucky that time. I feel a little bit more comfortable.
Thanks for all those have commented.</t>
        </is>
      </c>
      <c r="D1302" t="n">
        <v>3</v>
      </c>
      <c r="E1302" t="n">
        <v>16</v>
      </c>
      <c r="F1302">
        <f>HYPERLINK("https://www.reddit.com/r/diabetes/comments/3ktmtd/need_help_for_injecting_and_avoid_psychological/")</f>
        <v/>
      </c>
      <c r="G1302" t="inlineStr">
        <is>
          <t>2015-09-13 13:15:10</t>
        </is>
      </c>
      <c r="H1302" t="inlineStr">
        <is>
          <t>Type 1</t>
        </is>
      </c>
    </row>
    <row r="1303">
      <c r="A1303" t="inlineStr">
        <is>
          <t>3kuflq</t>
        </is>
      </c>
      <c r="B1303" t="inlineStr">
        <is>
          <t>Dexcom sensors</t>
        </is>
      </c>
      <c r="C1303" t="inlineStr">
        <is>
          <t xml:space="preserve">My 11 year old daughter was dx with Type 1 diabetes a little over a year ago. Since then we have fought with insurance for a Dexcom. With no budging from the insurance company I borrowed enough money from family to buy the Dexcom but since I am currently paying everyone back, I do not have the money to purchase the sensors. Does any one know of any programs or ways to get sensors cheaper? </t>
        </is>
      </c>
      <c r="D1303" t="n">
        <v>3</v>
      </c>
      <c r="E1303" t="n">
        <v>5</v>
      </c>
      <c r="F1303">
        <f>HYPERLINK("https://www.reddit.com/r/diabetes/comments/3kuflq/dexcom_sensors/")</f>
        <v/>
      </c>
      <c r="G1303" t="inlineStr">
        <is>
          <t>2015-09-13 16:50:20</t>
        </is>
      </c>
      <c r="H1303" t="inlineStr">
        <is>
          <t>Type 1</t>
        </is>
      </c>
    </row>
    <row r="1304">
      <c r="A1304" t="inlineStr">
        <is>
          <t>3kuy5w</t>
        </is>
      </c>
      <c r="B1304" t="inlineStr">
        <is>
          <t>Is this a realistic bg response?</t>
        </is>
      </c>
      <c r="C1304" t="inlineStr">
        <is>
          <t>I was a little high after dinner tonight, 127, rechecked at 125.  I try and aim for about 110 post-prandial.
I spent the last 20 minutes doing a mix of stairs, squats, and abs, and checked/rechecked at 75, 77, and 79.
Is it realistic for 20m of moderate exercise to bring down my bg so much?</t>
        </is>
      </c>
      <c r="D1304" t="n">
        <v>4</v>
      </c>
      <c r="E1304" t="n">
        <v>11</v>
      </c>
      <c r="F1304">
        <f>HYPERLINK("https://www.reddit.com/r/diabetes/comments/3kuy5w/is_this_a_realistic_bg_response/")</f>
        <v/>
      </c>
      <c r="G1304" t="inlineStr">
        <is>
          <t>2015-09-13 19:24:40</t>
        </is>
      </c>
      <c r="H1304" t="inlineStr">
        <is>
          <t>Type 2</t>
        </is>
      </c>
    </row>
    <row r="1305">
      <c r="A1305" t="inlineStr">
        <is>
          <t>3kx0wg</t>
        </is>
      </c>
      <c r="B1305" t="inlineStr">
        <is>
          <t>Issue w/ my Dexcom already</t>
        </is>
      </c>
      <c r="C1305" t="inlineStr">
        <is>
          <t>So I put my Dexcom on my stomach at 8a today and did the dual BG readings at 1030 when I woke back up. My readings were 96 and 96 so I entered them, then Dexcom came up with 90. Ok, I get there is a little difference in the 2 but not even a half hour later it is giving me my 80 bgg warning and telling me my BG is at 74. I prick my finger and I'm still at 96 so I enter that again into my unit and then Dexcom tells me I'm at 86. Now I'm watching it on the graph and it is updating and going lower with each one. Wtf could the problem be?!</t>
        </is>
      </c>
      <c r="D1305" t="n">
        <v>6</v>
      </c>
      <c r="E1305" t="n">
        <v>16</v>
      </c>
      <c r="F1305">
        <f>HYPERLINK("https://www.reddit.com/r/diabetes/comments/3kx0wg/issue_w_my_dexcom_already/")</f>
        <v/>
      </c>
      <c r="G1305" t="inlineStr">
        <is>
          <t>2015-09-14 08:03:14</t>
        </is>
      </c>
      <c r="H1305" t="inlineStr">
        <is>
          <t>Type 1</t>
        </is>
      </c>
    </row>
    <row r="1306">
      <c r="A1306" t="inlineStr">
        <is>
          <t>3kznat</t>
        </is>
      </c>
      <c r="B1306" t="inlineStr">
        <is>
          <t>DiaVacs: Is this for real?</t>
        </is>
      </c>
      <c r="C1306" t="inlineStr">
        <is>
          <t xml:space="preserve">Has anyone heard about the company DiaVacs and their breakthroughs in treating diabetes? If so, is this something we can expect to see on the market anytime soon? 
Sorry for the crappy formatting, Just wanted some quick words of wisdom! </t>
        </is>
      </c>
      <c r="D1306" t="n">
        <v>0</v>
      </c>
      <c r="E1306" t="n">
        <v>1</v>
      </c>
      <c r="F1306">
        <f>HYPERLINK("https://www.reddit.com/r/diabetes/comments/3kznat/diavacs_is_this_for_real/")</f>
        <v/>
      </c>
      <c r="G1306" t="inlineStr">
        <is>
          <t>2015-09-14 19:01:25</t>
        </is>
      </c>
      <c r="H1306" t="inlineStr">
        <is>
          <t>Type 1.5/LADA</t>
        </is>
      </c>
    </row>
    <row r="1307">
      <c r="A1307" t="inlineStr">
        <is>
          <t>3l021i</t>
        </is>
      </c>
      <c r="B1307" t="inlineStr">
        <is>
          <t>[Type 1] Trouble concentrating, procrastination, anxiety.</t>
        </is>
      </c>
      <c r="C1307" t="inlineStr">
        <is>
          <t>I started college recently and I feel like my memory is getting worse and worse, I am really bad at procrastinating (I know I should be doing the stuff but having more than 3 things at a time makes me feel overwhelmed even if I have a ton of time to do them). I want to go out and meet people but I get anxious and end up back in my dorm 99% of the time. 
Could any of this be related to my diabetes or blood sugars? I have been running around 150 - 200. Been diagnosed for about 1 year now.</t>
        </is>
      </c>
      <c r="D1307" t="n">
        <v>12</v>
      </c>
      <c r="E1307" t="n">
        <v>14</v>
      </c>
      <c r="F1307">
        <f>HYPERLINK("https://www.reddit.com/r/diabetes/comments/3l021i/type_1_trouble_concentrating_procrastination/")</f>
        <v/>
      </c>
      <c r="G1307" t="inlineStr">
        <is>
          <t>2015-09-14 21:03:44</t>
        </is>
      </c>
      <c r="H1307" t="inlineStr">
        <is>
          <t>Type 1</t>
        </is>
      </c>
    </row>
    <row r="1308">
      <c r="A1308" t="inlineStr">
        <is>
          <t>3l0bu5</t>
        </is>
      </c>
      <c r="B1308" t="inlineStr">
        <is>
          <t>Newly Diagnosed, not surprised. My story:</t>
        </is>
      </c>
      <c r="C1308" t="inlineStr">
        <is>
          <t xml:space="preserve">First a little back story.
In March of 2014 I found myself doubled over in severe abdominal pain.  2 attacks later, they finally figured out I was suffering pancreatitis.  Once they finally did a scan, it was labeled as "necrotizing".  Eventually they decided my gallbladder had created some sludge that blocked the common biliary duct, causing the whole thing to go south.  Spent 90% of the time from Mar 1 to Jul 30 in a hospital bed, stents, infection, etc.  
Because the pancreas was sick, they gave me a tester so I could monitor and instructions not to worry unless i saw results on my own at 300 or more as a regular.  I did finally learn what that weird sensation I'd experienced off and on through my life was (hyper) which seems to hit around 300.  
3 months after my last release, the final MRI showed that about 40-50% of my pancreas is scar tissue.  (If you squish the feather shape right in the center with your fist, you can get an idea of what that might look like...stents stay in for life).  They kept trying to tell me that the Pancreas would work just fine and create plenty of insulin... "you'll be back to normal in no time".  Had my gallbladder removed in March of this year to at least avoid that whole mess starting again, and just this month, about a year after my last night staying in the hospital, I requested they do the blood test. (because they didn't seem to see the need on their own volition).
Diagnosis:
So the tests came back about 2 weeks ago, A1C=9.2 Avg Est. Avg. Glucose=217
Nobody has said to me whether its type 1 or type 2, but I am assuming type 2.
This friday past, my doc prescribed the regular diet change/exercise (which I'd already been working on) and metformin, with instructions to have new labs drawn in 2 months.  Yesterday was the first day that I had tests run at less than 200 through each poke, and this on only a half dose.
There is so much information out there about what is safe, and what isn't.  Sadly a lot of it is conflicting.  I've learned so far that what works for one may not work for another and its all about experimenting (within reason of course).  
I'm fairly new as a reddit contributor and on a whim I looked for a diabetes sub.  I'm so glad I found one and I've already found some great tips from you. I hope to learn a lot more and hopefully share good progress along with some of what I learn on the way. </t>
        </is>
      </c>
      <c r="D1308" t="n">
        <v>3</v>
      </c>
      <c r="E1308" t="n">
        <v>16</v>
      </c>
      <c r="F1308">
        <f>HYPERLINK("https://www.reddit.com/r/diabetes/comments/3l0bu5/newly_diagnosed_not_surprised_my_story/")</f>
        <v/>
      </c>
      <c r="G1308" t="inlineStr">
        <is>
          <t>2015-09-14 22:40:47</t>
        </is>
      </c>
      <c r="H1308" t="inlineStr">
        <is>
          <t>Type 2</t>
        </is>
      </c>
    </row>
    <row r="1309">
      <c r="A1309" t="inlineStr">
        <is>
          <t>3l0x86</t>
        </is>
      </c>
      <c r="B1309" t="inlineStr">
        <is>
          <t>[Type 1] Am I still honeymooning?</t>
        </is>
      </c>
      <c r="C1309" t="inlineStr">
        <is>
          <t>Hello, 
I've was diagnosed over 2 years ago and was just wondering if I was still in the honeymoon period and how long they usually last.
My basal rate is practically zero and a take around 1 unit/15g of carbs, this ratio has not changed since my diagnosis. Thanks!</t>
        </is>
      </c>
      <c r="D1309" t="n">
        <v>5</v>
      </c>
      <c r="E1309" t="n">
        <v>1</v>
      </c>
      <c r="F1309">
        <f>HYPERLINK("https://www.reddit.com/r/diabetes/comments/3l0x86/type_1_am_i_still_honeymooning/")</f>
        <v/>
      </c>
      <c r="G1309" t="inlineStr">
        <is>
          <t>2015-09-15 03:11:18</t>
        </is>
      </c>
      <c r="H1309" t="inlineStr">
        <is>
          <t>Type 1</t>
        </is>
      </c>
    </row>
    <row r="1310">
      <c r="A1310" t="inlineStr">
        <is>
          <t>3l2ino</t>
        </is>
      </c>
      <c r="B1310" t="inlineStr">
        <is>
          <t>Blood sugar has a massive spike after breakfast, is this common?</t>
        </is>
      </c>
      <c r="C1310" t="inlineStr">
        <is>
          <t>For a very long time now I've been taking 1-3 extra units of insulin with my morning breakfast which consist of of roughly 32-40g of carbs.  Well I've gotten used to the fact that no matter how much extra insulin I take i still get awful spikes in the morning, but today about an hour and thirty minutes after my meal I could feel something was VERY off so  I tested and I was at 385.  I took my extra insulin and only had 40g of carbs and even if I had no insulin there is no way I could have hit 385.  Does anyone else have to deal with this or know of tricks to make my morning less painful?</t>
        </is>
      </c>
      <c r="D1310" t="n">
        <v>4</v>
      </c>
      <c r="E1310" t="n">
        <v>10</v>
      </c>
      <c r="F1310">
        <f>HYPERLINK("https://www.reddit.com/r/diabetes/comments/3l2ino/blood_sugar_has_a_massive_spike_after_breakfast/")</f>
        <v/>
      </c>
      <c r="G1310" t="inlineStr">
        <is>
          <t>2015-09-15 11:04:20</t>
        </is>
      </c>
      <c r="H1310" t="inlineStr">
        <is>
          <t>Type 1</t>
        </is>
      </c>
    </row>
    <row r="1311">
      <c r="A1311" t="inlineStr">
        <is>
          <t>3l2ipz</t>
        </is>
      </c>
      <c r="B1311" t="inlineStr">
        <is>
          <t>New Type 1 after DKA</t>
        </is>
      </c>
      <c r="C1311" t="inlineStr">
        <is>
          <t xml:space="preserve">Hello, all. Well, I had a surprise last weekend. I ended up in the hospital a couple of days with DKA and was extremely bad off with all of those symptoms of high blood glucose: dehydration, extreme fatigue, weight loss, reduced cognitive ability, and so on. While in the ER, the doctor explained my pancreas stopped making insulin and I have type 1 diabetes, forever.
So, my question, is there really no chance that the pancreas will produce insulin again? </t>
        </is>
      </c>
      <c r="D1311" t="n">
        <v>4</v>
      </c>
      <c r="E1311" t="n">
        <v>15</v>
      </c>
      <c r="F1311">
        <f>HYPERLINK("https://www.reddit.com/r/diabetes/comments/3l2ipz/new_type_1_after_dka/")</f>
        <v/>
      </c>
      <c r="G1311" t="inlineStr">
        <is>
          <t>2015-09-15 11:04:47</t>
        </is>
      </c>
      <c r="H1311" t="inlineStr">
        <is>
          <t>Type 1</t>
        </is>
      </c>
    </row>
    <row r="1312">
      <c r="A1312" t="inlineStr">
        <is>
          <t>3l2xot</t>
        </is>
      </c>
      <c r="B1312" t="inlineStr">
        <is>
          <t>Type 1 and Keto?</t>
        </is>
      </c>
      <c r="C1312" t="inlineStr">
        <is>
          <t>I eat fairly low carb already (50 or so carbs a day) but I am considering Keto as I have heard a lot of good things but I am a little skeptical of the fat content. Any Type 1s have experience with Keto? If so, how long and how has it been for you?</t>
        </is>
      </c>
      <c r="D1312" t="n">
        <v>4</v>
      </c>
      <c r="E1312" t="n">
        <v>7</v>
      </c>
      <c r="F1312">
        <f>HYPERLINK("https://www.reddit.com/r/diabetes/comments/3l2xot/type_1_and_keto/")</f>
        <v/>
      </c>
      <c r="G1312" t="inlineStr">
        <is>
          <t>2015-09-15 12:47:45</t>
        </is>
      </c>
      <c r="H1312" t="inlineStr">
        <is>
          <t>Type 1</t>
        </is>
      </c>
    </row>
    <row r="1313">
      <c r="A1313" t="inlineStr">
        <is>
          <t>3l6w4m</t>
        </is>
      </c>
      <c r="B1313" t="inlineStr">
        <is>
          <t>Dosing with Omni Pod</t>
        </is>
      </c>
      <c r="C1313" t="inlineStr">
        <is>
          <t xml:space="preserve">Question... I know if I were doing MDIs and I were to bolus for a meal then shortly eat something else that I'd have to be mindful of the insulin I took already as that is still active. Now I'm confused on how Omni Pod works.
YEsterday was my first day on it and also my Dexcom at the same time and I was ALL over the place. Had 3-4 lows under 70 when previously my lowest was 70 something and that happen once or twice since Feb when I was diagnosed. I bloused 11u for a pizza I am eating (I eat almost the entire frozen pizza) and then I went back to do a dummy meal to check something...
I did a dummy meal for 50g of carbs and it wanted me to bolus another 4u. I look at the break down and it doesn't take into account the 11u I already took previously. Is this why I could have been going so low yesterday so many times? Shouldn't it be taking into account the 11u of IOB? </t>
        </is>
      </c>
      <c r="D1313" t="n">
        <v>1</v>
      </c>
      <c r="E1313" t="n">
        <v>13</v>
      </c>
      <c r="F1313">
        <f>HYPERLINK("https://www.reddit.com/r/diabetes/comments/3l6w4m/dosing_with_omni_pod/")</f>
        <v/>
      </c>
      <c r="G1313" t="inlineStr">
        <is>
          <t>2015-09-16 09:50:24</t>
        </is>
      </c>
      <c r="H1313" t="inlineStr">
        <is>
          <t>Type 1</t>
        </is>
      </c>
    </row>
    <row r="1314">
      <c r="A1314" t="inlineStr">
        <is>
          <t>3l7qsi</t>
        </is>
      </c>
      <c r="B1314" t="inlineStr">
        <is>
          <t>Type 1 diabetes - Does injecting a higher amount of rapid acting insulin increase the 'immediate' (i.e 1-3 hour) impact, or increase the length of time it impacts for?</t>
        </is>
      </c>
      <c r="C1314" t="inlineStr">
        <is>
          <t>My partner has type 1 diabetes and we're trying to better manage his blood spikes after meals.
Today, he managed to achieve a peak spike of 11mmol/l (200 mg/dl) about 90 mins after eating, which is pretty good compared to historic levels.
However, this dropped to 4mmol/l (70 mg/dl) c.4 hours later.
If he had injected less, would his insulin have spiked more after eating (i.e. would it have been above 11 / 200), or would it have still followed the same trend, but not fallen to as low a level later in the day?
Any help / advice would be much appreciated!
Thank you.</t>
        </is>
      </c>
      <c r="D1314" t="n">
        <v>11</v>
      </c>
      <c r="E1314" t="n">
        <v>39</v>
      </c>
      <c r="F1314">
        <f>HYPERLINK("https://www.reddit.com/r/diabetes/comments/3l7qsi/type_1_diabetes_does_injecting_a_higher_amount_of/")</f>
        <v/>
      </c>
      <c r="G1314" t="inlineStr">
        <is>
          <t>2015-09-16 13:17:22</t>
        </is>
      </c>
      <c r="H1314" t="inlineStr">
        <is>
          <t>Type 1</t>
        </is>
      </c>
    </row>
    <row r="1315">
      <c r="A1315" t="inlineStr">
        <is>
          <t>3l934z</t>
        </is>
      </c>
      <c r="B1315" t="inlineStr">
        <is>
          <t>Weird BG readings</t>
        </is>
      </c>
      <c r="C1315" t="inlineStr">
        <is>
          <t>So I used to use a OneTouch before going on the Omni Pod and having to use that. I bolus'd and ate ice cream, counted properly, waited 20 mins before eating it but according to Dexcom I was 235 and still going up. I checked with the OneTouch just to see and it said I was 270. I checked with the Omni Pod PDM and it said I was 230 something then I checked one last time on all different fingers and I was at 166. How could there be such a varying degree of readings!?
EDIT** Just did another reading with 2 machines 2 fingers. OneTouchL 194 my Omni Pod PDM: 144.... is this normal between devices to have such varying degrees of readings? I know someone below mentioned it is normal for Dexcom to be 20% difference but what about just other standard BG readers?</t>
        </is>
      </c>
      <c r="D1315" t="n">
        <v>1</v>
      </c>
      <c r="E1315" t="n">
        <v>5</v>
      </c>
      <c r="F1315">
        <f>HYPERLINK("https://www.reddit.com/r/diabetes/comments/3l934z/weird_bg_readings/")</f>
        <v/>
      </c>
      <c r="G1315" t="inlineStr">
        <is>
          <t>2015-09-16 19:16:50</t>
        </is>
      </c>
      <c r="H1315" t="inlineStr">
        <is>
          <t>Type 1</t>
        </is>
      </c>
    </row>
    <row r="1316">
      <c r="A1316" t="inlineStr">
        <is>
          <t>3l9ee7</t>
        </is>
      </c>
      <c r="B1316" t="inlineStr">
        <is>
          <t>Pretty positive I doubled up my lantus. God dammit. What should I do?</t>
        </is>
      </c>
      <c r="C1316" t="inlineStr">
        <is>
          <t>Pretty sure I'm gonna be up all night and call in sick to work tomorrow.  
Fuck, this sucks.</t>
        </is>
      </c>
      <c r="D1316" t="n">
        <v>1</v>
      </c>
      <c r="E1316" t="n">
        <v>3</v>
      </c>
      <c r="F1316">
        <f>HYPERLINK("https://www.reddit.com/r/diabetes/comments/3l9ee7/pretty_positive_i_doubled_up_my_lantus_god_dammit/")</f>
        <v/>
      </c>
      <c r="G1316" t="inlineStr">
        <is>
          <t>2015-09-16 20:52:11</t>
        </is>
      </c>
      <c r="H1316" t="inlineStr">
        <is>
          <t>Type 1</t>
        </is>
      </c>
    </row>
    <row r="1317">
      <c r="A1317" t="inlineStr">
        <is>
          <t>3l9f7e</t>
        </is>
      </c>
      <c r="B1317" t="inlineStr">
        <is>
          <t>[Rant] Blood sugar.</t>
        </is>
      </c>
      <c r="C1317" t="inlineStr">
        <is>
          <t>So my blood sugar has been running a bit high recently. (150-200ish) but it hasn't been too horribly bad all in all. Probably averaging about 130-140 but tonight I ate just like every other night and waiting about 2 hours later than normal to check my blood sugar so if anything it should be low but it is fucking 346. I am really upset at this number and my mom and dad are in bed so I can't call them and rant right now so I figured here would be a good place to vent, thanks.</t>
        </is>
      </c>
      <c r="D1317" t="n">
        <v>2</v>
      </c>
      <c r="E1317" t="n">
        <v>6</v>
      </c>
      <c r="F1317">
        <f>HYPERLINK("https://www.reddit.com/r/diabetes/comments/3l9f7e/rant_blood_sugar/")</f>
        <v/>
      </c>
      <c r="G1317" t="inlineStr">
        <is>
          <t>2015-09-16 20:59:31</t>
        </is>
      </c>
      <c r="H1317" t="inlineStr">
        <is>
          <t>Type 1</t>
        </is>
      </c>
    </row>
    <row r="1318">
      <c r="A1318" t="inlineStr">
        <is>
          <t>3l9kbd</t>
        </is>
      </c>
      <c r="B1318" t="inlineStr">
        <is>
          <t>Any bodybuilders T1? Looking for some insight</t>
        </is>
      </c>
      <c r="C1318" t="inlineStr">
        <is>
          <t>I am 6'6, 200 right now. When diagnosed I was 160 (Feb this year) but haven't put on weight in awhile so I seem to hit my plateau. I'm interested in getting up to 250 lb+ which will require a ton of food. I use myFitnessPal to track everything and it recommends roughly 450g of carbs a day. Is this excessive? Any bodybuilders on here have any tips on working out and type 1? Looking to start Strong Lifts so it is a somewhat intense program.
From what I have read, working out can raise your BG during and lower it after so should I eat fast or slow digesting carbs before working out to go a little high? Vice versa for after slow or fast better?
MFP has me at 
Protein: 185
Carbs: 461
Fat: 138
I am assuming I should up the fat a little? I am new to this whole body building/working out plus being new to T1 still is driving me crazy. I'm on Dexcom and an Omni Pod pump. Thanks for all the help.</t>
        </is>
      </c>
      <c r="D1318" t="n">
        <v>1</v>
      </c>
      <c r="E1318" t="n">
        <v>6</v>
      </c>
      <c r="F1318">
        <f>HYPERLINK("https://www.reddit.com/r/diabetes/comments/3l9kbd/any_bodybuilders_t1_looking_for_some_insight/")</f>
        <v/>
      </c>
      <c r="G1318" t="inlineStr">
        <is>
          <t>2015-09-16 21:48:11</t>
        </is>
      </c>
      <c r="H1318" t="inlineStr">
        <is>
          <t>Type 1</t>
        </is>
      </c>
    </row>
    <row r="1319">
      <c r="A1319" t="inlineStr">
        <is>
          <t>3lac2r</t>
        </is>
      </c>
      <c r="B1319" t="inlineStr">
        <is>
          <t>Swollen feet and ankles on Lantus ?</t>
        </is>
      </c>
      <c r="C1319" t="inlineStr">
        <is>
          <t>T2 here.  Doc started me on invokamet in March, and then added Lantus in April. After getting the Lantus numbers to where they needed to be to get proper results, I kept losing too much weight so we stopped invokamet. 
On Lantus alone, blood sugar numbers were still good, but my feet and ankles have swollen to the point where I can barely wear 4E width shoes when I am normally D width.
Has anyone else experienced swelling while using Lantus ?
I have sent my doc a message asking how bad it would be to take no Lantus for 3 days to see if the swelling goes down.
Of course, I'll listen to my doc, but I'm just wondering if anyone here has an opinion they'd would share.
Thanks all.</t>
        </is>
      </c>
      <c r="D1319" t="n">
        <v>6</v>
      </c>
      <c r="E1319" t="n">
        <v>22</v>
      </c>
      <c r="F1319">
        <f>HYPERLINK("https://www.reddit.com/r/diabetes/comments/3lac2r/swollen_feet_and_ankles_on_lantus/")</f>
        <v/>
      </c>
      <c r="G1319" t="inlineStr">
        <is>
          <t>2015-09-17 03:33:37</t>
        </is>
      </c>
      <c r="H1319" t="inlineStr">
        <is>
          <t>Type 2</t>
        </is>
      </c>
    </row>
    <row r="1320">
      <c r="A1320" t="inlineStr">
        <is>
          <t>3lbse7</t>
        </is>
      </c>
      <c r="B1320" t="inlineStr">
        <is>
          <t>New T1 About to Return to Office After DKA. Any Tips?</t>
        </is>
      </c>
      <c r="C1320" t="inlineStr">
        <is>
          <t>Two weeks ago I ended up in the hospital with DKA with a blood glucose of 412 and a ton of ketones. That's when I found out I'm Type 1 diabetic and was introduced to carb counting and administering my own insulin shots. This week I've been working from home (I'm a software engineer). Next week, I plan to return to the office.
So, I have a lot of control at home regarding my diet, taking readings, giving myself shots and so on. The office will be another matter. Do you have any tips for a newbie T1 in the office? Is there any etiquette I need to worry about? Preparation for hypoglycemia? Dealing with those donuts?
Thanks!</t>
        </is>
      </c>
      <c r="D1320" t="n">
        <v>6</v>
      </c>
      <c r="E1320" t="n">
        <v>13</v>
      </c>
      <c r="F1320">
        <f>HYPERLINK("https://www.reddit.com/r/diabetes/comments/3lbse7/new_t1_about_to_return_to_office_after_dka_any/")</f>
        <v/>
      </c>
      <c r="G1320" t="inlineStr">
        <is>
          <t>2015-09-17 10:41:44</t>
        </is>
      </c>
      <c r="H1320" t="inlineStr">
        <is>
          <t>Type 1</t>
        </is>
      </c>
    </row>
    <row r="1321">
      <c r="A1321" t="inlineStr">
        <is>
          <t>3le4vn</t>
        </is>
      </c>
      <c r="B1321" t="inlineStr">
        <is>
          <t>New Dexcom user and I f'd up...</t>
        </is>
      </c>
      <c r="C1321" t="inlineStr">
        <is>
          <t xml:space="preserve">Just started this past Monday on the Dexcom. Other then the readings being a bit off from my actual finger prick ones everything has gone well. Today I was out drinking and watching the football game and completely forgot to do my BG check at 10:30pm for the 12 hr intervals. Is it safe to skip it and do it again at 10:30am in order to keep the intervals the same? If I do it now than I'll be doing it at midnight every night which is what I don't want to do... basically, is it safe to accidentally skip a reading? </t>
        </is>
      </c>
      <c r="D1321" t="n">
        <v>3</v>
      </c>
      <c r="E1321" t="n">
        <v>25</v>
      </c>
      <c r="F1321">
        <f>HYPERLINK("https://www.reddit.com/r/diabetes/comments/3le4vn/new_dexcom_user_and_i_fd_up/")</f>
        <v/>
      </c>
      <c r="G1321" t="inlineStr">
        <is>
          <t>2015-09-17 21:18:00</t>
        </is>
      </c>
      <c r="H1321" t="inlineStr">
        <is>
          <t>Type 1</t>
        </is>
      </c>
    </row>
    <row r="1322">
      <c r="A1322" t="inlineStr">
        <is>
          <t>3lfxhx</t>
        </is>
      </c>
      <c r="B1322" t="inlineStr">
        <is>
          <t>I used to be nearsighted (myopic), but now I'm a lot more farsighted (hyperopic). I'm going to see an opthamologist. Has anybody else encountered this?</t>
        </is>
      </c>
      <c r="C1322" t="inlineStr">
        <is>
          <t>I was diagnosed with type 1 diabetes last week, and have since brought my blood sugar down to slightly elevated levels. Last night, while I was working on my computer, I took off my glasses and noticed I could read things from far away. At first, I was really giddy (yay! no more glasses! there is a silver lining to diabetes!), but then I started to wonder if this is something serious that needs to be checked out. Should I make an emergency visit to the opthamologist?
In related commentary, I did find this paper: http://www.ncbi.nlm.nih.gov/pmc/articles/PMC504458/</t>
        </is>
      </c>
      <c r="D1322" t="n">
        <v>2</v>
      </c>
      <c r="E1322" t="n">
        <v>9</v>
      </c>
      <c r="F1322">
        <f>HYPERLINK("https://www.reddit.com/r/diabetes/comments/3lfxhx/i_used_to_be_nearsighted_myopic_but_now_im_a_lot/")</f>
        <v/>
      </c>
      <c r="G1322" t="inlineStr">
        <is>
          <t>2015-09-18 08:22:15</t>
        </is>
      </c>
      <c r="H1322" t="inlineStr">
        <is>
          <t>Type 1</t>
        </is>
      </c>
    </row>
    <row r="1323">
      <c r="A1323" t="inlineStr">
        <is>
          <t>3lgoy4</t>
        </is>
      </c>
      <c r="B1323" t="inlineStr">
        <is>
          <t>Am I a hypochondriac or in the early stages of diabetes? Labs included type 1</t>
        </is>
      </c>
      <c r="C1323" t="inlineStr">
        <is>
          <t>I know you all aren't doctors and can't diagnose and I do have an appointment to see an endo in one week. I am afraid that he's going to give me the brush off or worse label me as someone who wants to be sick. I guess I am just looking for some people to say 'yep you look like I did before my pancreas burned out'
Background: 29 year old female. I've varied throughout the years from 15 lbs overweight to normal weight. I have never been obese.
In 2013 I had a rash that wouldn't go away on my arm (for like 7 months). I began exercising 1-2 hours a day and eating really healthily and voila it disappeared. Then I got pregnant (second child) and I failed a one hour test and also a 75 g OGTT. I was diagnosed with GD. I controlled this with diet.
Unfortunately the GD did not go away after delivery. My fasting level eventually reached 99 on my meter (which typically reads pretty accurate) and I hit 167 after a meal of around 40 grams of carbohydrates.
I immediately went on a high fat, moderate protein, low carb (20 grams or less) diet. My sugars became great if not hypoglycemic (50's). If I eat any carbs more than 30 or so in one sitting I hit the 160's. For example I ate one wedge of watermelon and three pieces of sushi and an hour later was in the 160's.
My PCP encouraged me not to check my meter when I eat carbs and he believes that I am experiencing physiological insulin resistance from eating low carb. He's a great doctor and very supportive of me eating ketogenic but I decided getting a second opinion from an endo would be smart. I also ordered some lab tests here are my results:
All labs are fasting:
Glucose-55
Insulin- 2.5 ulU/mL (normal range 3.0-25.0)
HbA1C-4.8%
C peptide- .44ng/mL (normal range .81-3.85)
My 75 gram Ogtt (done 3/2015)
fasting:74
60 min:161
120 min: 160
180 min: 82
I am also considering drinking a 20 oz coke and getting a glucose draw 1 hour post at the lab just so I can demonstrate to the endo that I really do go high if I am not eating extremely low carb. Is that dumb?
So am I making a big deal out of essentially nothing?</t>
        </is>
      </c>
      <c r="D1323" t="n">
        <v>1</v>
      </c>
      <c r="E1323" t="n">
        <v>13</v>
      </c>
      <c r="F1323">
        <f>HYPERLINK("https://www.reddit.com/r/diabetes/comments/3lgoy4/am_i_a_hypochondriac_or_in_the_early_stages_of/")</f>
        <v/>
      </c>
      <c r="G1323" t="inlineStr">
        <is>
          <t>2015-09-18 11:26:08</t>
        </is>
      </c>
      <c r="H1323" t="inlineStr">
        <is>
          <t>Type 1</t>
        </is>
      </c>
    </row>
    <row r="1324">
      <c r="A1324" t="inlineStr">
        <is>
          <t>3lhga4</t>
        </is>
      </c>
      <c r="B1324" t="inlineStr">
        <is>
          <t>Just got a Dexcom CGM! Anything I need to know?</t>
        </is>
      </c>
      <c r="C1324" t="inlineStr">
        <is>
          <t>I'm doing the 2 hour start up right now and so of course I'm on Reddit! So help me allievate my boredom and tell me some cool things I probably wouldn't know from starting up.</t>
        </is>
      </c>
      <c r="D1324" t="n">
        <v>1</v>
      </c>
      <c r="E1324" t="n">
        <v>10</v>
      </c>
      <c r="F1324">
        <f>HYPERLINK("https://www.reddit.com/r/diabetes/comments/3lhga4/just_got_a_dexcom_cgm_anything_i_need_to_know/")</f>
        <v/>
      </c>
      <c r="G1324" t="inlineStr">
        <is>
          <t>2015-09-18 14:39:15</t>
        </is>
      </c>
      <c r="H1324" t="inlineStr">
        <is>
          <t>Type 1</t>
        </is>
      </c>
    </row>
    <row r="1325">
      <c r="A1325" t="inlineStr">
        <is>
          <t>3lia5n</t>
        </is>
      </c>
      <c r="B1325" t="inlineStr">
        <is>
          <t>Question about Omni Pod pod failures</t>
        </is>
      </c>
      <c r="C1325" t="inlineStr">
        <is>
          <t>Been on the pod since Tuesday so today was my change out day. I knew I still had roughly 20u left so I kept putting it off until I felt like I used as much up as I could. I bloused about 10u for Chinese doing 25% right away then the other 75% a half hour later thinking that it would be ok since the fat and grease and crap in the food might slow down the carbs hitting me. Randomly my pod started making that screeching beep sound I've heard about so I look and it says pod failure and disconnects me and tells me to put on a new pod. Now is the system smart enough to realize that it didn't give me the full dose and then it'll take it out of the new pod?
 Reason I ask is because almost 3 hours after eating my BS is still going up and it's at 266 now. I just did a correction for it so I will be checking again in a half hour or so to see if it's going down but I'm wondering if perhaps it didn't give me the full dose and crapped out during it and didn't take it from the new pod?</t>
        </is>
      </c>
      <c r="D1325" t="n">
        <v>1</v>
      </c>
      <c r="E1325" t="n">
        <v>3</v>
      </c>
      <c r="F1325">
        <f>HYPERLINK("https://www.reddit.com/r/diabetes/comments/3lia5n/question_about_omni_pod_pod_failures/")</f>
        <v/>
      </c>
      <c r="G1325" t="inlineStr">
        <is>
          <t>2015-09-18 18:42:17</t>
        </is>
      </c>
      <c r="H1325" t="inlineStr">
        <is>
          <t>Type 1</t>
        </is>
      </c>
    </row>
    <row r="1326">
      <c r="A1326" t="inlineStr">
        <is>
          <t>3ljbfq</t>
        </is>
      </c>
      <c r="B1326" t="inlineStr">
        <is>
          <t>Bed wetting and diabetes</t>
        </is>
      </c>
      <c r="C1326" t="inlineStr">
        <is>
          <t>Since being diagnosed as t2 I've had episodes where I do not wake up in the middle of the night and have accidents in bed. My doc tells me to avoid drinking anything 5 hours before going to sleep but it hasn't seemed to help.
It's not an every night type of deal but it's still worrying and disheartening to me and my girlfriend.
Has anyone else experienced this? if so any recommendations on how to stop the incidents?</t>
        </is>
      </c>
      <c r="D1326" t="n">
        <v>0</v>
      </c>
      <c r="E1326" t="n">
        <v>8</v>
      </c>
      <c r="F1326">
        <f>HYPERLINK("https://www.reddit.com/r/diabetes/comments/3ljbfq/bed_wetting_and_diabetes/")</f>
        <v/>
      </c>
      <c r="G1326" t="inlineStr">
        <is>
          <t>2015-09-19 01:25:58</t>
        </is>
      </c>
      <c r="H1326" t="inlineStr">
        <is>
          <t>Type 2</t>
        </is>
      </c>
    </row>
    <row r="1327">
      <c r="A1327" t="inlineStr">
        <is>
          <t>3lp5h7</t>
        </is>
      </c>
      <c r="B1327" t="inlineStr">
        <is>
          <t>OmniPod users in hot climates, how do you keep sweat/humidity from putting your life in mortal peril?</t>
        </is>
      </c>
      <c r="C1327" t="inlineStr">
        <is>
          <t>Today my OmniPod popped off after breakfast as I walked around downtown, presumably because I was sweating balls and it couldn't cling to my skin anymore. It survived my shower, but popped off just as I'd gotten home after breakfast. When I put a new one on, that one popped right off since I somehow had managed to sweat enough to make the adhesive stop working in the time between air-drying my infusion site and applying my pod. The third pod I put on today has stayed on thus far, mostly because I broke the rules and started drying the infusion site off with a paper towel so that I couldn't sweat enough for the pod to fall off again.
Does anyone have any tricks for dealing with this? I used to stick band-aids or athletic tape over my pod, but I ran out, and am hoping that I can find a remedy that doesn't involve buying anything extra, as I'm already short on cash for other diabetes-related reasons.</t>
        </is>
      </c>
      <c r="D1327" t="n">
        <v>2</v>
      </c>
      <c r="E1327" t="n">
        <v>3</v>
      </c>
      <c r="F1327">
        <f>HYPERLINK("https://www.reddit.com/r/diabetes/comments/3lp5h7/omnipod_users_in_hot_climates_how_do_you_keep/")</f>
        <v/>
      </c>
      <c r="G1327" t="inlineStr">
        <is>
          <t>2015-09-20 10:49:39</t>
        </is>
      </c>
      <c r="H1327" t="inlineStr">
        <is>
          <t>Type 1</t>
        </is>
      </c>
    </row>
    <row r="1328">
      <c r="A1328" t="inlineStr">
        <is>
          <t>3lq3tr</t>
        </is>
      </c>
      <c r="B1328" t="inlineStr">
        <is>
          <t>What can be done after a binge that might even if only a bit mitigate things?</t>
        </is>
      </c>
      <c r="C1328" t="inlineStr">
        <is>
          <t>Today I went too long without eating then ate too much more than a single taco portion. 
Then the other day prompted by https://www.google.com/search?q=colbert+oreos I reflected that I hadn't eaten chocolate in a long time. Over a day and a half I ate an entire 1 lb 4 oz box of a store brand version of oreos the whole foods market 365 everyday value chocolate sandwich cremes delicious cane sugar frosting sandwiched between two crunchy chocolate cookies, ingredients: unbleached enriched wheat flour, niacin, reduced iron, thiamine mononitrate, riboflavin, folic acid, cane sugar expeller pressed canola oil, cocoa powder, wheat starch, invert sugar syrup, natural flavors, salt, leavening sodium bicarbonate, soy lecithin emulsifier. 
Now I'm drinking lots of water.
What can be done after a binge that might even if only a bit mitigate things?</t>
        </is>
      </c>
      <c r="D1328" t="n">
        <v>1</v>
      </c>
      <c r="E1328" t="n">
        <v>4</v>
      </c>
      <c r="F1328">
        <f>HYPERLINK("https://www.reddit.com/r/diabetes/comments/3lq3tr/what_can_be_done_after_a_binge_that_might_even_if/")</f>
        <v/>
      </c>
      <c r="G1328" t="inlineStr">
        <is>
          <t>2015-09-20 14:40:12</t>
        </is>
      </c>
      <c r="H1328" t="inlineStr">
        <is>
          <t>Type 2</t>
        </is>
      </c>
    </row>
    <row r="1329">
      <c r="A1329" t="inlineStr">
        <is>
          <t>3ltb53</t>
        </is>
      </c>
      <c r="B1329" t="inlineStr">
        <is>
          <t>If anyone is in NYC for the JDRF Walk next week (September 27, 2015), we'd love for you to join our team Harmony's Heroes</t>
        </is>
      </c>
      <c r="C1329" t="inlineStr">
        <is>
          <t>Here is our page.  We'd love to welcome new supporters of a cure for Type 1.
Harmony's Heroes sign up -&amp;gt;&amp;gt;
http://www2.jdrf.org/site/TR?fr_id=5389&amp;amp;pg=team&amp;amp;team_id=187363</t>
        </is>
      </c>
      <c r="D1329" t="n">
        <v>4</v>
      </c>
      <c r="E1329" t="n">
        <v>0</v>
      </c>
      <c r="F1329">
        <f>HYPERLINK("https://www.reddit.com/r/diabetes/comments/3ltb53/if_anyone_is_in_nyc_for_the_jdrf_walk_next_week/")</f>
        <v/>
      </c>
      <c r="G1329" t="inlineStr">
        <is>
          <t>2015-09-21 08:17:39</t>
        </is>
      </c>
      <c r="H1329" t="inlineStr">
        <is>
          <t>Type 1</t>
        </is>
      </c>
    </row>
    <row r="1330">
      <c r="A1330" t="inlineStr">
        <is>
          <t>3lvq4m</t>
        </is>
      </c>
      <c r="B1330" t="inlineStr">
        <is>
          <t>What do you eat for breakfast, lunch,dinner?</t>
        </is>
      </c>
      <c r="C1330" t="inlineStr">
        <is>
          <t>Thanks, everyone! Trying to limit carbs and you've given me some great ideas</t>
        </is>
      </c>
      <c r="D1330" t="n">
        <v>3</v>
      </c>
      <c r="E1330" t="n">
        <v>12</v>
      </c>
      <c r="F1330">
        <f>HYPERLINK("https://www.reddit.com/r/diabetes/comments/3lvq4m/what_do_you_eat_for_breakfast_lunchdinner/")</f>
        <v/>
      </c>
      <c r="G1330" t="inlineStr">
        <is>
          <t>2015-09-21 18:20:38</t>
        </is>
      </c>
      <c r="H1330" t="inlineStr">
        <is>
          <t>Type 2</t>
        </is>
      </c>
    </row>
    <row r="1331">
      <c r="A1331" t="inlineStr">
        <is>
          <t>3ly8lb</t>
        </is>
      </c>
      <c r="B1331" t="inlineStr">
        <is>
          <t>Dexcom and medicine?</t>
        </is>
      </c>
      <c r="C1331" t="inlineStr">
        <is>
          <t xml:space="preserve">I saw on here someone mentioning that you shouldn't use Tylenol if you're using a Dexcom. Is this accurate? If so, what can you use? </t>
        </is>
      </c>
      <c r="D1331" t="n">
        <v>4</v>
      </c>
      <c r="E1331" t="n">
        <v>10</v>
      </c>
      <c r="F1331">
        <f>HYPERLINK("https://www.reddit.com/r/diabetes/comments/3ly8lb/dexcom_and_medicine/")</f>
        <v/>
      </c>
      <c r="G1331" t="inlineStr">
        <is>
          <t>2015-09-22 09:10:04</t>
        </is>
      </c>
      <c r="H1331" t="inlineStr">
        <is>
          <t>Type 1</t>
        </is>
      </c>
    </row>
    <row r="1332">
      <c r="A1332" t="inlineStr">
        <is>
          <t>3lzkw0</t>
        </is>
      </c>
      <c r="B1332" t="inlineStr">
        <is>
          <t>I month with type 2. Am I doing this diet right?</t>
        </is>
      </c>
      <c r="C1332" t="inlineStr">
        <is>
          <t>Well my doctor hasn't given me much info. I see her next month. I also had a bunch of nutritional deficiencies and am taking a lot of pills for that so hopefully next month it'll be more clear what kind of diabetes I have.
I have only been taking metformin. 
I don't check my blood sugar levels and honestly have never passed out or anything like that.
I've always been skinny, and I have gastroparesis (paralyzed stomache) so I don't get hungry. Sometimes I just completely forget to eat and I'm tired and lethargic. So I would get like two dollar cheeseburgers from McDonalds. Drink a bunch of different fruit juices, I drank kefir and added some almond milk in my coffee and tried to count up the 25% daily dose and so on for calcium. That's kinda it... I would eat pasta from the deli. Or sushi. 
My doctor told me I wasn't eating enough and also I was drinking myself to death with tons of beer...
BUT NOW
Today I ate:
Spinach right out of the bag, like potato chips. Some chicken deli slices. About 1/3 of a pound and that's all my meat for today.
Ate a shit ton of broccoli with oil and butter 
Had a reduced sodium cheese sandwich with two pieces of potato bread. Also with butter and some olive oil because I feel I'm not getting enough fat (or calcium) when my diet is 50% vegetables now. 
Also a glass of unsweetened almond coconut milk. I try to eat a banana a day
Since my diagnosis I haven't eaten any pasta, drank any fruit juice, eaten any fruit (outside of putting lime on my salads and in water), have not eaten a potato or any potato products. Or drank anything except those flavored waters and black coffee. With almond milk in it sometimes. Also nothing fried. No fast food.
I'm afraid I'm cutting back too much. I've really only been eating green beans, or asparagus, or spinach (planning on eating more of a variety of veggies) with a side of almond milk (one glass of it a day) and feel really fatigued. I'm eating more. But just mostly vegetables. And a serving of chicken or fish once a day. I feel like I'm starving and is it ok to eat more meat and cheese? I miss kefir and it should be ok...
My body just wants to eat the fried skin on KFC chicken.
I broke down ONCE and bought a dollar cheeseburger. It was so fatty and good and I felt way better and more energetic.    
What are some fattening things I can eat with diabetes since I'm a frail waif with malnutrition and diabetes right now?
I wasn't sure if my fucked up blood levels and me dying just made it SEEM like I had diabetes, but I drank a big glass of straight up coca cola and felt so horrible.
EDIT: 28. Female. BMI of like 23</t>
        </is>
      </c>
      <c r="D1332" t="n">
        <v>0</v>
      </c>
      <c r="E1332" t="n">
        <v>14</v>
      </c>
      <c r="F1332">
        <f>HYPERLINK("https://www.reddit.com/r/diabetes/comments/3lzkw0/i_month_with_type_2_am_i_doing_this_diet_right/")</f>
        <v/>
      </c>
      <c r="G1332" t="inlineStr">
        <is>
          <t>2015-09-22 14:35:41</t>
        </is>
      </c>
      <c r="H1332" t="inlineStr">
        <is>
          <t>Type 2</t>
        </is>
      </c>
    </row>
    <row r="1333">
      <c r="A1333" t="inlineStr">
        <is>
          <t>3m2sfb</t>
        </is>
      </c>
      <c r="B1333" t="inlineStr">
        <is>
          <t>T2 Jun2015-Sep2015 bloodwork (I'm pretty happy)</t>
        </is>
      </c>
      <c r="C1333" t="inlineStr">
        <is>
          <t>Initial diagnosis Jun 1 
Results
LIPID PANEL 1 Jun 2015 
- Cholesterol, Total: 205 Reference Range: 100-199 Flag: H
- Triglycerides: 1085 Reference Range: 0-149     Flag : HH
- HDL Cholesterol: 20 Reference Range: &amp;gt;39 Flag: L
- VLDL Cholesterol Cal: Unable Reference Range: 5-40
- LDL Cholesterol Calc: Unable Reference Range: 0-99.
HEMOGLOBIN A1c 1 Jun 2015
- HEMOGLOBIN A1c: 11.6 Reference Range: 4.8-5.6 Flag: H.
Meds
 Metformin 750 30 days.
 Janumet 1000   60 days.
 Astorvastin 20mg first 30 days.
  (I've gone to 10mg every other day after researching statins, I think I'm going to stop them altogether but would like opinions.)
Diet - lower carb first 30 days 30 carbs a meal per DR.  I noticed a significant drop in glucose readings, however the process was slow and up and down and not moving as quick as I wanted.  I began researching here on Reddit, and found this sub, and eventually r/keto.  
I also watched and read all information from a Dr. Fung.  His approach includes adding (intermittent fasting) IF to your management process.   I'm NOT advocating everyone try this without researching it fully, but I will say I feel it has an extremely beneficial impact to those battling T2 glucose issues.
The first week of july I began ketogenic diet, limiting carbs to 20 net a day.  My Carb macros are a limit.  My protein macros are a goal.   And my Fat macros are to satiety only, no more.  
The second week of July, I began IF.  On Monday, I eat my normal breakfast, and nothing else until tue morning.   I repeat this on Thursday.  I am a big guy, I was worried to death I would be starving, but surprisingly I had little to no issues with hunger.
Exercise - I added 3-4 days a week of light cardio, 2 days of light weight work,  and daily walking.
Body results
6'00 Male
  Jun 1                 Sep 22   loss
wt  266                 233           33lb
chest  50.5in        46.0in   4.5in
Waist  43.5in       39.0in    4.5in
New bloodwork
Results
LIPID PANEL 21 Sep 2015 09:21 AM
- Cholesterol, Total: 94 Reference Range: 100-199 Flag: L
- Triglycerides: 146 Reference Range: 0-149
- HDL Cholesterol: 28 Reference Range: &amp;gt;39 Flag: L
- VLDL Cholesterol Cal: 29 Reference Range: 5-40
- LDL Cholesterol Calc: 37 Reference Range: 0-99.
HEMOGLOBIN A1c 21 Sep 2015 09:21 AM
- HEMOGLOBIN A1c: 5.7 Reference Range: 4.8-5.6 Flag: H.
 I eat Bacon EVERY SINGLE DAY.
I still have progress ahead of me, weight to lose, and a diet to refine, but I feel pretty happy with my results, and plan on discussing medication reduction with my DR in two days.  
(edited due to formatting only)</t>
        </is>
      </c>
      <c r="D1333" t="n">
        <v>12</v>
      </c>
      <c r="E1333" t="n">
        <v>6</v>
      </c>
      <c r="F1333">
        <f>HYPERLINK("https://www.reddit.com/r/diabetes/comments/3m2sfb/t2_jun2015sep2015_bloodwork_im_pretty_happy/")</f>
        <v/>
      </c>
      <c r="G1333" t="inlineStr">
        <is>
          <t>2015-09-23 08:35:45</t>
        </is>
      </c>
      <c r="H1333" t="inlineStr">
        <is>
          <t>Type 2</t>
        </is>
      </c>
    </row>
    <row r="1334">
      <c r="A1334" t="inlineStr">
        <is>
          <t>3m8pvo</t>
        </is>
      </c>
      <c r="B1334" t="inlineStr">
        <is>
          <t>Travelling through Europe, for the first time I'm feeling burnt out</t>
        </is>
      </c>
      <c r="C1334" t="inlineStr">
        <is>
          <t>I'm a 24 year old Australian (T1) who's travelling through Europe for a combination of work and tourism. Initially I was hit pretty hard by the the change in diet and more so eating habits. I found myself not having regular meals, having foods i usually don't eat and of course more pastries than any person should enjoy. That was ok though, I got used to it and put in more effort and have control back again. 
But now after about 3 weeks, the extra work I find myself having to put in, the extra highs and lows i'm end up having, combined with all the exercising i'm doing as I walk around these beautiful cities, I'm tired.  I feel like I should I really need to enjoy this opportunity but I'm somewhat burnt out and want to lie down for a few quiet days.
I've still got 2 more weeks travelling through germany before my flight back, I'm not sure I'm looking forward to it. Has anyone been in this situation before?</t>
        </is>
      </c>
      <c r="D1334" t="n">
        <v>6</v>
      </c>
      <c r="E1334" t="n">
        <v>3</v>
      </c>
      <c r="F1334">
        <f>HYPERLINK("https://www.reddit.com/r/diabetes/comments/3m8pvo/travelling_through_europe_for_the_first_time_im/")</f>
        <v/>
      </c>
      <c r="G1334" t="inlineStr">
        <is>
          <t>2015-09-24 13:05:22</t>
        </is>
      </c>
      <c r="H1334" t="inlineStr">
        <is>
          <t>Type 1</t>
        </is>
      </c>
    </row>
    <row r="1335">
      <c r="A1335" t="inlineStr">
        <is>
          <t>3m9jsm</t>
        </is>
      </c>
      <c r="B1335" t="inlineStr">
        <is>
          <t>Please interpret these OGTT/A1C test results for me</t>
        </is>
      </c>
      <c r="C1335" t="inlineStr">
        <is>
          <t>I took a 2 hour oral glucose tolerance test (75g) and A1C at the same time. These are the results:
* Fasting: 72
* 1 hour: 154
* 2 hour: 157
* A1C: 5.6
Is it possible for the 2 hour result to actually be higher than the 1 hour?
Based on this am I definitely prediabetic or what's your take on these results?</t>
        </is>
      </c>
      <c r="D1335" t="n">
        <v>3</v>
      </c>
      <c r="E1335" t="n">
        <v>6</v>
      </c>
      <c r="F1335">
        <f>HYPERLINK("https://www.reddit.com/r/diabetes/comments/3m9jsm/please_interpret_these_ogtta1c_test_results_for_me/")</f>
        <v/>
      </c>
      <c r="G1335" t="inlineStr">
        <is>
          <t>2015-09-24 16:35:41</t>
        </is>
      </c>
      <c r="H1335" t="inlineStr">
        <is>
          <t>Type 2</t>
        </is>
      </c>
    </row>
    <row r="1336">
      <c r="A1336" t="inlineStr">
        <is>
          <t>3mk6rl</t>
        </is>
      </c>
      <c r="B1336" t="inlineStr">
        <is>
          <t>Is netcarbs really a thing?</t>
        </is>
      </c>
      <c r="C1336" t="inlineStr">
        <is>
          <t>Have any of you had any succes with subtracting the dietary fibre from the total carbohydrates? 
I'm just wondering if it really works, it seems logical but I'm scared to try - I'd rather not get a high reading. 
I hope to hear from some of you! 
Exuse my english... Isn't the title supposed to be are? Haha, whoops</t>
        </is>
      </c>
      <c r="D1336" t="n">
        <v>2</v>
      </c>
      <c r="E1336" t="n">
        <v>10</v>
      </c>
      <c r="F1336">
        <f>HYPERLINK("https://www.reddit.com/r/diabetes/comments/3mk6rl/is_netcarbs_really_a_thing/")</f>
        <v/>
      </c>
      <c r="G1336" t="inlineStr">
        <is>
          <t>2015-09-27 02:01:35</t>
        </is>
      </c>
      <c r="H1336" t="inlineStr">
        <is>
          <t>Type 1</t>
        </is>
      </c>
    </row>
    <row r="1337">
      <c r="A1337" t="inlineStr">
        <is>
          <t>3mliuo</t>
        </is>
      </c>
      <c r="B1337" t="inlineStr">
        <is>
          <t>Cool ID tags for a 21 yo?</t>
        </is>
      </c>
      <c r="C1337" t="inlineStr">
        <is>
          <t>My daughter has several medical conditions, including T1, that should be noted on a disk, bracelet, something, but the ones we've seen look naff. Anyone seen anything a self respecting young lady would be happY to wear?</t>
        </is>
      </c>
      <c r="D1337" t="n">
        <v>3</v>
      </c>
      <c r="E1337" t="n">
        <v>16</v>
      </c>
      <c r="F1337">
        <f>HYPERLINK("https://www.reddit.com/r/diabetes/comments/3mliuo/cool_id_tags_for_a_21_yo/")</f>
        <v/>
      </c>
      <c r="G1337" t="inlineStr">
        <is>
          <t>2015-09-27 10:36:41</t>
        </is>
      </c>
      <c r="H1337" t="inlineStr">
        <is>
          <t>Type 1</t>
        </is>
      </c>
    </row>
    <row r="1338">
      <c r="A1338" t="inlineStr">
        <is>
          <t>3mq85k</t>
        </is>
      </c>
      <c r="B1338" t="inlineStr">
        <is>
          <t>Omnipod issues?</t>
        </is>
      </c>
      <c r="C1338" t="inlineStr">
        <is>
          <t>I have had the opportunity to try out the Omnipod with the newer, smaller pods.  Previously, I was using Medtronic Paradigm 522, which is a pump with tubes.  I've liked this pump and have had zero issues with it, but I did manage to crack the side of it accidentally and was looking to buy a new one since the warranty was up on this one.  The Omnipod seemed like a good choice: tubeless, waterproof, and pretty small.  I went ahead and tried it out, but I have had the worst experiences with it.
Each new pod would work OK for the first day or day and a half, then I wouldn't be able to get my blood glucose under control.  I found myself giving corrections every 2 hours and eventually got ketones with blood sugar near 500.  This has happened with several of the pods.  After removing them, I saw wetness on the adhesive near the insertion site, and my husband was able to smell insulin strongly near the pod before its removal.  Has anyone else been having this issue?  I tried using Skin Tac to help in case the adhesive was not holding the pump on well, but that didn't work.  I would like to note that the cannula has never come out of my body, and I haven't had any error messages from the pump.  
I am looking to return the Omnipod since I want a reliable pump more than the perks of being tubeless and waterproof.  This was such a letdown for me.  Anyone else have these issues?</t>
        </is>
      </c>
      <c r="D1338" t="n">
        <v>2</v>
      </c>
      <c r="E1338" t="n">
        <v>3</v>
      </c>
      <c r="F1338">
        <f>HYPERLINK("https://www.reddit.com/r/diabetes/comments/3mq85k/omnipod_issues/")</f>
        <v/>
      </c>
      <c r="G1338" t="inlineStr">
        <is>
          <t>2015-09-28 11:08:05</t>
        </is>
      </c>
      <c r="H1338" t="inlineStr">
        <is>
          <t>Type 1</t>
        </is>
      </c>
    </row>
    <row r="1339">
      <c r="A1339" t="inlineStr">
        <is>
          <t>3mq85p</t>
        </is>
      </c>
      <c r="B1339" t="inlineStr">
        <is>
          <t>What is your favorite carb reference for smart phone?</t>
        </is>
      </c>
      <c r="C1339" t="inlineStr">
        <is>
          <t>I tried Fitness Pal but found it too awkward for quick  referencing.</t>
        </is>
      </c>
      <c r="D1339" t="n">
        <v>5</v>
      </c>
      <c r="E1339" t="n">
        <v>14</v>
      </c>
      <c r="F1339">
        <f>HYPERLINK("https://www.reddit.com/r/diabetes/comments/3mq85p/what_is_your_favorite_carb_reference_for_smart/")</f>
        <v/>
      </c>
      <c r="G1339" t="inlineStr">
        <is>
          <t>2015-09-28 11:08:06</t>
        </is>
      </c>
      <c r="H1339" t="inlineStr">
        <is>
          <t>Type 1.5/LADA</t>
        </is>
      </c>
    </row>
    <row r="1340">
      <c r="A1340" t="inlineStr">
        <is>
          <t>3mt282</t>
        </is>
      </c>
      <c r="B1340" t="inlineStr">
        <is>
          <t>Doorhandles</t>
        </is>
      </c>
      <c r="C1340" t="inlineStr">
        <is>
          <t>When I inevitably become rich I'm gonna upgrade to an all automatic door house. 
...That infusion site was an hour old.</t>
        </is>
      </c>
      <c r="D1340" t="n">
        <v>64</v>
      </c>
      <c r="E1340" t="n">
        <v>46</v>
      </c>
      <c r="F1340">
        <f>HYPERLINK("https://www.reddit.com/r/diabetes/comments/3mt282/doorhandles/")</f>
        <v/>
      </c>
      <c r="G1340" t="inlineStr">
        <is>
          <t>2015-09-29 00:24:08</t>
        </is>
      </c>
      <c r="H1340" t="inlineStr">
        <is>
          <t>Type 1</t>
        </is>
      </c>
    </row>
    <row r="1341">
      <c r="A1341" t="inlineStr">
        <is>
          <t>3mtmwl</t>
        </is>
      </c>
      <c r="B1341" t="inlineStr">
        <is>
          <t>Advice needed! Sick with high sugars</t>
        </is>
      </c>
      <c r="C1341" t="inlineStr">
        <is>
          <t>The past week I've been sick with a cough and sore throat then the past 2-3 days I've had an ear infection?? which I'm taking ear drops for. 
The past 24 hours my levels have been running extremely high and all over the place!! They've been raised up at 15 - 18, now more stable around 8-10 although still higher than I want. I can't get it below 8 the past 48 hours and this is very unusual for me.
Currently my temp basal is at 200% the past 10 hours and I still have to keep giving correction doses every 2 hours!!! I have changed my site so I'm 99% sure it's not that but can never be sure.
Seriously how can being sick make me need this much insulin??? And when can I expect this to stop!</t>
        </is>
      </c>
      <c r="D1341" t="n">
        <v>9</v>
      </c>
      <c r="E1341" t="n">
        <v>12</v>
      </c>
      <c r="F1341">
        <f>HYPERLINK("https://www.reddit.com/r/diabetes/comments/3mtmwl/advice_needed_sick_with_high_sugars/")</f>
        <v/>
      </c>
      <c r="G1341" t="inlineStr">
        <is>
          <t>2015-09-29 04:49:51</t>
        </is>
      </c>
      <c r="H1341" t="inlineStr">
        <is>
          <t>Type 1</t>
        </is>
      </c>
    </row>
    <row r="1342">
      <c r="A1342" t="inlineStr">
        <is>
          <t>3mu52h</t>
        </is>
      </c>
      <c r="B1342" t="inlineStr">
        <is>
          <t>Does anybody else get really stressed out on doctor visit days?</t>
        </is>
      </c>
      <c r="C1342" t="inlineStr">
        <is>
          <t>I am having a hard time keeping my T1 under control. I have a CGM but I hate it because its always alarming and the adhesive makes me itch and gives me a rash. I had an emotional breakdown this morning over it.</t>
        </is>
      </c>
      <c r="D1342" t="n">
        <v>7</v>
      </c>
      <c r="E1342" t="n">
        <v>15</v>
      </c>
      <c r="F1342">
        <f>HYPERLINK("https://www.reddit.com/r/diabetes/comments/3mu52h/does_anybody_else_get_really_stressed_out_on/")</f>
        <v/>
      </c>
      <c r="G1342" t="inlineStr">
        <is>
          <t>2015-09-29 07:27:14</t>
        </is>
      </c>
      <c r="H1342" t="inlineStr">
        <is>
          <t>Type 1</t>
        </is>
      </c>
    </row>
    <row r="1343">
      <c r="A1343" t="inlineStr">
        <is>
          <t>3mww64</t>
        </is>
      </c>
      <c r="B1343" t="inlineStr">
        <is>
          <t>A question about blood sugar spikes.</t>
        </is>
      </c>
      <c r="C1343" t="inlineStr">
        <is>
          <t xml:space="preserve">Hello friends. (T1 diabetic here)
At 9pm (dinner), I ate a cup of lentils / a cup of rice / a t-bone steak / and a bowl of salad. For this meal I gave myself 4 units of novorapid. This is a regular meal for me which hasn't given me any problems previously. My dosage is low because I'm a new diabetic (I got diagnosed in March this year and I'm 23 years old). Two hours later I started feeling symptoms (anxiousness , strange pressure in my eyes , ears ringing). I went on to check my blood sugar and my reading came back as 24mmol / 432.4mg. This was a surprise to me because usually at this time I would expect my blood sugar to be at around 5mmol / 90mg. I then went on to give myself 3 units of insulin to bring my levels down. 15 minutes later my blood sugar decreased to around 5mmol / 90mg, which I thought was strange considering how quickly the insulin brought down my high sugar spike.
This ordeal has left me feeling confused, as I was questioning whether my blood sugar tester produced an inaccurate reading, and at how my blood sugar levels could fluctuate so unpredictably. 
Has any one else here had similar experiences? Could anyone offer some kind explanation for this occurrence. Any feedback is greatly appreciated.
</t>
        </is>
      </c>
      <c r="D1343" t="n">
        <v>10</v>
      </c>
      <c r="E1343" t="n">
        <v>7</v>
      </c>
      <c r="F1343">
        <f>HYPERLINK("https://www.reddit.com/r/diabetes/comments/3mww64/a_question_about_blood_sugar_spikes/")</f>
        <v/>
      </c>
      <c r="G1343" t="inlineStr">
        <is>
          <t>2015-09-29 19:02:35</t>
        </is>
      </c>
      <c r="H1343" t="inlineStr">
        <is>
          <t>Type 1</t>
        </is>
      </c>
    </row>
    <row r="1344">
      <c r="A1344" t="inlineStr">
        <is>
          <t>3mx7b8</t>
        </is>
      </c>
      <c r="B1344" t="inlineStr">
        <is>
          <t>Pump?</t>
        </is>
      </c>
      <c r="C1344" t="inlineStr">
        <is>
          <t>I am going to try to get a pump soon and would like to know what you guys think is best. The three the doctor told me to choose from are: Omnipod, Animus, and Medtronic. (I think that is right). What are your thoughts before I choose one? 
I like the Animus because I can have the CGM with it but I think the tubing would be annoying as hell so right now I am leaning towards the omnipod, actually have a demo omnipod on rn just to see how it feels for a few days.
Thanks!</t>
        </is>
      </c>
      <c r="D1344" t="n">
        <v>3</v>
      </c>
      <c r="E1344" t="n">
        <v>26</v>
      </c>
      <c r="F1344">
        <f>HYPERLINK("https://www.reddit.com/r/diabetes/comments/3mx7b8/pump/")</f>
        <v/>
      </c>
      <c r="G1344" t="inlineStr">
        <is>
          <t>2015-09-29 20:33:34</t>
        </is>
      </c>
      <c r="H1344" t="inlineStr">
        <is>
          <t>Type 1</t>
        </is>
      </c>
    </row>
    <row r="1345">
      <c r="A1345" t="inlineStr">
        <is>
          <t>3n0ff7</t>
        </is>
      </c>
      <c r="B1345" t="inlineStr">
        <is>
          <t>JDRF ONE Group - ATL</t>
        </is>
      </c>
      <c r="C1345" t="inlineStr">
        <is>
          <t xml:space="preserve">TL;DR - **The most important things to note on this message: everyone should support their local or national JDRF organization through fundraising or volunteering and help educate the population on T1D and T2D.** If you want to donate specifically through me, I will either add the info here (if the mods or community is cool with that) or PM with you (I don't want to "ruffle any feathers" or beg).
Hi Guys,
**Backstory**
In June 2015, I helped sponsor JDRF'S annual [Rock the Cure](http://www.jdrfrockthecure.org/) event in ATL. Unbeknownst to my wife, I did this in support of her 15 year "diabersary". She was diagnosed with Type 1 Diabetes 15 years ago at the age of 11. Because of her and her family's personal struggles with T1D, she's always had a desire to help children and their families understand and effectively manage T1D. With that passion and concern in mind, she pursued a career where she could utilize her personal experiences to educate others. For the last year, my wife has served as a Diabetes Educator for Children's Healthcare of Atlanta - the very same place she was diagnosed as a scared, 11-year old girl. We are dedicated to increasing awareness and finding a cure through our jobs, personal time and fundraising efforts - no matter the time or place - T1D is always a part of us.
**Reason for the post**
In addition to my other volunteer efforts with JDRF and my wife's work as diabetes educator, I was elected to join [JDRF'S ONE Group in ATL for 2015](http://georgia.jdrf.org/events/the_one_group/). Each member has committed to raise at least $2,500 for T1D research. My wife and I have personally committed to raise at least $5,000 by November 15. The ONE Group is a unique vision born out of a desire to increase awareness of cutting-edge research supported by JDRF among the local business community.  Top professionals are identified through application or by nomination from their peers or businesses.  A maximum of 30 professionals are chosen in a given year.
For those that don't know about JDRF: *[JDRF](http://www.jdrf.org) is the leading global organization funding type 1 diabetes (T1D) research. JDRF’s goal is to progressively remove the impact of T1D from people’s lives until we achieve a world without T1D. JDRF’s ultimate goal is universal prevention of and a cure for T1D, and turn Type One into Type None. JDRF has research projects in 17 countries throughout the globe totaling $568 million currently taking place. In 2013 alone, JDRF funded more than $106 million in T1D research. And since its founding in 1970, JDRF has awarded more than $1.8 billion to diabetes research. JDRF’s efforts have helped to significantly the care of people with this disease and have expanded the critical scientific understanding of T1D*. 
You can check them out on [Charity Navigator for efficiency and transparency](http://www.charitynavigator.org/index.cfm?bay=search.summary&amp;amp;orgid=3963#.Vgw_kukrKUk).
**Fun Stuff**
If you live in the ATL area or want to travel, the GA chapter of JDRF is hosting the ONE Party on November 15, 2015. Ticket purchases are partially tax deductible as the funds go towards research. Again, if you'd like to donate or purchase tickets through me just PM or I'll add if the mods and community are cool with that.
The Stave Room at American Spirit Works
199 Armour Drive
Atlanta, Georgia 30306
6:30-7:30PM: VIP Reception
7:30PM-10:30PM: General Admission
Cocktails, Dinner, DJ and Dancing
Cocktail Attire
Thanks for reading - help us turn Type 1 into Type none!
</t>
        </is>
      </c>
      <c r="D1345" t="n">
        <v>0</v>
      </c>
      <c r="E1345" t="n">
        <v>0</v>
      </c>
      <c r="F1345">
        <f>HYPERLINK("https://www.reddit.com/r/diabetes/comments/3n0ff7/jdrf_one_group_atl/")</f>
        <v/>
      </c>
      <c r="G1345" t="inlineStr">
        <is>
          <t>2015-09-30 13:17:43</t>
        </is>
      </c>
      <c r="H1345" t="inlineStr">
        <is>
          <t>Type 1</t>
        </is>
      </c>
    </row>
    <row r="1346">
      <c r="A1346" t="inlineStr">
        <is>
          <t>3n2ikq</t>
        </is>
      </c>
      <c r="B1346" t="inlineStr">
        <is>
          <t>Advice request: Too much of a good thing. Can insulin sensitivity go too high?</t>
        </is>
      </c>
      <c r="C1346" t="inlineStr">
        <is>
          <t>When I was diagnosed last year, I had an A1C of 10.6 and was put on 15 units of lantus a day and one unit of fast acting for every 5 or 10 carbs I think (I can't remember) I haven't lost very much weight since then, but my insulin requirement has been steadily lowering. I was having a hard time keeping my bg up on 5 units a day, so I just moved down to 4 and things seem to be a little more stable. As of my last check, 3 months ago, my A1C was 5. Here is my concern, What if my insulin sensitivity keeps going up? I only have 4 units left to adjust down. It isn't like I am going to stop being a T1 with a homicidal immune system. I am having to snack more than I would like to keep from going low. I know this would normally be good news, but I am a little concerned none the less. I have been trying to prolong my honeymoon phase by trying to keep my bg around 85 (imperial freedom Murcia units), and so far the results have been as described above.
Is this what the lower concentrations of insulin are for? the 70/30 and 50/50?
Do these cost less than the normal stuff?
Please advise? I didn't expect to be getting this much better and am not sure what to do about it. 
Seriously, not bragging, just trying to figure out the next step. Being a T-1 still scares the crap out of me every day.</t>
        </is>
      </c>
      <c r="D1346" t="n">
        <v>1</v>
      </c>
      <c r="E1346" t="n">
        <v>15</v>
      </c>
      <c r="F1346">
        <f>HYPERLINK("https://www.reddit.com/r/diabetes/comments/3n2ikq/advice_request_too_much_of_a_good_thing_can/")</f>
        <v/>
      </c>
      <c r="G1346" t="inlineStr">
        <is>
          <t>2015-09-30 22:48:21</t>
        </is>
      </c>
      <c r="H1346" t="inlineStr">
        <is>
          <t>Type 1</t>
        </is>
      </c>
    </row>
    <row r="1347">
      <c r="A1347" t="inlineStr">
        <is>
          <t>3n2jv8</t>
        </is>
      </c>
      <c r="B1347" t="inlineStr">
        <is>
          <t>Eye of the Storm?</t>
        </is>
      </c>
      <c r="C1347" t="inlineStr">
        <is>
          <t>A year ago, I had a bit of an issue. I got taken to the ER with a BG reading of over 400. (After a whole pizza and a lot of soda.)
After that, I quickly went to my normal doctor and my A1C came out to be 5.9. Not terrible, but it's still scary. She told me to diet and exercise and I should be good.
I have been good so far. I've lost 100lb, got a job that keeps me a little active (Gas station cashier,) and I eat way better than I did. However...
I think I'm starting to show symptoms again. I felt "off" for a good half hour after putting a little cherry icee in my coke zero at work, and I felt the same after eating a large amount of bread. I'm really thinking what I felt was high blood sugar again. That has me worried.
After losing that much weight, changing everything about my diet, and drinking (Probably more than I should) a lot of water, I should be better. Right?
What's even weirder is this: I'm eating a large portion of meat right now after only eating a bowl of cereal today. I felt that same "Off" that I felt with the bread.
Did I just lose to much weight to fast? Was there no fixing this and I just bought myself a few months? Could this be something else completely?</t>
        </is>
      </c>
      <c r="D1347" t="n">
        <v>1</v>
      </c>
      <c r="E1347" t="n">
        <v>20</v>
      </c>
      <c r="F1347">
        <f>HYPERLINK("https://www.reddit.com/r/diabetes/comments/3n2jv8/eye_of_the_storm/")</f>
        <v/>
      </c>
      <c r="G1347" t="inlineStr">
        <is>
          <t>2015-09-30 23:02:08</t>
        </is>
      </c>
      <c r="H1347" t="inlineStr">
        <is>
          <t>Type 2</t>
        </is>
      </c>
    </row>
    <row r="1348">
      <c r="A1348" t="inlineStr">
        <is>
          <t>3n4jy0</t>
        </is>
      </c>
      <c r="B1348" t="inlineStr">
        <is>
          <t>[Beginner] Testing BG for specific foods, how to interpret results?</t>
        </is>
      </c>
      <c r="C1348" t="inlineStr">
        <is>
          <t>I'm somewhat prediabetic. I just got my glucose meter and I plan to test individual foods to see what is "safe" to eat. Problem is I don't understand how to interpret the results after I test.
---
So far I've tested 2 foods:
**Enlightened Coffee Bar** (3g net carbs):
* before: 99
* 1hr: 96
* 2hr: 92
So, it looks like this food has no effect on my blood sugar. Good.
---
**Spicy Nacho Doritos** (1 serving, 15g net carbs)
* before: 93
* 1hr: 125
* 2hr: 104
1) I've read that I should aim to be under 100 after 2hr, but some say 140. Which one is it?
2) Does that mean that these Doritos are "unsafe" to eat? Am I damaging my body if my blood sugar stays over 100 over 2 hours?
3) Is 93 -&amp;gt; 125 considered a "spike"?
4) What in your opinion is safe? What number should I aim to be under after 2 hours to be safe? I guess I just don't understand what's good or bad while I'm testing.</t>
        </is>
      </c>
      <c r="D1348" t="n">
        <v>3</v>
      </c>
      <c r="E1348" t="n">
        <v>16</v>
      </c>
      <c r="F1348">
        <f>HYPERLINK("https://www.reddit.com/r/diabetes/comments/3n4jy0/beginner_testing_bg_for_specific_foods_how_to/")</f>
        <v/>
      </c>
      <c r="G1348" t="inlineStr">
        <is>
          <t>2015-10-01 10:31:59</t>
        </is>
      </c>
      <c r="H1348" t="inlineStr">
        <is>
          <t>Type 2</t>
        </is>
      </c>
    </row>
    <row r="1349">
      <c r="A1349" t="inlineStr">
        <is>
          <t>3n70yu</t>
        </is>
      </c>
      <c r="B1349" t="inlineStr">
        <is>
          <t>Does anybody here have an image of a pancreas from a type 1 diabetic?</t>
        </is>
      </c>
      <c r="C1349" t="inlineStr">
        <is>
          <t>Me and my SO who has been diagnosed for 7 years are trying to find an image of one, because she hasn't actually seen what one looks like. We can't seem to find any on google, just diagrams. Any help would be much appreciated</t>
        </is>
      </c>
      <c r="D1349" t="n">
        <v>3</v>
      </c>
      <c r="E1349" t="n">
        <v>12</v>
      </c>
      <c r="F1349">
        <f>HYPERLINK("https://www.reddit.com/r/diabetes/comments/3n70yu/does_anybody_here_have_an_image_of_a_pancreas/")</f>
        <v/>
      </c>
      <c r="G1349" t="inlineStr">
        <is>
          <t>2015-10-01 21:57:12</t>
        </is>
      </c>
      <c r="H1349" t="inlineStr">
        <is>
          <t>Type 1</t>
        </is>
      </c>
    </row>
    <row r="1350">
      <c r="A1350" t="inlineStr">
        <is>
          <t>3n811c</t>
        </is>
      </c>
      <c r="B1350" t="inlineStr">
        <is>
          <t>Long-time Metformin users: do you still have side effects periodically</t>
        </is>
      </c>
      <c r="C1350" t="inlineStr">
        <is>
          <t xml:space="preserve">I am a 10+ year Metformin user (1000 mg/2 x daily) and I wondering if its normal to have GI issues. Or if I possibly have IBS. The urgency, pain and diarrhea I experience especially after some meals has gotten worse and I always attributed it to the Met but maybe thats not the case. I have a dr appt coming up and will talk to him about it. Until then, do any other long time users still have GI side effects? Thanks.
</t>
        </is>
      </c>
      <c r="D1350" t="n">
        <v>10</v>
      </c>
      <c r="E1350" t="n">
        <v>16</v>
      </c>
      <c r="F1350">
        <f>HYPERLINK("https://www.reddit.com/r/diabetes/comments/3n811c/longtime_metformin_users_do_you_still_have_side/")</f>
        <v/>
      </c>
      <c r="G1350" t="inlineStr">
        <is>
          <t>2015-10-02 06:10:09</t>
        </is>
      </c>
      <c r="H1350" t="inlineStr">
        <is>
          <t>Type 2</t>
        </is>
      </c>
    </row>
    <row r="1351">
      <c r="A1351" t="inlineStr">
        <is>
          <t>3n90xn</t>
        </is>
      </c>
      <c r="B1351" t="inlineStr">
        <is>
          <t>Can i change the time i take my basal?</t>
        </is>
      </c>
      <c r="C1351" t="inlineStr">
        <is>
          <t xml:space="preserve">Ever since i was diagnosed 4 months ago i've been taking my lantus at 10pm. I'd prefer to do it at 8 because it'll interrupt less things so is it okay if i just take it earlier from now on? </t>
        </is>
      </c>
      <c r="D1351" t="n">
        <v>2</v>
      </c>
      <c r="E1351" t="n">
        <v>10</v>
      </c>
      <c r="F1351">
        <f>HYPERLINK("https://www.reddit.com/r/diabetes/comments/3n90xn/can_i_change_the_time_i_take_my_basal/")</f>
        <v/>
      </c>
      <c r="G1351" t="inlineStr">
        <is>
          <t>2015-10-02 10:40:16</t>
        </is>
      </c>
      <c r="H1351" t="inlineStr">
        <is>
          <t>Type 1</t>
        </is>
      </c>
    </row>
    <row r="1352">
      <c r="A1352" t="inlineStr">
        <is>
          <t>3ncj5t</t>
        </is>
      </c>
      <c r="B1352" t="inlineStr">
        <is>
          <t>Minimed Connect</t>
        </is>
      </c>
      <c r="C1352" t="inlineStr">
        <is>
          <t>I haven't seen any discussion on here about this. I've been trying one out for a few weeks. I at first wasn't sure what the point was, just another thing to carry around. It's actually really cool. I love that every time I look at my phone I see my sensor data and I don't have to pull out my pump. As a female, it'll make wearing dresses a little easier (more so if you could actually control the pump with the phone, but still). Just my 2 cents, if anyone was curious about it.</t>
        </is>
      </c>
      <c r="D1352" t="n">
        <v>2</v>
      </c>
      <c r="E1352" t="n">
        <v>6</v>
      </c>
      <c r="F1352">
        <f>HYPERLINK("https://www.reddit.com/r/diabetes/comments/3ncj5t/minimed_connect/")</f>
        <v/>
      </c>
      <c r="G1352" t="inlineStr">
        <is>
          <t>2015-10-03 07:55:28</t>
        </is>
      </c>
      <c r="H1352" t="inlineStr">
        <is>
          <t>Type 1</t>
        </is>
      </c>
    </row>
    <row r="1353">
      <c r="A1353" t="inlineStr">
        <is>
          <t>3ncuuq</t>
        </is>
      </c>
      <c r="B1353" t="inlineStr">
        <is>
          <t>Any type 1 diabetics here that's going without basal insulin?</t>
        </is>
      </c>
      <c r="C1353" t="inlineStr">
        <is>
          <t xml:space="preserve">Hello.
Was wondering if some of you here isn't on basal, and what I:C ratio you have. I'm on a 1:13 ratio and fasting sugars are good. I know this greatly depends on individual biology but i'm curious!
:)
</t>
        </is>
      </c>
      <c r="D1353" t="n">
        <v>11</v>
      </c>
      <c r="E1353" t="n">
        <v>57</v>
      </c>
      <c r="F1353">
        <f>HYPERLINK("https://www.reddit.com/r/diabetes/comments/3ncuuq/any_type_1_diabetics_here_thats_going_without/")</f>
        <v/>
      </c>
      <c r="G1353" t="inlineStr">
        <is>
          <t>2015-10-03 09:32:58</t>
        </is>
      </c>
      <c r="H1353" t="inlineStr">
        <is>
          <t>Type 1</t>
        </is>
      </c>
    </row>
    <row r="1354">
      <c r="A1354" t="inlineStr">
        <is>
          <t>3nm0zz</t>
        </is>
      </c>
      <c r="B1354" t="inlineStr">
        <is>
          <t>[Beginner] Is it better to have a faster or slower glucose "spike"?</t>
        </is>
      </c>
      <c r="C1354" t="inlineStr">
        <is>
          <t>As I'm gathering data from different foods, I'm finding that some foods "spike" at the 1 hr and then fall back to &amp;lt;100 at 2 hours, while other foods are higher at the 2hr mark than the 1hr. Which is better?
---
A: over 2 hours:
95 &amp;gt; 140 &amp;gt; 95
B: over 3 hours:
95 &amp;gt; 120 &amp;gt; 140 &amp;gt; 95
---
Which is better? Intuitively it feels like example A should be better since you're spending less total time with higher blood sugar, but then I also read that it's better to eat slower acting carbs than ones that spike your blood sugar.</t>
        </is>
      </c>
      <c r="D1354" t="n">
        <v>2</v>
      </c>
      <c r="E1354" t="n">
        <v>17</v>
      </c>
      <c r="F1354">
        <f>HYPERLINK("https://www.reddit.com/r/diabetes/comments/3nm0zz/beginner_is_it_better_to_have_a_faster_or_slower/")</f>
        <v/>
      </c>
      <c r="G1354" t="inlineStr">
        <is>
          <t>2015-10-05 12:25:40</t>
        </is>
      </c>
      <c r="H1354" t="inlineStr">
        <is>
          <t>Type 2</t>
        </is>
      </c>
    </row>
    <row r="1355">
      <c r="A1355" t="inlineStr">
        <is>
          <t>3nmbb6</t>
        </is>
      </c>
      <c r="B1355" t="inlineStr">
        <is>
          <t>Starting Novolog</t>
        </is>
      </c>
      <c r="C1355" t="inlineStr">
        <is>
          <t>I sent a message to my endo that I wanted to try a fast acting insulin for high carb meals.  He wrote back and said he would prescribe Novolog and to take 5 or 10 units before a meal.  Don’t take it if I’m under 100.  I think I need some better guidelines than this!  I see the dr in a couple of weeks, but can someone tell me what to expect with Novolog?  It looks like I need to figure out what my I:C ratio is, my correction factor, and all sorts of math.
I’m currently only on 25U Lantus at night.  
Let me know if you have found any good resources for getting this right, or what to expect (how long to take before a meal, how long it stays in your system, etc).  Just looking for some best practice advice.</t>
        </is>
      </c>
      <c r="D1355" t="n">
        <v>1</v>
      </c>
      <c r="E1355" t="n">
        <v>9</v>
      </c>
      <c r="F1355">
        <f>HYPERLINK("https://www.reddit.com/r/diabetes/comments/3nmbb6/starting_novolog/")</f>
        <v/>
      </c>
      <c r="G1355" t="inlineStr">
        <is>
          <t>2015-10-05 13:34:19</t>
        </is>
      </c>
      <c r="H1355" t="inlineStr">
        <is>
          <t>Type 1</t>
        </is>
      </c>
    </row>
    <row r="1356">
      <c r="A1356" t="inlineStr">
        <is>
          <t>3nosua</t>
        </is>
      </c>
      <c r="B1356" t="inlineStr">
        <is>
          <t>Got laid off. Only have health insurance till the end of the month.</t>
        </is>
      </c>
      <c r="C1356" t="inlineStr">
        <is>
          <t>I have a sales job and today i got let go due to performance. I kinda knew it was coming for the past three weeks and have been really stressin out about it.
I am very worried about not being covered and having to pay for supplys, I was wondering if anyone had any good resources i could reach out to as far as uninsured diabetic medications goes. Im terrified that im not going to be able to pay for insulin.</t>
        </is>
      </c>
      <c r="D1356" t="n">
        <v>5</v>
      </c>
      <c r="E1356" t="n">
        <v>13</v>
      </c>
      <c r="F1356">
        <f>HYPERLINK("https://www.reddit.com/r/diabetes/comments/3nosua/got_laid_off_only_have_health_insurance_till_the/")</f>
        <v/>
      </c>
      <c r="G1356" t="inlineStr">
        <is>
          <t>2015-10-06 02:58:01</t>
        </is>
      </c>
      <c r="H1356" t="inlineStr">
        <is>
          <t>Type 1</t>
        </is>
      </c>
    </row>
    <row r="1357">
      <c r="A1357" t="inlineStr">
        <is>
          <t>3nr937</t>
        </is>
      </c>
      <c r="B1357" t="inlineStr">
        <is>
          <t>Pen Needle Disposal</t>
        </is>
      </c>
      <c r="C1357" t="inlineStr">
        <is>
          <t>For those on MDI, have you found a good solution to store used pen needles on the go?  I'm thinking some sort of small sharps container that can store a couple of pen needles.  Maybe an empty test strip bottle would work.</t>
        </is>
      </c>
      <c r="D1357" t="n">
        <v>2</v>
      </c>
      <c r="E1357" t="n">
        <v>10</v>
      </c>
      <c r="F1357">
        <f>HYPERLINK("https://www.reddit.com/r/diabetes/comments/3nr937/pen_needle_disposal/")</f>
        <v/>
      </c>
      <c r="G1357" t="inlineStr">
        <is>
          <t>2015-10-06 14:04:12</t>
        </is>
      </c>
      <c r="H1357" t="inlineStr">
        <is>
          <t>Type 1</t>
        </is>
      </c>
    </row>
    <row r="1358">
      <c r="A1358" t="inlineStr">
        <is>
          <t>3nu7wn</t>
        </is>
      </c>
      <c r="B1358" t="inlineStr">
        <is>
          <t>Any type 1's on Victoza?</t>
        </is>
      </c>
      <c r="C1358" t="inlineStr">
        <is>
          <t>Toying with the idea of going onto Victoza. I have really bad insulin resistance and metformin and me don't mix well. Curious if anyone else has or is going to go on it.</t>
        </is>
      </c>
      <c r="D1358" t="n">
        <v>2</v>
      </c>
      <c r="E1358" t="n">
        <v>9</v>
      </c>
      <c r="F1358">
        <f>HYPERLINK("https://www.reddit.com/r/diabetes/comments/3nu7wn/any_type_1s_on_victoza/")</f>
        <v/>
      </c>
      <c r="G1358" t="inlineStr">
        <is>
          <t>2015-10-07 06:34:29</t>
        </is>
      </c>
      <c r="H1358" t="inlineStr">
        <is>
          <t>Type 1</t>
        </is>
      </c>
    </row>
    <row r="1359">
      <c r="A1359" t="inlineStr">
        <is>
          <t>3nw57c</t>
        </is>
      </c>
      <c r="B1359" t="inlineStr">
        <is>
          <t>Insurance Advice Needed!</t>
        </is>
      </c>
      <c r="C1359" t="inlineStr">
        <is>
          <t>T1 diabetic and pump user here. I am 25 y/o and currently under my parents' health insurance. I will need to pick insurance starting at the beginning of the new year and I have no idea what I'm doing. I don't know where to start. I'm worried that I won't be able to afford insurance, let alone all my supplies. Please help!</t>
        </is>
      </c>
      <c r="D1359" t="n">
        <v>2</v>
      </c>
      <c r="E1359" t="n">
        <v>7</v>
      </c>
      <c r="F1359">
        <f>HYPERLINK("https://www.reddit.com/r/diabetes/comments/3nw57c/insurance_advice_needed/")</f>
        <v/>
      </c>
      <c r="G1359" t="inlineStr">
        <is>
          <t>2015-10-07 14:37:26</t>
        </is>
      </c>
      <c r="H1359" t="inlineStr">
        <is>
          <t>Type 1</t>
        </is>
      </c>
    </row>
    <row r="1360">
      <c r="A1360" t="inlineStr">
        <is>
          <t>3nynuo</t>
        </is>
      </c>
      <c r="B1360" t="inlineStr">
        <is>
          <t>I'm just not sure what to do now. [Fasting highs, scary meds]</t>
        </is>
      </c>
      <c r="C1360" t="inlineStr">
        <is>
          <t>Alright, first a brief little backstory. I was diagnosed with T2 Diabetes back in March of 2013, at the ripe young age of 23. I really wasn't THAT surprised since I had heard for years and years "If you drink all those sodas you're gonna be diabetic one day!" I just, didn't expect it to be so soon, I guess. Yes, I am overweight. Morbidly overweight by definition I suppose as at the time I was nearly 400 pounds. I'm down to around 330 now, but after three years that... isn't much. So, after freaking out for a bit I did like my doctor said. Tried to get at least an hour of walking in each day (which was a mistake because I couldn't handle it at all and ended up only having roughly 30 minutes a day) and cutting out pasta and bread and potatoes (which were like, my most favorite things in the world.) 
Even got a glucose meter to test myself, and my sugars didn't seem TOO bad to me (I was averaging 150 without meds) but he went ahead and put me on Metformin 500MG, one in the morning, two in the evening. Well, a few months after he did blood tests, didn't like the results, and started making me take two in the morning and two in the evening. So now I've been taking 2000MG of Metformin a day since probably October of 2013. 
Ah, October. The time of year that lots of people love. Cooler weather (which I used as an excuse to not do my walks), all these lovely holidays with food (which I ate way more than I should have even if I wasn't diabetic), and promises to yourself that you'll totally get back into the grind the following year. Yeeeah, that didn't happen really. Admittedly Spring of 2014 I DID actually resume my daily walks (and actually increased them to around 45 minutes) but my diet was entirely off track and I apparently didn't care at all. 
Fast forward to this month, my doctor told me the metformin alone isn't cutting it and he wants me on Actos. This was the wakeup call I needed to get my butt in gear, because I started doing my research and I don't like the looks of Actos at all. I'm finally back on my low-to-no carbs diet, trying to find excuses to get as much activity into my day as possible (hey puppy, wanna go for ANOTHER walk!?), and I've returned to testing my blood sugar which... is the scary part.
It's only been three days, but every morning I wake up (after at least 8 hours of not eating) with a reading of 190 or more. This morning's was 202! I know this is way too high, but I honestly don't know what to do. I really don't want (nor can I afford) to take Actos as my doctor wants, due to it's link with bladder cancer (my family already has a history about a million other horrible things, don't want to add even MORE to my terrible genetics wheel of misfortune, you know?) 
But I just... don't know what my options are. Do I just continue my diet/exercise and hope it slowly drops it down (three days honestly isn't enough to see if it's going to do anything, I'm just... a bit impatient, I guess). Is there anything else I can do to try and lower it? I don't know. I'm just trying to not freak out and drive my stress up. (Stress also drives it up, right? I've been stressed out pretty lately because of a situation with my family, but...) I would just love to hear any suggestions, or support, or anything really. And thanks for reading my long winded freakout.</t>
        </is>
      </c>
      <c r="D1360" t="n">
        <v>2</v>
      </c>
      <c r="E1360" t="n">
        <v>16</v>
      </c>
      <c r="F1360">
        <f>HYPERLINK("https://www.reddit.com/r/diabetes/comments/3nynuo/im_just_not_sure_what_to_do_now_fasting_highs/")</f>
        <v/>
      </c>
      <c r="G1360" t="inlineStr">
        <is>
          <t>2015-10-08 05:05:39</t>
        </is>
      </c>
      <c r="H1360" t="inlineStr">
        <is>
          <t>Type 2</t>
        </is>
      </c>
    </row>
    <row r="1361">
      <c r="A1361" t="inlineStr">
        <is>
          <t>3nyuh1</t>
        </is>
      </c>
      <c r="B1361" t="inlineStr">
        <is>
          <t>Sudden change in insulin sensitivity</t>
        </is>
      </c>
      <c r="C1361" t="inlineStr">
        <is>
          <t>Hey all, I've been T1 for going on 11 years now and a fun new problem (well, maybe not a problem if I can figure out what's going on) has cropped up. 
I've been on a fairly steady basal/bolus system for a while - 10-12u Lantus at night, and a 1/10 carb correction ratio. However, in the last week, I've had to drop to 8u of Lantus nightly, and change my correction to 1/20, and I'm still getting pretty frequent, scary lows. Like, in the 40s, 2 to 3 times a day. Thankfully I have a CGM so I can respond quickly, but I'm losing sleep due to the alarms and losing work productivity due to the low hangovers. I'm also getting really tired of juice boxes but don't want to destroy my teeth with candy or glucose tablets.
Has anyone else experienced this? The only correlating factor I can think of is a five-day migraine that happened last week (and thankfully is over now). I haven't changed my activity levels, diet, or caffeine intake in any meaningful way. It's confusing and it's really messing with me. Appreciate any advice or input anyone can give.
Thanks!</t>
        </is>
      </c>
      <c r="D1361" t="n">
        <v>7</v>
      </c>
      <c r="E1361" t="n">
        <v>9</v>
      </c>
      <c r="F1361">
        <f>HYPERLINK("https://www.reddit.com/r/diabetes/comments/3nyuh1/sudden_change_in_insulin_sensitivity/")</f>
        <v/>
      </c>
      <c r="G1361" t="inlineStr">
        <is>
          <t>2015-10-08 06:05:44</t>
        </is>
      </c>
      <c r="H1361" t="inlineStr">
        <is>
          <t>Type 1</t>
        </is>
      </c>
    </row>
    <row r="1362">
      <c r="A1362" t="inlineStr">
        <is>
          <t>3o517o</t>
        </is>
      </c>
      <c r="B1362" t="inlineStr">
        <is>
          <t>[Beginner] Had pasta, are these bg meter results safe?</t>
        </is>
      </c>
      <c r="C1362" t="inlineStr">
        <is>
          <t>I have impaired glucose tolerance/prediabetes.
I had the "garlic cream fettuccine with chicken" at California Pizza Kitchen. 78 net carbs. First pasta I've had in at least 4 months. Here are the blood glucose meter results:
---
* **1hr before meal (fasting):** 78
* **1hr:** 112
* **2hr:** 119
* **3hr:** 122
* **4hr:** 123
* **5hr:** 124
* **6hr:** 94
---
It didn't go that high, but it stayed there for a few hours. Is this safe? Is it ok? Or is this harmful to me?</t>
        </is>
      </c>
      <c r="D1362" t="n">
        <v>2</v>
      </c>
      <c r="E1362" t="n">
        <v>13</v>
      </c>
      <c r="F1362">
        <f>HYPERLINK("https://www.reddit.com/r/diabetes/comments/3o517o/beginner_had_pasta_are_these_bg_meter_results_safe/")</f>
        <v/>
      </c>
      <c r="G1362" t="inlineStr">
        <is>
          <t>2015-10-09 12:53:02</t>
        </is>
      </c>
      <c r="H1362" t="inlineStr">
        <is>
          <t>Type 2</t>
        </is>
      </c>
    </row>
    <row r="1363">
      <c r="A1363" t="inlineStr">
        <is>
          <t>3o5201</t>
        </is>
      </c>
      <c r="B1363" t="inlineStr">
        <is>
          <t>[T2] Understanding insulin response deficiency and diabetes</t>
        </is>
      </c>
      <c r="C1363" t="inlineStr">
        <is>
          <t>I did an experiment today where I had ~25g carbs for lunch (measured fairly precisely).  I benchmarked my bg before hand at 77mg/dl.  I stuck myself first at 40m after, and then every 30m.
The results were:
92
108
105
I'm still waiting for the next result, but it seems to have captured a peak at around 110.  This seems to give me about +1.3mg/dl per carb.  Granted this was a thin crust pizza so fat was also involved.
Thoughts?  How bad did I damage my insulin response before getting my diabetes under control?  Is there a good way to develop a better understanding?
I was diagnosed four months ago with a fasting bg of 252, and an HbA1c of 10.9.  I weighed 220lbs then.  Today I weigh 170lbs, I've been eating &amp;lt;1400 calories a day, and doing 60-90m of cardio daily, lately most of this is running 5k every evening.</t>
        </is>
      </c>
      <c r="D1363" t="n">
        <v>5</v>
      </c>
      <c r="E1363" t="n">
        <v>10</v>
      </c>
      <c r="F1363">
        <f>HYPERLINK("https://www.reddit.com/r/diabetes/comments/3o5201/t2_understanding_insulin_response_deficiency_and/")</f>
        <v/>
      </c>
      <c r="G1363" t="inlineStr">
        <is>
          <t>2015-10-09 12:58:48</t>
        </is>
      </c>
      <c r="H1363" t="inlineStr">
        <is>
          <t>Type 2</t>
        </is>
      </c>
    </row>
    <row r="1364">
      <c r="A1364" t="inlineStr">
        <is>
          <t>3o6l8a</t>
        </is>
      </c>
      <c r="B1364" t="inlineStr">
        <is>
          <t>My doctor says I'm no longer diabetic (T2)</t>
        </is>
      </c>
      <c r="C1364" t="inlineStr">
        <is>
          <t xml:space="preserve">Now, I'm "insulin reststant." He said the change in diagnosis would be better in the future, but he didn't give any details about why. </t>
        </is>
      </c>
      <c r="D1364" t="n">
        <v>9</v>
      </c>
      <c r="E1364" t="n">
        <v>19</v>
      </c>
      <c r="F1364">
        <f>HYPERLINK("https://www.reddit.com/r/diabetes/comments/3o6l8a/my_doctor_says_im_no_longer_diabetic_t2/")</f>
        <v/>
      </c>
      <c r="G1364" t="inlineStr">
        <is>
          <t>2015-10-09 20:52:28</t>
        </is>
      </c>
      <c r="H1364" t="inlineStr">
        <is>
          <t>Type 2</t>
        </is>
      </c>
    </row>
    <row r="1365">
      <c r="A1365" t="inlineStr">
        <is>
          <t>3oaiu9</t>
        </is>
      </c>
      <c r="B1365" t="inlineStr">
        <is>
          <t>A1C% of 5.9% and an eating disorder intervention</t>
        </is>
      </c>
      <c r="C1365" t="inlineStr">
        <is>
          <t>Background info - 23 y/o female dx'd 1/28/14 with type 1 diabetes and hashimoto's thyroiditis. Taken in to the ICU with DKA and an A1C% of &amp;gt;11%. 
I've been seeing my endocrinologist in the same hospital network where I was treated for DKA a little over a year ago, as they held my hand through my diagnosis and have the best snapshot of my medical history. I'll be coming up on my two year diaversary in January and have had the following A1C%s since my diagnosis: &amp;gt;11%(dx'd), 5.7%, 5.9%, 6.3%, 6.0% and 5.9% (done 10/9). I see a functional nutritionist in conjunction with my endocrinologist, as I feel more empowered about my control of my autoimmune conditions through my diet. For instance, I feel better eating eggs, sausage and an avocado for breakfast with no bolus of insulin than I do eating a stack of pancakes with maple syrup and having a pen stuck in my side the whole meal. I would identify myself as being moderately active, as I walk approximately five miles daily (live in Chicago and use public transit, work, go to school etc). I graduated from a four-year college in 2014, worked full-time for a year, and have recently started a grad program that will last another two years. In short, I've been keeping very busy and do a lot of running around! For this reason, I really only find that I need to take a basal dose of insulin 1x daily (levemir, 10u). I BELIEVE I AM HONEYMOONING. My medical team does not! They are CONVINCED I have an eating disorder and am depriving myself to keep a low A1C%. They believe that in order to have an A1C% this low, I *must* be having hypoglycemic episodes upwards of three times a day. They are so firm in this belief that I reluctantly wore a CGM for a week just to shut them up. Know what my graph showed? Stable blood sugars that only dipped below 70 once or twice, the lowest reading at 54. Anyway, at my most recent appointment, my endocrinologist brought in two other physicians to pose what I seriously consider to be an intervention about my diet. I've told them I see a functional nutritionist and they essentially view this healthcare provider as a sorceress who has me doing a ton of hocus pocus to manage my blood sugars. The three doctors initiated the conversation by asking if I was still seeing this woman and asking about the influence her medical advice has had on my diet. They asked if I was purposely going low to maintain a low A1C%. They grimaced when I shared that I try to stay below 150g carbohydrates daily. They folded their arms when I said I've eaten as few as 50g carbohydrates in a day. THEY EVEN TRIED RETRACTING MY DIABETES DIAGNOSIS DESPITE THE FACT THAT MY C-PEPTIDE TEST FROM MY DIAGNOSIS WAS WITHIN THE RANGE OF A TYPE 1 DIABETIC AND I HAVE THE ANTIBODIES FOR THE DISEASE. They scratched their heads and called me an anomaly. When I asked if this could just be me honeymooning, they laughed at me. Mind you, if I eat maple syrup or bananas my blood sugar *easily* spikes above 200. However, I KNOW this is the case, so I avoid these foods and maintain a pretty consistent blood glucose range. I felt humiliated that they were insinuating that I had an eating disorder.
What's worse: I have had a chronic yeast infection for three months now and the urgent care or PP docs I've seen just keep throwing the same fluconazole at me without investigating any further. My period is late. I'm not sleeping. I'm SO STRESSED FROM MY GRAD PROGRAM. I shared all of this with my endocrinologist and she said I'm probably pregnant with HIV and also not diabetic so I took a pregnancy test, c-peptide test and HIV test just so I could get the hell out of her office. I sobbed in the hallway. I've had protected sex (condoms) with a monogamous partner. I'm getting my masters in public health! I love tests! and safety! and doctors! I also know I'm diabetic! I just walked away feeling gaslit and unsupported and I still have all these other problems that she didn't really even try to address. She set my next appointment out to January 2016. I asked if I shouldn't come in sooner and she shrugged and said she didn't know what else she could do for me. She also thinks I have ANOTHER autoimmune condition, so she just sent me a referral to a rheumatologist and told me to figure it out there. I guess I just want to vent, but I'm just feeling really discouraged. I'm doing everything in my power to have a positive outlook and manage this disease, so why is it that the people who are supposed to be supporting positive health outcomes in diabetes are the ones condemning me? Why did I walk away with a "non-diabetic, anorexic, HIV positive, pregnant, additional autoimmune disease" diagnosis for the day? I'm not crazy, am I?
tl;dr - I need a new endocrinologist.</t>
        </is>
      </c>
      <c r="D1365" t="n">
        <v>8</v>
      </c>
      <c r="E1365" t="n">
        <v>31</v>
      </c>
      <c r="F1365">
        <f>HYPERLINK("https://www.reddit.com/r/diabetes/comments/3oaiu9/a1c_of_59_and_an_eating_disorder_intervention/")</f>
        <v/>
      </c>
      <c r="G1365" t="inlineStr">
        <is>
          <t>2015-10-10 20:06:08</t>
        </is>
      </c>
      <c r="H1365" t="inlineStr">
        <is>
          <t>Type 1</t>
        </is>
      </c>
    </row>
    <row r="1366">
      <c r="A1366" t="inlineStr">
        <is>
          <t>3oehus</t>
        </is>
      </c>
      <c r="B1366" t="inlineStr">
        <is>
          <t>How many times have you gotten DKA?</t>
        </is>
      </c>
      <c r="C1366" t="inlineStr">
        <is>
          <t>I think I'm about to go into DKA again tonight, I've had it 3 times. My ketones are 0.8, should I go to hospital?</t>
        </is>
      </c>
      <c r="D1366" t="n">
        <v>7</v>
      </c>
      <c r="E1366" t="n">
        <v>19</v>
      </c>
      <c r="F1366">
        <f>HYPERLINK("https://www.reddit.com/r/diabetes/comments/3oehus/how_many_times_have_you_gotten_dka/")</f>
        <v/>
      </c>
      <c r="G1366" t="inlineStr">
        <is>
          <t>2015-10-11 19:08:52</t>
        </is>
      </c>
      <c r="H1366" t="inlineStr">
        <is>
          <t>Type 1</t>
        </is>
      </c>
    </row>
    <row r="1367">
      <c r="A1367" t="inlineStr">
        <is>
          <t>3oliny</t>
        </is>
      </c>
      <c r="B1367" t="inlineStr">
        <is>
          <t>I quit caffeine - blood sugar is now harder to control.</t>
        </is>
      </c>
      <c r="C1367" t="inlineStr">
        <is>
          <t>T1D here. I've been caffeine free for 7 days. My sleep and anxiety levels have improved a lot. However, I have some withdrawal symptoms (mainly lethargy, but I'm getting through it pretty well) and I've been needing a lot more insulin. My blood sugar is in the 200's at least once or twice a day and I don't know what to do. 
Any experiences related to caffeine withdrawal affecting blood sugar?</t>
        </is>
      </c>
      <c r="D1367" t="n">
        <v>15</v>
      </c>
      <c r="E1367" t="n">
        <v>22</v>
      </c>
      <c r="F1367">
        <f>HYPERLINK("https://www.reddit.com/r/diabetes/comments/3oliny/i_quit_caffeine_blood_sugar_is_now_harder_to/")</f>
        <v/>
      </c>
      <c r="G1367" t="inlineStr">
        <is>
          <t>2015-10-13 08:34:53</t>
        </is>
      </c>
      <c r="H1367" t="inlineStr">
        <is>
          <t>Type 1</t>
        </is>
      </c>
    </row>
    <row r="1368">
      <c r="A1368" t="inlineStr">
        <is>
          <t>3om0dx</t>
        </is>
      </c>
      <c r="B1368" t="inlineStr">
        <is>
          <t>Overnight basil rates / morning blood sugar results</t>
        </is>
      </c>
      <c r="C1368" t="inlineStr">
        <is>
          <t xml:space="preserve">T1, m58, on a pump. I find my morning blood sugars are too high (usually 8 to 12 in the non-American scale - 145 to 225  ). 
My last reading before bedtime is usually about 6.5 (115). Overnight my basil rate is 1.25 u per hour ( I'm 6' 200 pounds). 
I usually have dinner about 6:00 and am in bed by about 10:30, so my last reading of 6.5 sounds to me like my dinnertime bolus has covered my meal. 
So, why do I wake up at 7:00am with high blood sugar? 
Edit: US readings added
</t>
        </is>
      </c>
      <c r="D1368" t="n">
        <v>1</v>
      </c>
      <c r="E1368" t="n">
        <v>2</v>
      </c>
      <c r="F1368">
        <f>HYPERLINK("https://www.reddit.com/r/diabetes/comments/3om0dx/overnight_basil_rates_morning_blood_sugar_results/")</f>
        <v/>
      </c>
      <c r="G1368" t="inlineStr">
        <is>
          <t>2015-10-13 10:33:23</t>
        </is>
      </c>
      <c r="H1368" t="inlineStr">
        <is>
          <t>Type 1</t>
        </is>
      </c>
    </row>
    <row r="1369">
      <c r="A1369" t="inlineStr">
        <is>
          <t>3on5ht</t>
        </is>
      </c>
      <c r="B1369" t="inlineStr">
        <is>
          <t>Diabetes and skin infections</t>
        </is>
      </c>
      <c r="C1369" t="inlineStr">
        <is>
          <t>So I am a type 2 diabetic and I have a boil or akin infection that is recurring. Does diabetes cause skin infections?</t>
        </is>
      </c>
      <c r="D1369" t="n">
        <v>1</v>
      </c>
      <c r="E1369" t="n">
        <v>7</v>
      </c>
      <c r="F1369">
        <f>HYPERLINK("https://www.reddit.com/r/diabetes/comments/3on5ht/diabetes_and_skin_infections/")</f>
        <v/>
      </c>
      <c r="G1369" t="inlineStr">
        <is>
          <t>2015-10-13 14:59:10</t>
        </is>
      </c>
      <c r="H1369" t="inlineStr">
        <is>
          <t>Type 2</t>
        </is>
      </c>
    </row>
    <row r="1370">
      <c r="A1370" t="inlineStr">
        <is>
          <t>3on8b2</t>
        </is>
      </c>
      <c r="B1370" t="inlineStr">
        <is>
          <t>Small rant.</t>
        </is>
      </c>
      <c r="C1370" t="inlineStr">
        <is>
          <t xml:space="preserve">Short rant. I run high and raise with 11 as my lantus dose. I've tried 12 as my dose for 3 day and with that it drops through the day and night and I go low at 7am. Yay.  My i:c ratio is 1:8 as 1:7 is too high and 1:9 is too low. I hate this. I'm going to the endo in 3 weeks, and I plan to get a pump soon, but not soon enough... Thanks Puberty. You're the best. </t>
        </is>
      </c>
      <c r="D1370" t="n">
        <v>13</v>
      </c>
      <c r="E1370" t="n">
        <v>21</v>
      </c>
      <c r="F1370">
        <f>HYPERLINK("https://www.reddit.com/r/diabetes/comments/3on8b2/small_rant/")</f>
        <v/>
      </c>
      <c r="G1370" t="inlineStr">
        <is>
          <t>2015-10-13 15:18:19</t>
        </is>
      </c>
      <c r="H1370" t="inlineStr">
        <is>
          <t>Type 1</t>
        </is>
      </c>
    </row>
    <row r="1371">
      <c r="A1371" t="inlineStr">
        <is>
          <t>3oqmh8</t>
        </is>
      </c>
      <c r="B1371" t="inlineStr">
        <is>
          <t>Just got my very first insulin-pump. Do I need to "cap" my infusion site to shower? I can't find a cap in the loads of stuff I've brought home from the hospital. Also, a little overwhelmed...any tips/tricks?</t>
        </is>
      </c>
      <c r="C1371" t="inlineStr">
        <is>
          <t>Edit: Thanks everyone. Feeling better-informed about the capping issue. Any general tips or tricks still totally welcomed!</t>
        </is>
      </c>
      <c r="D1371" t="n">
        <v>14</v>
      </c>
      <c r="E1371" t="n">
        <v>40</v>
      </c>
      <c r="F1371">
        <f>HYPERLINK("https://www.reddit.com/r/diabetes/comments/3oqmh8/just_got_my_very_first_insulinpump_do_i_need_to/")</f>
        <v/>
      </c>
      <c r="G1371" t="inlineStr">
        <is>
          <t>2015-10-14 09:18:03</t>
        </is>
      </c>
      <c r="H1371" t="inlineStr">
        <is>
          <t>Type 1</t>
        </is>
      </c>
    </row>
    <row r="1372">
      <c r="A1372" t="inlineStr">
        <is>
          <t>3osmta</t>
        </is>
      </c>
      <c r="B1372" t="inlineStr">
        <is>
          <t>Calculating the delta to my bg for each carb consumed.</t>
        </is>
      </c>
      <c r="C1372" t="inlineStr">
        <is>
          <t>I've been conducting some tests on the delta of my bg in response to carbohydrates consumed.  What I've found in general is that for each gram of carb, my bg changes by about +1.28mg/dl when measured at the peak, compared to an initial baseline.
Does anyone know of any studies that have been done on this measurement, and good ways to compare this effect?</t>
        </is>
      </c>
      <c r="D1372" t="n">
        <v>2</v>
      </c>
      <c r="E1372" t="n">
        <v>3</v>
      </c>
      <c r="F1372">
        <f>HYPERLINK("https://www.reddit.com/r/diabetes/comments/3osmta/calculating_the_delta_to_my_bg_for_each_carb/")</f>
        <v/>
      </c>
      <c r="G1372" t="inlineStr">
        <is>
          <t>2015-10-14 17:34:09</t>
        </is>
      </c>
      <c r="H1372" t="inlineStr">
        <is>
          <t>Type 2</t>
        </is>
      </c>
    </row>
    <row r="1373">
      <c r="A1373" t="inlineStr">
        <is>
          <t>3otcqr</t>
        </is>
      </c>
      <c r="B1373" t="inlineStr">
        <is>
          <t>Took lantus 1 hour later, severe drop.</t>
        </is>
      </c>
      <c r="C1373" t="inlineStr">
        <is>
          <t>I took 14 units of lantus at 9pm like I do every night, then around 10:13 I was ready for bed so I test before laying down and it was 64(I don't feel lows).  This was a 200 point drop from where I was at when taking lantus.  I panicked drank a lot of OJ then tested every 3 minutes for about 15 minutes untill I noticed the numbers going up.  Has anyone else dealt with this before?  I read that I could have hit a vein, though this would be very odd because I inject lantus in the same two spots for over 5 years now, and never has this happened.  Does anyone know ways to prevent this from happening again?  What if I had just gone to bed... would I be dead right now?  I'm very shaken by this.</t>
        </is>
      </c>
      <c r="D1373" t="n">
        <v>2</v>
      </c>
      <c r="E1373" t="n">
        <v>7</v>
      </c>
      <c r="F1373">
        <f>HYPERLINK("https://www.reddit.com/r/diabetes/comments/3otcqr/took_lantus_1_hour_later_severe_drop/")</f>
        <v/>
      </c>
      <c r="G1373" t="inlineStr">
        <is>
          <t>2015-10-14 20:59:16</t>
        </is>
      </c>
      <c r="H1373" t="inlineStr">
        <is>
          <t>Type 1</t>
        </is>
      </c>
    </row>
    <row r="1374">
      <c r="A1374" t="inlineStr">
        <is>
          <t>3ous1o</t>
        </is>
      </c>
      <c r="B1374" t="inlineStr">
        <is>
          <t>Eggs spiking BG</t>
        </is>
      </c>
      <c r="C1374" t="inlineStr">
        <is>
          <t>I've looked around for an answer to this, but I can't find many T1 answers. If I eat eggs without any carbs in the morning, my BG goes way up even with insulin. If I eat a cup of fruit (1.5u of insulin) with the eggs, I'm usually fine, although I do have the occasional gradual rise an hour or two later. This is one of my complaints about really low-carb diets for T1. I'm wondering if any other T1s have experienced this. If so, I would appreciate any advice.</t>
        </is>
      </c>
      <c r="D1374" t="n">
        <v>1</v>
      </c>
      <c r="E1374" t="n">
        <v>23</v>
      </c>
      <c r="F1374">
        <f>HYPERLINK("https://www.reddit.com/r/diabetes/comments/3ous1o/eggs_spiking_bg/")</f>
        <v/>
      </c>
      <c r="G1374" t="inlineStr">
        <is>
          <t>2015-10-15 06:27:27</t>
        </is>
      </c>
      <c r="H1374" t="inlineStr">
        <is>
          <t>Type 1</t>
        </is>
      </c>
    </row>
    <row r="1375">
      <c r="A1375" t="inlineStr">
        <is>
          <t>3owzdo</t>
        </is>
      </c>
      <c r="B1375" t="inlineStr">
        <is>
          <t>Ever have basal requirements fall significantly? I'm not sure what's going on here...</t>
        </is>
      </c>
      <c r="C1375" t="inlineStr">
        <is>
          <t>So, for the last couple of days I've been having some moderately severe lows (down into the 40s and in one case even 30s). I'm currently running by basal at 55% of what it was before this started happening, and blood sugar is holding steady.
Anybody else ever have something like this happen? Any idea as to what could be going on? I've been T1 for 18 years, so I doubt it's anything like a "honeymoon".</t>
        </is>
      </c>
      <c r="D1375" t="n">
        <v>4</v>
      </c>
      <c r="E1375" t="n">
        <v>8</v>
      </c>
      <c r="F1375">
        <f>HYPERLINK("https://www.reddit.com/r/diabetes/comments/3owzdo/ever_have_basal_requirements_fall_significantly/")</f>
        <v/>
      </c>
      <c r="G1375" t="inlineStr">
        <is>
          <t>2015-10-15 15:26:56</t>
        </is>
      </c>
      <c r="H1375" t="inlineStr">
        <is>
          <t>Type 1</t>
        </is>
      </c>
    </row>
    <row r="1376">
      <c r="A1376" t="inlineStr">
        <is>
          <t>3oxyhm</t>
        </is>
      </c>
      <c r="B1376" t="inlineStr">
        <is>
          <t>Any advice for a T1 going on prednisone tomorrow?</t>
        </is>
      </c>
      <c r="C1376" t="inlineStr">
        <is>
          <t xml:space="preserve">My asthma has been out of control for a month. My albuterol isn't helping enough to stop the coughing. I've also been taking my advair and cingular but the air has not been friendly to me. So... My GP doc prescribed 40mg prednisone for 5 days.
Long story short, I've been T1 for a long time and managed to avoid this awful drug. In theory this is the best way to get the inflammation in my lungs down to a reasonable level.
Any specific experiences any of you can share? My GP doc suggested doubling my basil and leave everything else the same. Did this work for anyone else? Is it going to be as bad as the doctor said?
</t>
        </is>
      </c>
      <c r="D1376" t="n">
        <v>1</v>
      </c>
      <c r="E1376" t="n">
        <v>4</v>
      </c>
      <c r="F1376">
        <f>HYPERLINK("https://www.reddit.com/r/diabetes/comments/3oxyhm/any_advice_for_a_t1_going_on_prednisone_tomorrow/")</f>
        <v/>
      </c>
      <c r="G1376" t="inlineStr">
        <is>
          <t>2015-10-15 20:01:34</t>
        </is>
      </c>
      <c r="H1376" t="inlineStr">
        <is>
          <t>Type 1</t>
        </is>
      </c>
    </row>
    <row r="1377">
      <c r="A1377" t="inlineStr">
        <is>
          <t>3oytn1</t>
        </is>
      </c>
      <c r="B1377" t="inlineStr">
        <is>
          <t>T1 with kids: are your kids diabetic too?</t>
        </is>
      </c>
      <c r="C1377" t="inlineStr">
        <is>
          <t>I recently got married to my girlfriend and we want to try having a baby after our honeymoon (which will start in a few days). 
I'm not afraid of having a diabetic child, not at all - even if it's not it'll grow up seeing daddy do all that stuff with needles and shit.
However, I'm worried it may be hard for a child to be T1. I was "lucky enough" not to have harsh symptoms until my twenties and was diagnosed at age 24.
I know that the risk is probably somewhere around 10%, so luckily that doesn't seem to be too high right out of the box anyway.
Thanks!</t>
        </is>
      </c>
      <c r="D1377" t="n">
        <v>12</v>
      </c>
      <c r="E1377" t="n">
        <v>29</v>
      </c>
      <c r="F1377">
        <f>HYPERLINK("https://www.reddit.com/r/diabetes/comments/3oytn1/t1_with_kids_are_your_kids_diabetic_too/")</f>
        <v/>
      </c>
      <c r="G1377" t="inlineStr">
        <is>
          <t>2015-10-16 01:35:31</t>
        </is>
      </c>
      <c r="H1377" t="inlineStr">
        <is>
          <t>Type 1</t>
        </is>
      </c>
    </row>
    <row r="1378">
      <c r="A1378" t="inlineStr">
        <is>
          <t>3ozoqj</t>
        </is>
      </c>
      <c r="B1378" t="inlineStr">
        <is>
          <t>Costco Question</t>
        </is>
      </c>
      <c r="C1378" t="inlineStr">
        <is>
          <t xml:space="preserve">My soon to be wife has a family friend that is a (more or less) impoverished, uncontrolled, non insulin dependent, T2 diabetic, with frequent history of hospitalizations d/t dietary &amp;amp; medication non-compliance.  We want to stock his shelves with a few months supply of food that can help him keep his bsg under control.  I was hoping for some advice on easy to prepare food that we can buy in bulk (costco) that will help him maintain glycemic control. Any advice? </t>
        </is>
      </c>
      <c r="D1378" t="n">
        <v>3</v>
      </c>
      <c r="E1378" t="n">
        <v>4</v>
      </c>
      <c r="F1378">
        <f>HYPERLINK("https://www.reddit.com/r/diabetes/comments/3ozoqj/costco_question/")</f>
        <v/>
      </c>
      <c r="G1378" t="inlineStr">
        <is>
          <t>2015-10-16 07:02:46</t>
        </is>
      </c>
      <c r="H1378" t="inlineStr">
        <is>
          <t>Type 2</t>
        </is>
      </c>
    </row>
    <row r="1379">
      <c r="A1379" t="inlineStr">
        <is>
          <t>3p0aac</t>
        </is>
      </c>
      <c r="B1379" t="inlineStr">
        <is>
          <t>Brother diagnosed with T1 at age 43.</t>
        </is>
      </c>
      <c r="C1379" t="inlineStr">
        <is>
          <t>My 43 year old brother was rushed to the emergency room this week and was diagnosed with Diabetic Ketoacidosis. He was moved to the ICU for a few days as they worked to safely return his levels to normal. His blood sugar was over 800 when he was admitted and he was in very serious condition. He is past the scare now and will soon be headed home.  
* What can I do to help him adjust to living his life while managing T1 diabetes?  
* How common is it to get a T1 diagnosis at the age of 43? I thought this type of diabetes was typically diagnosed in childhood.  
* Should I consider getting checked myself or my children checked for diabetes?  
Thanks for any insight or advice you can give!  
Edit: Thank you so much for all the great ideas and suggestions. This has given me much to follow up on and I feel better about being able to support my brother as he navigates his new life. Thanks again, and good health to all of you!</t>
        </is>
      </c>
      <c r="D1379" t="n">
        <v>8</v>
      </c>
      <c r="E1379" t="n">
        <v>19</v>
      </c>
      <c r="F1379">
        <f>HYPERLINK("https://www.reddit.com/r/diabetes/comments/3p0aac/brother_diagnosed_with_t1_at_age_43/")</f>
        <v/>
      </c>
      <c r="G1379" t="inlineStr">
        <is>
          <t>2015-10-16 09:33:08</t>
        </is>
      </c>
      <c r="H1379" t="inlineStr">
        <is>
          <t>Type 1</t>
        </is>
      </c>
    </row>
    <row r="1380">
      <c r="A1380" t="inlineStr">
        <is>
          <t>3p86mr</t>
        </is>
      </c>
      <c r="B1380" t="inlineStr">
        <is>
          <t>I need help!! My bloodsugar keeps going low down all the time and I have not injected ANY insulin today</t>
        </is>
      </c>
      <c r="C1380" t="inlineStr">
        <is>
          <t>That's right, after 1 hour of battling a rollercoaster of really low sugars my mate called me a ambulance and I went to the hospital. I got no service at all and the people there were clueless, like wha the fuck? man its a damn hospital. Also on second note I AM SUPPOSED TO BE FUCKING DEAD WHAT THE FUCK why am I here? I don't know man shit this is fucking dumb, well anyway i basically walk out of the shithole and buy alot of sugar with me and come home and sit on my ass. Just a little side note, In the ambulance I asked this one girl out for coffee, so there's that
edit: took my medicine and everythings okay, Im assuming I'm just sensitive for the insulin as my schedule hasent really been the best and I was pretty active yesterday</t>
        </is>
      </c>
      <c r="D1380" t="n">
        <v>2</v>
      </c>
      <c r="E1380" t="n">
        <v>28</v>
      </c>
      <c r="F1380">
        <f>HYPERLINK("https://www.reddit.com/r/diabetes/comments/3p86mr/i_need_help_my_bloodsugar_keeps_going_low_down/")</f>
        <v/>
      </c>
      <c r="G1380" t="inlineStr">
        <is>
          <t>2015-10-18 06:57:04</t>
        </is>
      </c>
      <c r="H1380" t="inlineStr">
        <is>
          <t>Type 1</t>
        </is>
      </c>
    </row>
    <row r="1381">
      <c r="A1381" t="inlineStr">
        <is>
          <t>3pah53</t>
        </is>
      </c>
      <c r="B1381" t="inlineStr">
        <is>
          <t>Need your help/feedback on how to improve diabetes care (type 2)</t>
        </is>
      </c>
      <c r="C1381" t="inlineStr">
        <is>
          <t>Hi! My name is Emily and I'm a RN completing my masters degree. I'm studying diabetes T2/prediabetes amidst the changes in our healthcare system today. 
I quit bedside healthcare because I was frustrated with the limitations that prevented me from giving patients the help they truly needed. I turned that into a commitment to give health back to our communities, and now my goal is to understand how we, as healthcare providers, can understand and help our communities better - not just as patients, but as people. 
It's personal to me...I have a family history of T2, and I've seen the disjointed, poor education and resources offered. I know we have an opportunity to help bridge that gap but I need your help! I created a survey to try and understand what works/doesn't, and how the use of technology might help people with diabetes communicate better with their healthcare providers and vice versa. If you would kindly take the survey or share, I'd be extremely grateful. Please email questions to emilyhan31@stu.southuniversity.edu. Thanks and have a great day!
https://www.surveymonkey.com/r/diabetespatientpanel
(Survey results are anonymous and aggregated and will not be used for any purpose other than my own research for my graduate project)</t>
        </is>
      </c>
      <c r="D1381" t="n">
        <v>2</v>
      </c>
      <c r="E1381" t="n">
        <v>11</v>
      </c>
      <c r="F1381">
        <f>HYPERLINK("https://www.reddit.com/r/diabetes/comments/3pah53/need_your_helpfeedback_on_how_to_improve_diabetes/")</f>
        <v/>
      </c>
      <c r="G1381" t="inlineStr">
        <is>
          <t>2015-10-18 17:10:01</t>
        </is>
      </c>
      <c r="H1381" t="inlineStr">
        <is>
          <t>Type 2</t>
        </is>
      </c>
    </row>
    <row r="1382">
      <c r="A1382" t="inlineStr">
        <is>
          <t>3pdn8x</t>
        </is>
      </c>
      <c r="B1382" t="inlineStr">
        <is>
          <t>In June my average fasting blood sugar was 252.</t>
        </is>
      </c>
      <c r="C1382" t="inlineStr">
        <is>
          <t>Today, through diet, exercise, and 500mg of metformin my average fasting blood sugar has been 73.
I'm still eating whatever I want, I'm just adjusting for it using carb and calorie counting to keep my calories &amp;lt;1400 a day, and my carbs &amp;lt;40g per meal.  I've dropped from 220lbs to 170lbs, and gone from not exercising to running 5-8k every single day.
Very happy with my progress.  It's taken a lot of work, but it seems to be paying off.</t>
        </is>
      </c>
      <c r="D1382" t="n">
        <v>3</v>
      </c>
      <c r="E1382" t="n">
        <v>12</v>
      </c>
      <c r="F1382">
        <f>HYPERLINK("https://www.reddit.com/r/diabetes/comments/3pdn8x/in_june_my_average_fasting_blood_sugar_was_252/")</f>
        <v/>
      </c>
      <c r="G1382" t="inlineStr">
        <is>
          <t>2015-10-19 10:39:54</t>
        </is>
      </c>
      <c r="H1382" t="inlineStr">
        <is>
          <t>Type 2</t>
        </is>
      </c>
    </row>
    <row r="1383">
      <c r="A1383" t="inlineStr">
        <is>
          <t>3pdnb2</t>
        </is>
      </c>
      <c r="B1383" t="inlineStr">
        <is>
          <t>Type 1 for 30yrs, I have gastroparesis causing nausea,vomiting daily............</t>
        </is>
      </c>
      <c r="C1383" t="inlineStr">
        <is>
          <t>My gastro  Dr.  gave zofran it doesn't always help,it mostly happens in the morning. But I've had horrible times when it goes all day.I had tried reglan and it caused horrible jerking in my legs. Does anyone have any suggestions or other med that they have taken to help this TERRIBLE NEUROPATHY.......</t>
        </is>
      </c>
      <c r="D1383" t="n">
        <v>2</v>
      </c>
      <c r="E1383" t="n">
        <v>6</v>
      </c>
      <c r="F1383">
        <f>HYPERLINK("https://www.reddit.com/r/diabetes/comments/3pdnb2/type_1_for_30yrs_i_have_gastroparesis_causing/")</f>
        <v/>
      </c>
      <c r="G1383" t="inlineStr">
        <is>
          <t>2015-10-19 10:40:15</t>
        </is>
      </c>
      <c r="H1383" t="inlineStr">
        <is>
          <t>Type 1</t>
        </is>
      </c>
    </row>
    <row r="1384">
      <c r="A1384" t="inlineStr">
        <is>
          <t>3pfeij</t>
        </is>
      </c>
      <c r="B1384" t="inlineStr">
        <is>
          <t>BG goes up with exercise?</t>
        </is>
      </c>
      <c r="C1384" t="inlineStr">
        <is>
          <t>Checked my BG before exercise, 145 (about 90 minutes since eating).
Lifted weights for an hour, checked it before cardio and it's up to 210! The hell is going on here?</t>
        </is>
      </c>
      <c r="D1384" t="n">
        <v>1</v>
      </c>
      <c r="E1384" t="n">
        <v>8</v>
      </c>
      <c r="F1384">
        <f>HYPERLINK("https://www.reddit.com/r/diabetes/comments/3pfeij/bg_goes_up_with_exercise/")</f>
        <v/>
      </c>
      <c r="G1384" t="inlineStr">
        <is>
          <t>2015-10-19 17:46:04</t>
        </is>
      </c>
      <c r="H1384" t="inlineStr">
        <is>
          <t>Type 1</t>
        </is>
      </c>
    </row>
    <row r="1385">
      <c r="A1385" t="inlineStr">
        <is>
          <t>3ph78t</t>
        </is>
      </c>
      <c r="B1385" t="inlineStr">
        <is>
          <t>Ignorant people are unbearable</t>
        </is>
      </c>
      <c r="C1385" t="inlineStr">
        <is>
          <t>My boyfriend got diagnosed with T1 a couple of months ago and he's been doing pretty well. We're long distance, and this week is the first time since his diagnosis that he has come down to visit me.
Now, my mom is /r/raisedbynarcissists material on the best of days, but she has been buzzing around us all week sticking her nose in my boyfriend's diet and trying to dictate to him what he should and should not be eating. I don't know how many times I explained to her that he can eat whatever he wants as long as he takes the right amount of insulin for it, but she still claims she "didn't know" when she gets corrected.
The other day, she reamed me out for offering him *half a cracker.* And for keeping cookies in my room...which are actually his cookies for when he goes low. Or for whenever he wants one because once again, he can take care of himself. He even told her that he can eat cookies, and she replied to *him* that he shouldn't be eating sugar. As if he doesn't know anything about his own condition and has just been floundering in illness these past couple months until she came to the rescue.
She doesn't even know the difference between T1 and T2. And she thinks my T2 grandfather was maliciously injected with T1 by his hospice nurses. It's driving both of us crazy.</t>
        </is>
      </c>
      <c r="D1385" t="n">
        <v>37</v>
      </c>
      <c r="E1385" t="n">
        <v>68</v>
      </c>
      <c r="F1385">
        <f>HYPERLINK("https://www.reddit.com/r/diabetes/comments/3ph78t/ignorant_people_are_unbearable/")</f>
        <v/>
      </c>
      <c r="G1385" t="inlineStr">
        <is>
          <t>2015-10-20 04:11:37</t>
        </is>
      </c>
      <c r="H1385" t="inlineStr">
        <is>
          <t>Type 1</t>
        </is>
      </c>
    </row>
    <row r="1386">
      <c r="A1386" t="inlineStr">
        <is>
          <t>3pjjp5</t>
        </is>
      </c>
      <c r="B1386" t="inlineStr">
        <is>
          <t>[Type 1] Underlying issue?</t>
        </is>
      </c>
      <c r="C1386" t="inlineStr">
        <is>
          <t>I have been a type 1 for going on 17 years, on November 16. I've been uncontrolled for most of those years, and I recently was at the doctors, didnt have the results of my A1c but id only checked 39 times in a month. I dont have a reason as to why I dont take care of it really I dont And my dads punishing me (im 19) and i do understand why, but still. The doctor seems to think that maybe depression is an underlying issue and I was just wondering if anyone else had something similar going on, or any tips or really anything. I feel like a newly diagnosed again, and coukd really use help, not criticism, I have enough people yelling at me. Please and thanks.</t>
        </is>
      </c>
      <c r="D1386" t="n">
        <v>1</v>
      </c>
      <c r="E1386" t="n">
        <v>19</v>
      </c>
      <c r="F1386">
        <f>HYPERLINK("https://www.reddit.com/r/diabetes/comments/3pjjp5/type_1_underlying_issue/")</f>
        <v/>
      </c>
      <c r="G1386" t="inlineStr">
        <is>
          <t>2015-10-20 13:48:56</t>
        </is>
      </c>
      <c r="H1386" t="inlineStr">
        <is>
          <t>Type 1</t>
        </is>
      </c>
    </row>
    <row r="1387">
      <c r="A1387" t="inlineStr">
        <is>
          <t>3pjszg</t>
        </is>
      </c>
      <c r="B1387" t="inlineStr">
        <is>
          <t>Your Blood Sugar isn't a score of how well you're doing... it's a data point for you to make good decisions.</t>
        </is>
      </c>
      <c r="C1387" t="inlineStr">
        <is>
          <t xml:space="preserve">**And the *only* way you are going to get a handle on this is by having more data points.**
*I don't mean for this to sound harpy... or condescending. Today I came across a handful of threads from people mentioning having poor control and I felt it better to make a post than respond individually.*
When I was first diagnosed T1 back in 1990 (damn!), and for the following 10 years or so... I had terrible control. I didn't take it seriously... I never tested... and I *dreaded* my Endo appointments because I just already knew how they'd turn out.
"Test more." "You don't want complications." Etc. I've heard it all.
I went years without testing more than a few times. I could feel when I was going low, and could 'feel' a number of symptoms when I was high, and would just blast a bit of insulin in my arm and ride the wave until I invariably went low. I was a mess. 
I saw my BGs as a score. Good or bad. A1C was a score. Good or bad. Pass or Fail. You did well... you fucked up.
*Some of you are just like I was. I feel you. I know.*
I hated testing because it showed me my score of how bad I was doing. I hated going to an Endo because they would show how bad my scores were. 
**This right here... this one thing... is the first thing I had to fix.**
Better control comes from getting your head right first.... then you can focus on your body. 
We all have to stop looking at BGs and A1Cs as some sort of score that reflects one way or another on us.
They are not scores. They are data points! And since T1 is basically finding a *manual process* to manage what non-Diabetics do automatically... the more data points we have, the better decisions we should be able to make.
I've been at the bottom folks. I've had life-threatening highs and lows. 
*And all of that is behind me.* But the only reason that it is... is because I made testing a priority. A habit.
I realized that I dreaded testing because I knew it was going to be 'bad'. But fuck that. There is no good or bad. 
**The only bad BG is the one you don't check!**
Get your head around testing. Get over the score. It's a data point for you to manually manage your treatment.
The more you test (or hopefully, the more your CGM tests)... the more information you'll have to make decisions about what to eat, and how much insulin to take. But the testing is the first step.
I know many of you are struggling... some newly diagnosed, some old-timers like me. I've been there... but I am no longer. 
Make it a habit. Carry that meter wherever you go. Purse, backpack, car, pocket. No excuses. 
Test when you wake up. Before you go to bed. Before you eat. An hour after you eat. When you think about. If you can afford it, get a CGM. 
Once you have reliable data points... the rest of your treatment will fall in line. I promise. </t>
        </is>
      </c>
      <c r="D1387" t="n">
        <v>102</v>
      </c>
      <c r="E1387" t="n">
        <v>41</v>
      </c>
      <c r="F1387">
        <f>HYPERLINK("https://www.reddit.com/r/diabetes/comments/3pjszg/your_blood_sugar_isnt_a_score_of_how_well_youre/")</f>
        <v/>
      </c>
      <c r="G1387" t="inlineStr">
        <is>
          <t>2015-10-20 14:44:52</t>
        </is>
      </c>
      <c r="H1387" t="inlineStr">
        <is>
          <t>Type 1</t>
        </is>
      </c>
    </row>
    <row r="1388">
      <c r="A1388" t="inlineStr">
        <is>
          <t>3pjzvq</t>
        </is>
      </c>
      <c r="B1388" t="inlineStr">
        <is>
          <t>Acid reflux. Anyone else suffer from this?</t>
        </is>
      </c>
      <c r="C1388" t="inlineStr">
        <is>
          <t>Doc gave me an application to fill out so I could get nexium free but I have to wait a month. In the mean time he told me to try otc nexium.
Tried it but no help from the heartburn and acid in throat.
Tried pepcid ac and it dull the pain and symptoms for a few days. Now I'm trying the generic for zantac 150mg twice a day.
It has taken care of the heartburn but the acid in my throat is still bad at times.
Can I take the generic zantag more than twice a day?  Anyone else have any suggestions because it is really bad</t>
        </is>
      </c>
      <c r="D1388" t="n">
        <v>2</v>
      </c>
      <c r="E1388" t="n">
        <v>10</v>
      </c>
      <c r="F1388">
        <f>HYPERLINK("https://www.reddit.com/r/diabetes/comments/3pjzvq/acid_reflux_anyone_else_suffer_from_this/")</f>
        <v/>
      </c>
      <c r="G1388" t="inlineStr">
        <is>
          <t>2015-10-20 15:30:04</t>
        </is>
      </c>
      <c r="H1388" t="inlineStr">
        <is>
          <t>Type 2</t>
        </is>
      </c>
    </row>
    <row r="1389">
      <c r="A1389" t="inlineStr">
        <is>
          <t>3pqyq1</t>
        </is>
      </c>
      <c r="B1389" t="inlineStr">
        <is>
          <t>Rather high bloodsugar, any tips on staying sort of productive?</t>
        </is>
      </c>
      <c r="C1389" t="inlineStr">
        <is>
          <t>So, interesting night in which my pump decided to have a big 'screw you dude' moment with a result of a 29,7 mmol/l (535 mg/dl) bloodsugar. Yay! 
Got myself to work and now feeling pretty crappy, you all now how it can be. Any tips on staying productive? 
And now of course for the 2nd biggest challenge of the day, get the bloodsugars back to good level and stay there. Instead of bouncing into lows and highs for the rest of the day. 
UPDATE: got it down to 19.2 mmol/l.. still a long way to go but a whole lot better than this morning</t>
        </is>
      </c>
      <c r="D1389" t="n">
        <v>1</v>
      </c>
      <c r="E1389" t="n">
        <v>3</v>
      </c>
      <c r="F1389">
        <f>HYPERLINK("https://www.reddit.com/r/diabetes/comments/3pqyq1/rather_high_bloodsugar_any_tips_on_staying_sort/")</f>
        <v/>
      </c>
      <c r="G1389" t="inlineStr">
        <is>
          <t>2015-10-22 01:17:16</t>
        </is>
      </c>
      <c r="H1389" t="inlineStr">
        <is>
          <t>Type 1</t>
        </is>
      </c>
    </row>
    <row r="1390">
      <c r="A1390" t="inlineStr">
        <is>
          <t>3pw47w</t>
        </is>
      </c>
      <c r="B1390" t="inlineStr">
        <is>
          <t>(UK) I have just been told I have T2 diabetes. It was a blood test accidentally attached to a different test that started this. so, Erm, What do I... I mean, how do I... This is so sudden. Someone tell me what's happening, please. I am seriously worried.</t>
        </is>
      </c>
      <c r="C1390" t="inlineStr">
        <is>
          <t>EDIT: thank you all for your kind words. After reading what was said by you all I went and go me a test kit and I'll be giving that a whirl tonight. I also found out the test strips for it can be prescribed and as I get free prescriptions... that's a worry sorted.
I have also done some research on diet and exercise and I plan on diving in feet first... but doing it carefully. 
Again, Thank you for putting my mind at rest.
~~Before you ask: I would check websites but throughout life I have found most to be lead by an agenda. (unless you can recommend some?)~~
~~So I come to you for help. I doubt you have some ulterior motive.~~
~~I have arthritis and I had some markers tested for. They also tested for diabetes because a full spectrum was marked by accident. It came back with a "67 which is above the upper 42 mark." (whatever that means?!) I had to have the test repeated after a starvation period... two more times. Both came in above 60, on what scale, I don't know.~~
~~So my doctor says, your dad and uncle have T2 so it's probably genetics. She then handed me some meds scripts for T2 and cholesterol... why? I don't know. And she simply said. Cut out carbs from your diet and book an appointment in 4 weeks.~~
~~This was it.~~
~~Congratulations you have an illness which might fuck up your life (from what I understand). Now, there's the door. Goodbye.~~
~~Can someone please tell me what to expect. I am legitimately scared... and this is a first.~~
~~what do I...~~
~~Where do I...~~
~~I mean..............~~
~~What do I mean?!.~~
~~FUCK THIS! (sorry for the swearing. I find myself more and more bad tempered in my old age.)~~~~</t>
        </is>
      </c>
      <c r="D1390" t="n">
        <v>5</v>
      </c>
      <c r="E1390" t="n">
        <v>27</v>
      </c>
      <c r="F1390">
        <f>HYPERLINK("https://www.reddit.com/r/diabetes/comments/3pw47w/uk_i_have_just_been_told_i_have_t2_diabetes_it/")</f>
        <v/>
      </c>
      <c r="G1390" t="inlineStr">
        <is>
          <t>2015-10-23 03:48:08</t>
        </is>
      </c>
      <c r="H1390" t="inlineStr">
        <is>
          <t>Type 2</t>
        </is>
      </c>
    </row>
    <row r="1391">
      <c r="A1391" t="inlineStr">
        <is>
          <t>3pwspx</t>
        </is>
      </c>
      <c r="B1391" t="inlineStr">
        <is>
          <t>[T2] I have only everyone here to thank! (Another happy A1C turnaround story.)</t>
        </is>
      </c>
      <c r="C1391" t="inlineStr">
        <is>
          <t xml:space="preserve">TL;DR: My doctor gave me no information. I found you all. First A1C went from 8.0 at dx to 5.2!
Quick recap of the short road to where I am now (a long road ahead still).
A quick screening at work (to get a free gift card) showed my blood sugar was off the charts. 
It could've been a fluke reading, but I committed to getting a full physical eventually to put my mind at ease (I had other health issues including sudden weight loss).
Went in for the full physical workup. Called the next day by my doctor's nurse "Oh, and by the way you definitely have diabetes." Um, okay. "Go to the local hospital for an educational class. We're calling a prescription."
That was the extent of what my doctor passed on to me about my new normal. So, I did what most avid Redditers do, I went looking for a sub! That's how I ended up here!
After reading everything I could, I decided a low/limited carb diet was the first thing to try. I limit my carb intake to 70g a day, which is about 20g a meal with 10g to play with throughout the day.
At a preliminary checkup with my doctor, I asked about C-pep and antibody tests to rule out LADA. Fortunately, my doctor had done them at the time of my physical (my doctor is also my Dad's doctor, so he knew what he was looking for). After telling him the results I was getting on my GM, he mentioned that he was proud of me and that he may end up taking me off of all medications if I keep it up!
Hopefully that's the next step! Thanks again to everyone here! We really have a special community here that rarely exists on the Internet. Educational and supportive. I'll do my best to share anything I've learned to help others here. </t>
        </is>
      </c>
      <c r="D1391" t="n">
        <v>4</v>
      </c>
      <c r="E1391" t="n">
        <v>7</v>
      </c>
      <c r="F1391">
        <f>HYPERLINK("https://www.reddit.com/r/diabetes/comments/3pwspx/t2_i_have_only_everyone_here_to_thank_another/")</f>
        <v/>
      </c>
      <c r="G1391" t="inlineStr">
        <is>
          <t>2015-10-23 07:31:24</t>
        </is>
      </c>
      <c r="H1391" t="inlineStr">
        <is>
          <t>Type 2</t>
        </is>
      </c>
    </row>
    <row r="1392">
      <c r="A1392" t="inlineStr">
        <is>
          <t>3pwvez</t>
        </is>
      </c>
      <c r="B1392" t="inlineStr">
        <is>
          <t>Admitted to hospital yesterday</t>
        </is>
      </c>
      <c r="C1392" t="inlineStr">
        <is>
          <t xml:space="preserve">So I am a type 1 diabetic and have been since the age of 16, I am 28 now. Yesterday I was having some upper abdominal pains, ranking anywhere from 3 to 8 on a 1-10 scale. I went to the doctor who them sent me to the ER. I was admitted yesterday around 12 pm. I was diagnosed with pancreatitis, which usually is brought on my severe alcohol consumption. I don't need alcohol to function, but enjoy a few beers/mixed drinks on the weekends. Though I am not an alcoholic, I was told that I am no longer to consume any alcoholic beverages. 
I take care of my diabetes, but not as well as I should. My a1c came back today as 8, and my two prior ones had been 9.3 and 12.2, so I'm trending in the right direction. 
I have neglected to see an endocrinologist, instead I've been going to a regular family doctor to get my scripts. 
To all my fellow diabetics who say 'nothing will happen to me' and 'it'll be a long time until I see the effects', no it won't. Changes occur rapidly and can happen at any time.  I am lucky in that no permanent damage has happened and that with some big changes, I'll live a long and healthy life. Taking my diabetes seriously every day was difficult and I'd slack off here and there, please take your care as seriously as possible. 
Sorry if this is all over the place, I'm on some heavy pain killers right now. </t>
        </is>
      </c>
      <c r="D1392" t="n">
        <v>16</v>
      </c>
      <c r="E1392" t="n">
        <v>18</v>
      </c>
      <c r="F1392">
        <f>HYPERLINK("https://www.reddit.com/r/diabetes/comments/3pwvez/admitted_to_hospital_yesterday/")</f>
        <v/>
      </c>
      <c r="G1392" t="inlineStr">
        <is>
          <t>2015-10-23 07:50:05</t>
        </is>
      </c>
      <c r="H1392" t="inlineStr">
        <is>
          <t>Type 1</t>
        </is>
      </c>
    </row>
    <row r="1393">
      <c r="A1393" t="inlineStr">
        <is>
          <t>3px5f0</t>
        </is>
      </c>
      <c r="B1393" t="inlineStr">
        <is>
          <t>Blood in eye</t>
        </is>
      </c>
      <c r="C1393" t="inlineStr">
        <is>
          <t>Sup guys?
So I just looked in the mirror and realized I have a bit of redness that I think is bleeding.  It's kind of similar to [this](http://www.newhealthguide.org/images/10438482/image001.jpg) although not quite as bad.  I'm kinda freaked.  Should I go to the hospital?  Do I need to leave work?  Anyone else dealt with this?
*edit:* thanks guys, it cleared up on it's own haha.  Appreciate the input!</t>
        </is>
      </c>
      <c r="D1393" t="n">
        <v>1</v>
      </c>
      <c r="E1393" t="n">
        <v>6</v>
      </c>
      <c r="F1393">
        <f>HYPERLINK("https://www.reddit.com/r/diabetes/comments/3px5f0/blood_in_eye/")</f>
        <v/>
      </c>
      <c r="G1393" t="inlineStr">
        <is>
          <t>2015-10-23 08:59:58</t>
        </is>
      </c>
      <c r="H1393" t="inlineStr">
        <is>
          <t>Type 1</t>
        </is>
      </c>
    </row>
    <row r="1394">
      <c r="A1394" t="inlineStr">
        <is>
          <t>3q10ui</t>
        </is>
      </c>
      <c r="B1394" t="inlineStr">
        <is>
          <t>Nightly low or something else?</t>
        </is>
      </c>
      <c r="C1394" t="inlineStr">
        <is>
          <t>I've had some weird readings the last few days, always waking up relativley high (130-150), which is unusualy for me, as I'm still in my honeymoon period and that didn't happen before, I was waking up consitently between 80 and 120.  
Yesterday I decided to see what happens at night.
I ate dinner at 9:30 pm, measured 115 and took 4 units of Humalog.  
At 11 pm I took my 5 units of Lantus.  
At midnight I measured 94, drunk a bit of milk (5g carbs) and went to bed.  
I measured at 3 at night and I was at 225, I retested to be sure, and it still was 191. I went back to sleep and woke up with 147 at 8 am. I then slept some more and was 131 at 11 am.  
Do you think I might have gotten low between midnight and 3 am? Does Lantus even work so strongly after a few hours? I thought it needed a few hours to build up? Or do you think something might be going on?
I'll retest for sure tonight, at what time do you think it would be best to set my alarm clock for measuring? 2 am, maybe?  
I appreciate any ideas!</t>
        </is>
      </c>
      <c r="D1394" t="n">
        <v>7</v>
      </c>
      <c r="E1394" t="n">
        <v>10</v>
      </c>
      <c r="F1394">
        <f>HYPERLINK("https://www.reddit.com/r/diabetes/comments/3q10ui/nightly_low_or_something_else/")</f>
        <v/>
      </c>
      <c r="G1394" t="inlineStr">
        <is>
          <t>2015-10-24 06:28:13</t>
        </is>
      </c>
      <c r="H1394" t="inlineStr">
        <is>
          <t>Type 1</t>
        </is>
      </c>
    </row>
    <row r="1395">
      <c r="A1395" t="inlineStr">
        <is>
          <t>3q578p</t>
        </is>
      </c>
      <c r="B1395" t="inlineStr">
        <is>
          <t>T1 Poll - What % of the time do you sleep through the night with in-range numbers?</t>
        </is>
      </c>
      <c r="C1395" t="inlineStr">
        <is>
          <t>For me about 40% - I try to keep fairly tightly between about 100-140 or so when I am asleep so it is fairly common for me to wake up during the night to make at least one adjustment. Curious if this is a big outlier.</t>
        </is>
      </c>
      <c r="D1395" t="n">
        <v>6</v>
      </c>
      <c r="E1395" t="n">
        <v>13</v>
      </c>
      <c r="F1395">
        <f>HYPERLINK("https://www.reddit.com/r/diabetes/comments/3q578p/t1_poll_what_of_the_time_do_you_sleep_through_the/")</f>
        <v/>
      </c>
      <c r="G1395" t="inlineStr">
        <is>
          <t>2015-10-25 05:55:37</t>
        </is>
      </c>
      <c r="H1395" t="inlineStr">
        <is>
          <t>Type 1</t>
        </is>
      </c>
    </row>
    <row r="1396">
      <c r="A1396" t="inlineStr">
        <is>
          <t>3qa1s0</t>
        </is>
      </c>
      <c r="B1396" t="inlineStr">
        <is>
          <t>Inexplicably high AM blood sugars</t>
        </is>
      </c>
      <c r="C1396" t="inlineStr">
        <is>
          <t>Hello friends, 
Type 1 for ~13 years now. Last night before slumber, my blood sugar was 121. Perfectly fine. I had a normal meal for dinner, bolused as I usually do (fish, grilled veggies and a small amount of roasted potatoes), and a nighttime snack of a sugar free fudgesicle. I woke up this morning and my blood sugar was 267. What the flying fuck? I am so confused because this happens to me a decent amount. What gives? Why is this happening and what can I do to prevent it?</t>
        </is>
      </c>
      <c r="D1396" t="n">
        <v>2</v>
      </c>
      <c r="E1396" t="n">
        <v>19</v>
      </c>
      <c r="F1396">
        <f>HYPERLINK("https://www.reddit.com/r/diabetes/comments/3qa1s0/inexplicably_high_am_blood_sugars/")</f>
        <v/>
      </c>
      <c r="G1396" t="inlineStr">
        <is>
          <t>2015-10-26 06:43:51</t>
        </is>
      </c>
      <c r="H1396" t="inlineStr">
        <is>
          <t>Type 1</t>
        </is>
      </c>
    </row>
    <row r="1397">
      <c r="A1397" t="inlineStr">
        <is>
          <t>3qao75</t>
        </is>
      </c>
      <c r="B1397" t="inlineStr">
        <is>
          <t>Small question</t>
        </is>
      </c>
      <c r="C1397" t="inlineStr">
        <is>
          <t>I just put in a Dexcom G4 sensor in my arm, but I forgot to pinch up the skin before inserting it. Is the pinching just for pain or will it do something with the wire? It didn't feel any different than the other times I've put one in. Thanks!
UPDATE EDIT: I threw a fast ball during baseball and my sensor flew off. They probably wouldn't replace it because it was in a non offical place and I've had one replaced already.</t>
        </is>
      </c>
      <c r="D1397" t="n">
        <v>2</v>
      </c>
      <c r="E1397" t="n">
        <v>5</v>
      </c>
      <c r="F1397">
        <f>HYPERLINK("https://www.reddit.com/r/diabetes/comments/3qao75/small_question/")</f>
        <v/>
      </c>
      <c r="G1397" t="inlineStr">
        <is>
          <t>2015-10-26 09:19:39</t>
        </is>
      </c>
      <c r="H1397" t="inlineStr">
        <is>
          <t>Type 1</t>
        </is>
      </c>
    </row>
    <row r="1398">
      <c r="A1398" t="inlineStr">
        <is>
          <t>3qawwt</t>
        </is>
      </c>
      <c r="B1398" t="inlineStr">
        <is>
          <t>I need some serious help</t>
        </is>
      </c>
      <c r="C1398" t="inlineStr">
        <is>
          <t>I made a post before about being uncontrolled and whatnot, possibly due to depression. And my parenys are *always* on my back about testing and stuff. The other day I had a high, and got yelled at for 15 minutes, by my mom (who has a drinking problem) so I quietly and politely brought up that I worry about that the way she worries about my diabetes. She seemed flustered but also kinda seemed to understand. That was the end of the conversation then. Fast forward to today. I asked if my boyfriend could come over and watch the hockey game (its a typical date for us) and she went ballistic. Its weird because as far as I know, she loves my boyfriend. As a son. And I have difficulty cleaning mg room, staying on task with it. I try so hard but I just *cant*. So she tells me, yelling at me mind you, that I can see him tonight, but its the last time until my rooms clean. And then she tells me oh hey, im gonna give up drinking, but only if you take care of yourself. And then dumps her bottle of vodka. Then *THEN* shes like for every check you miss, im gonna take a shot of whiskey. Im gonna make Bob (our neighbor who had drank too much. He had sclerosis) look like he's always been sober. And if you cant take care of yourself then, then you have to stop seeing your boyfriend. 
I understand where she is coming from, honestly I do, but I've tried so hard to get better *So damn hard* but I just cant and I dont know why. And my boyfriends the one keeping me strong. If it weren't fot him I would have given up (a second time)  a long time ago. I just.... sorry to rant. But if anyone has *ANY* suggestions that would much appreciated.
Edit: previous post https://www.reddit.com/r/diabetes/comments/3pjjp5/type_1_underlying_issue/</t>
        </is>
      </c>
      <c r="D1398" t="n">
        <v>4</v>
      </c>
      <c r="E1398" t="n">
        <v>10</v>
      </c>
      <c r="F1398">
        <f>HYPERLINK("https://www.reddit.com/r/diabetes/comments/3qawwt/i_need_some_serious_help/")</f>
        <v/>
      </c>
      <c r="G1398" t="inlineStr">
        <is>
          <t>2015-10-26 10:13:57</t>
        </is>
      </c>
      <c r="H1398" t="inlineStr">
        <is>
          <t>Type 1</t>
        </is>
      </c>
    </row>
    <row r="1399">
      <c r="A1399" t="inlineStr">
        <is>
          <t>3qbeuu</t>
        </is>
      </c>
      <c r="B1399" t="inlineStr">
        <is>
          <t>Recently diagnosed with type 1 and Gastroparesis, does it ever get better?</t>
        </is>
      </c>
      <c r="C1399" t="inlineStr">
        <is>
          <t>I'm 25 years old. In late August, I was hospitalized for DKA. I didn't know I was diabetic until they found that my blood sugars were high with an A1C of around 13%. Now, I've been having some stomach problems for about a month. Lots of stomach pains, vomiting, nausea, fatigue, etc. My doctor says it's Gastroparesis. The only thing they've done is given me Reglan to take but it seems like nothing is making the pain go away.
This is all so new to me. I used to be fine (or at least felt fine and felt normal). Now I'm in pain all the time and from what I've been reading, it seems like the stomach pain won't ever go away. I'm already taking the medications that a Gastroparesis diagnosis would prescribe but I'm having stomach pains and vomiting episodes almost daily. I thought that diabetics would be able to live a normal life as long as they managed their blood sugar. I went from living like a normal to severe pain, fatigue, and being a shell of the person I was in a matter of 2 months. Now I'm jobless and I don't know what to do anymore.
Does this ever get better? Can you tell me your story, especially if you also have Gastroparesis?</t>
        </is>
      </c>
      <c r="D1399" t="n">
        <v>5</v>
      </c>
      <c r="E1399" t="n">
        <v>12</v>
      </c>
      <c r="F1399">
        <f>HYPERLINK("https://www.reddit.com/r/diabetes/comments/3qbeuu/recently_diagnosed_with_type_1_and_gastroparesis/")</f>
        <v/>
      </c>
      <c r="G1399" t="inlineStr">
        <is>
          <t>2015-10-26 12:06:59</t>
        </is>
      </c>
      <c r="H1399" t="inlineStr">
        <is>
          <t>Type 1</t>
        </is>
      </c>
    </row>
    <row r="1400">
      <c r="A1400" t="inlineStr">
        <is>
          <t>3qda62</t>
        </is>
      </c>
      <c r="B1400" t="inlineStr">
        <is>
          <t>Diabetic and Pregnant</t>
        </is>
      </c>
      <c r="C1400" t="inlineStr">
        <is>
          <t xml:space="preserve">Has anyone here been pregnant with type 1 diabetes, or known someone who has?
This is something I worry about a lot... I'm 22 and nowhere near ready to have kids, but I'd like to hear if other people have been able to do this successfully or not. 
Thanks in advance :) </t>
        </is>
      </c>
      <c r="D1400" t="n">
        <v>6</v>
      </c>
      <c r="E1400" t="n">
        <v>20</v>
      </c>
      <c r="F1400">
        <f>HYPERLINK("https://www.reddit.com/r/diabetes/comments/3qda62/diabetic_and_pregnant/")</f>
        <v/>
      </c>
      <c r="G1400" t="inlineStr">
        <is>
          <t>2015-10-26 19:35:36</t>
        </is>
      </c>
      <c r="H1400" t="inlineStr">
        <is>
          <t>Type 1</t>
        </is>
      </c>
    </row>
    <row r="1401">
      <c r="A1401" t="inlineStr">
        <is>
          <t>3qet73</t>
        </is>
      </c>
      <c r="B1401" t="inlineStr">
        <is>
          <t>Is anyone else having high morning sugars on Toujeo? [Type 1]</t>
        </is>
      </c>
      <c r="C1401" t="inlineStr">
        <is>
          <t>So I've been taking Toujeo since May and at first I thought it was super cool - super concentrated insulin, didn't have to take as much... awesome! My sugars were running high in the morning, but I figured there would be an adjustment period. 
Then a few months go by and my sugars are *still* running high in the morning. 
Another few months go by, I enter a study for type 1 diabetics so I'm checking my blood sugar 5-6 times a day (which is a vast improvement over not checking at all 6 months ago) and I'm finding that my sugar is *still* high in the mornings, despite being pretty great the rest of the day (we're talking in the 120's on average). My correction factor works just fine, my sliding scale seems to cover the food I eat pretty well based on 2-hour post-meal testing... it's those damn morning readings that I can't get under control.
I take my Toujeo at night, so I figure I wouldn't have this problem since the insulin is already in my bloodstream when I wake up. If I'm over 150, I correct. Last night, I checked before going to bed and I was at 249 - a little frustrating, but I corrected (and actually over-corrected a bit to try to prevent this goddang dawn phenomenon from happening), took my Toujeo, and went to bed. I woke up at 345.
I'm very close to going off of the Toujeo and opting for something like Lantus (because that's what my insurance will cover) or even going back to NPH because I wasn't having this problem before I switched to Toujeo. Should I just give up on it? Has anyone else had this problem? My doctors are trying to figure out how to make the Toujeo work for me, but I'm near the end of my rope. I'm tired of waking up thirsty.</t>
        </is>
      </c>
      <c r="D1401" t="n">
        <v>2</v>
      </c>
      <c r="E1401" t="n">
        <v>6</v>
      </c>
      <c r="F1401">
        <f>HYPERLINK("https://www.reddit.com/r/diabetes/comments/3qet73/is_anyone_else_having_high_morning_sugars_on/")</f>
        <v/>
      </c>
      <c r="G1401" t="inlineStr">
        <is>
          <t>2015-10-27 05:28:22</t>
        </is>
      </c>
      <c r="H1401" t="inlineStr">
        <is>
          <t>Type 1</t>
        </is>
      </c>
    </row>
    <row r="1402">
      <c r="A1402" t="inlineStr">
        <is>
          <t>3qflom</t>
        </is>
      </c>
      <c r="B1402" t="inlineStr">
        <is>
          <t>It's my 10th diaversary</t>
        </is>
      </c>
      <c r="C1402" t="inlineStr">
        <is>
          <t>10 years ago today, I was diagnosed.  I guess that means we're all cured, now, right?  Honestly, I'm not sure how I feel about it.  I remember getting the news 10 years ago and I remember being terrified and crying a lot.  I asked my doctor how I could get rid of it.  Thus began my diabetes education.  Now I'm 10 years older, have 3 kids (one who also has type 1) and am struggling with my control lately.  Feeling a bit burnt out, I suppose.
I just applied for the Lilly Diabetes medal for living with type 1 for 10 years, though, so that's kind of cool :)  Just thought I'd share.</t>
        </is>
      </c>
      <c r="D1402" t="n">
        <v>11</v>
      </c>
      <c r="E1402" t="n">
        <v>5</v>
      </c>
      <c r="F1402">
        <f>HYPERLINK("https://www.reddit.com/r/diabetes/comments/3qflom/its_my_10th_diaversary/")</f>
        <v/>
      </c>
      <c r="G1402" t="inlineStr">
        <is>
          <t>2015-10-27 08:55:00</t>
        </is>
      </c>
      <c r="H1402" t="inlineStr">
        <is>
          <t>Type 1</t>
        </is>
      </c>
    </row>
    <row r="1403">
      <c r="A1403" t="inlineStr">
        <is>
          <t>3qi28s</t>
        </is>
      </c>
      <c r="B1403" t="inlineStr">
        <is>
          <t>When you have all the classic symptoms of diabetes...but don't have diabetes</t>
        </is>
      </c>
      <c r="C1403" t="inlineStr">
        <is>
          <t xml:space="preserve">After about a week of feeling perpetually thirsty and peeing essentially every 30 minutes (to give you an idea, today I refilled and drank my 22 oz water bottle around 13 times, when usually I only go through 3-4 refills a day), today I went to the doctor for a hemoglobin A1C blood test to see if I have diabetes (kind of annoyed they wouldn't also do a finger stick, but they said they don't like to "torture us too much in one visit"). I won't get the results back for a few days, but what's weird is I've already been through this twice: once as a high school freshman, again as a college freshman, and now as a college junior. The past two times (weirdly, both in October), I was told either that my blood sugar was a little high, but nothing to worry about, or that it was perfectly normal. Since I'm going through this a third time and I am incredibly anxious, I was wondering if anyone who was diagnosed with diabetes ever went through something similar, where you had the symptoms but weren't diagnosed? Every time I'm always 100% sure I'm going to end up with diabetes, especially since my grandpa had it. I can't figure out what else could possibly cause this. The first two times, I thought maybe I was just eating too much sugar around Halloween, and that was giving me misleading symptoms, but that doesn't really make any sense...especially considering how much sugary stuff I eat around Christmas! I haven't dropped or gained weight, and I've always gotten the occasional Charley Horse in my leg or foot...it's mainly the thirst and urination. But anyways, if anyone has any similar experiences to share or advice, please let me know! </t>
        </is>
      </c>
      <c r="D1403" t="n">
        <v>1</v>
      </c>
      <c r="E1403" t="n">
        <v>11</v>
      </c>
      <c r="F1403">
        <f>HYPERLINK("https://www.reddit.com/r/diabetes/comments/3qi28s/when_you_have_all_the_classic_symptoms_of/")</f>
        <v/>
      </c>
      <c r="G1403" t="inlineStr">
        <is>
          <t>2015-10-27 18:24:12</t>
        </is>
      </c>
      <c r="H1403" t="inlineStr">
        <is>
          <t>Type 1</t>
        </is>
      </c>
    </row>
    <row r="1404">
      <c r="A1404" t="inlineStr">
        <is>
          <t>3qlp0u</t>
        </is>
      </c>
      <c r="B1404" t="inlineStr">
        <is>
          <t>Type 1 Diabetes and Food Cravings/Binge Eating</t>
        </is>
      </c>
      <c r="C1404" t="inlineStr">
        <is>
          <t>I have type 1 diabetes (diagnosed about 1.5 years ago). I've been good at sticking to a low carb diet to manage my blood sugar levels. However, the restriction of carbs makes me crave sweet foods (or really anything outside my limited healthy diet). I've been dealing with some personal issues (causing depression) recently and my temptation to deviate from my diet is even greater. When I do "fall off the wagon" I've started to binge eat candy and other foods and once I start its hard to stop. I was wondering if anyone has experienced a similar conflicted relationship between type 1 diabetes, depression, and binge eating?</t>
        </is>
      </c>
      <c r="D1404" t="n">
        <v>12</v>
      </c>
      <c r="E1404" t="n">
        <v>19</v>
      </c>
      <c r="F1404">
        <f>HYPERLINK("https://www.reddit.com/r/diabetes/comments/3qlp0u/type_1_diabetes_and_food_cravingsbinge_eating/")</f>
        <v/>
      </c>
      <c r="G1404" t="inlineStr">
        <is>
          <t>2015-10-28 12:35:04</t>
        </is>
      </c>
      <c r="H1404" t="inlineStr">
        <is>
          <t>Type 1</t>
        </is>
      </c>
    </row>
    <row r="1405">
      <c r="A1405" t="inlineStr">
        <is>
          <t>3qngzq</t>
        </is>
      </c>
      <c r="B1405" t="inlineStr">
        <is>
          <t>Recently got a pump and really not sure how I feel about it. Is it crazy to opt for multiple daily injections?</t>
        </is>
      </c>
      <c r="C1405" t="inlineStr">
        <is>
          <t>I have a couple months to decide and I haven't really given it a fair chance, I'm sure. It's just I'm not sure I can reconcile having this thing attached to me all the time, and I don't enjoy changing my set and all my ratios seem off with the pump. 
As I said, it's still fairly new and I've heard such good things, and it seems really cool and meticulous in theory, but I'm just not sure it's for me.
Am I being an idiot? Anyone experience something similar? Any advice or thoughts are welcomed.
Thanks.
Edit: Really appreciating the answers, guys. I love this sub. So helpful. Thanks again.</t>
        </is>
      </c>
      <c r="D1405" t="n">
        <v>11</v>
      </c>
      <c r="E1405" t="n">
        <v>42</v>
      </c>
      <c r="F1405">
        <f>HYPERLINK("https://www.reddit.com/r/diabetes/comments/3qngzq/recently_got_a_pump_and_really_not_sure_how_i/")</f>
        <v/>
      </c>
      <c r="G1405" t="inlineStr">
        <is>
          <t>2015-10-28 19:34:39</t>
        </is>
      </c>
      <c r="H1405" t="inlineStr">
        <is>
          <t>Type 1</t>
        </is>
      </c>
    </row>
    <row r="1406">
      <c r="A1406" t="inlineStr">
        <is>
          <t>3qonz5</t>
        </is>
      </c>
      <c r="B1406" t="inlineStr">
        <is>
          <t>[update/reason found] Nightly low or something else?</t>
        </is>
      </c>
      <c r="C1406" t="inlineStr">
        <is>
          <t>A few days ago, I posted here with weird high readings at night and in the morning:
https://www.reddit.com/r/diabetes/comments/3q10ui/nightly_low_or_something_else/  
After a lot of you suggested the milk got me high, or I might not have finished digesting the food, i did some more tests with eating very early, but my blood sugar still went up and was too high in the morning.  
The day before yesterday I tried taking more Lantus, but that had no effect whatsoever.  So I kept thinking and then I remembered that I had started a new vial of Lantus around the time the problems started. So yesterday I used a new vial of Lantus, and tada, woke up with perfect 95, did not feel bad, did not wake up at night to go to the toilet. So I guess, the insulin was bad, but because I never write down, when I change the vials, I did not make the connection earlier.
So, from now on, I'm going to write down, when exactly  I start using a new vial of insulin.
Tl;dr: Had weird high readings at night and in the morning, because of bad lantus. Changed vials and now everything seems to be back to normal.</t>
        </is>
      </c>
      <c r="D1406" t="n">
        <v>11</v>
      </c>
      <c r="E1406" t="n">
        <v>4</v>
      </c>
      <c r="F1406">
        <f>HYPERLINK("https://www.reddit.com/r/diabetes/comments/3qonz5/updatereason_found_nightly_low_or_something_else/")</f>
        <v/>
      </c>
      <c r="G1406" t="inlineStr">
        <is>
          <t>2015-10-29 03:11:57</t>
        </is>
      </c>
      <c r="H1406" t="inlineStr">
        <is>
          <t>Type 1</t>
        </is>
      </c>
    </row>
    <row r="1407">
      <c r="A1407" t="inlineStr">
        <is>
          <t>3qoqno</t>
        </is>
      </c>
      <c r="B1407" t="inlineStr">
        <is>
          <t>[Type 1] Do you celebrate/mark your diaversary?</t>
        </is>
      </c>
      <c r="C1407" t="inlineStr">
        <is>
          <t xml:space="preserve">Hi everyone,
I hope you won't think me insensitive, because I have been very reluctant to ask this question. Allow me to elaborate. 
I work for an advertising agency (don't click away yet!), and my boss has asked us to do some brainstorming for a not-for-profit campaign on Diabetes T1 awareness. Her son was diagnosed with T1 Diabetes 2 years ago, so it's personal to her. Over the course of those two years she has become increasingly frustrated at the research being done towards a cure. "It always seems just a few years away", she says. Additionally, only 7% of funding actually makes it way to research for a cure, as the majority instead goes to treatment/symptom alleviation (not that those are not important, of course!). She wants us to think of a campaign that shifts this balance, so that each diaversary that her son celebrates actually brings him and you closer to a cure.
Now, my question is: do you celebrate/mark your diaversary? If so, how do you do that? If not, why not? In my research for this project I've found that it's quite a divisive issue. What we are looking for is an angle to approach this project from, and we think these diaversaries might be a way to do that. 
I hope you don't find me insensitive for asking this. What I hope is that we can come up with the best campaign ever that will bring a cure that much closer. If you have any other ideas or suggestions just leave them in the comments, I'd be very happy to read them! Once again, sorry if this offends anyone, it really isn't my intention. Thanks!
</t>
        </is>
      </c>
      <c r="D1407" t="n">
        <v>7</v>
      </c>
      <c r="E1407" t="n">
        <v>32</v>
      </c>
      <c r="F1407">
        <f>HYPERLINK("https://www.reddit.com/r/diabetes/comments/3qoqno/type_1_do_you_celebratemark_your_diaversary/")</f>
        <v/>
      </c>
      <c r="G1407" t="inlineStr">
        <is>
          <t>2015-10-29 03:42:06</t>
        </is>
      </c>
      <c r="H1407" t="inlineStr">
        <is>
          <t>Type 1</t>
        </is>
      </c>
    </row>
    <row r="1408">
      <c r="A1408" t="inlineStr">
        <is>
          <t>3qqdqe</t>
        </is>
      </c>
      <c r="B1408" t="inlineStr">
        <is>
          <t>Best A1c yet... 6.6% Thank you Dexcom!</t>
        </is>
      </c>
      <c r="C1408" t="inlineStr">
        <is>
          <t>So, looking over my past A1c's for the past 2 years, my best was a 7.6%, usually in low 8s, with a high of 9.5%...3 months with my Dexcom I came in at 6.6%, according to Dexcom app, I'm trending down to 6.2% on current reads.  
This thing has been amazing.  Giving me the data I need to understand how much insulin to take and when.  Still learning and adjusting, but so excited over this and wanted to share.</t>
        </is>
      </c>
      <c r="D1408" t="n">
        <v>41</v>
      </c>
      <c r="E1408" t="n">
        <v>22</v>
      </c>
      <c r="F1408">
        <f>HYPERLINK("https://www.reddit.com/r/diabetes/comments/3qqdqe/best_a1c_yet_66_thank_you_dexcom/")</f>
        <v/>
      </c>
      <c r="G1408" t="inlineStr">
        <is>
          <t>2015-10-29 10:58:16</t>
        </is>
      </c>
      <c r="H1408" t="inlineStr">
        <is>
          <t>Type 1</t>
        </is>
      </c>
    </row>
    <row r="1409">
      <c r="A1409" t="inlineStr">
        <is>
          <t>3qr1d3</t>
        </is>
      </c>
      <c r="B1409" t="inlineStr">
        <is>
          <t>NHS pump time-frame question</t>
        </is>
      </c>
      <c r="C1409" t="inlineStr">
        <is>
          <t>Hi all, 
Was diagnosed February this year and due to excruciating pain injecting (so many types of needles, insulin and injection sites tried ugh...) my diabetes team and my consultant gave me the go ahead for a pump.
As I am very into going into CGM (my aunt has Type 1 and uses an animas vibe) they have agreed to go for an animas vibe however, this was agreed and the paperwork started on 17th September and I was curious how much longer on average I will have to wait?  
Funnily enough the injections don't stop hurting while I wait xD</t>
        </is>
      </c>
      <c r="D1409" t="n">
        <v>1</v>
      </c>
      <c r="E1409" t="n">
        <v>1</v>
      </c>
      <c r="F1409">
        <f>HYPERLINK("https://www.reddit.com/r/diabetes/comments/3qr1d3/nhs_pump_timeframe_question/")</f>
        <v/>
      </c>
      <c r="G1409" t="inlineStr">
        <is>
          <t>2015-10-29 13:26:14</t>
        </is>
      </c>
      <c r="H1409" t="inlineStr">
        <is>
          <t>Type 1</t>
        </is>
      </c>
    </row>
    <row r="1410">
      <c r="A1410" t="inlineStr">
        <is>
          <t>3qreod</t>
        </is>
      </c>
      <c r="B1410" t="inlineStr">
        <is>
          <t>Diabetes runs in my family, question about blood sugar levels.</t>
        </is>
      </c>
      <c r="C1410" t="inlineStr">
        <is>
          <t xml:space="preserve">So my dad has diabetes and so does my aunt. My dad got it from years of drinking too much pepsi. I ate a lot of crap as a teenager and was kinda chubby but in my 20's I got my act together and I would consider myself healthy now exercise and lift and am lean, though I still have a bit of a sweet tooth. Anyway my dad's diabetes has gotten worse and it sparked the idea that I should check my blood sugar levels just to make sure I'm in the clear.
I checked 4 times over 2 days. First in the evening after going for a jog it was 4.6. Then the morning of the next day before having ate anything it was 4.9, after breakfast it was 5.1 and then 8 hours later after work(ate lunch at work) it was 4.9 again.
I know technically that is in the normal range. But I've heard people say things like a truly healthy person shouldn't have levels above 5. Or that after fasting it should be below 5(where as 4.9 is damn close to 5.)
Anyway. I would love some input, am I just being a hypochondriac or could I stand to drop some sweets and try to get it a bit lower. In my mind you never can be too healthy. I just love me my cupcakes. </t>
        </is>
      </c>
      <c r="D1410" t="n">
        <v>1</v>
      </c>
      <c r="E1410" t="n">
        <v>4</v>
      </c>
      <c r="F1410">
        <f>HYPERLINK("https://www.reddit.com/r/diabetes/comments/3qreod/diabetes_runs_in_my_family_question_about_blood/")</f>
        <v/>
      </c>
      <c r="G1410" t="inlineStr">
        <is>
          <t>2015-10-29 14:50:37</t>
        </is>
      </c>
      <c r="H1410" t="inlineStr">
        <is>
          <t>Type 2</t>
        </is>
      </c>
    </row>
    <row r="1411">
      <c r="A1411" t="inlineStr">
        <is>
          <t>3qu4wi</t>
        </is>
      </c>
      <c r="B1411" t="inlineStr">
        <is>
          <t>Dawn phenomenon? More like the morning wall!</t>
        </is>
      </c>
      <c r="C1411" t="inlineStr">
        <is>
          <t>I have been battling dawn phenomenon for all of my 18 years as a T1. Now that I'm on a CGM I can actually see what's occurring, and it is puzzling.
Every night, right around 4am, my body starts its sugar dump, and I go on a steady rise until I wake up at 6am. Usually when I wake up it's in the 150-180 range, and will continue to go up.
I have tried to bump extra units as soon as I wake up, but it is like they hit a wall, and the BG's won't budge. Even if I eat my breakfast and double up my ratio (to compensate) it still seems like it doesn't even dent the "morning wall."
Then, daily, sometime around 11am, it all comes crashing down, even though the Novalog is clearly past its "peak time."
I just can't figure it out. How can I bump, and bump but see nothing? Is there something else to the dawn phenomenon that makes it impossible to get these numbers to budge?
I'd love to get this under control because, from that 11am time, all the way to 4am I can usually keep myself right in the 80-150 zone...but then it all starts over again where I'm spending ~7 hours each morning battling in the 180-200 zone.</t>
        </is>
      </c>
      <c r="D1411" t="n">
        <v>9</v>
      </c>
      <c r="E1411" t="n">
        <v>19</v>
      </c>
      <c r="F1411">
        <f>HYPERLINK("https://www.reddit.com/r/diabetes/comments/3qu4wi/dawn_phenomenon_more_like_the_morning_wall/")</f>
        <v/>
      </c>
      <c r="G1411" t="inlineStr">
        <is>
          <t>2015-10-30 06:26:51</t>
        </is>
      </c>
      <c r="H1411" t="inlineStr">
        <is>
          <t>Type 1</t>
        </is>
      </c>
    </row>
    <row r="1412">
      <c r="A1412" t="inlineStr">
        <is>
          <t>3qu6gr</t>
        </is>
      </c>
      <c r="B1412" t="inlineStr">
        <is>
          <t>Dosage help?</t>
        </is>
      </c>
      <c r="C1412" t="inlineStr">
        <is>
          <t>I've had type 1 since I was 9, now 23, and since late mid-teens my bloodsugar was always fine and I was able to take care of myself without issues. I had an insulin pump with novorapid for several years but 3 years ago when I moved to the UK I had to give up the pump and go back to injections since they wouldn't fund the pump for me unless they deemed it absolutely neccesary. So for about 3 years now I've been using lantus once a day and novorapid for meals and corrections, same I did before getting the pump. Being back on injections was of course different but I had no major issues with it until a few months ago and now I just can't seem to get it right. 
&amp;amp;nbsp;
The main issue is over night, my bloodsugar goes down by quite massive amounts while I'm asleep. As the lantus is 24h I've then had to find the best possible balance of not getting a hypo over night but still having enough during the day and this has been impossible. The best solution I've come to and have been using for a the last 2-3 months is to make sure levels are quite high before going to bed, if i'm any lower than about 14mmol/l before bed I will wake up with a hypo. On top of this I have to take a small dose of 2-3 units novorapid after I wake up or my levels will rise to 12+ in the first hour or two I'm awake.
&amp;amp;nbsp;
After I moved to the UK I've seen a diabetes advisor once and that was while still on the pump 3 years ago, then I seem to have got lost in the system somehow and was never called on another checkup again so I'm going to make sure I get a new appointment ASAP, but until then; does anyone have any advise what on earth I can do?</t>
        </is>
      </c>
      <c r="D1412" t="n">
        <v>2</v>
      </c>
      <c r="E1412" t="n">
        <v>10</v>
      </c>
      <c r="F1412">
        <f>HYPERLINK("https://www.reddit.com/r/diabetes/comments/3qu6gr/dosage_help/")</f>
        <v/>
      </c>
      <c r="G1412" t="inlineStr">
        <is>
          <t>2015-10-30 06:39:58</t>
        </is>
      </c>
      <c r="H1412" t="inlineStr">
        <is>
          <t>Type 1</t>
        </is>
      </c>
    </row>
    <row r="1413">
      <c r="A1413" t="inlineStr">
        <is>
          <t>3qulmy</t>
        </is>
      </c>
      <c r="B1413" t="inlineStr">
        <is>
          <t>Diabetes is kicking my ass today</t>
        </is>
      </c>
      <c r="C1413" t="inlineStr">
        <is>
          <t>Not my diabetes, but my daughter's.  She's 5, and last week was diagnosed with pneumonia.  Kept her home from school all week, sent her back on Monday.  Her blood sugars have been AWFUL at school this week.  Wednesday we kept her home most of the day fighting highs (400+) with large ketones.  Got it under control, sent her to school, blood sugar sky rockets again.
Come to find out, she's been having meltdowns (she's 5 and in Kindergarten).  She is getting stressed when the nurse leaves her and at snacks/meals, as well as at random times in the day.  I know she picks up on my anxiety when her blood sugar is out of control, and she's such a people pleaser, I'm afraid she is anxious about "disappointing" us with her blood sugars.
We've increased her basal rate by 15% and adjusted her I:C ratio.  Her blood sugar is good within 2 hours of coming home from school, and stays pretty stable all night long, but when she gets to school it's climbing from breakfast and then stays crazy high all day.  I just don't know what to do.
Sorry for the pity party.  Any advice?</t>
        </is>
      </c>
      <c r="D1413" t="n">
        <v>18</v>
      </c>
      <c r="E1413" t="n">
        <v>26</v>
      </c>
      <c r="F1413">
        <f>HYPERLINK("https://www.reddit.com/r/diabetes/comments/3qulmy/diabetes_is_kicking_my_ass_today/")</f>
        <v/>
      </c>
      <c r="G1413" t="inlineStr">
        <is>
          <t>2015-10-30 08:30:59</t>
        </is>
      </c>
      <c r="H1413" t="inlineStr">
        <is>
          <t>Type 1</t>
        </is>
      </c>
    </row>
    <row r="1414">
      <c r="A1414" t="inlineStr">
        <is>
          <t>3qyst3</t>
        </is>
      </c>
      <c r="B1414" t="inlineStr">
        <is>
          <t>Grey spot in upper peripheral vision, is it an emergency?</t>
        </is>
      </c>
      <c r="C1414" t="inlineStr">
        <is>
          <t>I have  a problem with my vision and I don't know what it is. There is a grey area in my upper left peripheral vision. I mean, when I look to the side there is a greyish/dark place in the upper left. 
It's not a line or a dot, it's like a cloudy area and it doesn't seem to move around.
Can it wait until I get an appointment in a few days or do I need to rush over to emergency services?
Edit: Yes I have diabetes.
Update: Went to ER and had an ophthalmology resident take a look. He put eyedrops in to dilate my eyes then looked through the slit lamp. He said there is no retinal detachment or tear that he can see and no bleeding. However, he said there was a part of the retina that appears pale. He said it was probably just a thinness in the retina. He referred me to the eye clinic for a perimetry test. The good news is that he said it's not really an emergency so I can just call the eye clinic on Monday for an appointment.</t>
        </is>
      </c>
      <c r="D1414" t="n">
        <v>2</v>
      </c>
      <c r="E1414" t="n">
        <v>14</v>
      </c>
      <c r="F1414">
        <f>HYPERLINK("https://www.reddit.com/r/diabetes/comments/3qyst3/grey_spot_in_upper_peripheral_vision_is_it_an/")</f>
        <v/>
      </c>
      <c r="G1414" t="inlineStr">
        <is>
          <t>2015-10-31 07:10:55</t>
        </is>
      </c>
      <c r="H1414" t="inlineStr">
        <is>
          <t>Type 2</t>
        </is>
      </c>
    </row>
    <row r="1415">
      <c r="A1415" t="inlineStr">
        <is>
          <t>3qzia9</t>
        </is>
      </c>
      <c r="B1415" t="inlineStr">
        <is>
          <t>Type 1 Show us your diabetes bag</t>
        </is>
      </c>
      <c r="C1415" t="inlineStr">
        <is>
          <t xml:space="preserve">Yesterday while I was about to take my nightly insulin shot, I started thinking: I guess that almost everybody who is a type one and uses MDI, carries a bag with all of your "equipment", and everyone has a different and unique way to organize their bags.
I'm a tech person, and I've seen a lot of "show us what's inside your backpack" contests in tech related sites, and I particularly love them! I've incorporated many ideas that I've seen in those contests in my daily routine.
With that in mind, I wanted to replicate the idea here, and start a contest called "Show us your diabetes bag".
The idea is to post a picture of a piece of clothing that at least for me became part of my body already =D, since it's always with me wherever I go.
All you have to do is take a picture of your diabetes bag, and reply to this post describing what's in the photo, along with any organization tip you might want to share.
I'm gonna start with [My Bag](http://i.imgur.com/5kwsNiI.jpg)
From the left to the right:
1. Left top: Some alcohol swabs, and honey sachets(in case of hypoglycemia)
2. Left bottom: BD ultra fine pen needles 4mm
3. Middle top: A hidden small cookies pack, in case I don't have enough time to have a snack in the morning or the afternoon, I usually carry something small with between 15/30g CHO
4. Middle bottom: My Accu-Chek Performa Connect meter
5. Right top: Small plastic bags Accu-Chek FastClix lancets.
6. Right bottom: From the left to the right:
      1. Accu-Chek FastClix lancing device
      2. ClickStar Blue Insulin Pen, with a refill of APIDRA my fast acting insulin
      3. ClickStar Grey Insulin Pen, with a refill of LANTUS my basal insulin
      4. Accu-Chek Performa testing strips
Now it's your turn!
</t>
        </is>
      </c>
      <c r="D1415" t="n">
        <v>21</v>
      </c>
      <c r="E1415" t="n">
        <v>31</v>
      </c>
      <c r="F1415">
        <f>HYPERLINK("https://www.reddit.com/r/diabetes/comments/3qzia9/type_1_show_us_your_diabetes_bag/")</f>
        <v/>
      </c>
      <c r="G1415" t="inlineStr">
        <is>
          <t>2015-10-31 10:27:18</t>
        </is>
      </c>
      <c r="H1415" t="inlineStr">
        <is>
          <t>Type 1</t>
        </is>
      </c>
    </row>
    <row r="1416">
      <c r="A1416" t="inlineStr">
        <is>
          <t>3r256s</t>
        </is>
      </c>
      <c r="B1416" t="inlineStr">
        <is>
          <t>Type 2 I think halloween is playing a trick on me (unusually low)</t>
        </is>
      </c>
      <c r="C1416" t="inlineStr">
        <is>
          <t>Some background first. I was diagnosed T2 in September of 2015 with an A1C of 9.8.  I was prescribed metformin, a diet change, exercise and a BG testor.  I was pretty freaked out but hit it head on by eliminating nearly all carbs from my diet (think scraping toppings off pizza crust and bunless burgers) and starting out walking on my treadmill 30 minutes a day (every other day to start).  I was on 500mg metformin, twice a day to start but quickly ramped up to 1000mg, twice a day.  At my next doctor appointment 3.5 months later I had lost 20 lbs and had an A1C of 5.9 (amazingly excellent progress; better than I had dreamed of).  Since then I've added some more carbs into my diet with what seems like very little negative effect.  
So, today is Halloween and I've decided to treat myself and have a bit of candy (2 "fun sized" Snickers and 1 "fun sized" Reese's peanut butter cup to be exact).  My morning BG was 111 but my evening number was 85!  I was expecting it to a bit a higher than normal so 85 was a complete shock.  I tested twice to make sure.  How is this even possible?
85 is unusually low for me.  It's my second lowest low on record (lowest was 83).  I've had times where I felt like I must be low only to test and find I'm at 95 or so.  
I test BG twice a day.  Once when I wake up for a fasting number and again 12 hours later.  I usually run somewhere between 100 and 115.  Recently I've started to take my evening BG test at the same time every day regardless of when I ate.  I find this gives me a wider variety of numbers since I could have eaten 3 hours before or 20 minutes before.  I like to see a more accurate picture of the BG range and only testing twice a day doesn't make that easy.
Does this low mean anything?  Should I be concerned?  I pretty sure adding candy bars to my diet won't reliably lower my BG :-)  I'd love to hear any wisdom from the group.</t>
        </is>
      </c>
      <c r="D1416" t="n">
        <v>1</v>
      </c>
      <c r="E1416" t="n">
        <v>4</v>
      </c>
      <c r="F1416">
        <f>HYPERLINK("https://www.reddit.com/r/diabetes/comments/3r256s/type_2_i_think_halloween_is_playing_a_trick_on_me/")</f>
        <v/>
      </c>
      <c r="G1416" t="inlineStr">
        <is>
          <t>2015-11-01 00:29:36</t>
        </is>
      </c>
      <c r="H1416" t="inlineStr">
        <is>
          <t>Type 2</t>
        </is>
      </c>
    </row>
    <row r="1417">
      <c r="A1417" t="inlineStr">
        <is>
          <t>3r3qiv</t>
        </is>
      </c>
      <c r="B1417" t="inlineStr">
        <is>
          <t>Problems with the Dawn Effect [T2]</t>
        </is>
      </c>
      <c r="C1417" t="inlineStr">
        <is>
          <t>Hello everyone!  
So I've been managing my T2 with diet and exercise. Dropped 70+ lbs since February. But I've noticed that my fasting BGL is still way to high.  
This morning, for example, it was 123. I know about the dawn effect so I thought maybe it was my liver pumping out insulin overnight. Maybe it would go down if I ate a bit to tell it to stop pumping. So I had a stick of string cheese and some green tea. 90 calories from the cheese and less than 1 g of carbs.  
Two hours later, my blood sugar jumps up to 139! So clearly eating a bit doesn't seem to help.  
Does any one have any tips regarding this? Something that will be effective in lowering my morning levels? I'm really curious about how to fight this.  
EDIT: I just want to add that I was diagnosed when I was 17, before I even had my driver's license. I lived in a rural area growing up so I didn't have a lot of control over my diet. I know Type II is seen as a problem with the person eating too much and exercising too little. I kind of get that. But I was a kid. So I hope it seems more understandable why I'm here.</t>
        </is>
      </c>
      <c r="D1417" t="n">
        <v>6</v>
      </c>
      <c r="E1417" t="n">
        <v>8</v>
      </c>
      <c r="F1417">
        <f>HYPERLINK("https://www.reddit.com/r/diabetes/comments/3r3qiv/problems_with_the_dawn_effect_t2/")</f>
        <v/>
      </c>
      <c r="G1417" t="inlineStr">
        <is>
          <t>2015-11-01 09:54:13</t>
        </is>
      </c>
      <c r="H1417" t="inlineStr">
        <is>
          <t>Type 2</t>
        </is>
      </c>
    </row>
    <row r="1418">
      <c r="A1418" t="inlineStr">
        <is>
          <t>3r4cog</t>
        </is>
      </c>
      <c r="B1418" t="inlineStr">
        <is>
          <t>Higher BG's than usual</t>
        </is>
      </c>
      <c r="C1418" t="inlineStr">
        <is>
          <t xml:space="preserve">Hi,
I'm T1, still honeymooning after 14 months. A1C of 5.3%(34) and I would say I'm not the greatest diabetic. I test before each meal. Before I go to bed, I eat a balanced diet and I try my best I guess. I also have Celiacs disease. 
Currently I take 12 1/2 Units of Levimir and I'm on a 1 unit/ 10g ratio(on MDI)
BG's in the past few days having being 6.5 - 8 mmol(117-144) where usually I'm more in the range of  4 - 6. 
This has happened for 3 days where my BG's have being raised. I raised my Levimir dose by half a unit and it made no difference. I thought I may have being coming down with something but nothing has cropped up yet.
I also get quite excessive sweating when my BG's are out of range and since my BG's have being raised, no sweating at all. Note my only symptom of being 'glutened' is sweating also.  It's really peculiar and my endo has no clue about the sweating. I'm going to contact about the BG's tomorrow but could my BG rise that quickly if I was 'coming off my honeymoon' or could it be something else? 
</t>
        </is>
      </c>
      <c r="D1418" t="n">
        <v>1</v>
      </c>
      <c r="E1418" t="n">
        <v>3</v>
      </c>
      <c r="F1418">
        <f>HYPERLINK("https://www.reddit.com/r/diabetes/comments/3r4cog/higher_bgs_than_usual/")</f>
        <v/>
      </c>
      <c r="G1418" t="inlineStr">
        <is>
          <t>2015-11-01 12:22:44</t>
        </is>
      </c>
      <c r="H1418" t="inlineStr">
        <is>
          <t>Type 1</t>
        </is>
      </c>
    </row>
    <row r="1419">
      <c r="A1419" t="inlineStr">
        <is>
          <t>3r4z1l</t>
        </is>
      </c>
      <c r="B1419" t="inlineStr">
        <is>
          <t>A1C result shocked my doctor!</t>
        </is>
      </c>
      <c r="C1419" t="inlineStr">
        <is>
          <t>A1C on 7/31/15 was 11.4 and A1C on 10/30/15 was 6.6. Awesome improvement thanks, in part, to some excellent advice I received here on /r/diabetes. My doctor kept saying that Metformin wasn't enough. I'm older, obese, showing the effects of a 30 year career sitting on my ass behind a desk. Doctor wanted me on Glipizide, which I could not tolerate. Then she wanted me to start on insulin. I refused the insulin, started a low carb diet, hired a personal trainer, and blew my doctor's mind. So satisfying. 
If I can do this, anyone can! And I couldn't have done it without y'all. 
Edit: I do take Metformin ER. My motivation was to manage bg without having to add any other meds or insulin. Sorry I forgot to mention this!</t>
        </is>
      </c>
      <c r="D1419" t="n">
        <v>15</v>
      </c>
      <c r="E1419" t="n">
        <v>15</v>
      </c>
      <c r="F1419">
        <f>HYPERLINK("https://www.reddit.com/r/diabetes/comments/3r4z1l/a1c_result_shocked_my_doctor/")</f>
        <v/>
      </c>
      <c r="G1419" t="inlineStr">
        <is>
          <t>2015-11-01 14:52:18</t>
        </is>
      </c>
      <c r="H1419" t="inlineStr">
        <is>
          <t>Type 2</t>
        </is>
      </c>
    </row>
    <row r="1420">
      <c r="A1420" t="inlineStr">
        <is>
          <t>3r6sof</t>
        </is>
      </c>
      <c r="B1420" t="inlineStr">
        <is>
          <t>t:slim G4 users advice with CGM connection and weirdness</t>
        </is>
      </c>
      <c r="C1420" t="inlineStr">
        <is>
          <t>Hi Guys,
I was hoping to get some input from anyone already using a t:slim with Dexcom G4 CGMs.
It's tough searching for t:slim and G4 issues because all the google results are either for the product manuals or google thinks you're looking for 4G mobile device info.
We were pretty sold on this setup for our daughter and I'm not quite ready to give up on it, but we haven't even gotten through the first week and are experiencing some hangups. I'm hoping that it is just coincidence that we're running into all of these at the same time.
* Firstly the first G4 sensor had trouble staying calibrated for more than a few hours on the first day and we eventually got it set. 
I've read in some forums that sometimes you just have to restart the sensor and maybe that's normal? I don't know.
But then the pump reported the sensor failed after just another day and needed replacement. 
We've moved to a new sensor and have had similar calibration issues and finally got it tracking after 8 hours and 8 calibration entries.
* Another thing with the pump is on the very second refill of insulin didn't sense nearly the right amount of insulin. It was over 100 units of insulin and the pump warned there wasn't enough insulin to continue. We added more to the cartridge since it was still new and it still read way lower than what was actually in there. The next morning it was reading what we guessed was actually in there which was well over 100 units. :-/ 
I hope this is just an unusual one time quirk caused by a wonky cartridge.
* The last thing we noticed is the battery indicator jumps up and down reporting say 80% left then later in the day says there's more than 80% without charging. 
I'm guessing this is the pump learning the battery because it's new. Has anyone else seen this?
This is not a good start for us and is leading me to thinking I have a sub-par pump.
I'll be calling Tandem in the morning, but I'm also curious if anyone else has experienced these things and has any input.
Thanks much.</t>
        </is>
      </c>
      <c r="D1420" t="n">
        <v>4</v>
      </c>
      <c r="E1420" t="n">
        <v>16</v>
      </c>
      <c r="F1420">
        <f>HYPERLINK("https://www.reddit.com/r/diabetes/comments/3r6sof/tslim_g4_users_advice_with_cgm_connection_and/")</f>
        <v/>
      </c>
      <c r="G1420" t="inlineStr">
        <is>
          <t>2015-11-02 00:12:46</t>
        </is>
      </c>
      <c r="H1420" t="inlineStr">
        <is>
          <t>Type 1</t>
        </is>
      </c>
    </row>
    <row r="1421">
      <c r="A1421" t="inlineStr">
        <is>
          <t>3r72pz</t>
        </is>
      </c>
      <c r="B1421" t="inlineStr">
        <is>
          <t>I cannot believe how bad the technology of Diabetic pumps is. [PG13]</t>
        </is>
      </c>
      <c r="C1421" t="inlineStr">
        <is>
          <t>Not one single pump today shouts 2015 to me. Every single one is an ugly piece of crap, which, to me, have all been fairly useless and have actually increased the pain of being diabetic. The Omnipod insulin pump was fine, other than when it ripped off over night EVERY FUCKING NIGHT. Now that I've been on Medtronic for a year and a month or two, I get to use a device that looks like it was crafted by a 5 year old, with an integrated CGM that works like it was created by a 6 year old. When I confront my Medtronic sales rep, he tells me it is because I have no idea what the hell I'm doing. Which frankly, I don't, because why the hell am I not allowed to input what my blood glucose is outside of times when I am eating. Then, when I have to upload the data, I have to dig around my house with a shovel because I need a specific USB stick to upload information to a website which hasn't been changed since 1995. (Which is also only usable on Windows, ffs.)
Maybe one of these days an intelligent person (even one in College/High School can create it, these days) creates a pump that can send all that data to a goddamn cellphone, which you can then upload with a click. Plus it could look damn cool. And a cellphone weighs less than this goddamn brick that I have called a Medtronic insulin pump.
If anyone making insulin pumps right now is reading this, can you please higher at least 1 designer, and 1 engineer, that can understand what the hell 2015 is supposed to look like? Especially when a device like that crap costs 8,000$
Thanks a lot.
-A very unsatisfied customer who is tired of carrying around a brick that barely fits in his pocket.</t>
        </is>
      </c>
      <c r="D1421" t="n">
        <v>1</v>
      </c>
      <c r="E1421" t="n">
        <v>25</v>
      </c>
      <c r="F1421">
        <f>HYPERLINK("https://www.reddit.com/r/diabetes/comments/3r72pz/i_cannot_believe_how_bad_the_technology_of/")</f>
        <v/>
      </c>
      <c r="G1421" t="inlineStr">
        <is>
          <t>2015-11-02 02:32:55</t>
        </is>
      </c>
      <c r="H1421" t="inlineStr">
        <is>
          <t>Type 1</t>
        </is>
      </c>
    </row>
    <row r="1422">
      <c r="A1422" t="inlineStr">
        <is>
          <t>3r8o7i</t>
        </is>
      </c>
      <c r="B1422" t="inlineStr">
        <is>
          <t>Can I get in super good shape as a T2?</t>
        </is>
      </c>
      <c r="C1422" t="inlineStr">
        <is>
          <t>Been T2 for about 18 months. Tired of being fat and out of shape. Been on a crazy diet/cardio/weight training kick for the past month. My very ambitious goal is 10% bodyfat, which I know will be years of hardwork and self control to get there but I am ready for the challenge.
Can diabetics get there? I'm not trying to discourage myself or be a Debbie Downer about having diabetes, but it's just with our endocrine systems being off slightly I am wondering if it is even possible. Is it any more difficult than it would be for a non-diabetic person?</t>
        </is>
      </c>
      <c r="D1422" t="n">
        <v>7</v>
      </c>
      <c r="E1422" t="n">
        <v>22</v>
      </c>
      <c r="F1422">
        <f>HYPERLINK("https://www.reddit.com/r/diabetes/comments/3r8o7i/can_i_get_in_super_good_shape_as_a_t2/")</f>
        <v/>
      </c>
      <c r="G1422" t="inlineStr">
        <is>
          <t>2015-11-02 10:23:07</t>
        </is>
      </c>
      <c r="H1422" t="inlineStr">
        <is>
          <t>Type 2</t>
        </is>
      </c>
    </row>
    <row r="1423">
      <c r="A1423" t="inlineStr">
        <is>
          <t>3r9ei0</t>
        </is>
      </c>
      <c r="B1423" t="inlineStr">
        <is>
          <t>Healthcare and Insulin Pumps</t>
        </is>
      </c>
      <c r="C1423" t="inlineStr">
        <is>
          <t>I currently use the Animas Ping, and have used Animas pumps since I was diagnosed. I went to my new endocrinologist today and they said that they don't like Animas because they haven't seen a rep in years, and the Medtronic and Tandem reps are there frequently, so I received a lot of lit for those two pumps/CGMs. The nurse at the endocrine said that their practice has no knowledge of the Animas systems.
I'm looking to get a CGM and a new pump, and I have Cigna insurance. I really like my Animas set up because I'm familiar with their products and haven't had any major issues, but I am open to possibly switching to a Medtronic device or the t:slim.
I went to call my insurance, Cigna, to see what manufacturers the insurance covers, and they told me to call a medical supply company by the name of Byram Healthcare Centers and see what they had.
Questions:
*  What pump/CGM set up do you have, and what do you like and dislike about it?
* Maybe I am phrasing it wrong to my insurance, but shouldn't they be able to tell me whether a certain manufacturer is covered or not?
Any help is much appreciated! Thank you.</t>
        </is>
      </c>
      <c r="D1423" t="n">
        <v>1</v>
      </c>
      <c r="E1423" t="n">
        <v>13</v>
      </c>
      <c r="F1423">
        <f>HYPERLINK("https://www.reddit.com/r/diabetes/comments/3r9ei0/healthcare_and_insulin_pumps/")</f>
        <v/>
      </c>
      <c r="G1423" t="inlineStr">
        <is>
          <t>2015-11-02 13:02:50</t>
        </is>
      </c>
      <c r="H1423" t="inlineStr">
        <is>
          <t>Type 1</t>
        </is>
      </c>
    </row>
    <row r="1424">
      <c r="A1424" t="inlineStr">
        <is>
          <t>3r9lpk</t>
        </is>
      </c>
      <c r="B1424" t="inlineStr">
        <is>
          <t>First post-diagnosis A1c results are in...</t>
        </is>
      </c>
      <c r="C1424" t="inlineStr">
        <is>
          <t>I was diagnosed in June with an A1c of 10.9, since then I've dropped 66lbs, taken back up daily intense exercise, started carb counting and running 5k every single day.
Today I got in the results of my A1c: 5.3
Feeling pretty good!</t>
        </is>
      </c>
      <c r="D1424" t="n">
        <v>42</v>
      </c>
      <c r="E1424" t="n">
        <v>21</v>
      </c>
      <c r="F1424">
        <f>HYPERLINK("https://www.reddit.com/r/diabetes/comments/3r9lpk/first_postdiagnosis_a1c_results_are_in/")</f>
        <v/>
      </c>
      <c r="G1424" t="inlineStr">
        <is>
          <t>2015-11-02 13:46:55</t>
        </is>
      </c>
      <c r="H1424" t="inlineStr">
        <is>
          <t>Type 2</t>
        </is>
      </c>
    </row>
    <row r="1425">
      <c r="A1425" t="inlineStr">
        <is>
          <t>3rbayw</t>
        </is>
      </c>
      <c r="B1425" t="inlineStr">
        <is>
          <t>Hyper-unawareness? (T1)</t>
        </is>
      </c>
      <c r="C1425" t="inlineStr">
        <is>
          <t>I've heard of hypo-unawareness and the problems it can cause (especially since being low can cause problems a lot quicker than being high), but I haven't really heard about people not being able to feel when they're high. 
So my question is, at what blood sugar do you know something is up? I usually can't tell the difference between 100 and 275, sometimes 300s. Is this something I should be worried about? And what can I do to keep from riding so high for so long without knowing and finding out at my next check? Would a CGM be my best friend in this case since I currently don't have one?
I have no problems figuring out when I'm low, I can usually feel that around 70-75.</t>
        </is>
      </c>
      <c r="D1425" t="n">
        <v>2</v>
      </c>
      <c r="E1425" t="n">
        <v>15</v>
      </c>
      <c r="F1425">
        <f>HYPERLINK("https://www.reddit.com/r/diabetes/comments/3rbayw/hyperunawareness_t1/")</f>
        <v/>
      </c>
      <c r="G1425" t="inlineStr">
        <is>
          <t>2015-11-02 20:55:30</t>
        </is>
      </c>
      <c r="H1425" t="inlineStr">
        <is>
          <t>Type 1</t>
        </is>
      </c>
    </row>
    <row r="1426">
      <c r="A1426" t="inlineStr">
        <is>
          <t>3rbk9q</t>
        </is>
      </c>
      <c r="B1426" t="inlineStr">
        <is>
          <t>T1- Waking up Low - Then High all Day</t>
        </is>
      </c>
      <c r="C1426" t="inlineStr">
        <is>
          <t xml:space="preserve">Hey everyone, hoping others have experience of this kind of fluctuation. For the last couple of weeks I have been waking up with a low, averaging about 3.2mmol / 58mg. This would usually indicate to me that my Basal rate (using Lantus) is too high. However once I get past about 9am my blood sugars are rising throughout the day, regularly hitting about 13mmol/ 234mg by late afternoon. This has been a constant, through different eating times etc, so I know its not just calculating wrong for food intake.
Any ideas about how to tackle this? The idea of dropping my Basal rate lower worries me given the already high readings throughout most the day.
 </t>
        </is>
      </c>
      <c r="D1426" t="n">
        <v>1</v>
      </c>
      <c r="E1426" t="n">
        <v>5</v>
      </c>
      <c r="F1426">
        <f>HYPERLINK("https://www.reddit.com/r/diabetes/comments/3rbk9q/t1_waking_up_low_then_high_all_day/")</f>
        <v/>
      </c>
      <c r="G1426" t="inlineStr">
        <is>
          <t>2015-11-02 22:14:54</t>
        </is>
      </c>
      <c r="H1426" t="inlineStr">
        <is>
          <t>Type 1</t>
        </is>
      </c>
    </row>
    <row r="1427">
      <c r="A1427" t="inlineStr">
        <is>
          <t>3re4mi</t>
        </is>
      </c>
      <c r="B1427" t="inlineStr">
        <is>
          <t>Newly diagnosed Type 2 with a question and some history</t>
        </is>
      </c>
      <c r="C1427" t="inlineStr">
        <is>
          <t>I had a kidney stone and went to an urgent care facility to avoid the long wait to see my GP. I was told the sugar in my urine was high and that I should get tested for diabetes. I got to see my GP a month later and they drew blood. I got my results 2 weeks later and 2 weeks after that I had a follow up visit to discuss treatment.
I was put on Metformin and told to check my sugar 3 times daily before meals. I was told my sugar average was 156 over 90 days. I scheduled another appointment for the following month and started following the treatment.
I went to my next follow up and they looked at my meter readings showing average 120ish. They told me that was great and that I could now only test once daily before breakfast. They again drew blood to see if my average was close to what my meter was showing. I got my results today and my average according to the test is 186, even higher than when I was diagnosed.
Since the kidney stone, I switched from soda/sweet tea every day to just water, nothing else. I also started eating better and counting carbs(may still be high, have not taken my diabetes education class yet) and making sure I was getting fewer carbs than before, and even lost 10 pounds. All of this, in my mind, should have lowered my sugar, not raised it.
My question is what would cause my average to jump like this? Could one of the averages be off? I know the first one they tested was A1C and this test was fructosamine. He now has me on Metformin/Glyburide that I will start tomorrow. Hopefully this will help but I am still confused why it went up in the first place and the discrepancy with my meter readings.</t>
        </is>
      </c>
      <c r="D1427" t="n">
        <v>4</v>
      </c>
      <c r="E1427" t="n">
        <v>9</v>
      </c>
      <c r="F1427">
        <f>HYPERLINK("https://www.reddit.com/r/diabetes/comments/3re4mi/newly_diagnosed_type_2_with_a_question_and_some/")</f>
        <v/>
      </c>
      <c r="G1427" t="inlineStr">
        <is>
          <t>2015-11-03 11:30:30</t>
        </is>
      </c>
      <c r="H1427" t="inlineStr">
        <is>
          <t>Type 2</t>
        </is>
      </c>
    </row>
    <row r="1428">
      <c r="A1428" t="inlineStr">
        <is>
          <t>3rel6z</t>
        </is>
      </c>
      <c r="B1428" t="inlineStr">
        <is>
          <t>My bff just got diagnosed with T1, have questions about diabetes, need help</t>
        </is>
      </c>
      <c r="C1428" t="inlineStr">
        <is>
          <t xml:space="preserve">Hello! 
First of all a short backstory;
Me and my best friend have been best friends since kindergarten and now we are 18. People tell us that we could be sisters because we are so like each other. Late last week she got her diagnosis(type 1) and it came as a shock. I have not yet met her (we have 1 week holiday from school, I have been away the whole week) but we have been texting and that's how she told me.
I don't know what kind of treatment she will take and I think that's not yet decided.
That's the backstory and I also want to mention that I don't now much about Diabetes in fact I hardly know anything and I'm sorry if I write something that can be taken offensive, if i do, it's not my intention. As I said I don't know that much about diabetes. 
I need help/advice/ from people who has diabetes or/and people who know have a relationship(friend,parent etc..) with someone who has it.
I will put my questions on a list, feel free to answer how many you like!
1. Do you know good websites with information about diabetes that you (personally) find "understanding"?
2. Do you have any tips like do/don't about anything related to diabetes? what questions to ask my friend/what questions to not ask etc...?
3. Me and my best friend used to loads of snacks on weekends and holidays. chips, litres of soda,chocolate,popcorn etc etc but now can she eat that? Is there snacks that are more diabetes friendly?(Im from scandinavia btw, not all american brands exist here) Or do you have recipes on snacks that you make yourself? Im thinking of carrot and cucumber sticks with a dip or maybe that's not diabetic friendly at all? 
4. Is there some typical food that's not diabetic healthy? or maybe on overthinking about food but as I said I don't know much.
5. What about alcohol?
6. How will diabetes affect her when she is excising? will she be more tired? We have sport in school (right word is PE according to wikipedia) and she also trains gymnastics.
7. Is there anything more you want to add? something that is important for me to know?
Thank you in advance for anyone who answers, I really mean it. I want to be supportive and be there for her so thank you.
Also as I said I'm from scandinavia so I'm not a native English speaker so I know I have made some spelling mistakes and grammar mistakes.
</t>
        </is>
      </c>
      <c r="D1428" t="n">
        <v>3</v>
      </c>
      <c r="E1428" t="n">
        <v>13</v>
      </c>
      <c r="F1428">
        <f>HYPERLINK("https://www.reddit.com/r/diabetes/comments/3rel6z/my_bff_just_got_diagnosed_with_t1_have_questions/")</f>
        <v/>
      </c>
      <c r="G1428" t="inlineStr">
        <is>
          <t>2015-11-03 13:14:07</t>
        </is>
      </c>
      <c r="H1428" t="inlineStr">
        <is>
          <t>Type 1</t>
        </is>
      </c>
    </row>
    <row r="1429">
      <c r="A1429" t="inlineStr">
        <is>
          <t>3rfped</t>
        </is>
      </c>
      <c r="B1429" t="inlineStr">
        <is>
          <t>Family member having Spinal Surgery and is Type 2</t>
        </is>
      </c>
      <c r="C1429" t="inlineStr">
        <is>
          <t xml:space="preserve">Hi all,
A relative of mine is having spinal surgery and is Type 2. I'm not exactly sure what meds he is on but I am wondering what we can do while he is in recovery. He will not be able to do alot of activity for at least 6 weeks and after that I don't believe he will be able to really work out for a few months. Any good diet plans or tips for this particular situation? </t>
        </is>
      </c>
      <c r="D1429" t="n">
        <v>1</v>
      </c>
      <c r="E1429" t="n">
        <v>1</v>
      </c>
      <c r="F1429">
        <f>HYPERLINK("https://www.reddit.com/r/diabetes/comments/3rfped/family_member_having_spinal_surgery_and_is_type_2/")</f>
        <v/>
      </c>
      <c r="G1429" t="inlineStr">
        <is>
          <t>2015-11-03 17:51:53</t>
        </is>
      </c>
      <c r="H1429" t="inlineStr">
        <is>
          <t>Type 2</t>
        </is>
      </c>
    </row>
    <row r="1430">
      <c r="A1430" t="inlineStr">
        <is>
          <t>3rgbcc</t>
        </is>
      </c>
      <c r="B1430" t="inlineStr">
        <is>
          <t>Traveling to China: Advice for Food?</t>
        </is>
      </c>
      <c r="C1430" t="inlineStr">
        <is>
          <t>Hello! I am a type 1 diabetic who was just accepted into my college's cross-cultural program to travel through China for a month.
This will be my first time out of the country, and I am wondering if any of you have traveled there and have advice for what I can expect for giving insulin for food, where to find nutritional information, and possibly other advice in general for traveling as a diabetic.
For other info about me: I have an Insulin Pump which I calculate carbohydrates. I have had Diabetes since I was 2, so I am pretty versed and experienced in handling food in the states. Again, I have no idea what to expect from food in China, except for the fact that "Chinese food" in America is nothing like food in China.</t>
        </is>
      </c>
      <c r="D1430" t="n">
        <v>1</v>
      </c>
      <c r="E1430" t="n">
        <v>5</v>
      </c>
      <c r="F1430">
        <f>HYPERLINK("https://www.reddit.com/r/diabetes/comments/3rgbcc/traveling_to_china_advice_for_food/")</f>
        <v/>
      </c>
      <c r="G1430" t="inlineStr">
        <is>
          <t>2015-11-03 20:37:33</t>
        </is>
      </c>
      <c r="H1430" t="inlineStr">
        <is>
          <t>Type 1</t>
        </is>
      </c>
    </row>
    <row r="1431">
      <c r="A1431" t="inlineStr">
        <is>
          <t>3rgjie</t>
        </is>
      </c>
      <c r="B1431" t="inlineStr">
        <is>
          <t>Low White Blood Cell Count?</t>
        </is>
      </c>
      <c r="C1431" t="inlineStr">
        <is>
          <t>Background: A1C% 6.1%, female, 23 y/o, dx'd 1/28/2014 with Type 1 and Hashimoto's Thyroiditis (recent labs: TSH 2.5, T4 1.1). Medications: 50 mcg Levothyroxine, 8u Levemir/daily, carb ratio 1:25, Novolog.
Long story short, I've felt like complete and utter shit the past four months! Awful fatigue, severe knee pain (joints), depression (now seeing a therapist), chronic yeast infection (since July), 1 case of strep, 1 case of bacterial vaginosis. I recently switched endocrinologists/hospital networks and am exponentially happier with my new provider. I just received lab tests that showed no vitamin deficiencies (B12 and 25 D-hydroxy were of concern previously) and no positive autoantibodies for celiac disease. HIV negative. My doctor did say my granulocytes (white blood cells) count was low. I did a quick search and found this through the Mayo clinic online:
"Neutropenia (noo-troe-PEE-nee-uh) is an abnormally low count of neutrophils, a type of white blood cell that helps fight off infections, particularly those caused by bacteria and fungi."
I feel like this pretty accurately describes what I've been experiencing but am wondering if this is something other people with one or two autoimmune diseases have dealt with? I pretty much get the impression that this is just something that comes with the territory of having autoimmune diseases? My endocrinologist did recommend that I follow up with a primary care physician to address this issue, but I'm wondering if anyone knows of any preventative measures I could take in the future to avoid going through such a shitty time again? I do supplement a pretty nutrient dense diet with the following:
probiotics (http://www.amazon.com/gp/product/B00JB2G0ZM?psc=1&amp;amp;redirect=true&amp;amp;ref_=oh_aui_detailpage_o01_s00)
fish oil (http://www.amazon.com/gp/product/B0014GB0DA?psc=1&amp;amp;redirect=true&amp;amp;ref_=oh_aui_detailpage_o00_s00)
vitamin d (http://www.amazon.com/gp/product/B0017Q948U?keywords=vitamin%20d%20pure%20encapsulations&amp;amp;qid=1446616112&amp;amp;ref_=sr_1_1&amp;amp;s=hpc&amp;amp;sr=1-1)</t>
        </is>
      </c>
      <c r="D1431" t="n">
        <v>2</v>
      </c>
      <c r="E1431" t="n">
        <v>2</v>
      </c>
      <c r="F1431">
        <f>HYPERLINK("https://www.reddit.com/r/diabetes/comments/3rgjie/low_white_blood_cell_count/")</f>
        <v/>
      </c>
      <c r="G1431" t="inlineStr">
        <is>
          <t>2015-11-03 21:49:15</t>
        </is>
      </c>
      <c r="H1431" t="inlineStr">
        <is>
          <t>Type 1</t>
        </is>
      </c>
    </row>
    <row r="1432">
      <c r="A1432" t="inlineStr">
        <is>
          <t>3rgqze</t>
        </is>
      </c>
      <c r="B1432" t="inlineStr">
        <is>
          <t>I've been pricking along my forearm since diagnosis and everyone has had different opinions. Should I move to my fingers?</t>
        </is>
      </c>
      <c r="C1432" t="inlineStr">
        <is>
          <t xml:space="preserve">(Explanation: so I'm a wimp and when I was diagnosed my T1 Dad had an ancient meter that you would place on your arm, and it kind of suctioned on, lanced, and then tested all in the one - it shut down years ago and wasn't even common at that point, but I was a wimp and used it because it didn't hurt at all, lol. I switched to Freestyles years ago but still test on my forearm.)
So my various educators and endos over the years have had different ideas about whether this affected my results - most suggested a lag in the results. I'm considering moving to pricking on my fingers. So has anyone else got experience with alternate site testing versus testing on your fingers? </t>
        </is>
      </c>
      <c r="D1432" t="n">
        <v>1</v>
      </c>
      <c r="E1432" t="n">
        <v>9</v>
      </c>
      <c r="F1432">
        <f>HYPERLINK("https://www.reddit.com/r/diabetes/comments/3rgqze/ive_been_pricking_along_my_forearm_since/")</f>
        <v/>
      </c>
      <c r="G1432" t="inlineStr">
        <is>
          <t>2015-11-03 23:04:57</t>
        </is>
      </c>
      <c r="H1432" t="inlineStr">
        <is>
          <t>Type 1</t>
        </is>
      </c>
    </row>
    <row r="1433">
      <c r="A1433" t="inlineStr">
        <is>
          <t>3riunt</t>
        </is>
      </c>
      <c r="B1433" t="inlineStr">
        <is>
          <t>Type 1 without antibodies</t>
        </is>
      </c>
      <c r="C1433" t="inlineStr">
        <is>
          <t>Is it possible to be type 1 without any antibodies showing up?  
I just got the results back for a trial study, and they showed no type 1 antibodies present.  They said they checked for “all” antibody types, but I’m still trying to confirm that – I know there are some rare ones that they don’t often screen for.  The results also said that I am still producing natural insulin.
I’m worried now that it may not be T1D, and could be a pancreatic cancer or another  disease.  Are there other tests or questions I should bring up to my endo?
Background – Just diagnosed in May.  BG over 600 A1c at 13.7, went to the ER with dehydration, very thirsty, peeing a lot, extremely tired.  I also had very high ketones and lost 50 lbs in a few months.  Classic T1 signs except for being hungry, and I’m in my 40s.  My BG is now very well controlled with 20U lantus, and about 7U of Novolog per day.  High carbs or missed doses can still spike me into the high 200s.  My A1c is back down to 5.5 so I have that going for me!</t>
        </is>
      </c>
      <c r="D1433" t="n">
        <v>6</v>
      </c>
      <c r="E1433" t="n">
        <v>18</v>
      </c>
      <c r="F1433">
        <f>HYPERLINK("https://www.reddit.com/r/diabetes/comments/3riunt/type_1_without_antibodies/")</f>
        <v/>
      </c>
      <c r="G1433" t="inlineStr">
        <is>
          <t>2015-11-04 10:28:57</t>
        </is>
      </c>
      <c r="H1433" t="inlineStr">
        <is>
          <t>Type 1</t>
        </is>
      </c>
    </row>
    <row r="1434">
      <c r="A1434" t="inlineStr">
        <is>
          <t>3rjfz3</t>
        </is>
      </c>
      <c r="B1434" t="inlineStr">
        <is>
          <t>ANA Test?</t>
        </is>
      </c>
      <c r="C1434" t="inlineStr">
        <is>
          <t xml:space="preserve">Longtime T1 here - I've been dealing with some annoying skin/scalp issues for a while along with generally feeling a bit run-down, and my dermatologist suggested an ANA blood test, which I am having done. Has anyone else on here had one done before? </t>
        </is>
      </c>
      <c r="D1434" t="n">
        <v>2</v>
      </c>
      <c r="E1434" t="n">
        <v>4</v>
      </c>
      <c r="F1434">
        <f>HYPERLINK("https://www.reddit.com/r/diabetes/comments/3rjfz3/ana_test/")</f>
        <v/>
      </c>
      <c r="G1434" t="inlineStr">
        <is>
          <t>2015-11-04 12:43:07</t>
        </is>
      </c>
      <c r="H1434" t="inlineStr">
        <is>
          <t>Type 1</t>
        </is>
      </c>
    </row>
    <row r="1435">
      <c r="A1435" t="inlineStr">
        <is>
          <t>3rkpl0</t>
        </is>
      </c>
      <c r="B1435" t="inlineStr">
        <is>
          <t>Type 1 - Concern over leg numbness</t>
        </is>
      </c>
      <c r="C1435" t="inlineStr">
        <is>
          <t xml:space="preserve">Type 1 for nearly 4 years, decent Bg control since I got my insulin pump a year ago, had some problems with painful neuropathy in my feet a few months ago but that's mostly been cleared up with pregabalin and lidocaine patches. 
Today I spent 6 hours on a cramped coach, during which my right leg lost all sensation below the knee. In the ~14 hours since I got off, feeling has gradually been coming back but it's still not all there, it feels like perpetual pins &amp;amp; needles. 
Should I be very concerned? I'm going to see if sleep helps, but if it's still there in the morning do I need to see a doctor? I'm due to work tomorrow which keeps me on my feet for 8 hours, is this likely to help reduce the numbness to make it worse?
Any advice or experience you can share would be massively appreciated. </t>
        </is>
      </c>
      <c r="D1435" t="n">
        <v>2</v>
      </c>
      <c r="E1435" t="n">
        <v>4</v>
      </c>
      <c r="F1435">
        <f>HYPERLINK("https://www.reddit.com/r/diabetes/comments/3rkpl0/type_1_concern_over_leg_numbness/")</f>
        <v/>
      </c>
      <c r="G1435" t="inlineStr">
        <is>
          <t>2015-11-04 18:04:32</t>
        </is>
      </c>
      <c r="H1435" t="inlineStr">
        <is>
          <t>Type 1</t>
        </is>
      </c>
    </row>
    <row r="1436">
      <c r="A1436" t="inlineStr">
        <is>
          <t>3rlnx0</t>
        </is>
      </c>
      <c r="B1436" t="inlineStr">
        <is>
          <t>Seeking a job with T1D</t>
        </is>
      </c>
      <c r="C1436" t="inlineStr">
        <is>
          <t>Hello all. For the past ten years I have worked as a server in a couple restaurants. I recently quit my job this summer. I won't get into details because that is a whole different story but I could NOT stay where I was.
Anyways, I started working at the age of 17 and continued to work through high school and college. I went to college to become a Certified Medical Assistant. I graduated 5 years ago but continued to work in the restaurant industry. 
This was a very difficult job to perform with diabetes. I'd go low a lot during and after my shifts.  I even had a couple bad incidents and was late to work because of hypoglycemia. Working lunch and dinner hours was never much fun. I can't believe I worked that long (sometimes 12 hour shifts) and pushed my dinners back until late in the evening, sometimes even skipping meals all together. I mean sure I would snack and test in my down time but there were moments where I literally did not have time to do that if I went low. All I could do if I got busy and felt low was say YEP I'm low and drink some regular soda to correct it. Even after correcting my sugars it's not like I could sit down and take a few minutes to chill and let my blood sugar rise. It was frustrating because when I'm low I become forgetful and disoriented and one time I couldn't even figure out what drinks I was putting together and who got what for a somewhat large table. Then my boss came back and said something like "Why is it taking so long for you to get these drinks out" blah blah blah and I had to explain how disoriented I was and couldn't think right because my blood sugar levels were so low.  I had to stop myself from snapping and saying something like "Oh I'm sorry I'm just on the verge of passing out and possibly DYING but no worries!".  Sucked when I'd forget stuff for customers because they'd either have to ask for it twice or I bet a lot of people would never say anything and it probably reflected in lowering my tip.
I am done with that shit and now looking for a job in the field I went to school for. I want a normal 9 to 5 with a lunch break and this type of career could give me that. I've been trying very hard these past few months and have had a couple interviews that haven't gone anywhere. I feel like people with more experience get hired over me and they also see how long I've been out of school and look down on that. I wish I would have tried harder right after college to get a job in my field but it is what it is.  I'm trying to make a change for the better.
I refuse to go back to serving. I don't want a job where my meal times get interrupted.
What do you other fellow diabetics do for a living and how do you cope with the demands of your job while also dealing with diabetes?  Have any of you worked as a server with diabetes or another physically demanding type of job?
Any suggestions for a different job that MIGHT be easier to manage diabetes with  (particularly with less physical demands) until I get my real career started are welcome!</t>
        </is>
      </c>
      <c r="D1436" t="n">
        <v>3</v>
      </c>
      <c r="E1436" t="n">
        <v>18</v>
      </c>
      <c r="F1436">
        <f>HYPERLINK("https://www.reddit.com/r/diabetes/comments/3rlnx0/seeking_a_job_with_t1d/")</f>
        <v/>
      </c>
      <c r="G1436" t="inlineStr">
        <is>
          <t>2015-11-04 23:02:50</t>
        </is>
      </c>
      <c r="H1436" t="inlineStr">
        <is>
          <t>Type 1</t>
        </is>
      </c>
    </row>
    <row r="1437">
      <c r="A1437" t="inlineStr">
        <is>
          <t>3rneyg</t>
        </is>
      </c>
      <c r="B1437" t="inlineStr">
        <is>
          <t>Type 1 - Help.</t>
        </is>
      </c>
      <c r="C1437" t="inlineStr">
        <is>
          <t xml:space="preserve">Well.. where do I start? Born in Australia, December of 1995 WITHOUT Diabetes. Around the age of 2 and a half I developed type 1 diabetes which my mother had received around 10 years before I was born. My uncle also has type 1, other than my mother and uncle I don't believe anyone else in my family has it. 
Soon to be turning 20 and having the shittest time dealing with diabetes, in fact, always have. Ever since I can remember I've had the WORST diabetes control out of anyone I've met. I've done my BSL more in the last 4 months than I have since the age of 10 (due to a medical team helping me attempt to get it all on track) and I've been taking my insulin BEFORE bed (Novorapid &amp;amp; Lantus) instead of at appropriate times which has led me to a total of 4 hypoglycemic seizures. This has been the case for SO long now and in all honesty I'm having the HARDEST time dealing with it. I have a gigantic sweet-tooth and not sure how I can control it as such. We're not a well funded family (just my mother and I) but we don't go overboard with what we eat, we try to stay as healthy as we possibly can, sadly we both live with Diabetes, Depression and Anxiety so we tend to get "comfort food" every other day yet happily staying at a healthy weight.
I kind of want to know what issues people have had or if they've had anything similar to what I'm dealing with and how they dealt with it. I'm honestly sick of living like this and with a recent scare of protein in my urine meaning the possibility of kidney disease I want to get my life on track, but even with my BSL Kit &amp;amp; Insulin in front/with me almost always, I still just can't seem to do it, even after the scare and seizures, it's just.. a 24/7 mental struggle. Also, yes I am currently seeing a psychologist. 
Thanks to anyone who can give me some insight into anything that can help me.
- Nathan.
</t>
        </is>
      </c>
      <c r="D1437" t="n">
        <v>1</v>
      </c>
      <c r="E1437" t="n">
        <v>4</v>
      </c>
      <c r="F1437">
        <f>HYPERLINK("https://www.reddit.com/r/diabetes/comments/3rneyg/type_1_help/")</f>
        <v/>
      </c>
      <c r="G1437" t="inlineStr">
        <is>
          <t>2015-11-05 09:12:46</t>
        </is>
      </c>
      <c r="H1437" t="inlineStr">
        <is>
          <t>Type 1</t>
        </is>
      </c>
    </row>
    <row r="1438">
      <c r="A1438" t="inlineStr">
        <is>
          <t>3rnhgt</t>
        </is>
      </c>
      <c r="B1438" t="inlineStr">
        <is>
          <t>CGM tip that changed everything!</t>
        </is>
      </c>
      <c r="C1438" t="inlineStr">
        <is>
          <t>So I am seeing on here that a lot of people are having issues with their CGM, and I was in the same boat up until about two months ago. Previously my CGM was ALWAYS off and would alarm me in the middle of the night for a "low", which never was actually low. (CGM would read 45 and my glucometer would read 112. This would happen all of the time. Even with false high BGs. UGH!) Because of this, I would not use my CGM even though I paid oh-so-much money for it. That was a total drag.
Fast forward to 2 months ago... I was fed up with my CGM and my Endocrinologist was practically begging me to use it. I have the MiniMed Insulin Pump with Enlite, so I called up Minimed and was able to schedule a re-training with the insulin pump trainer. First off, yes, I was trained on the system when I first received it. And because a “nurse” trained me I was confident I knew everything about the system... I was SO wrong. Now, my CGM is reading right on/within 10 points of my BG. I have been using my CGM constantly for 2 months and I have noticed positive changes in my control and can better understand my trends. (By no means and I an expert, grain of salt people.) So here are the tips that the (best) trainer (in the world) taught me:
- When placing your CGM site, make sure that it is pointing down. I can't speak for Dexcom users, but for Enlite users... you want the transmitter (seashell) to clip onto the site facing down. (So the round part of the shell pointing up towards your face.) This will help keep things from pulling your sensor out/catching on it, plus gravity is in your favor!
- Tape it... twice. Before you attach the transmitter, tape the front portion down. Then clip in the transmitter, secure the flap, and place the final tape to the back end of the transmitter. This tapes down both sides to prevent the sensor from moving anywhere and coming out.
- You only need to calibrate every 6 hours max (MiniMed Enlite), don't go calibration crazy. 
- Do not calibrate if you see trend arrows up or down. This means your BG is changing rapidly, and would not be the best data to use. 
- Calibration is KEY! (The game changer guys!) ONLY CALIBRATE IF YOU HAVE NOT TAKEN ANY INSULIN WITHIN THE LAST 3 HOURS. Seriously. Don't do it. MiniMed has an awesome little "3 hour" window when reviewing your CGM trends. So if you see any 'tick' marks at the bottom of the screen, these signal an insulin dose, don't calibrate. Wait until it has been 3 hours.
     *     But why, you may ask? Your body is still processing the insulin and is still experiencing the effects of it. After about 3 hours your BG will "level out", more or less, this is when it is best to calibrate. (Seriously, if you aren't doing this... that is why things are all jacked up. I know first hand.)
     *     "Well what if my CGM says that it needs a calibration but I took insulin less than 3 hours ago?" Wait. Wait a few more hours, then calibrate. It is okay if your sensor turns off while you wait for the best calibration time. It is better to have good data then a lot of bad/mehh data.
     *     "My trainer said that as long as I don't have up or down arrows, it is okay to calibrate!" No. That is wrong. I was told that too, and you know where it got me? A not working CGM...
- Calibrate first thing in the AM, and whenever possible if the above rules are met.
- Your CGM, MiniMed at least, will accept BG calibrations of anywhere from 40-400. Just because you are high or low, and haven't taken insulin in 3 hours, doesn't mean you shouldn't calibrate.
I hope these tips help those who are struggling with their CGM. (The 3-hour calibration tip is what made the biggest change for me.)</t>
        </is>
      </c>
      <c r="D1438" t="n">
        <v>21</v>
      </c>
      <c r="E1438" t="n">
        <v>23</v>
      </c>
      <c r="F1438">
        <f>HYPERLINK("https://www.reddit.com/r/diabetes/comments/3rnhgt/cgm_tip_that_changed_everything/")</f>
        <v/>
      </c>
      <c r="G1438" t="inlineStr">
        <is>
          <t>2015-11-05 09:29:27</t>
        </is>
      </c>
      <c r="H1438" t="inlineStr">
        <is>
          <t>Type 1</t>
        </is>
      </c>
    </row>
    <row r="1439">
      <c r="A1439" t="inlineStr">
        <is>
          <t>3ro6hx</t>
        </is>
      </c>
      <c r="B1439" t="inlineStr">
        <is>
          <t>Low BG symptoms, Dr. says don't worry</t>
        </is>
      </c>
      <c r="C1439" t="inlineStr">
        <is>
          <t>My GP put me on Metformin/Glyburide(I also take Nebivolol which is on the interactions list to watch for) and I took my first dose this morning at breakfast. About 2.5 hours after I ate I started sweating on my head and had weakness in my arms and shaky hands. I was also really tired and could barely keep my eyes open.
After about 20 minutes I started feeling a little better but still weak. I only test once daily when I wake up so I don't bring my monitor with me to work. I drove home at lunch to get it and did a test and it showed I was at 75. I can only assume it was lower than this due to the symptoms I was having and feeling better by this point.
I called my GP and of course had to speak to one of the nurses and she relayed what happened to the GP. She called me back and said not to worry and that this is just my body reacting to having normal sugar levels again after all this time and that I should keep taking the medicine as normal. She didn't seem to think it had gone below 75 since I had nothing to eat or drink between the symptoms and testing. I had only eaten a few hours earlier so it seems to me maybe I was still releasing whatever sugar I had at breakfast and that might have made it go back up a little, but I am new to this and really not sure.
Does this seem correct to anyone? It seems off to me that if I had low sugar on this medicine after a higher than normal carb breakfast that he would want me to keep taking it, or at least keep taking the same dosage. What happens when I take my dose tonight and go to sleep and get low again? It also bothers me that the fact sheet for this medicine specifically says to call your doctor immediately if having any of the symptoms I was having, and yet they didn't seem to think it was a big deal.</t>
        </is>
      </c>
      <c r="D1439" t="n">
        <v>1</v>
      </c>
      <c r="E1439" t="n">
        <v>7</v>
      </c>
      <c r="F1439">
        <f>HYPERLINK("https://www.reddit.com/r/diabetes/comments/3ro6hx/low_bg_symptoms_dr_says_dont_worry/")</f>
        <v/>
      </c>
      <c r="G1439" t="inlineStr">
        <is>
          <t>2015-11-05 12:09:34</t>
        </is>
      </c>
      <c r="H1439" t="inlineStr">
        <is>
          <t>Type 2</t>
        </is>
      </c>
    </row>
    <row r="1440">
      <c r="A1440" t="inlineStr">
        <is>
          <t>3rohbo</t>
        </is>
      </c>
      <c r="B1440" t="inlineStr">
        <is>
          <t>Hyperglycemic mood swings - Type 1</t>
        </is>
      </c>
      <c r="C1440" t="inlineStr">
        <is>
          <t xml:space="preserve">This is something I've only just recently begun experiencing, but it's gotten to the point where it's affecting my performance at work and is a major source of stress. Recently whenever I am hyperglycemic, little annoyances start to set me off as if they are huge disasters. It will start with something as small as dropping a towel at work, to which I'll scoff and say "that's just the day I've been having". Then I'll drop something else, or notice a coworker sitting in a different position, or the printer will be in use when I need it. It's usually something small that I would never normally even notice, let alone be bothered by. It's almost as if I'm looking for an excuse to be upset. Then I'll start rustling papers, slamming a coffee mug, eventually I end up needing to excuse myself for a few minutes to try and center myself but I get set off super easily again. 
Is this common? Does anyone have any tips in how to deal with this? Usually when my blood sugar comes down I am fine, but sometimes it can take hours for my blood sugar to drop down to normal levels again after treating with insulin. 
Thanks in advance. </t>
        </is>
      </c>
      <c r="D1440" t="n">
        <v>9</v>
      </c>
      <c r="E1440" t="n">
        <v>12</v>
      </c>
      <c r="F1440">
        <f>HYPERLINK("https://www.reddit.com/r/diabetes/comments/3rohbo/hyperglycemic_mood_swings_type_1/")</f>
        <v/>
      </c>
      <c r="G1440" t="inlineStr">
        <is>
          <t>2015-11-05 13:19:18</t>
        </is>
      </c>
      <c r="H1440" t="inlineStr">
        <is>
          <t>Type 1</t>
        </is>
      </c>
    </row>
    <row r="1441">
      <c r="A1441" t="inlineStr">
        <is>
          <t>3rtneg</t>
        </is>
      </c>
      <c r="B1441" t="inlineStr">
        <is>
          <t>Need help with sudden uncontrollable high blood sugar.</t>
        </is>
      </c>
      <c r="C1441" t="inlineStr">
        <is>
          <t>So I've had type I for 14 years now and understand my body very well. I'm very active and I go to the gym 5-6 days a week. Last night I ran ~3 miles and I generally have a low after doing cardio, so I made sure my blood sugar was slightly elevated to compensate for the eventual drop. 
I wake up at around 930am and my blood sugar is just over 300. I drink water and take insulin to correct the high. 30-40 minutes later I'm 344. I think that's weird so I drink more water and change my site and tubing because I'm on the pump. It's now been 3.5 hours and my blood sugar still won't go down after not having breakfast, drinking and peeing out a ton of water, changing my site, tubing and even filling up a new reservoir of insulin from an unopened vile of insulin. I have no idea what to do or why this is happened! Anyone have any ideas??</t>
        </is>
      </c>
      <c r="D1441" t="n">
        <v>3</v>
      </c>
      <c r="E1441" t="n">
        <v>19</v>
      </c>
      <c r="F1441">
        <f>HYPERLINK("https://www.reddit.com/r/diabetes/comments/3rtneg/need_help_with_sudden_uncontrollable_high_blood/")</f>
        <v/>
      </c>
      <c r="G1441" t="inlineStr">
        <is>
          <t>2015-11-06 14:57:45</t>
        </is>
      </c>
      <c r="H1441" t="inlineStr">
        <is>
          <t>Type 1</t>
        </is>
      </c>
    </row>
    <row r="1442">
      <c r="A1442" t="inlineStr">
        <is>
          <t>3rtv2y</t>
        </is>
      </c>
      <c r="B1442" t="inlineStr">
        <is>
          <t>[T1D] Logging a career best A1C!</t>
        </is>
      </c>
      <c r="C1442" t="inlineStr">
        <is>
          <t>Came back from the Endo today - 6.2%! Lowest in my life. This is my first A1C with a CGM (about 6 weeks). If you have been holding off, don't. It was the best purchase I have ever made. This technology coupled with the Keto diet has me shooting for sub 6's in the future.
Big thanks to the contributors on this sub - frequent or not. Having a community to share ideas and words of encouragement is the best. I consider all of you my friends; we share the same struggle. Feel free to ask questions.</t>
        </is>
      </c>
      <c r="D1442" t="n">
        <v>9</v>
      </c>
      <c r="E1442" t="n">
        <v>8</v>
      </c>
      <c r="F1442">
        <f>HYPERLINK("https://www.reddit.com/r/diabetes/comments/3rtv2y/t1d_logging_a_career_best_a1c/")</f>
        <v/>
      </c>
      <c r="G1442" t="inlineStr">
        <is>
          <t>2015-11-06 15:56:11</t>
        </is>
      </c>
      <c r="H1442" t="inlineStr">
        <is>
          <t>Type 1</t>
        </is>
      </c>
    </row>
    <row r="1443">
      <c r="A1443" t="inlineStr">
        <is>
          <t>3rvcba</t>
        </is>
      </c>
      <c r="B1443" t="inlineStr">
        <is>
          <t>Omnipod vs. Medtronic and a question</t>
        </is>
      </c>
      <c r="C1443" t="inlineStr">
        <is>
          <t>I recently had the opportunity to try the Omnipod basically for free because Insurance And Such; so I thought I'd give it a go.  Did the sit-down with an educator attached to my Endo's office, and learned how to operate the omnipod equipment, and so forth.  I've normally got really great control.  I can point to mistakes I've made for highs or lows, or some other obvious failure ("the fucking medtronic tube came out", "giant bubbled in the reservoir", etc.) 
Anyway, got my first pod in last week, doing great.  Time to switch 'em out, and I made a newbie mistake and put it somewhere that bends on me, which meant slapping like 3 tegaderm patches over it to hold it in place for the next day and a half, but blood sugars were fantastic.
Next pod?  I woke up at 200, and stayed there _all day_, no matter what I did.  Did an old syringe bolus just to bring it down, worked fine, and climbed back up to 250 before I gave up and swapped the pod, again.  Different site, same deal.  
I finally got frustrated and just re-did the medtronic, and things started coming back into normal within 20 minutes.  Admittedly, took about 3 hours to bring everything back down to "normal".
How common is it to see that sort of drastic change?  It was pretty obvious to me that the pod was either not delivering insulin, or the cannula wasn't properly inserted, or something else was wrong.  I'm at a bit of a loss as to what, and honestly, pretty irritated.  The no-tubes thing is _awesome_, but not if it means I'm going to end up in DKA.  I can get those same results (no tubes, DKA) without paying for pods. :P</t>
        </is>
      </c>
      <c r="D1443" t="n">
        <v>1</v>
      </c>
      <c r="E1443" t="n">
        <v>2</v>
      </c>
      <c r="F1443">
        <f>HYPERLINK("https://www.reddit.com/r/diabetes/comments/3rvcba/omnipod_vs_medtronic_and_a_question/")</f>
        <v/>
      </c>
      <c r="G1443" t="inlineStr">
        <is>
          <t>2015-11-07 00:36:56</t>
        </is>
      </c>
      <c r="H1443" t="inlineStr">
        <is>
          <t>Type 1</t>
        </is>
      </c>
    </row>
    <row r="1444">
      <c r="A1444" t="inlineStr">
        <is>
          <t>3rvs1e</t>
        </is>
      </c>
      <c r="B1444" t="inlineStr">
        <is>
          <t>Have you ever had to find a new PCP?</t>
        </is>
      </c>
      <c r="C1444" t="inlineStr">
        <is>
          <t>I need to find a new PCP. I honestly didn't know the office very well, and just picked it because it was really convenient. But now that I have a pretty good grip on my immediate health issues, I think it's time for me to find a doctor that is familiar with T2 diabetes.
Have any of you had to do this? What steps did you take? Did you call offices and ask questions? Any helpful tips?</t>
        </is>
      </c>
      <c r="D1444" t="n">
        <v>5</v>
      </c>
      <c r="E1444" t="n">
        <v>21</v>
      </c>
      <c r="F1444">
        <f>HYPERLINK("https://www.reddit.com/r/diabetes/comments/3rvs1e/have_you_ever_had_to_find_a_new_pcp/")</f>
        <v/>
      </c>
      <c r="G1444" t="inlineStr">
        <is>
          <t>2015-11-07 04:28:35</t>
        </is>
      </c>
      <c r="H1444" t="inlineStr">
        <is>
          <t>Type 2</t>
        </is>
      </c>
    </row>
    <row r="1445">
      <c r="A1445" t="inlineStr">
        <is>
          <t>3rwuw8</t>
        </is>
      </c>
      <c r="B1445" t="inlineStr">
        <is>
          <t>Animas Vibe - prime alarm issue</t>
        </is>
      </c>
      <c r="C1445" t="inlineStr">
        <is>
          <t>My "pump not primed" alarm keeps going off. Usually it happens once or twice a week, but lately it's been doing it every few hours. I normally just prime 1U to make it shut up. Has anyone run into this? Will I have to mail in my pump? I'd rather not as I have become rather attached to this little thing over the last while.</t>
        </is>
      </c>
      <c r="D1445" t="n">
        <v>1</v>
      </c>
      <c r="E1445" t="n">
        <v>2</v>
      </c>
      <c r="F1445">
        <f>HYPERLINK("https://www.reddit.com/r/diabetes/comments/3rwuw8/animas_vibe_prime_alarm_issue/")</f>
        <v/>
      </c>
      <c r="G1445" t="inlineStr">
        <is>
          <t>2015-11-07 10:14:00</t>
        </is>
      </c>
      <c r="H1445" t="inlineStr">
        <is>
          <t>Type 1</t>
        </is>
      </c>
    </row>
    <row r="1446">
      <c r="A1446" t="inlineStr">
        <is>
          <t>3s1h64</t>
        </is>
      </c>
      <c r="B1446" t="inlineStr">
        <is>
          <t>How do you give insulin for protein and fat when on a keto diet?? Need help!</t>
        </is>
      </c>
      <c r="C1446" t="inlineStr">
        <is>
          <t>I'm been trying to do keto for a few weeks hoping this would finally keep my blood sugar in a normal range (my last a1c was 9.5 so I'm mostly used to high numbers) but it's not helping the way I thought it would. Have any other type 1s tried keto and figured out a good system for giving insulin for protein/fat with minimal carbs? My blood sugar is still spiking (not as dramatically as it would with carbs but it's still easily going into the 200s) despite eating under 20 net carbs and I'm at a loss of what to do. I practically have to give the same amount of insulin without eating carbs and I thought a big thing about keto would be giving less insulin, not the same amount.
Should I give insulin for all carbs and not just net carbs? And how do I factor in protein and fat? I've heard you should give insulin as if half the protein is carbs, but does that really work and when do I know when to do that? It almost seems this is more complicated than just eating carbs normally and it's getting frustrating seeing high numbers despite the lack of carbs. If anyone has any advice please let me know! Thanks!</t>
        </is>
      </c>
      <c r="D1446" t="n">
        <v>6</v>
      </c>
      <c r="E1446" t="n">
        <v>12</v>
      </c>
      <c r="F1446">
        <f>HYPERLINK("https://www.reddit.com/r/diabetes/comments/3s1h64/how_do_you_give_insulin_for_protein_and_fat_when/")</f>
        <v/>
      </c>
      <c r="G1446" t="inlineStr">
        <is>
          <t>2015-11-08 11:52:55</t>
        </is>
      </c>
      <c r="H1446" t="inlineStr">
        <is>
          <t>Type 1</t>
        </is>
      </c>
    </row>
    <row r="1447">
      <c r="A1447" t="inlineStr">
        <is>
          <t>3s2kvl</t>
        </is>
      </c>
      <c r="B1447" t="inlineStr">
        <is>
          <t>At what glucose level would your body start to produce ketones?</t>
        </is>
      </c>
      <c r="C1447" t="inlineStr">
        <is>
          <t>I remember when I was diagnosed I had ketones in my urine (because my blood sugar was 30.0 mmol/L +)
But does any one know at which point your body will start producing ketones? I'm concerned because I've had some high's lately (around 15.0 mmol/L) and I normally brush these off but it's been a couple of days at this level so I'm worried about if there would have been ketones present or not?
EDIT: I was clearly uninformed about what causes the production of ketones! Thank you to everyone who made this clear!!!</t>
        </is>
      </c>
      <c r="D1447" t="n">
        <v>3</v>
      </c>
      <c r="E1447" t="n">
        <v>13</v>
      </c>
      <c r="F1447">
        <f>HYPERLINK("https://www.reddit.com/r/diabetes/comments/3s2kvl/at_what_glucose_level_would_your_body_start_to/")</f>
        <v/>
      </c>
      <c r="G1447" t="inlineStr">
        <is>
          <t>2015-11-08 16:34:24</t>
        </is>
      </c>
      <c r="H1447" t="inlineStr">
        <is>
          <t>Type 1</t>
        </is>
      </c>
    </row>
    <row r="1448">
      <c r="A1448" t="inlineStr">
        <is>
          <t>3s3f5l</t>
        </is>
      </c>
      <c r="B1448" t="inlineStr">
        <is>
          <t>Morning insulin resistance and HIT exercise</t>
        </is>
      </c>
      <c r="C1448" t="inlineStr">
        <is>
          <t>So the last week or so I've been having trouble with my I:C ratio in the morning 6-11am.
I'm on a pump and have a cgm, my basal rate seems about right from midnight up until this time, I've been on the pump for just about a year now and I haven't previously had too much trouble with the dawn phenomenon. 
The only thing I've changed recently is the intensity/duration of exercise I do. I'm following a cycling training plan and I've just finished base training where I would do 5-6 days of long low intensity exercise 2-3 hours a day and now I'm doing 5-6 days of high intensity exercise for about 1-1.5hours a day.
If anything I would have thought this would have had a more positive effect on my levels than the lower intensity stuff. 
In terms of the workouts they are usually something like an hour-1.5 hours of anywhere between 10-20mins at 80-100% of FTP (repeated 3 or 4 times) and then followed the next day by a somewhat easier ride 60-80% and then rinse repeat (I'm following TrainerRoad high level sustained power build for any other cyclists out there)
I was on a 1:10 carb ratio and I've decreased it down to 1:8 but it seems I may need to go even lower, for the rest of the day however everything else seems to be about what it was before.
I'm fairly sure I'm not getting sick (or at least its taking a really long time to show any symptoms) and I'm not really dealing with any stress, changing sites, insulin etc hasn't seemed to make a dramatic difference.
Any ideas, has anyone seen increased insulin resistance with HIT exercise?</t>
        </is>
      </c>
      <c r="D1448" t="n">
        <v>2</v>
      </c>
      <c r="E1448" t="n">
        <v>5</v>
      </c>
      <c r="F1448">
        <f>HYPERLINK("https://www.reddit.com/r/diabetes/comments/3s3f5l/morning_insulin_resistance_and_hit_exercise/")</f>
        <v/>
      </c>
      <c r="G1448" t="inlineStr">
        <is>
          <t>2015-11-08 20:31:25</t>
        </is>
      </c>
      <c r="H1448" t="inlineStr">
        <is>
          <t>Type 1</t>
        </is>
      </c>
    </row>
    <row r="1449">
      <c r="A1449" t="inlineStr">
        <is>
          <t>3s70zm</t>
        </is>
      </c>
      <c r="B1449" t="inlineStr">
        <is>
          <t>Type 1 and pregnant</t>
        </is>
      </c>
      <c r="C1449" t="inlineStr">
        <is>
          <t xml:space="preserve">I have had T1D for 29 years and am 6 months pregnant. Diabetes is exhausting enough and adding pregnancy on top of that can get overwhelming, scary, and extremely lonely at times. Checking every 2 hours, twice during the night, increasing insulin levels at least once a week, plus all the extra doctor visits. I am also overly critical of my numbers since my baby is relying on me to be as healthy as possible. I have made the mistake of googling too many things and reading horror stories. Anyone out there in the same boat? Anyone have a success story or something that really helped them stay sane during pregnancy? I have a great team of doctors but sometimes it's nice to hear from others who can relate. </t>
        </is>
      </c>
      <c r="D1449" t="n">
        <v>18</v>
      </c>
      <c r="E1449" t="n">
        <v>60</v>
      </c>
      <c r="F1449">
        <f>HYPERLINK("https://www.reddit.com/r/diabetes/comments/3s70zm/type_1_and_pregnant/")</f>
        <v/>
      </c>
      <c r="G1449" t="inlineStr">
        <is>
          <t>2015-11-09 14:45:31</t>
        </is>
      </c>
      <c r="H1449" t="inlineStr">
        <is>
          <t>Type 1</t>
        </is>
      </c>
    </row>
    <row r="1450">
      <c r="A1450" t="inlineStr">
        <is>
          <t>3s74tg</t>
        </is>
      </c>
      <c r="B1450" t="inlineStr">
        <is>
          <t>5 Days off Cannabis, Low Blood Sugars all day everyday ( and night )</t>
        </is>
      </c>
      <c r="C1450" t="inlineStr">
        <is>
          <t>Hi i have had diabetes for 8 years now, I'm turning 20 next month, i have been smoking bongs since i was 16, after smoking 2g a day for the last year i decided it was time to quit (financial reasons ), because i am getting a New Insulin pump and CGM next month.
 First off let me tell you my last HBA1c was just over 14 two months ago( the worst I've had) after not seeing a specialist in 12 months because i was transitioning between The Childrens hospital to Adult.  I wasn't motivated enough to control my diabetes and since quitting the cannabis 5 days ago i already want to get my diabetes under control, In the 5 days without cannabis most of my readings are under 4mmol, i take lantus and have been for a year, usually if I'm going hypo overnight i can adjust by 2-3 units and wait 2-3 days and my levels will rise, this has not been the case, from 26 units at night, now down to 20u ( adjusting 3u and waiting a few days for effect) and I'm still having the worst hypos I've had in my life, i treated a hypo last night ( 3.5) with snacks, drinks around 60G of sugar followed by Long acting Carbohydrates, an hour after i was 16.4, an hour later 2.1, I've never needed glucagon in the 8 years I've had diabetes, i am seeing a specialist about getting on my new pump next month, but for the meantime I'm just wondering if anyone has any similar experiences with cannabis and diabetes, Thanks</t>
        </is>
      </c>
      <c r="D1450" t="n">
        <v>1</v>
      </c>
      <c r="E1450" t="n">
        <v>9</v>
      </c>
      <c r="F1450">
        <f>HYPERLINK("https://www.reddit.com/r/diabetes/comments/3s74tg/5_days_off_cannabis_low_blood_sugars_all_day/")</f>
        <v/>
      </c>
      <c r="G1450" t="inlineStr">
        <is>
          <t>2015-11-09 15:10:49</t>
        </is>
      </c>
      <c r="H1450" t="inlineStr">
        <is>
          <t>Type 1</t>
        </is>
      </c>
    </row>
    <row r="1451">
      <c r="A1451" t="inlineStr">
        <is>
          <t>3sa860</t>
        </is>
      </c>
      <c r="B1451" t="inlineStr">
        <is>
          <t>Angry small rant</t>
        </is>
      </c>
      <c r="C1451" t="inlineStr">
        <is>
          <t xml:space="preserve">I've been a type 1 since i was 1 month old, and i'm 24 now. Im sick of taking care of my blood sugar, and how it affects my schooling. When im stressed at school and i go high, i either get depressed or furious at myself.
I'm active, i eat well, and according to my doctor, i was in the top 5% of his patients for good scores not too long ago. Its just fucking exhausting to balance all that shit with a heavy workload.
I recently started making low-carb power foods made of nutritional powders, and healthy whole foods - even though they help, my schedule is so busy that i can't always make them. 
I go to one the top 3 universities in canada for what i'm taking, premed science, which is why my schedule is fucked. 
Anyways, ranting aside, does anyone have any advice or suggestions on dealing with a over-loaded schedule (in university) and Diabetes? The two main problems is going high during a study session or homework = low focus, and getting EXTREMELY discouraged after i get shit marks or "slack" on my studies... like, if regular people have mental health issues over university, what i've read, asked, and experienced about diabetes... i'm twice and prone. 
</t>
        </is>
      </c>
      <c r="D1451" t="n">
        <v>3</v>
      </c>
      <c r="E1451" t="n">
        <v>15</v>
      </c>
      <c r="F1451">
        <f>HYPERLINK("https://www.reddit.com/r/diabetes/comments/3sa860/angry_small_rant/")</f>
        <v/>
      </c>
      <c r="G1451" t="inlineStr">
        <is>
          <t>2015-11-10 07:43:44</t>
        </is>
      </c>
      <c r="H1451" t="inlineStr">
        <is>
          <t>Type 1</t>
        </is>
      </c>
    </row>
    <row r="1452">
      <c r="A1452" t="inlineStr">
        <is>
          <t>3saza6</t>
        </is>
      </c>
      <c r="B1452" t="inlineStr">
        <is>
          <t>Seasonal basal rate changes</t>
        </is>
      </c>
      <c r="C1452" t="inlineStr">
        <is>
          <t>Anyone else notice big swings in basal requirements as the seasons change? I've had to bump basal rates more than 10% across the board since we went off Daylight Savings Time. I figure it's probably partly due to visual light cues, and partly due to decreased vitamin D production due to less sun exposure.
This is the first time change I've gone through since switching to a pump, so I'm mostly just curious if this is an anomaly, or a standard thing that most people need to deal with.</t>
        </is>
      </c>
      <c r="D1452" t="n">
        <v>8</v>
      </c>
      <c r="E1452" t="n">
        <v>4</v>
      </c>
      <c r="F1452">
        <f>HYPERLINK("https://www.reddit.com/r/diabetes/comments/3saza6/seasonal_basal_rate_changes/")</f>
        <v/>
      </c>
      <c r="G1452" t="inlineStr">
        <is>
          <t>2015-11-10 10:39:59</t>
        </is>
      </c>
      <c r="H1452" t="inlineStr">
        <is>
          <t>Type 1</t>
        </is>
      </c>
    </row>
    <row r="1453">
      <c r="A1453" t="inlineStr">
        <is>
          <t>3sdjsd</t>
        </is>
      </c>
      <c r="B1453" t="inlineStr">
        <is>
          <t>My life as a Diabetic</t>
        </is>
      </c>
      <c r="C1453" t="inlineStr">
        <is>
          <t>Dunno if this is common in this sub, but I just wanna kinda introduce myself, and go over my life as an insulin dependent type-1 Diabetic. 
Where to Begin?
Well, my diagnosis came at 13 months old. I had been sick for a few weeks, and nothing my parents did was helping, even after several visits to my primary physician. So I was admired to the hospital, where they tested me for everything they could think of. The test for my blood glucose levels came back at over 500. I was Diabetic. My parents were not horribly surprised, as diabetes ran in my family. It was still a shock, however, as they knew what the care entitled. My mother once told me one of the hardest things she had to do in her life was learn to inject insulin for me. I can't remember a time that I was not a diabetic, and in some ways I am grateful for that. I can only imagine how hard it would be to make this transition in my late teens or early twenties. 
I don't think diabetes ever barred me from having a normal childhood, as I still played and had fun, but with a little more careful monitoring during long physical activities and fewer sweets. My grandmother was a godsend to my parents, as she is a type-1.5 diabetic diagnosed in her late fifties. My parents knew they could leave me with her and she could actually care for me without extra training. As I grew up, I played soccer, I joined the school band, and generally lead a normal life. 
But I was embarrassed. I knew I couldn't help being diabetic, but the sense of different-ness could still get to me. The jokes several kids who knew no better made about my pump being a bomb, having to leave class before lunch to go to the nurse's office to test, always having to drink diet sodas at events. Hell, my username came from a crude joke one of my friends made about my pump in middle school. I never felt discriminated against, but it just felt like the world didn't understand, and didn't truly care to. 
One of the things that changed my life was getting my first insulin pump. I was getting ready to go into fifth grade. It gave me a level of freedom I had never experienced before. It still does. It changed how I viewed some things as a diabetic. I didn't have to stick to a super strict meal schedule simply to cut down the number of injections I needed. I could start to be entrusted with my own care. My doctor could change basal and bolus patterns as I grew, giving me more precise control. It was a miracle at the time, and still is.
My pump helped me out greatly, until about highschool. My control really waned for a few years for many reasons. I started to feel sick of this disease. I have had it longer than I can remember, I'm gonna have it for years to come. Why? Why haven't they cured this? Why can't I be normal? this was not helped by several factors. My primary endocrinologist who I had been seeing since I was a baby, suddenly moved his practice farther than it was viable to keep seeing him. My parents felt it was time I start taking care of myself full time, and would berate me when I didn't do everything I needed to. It was a rough few years. It ended with me in college, out from under them, no overbearing parents, no one checking that I was doing what I needed to, not a care in the world to either. My whole life spiraled. I almost failed out of college my freshman year, something I'm still working to fix two years later. My A1C was up past 8, and my current Endo was very seriously talking about dropping me as a patent if I didn't help myself. 
Between my freshman and sophomore years a few things happened. I got a job, and had to start making sure my Blood Sugar was good so I could work. My long time girlfriend knew what kind of issues I was having and stepped in to help me the best she could. over the next year I struggled to take back control, of my grade, my diabetes, my life. I finally saw results. My A1C was finally dropping, I got good grades, I felt everything would work out. 
This past summer I started to address one issue I was having that needed fixing: the replacement of my now third Insulin pump. It was five years old, cracked, scarred, and ready to be replaced. After a summer of calls to company reps, paperwork, and insurance calls, I still didn't have a new pump. I want back to school, waiting to settle in and start trying to work everything out. Then, the worst happened. 
On Sunday, September 6th, after my parents had dropped me off at my dorm, my insulin pump died. Motor sensor failure. It literally could not tell there was a reservoir in the pump. I panicked and called my parents, called my doctor's office on-call line to figure out what to do. To make matters worse, the following day was labor day. I was a diabetic, a state away from home, with no car, no pump, and not basal insulin. Lucky, I had a package of needles stored in my supplies box for such a rainy day, and humalog for my pump. It was the first time in over almost ten years I had injected insulin with a needle. The following day, I called Medtronic to figure out what to do, and they overnight-ed me a loaned pump until they could sort out the insurance to get me a permanent replacement. The problem was, the Pump could not ship until Tuesday, and would not arrive until Wednesday, leaving my pumpless for two more days. 
I got the pump and everything was okay, and I started working to getting that replacement. A month and a half later, I got the replacement, a shinny new pump with a CGM that I named Garrus, due to it's love of calibrations. It's already helping me improve my treatment, and the more I thought about this past year, the more I wanted to share with others what this disease is to me. I have not let it defeat me, even if it is a challenge I face daily. I will not let it rob me of my time with friends, or my girlfriend, or school. I will not put my life on hold for this disease. 
Edit: changed wording for better clarity</t>
        </is>
      </c>
      <c r="D1453" t="n">
        <v>28</v>
      </c>
      <c r="E1453" t="n">
        <v>21</v>
      </c>
      <c r="F1453">
        <f>HYPERLINK("https://www.reddit.com/r/diabetes/comments/3sdjsd/my_life_as_a_diabetic/")</f>
        <v/>
      </c>
      <c r="G1453" t="inlineStr">
        <is>
          <t>2015-11-10 21:49:40</t>
        </is>
      </c>
      <c r="H1453" t="inlineStr">
        <is>
          <t>Type 1</t>
        </is>
      </c>
    </row>
    <row r="1454">
      <c r="A1454" t="inlineStr">
        <is>
          <t>3seyk6</t>
        </is>
      </c>
      <c r="B1454" t="inlineStr">
        <is>
          <t>Call from Doctor</t>
        </is>
      </c>
      <c r="C1454" t="inlineStr">
        <is>
          <t>Hello. I have not used this subreddit before, but it seems like a good place as i'm in a bit of a mess right now and don't know what to do.
I'm 22 and live in the UK. I'm somewhat overweight (about 17 stone) and recently went to the doctors as I have always had a problem with excessive sweating. I had some bloods taken and received a call today saying they noticed high glucose levels in my blood, and that I need to come for more tests on Friday.
I'm really scared that this will mean I have type 2 diabetes. If I do I don't even really know what this means and what impact this will have on my life. I've been trying to act on my weight for a long time, and have been dieting as best I can for the past few months, along with frequent exercise. 
If this is the case, what happens next. Will I die early? Will I have to inject insulin? I'm sorry if this is not the right sort of post to go here, but right now i'm pretty close to tears and just really scared.
Thanks in advance</t>
        </is>
      </c>
      <c r="D1454" t="n">
        <v>5</v>
      </c>
      <c r="E1454" t="n">
        <v>27</v>
      </c>
      <c r="F1454">
        <f>HYPERLINK("https://www.reddit.com/r/diabetes/comments/3seyk6/call_from_doctor/")</f>
        <v/>
      </c>
      <c r="G1454" t="inlineStr">
        <is>
          <t>2015-11-11 07:39:08</t>
        </is>
      </c>
      <c r="H1454" t="inlineStr">
        <is>
          <t>Type 2</t>
        </is>
      </c>
    </row>
    <row r="1455">
      <c r="A1455" t="inlineStr">
        <is>
          <t>3sf2hi</t>
        </is>
      </c>
      <c r="B1455" t="inlineStr">
        <is>
          <t>It's my first day pumping!</t>
        </is>
      </c>
      <c r="C1455" t="inlineStr">
        <is>
          <t xml:space="preserve">I got the T-Slim. So far it's been great. I don't even notice it on my side and I actually bolus when I eat (didn't always on MDI). Any tips for how to wear a pump with a suit? </t>
        </is>
      </c>
      <c r="D1455" t="n">
        <v>29</v>
      </c>
      <c r="E1455" t="n">
        <v>21</v>
      </c>
      <c r="F1455">
        <f>HYPERLINK("https://www.reddit.com/r/diabetes/comments/3sf2hi/its_my_first_day_pumping/")</f>
        <v/>
      </c>
      <c r="G1455" t="inlineStr">
        <is>
          <t>2015-11-11 08:07:50</t>
        </is>
      </c>
      <c r="H1455" t="inlineStr">
        <is>
          <t>Type 1</t>
        </is>
      </c>
    </row>
    <row r="1456">
      <c r="A1456" t="inlineStr">
        <is>
          <t>3sfayg</t>
        </is>
      </c>
      <c r="B1456" t="inlineStr">
        <is>
          <t>Type 1 Meetup(s)</t>
        </is>
      </c>
      <c r="C1456" t="inlineStr">
        <is>
          <t>I posted a couple months back about an outdoor adventure meetup that I was going to host in the Red River Gorge in Kentucky. I wanted to share a brief update about how it went--and let you know that it is my hope to do many more of these all across the US in 2016. 
My family is going to be living on the road full time and being able to provide opportunities for in person get-togethers in the outdoors that are totally free--is one of my goals. This one was a sort of test run and I was really excited at how well it went. 
There was something for everyone--hanging out around a campfire and shooting the...(insulin) as well as hiking and climbing. It was far from extreme but tons of fun in a way that made diabetes feel much more "normal".
I have more details about our first meetup at my blog/podcast which I will share here in the event that this concept sparks anyone's interest. I know that being outside and "adventuring" isn't everyone's idea of a great time. People tend to think that it's for extreme athletes only but there really is something for everyone and my goal is just to get more people with diabetes together and into one of the few "free" resources that we have to improve our life with diabetes. I hope to see some of you "out there" at some point! 
(Podcast-with some live interview footage from the meetup) http://livingvertical.org/blog/podcast/episode-35-live-from-kentucky-our-first-type1-meetup-and-why-we-need-more/
(Blog with photos and a video from the meetup) http://livingvertical.org/blog/2015/11/09/our-first-adventurerx-meetup-recap-video-and-a-radical-vision-for-the-future/</t>
        </is>
      </c>
      <c r="D1456" t="n">
        <v>5</v>
      </c>
      <c r="E1456" t="n">
        <v>4</v>
      </c>
      <c r="F1456">
        <f>HYPERLINK("https://www.reddit.com/r/diabetes/comments/3sfayg/type_1_meetups/")</f>
        <v/>
      </c>
      <c r="G1456" t="inlineStr">
        <is>
          <t>2015-11-11 09:05:41</t>
        </is>
      </c>
      <c r="H1456" t="inlineStr">
        <is>
          <t>Type 1</t>
        </is>
      </c>
    </row>
    <row r="1457">
      <c r="A1457" t="inlineStr">
        <is>
          <t>3sfpva</t>
        </is>
      </c>
      <c r="B1457" t="inlineStr">
        <is>
          <t>Dexcom Clarity - events?</t>
        </is>
      </c>
      <c r="C1457" t="inlineStr">
        <is>
          <t xml:space="preserve">I got a CGM last week, and now I am swimming in data.  I just started looking at my data using Clarity, and Events that you input into your CGM should show up on the graphs, but none are.
The User's Manual sheds no light on this, it says that if you enter it on the CGM it will show up.  Any ideas?
So far I have found Dex's training materials to be really surprisingly pathetic.  I couldn't make it through the incredibly long clunky tutorial (no jump to topics?!?) and then when I tried to set up share all the info I could find was only pertinent to G4 (although I was ALWAYS searching for G5) and eventually I just realized the receiver was not needed (in any way, for anything - so glad I spent $500 on that circa 1994 style technology - no number buttons REALLY?!?).  Thank goodness for youTube and forums is all I'm saying.
It has been super accurate so far though, which is awesome and makes it worth it! </t>
        </is>
      </c>
      <c r="D1457" t="n">
        <v>1</v>
      </c>
      <c r="E1457" t="n">
        <v>3</v>
      </c>
      <c r="F1457">
        <f>HYPERLINK("https://www.reddit.com/r/diabetes/comments/3sfpva/dexcom_clarity_events/")</f>
        <v/>
      </c>
      <c r="G1457" t="inlineStr">
        <is>
          <t>2015-11-11 10:45:12</t>
        </is>
      </c>
      <c r="H1457" t="inlineStr">
        <is>
          <t>Type 1</t>
        </is>
      </c>
    </row>
    <row r="1458">
      <c r="A1458" t="inlineStr">
        <is>
          <t>3sgohx</t>
        </is>
      </c>
      <c r="B1458" t="inlineStr">
        <is>
          <t>Low blood sugar: do you feel hot or cold?</t>
        </is>
      </c>
      <c r="C1458" t="inlineStr">
        <is>
          <t xml:space="preserve">Just curious about this! 
I am type one, as is my dad and my younger brother. When my blood sugar drops, I feel extremely hot and sweaty... but when my dad or brother drops, they say they get really cold. 
Do any of you feel changes like this when your sugar goes low? Does anyone have some insight as to why our physiological responses can be SO different for the same thing happening?
</t>
        </is>
      </c>
      <c r="D1458" t="n">
        <v>6</v>
      </c>
      <c r="E1458" t="n">
        <v>20</v>
      </c>
      <c r="F1458">
        <f>HYPERLINK("https://www.reddit.com/r/diabetes/comments/3sgohx/low_blood_sugar_do_you_feel_hot_or_cold/")</f>
        <v/>
      </c>
      <c r="G1458" t="inlineStr">
        <is>
          <t>2015-11-11 14:32:51</t>
        </is>
      </c>
      <c r="H1458" t="inlineStr">
        <is>
          <t>Type 1</t>
        </is>
      </c>
    </row>
    <row r="1459">
      <c r="A1459" t="inlineStr">
        <is>
          <t>3sib74</t>
        </is>
      </c>
      <c r="B1459" t="inlineStr">
        <is>
          <t>Insurance won't pay for apidra anymore in 2016. Back to Humalog?</t>
        </is>
      </c>
      <c r="C1459" t="inlineStr">
        <is>
          <t xml:space="preserve">Humalog was my first fact acting insulin, but I've been using apidra for about 4 years now, i think, first with mdi then in my pump. I just got a letter that my insurance company is ditching support for apidra, but will pay for Humalog or novolog instead. 
Now, I seem to remember when I switched that apidras action started marginally faster than Humalog, but I can't say I've noticed much else. Does anyone have any tips for switching from apidra to Humalog in a pump? Things to look out for? Should I have my doctor write some BS to the insurance company to try to get them to keep paying for apidra? </t>
        </is>
      </c>
      <c r="D1459" t="n">
        <v>1</v>
      </c>
      <c r="E1459" t="n">
        <v>2</v>
      </c>
      <c r="F1459">
        <f>HYPERLINK("https://www.reddit.com/r/diabetes/comments/3sib74/insurance_wont_pay_for_apidra_anymore_in_2016/")</f>
        <v/>
      </c>
      <c r="G1459" t="inlineStr">
        <is>
          <t>2015-11-11 22:38:20</t>
        </is>
      </c>
      <c r="H1459" t="inlineStr">
        <is>
          <t>Type 1</t>
        </is>
      </c>
    </row>
    <row r="1460">
      <c r="A1460" t="inlineStr">
        <is>
          <t>3skzh5</t>
        </is>
      </c>
      <c r="B1460" t="inlineStr">
        <is>
          <t>6.0% from 10% in first 3 months, thanks guys!</t>
        </is>
      </c>
      <c r="C1460" t="inlineStr">
        <is>
          <t xml:space="preserve">I just got back from my first three month appointment, and I'm tickled pink to hear my A1C is already down to 6. I completely blame you guys, for all the advice, and real help you offer. Thanks y'all, I'm so happy to be a part of a supportive community. (I promise not to make humblebrags more than once, I'm just so proud of this.)
In other stats, for those interested, T2 (Yep I'm sure, despite the age), 25, my fasting is still a bit high for me (105, I want better), and I've lost another 20 pounds since the last visit (my first one). </t>
        </is>
      </c>
      <c r="D1460" t="n">
        <v>22</v>
      </c>
      <c r="E1460" t="n">
        <v>5</v>
      </c>
      <c r="F1460">
        <f>HYPERLINK("https://www.reddit.com/r/diabetes/comments/3skzh5/60_from_10_in_first_3_months_thanks_guys/")</f>
        <v/>
      </c>
      <c r="G1460" t="inlineStr">
        <is>
          <t>2015-11-12 13:28:40</t>
        </is>
      </c>
      <c r="H1460" t="inlineStr">
        <is>
          <t>Type 2</t>
        </is>
      </c>
    </row>
    <row r="1461">
      <c r="A1461" t="inlineStr">
        <is>
          <t>3snqae</t>
        </is>
      </c>
      <c r="B1461" t="inlineStr">
        <is>
          <t>How long does it take for blood sugar to lower after diet changes?</t>
        </is>
      </c>
      <c r="C1461" t="inlineStr">
        <is>
          <t xml:space="preserve">I was diagnosed with T2 last week after my a1c was diagnosed as a 7. Since then I have cut out the majority of simple sugars and carbs, using the Keto diet as a model. I've tested my blood sugar this week and it's still in the 130's fasting. Am I being too impatient? My doctor also gave me some samples of Farxiga, but I didn't take it more than a couple days because the side effects kept me from concentrating at work. I emailed him this morning asking if I could go on Metformin instead because my mom(she's T2) has used that with success. </t>
        </is>
      </c>
      <c r="D1461" t="n">
        <v>3</v>
      </c>
      <c r="E1461" t="n">
        <v>23</v>
      </c>
      <c r="F1461">
        <f>HYPERLINK("https://www.reddit.com/r/diabetes/comments/3snqae/how_long_does_it_take_for_blood_sugar_to_lower/")</f>
        <v/>
      </c>
      <c r="G1461" t="inlineStr">
        <is>
          <t>2015-11-13 05:23:22</t>
        </is>
      </c>
      <c r="H1461" t="inlineStr">
        <is>
          <t>Type 2</t>
        </is>
      </c>
    </row>
    <row r="1462">
      <c r="A1462" t="inlineStr">
        <is>
          <t>3spb9a</t>
        </is>
      </c>
      <c r="B1462" t="inlineStr">
        <is>
          <t>What health insurance is best for a Type 1 (T1D) Diabetic with insulin pump (Metronic)</t>
        </is>
      </c>
      <c r="C1462" t="inlineStr">
        <is>
          <t>I am looking to have the following covered:
- Metronic pump &amp;amp; 530G system (open to changing pump companies but would prefer not to, and I rarely use the sensor as it hurts my belly too much!)
- Test strips
- Endocrinologist &amp;amp; other doctor appointments (this is probably an obvious ha)
- Apidra insulin
- Other pump supplies (alcohol swabs, infusion sets, syringe) 
- Am I missing anything? Don't think so
Thank you for the help!</t>
        </is>
      </c>
      <c r="D1462" t="n">
        <v>2</v>
      </c>
      <c r="E1462" t="n">
        <v>4</v>
      </c>
      <c r="F1462">
        <f>HYPERLINK("https://www.reddit.com/r/diabetes/comments/3spb9a/what_health_insurance_is_best_for_a_type_1_t1d/")</f>
        <v/>
      </c>
      <c r="G1462" t="inlineStr">
        <is>
          <t>2015-11-13 12:18:50</t>
        </is>
      </c>
      <c r="H1462" t="inlineStr">
        <is>
          <t>Type 1</t>
        </is>
      </c>
    </row>
    <row r="1463">
      <c r="A1463" t="inlineStr">
        <is>
          <t>3sra59</t>
        </is>
      </c>
      <c r="B1463" t="inlineStr">
        <is>
          <t>Blood sugar dropping like a stone type1</t>
        </is>
      </c>
      <c r="C1463" t="inlineStr">
        <is>
          <t>I have been really great at managing my blood sugar after I was diagnosed, so I thought that I would be ok to go on a road trip to Utah with family. Once I got there my blood sugar started to constantly drop, to the point where I had to eat every hour to keep myself from going low. The only insulin I injected was my long acting, and no more than I normally use. I keep waking up from being too low, I don't know why this is happening! Anyone have any explanation?</t>
        </is>
      </c>
      <c r="D1463" t="n">
        <v>4</v>
      </c>
      <c r="E1463" t="n">
        <v>5</v>
      </c>
      <c r="F1463">
        <f>HYPERLINK("https://www.reddit.com/r/diabetes/comments/3sra59/blood_sugar_dropping_like_a_stone_type1/")</f>
        <v/>
      </c>
      <c r="G1463" t="inlineStr">
        <is>
          <t>2015-11-13 23:03:46</t>
        </is>
      </c>
      <c r="H1463" t="inlineStr">
        <is>
          <t>Type 1</t>
        </is>
      </c>
    </row>
    <row r="1464">
      <c r="A1464" t="inlineStr">
        <is>
          <t>3srthm</t>
        </is>
      </c>
      <c r="B1464" t="inlineStr">
        <is>
          <t>Question for those of you with the G5</t>
        </is>
      </c>
      <c r="C1464" t="inlineStr">
        <is>
          <t>How has your battery life been? I always charge my phone over night anyway but have you noticed that you've had to charge it during the day because it dies more since it's using Bluetooth or has it not been that noticeable of a difference?</t>
        </is>
      </c>
      <c r="D1464" t="n">
        <v>3</v>
      </c>
      <c r="E1464" t="n">
        <v>8</v>
      </c>
      <c r="F1464">
        <f>HYPERLINK("https://www.reddit.com/r/diabetes/comments/3srthm/question_for_those_of_you_with_the_g5/")</f>
        <v/>
      </c>
      <c r="G1464" t="inlineStr">
        <is>
          <t>2015-11-14 03:44:42</t>
        </is>
      </c>
      <c r="H1464" t="inlineStr">
        <is>
          <t>Type 1</t>
        </is>
      </c>
    </row>
    <row r="1465">
      <c r="A1465" t="inlineStr">
        <is>
          <t>3sv8o2</t>
        </is>
      </c>
      <c r="B1465" t="inlineStr">
        <is>
          <t>What's your "Fainting" point?</t>
        </is>
      </c>
      <c r="C1465" t="inlineStr">
        <is>
          <t xml:space="preserve">What's your lowest blood pressure so that you'll faint? For me, 10 minutes ago, I measured 33 and i felt perfectly fine(with the exception of a faint numbing on my right thumb / pointing finger). I didn't feel any dizziness or anything, But this is the first time I've ever been so low. </t>
        </is>
      </c>
      <c r="D1465" t="n">
        <v>3</v>
      </c>
      <c r="E1465" t="n">
        <v>16</v>
      </c>
      <c r="F1465">
        <f>HYPERLINK("https://www.reddit.com/r/diabetes/comments/3sv8o2/whats_your_fainting_point/")</f>
        <v/>
      </c>
      <c r="G1465" t="inlineStr">
        <is>
          <t>2015-11-14 21:29:16</t>
        </is>
      </c>
      <c r="H1465" t="inlineStr">
        <is>
          <t>Type 1</t>
        </is>
      </c>
    </row>
    <row r="1466">
      <c r="A1466" t="inlineStr">
        <is>
          <t>3sva8l</t>
        </is>
      </c>
      <c r="B1466" t="inlineStr">
        <is>
          <t>Question</t>
        </is>
      </c>
      <c r="C1466" t="inlineStr">
        <is>
          <t>Does going to sleep after eating can cause a high blood sugar reading?
For the past two days. I have eaten lunch and went to sleep. When I wake up (usually 3-4 hours) I test my blood sugar and have high readings (one was 133, the other was 120). Usually when I do my testing before dinner I am in the 80s to 90s reading. My readings when I wake up in the morning are in the 80s to 90s. Could sleeping after eating be not good for me? I am also experiencing a cold. Could that be another factor in the high reading?</t>
        </is>
      </c>
      <c r="D1466" t="n">
        <v>4</v>
      </c>
      <c r="E1466" t="n">
        <v>3</v>
      </c>
      <c r="F1466">
        <f>HYPERLINK("https://www.reddit.com/r/diabetes/comments/3sva8l/question/")</f>
        <v/>
      </c>
      <c r="G1466" t="inlineStr">
        <is>
          <t>2015-11-14 21:46:12</t>
        </is>
      </c>
      <c r="H1466" t="inlineStr">
        <is>
          <t>Type 2</t>
        </is>
      </c>
    </row>
    <row r="1467">
      <c r="A1467" t="inlineStr">
        <is>
          <t>3t123a</t>
        </is>
      </c>
      <c r="B1467" t="inlineStr">
        <is>
          <t>My monitor hates me this morning</t>
        </is>
      </c>
      <c r="C1467" t="inlineStr">
        <is>
          <t xml:space="preserve">Using a CGM and it was time for it to ask for a measurement.
Now, this morning has been a struggle to get myself off the 140-150 mark as a whole.
So I take my fingerstick (right hand) and I get 154. Great, still no movement...but, oh I forgot to wash my hands and I had just eaten. Wash my hands, take a 2nd fingerstick (left hand) and I get 117. Strange? For kicks let's check that right hand again ... 138?
Checked the monitor with the solution and it checks out fine.
So, okay, what number do I put in my CGM?
</t>
        </is>
      </c>
      <c r="D1467" t="n">
        <v>3</v>
      </c>
      <c r="E1467" t="n">
        <v>7</v>
      </c>
      <c r="F1467">
        <f>HYPERLINK("https://www.reddit.com/r/diabetes/comments/3t123a/my_monitor_hates_me_this_morning/")</f>
        <v/>
      </c>
      <c r="G1467" t="inlineStr">
        <is>
          <t>2015-11-16 07:25:16</t>
        </is>
      </c>
      <c r="H1467" t="inlineStr">
        <is>
          <t>Type 1</t>
        </is>
      </c>
    </row>
    <row r="1468">
      <c r="A1468" t="inlineStr">
        <is>
          <t>3t5rhc</t>
        </is>
      </c>
      <c r="B1468" t="inlineStr">
        <is>
          <t>How harmfull can air in my pump reservoir be?</t>
        </is>
      </c>
      <c r="C1468" t="inlineStr">
        <is>
          <t xml:space="preserve">Today I went from 11 mmol/l (~200 mg/dl) to 15.4 (~277) in about 20 minutes, corrected with some insuline after the first check. 
Decided to do an entire oil change after the second check (new reservoir, new infusion set etc) and saw some air in my reservoir. How harmfull can it be? The change in bloodsugar was pretty steep in my opinion. 
EDIT: deleted a previous post because of sucky english and 'work-avoiding behaviour', already saw a comment from /u/badgerpapa responding on the short time between the 2 measurements and that the insulin didn't have time to react. You are right, but despite that it's still a pretty steep climb in sugars.. which mostly worries me. 
EDIT 2: http://imgur.com/gf9H7bD
Great day!
</t>
        </is>
      </c>
      <c r="D1468" t="n">
        <v>1</v>
      </c>
      <c r="E1468" t="n">
        <v>9</v>
      </c>
      <c r="F1468">
        <f>HYPERLINK("https://www.reddit.com/r/diabetes/comments/3t5rhc/how_harmfull_can_air_in_my_pump_reservoir_be/")</f>
        <v/>
      </c>
      <c r="G1468" t="inlineStr">
        <is>
          <t>2015-11-17 06:27:02</t>
        </is>
      </c>
      <c r="H1468" t="inlineStr">
        <is>
          <t>Type 1</t>
        </is>
      </c>
    </row>
    <row r="1469">
      <c r="A1469" t="inlineStr">
        <is>
          <t>3t6f7x</t>
        </is>
      </c>
      <c r="B1469" t="inlineStr">
        <is>
          <t>T1 here. I have a serious question for my fellow diabetics. What did it take to make you care for yourself and your diabetes?</t>
        </is>
      </c>
      <c r="C1469" t="inlineStr">
        <is>
          <t>**For future reference, there's been quite a few updates on this post, sorry if it's alot to read.**
Background info:
I'm 19, was diagnosed as T2 when I was 12, but could have had it as early as age 8 - mother never took us to a doctor so we had no idea. A doctor told me I definitely would not live to be 20 (my birthday is in February, so fingers crossed!), when I was 13.. kind of terrified me into depression. My diagnosis went back and forth between T2 and T1 until I was 19. I found out a couple months ago that I'm officially T1. My A1C is 15.3. I've never DKA'd and I rarely have ketones. I have a Dexcom G4 (not sure how much longer, I can't afford the supplies now) and I ***should*** take Toujeo and Novolog.
***My endocrinologist situation is very bad right now***, so I'm trying to fix that. (First endo told me when I was 13 that I'd be dead by the time I was 20. Second one locked me up in TWO mental facilities when I was 16 and that helped to cause me drop out of HS. 3rd and 4th ones just didn't help, at all. They guinea pigged me on TONS of medicines and birth controls. 5th one ignored my nephrologist on checking my thyroid (entire family has thyroid issues) and a few others things and when I asked her about it, she dropped me. I'm now with Diabetes of America so I'm hoping that it goes well...)*
Info for question:
I want to take care of myself and I do good for a couple weeks, then a bump happens and I stop. And I don't care to be honest. What will it take for me to care? You'd think my engagement and blooming career (ironically, I work for a dialysis company called Fresenius MC, I've been to several of the clinics) would motivate me, but it doesn't.. Has anyone been in this situation before? What did it take for you to start taking care of yourself and how long did it take? Is this normal or should I go talk to someone about this?
Edit: based on one of the commentors.. I think I may have actually DKA'd before but the doctors either misdiagnosed or I didn't. I'm so confused now. About a year ago, I went to the ER because I had thrown up 13 times in 8 hours, completely thought it was a stomach bug or food poisoning. I busted 35% of the blood vessels in my face from how hard I was throwing up. I couldn't get out of bed or down the stairs because of how weak I was and the fact that my entire body was cramping, so we had to call an ER to come get me. I was in the hospital for 4 days.</t>
        </is>
      </c>
      <c r="D1469" t="n">
        <v>18</v>
      </c>
      <c r="E1469" t="n">
        <v>28</v>
      </c>
      <c r="F1469">
        <f>HYPERLINK("https://www.reddit.com/r/diabetes/comments/3t6f7x/t1_here_i_have_a_serious_question_for_my_fellow/")</f>
        <v/>
      </c>
      <c r="G1469" t="inlineStr">
        <is>
          <t>2015-11-17 09:10:02</t>
        </is>
      </c>
      <c r="H1469" t="inlineStr">
        <is>
          <t>Type 1</t>
        </is>
      </c>
    </row>
    <row r="1470">
      <c r="A1470" t="inlineStr">
        <is>
          <t>3t730e</t>
        </is>
      </c>
      <c r="B1470" t="inlineStr">
        <is>
          <t>Slowly making things right...</t>
        </is>
      </c>
      <c r="C1470" t="inlineStr">
        <is>
          <t>I have a long standing habit of falling out of good habits (testing, carb counting, correctly calculating insulin, etc...) - and then avoiding my endo visits out of shame. Then I'll either get it together enough to go in and say I'll do better- or I'll go in and make a bunch of promises about doing better.  
Well, I started testing regularly again a couple of weeks ago. Not trying to be perfect, but trying for some semblance of regularity. I uploaded the numbers I have (Animas/Diasend) and called my endo office to let them know. I set up an appointment to go in next week, and I'm not going to let myself make any grand promises.  
Baby steps.  My 18 year anniversary is in December. My diabetes is old enough to vote... It's long past time I got my act together to really take care of myself.  
Thanks for letting me vent a little bit. It's not even really venting, just needed to say something to people who would understand without a grand back story...</t>
        </is>
      </c>
      <c r="D1470" t="n">
        <v>2</v>
      </c>
      <c r="E1470" t="n">
        <v>1</v>
      </c>
      <c r="F1470">
        <f>HYPERLINK("https://www.reddit.com/r/diabetes/comments/3t730e/slowly_making_things_right/")</f>
        <v/>
      </c>
      <c r="G1470" t="inlineStr">
        <is>
          <t>2015-11-17 11:37:48</t>
        </is>
      </c>
      <c r="H1470" t="inlineStr">
        <is>
          <t>Type 1</t>
        </is>
      </c>
    </row>
    <row r="1471">
      <c r="A1471" t="inlineStr">
        <is>
          <t>3t8dmk</t>
        </is>
      </c>
      <c r="B1471" t="inlineStr">
        <is>
          <t>My Mum is a Type 2 and has just been hospitalised due to foot infection, I need a better understanding of the situation and hoped you could help</t>
        </is>
      </c>
      <c r="C1471" t="inlineStr">
        <is>
          <t xml:space="preserve">As briefly mentioned above, my mother is 69 years old, around 5'5" and probably 105/110 kgs. She's been diabetic for over 20 years now and was on metformin at the beginning, on insulin injections for the last 10 years. She started having problem with sight due to glaucoma last year and she mentioned recently problems with her foot, having some sort of hole/gash between two of her toes that apparently at some point reached the bone. she was cured for that and everything seemed to be alright until today I discovered (we live in differen countries) that she was hospitalised yesterday because her foot gave her "problems" again, and then she's kept there until the foot gets better. Is anyone familiar with a similar situation and can give me an idea of what to expect? I've booked the first flight I could afford and that's not until friday and the idea that something bad could happen before I reach her is driving me crazy. Thanks so much for any info you'll be able to give me.
UPDATE: I finally saw her and the doctor confirmed she need to be in until the foot gets better, and the worst case scenario would be amputation. She agreed to try and sort her diet and life with me coming to live with her for a month or so until she's in a good enough state she will then have to maintain herself. Fingers crossed.
UPDATE2: Putting my mum on a ketogenic diet brought her blood glucose from 241 fasted to 180 post prandial after just 24 hours and seems to be on the right way. this seems to have motivate her to continue even after I will be back in London. But we both agreed once she's back from the hospital I will go live with her for a couple of months to cook and keep her meals in check and sort the house. If it actually goes like that this might have all just been a big scare
UPDATE3: so 7 days of Keto and almost zero carbs in, and her fasted blood glucose is down to 130!!! I think this might actually work! I can't wait for her to be released from hospital, I will care and cook for her everyday and make sure she gets properly better. I feel so lucky, I was so afraid I had gone back to say goodbye basically. </t>
        </is>
      </c>
      <c r="D1471" t="n">
        <v>12</v>
      </c>
      <c r="E1471" t="n">
        <v>18</v>
      </c>
      <c r="F1471">
        <f>HYPERLINK("https://www.reddit.com/r/diabetes/comments/3t8dmk/my_mum_is_a_type_2_and_has_just_been_hospitalised/")</f>
        <v/>
      </c>
      <c r="G1471" t="inlineStr">
        <is>
          <t>2015-11-17 16:47:32</t>
        </is>
      </c>
      <c r="H1471" t="inlineStr">
        <is>
          <t>Type 2</t>
        </is>
      </c>
    </row>
    <row r="1472">
      <c r="A1472" t="inlineStr">
        <is>
          <t>3tahvh</t>
        </is>
      </c>
      <c r="B1472" t="inlineStr">
        <is>
          <t>My first Post-Diagnosis HbA1c is there!</t>
        </is>
      </c>
      <c r="C1472" t="inlineStr">
        <is>
          <t xml:space="preserve">Three months ago I was diagnosed with type 2 diabetes, and had BG values around 400mg/dL and a HbA1c of 12.2%. Now, after three months of low-carb diet (I lost 16kg since March, 12kg pre and 4kg post-diagnosis) and ~~Metfartin~~ Metformin, I am down to around 100mg/dL.
And today I got the results of my first post-diagnosis HbA1c: 5.7%
Looks like I'm on a good path, and I can already wear trousers again that I didn't fit in for a long time!
</t>
        </is>
      </c>
      <c r="D1472" t="n">
        <v>23</v>
      </c>
      <c r="E1472" t="n">
        <v>17</v>
      </c>
      <c r="F1472">
        <f>HYPERLINK("https://www.reddit.com/r/diabetes/comments/3tahvh/my_first_postdiagnosis_hba1c_is_there/")</f>
        <v/>
      </c>
      <c r="G1472" t="inlineStr">
        <is>
          <t>2015-11-18 05:22:42</t>
        </is>
      </c>
      <c r="H1472" t="inlineStr">
        <is>
          <t>Type 2</t>
        </is>
      </c>
    </row>
    <row r="1473">
      <c r="A1473" t="inlineStr">
        <is>
          <t>3tb2zy</t>
        </is>
      </c>
      <c r="B1473" t="inlineStr">
        <is>
          <t>Best protein for working out?[type 1]</t>
        </is>
      </c>
      <c r="C1473" t="inlineStr">
        <is>
          <t>Hello everyone, I wanted to ask what you guys think the best protein powder would be for a type 1 that works out? Obviously low sugar and carbs is what I'm looking for. I did a little research and saw that the [extend product](http://www.extendbar.com/nutritional-shakes-for-diabetes-diabetics?gclid=Cj0KEQiA4LCyBRCY0N7Oy-mSgNIBEiQAyg39tgq0tM1en-S74GNndrk6Mja_Rf4Vtz_Po0KYGyjqn7YaApAA8P8HAQ) looked alright. Does anyone on here have any good suggestions? I'm just looking to bulk up a little!</t>
        </is>
      </c>
      <c r="D1473" t="n">
        <v>0</v>
      </c>
      <c r="E1473" t="n">
        <v>5</v>
      </c>
      <c r="F1473">
        <f>HYPERLINK("https://www.reddit.com/r/diabetes/comments/3tb2zy/best_protein_for_working_outtype_1/")</f>
        <v/>
      </c>
      <c r="G1473" t="inlineStr">
        <is>
          <t>2015-11-18 08:05:16</t>
        </is>
      </c>
      <c r="H1473" t="inlineStr">
        <is>
          <t>Type 1</t>
        </is>
      </c>
    </row>
    <row r="1474">
      <c r="A1474" t="inlineStr">
        <is>
          <t>3tb4st</t>
        </is>
      </c>
      <c r="B1474" t="inlineStr">
        <is>
          <t>Help with post workout</t>
        </is>
      </c>
      <c r="C1474" t="inlineStr">
        <is>
          <t>Sup dudes
So I have a bit of an issue with ups &amp;amp; downs after I work out.  I work out after work, and typically afterwards my sugar is lower (especially with cardio).  Last night a few hours before I went to bed (9:30 or so) I was 5.0 so I had an English Muffin with peanut butter &amp;amp; some jam.  
I checked just before I went to sleep, at about 11:30 and I was up at 14.9
I thought "well my exercise from earlier will correct it shortly so I won't take any insulin" and went to bed.
I woke up this morning at around 5am with a hypo at 2.1
Is there a way to combat this kind of up &amp;amp; down?  It bums me out &amp;amp; makes me really tired in the morning.
Any help is appreciated</t>
        </is>
      </c>
      <c r="D1474" t="n">
        <v>0</v>
      </c>
      <c r="E1474" t="n">
        <v>5</v>
      </c>
      <c r="F1474">
        <f>HYPERLINK("https://www.reddit.com/r/diabetes/comments/3tb4st/help_with_post_workout/")</f>
        <v/>
      </c>
      <c r="G1474" t="inlineStr">
        <is>
          <t>2015-11-18 08:17:03</t>
        </is>
      </c>
      <c r="H1474" t="inlineStr">
        <is>
          <t>Type 1</t>
        </is>
      </c>
    </row>
    <row r="1475">
      <c r="A1475" t="inlineStr">
        <is>
          <t>3tcakb</t>
        </is>
      </c>
      <c r="B1475" t="inlineStr">
        <is>
          <t>Scary bedtime lows two weeks apart.</t>
        </is>
      </c>
      <c r="C1475" t="inlineStr">
        <is>
          <t>Hi there!
So I'm in a new living situation due to some very poor life decisions (rampant alcoholism landed me in the hospital numerous times, I enrolled myself in a residential treatment program and it's been going fantastically. Admitted by my own accord, not court ordered or anything of that sort) and now for a bit of background. I am just over a week away from 60 days sober and these two occurrences happened last Sunday and the first on Wednesday Oct 28th, so both are about two weeks apart.
Here's what happened: Every single night before I go to bed, I check my sugars before taking my nighttime Levemir dose and adjust accordingly (eat a snack if low, take a unit or two of Novolog if crazy high (like 200+ mg/dl)). Both times this has happened my sugars were right where they should be (hovering around 100-110) with my dinner + mealtime Novolog dose happening about 2-3 hours before I go to bed. Both times I took NO Novolog whatsoever, just my standard dose of Levemir (15 units twice daily, lowered from 18 units after my first episode). I had a small bite to eat before turning in (like half an apple, half a granola bar, etc) just to make sure I don't crash. Well, both times that's exactly what happened.
Now normally when I get nighttime lows, I wake up feeling the usual feelings of a low, and can get some juice or some candy or something to offset it, and be just fine. But both times this has happened, I go from lying down to sleep and waking up two hours later (around midnight, I go to bed about 10pm) to paramedics surrounding me shoving sugar into my veins. What makes this so strange is that there really should be no reason for my sugars to go from ~100 to less than 20 in two hours' time given how I dose, as described earlier. In fact, during my second episode, my sugars were so low it wasn't even registering on the medic's glucometer (it just kept spitting out error messages, according to them).
Now before anyone says "See your PCP" I already have, and she is just as perplexed as I am. After the first, my nighttime dose was adjusted to 15 units of Levemir twice daily from 18 units, and my mealtime dose from 8 units + sliding scale to 6 units + sliding scale. (Scale is 1 unit for every 50 mg/dl above 150, for those wondering).
Has anyone had something like this happen before? I've been going about 4 months now doing just fine until I started residence at the treatment place, and this has been the only place something like this has happened.
Apologies if this is wall-of-texty or whatever, I'm typing this out at the local library and have about 5 mins left on this computer, but I'll check out replies on mobile when I get the chance.</t>
        </is>
      </c>
      <c r="D1475" t="n">
        <v>3</v>
      </c>
      <c r="E1475" t="n">
        <v>3</v>
      </c>
      <c r="F1475">
        <f>HYPERLINK("https://www.reddit.com/r/diabetes/comments/3tcakb/scary_bedtime_lows_two_weeks_apart/")</f>
        <v/>
      </c>
      <c r="G1475" t="inlineStr">
        <is>
          <t>2015-11-18 12:42:22</t>
        </is>
      </c>
      <c r="H1475" t="inlineStr">
        <is>
          <t>Type 1</t>
        </is>
      </c>
    </row>
    <row r="1476">
      <c r="A1476" t="inlineStr">
        <is>
          <t>3tckfs</t>
        </is>
      </c>
      <c r="B1476" t="inlineStr">
        <is>
          <t>Lengthening the life of a CGM longer than 6 days.</t>
        </is>
      </c>
      <c r="C1476" t="inlineStr">
        <is>
          <t xml:space="preserve">A while back I asked if anyone had any luck extending the life of a CGM to more than 6 days.  A few posts did say they had done it and even one day would help.  I've tried a few times and the last time I reset the sensor on the third day.  I got about 6 hours more out of that sensor before it started giving weird readings.  When did those who do it reset the sensor.  </t>
        </is>
      </c>
      <c r="D1476" t="n">
        <v>3</v>
      </c>
      <c r="E1476" t="n">
        <v>4</v>
      </c>
      <c r="F1476">
        <f>HYPERLINK("https://www.reddit.com/r/diabetes/comments/3tckfs/lengthening_the_life_of_a_cgm_longer_than_6_days/")</f>
        <v/>
      </c>
      <c r="G1476" t="inlineStr">
        <is>
          <t>2015-11-18 13:45:49</t>
        </is>
      </c>
      <c r="H1476" t="inlineStr">
        <is>
          <t>Type 1</t>
        </is>
      </c>
    </row>
    <row r="1477">
      <c r="A1477" t="inlineStr">
        <is>
          <t>3tevga</t>
        </is>
      </c>
      <c r="B1477" t="inlineStr">
        <is>
          <t>Type 1 - Infant Help.</t>
        </is>
      </c>
      <c r="C1477" t="inlineStr">
        <is>
          <t>Hi. We have recently had our infant diagnosed. He is under 2. He is now on a pump and recently (today) a CGM. The CGM is mostly for our sanity as we are still learning everything and we are having some issues with him being sick all the time. My wife is GREAT with the carb counting and I do the multiple night sugar checks. Hopefully now with the CGM we don't need any finger sticks I can just check his pump giving him a full nights sleep also.
He is on the up and up at the moment, in good health (does not happen much) but we were just looking for any advice/stories about any fellow people with small children diagnosed. Does it get easier or is it a struggle for awhile?
 Once he can communicate about his symptoms it will be alot easier on us.
Any info or just general banter would be great. We are coping but still have a long way to go. We are working with Educators and such so we are not just winging it.</t>
        </is>
      </c>
      <c r="D1477" t="n">
        <v>23</v>
      </c>
      <c r="E1477" t="n">
        <v>32</v>
      </c>
      <c r="F1477">
        <f>HYPERLINK("https://www.reddit.com/r/diabetes/comments/3tevga/type_1_infant_help/")</f>
        <v/>
      </c>
      <c r="G1477" t="inlineStr">
        <is>
          <t>2015-11-19 01:17:50</t>
        </is>
      </c>
      <c r="H1477" t="inlineStr">
        <is>
          <t>Type 1</t>
        </is>
      </c>
    </row>
    <row r="1478">
      <c r="A1478" t="inlineStr">
        <is>
          <t>3tfn90</t>
        </is>
      </c>
      <c r="B1478" t="inlineStr">
        <is>
          <t>Waking up low in the middle of the night</t>
        </is>
      </c>
      <c r="C1478" t="inlineStr">
        <is>
          <t>So last night around 2 I woke up, knew I was low, tested a 45 and proceeded to eat and sweat for about a half hour. Like I sweat A LOT, the kitchen looked like a 2OT NBA game had been played in there by the time I was done. When I wake up like that (1-2x a month) I CAN'T STOP eating, even though I know I'm supposed to avoid over correction.
I am a 35 year old type 1, diagnosed in 2012 on 32 units of lantus before bed and a medium sliding scale of Novolog. I had kind of assumed this was because my basal was too high and I should lower that and bolus more, but my last A1c was 7.5 and the doc recommended I increase my basal to 34, which kind of resulted in last night. I test before bed and if it's under 120 I'll eat something, but what's wrong here? Can't seems to find a trend. Any suggestions?</t>
        </is>
      </c>
      <c r="D1478" t="n">
        <v>10</v>
      </c>
      <c r="E1478" t="n">
        <v>40</v>
      </c>
      <c r="F1478">
        <f>HYPERLINK("https://www.reddit.com/r/diabetes/comments/3tfn90/waking_up_low_in_the_middle_of_the_night/")</f>
        <v/>
      </c>
      <c r="G1478" t="inlineStr">
        <is>
          <t>2015-11-19 06:11:28</t>
        </is>
      </c>
      <c r="H1478" t="inlineStr">
        <is>
          <t>Type 1</t>
        </is>
      </c>
    </row>
    <row r="1479">
      <c r="A1479" t="inlineStr">
        <is>
          <t>3th3qq</t>
        </is>
      </c>
      <c r="B1479" t="inlineStr">
        <is>
          <t>Does anyone have highs after changing their set?</t>
        </is>
      </c>
      <c r="C1479" t="inlineStr">
        <is>
          <t>Lately I've been having troubles keeping my blood sugar under control right after I change my set like it takes some time for the set to sink in or something. Does this happen to anyone else? Any advice?</t>
        </is>
      </c>
      <c r="D1479" t="n">
        <v>2</v>
      </c>
      <c r="E1479" t="n">
        <v>3</v>
      </c>
      <c r="F1479">
        <f>HYPERLINK("https://www.reddit.com/r/diabetes/comments/3th3qq/does_anyone_have_highs_after_changing_their_set/")</f>
        <v/>
      </c>
      <c r="G1479" t="inlineStr">
        <is>
          <t>2015-11-19 11:57:06</t>
        </is>
      </c>
      <c r="H1479" t="inlineStr">
        <is>
          <t>Type 1</t>
        </is>
      </c>
    </row>
    <row r="1480">
      <c r="A1480" t="inlineStr">
        <is>
          <t>3ti3r6</t>
        </is>
      </c>
      <c r="B1480" t="inlineStr">
        <is>
          <t>Type 1 - Is it safe to take only long-acting insulin?</t>
        </is>
      </c>
      <c r="C1480" t="inlineStr">
        <is>
          <t>I've been trying a high-fat, low carbohydrate diet over the past few days. I've been taking my normal long-acting insulin (lantus), but no fast-acting insulin (I usually take novorapid). 
My blood sugar has been very stable, never over 9mmol and generally around 6mmol. My question is: Despite the perfect blood glucose levels, does the lack of fast-acting insulin put me at risk of harm, such as ketones?</t>
        </is>
      </c>
      <c r="D1480" t="n">
        <v>6</v>
      </c>
      <c r="E1480" t="n">
        <v>15</v>
      </c>
      <c r="F1480">
        <f>HYPERLINK("https://www.reddit.com/r/diabetes/comments/3ti3r6/type_1_is_it_safe_to_take_only_longacting_insulin/")</f>
        <v/>
      </c>
      <c r="G1480" t="inlineStr">
        <is>
          <t>2015-11-19 16:03:17</t>
        </is>
      </c>
      <c r="H1480" t="inlineStr">
        <is>
          <t>Type 1</t>
        </is>
      </c>
    </row>
    <row r="1481">
      <c r="A1481" t="inlineStr">
        <is>
          <t>3tjyof</t>
        </is>
      </c>
      <c r="B1481" t="inlineStr">
        <is>
          <t>Just diagnosed with Type 1</t>
        </is>
      </c>
      <c r="C1481" t="inlineStr">
        <is>
          <t>I have just been diagnosed with Type 1 this week and I am finding it a bit overwhelming, I have had doctors and nurses explain things to me but its such a barrage of information I am feeling a bit over loaded, I know this sounds like a bit of a self pity post but I am just looking for some support and to know it's not as bad as I am thinking.
EDIT - Thank you to everyone who posted, feels good to know it will get better.</t>
        </is>
      </c>
      <c r="D1481" t="n">
        <v>16</v>
      </c>
      <c r="E1481" t="n">
        <v>29</v>
      </c>
      <c r="F1481">
        <f>HYPERLINK("https://www.reddit.com/r/diabetes/comments/3tjyof/just_diagnosed_with_type_1/")</f>
        <v/>
      </c>
      <c r="G1481" t="inlineStr">
        <is>
          <t>2015-11-20 02:57:49</t>
        </is>
      </c>
      <c r="H1481" t="inlineStr">
        <is>
          <t>Type 1</t>
        </is>
      </c>
    </row>
    <row r="1482">
      <c r="A1482" t="inlineStr">
        <is>
          <t>3tkj7u</t>
        </is>
      </c>
      <c r="B1482" t="inlineStr">
        <is>
          <t>I don't know if I'm type 1 or type 2. Does it matter?</t>
        </is>
      </c>
      <c r="C1482" t="inlineStr">
        <is>
          <t>Basic facts: 
-Three years ago, at the age of 30, I was diagnosed with diabetes.
-I am a male, 138 lbs, 5 foot, 7 inches (perfectly healthy weight), and I have no family history of type 1 or type 2 diabetes.
-I'm athletic. I had just finished hiking the Appalachian Trail when I was diagnosed. I currently swim a couple miles every week and lift weights.
-I've never had problems controlling my blood sugar. My last A1C was 5.8 and my doctor recommended I cut down my dosage of levemir insulin—I did, but not as much as she wanted.
-Since I have been diagnosed, I have been on metformin (1000 mg, twice a day) and levemir insulin (~12 units daily).
-About a year after being diagnosed, I asked my doctor to do a c-peptide test. She did, but after the test was done, she told me that the results were inconclusive because I was on medication while the test was taken (?). I have no idea why she didn't tell me to stop taking my medication BEFORE the test, but she didn't. Regardless, she said that the results of the test don't matter because my treatment would be exactly the same whether I was type 1 or type 2.
-My new doctor, my eye doctor, my dentist, and my podiatrist all have asked me if I am type 1 or type 2. I tell them that I think that I am type 2, but I don't really know for sure. Type 2 seems more likely because of the age I was diagnosed, but I don't really fit the common profile for someone with type 2 diabetes.
I guess my question is this: Does it matter whether I am type 1 or type 2? Do I need to find out?</t>
        </is>
      </c>
      <c r="D1482" t="n">
        <v>2</v>
      </c>
      <c r="E1482" t="n">
        <v>32</v>
      </c>
      <c r="F1482">
        <f>HYPERLINK("https://www.reddit.com/r/diabetes/comments/3tkj7u/i_dont_know_if_im_type_1_or_type_2_does_it_matter/")</f>
        <v/>
      </c>
      <c r="G1482" t="inlineStr">
        <is>
          <t>2015-11-20 06:31:53</t>
        </is>
      </c>
      <c r="H1482" t="inlineStr">
        <is>
          <t>Type 2</t>
        </is>
      </c>
    </row>
    <row r="1483">
      <c r="A1483" t="inlineStr">
        <is>
          <t>3tlyzv</t>
        </is>
      </c>
      <c r="B1483" t="inlineStr">
        <is>
          <t>Differences between Apidra and Humalog?</t>
        </is>
      </c>
      <c r="C1483" t="inlineStr">
        <is>
          <t>Hey guys.
I've been taking Lantus and Humalog for almost seven years now, and I just got word from my doctor's office that my insurance will now outright refuse to cover my Humalog pens, and they want to switch me to Apidra pens. This is a bit daunting, since my numbers sometimes dip pretty low and I don't know how Apidra works. I know it's a fast-acting insulin in a similar vein to Humalog, but beyond that I don't know any differences or similarities.
Have any of you folks had any experience with Apidra?</t>
        </is>
      </c>
      <c r="D1483" t="n">
        <v>2</v>
      </c>
      <c r="E1483" t="n">
        <v>8</v>
      </c>
      <c r="F1483">
        <f>HYPERLINK("https://www.reddit.com/r/diabetes/comments/3tlyzv/differences_between_apidra_and_humalog/")</f>
        <v/>
      </c>
      <c r="G1483" t="inlineStr">
        <is>
          <t>2015-11-20 12:31:47</t>
        </is>
      </c>
      <c r="H1483" t="inlineStr">
        <is>
          <t>Type 1</t>
        </is>
      </c>
    </row>
    <row r="1484">
      <c r="A1484" t="inlineStr">
        <is>
          <t>3tndbp</t>
        </is>
      </c>
      <c r="B1484" t="inlineStr">
        <is>
          <t>New test results - positive changes</t>
        </is>
      </c>
      <c r="C1484" t="inlineStr">
        <is>
          <t>Just got back the results on my 1st follow blood tests (the ones that came after metformin &amp;amp; a 3 month waiting period).
Reading | Aug | Nov
----------|-------|-------
HGBA1c|9.2%|7.5%
Est Avg Glucose|217 mg/dL|169 mg/dL
I attended a "Diabetes Basics" class at the hospital and that was supremely less informative than those of you who offered guidance in the beginning. 
Admittedly I haven't been working very hard at the rules. I've been working to cut bread &amp;amp; pasta out of my diet (this is the hardest food rule for me) and trying to be more accountable to my fitbit...but honestly I'm a very lazy person so this is hard for me too.  The good news is that it seems like the Metformin will be enough on the medication side; the rest is up to me but I feel better about my chances with it now.
Just wanted to say thanks again for your support.</t>
        </is>
      </c>
      <c r="D1484" t="n">
        <v>9</v>
      </c>
      <c r="E1484" t="n">
        <v>10</v>
      </c>
      <c r="F1484">
        <f>HYPERLINK("https://www.reddit.com/r/diabetes/comments/3tndbp/new_test_results_positive_changes/")</f>
        <v/>
      </c>
      <c r="G1484" t="inlineStr">
        <is>
          <t>2015-11-20 18:59:10</t>
        </is>
      </c>
      <c r="H1484" t="inlineStr">
        <is>
          <t>Type 2</t>
        </is>
      </c>
    </row>
    <row r="1485">
      <c r="A1485" t="inlineStr">
        <is>
          <t>3tnq77</t>
        </is>
      </c>
      <c r="B1485" t="inlineStr">
        <is>
          <t>Since when is diabetes testing supplies and medicine considered "optional?"</t>
        </is>
      </c>
      <c r="C1485" t="inlineStr">
        <is>
          <t>Earlier today I went to the CVS pharmacy the same one I have been going to since like forever without any problems. I asked if my script was ready like I always do when I go there and was told it was not ready yet. When they looked me up in the system I was told that my insurance is refusing to pay for my diabetes testing supplies (the test strips and lancet needles) and that they refuse to pay for the medication. 
When I asked why they couldn't give me an answer other than "call your insurance and ask them." When I call my insurance I was told that my diabetes stuff is considered optional and not necessity. Like seriously? Since when is diabetes stuff considered optional and not necessity? 
I don't like being diabetic but I am pretty sure my doctor would not be happy if I told him I wasn't going to take my meds and check my sugar levels. He made this very clear during my diagnosis last year how important it is to take care of myself and manage my sugar levels. Also this is medicare with supplemental insurance and I have not had a single problem with them paying for my stuff until this very day...</t>
        </is>
      </c>
      <c r="D1485" t="n">
        <v>8</v>
      </c>
      <c r="E1485" t="n">
        <v>15</v>
      </c>
      <c r="F1485">
        <f>HYPERLINK("https://www.reddit.com/r/diabetes/comments/3tnq77/since_when_is_diabetes_testing_supplies_and/")</f>
        <v/>
      </c>
      <c r="G1485" t="inlineStr">
        <is>
          <t>2015-11-20 20:58:20</t>
        </is>
      </c>
      <c r="H1485" t="inlineStr">
        <is>
          <t>Type 2</t>
        </is>
      </c>
    </row>
    <row r="1486">
      <c r="A1486" t="inlineStr">
        <is>
          <t>3tr5a4</t>
        </is>
      </c>
      <c r="B1486" t="inlineStr">
        <is>
          <t>Closed-loop pump?</t>
        </is>
      </c>
      <c r="C1486" t="inlineStr">
        <is>
          <t>Hi, I've been trying to follow the news on the closed-loop pumps for the last little while but the media is confusing the two treatments currently being studied and calling them both "artificial pancreas". I don't really care about the islet thing because I don't want to take immunosuppressants. What I'm looking/hoping for is the promised closed-loop pump, which incorporates a glucometer, insulin and glucagon. I haven't read anything about them in a long time and I was wondering if any of you had news of such an item coming up. Could you please help me find the info? Thanks!</t>
        </is>
      </c>
      <c r="D1486" t="n">
        <v>23</v>
      </c>
      <c r="E1486" t="n">
        <v>21</v>
      </c>
      <c r="F1486">
        <f>HYPERLINK("https://www.reddit.com/r/diabetes/comments/3tr5a4/closedloop_pump/")</f>
        <v/>
      </c>
      <c r="G1486" t="inlineStr">
        <is>
          <t>2015-11-21 15:57:41</t>
        </is>
      </c>
      <c r="H1486" t="inlineStr">
        <is>
          <t>Type 1</t>
        </is>
      </c>
    </row>
    <row r="1487">
      <c r="A1487" t="inlineStr">
        <is>
          <t>3tsf33</t>
        </is>
      </c>
      <c r="B1487" t="inlineStr">
        <is>
          <t>Why is Metformin the frontline treatment for T2 instead of insulin?</t>
        </is>
      </c>
      <c r="C1487" t="inlineStr">
        <is>
          <t>Just curious.</t>
        </is>
      </c>
      <c r="D1487" t="n">
        <v>3</v>
      </c>
      <c r="E1487" t="n">
        <v>17</v>
      </c>
      <c r="F1487">
        <f>HYPERLINK("https://www.reddit.com/r/diabetes/comments/3tsf33/why_is_metformin_the_frontline_treatment_for_t2/")</f>
        <v/>
      </c>
      <c r="G1487" t="inlineStr">
        <is>
          <t>2015-11-21 22:59:31</t>
        </is>
      </c>
      <c r="H1487" t="inlineStr">
        <is>
          <t>Type 2</t>
        </is>
      </c>
    </row>
    <row r="1488">
      <c r="A1488" t="inlineStr">
        <is>
          <t>3tvnql</t>
        </is>
      </c>
      <c r="B1488" t="inlineStr">
        <is>
          <t>[PSA] Refill your glucagon and gather your roomates/SO to practice</t>
        </is>
      </c>
      <c r="C1488" t="inlineStr">
        <is>
          <t>Long story short my brain was fried after a long week and I injected 18 units of Humalog (short acting) insulin instead of Lantus (long acting) insulin before bed. Neither my significant other or I realized this and we went to bed.
I came to 2 hours later to 4 EMTS watching me with an iv glucose in. My SO had woken up because I was sweated through and mumbling, knew I was low and attempted to give me a juice box and honey. I was eating them but rapidly went white and non responsive. They grabbed my glucagon and . . . only injected the syringe into me as they saw the other vial but thought nothing was in it. They were also calling 991 for emt support as they didn't know if the glucagon would be enough.
We piece it together after the emts and police officers left that I had mixed up the insulin (syringe and bottles) to do. I had 7 more boxes of juice and was up for an additional 4 hours getting checked every 20 minutes.
I have been diabetic for over 30 years and this was my first time passing out. I had practiced using glucagon with my SO but they forgot in the heat of the moment. The emts were nice and didn't complain about my dogs screaming in the other room or the complete disaster my house is due to pre holiday renovations and general chaos.(anyone know why they made me eat a sandwich before leaving?
Overall a shitty situation caused by me fucking up something I had done every day for the past 25 ish years or so. I remember slurring my apology to the emts, bastards made me keep talking even tho I could barely speak (I know, standard protocol. Doesn't make you feel any better when you can think clearly but can barely slur words together to communicate)
I plan to put a cheatsheet in the next glucagon case so no one has to panic and attempt to read the directions.
**TL:DR**
Glucagon is only effective if the **big needle filled with saline is mixed with the small vial**. Inject the solution, mix it up, and redraw into the same needle or a smaller one. **Inject into any muscle**, the thigh or butt are large and easy targets. Turn the person on their side if they are non responsive as they can puke.
Go refill your glucagon and remind your safety crew of what to do. If you live alone be vigilant in getting checked before sleeping and always retesting 15 mins after eating. If I had done that I would have realized something was up and connected the dots that I had done Humalog, eaten enough or done a planned glucagon injection, and avoided the emt visit.
Stay safe everyone.
Edit:
Any EMTs reading this: thank you for your glucose solution! Please do not treat all hypo incidents as if the diabetic is "bad" because sometimes you fuck up and do something wrong like inject short instead of long insulin. You guys/girls are awesome, try to get an answer of when the last insulin was because you may need more glucose.</t>
        </is>
      </c>
      <c r="D1488" t="n">
        <v>21</v>
      </c>
      <c r="E1488" t="n">
        <v>47</v>
      </c>
      <c r="F1488">
        <f>HYPERLINK("https://www.reddit.com/r/diabetes/comments/3tvnql/psa_refill_your_glucagon_and_gather_your/")</f>
        <v/>
      </c>
      <c r="G1488" t="inlineStr">
        <is>
          <t>2015-11-22 16:36:36</t>
        </is>
      </c>
      <c r="H1488" t="inlineStr">
        <is>
          <t>Type 1</t>
        </is>
      </c>
    </row>
    <row r="1489">
      <c r="A1489" t="inlineStr">
        <is>
          <t>3twgxk</t>
        </is>
      </c>
      <c r="B1489" t="inlineStr">
        <is>
          <t>Low dose bolus (mealtime) accuracy</t>
        </is>
      </c>
      <c r="C1489" t="inlineStr">
        <is>
          <t>I'm insulin sensitive and have gotten even more so since starting keto (4 months ago). I also need a small bolus in the morning because I get [dawn phenomenon](http://www.diabetesselfmanagement.com/blog/controlling-the-dawn-phenomenon/) even though I'm not eating carbs.
I was given a pediatrics pen by my doctor to give half units, with varying results. When using a half, sometimes I feel like I get a full unit... enough to slam me since I'm not eating carbs. And sometimes it does sweet f-all. Which got me thinking... how accurate are these half units?
I found some [old research](http://www.diabetesselfmanagement.com/blog/controlling-the-dawn-phenomenon/) with worrying results. TLDR is that injections are more inaccurate the lower the dose. This makes sense I guess, when air bubbles, needle length and surface tension are factored in. I'll keep digging, but I thought I'd bring it to the table here to see how everyone else gets on with these things (mine's a novo nordisk).</t>
        </is>
      </c>
      <c r="D1489" t="n">
        <v>2</v>
      </c>
      <c r="E1489" t="n">
        <v>8</v>
      </c>
      <c r="F1489">
        <f>HYPERLINK("https://www.reddit.com/r/diabetes/comments/3twgxk/low_dose_bolus_mealtime_accuracy/")</f>
        <v/>
      </c>
      <c r="G1489" t="inlineStr">
        <is>
          <t>2015-11-22 20:27:19</t>
        </is>
      </c>
      <c r="H1489" t="inlineStr">
        <is>
          <t>Type 1</t>
        </is>
      </c>
    </row>
    <row r="1490">
      <c r="A1490" t="inlineStr">
        <is>
          <t>3tyuc8</t>
        </is>
      </c>
      <c r="B1490" t="inlineStr">
        <is>
          <t>I have now been a diabetic for 2 years now. I really need some advice.</t>
        </is>
      </c>
      <c r="C1490" t="inlineStr">
        <is>
          <t>How can I stop myself from lying to my dad and saying that my number is lower than it actually is? I just instinctively say that it's in range even if it isn't. It's really hard for me not to lie to him because I don't want to tell him when it's bad. What should I do to stop myself?</t>
        </is>
      </c>
      <c r="D1490" t="n">
        <v>8</v>
      </c>
      <c r="E1490" t="n">
        <v>13</v>
      </c>
      <c r="F1490">
        <f>HYPERLINK("https://www.reddit.com/r/diabetes/comments/3tyuc8/i_have_now_been_a_diabetic_for_2_years_now_i/")</f>
        <v/>
      </c>
      <c r="G1490" t="inlineStr">
        <is>
          <t>2015-11-23 09:56:46</t>
        </is>
      </c>
      <c r="H1490" t="inlineStr">
        <is>
          <t>Type 1</t>
        </is>
      </c>
    </row>
    <row r="1491">
      <c r="A1491" t="inlineStr">
        <is>
          <t>3u2e6a</t>
        </is>
      </c>
      <c r="B1491" t="inlineStr">
        <is>
          <t>Extreme resistance or too much insulin?</t>
        </is>
      </c>
      <c r="C1491" t="inlineStr">
        <is>
          <t>For the last few days my mealtime insulin seems to be making very little effect. My units per 10g of carbs has been reasonably high for the last few years(~1,3-1,5 units) but these last few days it's gone even worse. 2h ago I had a meal containing about 50g carbs, took 10 units novorapid 15 min before eating. Beforing eating my BG was on 7,7 (126) My 1h BG was 11,9 (198), 2h was 12,7 (216) and that's how its been every meal for a few days now. i've considered trying to take less insulin in case taking too much is causing it, but a bit too worried to end up even higher doing it. I have a doctors appontment in a week but would need some advise what to do until then..</t>
        </is>
      </c>
      <c r="D1491" t="n">
        <v>3</v>
      </c>
      <c r="E1491" t="n">
        <v>21</v>
      </c>
      <c r="F1491">
        <f>HYPERLINK("https://www.reddit.com/r/diabetes/comments/3u2e6a/extreme_resistance_or_too_much_insulin/")</f>
        <v/>
      </c>
      <c r="G1491" t="inlineStr">
        <is>
          <t>2015-11-24 03:10:41</t>
        </is>
      </c>
      <c r="H1491" t="inlineStr">
        <is>
          <t>Type 1</t>
        </is>
      </c>
    </row>
    <row r="1492">
      <c r="A1492" t="inlineStr">
        <is>
          <t>3u4cje</t>
        </is>
      </c>
      <c r="B1492" t="inlineStr">
        <is>
          <t>Just diagnosed type 2</t>
        </is>
      </c>
      <c r="C1492" t="inlineStr">
        <is>
          <t>Hey everyone. I was just diagnosed today as type 2 (HBA1C at 7.8%). I feel lost and have some questions. How reversible is diabetes? Have I already permanently damaged my body? I am 28 and never expected to have to deal with this. I am already switching to a low-carb diet but would appreciate any other advice or insight you guys have. This shit is so terrifying.</t>
        </is>
      </c>
      <c r="D1492" t="n">
        <v>21</v>
      </c>
      <c r="E1492" t="n">
        <v>11</v>
      </c>
      <c r="F1492">
        <f>HYPERLINK("https://www.reddit.com/r/diabetes/comments/3u4cje/just_diagnosed_type_2/")</f>
        <v/>
      </c>
      <c r="G1492" t="inlineStr">
        <is>
          <t>2015-11-24 12:04:14</t>
        </is>
      </c>
      <c r="H1492" t="inlineStr">
        <is>
          <t>Type 2</t>
        </is>
      </c>
    </row>
    <row r="1493">
      <c r="A1493" t="inlineStr">
        <is>
          <t>3u4p72</t>
        </is>
      </c>
      <c r="B1493" t="inlineStr">
        <is>
          <t>Question for UK T1's - how many needles will your doctor give you in one go?</t>
        </is>
      </c>
      <c r="C1493" t="inlineStr">
        <is>
          <t>I feel my doctor is restricting my needle supply for some reason, so i'm conducting a straw poll; i'd like to see if i am being treated differently to the norm.  
So basically, how many (boxes of 100) needles at a time are you ordering (and receiving) on a repeat prescription?
EDIT: Thanks for your responses; it looks like 2 x 100 needles is normal - and that's what i get given. Still, it does seem odd to me that i can get a few months worth of all other supplies, but only 30 days of needles (i use 6-7 a day)</t>
        </is>
      </c>
      <c r="D1493" t="n">
        <v>5</v>
      </c>
      <c r="E1493" t="n">
        <v>16</v>
      </c>
      <c r="F1493">
        <f>HYPERLINK("https://www.reddit.com/r/diabetes/comments/3u4p72/question_for_uk_t1s_how_many_needles_will_your/")</f>
        <v/>
      </c>
      <c r="G1493" t="inlineStr">
        <is>
          <t>2015-11-24 13:22:51</t>
        </is>
      </c>
      <c r="H1493" t="inlineStr">
        <is>
          <t>Type 1</t>
        </is>
      </c>
    </row>
    <row r="1494">
      <c r="A1494" t="inlineStr">
        <is>
          <t>3u5a3o</t>
        </is>
      </c>
      <c r="B1494" t="inlineStr">
        <is>
          <t>I'm a t:slim user and I'm going to be in the water for a long time - should I switch back to MDI that day?</t>
        </is>
      </c>
      <c r="C1494" t="inlineStr">
        <is>
          <t xml:space="preserve">Hey guys, I'm going to a geothermal resort next week which means sitting around in a geothermal pool for hours at a time. Last time I went I was still on MDI and I stayed in the water for over four hours straight. My dexcom receiver was fine in a waterproof bag, but I'm guessing that wouldn't work with the pump because of the tubing. 
Is there a way to deal with the fact that the t:slim shouldn't be submerged for more than half an hour, or should I just switch back to MDI for the day? </t>
        </is>
      </c>
      <c r="D1494" t="n">
        <v>1</v>
      </c>
      <c r="E1494" t="n">
        <v>2</v>
      </c>
      <c r="F1494">
        <f>HYPERLINK("https://www.reddit.com/r/diabetes/comments/3u5a3o/im_a_tslim_user_and_im_going_to_be_in_the_water/")</f>
        <v/>
      </c>
      <c r="G1494" t="inlineStr">
        <is>
          <t>2015-11-24 15:43:08</t>
        </is>
      </c>
      <c r="H1494" t="inlineStr">
        <is>
          <t>Type 1</t>
        </is>
      </c>
    </row>
    <row r="1495">
      <c r="A1495" t="inlineStr">
        <is>
          <t>3u5nj1</t>
        </is>
      </c>
      <c r="B1495" t="inlineStr">
        <is>
          <t>New Stem Cell Delivery Device Closer to Reality for Type 1 Diabetics</t>
        </is>
      </c>
      <c r="C1495" t="inlineStr">
        <is>
          <t>"This is the first device of its kind geared toward treating diabetes via a device that can deliver stem cells. If effective, this therapy could reduce or even eliminate the need for insulin injections."</t>
        </is>
      </c>
      <c r="D1495" t="n">
        <v>1</v>
      </c>
      <c r="E1495" t="n">
        <v>3</v>
      </c>
      <c r="F1495">
        <f>HYPERLINK("https://www.reddit.com/r/diabetes/comments/3u5nj1/new_stem_cell_delivery_device_closer_to_reality/")</f>
        <v/>
      </c>
      <c r="G1495" t="inlineStr">
        <is>
          <t>2015-11-24 17:23:50</t>
        </is>
      </c>
      <c r="H1495" t="inlineStr">
        <is>
          <t>Type 1</t>
        </is>
      </c>
    </row>
    <row r="1496">
      <c r="A1496" t="inlineStr">
        <is>
          <t>3u5ooh</t>
        </is>
      </c>
      <c r="B1496" t="inlineStr">
        <is>
          <t>Just wanted to brag / provide a little morale boost for everyone trying to control their blood sugar</t>
        </is>
      </c>
      <c r="C1496" t="inlineStr">
        <is>
          <t>My 6-month check-in. A1C 5.7% 
Booyah!
All the sacrifice - the diet change, the added slacker-cise (I make my goal of 8,000 steps 3 days out of 7 now that it's cold.)
I increased my step goal from 6,000 to 8,000 steps in July. It's hard to keep it up especially now in the cold and wet. But the test results have me feeling better about myself and feeling better about myself = less slacking, more walking. :D
*dances*</t>
        </is>
      </c>
      <c r="D1496" t="n">
        <v>15</v>
      </c>
      <c r="E1496" t="n">
        <v>16</v>
      </c>
      <c r="F1496">
        <f>HYPERLINK("https://www.reddit.com/r/diabetes/comments/3u5ooh/just_wanted_to_brag_provide_a_little_morale_boost/")</f>
        <v/>
      </c>
      <c r="G1496" t="inlineStr">
        <is>
          <t>2015-11-24 17:32:36</t>
        </is>
      </c>
      <c r="H1496" t="inlineStr">
        <is>
          <t>Type 2</t>
        </is>
      </c>
    </row>
    <row r="1497">
      <c r="A1497" t="inlineStr">
        <is>
          <t>3u8j5f</t>
        </is>
      </c>
      <c r="B1497" t="inlineStr">
        <is>
          <t>T1D, in case you were wondering I hate you.</t>
        </is>
      </c>
      <c r="C1497" t="inlineStr">
        <is>
          <t>Woke up this morning with a fantastic 107 overnight on the CGM. Tested and saw my morning liver dump had started (122 after being awake for 10 minutes) so I bumped a quick bolus like I normally do and headed off to work.
20 minute drive to work and suddenly I'm at 165. UGH!
Bump 2 more units, and watch it slide up to 200. Double UGH!
Finally get it to level off, but have bumped several times through the morning just to wrestle it back to 150.
Oh, and to top it all off, my G5 was running about 50 points off from my fingerstick for about 2 of these hours, so while I thought I was gaining ground, I was still in the 170's.
So, yes, T1D, I hate you. Having a glorious day yesterday doesn't mean you have to go and crap on my next day!</t>
        </is>
      </c>
      <c r="D1497" t="n">
        <v>32</v>
      </c>
      <c r="E1497" t="n">
        <v>16</v>
      </c>
      <c r="F1497">
        <f>HYPERLINK("https://www.reddit.com/r/diabetes/comments/3u8j5f/t1d_in_case_you_were_wondering_i_hate_you/")</f>
        <v/>
      </c>
      <c r="G1497" t="inlineStr">
        <is>
          <t>2015-11-25 09:09:31</t>
        </is>
      </c>
      <c r="H1497" t="inlineStr">
        <is>
          <t>Type 1</t>
        </is>
      </c>
    </row>
    <row r="1498">
      <c r="A1498" t="inlineStr">
        <is>
          <t>3u9r6v</t>
        </is>
      </c>
      <c r="B1498" t="inlineStr">
        <is>
          <t>Dexcom Buddy</t>
        </is>
      </c>
      <c r="C1498" t="inlineStr">
        <is>
          <t>Anybody interested in sharing their Dexcom info through Dexcom Share?  I realize that this is highly personal information, but I thought I would throw it out there.  
I really don’t want someone calling me every time my numbers are out of control, but just a passive look at someone with similar issues.  I’m a newly diagnosed T1 adult – maybe someone in a similar situation?  Obviously the graphs are only a fraction of the story, and I don’t know how much looking at the data of a stranger would help.  Maybe just encouragement if nothing else.  I don’t personally know anyone with T1D, and sometimes I wonder how “normal” my numbers are.
PM me if you are interested, or post your thoughts if you have other concerns/ideas.</t>
        </is>
      </c>
      <c r="D1498" t="n">
        <v>3</v>
      </c>
      <c r="E1498" t="n">
        <v>1</v>
      </c>
      <c r="F1498">
        <f>HYPERLINK("https://www.reddit.com/r/diabetes/comments/3u9r6v/dexcom_buddy/")</f>
        <v/>
      </c>
      <c r="G1498" t="inlineStr">
        <is>
          <t>2015-11-25 14:03:02</t>
        </is>
      </c>
      <c r="H1498" t="inlineStr">
        <is>
          <t>Type 1</t>
        </is>
      </c>
    </row>
    <row r="1499">
      <c r="A1499" t="inlineStr">
        <is>
          <t>3uagx9</t>
        </is>
      </c>
      <c r="B1499" t="inlineStr">
        <is>
          <t>Request: Dexcom G4 transmitter</t>
        </is>
      </c>
      <c r="C1499" t="inlineStr">
        <is>
          <t xml:space="preserve">If anyone has an extra G4 transmitter with some remaining battery life you could send to a struggling T1D, please contact me.
Thanks.
</t>
        </is>
      </c>
      <c r="D1499" t="n">
        <v>1</v>
      </c>
      <c r="E1499" t="n">
        <v>2</v>
      </c>
      <c r="F1499">
        <f>HYPERLINK("https://www.reddit.com/r/diabetes/comments/3uagx9/request_dexcom_g4_transmitter/")</f>
        <v/>
      </c>
      <c r="G1499" t="inlineStr">
        <is>
          <t>2015-11-25 17:20:57</t>
        </is>
      </c>
      <c r="H1499" t="inlineStr">
        <is>
          <t>Type 1</t>
        </is>
      </c>
    </row>
    <row r="1500">
      <c r="A1500" t="inlineStr">
        <is>
          <t>3ubcpk</t>
        </is>
      </c>
      <c r="B1500" t="inlineStr">
        <is>
          <t>Recently Diagnosed at 19 with Type 1, concerns</t>
        </is>
      </c>
      <c r="C1500" t="inlineStr">
        <is>
          <t>Hi everyone! I was recently diagnosed with type 1 diabetes. At first they told me that it was Type 2 because my levels were low (resting blood sugar of 129, A1C of 6.9), but I went to an endocrinologist who said that that was unlikely for someone of my age who is not overweight and gave me more tests. My c-peptide results indicated that my body was still producing insulin but that my antibody levels were very high which indicated that my body is attacking itself and soon I will not be producing insulin.
So in the past few weeks, I'm monitoring my sugars and I have insulin to inject for if they are ever over 150 before a meal. My sugars have been really low recently since I have put myself on a low carb diet and now my sugar for when I wake up is 60s-90s and I've only had to inject myself once. Is this a reasonable thing to do to myself? I kind of feel like I'm cheating my disease right now but since I'm on my "honeymoon period" I can afford to get out of it. Or should I just get myself involved and started in the constant monitoring/eating carbs/injecting myself lifestyle? I am extra concerned about this because my doctor told me when I went in earlier that my urine tests showed extremely high ketone levels in my urine (which I know is dangerous for a diabetic) and I'm afraid it has to do with my low carb diet.
My parents are really worried about this and even though I keep telling them no, they believe that at this stage I can cure it, and stop my body from attacking itself. They keep on hearing this from the internet, their accupuncturist, etc.
My ultimate question, however, is, how will I need to change my lifestyle, especially when this honeymoon period thing ends? (1 month, 1 year, I have no idea) I know that I will have to constantly monitor my sugar for the rest of my life and, later administer insulin. What about eating? Are people in control of their insulin management still unable to eat many foods (I understand I will probably never again be able to eat a plate of pasta, or more than a bite of ice cream, but damn do I like a good sandwich.) And I know that when I can manage my insulin I can eat more carbs, but it  would probably be better to rely less on insulin for everything I eat. Therefore a lower carb diet for the rest of my life is probably better, right? And as for doing regular things in life, I have always loved camping and hiking. Are more extreme adventures like that (especially multiday) now out of my reach?
Finally for diabetic supplies: they are pretty expensive, and (especially for the strips that I always mess up when using and have to get another one) I go through them really fast, and need refills. I've never had medical problems before and so I don't really know how all that works. Is there a better, easier (and possibly cheaper) way of getting all these supplies?
Thanks so much!
TL;DR Diagnosed w/ Type 1 at 19, am confused</t>
        </is>
      </c>
      <c r="D1500" t="n">
        <v>3</v>
      </c>
      <c r="E1500" t="n">
        <v>16</v>
      </c>
      <c r="F1500">
        <f>HYPERLINK("https://www.reddit.com/r/diabetes/comments/3ubcpk/recently_diagnosed_at_19_with_type_1_concerns/")</f>
        <v/>
      </c>
      <c r="G1500" t="inlineStr">
        <is>
          <t>2015-11-25 22:05:59</t>
        </is>
      </c>
      <c r="H1500" t="inlineStr">
        <is>
          <t>Type 1</t>
        </is>
      </c>
    </row>
    <row r="1501">
      <c r="A1501" t="inlineStr">
        <is>
          <t>3uh0o5</t>
        </is>
      </c>
      <c r="B1501" t="inlineStr">
        <is>
          <t>Can you build muscle on low carb/keto diet? T1 diabetes</t>
        </is>
      </c>
      <c r="C1501" t="inlineStr">
        <is>
          <t>Hi guys looking for any advice here I am type one diabetic and have been lifting in gym for around a year or so dieted down a good bit lost around 20lbs and feel much better and built up some strength/muscle.
Nutrition wise low carb/keto eating is only way I have managed to keep my blood glucose tight and well controlled. Eating a 'normal' amount of carbs does not work with me despite tracking calories/carbs I:c factors etc.
Im 5'11 around 178 and can maintain my weight on around 2800 calories a da, wondering if it possible/if any of you guys have built muscle eating this way.
Thanks :)</t>
        </is>
      </c>
      <c r="D1501" t="n">
        <v>2</v>
      </c>
      <c r="E1501" t="n">
        <v>2</v>
      </c>
      <c r="F1501">
        <f>HYPERLINK("https://www.reddit.com/r/diabetes/comments/3uh0o5/can_you_build_muscle_on_low_carbketo_diet_t1/")</f>
        <v/>
      </c>
      <c r="G1501" t="inlineStr">
        <is>
          <t>2015-11-27 07:12:56</t>
        </is>
      </c>
      <c r="H1501" t="inlineStr">
        <is>
          <t>Type 1</t>
        </is>
      </c>
    </row>
    <row r="1502">
      <c r="A1502" t="inlineStr">
        <is>
          <t>3ui8d1</t>
        </is>
      </c>
      <c r="B1502" t="inlineStr">
        <is>
          <t>Unexpected Ketones</t>
        </is>
      </c>
      <c r="C1502" t="inlineStr">
        <is>
          <t>Never posted here so hopefully this is within the rules.
Been a type 1 for about 7 years or so and have always had good HbA1c levels, and still do. 
I've noticed recently (2 weeks) that I can generally always smell ketones in my urine, there's a possibility that I'm imagining it but I'm getting sticks to test for them on Wednesday to make sure. My sugar level did go high the other day (about 3 days ago) so it's possibly recently from this? But other than that I've recently started cutting weight as I'm a power-lifter and had some excess fat on me. I know low carbs can also cause ketones but my carbs are relatively high, my breakfast for example is about 70g. 
I'm on levemir for my 24hours and novorapid for fast acting insulin. I've always required a fairly high amount and my overnight is currently 28 and mealtime is roughly 18 for breakfast and 12-16 for dinner. I only have two meals. 
Is it worth adding another levemir injection in the morning? I always have a rise in sugar levels in the morning without eating anything.</t>
        </is>
      </c>
      <c r="D1502" t="n">
        <v>1</v>
      </c>
      <c r="E1502" t="n">
        <v>3</v>
      </c>
      <c r="F1502">
        <f>HYPERLINK("https://www.reddit.com/r/diabetes/comments/3ui8d1/unexpected_ketones/")</f>
        <v/>
      </c>
      <c r="G1502" t="inlineStr">
        <is>
          <t>2015-11-27 12:48:06</t>
        </is>
      </c>
      <c r="H1502" t="inlineStr">
        <is>
          <t>Type 1</t>
        </is>
      </c>
    </row>
    <row r="1503">
      <c r="A1503" t="inlineStr">
        <is>
          <t>3ujduo</t>
        </is>
      </c>
      <c r="B1503" t="inlineStr">
        <is>
          <t>Nudie Diabetes Calendar Update!</t>
        </is>
      </c>
      <c r="C1503" t="inlineStr">
        <is>
          <t xml:space="preserve">Hey fellow diabadasses. You guys asked me to keep you updated about the “T1D Exposed," the nude diabetes advocacy calendar, so here's your update!
Like I said in my previous post, T1D Exposed is a fundraiser, and all proceeds go to JDRF, Carb DM, and DYF, three very worthy diabetes research and support community organizations. T1D Exposed is about acknowledging and embracing the physical changes that T1D can have on the body, while celebrating all that bodies can do with type one. We want to give a voice to the bumps and bruises, the scar tissue, and complication, the adhesive residues and the finger stick scarring. We also want to express gratitude for these changes, insulin, and diabetes gadgets, as they are what allow us to be a part of this world.
This year, participants are showcasing a passion in their portrait, something their amazing type one bodies allow them to do. The 2016 calendars have come back from the printers, and we are so happy with them. The calendars are $20, and can be purchased through our website www.t1dexposed.org or at the launch event in San Francisco on December 4th https://www.facebook.com/events/172762986404960/
Our most newly diagnosed participant has had diabetes 1.5 years, and our participant that has lived with T1D the longest was diagnosed 62 years ago! All are proud of their journeys with type one and their determination to pursue their passions while living with T1D. It's been such an incredible project to be a part of, and I have met wonderful, inspiring individuals because of it. If you are in the Bay Area, I'd love to meet you at the launch party. Though no one would choose to be in it, the diabetic community is such a special one to be a part of. Feel free to message me if you are interested in being a part of future projects. Planning on doing another one next year, and met one of the participants who posed for this year's calendar through reddit! Would love to meet more of you : )
</t>
        </is>
      </c>
      <c r="D1503" t="n">
        <v>10</v>
      </c>
      <c r="E1503" t="n">
        <v>1</v>
      </c>
      <c r="F1503">
        <f>HYPERLINK("https://www.reddit.com/r/diabetes/comments/3ujduo/nudie_diabetes_calendar_update/")</f>
        <v/>
      </c>
      <c r="G1503" t="inlineStr">
        <is>
          <t>2015-11-27 18:36:04</t>
        </is>
      </c>
      <c r="H1503" t="inlineStr">
        <is>
          <t>Type 1</t>
        </is>
      </c>
    </row>
    <row r="1504">
      <c r="A1504" t="inlineStr">
        <is>
          <t>3uo3dv</t>
        </is>
      </c>
      <c r="B1504" t="inlineStr">
        <is>
          <t>Long-Term Metformin Treatment Linked to Vitamin B12 Deficiency and Neuropathy (x-post from /r/type2diabetes)</t>
        </is>
      </c>
      <c r="C1504" t="inlineStr">
        <is>
          <t>I have taken 2000mg daily metformin for nearly a decade. I was well aware of its tendency to deplete B12 but I counter that by including a fairly high meat, fish and seafood content in my menu. However, this report is causing me to review, once again, whether the small improvement the drug provides in my A1c and general blood glucose levels is worth the risk of long term effects. 
**[Long-Term Metformin Treatment Linked to Vitamin B12 Deficiency](http://www.medscape.com/viewarticle/851542)**
&amp;gt;Metformin-related vitamin B12 deficiency might contribute to clinically significant peripheral neuropathy in diabetes patients, new research suggests.
***
&amp;gt;Guidelines from European Association for the Study of Diabetes (EASD) and the American Diabetes Association do mention vitamin B12 deficiency as a risk of metformin treatment for type 2 diabetes, but they don't make recommendations for screening or supplementation, said Mattijs Out, MD, an internist of vascular medicine at Bethesda Diabetes Research Center, Hoogeveen, the Netherlands, who presented the findings last week at the **[European Association for the Study of Diabetes 2015 Meeting](http://www.medscape.com/viewcollection/33464)**.
&amp;gt;"This is important. The consequences of vitamin B12 deficiency, like neuropathy or mental changes, may be profound. Even more, they may be difficult to diagnose, because they may be ascribed to old age or diabetes itself and may be or become irreversible. On the other hand, vitamin B12 deficiency is relatively easy to diagnose, and treatment is easy, cheap, and effective," Dr Out commented.
I find it a bit odd that Dr Out sees supplementation as the preferred solution rather than questioning continued prescription of metformin. Possibly the acknowledgements may answer that:
&amp;gt;The study was sponsored by Altana, Lifescan, Merck-Lipha, Merck Sharpe &amp;amp; Dohme, and Novo Nordisk. Dr Out and Dr Schernthaner have no relevant financial relationships.
I suppose we should be applauding their agreement to publishing a study which is less than enthusiastic about a medication and it would be too much to suggest it should be prescribed less.
Yeah, I know, I'm just a cynic.</t>
        </is>
      </c>
      <c r="D1504" t="n">
        <v>10</v>
      </c>
      <c r="E1504" t="n">
        <v>20</v>
      </c>
      <c r="F1504">
        <f>HYPERLINK("https://www.reddit.com/r/diabetes/comments/3uo3dv/longterm_metformin_treatment_linked_to_vitamin/")</f>
        <v/>
      </c>
      <c r="G1504" t="inlineStr">
        <is>
          <t>2015-11-28 19:26:09</t>
        </is>
      </c>
      <c r="H1504" t="inlineStr">
        <is>
          <t>Type 2</t>
        </is>
      </c>
    </row>
    <row r="1505">
      <c r="A1505" t="inlineStr">
        <is>
          <t>3uuhk0</t>
        </is>
      </c>
      <c r="B1505" t="inlineStr">
        <is>
          <t>[Prediabetic] How or why does diabetes progress, exactly?</t>
        </is>
      </c>
      <c r="C1505" t="inlineStr">
        <is>
          <t>I have impaired glucose tolerance (prediabetic). I think it's mostly genetic because my mom also has prediabetes and I'm not overweight (I'm borderline underweight BMI). I'm curious as to what would contribute to progressing my diabetes. 
I know that eating no carb/keto makes diabetes basically "dormant", but does it stop its progression? Or does it continue to progress regardless of how good I'm being?
Does eating carbs contribute to it progressing? Do high blood sugars make it progress? If my blood sugars are always &amp;lt;140 does that mean it won't progress?
I'm just confused because I know that eating low carb diet minimizes diabetes complications, but I don't know if it **actually** helps slow progression from prediabetes to diabetes. Does diabetes progress behind the scenes no matter what you do?</t>
        </is>
      </c>
      <c r="D1505" t="n">
        <v>11</v>
      </c>
      <c r="E1505" t="n">
        <v>18</v>
      </c>
      <c r="F1505">
        <f>HYPERLINK("https://www.reddit.com/r/diabetes/comments/3uuhk0/prediabetic_how_or_why_does_diabetes_progress/")</f>
        <v/>
      </c>
      <c r="G1505" t="inlineStr">
        <is>
          <t>2015-11-30 04:52:47</t>
        </is>
      </c>
      <c r="H1505" t="inlineStr">
        <is>
          <t>Type 2</t>
        </is>
      </c>
    </row>
    <row r="1506">
      <c r="A1506" t="inlineStr">
        <is>
          <t>3uuowg</t>
        </is>
      </c>
      <c r="B1506" t="inlineStr">
        <is>
          <t>I can't seem to do this right at all. My numbers always shock me.</t>
        </is>
      </c>
      <c r="C1506" t="inlineStr">
        <is>
          <t>Yesterday, I was stuck around 160 and I could not for the life of me get out of that range. Lately I've been trying to get my numbers lower but I'm finding that as the days go on, I have to take more and more insulin to account for any carbs that I eat. I used to be at a ratio of 1 unit for every 10 grams of carbs. Yesterday I was taking 1 unit for every 6 grams and I still could not get my numbers lower. I know the numbers aren't crazy bad, but I'm extremely frustrated to the point where I feel so discouraged I just want to cry. I don't know why this is so hard.
Also, I don't know if I'm doing this right at all. I realize that I'm just guessing at my numbers. I don't know if the amount of Lantus I'm taking is right. I don't know if my insulin to carb ratio is right. I don't even know how much one unit of insulin lowers my blood sugar by. I'm just tweaking all these numbers willy nilly and I have no idea what I'm doing. My diabetes educator sucks and hasn't taught me anything. Could someone help point me in the right direction? I really need help and feel so lost.</t>
        </is>
      </c>
      <c r="D1506" t="n">
        <v>26</v>
      </c>
      <c r="E1506" t="n">
        <v>46</v>
      </c>
      <c r="F1506">
        <f>HYPERLINK("https://www.reddit.com/r/diabetes/comments/3uuowg/i_cant_seem_to_do_this_right_at_all_my_numbers/")</f>
        <v/>
      </c>
      <c r="G1506" t="inlineStr">
        <is>
          <t>2015-11-30 05:58:44</t>
        </is>
      </c>
      <c r="H1506" t="inlineStr">
        <is>
          <t>Type 1</t>
        </is>
      </c>
    </row>
    <row r="1507">
      <c r="A1507" t="inlineStr">
        <is>
          <t>3uybna</t>
        </is>
      </c>
      <c r="B1507" t="inlineStr">
        <is>
          <t>How to get a short acting insulin pen with no insurance?</t>
        </is>
      </c>
      <c r="C1507" t="inlineStr">
        <is>
          <t>Hi! My partner was diagnosed T1 this August. Unfortunately, he found out about his diabetes only two weeks before his insurance ended. He is getting on Kaiser through CoveredCA on January 1st, but has run out of short acting insulin. He has medi-cal, but for some reason they wont cover Novolog. I read we can get Novolin R through Walmart for cheap. Is the only difference that he has to inject it 30 minutes before eating? Is it also in a pen form? 
Sorry for our ignorance. We are trying to get him stable, but his blood sugar gets to 300 nearly every day even with short acting insulin. We're really looking forward to getting on Kaiser so he can begin to sort this out. Any advice would be appreciated. Thank you!
Edit: I'm not sure anyone will see this, but it turns out Medi-cal doesn't cover ANY short acting insulin. It's nuts. We ended up getting some samples from his doctor! I can't wait until we get on Kaiser in January! Thanks to everyone on this forum for your guidance and kindness!</t>
        </is>
      </c>
      <c r="D1507" t="n">
        <v>7</v>
      </c>
      <c r="E1507" t="n">
        <v>33</v>
      </c>
      <c r="F1507">
        <f>HYPERLINK("https://www.reddit.com/r/diabetes/comments/3uybna/how_to_get_a_short_acting_insulin_pen_with_no/")</f>
        <v/>
      </c>
      <c r="G1507" t="inlineStr">
        <is>
          <t>2015-11-30 20:01:58</t>
        </is>
      </c>
      <c r="H1507" t="inlineStr">
        <is>
          <t>Type 1</t>
        </is>
      </c>
    </row>
    <row r="1508">
      <c r="A1508" t="inlineStr">
        <is>
          <t>3uyhdu</t>
        </is>
      </c>
      <c r="B1508" t="inlineStr">
        <is>
          <t>Levemir Onset Time and Not Having Needle in long Enough.</t>
        </is>
      </c>
      <c r="C1508" t="inlineStr">
        <is>
          <t>I take Levemir long acting insulin, and it says on Levemir's website that the onset time is one hour. http://www.levemir.com/diabetes-and-insulin/how-does-insulin-work/
When I actually asked a doctor, he said it was "more like a few hours."
Which one would be more accurate?
I'm asking because I don't think I had my needle in my skin for the full six seconds described on the package because I got startled, and I want to make sure it's working. It was more like three seconds. 
There wasn't any excessive leaking from the needle, so I think it all got in. Anyone have experience with this?</t>
        </is>
      </c>
      <c r="D1508" t="n">
        <v>1</v>
      </c>
      <c r="E1508" t="n">
        <v>2</v>
      </c>
      <c r="F1508">
        <f>HYPERLINK("https://www.reddit.com/r/diabetes/comments/3uyhdu/levemir_onset_time_and_not_having_needle_in_long/")</f>
        <v/>
      </c>
      <c r="G1508" t="inlineStr">
        <is>
          <t>2015-11-30 20:44:26</t>
        </is>
      </c>
      <c r="H1508" t="inlineStr">
        <is>
          <t>Type 1</t>
        </is>
      </c>
    </row>
    <row r="1509">
      <c r="A1509" t="inlineStr">
        <is>
          <t>3v296h</t>
        </is>
      </c>
      <c r="B1509" t="inlineStr">
        <is>
          <t>Diasend and the G5 Receiver</t>
        </is>
      </c>
      <c r="C1509" t="inlineStr">
        <is>
          <t>Insurance paid for the G5 upgrade, which was pretty cool.  But I've run into an issue uploading data from the receiver:  
http://imgur.com/9HI6Lxr
Anyone know what's up, or when it's gonna be fixed?</t>
        </is>
      </c>
      <c r="D1509" t="n">
        <v>3</v>
      </c>
      <c r="E1509" t="n">
        <v>3</v>
      </c>
      <c r="F1509">
        <f>HYPERLINK("https://www.reddit.com/r/diabetes/comments/3v296h/diasend_and_the_g5_receiver/")</f>
        <v/>
      </c>
      <c r="G1509" t="inlineStr">
        <is>
          <t>2015-12-01 14:45:19</t>
        </is>
      </c>
      <c r="H1509" t="inlineStr">
        <is>
          <t>Type 1</t>
        </is>
      </c>
    </row>
    <row r="1510">
      <c r="A1510" t="inlineStr">
        <is>
          <t>3v3epl</t>
        </is>
      </c>
      <c r="B1510" t="inlineStr">
        <is>
          <t>Med manufacturer change and wonky BG's</t>
        </is>
      </c>
      <c r="C1510" t="inlineStr">
        <is>
          <t>My insurance company pushed me over to mail order for my maintenance meds, and now I am having all sorts of chaos in trying to keep my BG's down. Prior to this change, I was running average 130BG 2hrs after eating. Now I am anywhere from 140 to 220 2hrs after eating and I haven't changed my diet. I'm at a loss. The only thing that has changed is the manufacturer of the medication. The dosage has stayed the same. Anyone have any suggestions?
EDIT: Dx August 2015. Been on one "brand" of metformin since Dx until this week when I got my new Rx from Express Scripts.</t>
        </is>
      </c>
      <c r="D1510" t="n">
        <v>1</v>
      </c>
      <c r="E1510" t="n">
        <v>8</v>
      </c>
      <c r="F1510">
        <f>HYPERLINK("https://www.reddit.com/r/diabetes/comments/3v3epl/med_manufacturer_change_and_wonky_bgs/")</f>
        <v/>
      </c>
      <c r="G1510" t="inlineStr">
        <is>
          <t>2015-12-01 19:42:04</t>
        </is>
      </c>
      <c r="H1510" t="inlineStr">
        <is>
          <t>Type 2</t>
        </is>
      </c>
    </row>
    <row r="1511">
      <c r="A1511" t="inlineStr">
        <is>
          <t>3v3xmr</t>
        </is>
      </c>
      <c r="B1511" t="inlineStr">
        <is>
          <t>Best pump sites for active sleeper</t>
        </is>
      </c>
      <c r="C1511" t="inlineStr">
        <is>
          <t>I have always used my stomach for sites but I need to give it a rest and have never tried any other sites, they all seem uncomfortable and like they would easily rip out/ tangle at night. I often toss and turn when I sleep and have gotten used to switching sides with my pump in the process. 
Any advice for a good site to try out first? Other useful tips for maximum comfort with the pump? 
Medtronic Paradigm with silhouette infusion sites if it matters.</t>
        </is>
      </c>
      <c r="D1511" t="n">
        <v>1</v>
      </c>
      <c r="E1511" t="n">
        <v>6</v>
      </c>
      <c r="F1511">
        <f>HYPERLINK("https://www.reddit.com/r/diabetes/comments/3v3xmr/best_pump_sites_for_active_sleeper/")</f>
        <v/>
      </c>
      <c r="G1511" t="inlineStr">
        <is>
          <t>2015-12-01 22:16:33</t>
        </is>
      </c>
      <c r="H1511" t="inlineStr">
        <is>
          <t>Type 1.5/LADA</t>
        </is>
      </c>
    </row>
    <row r="1512">
      <c r="A1512" t="inlineStr">
        <is>
          <t>3v6pin</t>
        </is>
      </c>
      <c r="B1512" t="inlineStr">
        <is>
          <t>I have Asked about This before, but need your help. CGM/Pump Advice for athletic 8 year old girl.</t>
        </is>
      </c>
      <c r="C1512" t="inlineStr">
        <is>
          <t xml:space="preserve">So, we are taking her to a pump class In a couple of weeks, and were given a bunch of stuff from the nurse, but I am a bit overwhelmed.  Anyway, here is what I have:
First the pumps:
Accucheck Combo:  It looks pretty cool because you control it via bluetooth from the meter, but it has tubes.  It would also be nice if it could bluetooth to a phone and send a message to my phone whenever she checks/boluses.  Info does not show that ability, but is it possible?
Onetouch Ping.  Looks similar to the Accucheck but a bit less technology.
Medtronic:  It is CGM and pump together.  Still has a tube, but warns you when going high/low.
Dexcom G5:  One clip on your side, bluetoothed to her phone, and will text me and wife.  
My choice is either the  Dexcom5/Accucheck or the medtronic.  Can you all give me adivec on your setup and how well you like it? </t>
        </is>
      </c>
      <c r="D1512" t="n">
        <v>5</v>
      </c>
      <c r="E1512" t="n">
        <v>5</v>
      </c>
      <c r="F1512">
        <f>HYPERLINK("https://www.reddit.com/r/diabetes/comments/3v6pin/i_have_asked_about_this_before_but_need_your_help/")</f>
        <v/>
      </c>
      <c r="G1512" t="inlineStr">
        <is>
          <t>2015-12-02 12:03:54</t>
        </is>
      </c>
      <c r="H1512" t="inlineStr">
        <is>
          <t>Type 1</t>
        </is>
      </c>
    </row>
    <row r="1513">
      <c r="A1513" t="inlineStr">
        <is>
          <t>3v8zln</t>
        </is>
      </c>
      <c r="B1513" t="inlineStr">
        <is>
          <t>Getting An Insulin Prescription In Aus?</t>
        </is>
      </c>
      <c r="C1513" t="inlineStr">
        <is>
          <t xml:space="preserve">Hi Fellow Australians,
Relatively recently diagnosed type one diabetic here who doesn't know the goings on.
If I need some more insulin can I just walk into any GP and say hey I'm a type one diabetic can you write me a script for some insulin or do I need some sort of reference/proof with me when doing so?
Thanks. </t>
        </is>
      </c>
      <c r="D1513" t="n">
        <v>1</v>
      </c>
      <c r="E1513" t="n">
        <v>4</v>
      </c>
      <c r="F1513">
        <f>HYPERLINK("https://www.reddit.com/r/diabetes/comments/3v8zln/getting_an_insulin_prescription_in_aus/")</f>
        <v/>
      </c>
      <c r="G1513" t="inlineStr">
        <is>
          <t>2015-12-02 22:10:21</t>
        </is>
      </c>
      <c r="H1513" t="inlineStr">
        <is>
          <t>Type 1</t>
        </is>
      </c>
    </row>
    <row r="1514">
      <c r="A1514" t="inlineStr">
        <is>
          <t>3vf9s5</t>
        </is>
      </c>
      <c r="B1514" t="inlineStr">
        <is>
          <t>Our company, Wellth, is seeking T2 beta users for our app. Earn up to $50 to test it!</t>
        </is>
      </c>
      <c r="C1514" t="inlineStr">
        <is>
          <t>Dear /r/diabetes,
&amp;amp;nbsp;
&amp;amp;nbsp;
My name is Matt Loper, and I am the CEO of a digital health startup called Wellth. For the past two years we have been studying type 2 diabetes, and we have learned that managing your diabetes is a full time job. We think you should get paid for it.
&amp;amp;nbsp;
&amp;amp;nbsp;
My colleagues and I are a group of scientists, doctors, and other healthcare experts that have met and partnered with major healthcare organizations throughout the US, ranging from insurance companies to hospital systems to universities and small clinics. Our team includes the former head of the American Diabetes Association, Larry Hausner. Our company has participated in the [TechCrunch Battlefield NY 2015](http://techcrunch.com/2015/05/04/wellth-takes-a-crack-at-reducing-the-cost-of-health-care-with-steady-monitoring/), won acceptance into three digital health accelerator programs across the country ([TigerLabs](http://tigerlabs.co/portfolio/ ), [Healthbox](http://www.reuters.com/article/2015/07/29/il-healthbox-idUSnBw296366a+100+BSW20150729), and [NYDHA](http://digitalhealthaccelerator.com/portfolio/ )), and won an interesting developers challenge held by the [Center for Health Care Strategies](http://www.chcs.org/highlight/winners-super-utilizer-health-innovation-challenge-adheretech-chess-wellth/), a national nonprofit policy research center for low-resource communities.
&amp;amp;nbsp;
&amp;amp;nbsp;
At Wellth we are trying to build an app for chronic disease patients that will become integrated with health systems to pay patients for healthy actions. Our first trial, which we are now recruiting for, is focused on type 2 diabetes. First we will start by rewarding patients every time they take their medication, but by next year we want to run more trials to include rewards for other aspects of disease management and achieving good long-term outcomes (e.g. A1c improvement).
&amp;amp;nbsp;
&amp;amp;nbsp;
We are posting here today because we are inspired by the supportive community on /r/diabetes. You are our perfect test users because you are highly motivated to manage your type 2 diabetes, share your experiences, help others, and candidly evaluate the usefulness of health apps. You can help us by enrolling in our 2-week trial where you check in with our app every time you take any oral medication. Do not change your medication routine – just set one pill reminder and snap a photo of the pill in your hand right before you take it. We realize many people take more than one pill a day, but for now we are just testing one reminder per day. Every day that you upload a picture, you will earn a financial reward to be paid out at the end of two weeks. There is a large and small incentive group, both equally sized and assigned at random. The large incentive group will earn $50 for full adherence.
&amp;amp;nbsp;
&amp;amp;nbsp;
Please visit www.wellthapp.com/pilot for more details and to sign up.
&amp;amp;nbsp;
&amp;amp;nbsp;
Feel free to post any comments below, send me a private message, or send an email to info@wellthapp.com with any questions or feedback.
&amp;amp;nbsp;
&amp;amp;nbsp;
**TL;DR** Snap a photo of your medication with our app every time you take it for 2 weeks, earn up to $50. 
&amp;amp;nbsp;
&amp;amp;nbsp;
Thank you for your time.
&amp;amp;nbsp;
&amp;amp;nbsp;
Sincerely,
Matt Loper
CEO
Wellth</t>
        </is>
      </c>
      <c r="D1514" t="n">
        <v>8</v>
      </c>
      <c r="E1514" t="n">
        <v>27</v>
      </c>
      <c r="F1514">
        <f>HYPERLINK("https://www.reddit.com/r/diabetes/comments/3vf9s5/our_company_wellth_is_seeking_t2_beta_users_for/")</f>
        <v/>
      </c>
      <c r="G1514" t="inlineStr">
        <is>
          <t>2015-12-04 07:20:28</t>
        </is>
      </c>
      <c r="H1514" t="inlineStr">
        <is>
          <t>Type 2</t>
        </is>
      </c>
    </row>
    <row r="1515">
      <c r="A1515" t="inlineStr">
        <is>
          <t>3vgrmf</t>
        </is>
      </c>
      <c r="B1515" t="inlineStr">
        <is>
          <t>Hi r/diabetes! Looks like I'm joining the club. I've got some noob questions; can anyone help me?</t>
        </is>
      </c>
      <c r="C1515" t="inlineStr">
        <is>
          <t>I went to the doctor on Tuesday with some extreme thirst and blurry vision.  Can't be diabetes; I'm too healthy for that, right?  Wrong.  I poked a 17.6, and then here I am.   
  I asked my doctor if I should be getting a glucometer, and he said they would cover that in the health classes he was referring me to.  I'm in Canada, and there's a "Diabetic Daycare" set of classes I'll be taking, but not until January (I didn't find out the dates until after my several appointments).  
My first question is: should I get one now?  They seem pretty easy to operate, and I feel like getting a head start on my trends will help me, especially through the holiday season. I also feel a little lost when I'm trying to figure out what I should eat in a day if I don't know what it's going to do to my BG.   
Question 2: All of the reading that I'm finding on diet recommendations are super vague; they talk about choosing whole grains over processed, carbs vs protein blah blah blah.  I'm already fairly knowledgeable about diet and nutrition (I've been watching my macros for over half a year).  I need something that's going to talk numbers.  I've read about keeping each meal below 45g of carbs, and while I understand that everyone will be different, I need some clear guidelines to start with.  Clearly what I was doing still had my BG up super high, so I'm sure I need to make some changes.   
Do you have some website recommendations?  Books?    
Thanks for being here, and having such an active, knowledgeable community.  Having read an awful lot of the sidebar, and recent/top posts, I feel like I can handle the changes coming up for me.</t>
        </is>
      </c>
      <c r="D1515" t="n">
        <v>2</v>
      </c>
      <c r="E1515" t="n">
        <v>12</v>
      </c>
      <c r="F1515">
        <f>HYPERLINK("https://www.reddit.com/r/diabetes/comments/3vgrmf/hi_rdiabetes_looks_like_im_joining_the_club_ive/")</f>
        <v/>
      </c>
      <c r="G1515" t="inlineStr">
        <is>
          <t>2015-12-04 13:26:01</t>
        </is>
      </c>
      <c r="H1515" t="inlineStr">
        <is>
          <t>Type 2</t>
        </is>
      </c>
    </row>
    <row r="1516">
      <c r="A1516" t="inlineStr">
        <is>
          <t>3vh8z9</t>
        </is>
      </c>
      <c r="B1516" t="inlineStr">
        <is>
          <t>ELI5: What is metformin and why isn't it a free pass to eat whatever carbs you want?</t>
        </is>
      </c>
      <c r="C1516" t="inlineStr">
        <is>
          <t>As someone with impaired glucose tolerance (prediabetes) without access to this medicine, I don't know much about it other than it lowers you blood sugar levels.
So if I were to take it, what's stopping me from eating whatever I want, especially as a prediabetic? Won't it negate the blood sugar spikes and keep my blood sugar at a safe level?
Also, isn't this drug perfect for me as a prediabetic? Why aren't prediabetics able to get this drug?</t>
        </is>
      </c>
      <c r="D1516" t="n">
        <v>12</v>
      </c>
      <c r="E1516" t="n">
        <v>38</v>
      </c>
      <c r="F1516">
        <f>HYPERLINK("https://www.reddit.com/r/diabetes/comments/3vh8z9/eli5_what_is_metformin_and_why_isnt_it_a_free/")</f>
        <v/>
      </c>
      <c r="G1516" t="inlineStr">
        <is>
          <t>2015-12-04 15:30:07</t>
        </is>
      </c>
      <c r="H1516" t="inlineStr">
        <is>
          <t>Type 2</t>
        </is>
      </c>
    </row>
    <row r="1517">
      <c r="A1517" t="inlineStr">
        <is>
          <t>3vjwcw</t>
        </is>
      </c>
      <c r="B1517" t="inlineStr">
        <is>
          <t>Newly diagnosed with lots of questions</t>
        </is>
      </c>
      <c r="C1517" t="inlineStr">
        <is>
          <t xml:space="preserve">Hi. I am 53 years old and was diagnosed with LADA this week. I am going to the doctor on Monday to learn how to use insulin. I'm testing my sugar twice a day and it is consistently in the mid to high 200's. I'm kind of overwhelmed and have been reading a lot but there are some things I can't seem to find any info in. I am hoping there are people in this community that can help me with a few practical questions. First is around travel. I travel for business almost every week and have lots of questions from needle disposal in hotels to etiquette of having to inject myself at a business lunch. Also I am an avid cyclist. I typically go for a 50 mile ride every Saturday. Will I still be able to do this?  Am I going to need to stop and poke my finger and inject insulin along the way?  Does anyone have any experience with this?  I've been reading through all the posts and learned a lot already.  Seems like this is a great resource. Thanks in advance for your help. </t>
        </is>
      </c>
      <c r="D1517" t="n">
        <v>4</v>
      </c>
      <c r="E1517" t="n">
        <v>6</v>
      </c>
      <c r="F1517">
        <f>HYPERLINK("https://www.reddit.com/r/diabetes/comments/3vjwcw/newly_diagnosed_with_lots_of_questions/")</f>
        <v/>
      </c>
      <c r="G1517" t="inlineStr">
        <is>
          <t>2015-12-05 08:19:10</t>
        </is>
      </c>
      <c r="H1517" t="inlineStr">
        <is>
          <t>Type 1.5/LADA</t>
        </is>
      </c>
    </row>
    <row r="1518">
      <c r="A1518" t="inlineStr">
        <is>
          <t>3vkfil</t>
        </is>
      </c>
      <c r="B1518" t="inlineStr">
        <is>
          <t>First a1c since diagnosis! 11.7 to 5.2!</t>
        </is>
      </c>
      <c r="C1518" t="inlineStr">
        <is>
          <t>I got diagnosed right before school started,  so I'm still in the honeymoon phase, but still! Couldn't have be happier with this. I am 16, and my endocrinologist says that I am one of the most well managed diabetics he's seen.</t>
        </is>
      </c>
      <c r="D1518" t="n">
        <v>67</v>
      </c>
      <c r="E1518" t="n">
        <v>10</v>
      </c>
      <c r="F1518">
        <f>HYPERLINK("https://www.reddit.com/r/diabetes/comments/3vkfil/first_a1c_since_diagnosis_117_to_52/")</f>
        <v/>
      </c>
      <c r="G1518" t="inlineStr">
        <is>
          <t>2015-12-05 10:42:44</t>
        </is>
      </c>
      <c r="H1518" t="inlineStr">
        <is>
          <t>Type 1</t>
        </is>
      </c>
    </row>
    <row r="1519">
      <c r="A1519" t="inlineStr">
        <is>
          <t>3vor04</t>
        </is>
      </c>
      <c r="B1519" t="inlineStr">
        <is>
          <t>Type 2 Aunt-in-law driving me INSANE</t>
        </is>
      </c>
      <c r="C1519" t="inlineStr">
        <is>
          <t>"You haven't had this disease long, you will get less obsessed and then will only need to test your blood twice a day like me!"
"I have insulin, but that's just when I'm naughty and have a bigger meal than I should!"
"You know there's a cure by giving you a liver transplant"
"You don't need to take your insulin around with you, I left mine at home"
"Oh go on PLEASE tell me your sugars, I like to know! *badgers for 30 minutes until I pull a number out of my ass*"
I've given up trying to educate this woman, I just...so much ignorance makes me want to cry sometimes</t>
        </is>
      </c>
      <c r="D1519" t="n">
        <v>8</v>
      </c>
      <c r="E1519" t="n">
        <v>11</v>
      </c>
      <c r="F1519">
        <f>HYPERLINK("https://www.reddit.com/r/diabetes/comments/3vor04/type_2_auntinlaw_driving_me_insane/")</f>
        <v/>
      </c>
      <c r="G1519" t="inlineStr">
        <is>
          <t>2015-12-06 10:39:28</t>
        </is>
      </c>
      <c r="H1519" t="inlineStr">
        <is>
          <t>Type 1</t>
        </is>
      </c>
    </row>
    <row r="1520">
      <c r="A1520" t="inlineStr">
        <is>
          <t>3votnd</t>
        </is>
      </c>
      <c r="B1520" t="inlineStr">
        <is>
          <t>I'm worried I might have developed Type 2</t>
        </is>
      </c>
      <c r="C1520" t="inlineStr">
        <is>
          <t xml:space="preserve">So, I'm 22m. I've been overweight most of my life, I had some bad depression as a kid and used stress eating as a coping mechanism (I'm much better now, but bad diet habits are hard to kill). I've been working to lose weight over the past year, with mixed success. I was at my highest mid 2014 at 340lb, I'm down to 270 and still working on it. I exercise at least every other day, and while my diet isn't great, up until the last few weeks I've been focusing on calorie counting rather than carb counting.
About a month ago I started developing some mild tingling in my lower left leg. I had no idea what it was, but when it continued happening I made a doc appt. and got full bloodwork. Doc said nothing in the blood indicated anything, and advised me to see a neurologist. I didn't ask specifics.
Now, I did some research online, and while I'm aware that self-diagnosis is not reliable at all, I feel like in my situation Type 2 is a likely candidate. What are the chances that this is neuropathy caused by Type 2? I feel like it should have taken more time to present itself, but I honestly have no idea how long my blood sugar may have been high, so it's possible, I guess. :(
My question is, what can I do, if anything, about that? I'm going to explore getting diagnosed after I get home from school later this month. This just started happening, so I'm sort of falsely hoping there's something I can do to manage it. Everything I've read just says limit carbs, and I started doing that, but being a college student on a dining hall meal plan that's not easy. 
UPDATE 12/10/15:
Just got off the phone with my regular doctor (took longer than expected). A1C was 5.4, fasting BGL was 99. So, borderline prediabetes, definitely elevated, but not Type 2. Doctor posited that weight loss and a healthy diet will bring it down towards normal, but it's not high enough to indicate it's the cause of this nerve problem. I made a neurologist appointment as early as I could (on the 31st, sigh), so hopefully that sheds some light on it.
Thanks everyone who replied.
</t>
        </is>
      </c>
      <c r="D1520" t="n">
        <v>1</v>
      </c>
      <c r="E1520" t="n">
        <v>18</v>
      </c>
      <c r="F1520">
        <f>HYPERLINK("https://www.reddit.com/r/diabetes/comments/3votnd/im_worried_i_might_have_developed_type_2/")</f>
        <v/>
      </c>
      <c r="G1520" t="inlineStr">
        <is>
          <t>2015-12-06 10:57:46</t>
        </is>
      </c>
      <c r="H1520" t="inlineStr">
        <is>
          <t>Type 2</t>
        </is>
      </c>
    </row>
    <row r="1521">
      <c r="A1521" t="inlineStr">
        <is>
          <t>3vqlkp</t>
        </is>
      </c>
      <c r="B1521" t="inlineStr">
        <is>
          <t>Should I worried about getting Type 2?</t>
        </is>
      </c>
      <c r="C1521" t="inlineStr">
        <is>
          <t>I just got back from the doctor because of frequent urination in the past couple days... My blood glucose came 129. Commence freakout. This was about 1 hour and 50 minutes after eating... food I ate was sushi (about 12 California rolls)... and had only had a couple slices of bacon earlier in the morning. Should I be concerned with that number?? It seemed very high to me... borderline out of range and I am not satisfied at all with that number. Concerned about prediabetes as well....</t>
        </is>
      </c>
      <c r="D1521" t="n">
        <v>0</v>
      </c>
      <c r="E1521" t="n">
        <v>8</v>
      </c>
      <c r="F1521">
        <f>HYPERLINK("https://www.reddit.com/r/diabetes/comments/3vqlkp/should_i_worried_about_getting_type_2/")</f>
        <v/>
      </c>
      <c r="G1521" t="inlineStr">
        <is>
          <t>2015-12-06 18:29:27</t>
        </is>
      </c>
      <c r="H1521" t="inlineStr">
        <is>
          <t>Type 2</t>
        </is>
      </c>
    </row>
    <row r="1522">
      <c r="A1522" t="inlineStr">
        <is>
          <t>3vrjxv</t>
        </is>
      </c>
      <c r="B1522" t="inlineStr">
        <is>
          <t>Just got my pump! Tell me everything</t>
        </is>
      </c>
      <c r="C1522" t="inlineStr">
        <is>
          <t>Took me a very long time to finally decide to get one. Already loving not taking injections! But still a bit nervous about everything. 
It's the medtronic minimed paradigm, and will be getting their new pump as soon as my health insurance waiting period is over. 
Have a few questions too. Where do you keep the pump? I'm a female, and I work in business so am mostly wearing corporate clothing. I know some women keep it in their bra, but the pump is too big for me to keep there. I also like to wear tight clothing, but not sure if the pump will ever be visible now. Also, how is sleeping? I'm worried I'll pull it out tonight :/. 
Any other comments and recommendations are welcome! Thank you.
Edit:
More Questions;
How is exercising? Do you take your pump off? And what adjustments do you make for insulin before/after? My endo said we'll sort stuff like this in a few days, but I'd like to know what everyone else does.
What is in your kit? I was hoping I would have less to carry now, but my endo is making me carry so much stuff, I've had to get a new bag :(</t>
        </is>
      </c>
      <c r="D1522" t="n">
        <v>5</v>
      </c>
      <c r="E1522" t="n">
        <v>20</v>
      </c>
      <c r="F1522">
        <f>HYPERLINK("https://www.reddit.com/r/diabetes/comments/3vrjxv/just_got_my_pump_tell_me_everything/")</f>
        <v/>
      </c>
      <c r="G1522" t="inlineStr">
        <is>
          <t>2015-12-06 23:27:00</t>
        </is>
      </c>
      <c r="H1522" t="inlineStr">
        <is>
          <t>Type 1</t>
        </is>
      </c>
    </row>
    <row r="1523">
      <c r="A1523" t="inlineStr">
        <is>
          <t>3vtdpu</t>
        </is>
      </c>
      <c r="B1523" t="inlineStr">
        <is>
          <t>Thank You all, r/Diabetes!</t>
        </is>
      </c>
      <c r="C1523" t="inlineStr">
        <is>
          <t>So my 9 year old (just turned 9) recently passed 2 years since diagnosis.  She has had her ups and downs, and between this sub and the nurses, and doctors at Akron Children's hospital, She has really got on track.
The first year was so crazy and trying to get a decent number was difficult.  Through year two she has gradually gotten more stable, except for the occasional cold/flu.  
Through your hel, she has gone from an A1C of 8.5 to 7.5.  Also, she grew 2 inches and lost a couple pounds.   Not that she was severly overweight or anything, just a bit of a belly because we were unaware of "better" carbs.
Anyway, she is getting ready for a pump and owns her Type 1!  Love all around!</t>
        </is>
      </c>
      <c r="D1523" t="n">
        <v>50</v>
      </c>
      <c r="E1523" t="n">
        <v>3</v>
      </c>
      <c r="F1523">
        <f>HYPERLINK("https://www.reddit.com/r/diabetes/comments/3vtdpu/thank_you_all_rdiabetes/")</f>
        <v/>
      </c>
      <c r="G1523" t="inlineStr">
        <is>
          <t>2015-12-07 09:53:30</t>
        </is>
      </c>
      <c r="H1523" t="inlineStr">
        <is>
          <t>Type 1</t>
        </is>
      </c>
    </row>
    <row r="1524">
      <c r="A1524" t="inlineStr">
        <is>
          <t>3vu7f7</t>
        </is>
      </c>
      <c r="B1524" t="inlineStr">
        <is>
          <t>CMV: Type 2 diabetes will cause sexual dysfunction as I continue to get older</t>
        </is>
      </c>
      <c r="C1524" t="inlineStr">
        <is>
          <t>I have already recently discovered I have very low testosterone at 24 years old. I hear things such as erectile dysfunction is five times more common in those with diabetes because of vascular damage and circulation issues. I just learned I could potentially have type 2 or prediabetes... Do I have a chance at a completely functional and healthy, enjoyable sex life; even into my old age???</t>
        </is>
      </c>
      <c r="D1524" t="n">
        <v>2</v>
      </c>
      <c r="E1524" t="n">
        <v>4</v>
      </c>
      <c r="F1524">
        <f>HYPERLINK("https://www.reddit.com/r/diabetes/comments/3vu7f7/cmv_type_2_diabetes_will_cause_sexual_dysfunction/")</f>
        <v/>
      </c>
      <c r="G1524" t="inlineStr">
        <is>
          <t>2015-12-07 13:00:40</t>
        </is>
      </c>
      <c r="H1524" t="inlineStr">
        <is>
          <t>Type 2</t>
        </is>
      </c>
    </row>
    <row r="1525">
      <c r="A1525" t="inlineStr">
        <is>
          <t>3vufw1</t>
        </is>
      </c>
      <c r="B1525" t="inlineStr">
        <is>
          <t>[rant] Throwing out expired insulin</t>
        </is>
      </c>
      <c r="C1525" t="inlineStr">
        <is>
          <t>Teenage diabetic of 6 months, diagnosed in June. Type 1.
More often then not, I haven't used all my insulin in my Humalog pen and then the pen expires after the 28-day period. I always feel horrible when I throw out the expired insulin because I feel like it's a waste.</t>
        </is>
      </c>
      <c r="D1525" t="n">
        <v>2</v>
      </c>
      <c r="E1525" t="n">
        <v>9</v>
      </c>
      <c r="F1525">
        <f>HYPERLINK("https://www.reddit.com/r/diabetes/comments/3vufw1/rant_throwing_out_expired_insulin/")</f>
        <v/>
      </c>
      <c r="G1525" t="inlineStr">
        <is>
          <t>2015-12-07 13:55:58</t>
        </is>
      </c>
      <c r="H1525" t="inlineStr">
        <is>
          <t>Type 1</t>
        </is>
      </c>
    </row>
    <row r="1526">
      <c r="A1526" t="inlineStr">
        <is>
          <t>3vx8pu</t>
        </is>
      </c>
      <c r="B1526" t="inlineStr">
        <is>
          <t>125g of Carbs and still low?!?</t>
        </is>
      </c>
      <c r="C1526" t="inlineStr">
        <is>
          <t>Last night was a very odd night, indeed.
My ratio of 1:7 has been spot on for years without fail...until last night. I ate a Dinner of 45 grams of Carbs (starting BG of 82) and went out to Wal-Mart, where I dropped to ~45 according to my Dexcom. Treated with 1/2 bottle of Orange Soda (around 35g Carbs) and the CGM flatlined at 48 but didn't go higher.
I double checked with my monitor and it said 50. But even though the soda got me out of the steep drop, it still wasn't rising. It took the rest of the bottle (grand total of 75g Carbs) to get myself back to 75 and it still didn't rise any higher after that.
Sometimes this disease puzzles me. 18 years doing this, so this sure wasn't a honeymoon situation, but somehow I ended up eating/drinking 125g of carbs on 6.5 units of Novolog, and LOST 5 mg/dl on my BGs.
Oof.</t>
        </is>
      </c>
      <c r="D1526" t="n">
        <v>6</v>
      </c>
      <c r="E1526" t="n">
        <v>11</v>
      </c>
      <c r="F1526">
        <f>HYPERLINK("https://www.reddit.com/r/diabetes/comments/3vx8pu/125g_of_carbs_and_still_low/")</f>
        <v/>
      </c>
      <c r="G1526" t="inlineStr">
        <is>
          <t>2015-12-08 04:42:36</t>
        </is>
      </c>
      <c r="H1526" t="inlineStr">
        <is>
          <t>Type 1</t>
        </is>
      </c>
    </row>
    <row r="1527">
      <c r="A1527" t="inlineStr">
        <is>
          <t>3vxvxm</t>
        </is>
      </c>
      <c r="B1527" t="inlineStr">
        <is>
          <t>"Diagnosed" yesterday, knew since last Thursday</t>
        </is>
      </c>
      <c r="C1527" t="inlineStr">
        <is>
          <t xml:space="preserve">     Weight: 315lbs
     height: 6'5"
     last a1c: 7.1
     office fasting glucose: 161
     Low carb diet: since last Friday
I have an idiot of a doctor. Was just told yesterday I was diabetic, but determined that from results from last week. The office (rhymes with "RandPark" Bloomington, IN) refused to give out the results until reviewed by a doctor. I threatened to go to insurance, my lawyer, and file a HIPPA complaint with Health and Human Services along with the state board. Guess what, they gave me the results I paid for. 
I was able to determine that I had bad fasting glucose sugars and a1c. So time to look into the current state of the art. Root cause is a genetic abnormality, which causes a slew of bad problems. Correct fix indicates to not use faulty pathway, which means limiting carbohydrates as indicated by a blood glucometer.
The doctor (msg me) wanted me to test 1/day and said that numbers under 150mg/dL were fine. Oh really? [Compiled results](http://www.phlaunt.com/diabetes/14045678.php) shows that the beginning of the unsafe limit is 140mg/dL. Could be lower, and probably is.
He also wanted me to go on: Metformin, Statins, Lipitor.
I told him I would get the metformin perscrption but would not fill for statins or Lipitor.
So I've been testing:
     1 in the morning for fasting rate
     4 after every full meal (half hour increments from end of meal)
     1 when I go to bed.
I am controlling for carbs. I had &amp;lt;10g carbs yesterday, and surprise surprise: my glucose numbers are getting better. And I'm not eating starvation at all. My doctor was pill pushing metformin, with no regard for diet. Now, I told him my plan how I wish to test. SO, what did he do? Prescribe a meter and **100 strips for 3 months** ! And I told him I was going to heavily test food. 
I'm able to accurately monitor my blood sugar now. If I cannot show good results within 2 weeks, I'll go on metformin. But if I do get good results, I will continue my low carb/monitoring loop. After quite some time, when my body is better able to regulate carbohydrates, then I will consider adding some of my old vices back in (foccacia, my own pizza dough, dense breads with meal). 
I'm looking at getting out of pocket the ReliOn testing from Wal-Mart (egads, i have to step in there again...?). Cheap machines, and really cheap strips. I can afford the full testing regimen of strips and not have to worry.
</t>
        </is>
      </c>
      <c r="D1527" t="n">
        <v>2</v>
      </c>
      <c r="E1527" t="n">
        <v>9</v>
      </c>
      <c r="F1527">
        <f>HYPERLINK("https://www.reddit.com/r/diabetes/comments/3vxvxm/diagnosed_yesterday_knew_since_last_thursday/")</f>
        <v/>
      </c>
      <c r="G1527" t="inlineStr">
        <is>
          <t>2015-12-08 07:47:42</t>
        </is>
      </c>
      <c r="H1527" t="inlineStr">
        <is>
          <t>Type 2</t>
        </is>
      </c>
    </row>
    <row r="1528">
      <c r="A1528" t="inlineStr">
        <is>
          <t>3vy2er</t>
        </is>
      </c>
      <c r="B1528" t="inlineStr">
        <is>
          <t>Newly married and today marks 15 years from my wife's T1 diagnosis. Would love some advice/input/thoughts.</t>
        </is>
      </c>
      <c r="C1528" t="inlineStr">
        <is>
          <t>Hey Everyone. My wife and I have been together for a few years and we recently married. My wife is incredibly knowledgeable in the diabetes field (she's a healthcare professional) and sometimes takes it for granted that I don't know everything that she does. She also manages her T1 very well--I think (5.5-6.5 A1Cs). We eat healthy, cook at home, but still enjoy going out for a drink or two and to a nice restaurant here and there. I am not even certain what questions to ask. There are certainly questions I have that are difficult for me to ask her: e.g., what to expect down the road? is she managing everything properly? what to say and what not to say (I did read the diabetes etiquette for non-diabetics)? and mainly, what can I do to help. I am a realist and understand how serious T1 is, so I definitely have anxieties about it. However, I do not ever want to patronize her or even equate my anxieties with what she has been dealing with for more than a decade. I am rambling, but hopefully this group can help put some of this in perspective. Thanks!</t>
        </is>
      </c>
      <c r="D1528" t="n">
        <v>4</v>
      </c>
      <c r="E1528" t="n">
        <v>7</v>
      </c>
      <c r="F1528">
        <f>HYPERLINK("https://www.reddit.com/r/diabetes/comments/3vy2er/newly_married_and_today_marks_15_years_from_my/")</f>
        <v/>
      </c>
      <c r="G1528" t="inlineStr">
        <is>
          <t>2015-12-08 08:29:22</t>
        </is>
      </c>
      <c r="H1528" t="inlineStr">
        <is>
          <t>Type 1</t>
        </is>
      </c>
    </row>
    <row r="1529">
      <c r="A1529" t="inlineStr">
        <is>
          <t>3vywem</t>
        </is>
      </c>
      <c r="B1529" t="inlineStr">
        <is>
          <t>Doctors jerking me around. Questions. And a very long post.</t>
        </is>
      </c>
      <c r="C1529" t="inlineStr">
        <is>
          <t xml:space="preserve">I hope I can post this here.
Okay i'll post here as to why I have these questions.
Recently I found out that I am a type 1 diabetic when I had to stay in the hospital for a week,
I learned quite a bit about diabetes that I had never knew before and all the questions I had at that time were answered.
But I finally get out of the hospital and have the most awful stack of paperwork explaining everything that had went on so I could give it to the doctors at the health department to get my insulin quicker along with my blood work and all that, including the doctors notes that I am a type 1, the exact sentence is this, " Patient has type 1 diabetes with the body of a type 2 claims she did not know she had type 1 diabetes and no-one to her knowledge has had it". 
And yes I had not even thought about having diabetes previously because of the stupid myth that you only get diabetes if you eat a lot of sugar, and I never did. 
So anyways I am talking with the nurse who is treating me very crappy and talking about how I need to lose weight, Now I know this when I went into the hospital I am ashamed to say I was 389 pounds, very disgusted with myself I know but I had been exercising and dieting and not seeing any results but that is not the part about what she was saying to me that bothered me, she kept saying things like "With type 2 diabetes you have to" and "Stop eating cakes and cookies" and when I mentioned that I was type 1 she looked at me like I was stupid and just huffed at me and said " We'll know for sure after a few blood test, Large people do not have type 1", she also told me that my blood sugar isn't low until its 30, and from what I have found 40 is bad?
And I can see from what I can find online that a symptom of type 1 is weight loss, but also some of the other symptoms like slow healing wounds and what not that I didn't have until after I began taking insulin.
Then something else is after I began taking insulin I lost 90 pounds in a month and it is coming off very fast and I am losing more every week.
Also my blood sugar levels stay at around 80-100 through out the day, after a meal the highest its ever been was 150 but sometimes it drops to the 40's-50's
And I have searched everywhere and I can't seem to find an answer for these questions:
If you are fat can you have type 1?
Is the insulin helping me lose weight or causing it?
Is my blood sugar normal compared to other REAL people?
Have any other type 1's had a problem with losing weight?
  </t>
        </is>
      </c>
      <c r="D1529" t="n">
        <v>14</v>
      </c>
      <c r="E1529" t="n">
        <v>36</v>
      </c>
      <c r="F1529">
        <f>HYPERLINK("https://www.reddit.com/r/diabetes/comments/3vywem/doctors_jerking_me_around_questions_and_a_very/")</f>
        <v/>
      </c>
      <c r="G1529" t="inlineStr">
        <is>
          <t>2015-12-08 11:33:01</t>
        </is>
      </c>
      <c r="H1529" t="inlineStr">
        <is>
          <t>Type 1</t>
        </is>
      </c>
    </row>
    <row r="1530">
      <c r="A1530" t="inlineStr">
        <is>
          <t>3vz3b7</t>
        </is>
      </c>
      <c r="B1530" t="inlineStr">
        <is>
          <t>Need help interpreting my BG Level (Newbie)</t>
        </is>
      </c>
      <c r="C1530" t="inlineStr">
        <is>
          <t>Diagnosed Type 2 with A1C of 6.6 in October 2015.  Today I tested my Blood Glucose for first time after Very High Carb Meal (Highest in 2 Months, I usually eat Low Carb). I was trying to do a two hours after eating test but took me 45 minutes to get results after wasting 3 strips.  I got reading of 117mg/DL after 2.75 hours.  Is the reading High?</t>
        </is>
      </c>
      <c r="D1530" t="n">
        <v>2</v>
      </c>
      <c r="E1530" t="n">
        <v>8</v>
      </c>
      <c r="F1530">
        <f>HYPERLINK("https://www.reddit.com/r/diabetes/comments/3vz3b7/need_help_interpreting_my_bg_level_newbie/")</f>
        <v/>
      </c>
      <c r="G1530" t="inlineStr">
        <is>
          <t>2015-12-08 12:14:27</t>
        </is>
      </c>
      <c r="H1530" t="inlineStr">
        <is>
          <t>Type 2</t>
        </is>
      </c>
    </row>
    <row r="1531">
      <c r="A1531" t="inlineStr">
        <is>
          <t>3vzhjb</t>
        </is>
      </c>
      <c r="B1531" t="inlineStr">
        <is>
          <t>Rant: Why do so many think that T2 Diabetes can be "reversed?"</t>
        </is>
      </c>
      <c r="C1531" t="inlineStr">
        <is>
          <t>I am done trying to educate the mistaken that it can be controlled, not reversed. Of course it's always the well meaning... 
""reversal only lasts so long as they manage their life style. ""
That's the definition of "control" not "reversal."
*grump*
Maybe I'm just grumpy today.</t>
        </is>
      </c>
      <c r="D1531" t="n">
        <v>18</v>
      </c>
      <c r="E1531" t="n">
        <v>58</v>
      </c>
      <c r="F1531">
        <f>HYPERLINK("https://www.reddit.com/r/diabetes/comments/3vzhjb/rant_why_do_so_many_think_that_t2_diabetes_can_be/")</f>
        <v/>
      </c>
      <c r="G1531" t="inlineStr">
        <is>
          <t>2015-12-08 13:38:31</t>
        </is>
      </c>
      <c r="H1531" t="inlineStr">
        <is>
          <t>Type 2</t>
        </is>
      </c>
    </row>
    <row r="1532">
      <c r="A1532" t="inlineStr">
        <is>
          <t>3w0ydg</t>
        </is>
      </c>
      <c r="B1532" t="inlineStr">
        <is>
          <t>Pump/CGM recommendations for a 9 year old girl</t>
        </is>
      </c>
      <c r="C1532" t="inlineStr">
        <is>
          <t xml:space="preserve">First time poster in this sub. My 9 year old girl has had T1D for 15 months. We are doing pretty well I think. A1C was 7.4 at checkup today. She is done or almost done with her honeymoon period. We struggle in a few areas. School is the biggest. Her teacher this year sends her to the nurse constantly. She has 100% good intentions. She is just worried that she seems low (tired, etc). She is usually at 70 to 75 when she goes in, but we don't know if she is rising or dropping. You know the rest. We also were told today that we must switch to dosing before meals. We typically do not. We never know what she is going to eat. We tried tonight, and it went horribly. We gave her 4.5 units for a sandwich and some chips, and then she ate less than half. We had eaten out. She was completely full and said there was no way she could eat anymore. We had to give her something sweet to make up for it. Not ideal. This will happen a lot. We have done our best not to make her eat to an exact target. So, the CGM would be very helpful when she was at school. It would also make us feel better about letting her have more freedom. She is very good about monitoring herself, and she does perfect at counting carbs, calculating dosages, etc. The pump would help with pre dosing. It would obviously also get rid of the shots. She doesn't really like shots, and she hates Lantus. It burns her horribly. Sometimes to the point of tears. I believe Dexcom makes one of the better CGMs. I know there are tubeless pumps. I don't think there is a combined tubeless pump and tubeless CGM. I would prefer it be all in one to limit the amount of devices she has to have. The Medtronic looks like the pieces stuck to you are pretty big. What about this one? http://www.tandemdiabetes.com/Products/t-slim-G4-Insulin-Pump/ It looks nice. Anyone have any thoughts on this one or others? The interface looks great. I'm assuming I would need to get her an iPhone (the rare T1D perk!), and then I could monitor it remotely if I needed to. That is how I understand it to work from friends using a Dexcom. Any tips or thoughts would be greatly appreciated. I will have to attend a 90 minute prepump class at Vanderbilt (Nashville) before they will prescribe it. They gave me literature today, but it seems to be a bit outdated. I have found newer stuff online from the same manufacturer that I was given literature for. 
Edit: Thank you all so much for the tips. Now that I know the latest Dexcom works directly with an iPhone, I think I might start with CGM only. Once we get that down, I think we will try to pick a pump maybe a month or so later.  I should have posted here sooner. This has been very helpful. </t>
        </is>
      </c>
      <c r="D1532" t="n">
        <v>9</v>
      </c>
      <c r="E1532" t="n">
        <v>33</v>
      </c>
      <c r="F1532">
        <f>HYPERLINK("https://www.reddit.com/r/diabetes/comments/3w0ydg/pumpcgm_recommendations_for_a_9_year_old_girl/")</f>
        <v/>
      </c>
      <c r="G1532" t="inlineStr">
        <is>
          <t>2015-12-08 19:36:56</t>
        </is>
      </c>
      <c r="H1532" t="inlineStr">
        <is>
          <t>Type 1</t>
        </is>
      </c>
    </row>
    <row r="1533">
      <c r="A1533" t="inlineStr">
        <is>
          <t>3w3opr</t>
        </is>
      </c>
      <c r="B1533" t="inlineStr">
        <is>
          <t>Just got the option to get a pump!</t>
        </is>
      </c>
      <c r="C1533" t="inlineStr">
        <is>
          <t>So, I've been told I can get a pump. I'm in England, and I've been told I can choose either the animas vibe or the Accu-Check Insight. This is for someone in british high-school, so I've got stuff like weekly PE, which is more often than not contact sports. Are there any pros or cons for each one? Also, can you share any tips for using a pump?</t>
        </is>
      </c>
      <c r="D1533" t="n">
        <v>6</v>
      </c>
      <c r="E1533" t="n">
        <v>13</v>
      </c>
      <c r="F1533">
        <f>HYPERLINK("https://www.reddit.com/r/diabetes/comments/3w3opr/just_got_the_option_to_get_a_pump/")</f>
        <v/>
      </c>
      <c r="G1533" t="inlineStr">
        <is>
          <t>2015-12-09 09:59:58</t>
        </is>
      </c>
      <c r="H1533" t="inlineStr">
        <is>
          <t>Type 1</t>
        </is>
      </c>
    </row>
    <row r="1534">
      <c r="A1534" t="inlineStr">
        <is>
          <t>3w4h5i</t>
        </is>
      </c>
      <c r="B1534" t="inlineStr">
        <is>
          <t>Endo ordered CGM today. Already approved and being processed by DME. **watches phone for call from Dexcom**</t>
        </is>
      </c>
      <c r="C1534" t="inlineStr">
        <is>
          <t>I think I'm actually more excited about this than I was about getting a pump (only been pumping 5 months). I guess this year is all about about getting ALL the diabetes tech.</t>
        </is>
      </c>
      <c r="D1534" t="n">
        <v>14</v>
      </c>
      <c r="E1534" t="n">
        <v>16</v>
      </c>
      <c r="F1534">
        <f>HYPERLINK("https://www.reddit.com/r/diabetes/comments/3w4h5i/endo_ordered_cgm_today_already_approved_and_being/")</f>
        <v/>
      </c>
      <c r="G1534" t="inlineStr">
        <is>
          <t>2015-12-09 12:52:24</t>
        </is>
      </c>
      <c r="H1534" t="inlineStr">
        <is>
          <t>Type 1</t>
        </is>
      </c>
    </row>
    <row r="1535">
      <c r="A1535" t="inlineStr">
        <is>
          <t>3w552k</t>
        </is>
      </c>
      <c r="B1535" t="inlineStr">
        <is>
          <t>T1 - Acceptable A1C levels?</t>
        </is>
      </c>
      <c r="C1535" t="inlineStr">
        <is>
          <t>A few months back I was diagnosed with T1 diabetes, was admitted into ICU with my blood sugars over 600. It has been about six months since then, and I have been feeling a lot better. I just got my first A1C result in the mail today and its at 6.8
I'm not sure how to feel about it, I was hoping for something under 6.0
I feel like I have been managing my illness pretty well for how new it is to me and the limited support but, these results are making me question how well I am really managing this. This disease terrifies me and I want to make sure I am doing everything in my control to stay healthy. 
Edit - forgot to add I have been managing this with shots, no pump yet :(</t>
        </is>
      </c>
      <c r="D1535" t="n">
        <v>4</v>
      </c>
      <c r="E1535" t="n">
        <v>18</v>
      </c>
      <c r="F1535">
        <f>HYPERLINK("https://www.reddit.com/r/diabetes/comments/3w552k/t1_acceptable_a1c_levels/")</f>
        <v/>
      </c>
      <c r="G1535" t="inlineStr">
        <is>
          <t>2015-12-09 15:26:17</t>
        </is>
      </c>
      <c r="H1535" t="inlineStr">
        <is>
          <t>Type 1</t>
        </is>
      </c>
    </row>
    <row r="1536">
      <c r="A1536" t="inlineStr">
        <is>
          <t>3w9je9</t>
        </is>
      </c>
      <c r="B1536" t="inlineStr">
        <is>
          <t>One touch accuracy</t>
        </is>
      </c>
      <c r="C1536" t="inlineStr">
        <is>
          <t>Hey guys!
So I had a checkup today with an a1c of 9, up from 6...
They took my bg with a one touch verio at the beginning, and my bg was 212. When I tested from the same blood sample, my onetouch ultra 2 said 172. 
My endo gave me a verio, and as I'm sitting here testing, the verio is telling me 144, and ultra 2 is 97. 
I'm not sure which of these numbers I should be using. When I first got the meter, my a1c went from 12.5 to 6.1, but now that it's up to 9 I'm not sure which to believe. 
Any advice or thoughts greatly appreciated
UPDATE:
I picked up a VerioIQ today hoping it would be better than the Verio.
Feeling a Hypo right now, so i tested all 3 meters with 3 different fingers (note, i ate 20g of carbs about 1 minute before this test)
Ultra 2 - 67 
Verio - 138 
VerioIQ - 111 
I have no idea what to do now. I just picked up 3 months worth of test strips for the Verio. Should i fight through the hypo feeling and see if it goes away? Perhaps i just feel low because i'm used to the lower number of the Ultra?
I would call my endo but he's not currently in the office until Monday.</t>
        </is>
      </c>
      <c r="D1536" t="n">
        <v>2</v>
      </c>
      <c r="E1536" t="n">
        <v>5</v>
      </c>
      <c r="F1536">
        <f>HYPERLINK("https://www.reddit.com/r/diabetes/comments/3w9je9/one_touch_accuracy/")</f>
        <v/>
      </c>
      <c r="G1536" t="inlineStr">
        <is>
          <t>2015-12-10 11:27:16</t>
        </is>
      </c>
      <c r="H1536" t="inlineStr">
        <is>
          <t>Type 1</t>
        </is>
      </c>
    </row>
    <row r="1537">
      <c r="A1537" t="inlineStr">
        <is>
          <t>3wcfs9</t>
        </is>
      </c>
      <c r="B1537" t="inlineStr">
        <is>
          <t>Do any other type 1s feel extremely low at 80?</t>
        </is>
      </c>
      <c r="C1537" t="inlineStr">
        <is>
          <t>When I hit 80 I am shaky and a little disoriented, but my Dr is set at keeping my range between 80-100. Is anyone else much more comfortable 120-140 range?</t>
        </is>
      </c>
      <c r="D1537" t="n">
        <v>5</v>
      </c>
      <c r="E1537" t="n">
        <v>9</v>
      </c>
      <c r="F1537">
        <f>HYPERLINK("https://www.reddit.com/r/diabetes/comments/3wcfs9/do_any_other_type_1s_feel_extremely_low_at_80/")</f>
        <v/>
      </c>
      <c r="G1537" t="inlineStr">
        <is>
          <t>2015-12-10 23:14:47</t>
        </is>
      </c>
      <c r="H1537" t="inlineStr">
        <is>
          <t>Type 1</t>
        </is>
      </c>
    </row>
    <row r="1538">
      <c r="A1538" t="inlineStr">
        <is>
          <t>3wdp4n</t>
        </is>
      </c>
      <c r="B1538" t="inlineStr">
        <is>
          <t>Diabetic Service Dog</t>
        </is>
      </c>
      <c r="C1538" t="inlineStr">
        <is>
          <t xml:space="preserve">I have been trying to find a way to get a Diabetic Service dog for some time now.  The cost that most say is around 30,000 US Dollars.  This is not any where close to something I can afford.  Is there some kind of program that I can take advantage of to help get a service dog for myself?  I am 31 years old and have had type 1 Diabetes since I was 11 months old.  I struggle to keep my A1C down and it is currently sitting at a 9.1.  I desperately would like some additional help with keep my sugars from dropping low or high and the addition of a companion that can smell when this is happening would be a huge benefit, because my pump does not always alert me when this is happening.  I do use Continuous Glucose monitoring.  If anyone could help I would be greatly appreciative.
Thanks,
Just a old Diabetic who needs help. 
Edit I should put I live in IOWA and most out of state training programs have restrictions on distant's you must live away.
Edit with an Addition-The dog would also be a therapy dog to help with some depression so it is a dual purpose companion. </t>
        </is>
      </c>
      <c r="D1538" t="n">
        <v>0</v>
      </c>
      <c r="E1538" t="n">
        <v>8</v>
      </c>
      <c r="F1538">
        <f>HYPERLINK("https://www.reddit.com/r/diabetes/comments/3wdp4n/diabetic_service_dog/")</f>
        <v/>
      </c>
      <c r="G1538" t="inlineStr">
        <is>
          <t>2015-12-11 06:37:30</t>
        </is>
      </c>
      <c r="H1538" t="inlineStr">
        <is>
          <t>Type 1</t>
        </is>
      </c>
    </row>
    <row r="1539">
      <c r="A1539" t="inlineStr">
        <is>
          <t>3we4x7</t>
        </is>
      </c>
      <c r="B1539" t="inlineStr">
        <is>
          <t>How to find nutrition label for alcohol?</t>
        </is>
      </c>
      <c r="C1539" t="inlineStr">
        <is>
          <t>Is there an app or an easy way to find the nutrition information for alcohol? I saw an ad for peppermint vodka, and I'm interested in trying it, but I can't find the nutritional information anywhere online :( I'm sure it's loaded with sugar.</t>
        </is>
      </c>
      <c r="D1539" t="n">
        <v>2</v>
      </c>
      <c r="E1539" t="n">
        <v>12</v>
      </c>
      <c r="F1539">
        <f>HYPERLINK("https://www.reddit.com/r/diabetes/comments/3we4x7/how_to_find_nutrition_label_for_alcohol/")</f>
        <v/>
      </c>
      <c r="G1539" t="inlineStr">
        <is>
          <t>2015-12-11 08:23:29</t>
        </is>
      </c>
      <c r="H1539" t="inlineStr">
        <is>
          <t>Type 1</t>
        </is>
      </c>
    </row>
    <row r="1540">
      <c r="A1540" t="inlineStr">
        <is>
          <t>3we6v0</t>
        </is>
      </c>
      <c r="B1540" t="inlineStr">
        <is>
          <t>Mini Med Veo or Animas?</t>
        </is>
      </c>
      <c r="C1540" t="inlineStr">
        <is>
          <t>I am in Canada, and my husband(T1) and I are trying to pick out his first insulin pump.  I am so confused between Minimed and Animas!  CGM is a MUST and I hear such horror stories about MiniMeds GCM, but I like their pumps ability to detect blood sugar trends.  any suggestions on which pump to go with?</t>
        </is>
      </c>
      <c r="D1540" t="n">
        <v>3</v>
      </c>
      <c r="E1540" t="n">
        <v>4</v>
      </c>
      <c r="F1540">
        <f>HYPERLINK("https://www.reddit.com/r/diabetes/comments/3we6v0/mini_med_veo_or_animas/")</f>
        <v/>
      </c>
      <c r="G1540" t="inlineStr">
        <is>
          <t>2015-12-11 08:35:14</t>
        </is>
      </c>
      <c r="H1540" t="inlineStr">
        <is>
          <t>Type 1</t>
        </is>
      </c>
    </row>
    <row r="1541">
      <c r="A1541" t="inlineStr">
        <is>
          <t>3wearw</t>
        </is>
      </c>
      <c r="B1541" t="inlineStr">
        <is>
          <t>T1D scare from my 17 week pregnant wife</t>
        </is>
      </c>
      <c r="C1541" t="inlineStr">
        <is>
          <t>As it says in the title, I had a scare from my wife on Wednesday 12/9 when I got home from work.  She is a homemaker and a T1D, and has been for 21 years.
She was on the floor in our loft calling for help and she has no idea how long she had been there.  Luckily she was able to drink some juice and start to regain some consciousness, but it did take about an hour for her to become fully aware of everything.
We kept testing her blood sugar and started to get some crackers and peanut butter into her to help out as well.  Once she was better, we took her to the ER and had all tests run and all is well at this time.  We now have family following up with her more often as well as myself calling more often to make sure she is eating and testing frequently.
Has anyone else dealt with this in the past?  I have actually been having trouble with it right now as her voice keeps popping into my head like a broken record of her screaming.  
I just wanted to have some more folks to discuss this with as it is very hard for me to cope with right now.  Thank you in advance for all of your advice if you are able to provide any.</t>
        </is>
      </c>
      <c r="D1541" t="n">
        <v>23</v>
      </c>
      <c r="E1541" t="n">
        <v>42</v>
      </c>
      <c r="F1541">
        <f>HYPERLINK("https://www.reddit.com/r/diabetes/comments/3wearw/t1d_scare_from_my_17_week_pregnant_wife/")</f>
        <v/>
      </c>
      <c r="G1541" t="inlineStr">
        <is>
          <t>2015-12-11 08:58:34</t>
        </is>
      </c>
      <c r="H1541" t="inlineStr">
        <is>
          <t>Type 1</t>
        </is>
      </c>
    </row>
    <row r="1542">
      <c r="A1542" t="inlineStr">
        <is>
          <t>3wext2</t>
        </is>
      </c>
      <c r="B1542" t="inlineStr">
        <is>
          <t>18 Y/O with DKA (type one)</t>
        </is>
      </c>
      <c r="C1542" t="inlineStr">
        <is>
          <t>REPOST from /r/AskDocs
I'm in Canada, and I have Diabetes. Yesterday I had woken up very sick to my stomach and couldn't even keep water down. We called our Diabetes management team and they told us it was highly unlikely it was stomach flu (I've been studying for finals so I haven't been out of the house in a few days). The girl told me to inject 10 units of NovoRapid (fast acting insulin). I felt a tad bit better an hour later. My number was 20.9 at first, and after the 10 units it was at 20.0. We called back and they said to inject 5 more units. Did that. Felt pretty nasty and figured it was time I go to the hospital in order to get an IV because dehydration was becoming an issue. Before we left for the hospital I took one of my ketone strips and tested myself. It said HIGH, as in I had high ketones.
Went to the hospital - number was 16.7 so it had gone down. They ordered me to take some anti-nausea medicine (zofran if I recall correctly). I had to drink a lot of water and give them blood samples AND a urine sample. I did all that. Two hours later they came back and said my body acid was normal, and that I did have ketones. They discharged me.
Went home, and was 19 after eating some rice (my first food all day, and I bolused for it). I gave myself 2 or 3 units of insulin every 30 minutes and monitored my numbers closely. Finally, someone recommended I go to sleep for an hour and check back. Slept, woke up at 1:00 am and was 9.2. Woke up again at 2:15 AM and was 6.1. I nibbled on a few crackers and went back to bed. Woke up at 6:30 AM and was 7.0.
Woke up again at 10:30 AM and was 3.0. I ate a few crackers and didn't bolus because I was so low. I had my sister drive me back to school. It's now 1:38 PM and i'm 14. I gave myself 2 units of novorapid about 45 minutes ago. My number wasn't going down. I just gave myself another 2.5 units.
Basically, my question is: Is it normal for my numbers to be staying SO high despite all the insulin? I have an exam tomorrow and four next week and I have to stay at my University for the week. I'm just worried about these high numbers that refuse to come down. It's making it impossible to eat because even the slightest bit of food causes my numbers to skyrocket (making me feel like crap, and making it hard to study). I've done another ketone test and they're all gone. Now i'm just worried about these high numbers.
Thanks for reading!</t>
        </is>
      </c>
      <c r="D1542" t="n">
        <v>3</v>
      </c>
      <c r="E1542" t="n">
        <v>18</v>
      </c>
      <c r="F1542">
        <f>HYPERLINK("https://www.reddit.com/r/diabetes/comments/3wext2/18_yo_with_dka_type_one/")</f>
        <v/>
      </c>
      <c r="G1542" t="inlineStr">
        <is>
          <t>2015-12-11 11:18:07</t>
        </is>
      </c>
      <c r="H1542" t="inlineStr">
        <is>
          <t>Type 1</t>
        </is>
      </c>
    </row>
    <row r="1543">
      <c r="A1543" t="inlineStr">
        <is>
          <t>3wh3z0</t>
        </is>
      </c>
      <c r="B1543" t="inlineStr">
        <is>
          <t>Accidentally doubled up on lantus again...</t>
        </is>
      </c>
      <c r="C1543" t="inlineStr">
        <is>
          <t>Well fuck, got a little hammered and I'm pretty sure I dosed myself with 34 units of lantus twice. Ate a bunch of candy and oranges to compensate, but how long do you think I can wait until I can safely go to sleep? Just tested at 94. Is there a number that would be safe to pass out at? How long should I wait?</t>
        </is>
      </c>
      <c r="D1543" t="n">
        <v>4</v>
      </c>
      <c r="E1543" t="n">
        <v>20</v>
      </c>
      <c r="F1543">
        <f>HYPERLINK("https://www.reddit.com/r/diabetes/comments/3wh3z0/accidentally_doubled_up_on_lantus_again/")</f>
        <v/>
      </c>
      <c r="G1543" t="inlineStr">
        <is>
          <t>2015-12-11 20:34:00</t>
        </is>
      </c>
      <c r="H1543" t="inlineStr">
        <is>
          <t>Type 1</t>
        </is>
      </c>
    </row>
    <row r="1544">
      <c r="A1544" t="inlineStr">
        <is>
          <t>3wl5qx</t>
        </is>
      </c>
      <c r="B1544" t="inlineStr">
        <is>
          <t>Went in for an A1C yesterday, just got the results!</t>
        </is>
      </c>
      <c r="C1544" t="inlineStr">
        <is>
          <t>I feel like celebrating! I was diagnosed in May with T2 at 11.7%. In August, I had brought it down to 6.2%. I got the results back from yesterday's test today, and I am at 5.6%! Fuck yeah! I have been doing happy dances for the last hour!
Fuck you, diabetes! Fuck you right in the ass!
[EDIT] I was a little tipsy last night. When my husband finally got tired of hearing me chant 5.6, I go on here and spread the news. You guys are awesome! I hadn't mentioned it last night, but it looks like my holesterol level has improved considerably, too. I should also be celebrating that!</t>
        </is>
      </c>
      <c r="D1544" t="n">
        <v>43</v>
      </c>
      <c r="E1544" t="n">
        <v>20</v>
      </c>
      <c r="F1544">
        <f>HYPERLINK("https://www.reddit.com/r/diabetes/comments/3wl5qx/went_in_for_an_a1c_yesterday_just_got_the_results/")</f>
        <v/>
      </c>
      <c r="G1544" t="inlineStr">
        <is>
          <t>2015-12-12 16:58:05</t>
        </is>
      </c>
      <c r="H1544" t="inlineStr">
        <is>
          <t>Type 2</t>
        </is>
      </c>
    </row>
    <row r="1545">
      <c r="A1545" t="inlineStr">
        <is>
          <t>3wl9nd</t>
        </is>
      </c>
      <c r="B1545" t="inlineStr">
        <is>
          <t>Collapsed Last Night - A Warning</t>
        </is>
      </c>
      <c r="C1545" t="inlineStr">
        <is>
          <t>So a little background, I have adult-onset T1 and was diagnosed about 12 years ago. I'm currently pumping using Omnipod and I had a Dexcom for a while, but because we moved across the country and I haven't got around to sorting out Dexcom with my new insurer, I've been without it for a while.
Yesterday I was doing some chores and while trying to sort some things out in my daughter's bathroom, I realised that I was feeling a litle low. I figured I would finish filling the soap dispenser and then deal with it. After that, things get a little hazy.
Apparently my wife heard a loud crash and found me lying on the bathroom floor, siezing. Fortunately she's medically trained and didn't panic or anything, but the problem was I didn't haven't have any glucagon at home. I stopped seizing pretty quickly but I remained incoherent and I she says I kept trying to get up and failing. She managed to start forcing me to drink Fanta and says I was incoherent for a good 5 minutes; making no sense, trying to resist the forced-drinking and generally being incredibly uncooperative. 
My memories start in again with me sitting on the floor, trying to place a lid on a bottle of Fanta that I don't remember getting, with my knee hurting like hell (it would seem I landed on it) and a concerned wife and daughter looking at me. That's the worst part. Apparently my 2yo daughter watched her Daddy flailing around like a lunatic and her Mommy being really worried about the whole thing.
Thinking about it now, it's clear that I had become complacent. I have become so good at managing things that I stopped taking the precautions. 
1. I hadn't bothered to get a new Dexcom, because it's a pain to get the ball rolling and so I prioritized other things.
2. I hadn't bothered with Glucagon, because I figured I didn't really need it as I'd never been passed out before. 
3. I ignored the first signs of a hypo, because I, like I'm sure many people here, have had a gazillion times when my sugars have been a bit low and it's easy to deal with, right?
4. When I bolused before, I had been pretty casual about it. I figured I knew what condition I was in, what I was eating and I'd done it a million times before so I just shoved in the number I thought it should be. That was a mistake.
So I'm writing all of this as a heads-up to others. It can be easy to get so used to things and for everything to become so normal, that it's possible to forget how quickly and how hard Diabetes can bite you.
And yes, I'm sort out points 1 and 2 as quickly as possible.</t>
        </is>
      </c>
      <c r="D1545" t="n">
        <v>22</v>
      </c>
      <c r="E1545" t="n">
        <v>9</v>
      </c>
      <c r="F1545">
        <f>HYPERLINK("https://www.reddit.com/r/diabetes/comments/3wl9nd/collapsed_last_night_a_warning/")</f>
        <v/>
      </c>
      <c r="G1545" t="inlineStr">
        <is>
          <t>2015-12-12 17:28:32</t>
        </is>
      </c>
      <c r="H1545" t="inlineStr">
        <is>
          <t>Type 1.5/LADA</t>
        </is>
      </c>
    </row>
    <row r="1546">
      <c r="A1546" t="inlineStr">
        <is>
          <t>3wlobq</t>
        </is>
      </c>
      <c r="B1546" t="inlineStr">
        <is>
          <t>Sex tips (diabetes version)</t>
        </is>
      </c>
      <c r="C1546" t="inlineStr">
        <is>
          <t>This is very frustrating and embarrassing. While in the middle of coitus with a girl the other night I dropped low (like mid-thirties) and had to stop. I started mumbling some nonsense and was really fixated on grabbing my "pouch thingy" (my meter case). The poor girl had no idea what I was talking about, but somehow I managed to get a hold of my juice next to my bed. I kept putting my head down and not making sense for a solid chunk of time. I was really really embarrassed and ashamed.
This has been happening nearly every time I have sex. I recently got a Dexcom and every time I do the deed I get double arrows down. 
Anyone have any tips to combat this? Should I inform my partners about this (this was/is not occurring within a relationship)?</t>
        </is>
      </c>
      <c r="D1546" t="n">
        <v>29</v>
      </c>
      <c r="E1546" t="n">
        <v>28</v>
      </c>
      <c r="F1546">
        <f>HYPERLINK("https://www.reddit.com/r/diabetes/comments/3wlobq/sex_tips_diabetes_version/")</f>
        <v/>
      </c>
      <c r="G1546" t="inlineStr">
        <is>
          <t>2015-12-12 19:20:32</t>
        </is>
      </c>
      <c r="H1546" t="inlineStr">
        <is>
          <t>Type 1</t>
        </is>
      </c>
    </row>
    <row r="1547">
      <c r="A1547" t="inlineStr">
        <is>
          <t>3wo4df</t>
        </is>
      </c>
      <c r="B1547" t="inlineStr">
        <is>
          <t>Help Tflx or tslim users please</t>
        </is>
      </c>
      <c r="C1547" t="inlineStr">
        <is>
          <t xml:space="preserve">Hi.. 
I just got the tflex and the connection between the cartridge and the tubing came apart somehow. Can I just refill the tubing and move on? I know i have to disconnect it from my body but I am just worried about too much air. I refilled the tubing but it only took like 3 units instead of the 20 normally to see droplets.. I am just super worried..Can anyone calm me down?
</t>
        </is>
      </c>
      <c r="D1547" t="n">
        <v>5</v>
      </c>
      <c r="E1547" t="n">
        <v>13</v>
      </c>
      <c r="F1547">
        <f>HYPERLINK("https://www.reddit.com/r/diabetes/comments/3wo4df/help_tflx_or_tslim_users_please/")</f>
        <v/>
      </c>
      <c r="G1547" t="inlineStr">
        <is>
          <t>2015-12-13 09:40:31</t>
        </is>
      </c>
      <c r="H1547" t="inlineStr">
        <is>
          <t>Type 1</t>
        </is>
      </c>
    </row>
    <row r="1548">
      <c r="A1548" t="inlineStr">
        <is>
          <t>3wq6qz</t>
        </is>
      </c>
      <c r="B1548" t="inlineStr">
        <is>
          <t>Blood sugar normal (94,) but I feel like it's high.</t>
        </is>
      </c>
      <c r="C1548" t="inlineStr">
        <is>
          <t>I don't know how accurate testing on my arm is, but I got a reading of 94. That's pretty normal, right?
Then why can't I eat anything without getting sick? I feel like it's going high.</t>
        </is>
      </c>
      <c r="D1548" t="n">
        <v>1</v>
      </c>
      <c r="E1548" t="n">
        <v>20</v>
      </c>
      <c r="F1548">
        <f>HYPERLINK("https://www.reddit.com/r/diabetes/comments/3wq6qz/blood_sugar_normal_94_but_i_feel_like_its_high/")</f>
        <v/>
      </c>
      <c r="G1548" t="inlineStr">
        <is>
          <t>2015-12-13 18:04:03</t>
        </is>
      </c>
      <c r="H1548" t="inlineStr">
        <is>
          <t>Type 2</t>
        </is>
      </c>
    </row>
    <row r="1549">
      <c r="A1549" t="inlineStr">
        <is>
          <t>3wq9jk</t>
        </is>
      </c>
      <c r="B1549" t="inlineStr">
        <is>
          <t>Help! Health Insurance Issues.</t>
        </is>
      </c>
      <c r="C1549" t="inlineStr">
        <is>
          <t>My parents dropped a bomb on me yesterday. They are dropping me from their health insurance. I am a 23 year old female who is currently finishing up college and unemployed. What health insurance do I need to be able to cover my pump and supplies just as it was with my parents? I was on Texas BC/BS. I am freaked out and need to figure this out by December 31st. I have no clue where to start because I've always been on my parents insurance and I pay so much for my pump already I'm afraid I will not be able to afford it at all. My parents have not helped me for years. I have only been on their insurance. HELP!</t>
        </is>
      </c>
      <c r="D1549" t="n">
        <v>4</v>
      </c>
      <c r="E1549" t="n">
        <v>10</v>
      </c>
      <c r="F1549">
        <f>HYPERLINK("https://www.reddit.com/r/diabetes/comments/3wq9jk/help_health_insurance_issues/")</f>
        <v/>
      </c>
      <c r="G1549" t="inlineStr">
        <is>
          <t>2015-12-13 18:25:06</t>
        </is>
      </c>
      <c r="H1549" t="inlineStr">
        <is>
          <t>Type 1</t>
        </is>
      </c>
    </row>
    <row r="1550">
      <c r="A1550" t="inlineStr">
        <is>
          <t>3wtb10</t>
        </is>
      </c>
      <c r="B1550" t="inlineStr">
        <is>
          <t>TIL there is literally no amount of insulin I can take to offset a huge Mexican meal with a margarita.</t>
        </is>
      </c>
      <c r="C1550" t="inlineStr">
        <is>
          <t>Shot myself up with more insulin than I ever have in my whole life, still ended up at 400. Mexican food is delicious and diabetes is stupid.</t>
        </is>
      </c>
      <c r="D1550" t="n">
        <v>23</v>
      </c>
      <c r="E1550" t="n">
        <v>33</v>
      </c>
      <c r="F1550">
        <f>HYPERLINK("https://www.reddit.com/r/diabetes/comments/3wtb10/til_there_is_literally_no_amount_of_insulin_i_can/")</f>
        <v/>
      </c>
      <c r="G1550" t="inlineStr">
        <is>
          <t>2015-12-14 10:10:41</t>
        </is>
      </c>
      <c r="H1550" t="inlineStr">
        <is>
          <t>Type 1</t>
        </is>
      </c>
    </row>
    <row r="1551">
      <c r="A1551" t="inlineStr">
        <is>
          <t>3wuzut</t>
        </is>
      </c>
      <c r="B1551" t="inlineStr">
        <is>
          <t>So it's my second diaversary (still not sure I like that word) today...</t>
        </is>
      </c>
      <c r="C1551" t="inlineStr">
        <is>
          <t>When diagnosed I had no symptoms, or at least none that I recognised, but having hit my forties I was called in to my GP's surgery for a Healthy Heart check.  I gave a blood sample and was to make an appointment with the nurse a week later to discuss the results.  The nurse actually called me later that day and said my glucose was a little high, could I provide a fasting sample.  I said that was a fasting sample and she just said "Oh"!
Some further tests and I was diagnosed as type 2, with an A1c of 10.1%, and being generally averse to taking medication I asked if I could try to get it under control with just diet and exercise.  The diabetes nurse was reluctant, she gave me a target of under 7 and wanted me to go on medication, suggesting that if my A1c had been around 8 I might have a chance, but at over 10 it was unlikely, but she seemed to think three more months wouldn't do me much harm as I didn't have any other symptoms yet, so I was given that time to try.
I did fit a type 2 stereotype - over 40, overweight and over sedentary.  I went on a strict diet, started a quick couch to 5K regime and lost some weight.  Thanks to the unique way the NHS is funded it was more like 4 and a bit months before I got retested and back to see the diabetes nurse and my A1c was 5.4%, and there was much rejoicing, although I hadn't discovered this sub at that point, so I didn't get to do a "Yay - got my latest A1c results" post (consider this that - as well as an "It's my diaversary" post)!
At 5.4% I was deemed not to need medication, and I continue the healthy eating and regular jogging (I don't run - I jog - apparently there's a difference - I'm not training for anything - I don't have a personal best - I don't even time myself - I take it easy so I don't get injured).  In total I've lost about 60 pounds and my weight has been stable for over a year now.  My A1c remains around 5.3%.
I was just over a year in when I found this sub, which has been useful and I've learned a lot (for instance words like diaversary), although I do feel a little left out having never been on any medication for it, and not even testing myself until about 6 months ago.  Now I do test and adjust my diet fairly regularly.  I don't post on here very often but for some reason I feel like sharing to mark the occasion.  
So everything is fine at the moment. I'm putting a lot of effort in to managing the condition I no longer have - kind of - discuss?  Or maybe don't! 
No doubt I'll be back for advice should my levels start to rise.
TL;DR - Two years in and all is well.</t>
        </is>
      </c>
      <c r="D1551" t="n">
        <v>14</v>
      </c>
      <c r="E1551" t="n">
        <v>4</v>
      </c>
      <c r="F1551">
        <f>HYPERLINK("https://www.reddit.com/r/diabetes/comments/3wuzut/so_its_my_second_diaversary_still_not_sure_i_like/")</f>
        <v/>
      </c>
      <c r="G1551" t="inlineStr">
        <is>
          <t>2015-12-14 16:37:57</t>
        </is>
      </c>
      <c r="H1551" t="inlineStr">
        <is>
          <t>Type 2</t>
        </is>
      </c>
    </row>
    <row r="1552">
      <c r="A1552" t="inlineStr">
        <is>
          <t>3wwskp</t>
        </is>
      </c>
      <c r="B1552" t="inlineStr">
        <is>
          <t>Advice for helping a friend (Type 1)</t>
        </is>
      </c>
      <c r="C1552" t="inlineStr">
        <is>
          <t>A friend of mine is Type 1 diabetic. I was wondering if anyone could help me understand the feelings of hopelessness and constant fear of the possible complications. I want to be able to understand so I can know how to help comfort her, but I have never had to deal with anything like this personally. Any advice for how to handles times when someone is feeling like they are losing an uphill battle or just coping on a day-to-day basis? Thank you so much in advance!</t>
        </is>
      </c>
      <c r="D1552" t="n">
        <v>2</v>
      </c>
      <c r="E1552" t="n">
        <v>8</v>
      </c>
      <c r="F1552">
        <f>HYPERLINK("https://www.reddit.com/r/diabetes/comments/3wwskp/advice_for_helping_a_friend_type_1/")</f>
        <v/>
      </c>
      <c r="G1552" t="inlineStr">
        <is>
          <t>2015-12-14 23:11:27</t>
        </is>
      </c>
      <c r="H1552" t="inlineStr">
        <is>
          <t>Type 1</t>
        </is>
      </c>
    </row>
    <row r="1553">
      <c r="A1553" t="inlineStr">
        <is>
          <t>3x11nn</t>
        </is>
      </c>
      <c r="B1553" t="inlineStr">
        <is>
          <t>What should I look for in a CGM? (Parent of 3 yr old T1)</t>
        </is>
      </c>
      <c r="C1553" t="inlineStr">
        <is>
          <t>Newly diagnosed and he's dropping quite frequently... It's scary. They have adjusted his doses,  so hopefully that helps.
How closely do you monitor someone on a CGM? I'm waking him at 2AM every night. Is that something that is still done? I've heard stories of them coming off with no alarm.
He is not using a pump. (mdi?) Maybe in the future we can consider that..  Still so much to learn. Wife and I have Android phones, is that OK? Is Apple better for this application? 
Thanks!</t>
        </is>
      </c>
      <c r="D1553" t="n">
        <v>5</v>
      </c>
      <c r="E1553" t="n">
        <v>17</v>
      </c>
      <c r="F1553">
        <f>HYPERLINK("https://www.reddit.com/r/diabetes/comments/3x11nn/what_should_i_look_for_in_a_cgm_parent_of_3_yr/")</f>
        <v/>
      </c>
      <c r="G1553" t="inlineStr">
        <is>
          <t>2015-12-15 18:50:41</t>
        </is>
      </c>
      <c r="H1553" t="inlineStr">
        <is>
          <t>Type 1</t>
        </is>
      </c>
    </row>
    <row r="1554">
      <c r="A1554" t="inlineStr">
        <is>
          <t>3x2obk</t>
        </is>
      </c>
      <c r="B1554" t="inlineStr">
        <is>
          <t>The demoralization is so real with diabetes.</t>
        </is>
      </c>
      <c r="C1554" t="inlineStr">
        <is>
          <t>Mentioned a few times how awesome adding a CGM to my routine has been. For 3 months now, I have been tracking great, with a few hiccups here and there.  I have used it to get my dawn phenomenon under better control, and the Clarity software has been estimating an A1C in the 5's, although I have heard that it shoots low, so I'm expecting 6's.
An a1C in the 6's would be amazing given that my last was 7.7.
So, today is the day! Bloodwork day! And what do I wake up to? My BG at 207 mg/dl. GRRRRRR!!!
And, according to my CGM it went up to 170-180 around 1am, and stayed there until I woke up.
I was so excited to get my bloodwork done this morning, and now I'm completely demoralized because, of course it's going to show I was near 200 when the blood was taken, rather than the past, however many, mornings where I was waking up happily around 100-110.
Also, with a1C so heavily weighted to recent results, it's completely ruining my excitement for my numbers to come back.
Sorry for the rant, but it feels good to let it out.</t>
        </is>
      </c>
      <c r="D1554" t="n">
        <v>10</v>
      </c>
      <c r="E1554" t="n">
        <v>20</v>
      </c>
      <c r="F1554">
        <f>HYPERLINK("https://www.reddit.com/r/diabetes/comments/3x2obk/the_demoralization_is_so_real_with_diabetes/")</f>
        <v/>
      </c>
      <c r="G1554" t="inlineStr">
        <is>
          <t>2015-12-16 04:54:39</t>
        </is>
      </c>
      <c r="H1554" t="inlineStr">
        <is>
          <t>Type 1</t>
        </is>
      </c>
    </row>
    <row r="1555">
      <c r="A1555" t="inlineStr">
        <is>
          <t>3x3kzm</t>
        </is>
      </c>
      <c r="B1555" t="inlineStr">
        <is>
          <t>I hate assholes (Rant)</t>
        </is>
      </c>
      <c r="C1555" t="inlineStr">
        <is>
          <t>I work with the most annoying woman you can imagine. She's totally self absorbed, never shuts up, and never takes a hint that literally everyone in the office can't stand her or her non-stop poppycock about who gives a shit.
Today I happened to be in an office where there was some maintenance going on. The worker was being subjected to her onslaught of bullshit stories about nothing anyone cares about and she said her husband's brother recently passed away from diabetes. She followed that one up with "I don't care how good of a job you do taking care of yourself, diabetes will always get you in the end" I looked at her and said "that's a really shitty thing to say in front of me" and she just said "oh, sorry". Too bad she's an idiot and has no idea what she's talking about so that's something in our favor. 
Here's to the office assholes who haven't a clue. They can go fuck themselves.</t>
        </is>
      </c>
      <c r="D1555" t="n">
        <v>55</v>
      </c>
      <c r="E1555" t="n">
        <v>68</v>
      </c>
      <c r="F1555">
        <f>HYPERLINK("https://www.reddit.com/r/diabetes/comments/3x3kzm/i_hate_assholes_rant/")</f>
        <v/>
      </c>
      <c r="G1555" t="inlineStr">
        <is>
          <t>2015-12-16 09:07:33</t>
        </is>
      </c>
      <c r="H1555" t="inlineStr">
        <is>
          <t>Type 1</t>
        </is>
      </c>
    </row>
    <row r="1556">
      <c r="A1556" t="inlineStr">
        <is>
          <t>3x60cm</t>
        </is>
      </c>
      <c r="B1556" t="inlineStr">
        <is>
          <t>Can I go back to normal permanently?</t>
        </is>
      </c>
      <c r="C1556" t="inlineStr">
        <is>
          <t>I'm Type 2 (Insulin resistant,) and I have been for about a year.
I'm currently taking 2 500MG Metformin HCL pills twice a day. (Morning and night)
I'm going in for my second A1C test in the morning. My first test was a 14.
I've been reading... a lot.
Multiple sources say I can fix myself and make everything go away permanently, and completely fix everything, but an equal number says that I'm stuck like this and can only hope to prolong the inevitable.
I'm starting to experience low blood glucose levels. I've hit the low 70's a few times, and the low 60's once.
I figure you guys are the best answer out there without waiting until the morning and asking my doctor when I go in for my test. (Which I'm going to do.)
Can I fix this?</t>
        </is>
      </c>
      <c r="D1556" t="n">
        <v>6</v>
      </c>
      <c r="E1556" t="n">
        <v>20</v>
      </c>
      <c r="F1556">
        <f>HYPERLINK("https://www.reddit.com/r/diabetes/comments/3x60cm/can_i_go_back_to_normal_permanently/")</f>
        <v/>
      </c>
      <c r="G1556" t="inlineStr">
        <is>
          <t>2015-12-16 19:13:02</t>
        </is>
      </c>
      <c r="H1556" t="inlineStr">
        <is>
          <t>Type 2</t>
        </is>
      </c>
    </row>
    <row r="1557">
      <c r="A1557" t="inlineStr">
        <is>
          <t>3x60d6</t>
        </is>
      </c>
      <c r="B1557" t="inlineStr">
        <is>
          <t>Serious question - diabetes + marijuana</t>
        </is>
      </c>
      <c r="C1557" t="inlineStr">
        <is>
          <t>Now 28, diagnosed type one at 23. I am a regular user of cannabis. Recreational mostly but it also does wonders for my anxiety and I'm convinced it helps regulate my blood sugar.
I have been a regular user for about 3 years, I hold a pretty high profile, high stress job. I am not the stoner most people think of when they think of those that use marijuana. I have quit smoking a few times just because and have found each time that my blood sugar becomes  significantly more difficult to control and my insulin sensitivity seems to drastically decrease.
I am in the process of changing jobs, so I am off the grass since I will have to pass a drug test. Again, my blood sugar is significantly more difficult to regulate and my sensitivity to insulin is very much reduced.
Has anyone had this experience? Is it all in my head? Please spare me the stoner bashing.</t>
        </is>
      </c>
      <c r="D1557" t="n">
        <v>10</v>
      </c>
      <c r="E1557" t="n">
        <v>18</v>
      </c>
      <c r="F1557">
        <f>HYPERLINK("https://www.reddit.com/r/diabetes/comments/3x60d6/serious_question_diabetes_marijuana/")</f>
        <v/>
      </c>
      <c r="G1557" t="inlineStr">
        <is>
          <t>2015-12-16 19:13:09</t>
        </is>
      </c>
      <c r="H1557" t="inlineStr">
        <is>
          <t>Type 1</t>
        </is>
      </c>
    </row>
    <row r="1558">
      <c r="A1558" t="inlineStr">
        <is>
          <t>3x6qe5</t>
        </is>
      </c>
      <c r="B1558" t="inlineStr">
        <is>
          <t>(Possibly my own damn fault). What are the red flags that you may be approaching insulin dependency when taking Metformin? (Type 2)</t>
        </is>
      </c>
      <c r="C1558" t="inlineStr">
        <is>
          <t>Hello everyone.
Here's the problem (and I'm going to be completely open about this). Three weeks ago I had a really good routine going -- I was taking my prescribed dose of pills, I was exercising, and my glucose was sticking in the area of about 112-125 at any given time of the day. Naturally, I was pretty stoked about that. UNFORTUNATELY (and this is the bane of my existence) sometimes when things are going great, I have a tendency to get complacent.
Hence, in the weeks that followed, I started justifying small little things, because, hey, my glucose is doing pretty good, right? So I started to eat more (I even ordered pizza), I started exercising less, I started to be more sedentary in my day-to-day routines, until (tah-dah!) three weeks later I realize that I need to get back into my routine.
In the process, I ran out of testing strips and had to wait for about a week without testing my blood. When my test strips eventually came, my glucose had shot up to 300. :( Naturally, that worried the fook out of me -- I went straight back to doing what I needed to be doing (although less organized) and that brought my glucose down to 163.
Today, a few days later, my glucose readings have been 200, 165, and 180. I missed my morning dose of Metformin, but it's been about three hours since I took my evening dose.
All that being said, I plan to return to a disciplined routine very shortly, but in the experience and expertise of those in this subreddit, have I completely screwed myself over? I'm hoping that once I start exercising thoroughly each day, and watching what I eat that that can keep it down, but does it look like I'm approaching the point where I might have to go on insulin?
Granted, I understand that this is Reddit, and I'm not taking it as professional advice from a medical professional, but since there is a large and healthy following of those who have Type 2 Diabetes, what does this look like to you? Do you believe it's possible to reverse the effects again? Any red flags? Does it look like I'm on a one-way-ticket to having to go on insulin?
Just some thoughts. Wanted to see what others who have the disease would say.
And that being said, I appreciate the time. I hope you all are either doing or coping well. Thanks.</t>
        </is>
      </c>
      <c r="D1558" t="n">
        <v>8</v>
      </c>
      <c r="E1558" t="n">
        <v>4</v>
      </c>
      <c r="F1558">
        <f>HYPERLINK("https://www.reddit.com/r/diabetes/comments/3x6qe5/possibly_my_own_damn_fault_what_are_the_red_flags/")</f>
        <v/>
      </c>
      <c r="G1558" t="inlineStr">
        <is>
          <t>2015-12-16 23:11:36</t>
        </is>
      </c>
      <c r="H1558" t="inlineStr">
        <is>
          <t>Type 2</t>
        </is>
      </c>
    </row>
    <row r="1559">
      <c r="A1559" t="inlineStr">
        <is>
          <t>3x7suq</t>
        </is>
      </c>
      <c r="B1559" t="inlineStr">
        <is>
          <t>Just wanted to share my story. I think it's pretty interesting (I wrote this for English, so there is some information that you would already know)</t>
        </is>
      </c>
      <c r="C1559" t="inlineStr">
        <is>
          <t xml:space="preserve"> tl;dr- I had diabetic symptoms for about a month. Then I went to six flags and drank a ton of soda. I passed out due to my extreme sickness and then was taken to the hospital where I was diagnosed with diabetes.
July 10th, 2013 is a day I will never forget. It all started in the beginning of the summer of 2013. I went to a boy scout camp and nothing seemed unusual. It was time to go home and I decided to buy a couple of things at the store. I bought a pack of candy and a soda. I got on the bus and sat down next to my brother. Then something strange started to happen. I could feel this incredible thirst and hunger forming. I decided to drink my soda and eat my candy to quench my thirst, but it just made it worse! My thirst was almost unbearable now. I was seriously thinking about drinking the toilet water, I was that thirsty. Eventually, after about 2 hours of torture, we made it back home.
I thought I was just sick or something and that the symptoms would go away. I couldn’t have been more wrong. I suffered through about a month of horrible symptoms of extreme thirst, hunger, and some other symptoms I don’t need to go into. My mom told me I might have diabetes but if I'm being honest with you I thought only fat people got diabetes. My month of suffering finally ended on July 10th, 2013. The day my entire life changed. I will never forget this date and I will never forget what happened this day. That day we were going to Six Flags Great America. We decided to bring a 28 Oz refillable drink cup, that gives you free refills throughout the whole day. We arrived at Six Flags and got the drink cup filled up with soda, that was our first mistake. 
What I didn’t know is soda is extremely high in carbohydrates. So when I would drink the  soda, when I was thirsty, it would raise my blood sugar which would make me even thirstier, which would then cycle on. Since we had free refills I could just keep refilling it up with soda. I was basically hogging the drink cup the entire day. I just wanted to quench an unquenchable thirst. I finished my 7th cycle. I had drank 196 Ounces of soda. That equals about 16 coke cans and was about 637 carbs. I broke down. I sat down on a bench and shouted WHAT IS WRONG WITH ME? I started to cry. The worse pain is when you don’t know why it’s happening. My vision started to go black. When I regained consciousness I was in my mom’s car. She decided that we were going to find out what was wrong with me once and for all. We arrived at the hospital and walked into emergency care.
I was hoping for the best but expecting the worst. As I was walking into the room where my life would change forever nothing felt odd at first. The doctor started by checking my blood pressure, feeling my bones and checking my heart rate. Then time seemed to go in slow motion. She asked me to tell her my symptoms. She listen and thought she knew what it was. She pulled out a BGM (Blood Glucose Meter) and gave me a poker (used to extract blood from a finger). I slowly reached out my hand and felt the needle hit my skin and blood dripped out of the microscopic hole in my pinkie. I then raised my finger to the strip in the meter and waited for the device to spit out a number. The number on the meter was HI.  (This meant that my blood sugar was over 250, where the meter maxed out). I could see the look in the doctor’s eye and knew hard news was coming. She told me a phrase that was burned into my memory. She told me, you have Type one Diabetes.”</t>
        </is>
      </c>
      <c r="D1559" t="n">
        <v>10</v>
      </c>
      <c r="E1559" t="n">
        <v>5</v>
      </c>
      <c r="F1559">
        <f>HYPERLINK("https://www.reddit.com/r/diabetes/comments/3x7suq/just_wanted_to_share_my_story_i_think_its_pretty/")</f>
        <v/>
      </c>
      <c r="G1559" t="inlineStr">
        <is>
          <t>2015-12-17 06:18:31</t>
        </is>
      </c>
      <c r="H1559" t="inlineStr">
        <is>
          <t>Type 1</t>
        </is>
      </c>
    </row>
    <row r="1560">
      <c r="A1560" t="inlineStr">
        <is>
          <t>3xay8b</t>
        </is>
      </c>
      <c r="B1560" t="inlineStr">
        <is>
          <t>Bought my first meter!</t>
        </is>
      </c>
      <c r="C1560" t="inlineStr">
        <is>
          <t>Was diagnosed as Type 2 this past summer (A1C 6.5 and strong family history). Made several half-assed attempts at a low-carb diet then went back to my old ways due to some serious denial (what I suspect now is part of the grieving process). For the past several months there's been a battle raging between my responsible adult side, and the side of me that wants to pretend nothing's wrong and eat like an unsupervised 4-year-old (Taco Bell + Doritos and ketchup for dinner, anyone?).
&amp;amp;nbsp;
So my inner adult decided the only way to convince myself of the reality of my situation was to get a blood glucose meter so I could have hard numbers to show what I was doing to my body. My doctor didn't give me a prescription for one, so after reading some reviews I went and bought a meter that I have since dubbed ["DIABEETUS PRIME"](http://i.imgur.com/yQ51WCQ.jpg). (The Delica is either called "Sir Lance-A-Lot" or "Vlad the Impaler", depending on how much the most recent stick hurt.)
&amp;amp;nbsp;
The first night I had the thing (the Taco Bell/Doritos and ketchup night) I tested about 4 hours after I had eaten and my BG was 145. Just for comparison I tested my non-diabetic husband and brother-in-law - they got 87 and 106 (and the brother-in-law was actively guzzling sugary soda at the time of testing). So the meter seems to be working properly.
&amp;amp;nbsp;
The real kick in the pants came the next morning when I did a fasting BG test and got 152. Thinking it couldn't *possibly* be that high I tested again from the same finger - 148. I've read about the dawn phenomena, so maybe that's partly to blame, but it was still a cold splash of reality on my face that I needed. I've drastically cut back on the carbs and have been testing before and after every meal and snack for the past couple of days now. It's been pretty rough - my BG hasn't been below the upper 90s but I've felt hypo on several occasions (shaky, nauseous, irritable, weeping hysterically when Five Guys forgot the bunless burger I'd ordered); I'm guessing it's probably from the sudden drop in carbs and blood sugar. I'm just hoping my new-found motivation lasts.
&amp;amp;nbsp;
Some random observations:
* Surprisingly, my desire for information seems to have overridden my previous fear of sticking myself.
* The lancing isn't as bad as I expected - except for that once I hit the very front of my index finger. That hurt like a mofo.
* The case for the ReliOn Prime...well, it does the job, but it kinda sucks. It looks like a nylon taco.
* It seems like the diabetic supplies industry has missed a golden opportunity to make their products way more bad-ass. I mean, willingly puncturing your own skin on a daily basis is pretty metal. Why aren't there meters and lancing devices with fang motifs and names like, "The Vampire" or something? LOL
&amp;amp;nbsp;
**TL;DR** Bought my first meter in an attempt to overcome my denial about having Type 2 Diabetes, and it worked! Also, using the meter and lancing device hasn't been as bad as I anticipated so far.</t>
        </is>
      </c>
      <c r="D1560" t="n">
        <v>1</v>
      </c>
      <c r="E1560" t="n">
        <v>12</v>
      </c>
      <c r="F1560">
        <f>HYPERLINK("https://www.reddit.com/r/diabetes/comments/3xay8b/bought_my_first_meter/")</f>
        <v/>
      </c>
      <c r="G1560" t="inlineStr">
        <is>
          <t>2015-12-17 20:10:29</t>
        </is>
      </c>
      <c r="H1560" t="inlineStr">
        <is>
          <t>Type 2</t>
        </is>
      </c>
    </row>
    <row r="1561">
      <c r="A1561" t="inlineStr">
        <is>
          <t>3xcdzz</t>
        </is>
      </c>
      <c r="B1561" t="inlineStr">
        <is>
          <t>What are the main tings that would slow down the onset of rapid acting insulin?</t>
        </is>
      </c>
      <c r="C1561" t="inlineStr">
        <is>
          <t xml:space="preserve">Quite a few times in the last few weeks I've taken my bolus and it;s not started to take action for 1.5-2 hours. 
A couple of times this has caused my to go very low as I take a second bolus around 90 mins after the first because I feel awful with high blood sugars and it seems sensible to try at bringing them down again, at which point I suddenly drop and then come down even lower from the second bolus. 
I try and stay hydrated and inject into alternative sites or take a little walk around the office.
EDIT: The typo in the subject stays, even if it does make me sound Jamaican.  </t>
        </is>
      </c>
      <c r="D1561" t="n">
        <v>4</v>
      </c>
      <c r="E1561" t="n">
        <v>16</v>
      </c>
      <c r="F1561">
        <f>HYPERLINK("https://www.reddit.com/r/diabetes/comments/3xcdzz/what_are_the_main_tings_that_would_slow_down_the/")</f>
        <v/>
      </c>
      <c r="G1561" t="inlineStr">
        <is>
          <t>2015-12-18 05:44:49</t>
        </is>
      </c>
      <c r="H1561" t="inlineStr">
        <is>
          <t>Type 1</t>
        </is>
      </c>
    </row>
    <row r="1562">
      <c r="A1562" t="inlineStr">
        <is>
          <t>3xh9h5</t>
        </is>
      </c>
      <c r="B1562" t="inlineStr">
        <is>
          <t>Insulin (Humalog and Levemir) left out at room temp for 2 weeks. Is it still good/safe?</t>
        </is>
      </c>
      <c r="C1562" t="inlineStr">
        <is>
          <t>I went on vacation for 2 weeks and left my Levemir and Humalog on the counter. It was in the basement which is usually a little cooler but still probably 60F or so. 
Is it still safe/good to use? Or do I have to replace it?</t>
        </is>
      </c>
      <c r="D1562" t="n">
        <v>16</v>
      </c>
      <c r="E1562" t="n">
        <v>14</v>
      </c>
      <c r="F1562">
        <f>HYPERLINK("https://www.reddit.com/r/diabetes/comments/3xh9h5/insulin_humalog_and_levemir_left_out_at_room_temp/")</f>
        <v/>
      </c>
      <c r="G1562" t="inlineStr">
        <is>
          <t>2015-12-19 08:45:56</t>
        </is>
      </c>
      <c r="H1562" t="inlineStr">
        <is>
          <t>Type 1</t>
        </is>
      </c>
    </row>
    <row r="1563">
      <c r="A1563" t="inlineStr">
        <is>
          <t>3xi6o8</t>
        </is>
      </c>
      <c r="B1563" t="inlineStr">
        <is>
          <t>Dr. Bernstein and my 18 years of T1</t>
        </is>
      </c>
      <c r="C1563" t="inlineStr">
        <is>
          <t>So, after 18 years of T1 I finally decide to read Dr. B's book because I heard how inspirational and life changing it is.
I have to say it has had the opposite effect on me, and I am having a tough time dealing with the fact that he has basically told me that I have spent 18 years failing.
As someone who suffers from depression, I don't know what to think. My endo has always been my lifeline, but to him she has been a purveyor of lies.
I can hinestly say there is no way I could tackle the diet he suggests, nor hit the numbers he suggests in a consistent basis. Even when I had the tightest control I could have, 5.9 was the best I could do.
How could anyone find his book inspirational when it told me that I have spent 18 years killing myself?
And, on that note, (health corps conspiracies aside), why does the medical community still seem to have drastically different data about complications and goals?
I am very confused and depressed about the whole thing. I see my endo on Tuesday and am expecting the best numbers I have had in years, but I can tell you it will not be the 4.9 that Dr. B says is the only way I won't kill myself. To think I was excited about something in the neighborhood of 6.3</t>
        </is>
      </c>
      <c r="D1563" t="n">
        <v>7</v>
      </c>
      <c r="E1563" t="n">
        <v>30</v>
      </c>
      <c r="F1563">
        <f>HYPERLINK("https://www.reddit.com/r/diabetes/comments/3xi6o8/dr_bernstein_and_my_18_years_of_t1/")</f>
        <v/>
      </c>
      <c r="G1563" t="inlineStr">
        <is>
          <t>2015-12-19 13:01:25</t>
        </is>
      </c>
      <c r="H1563" t="inlineStr">
        <is>
          <t>Type 1</t>
        </is>
      </c>
    </row>
    <row r="1564">
      <c r="A1564" t="inlineStr">
        <is>
          <t>3xmue7</t>
        </is>
      </c>
      <c r="B1564" t="inlineStr">
        <is>
          <t>Favorite breakfast cereals?</t>
        </is>
      </c>
      <c r="C1564" t="inlineStr">
        <is>
          <t>So many cereals are choked with sugar. What healthy, sugarfree cereals do you like?  I love a bowl of cereal but am struggling to find a good one. Thanks!</t>
        </is>
      </c>
      <c r="D1564" t="n">
        <v>1</v>
      </c>
      <c r="E1564" t="n">
        <v>28</v>
      </c>
      <c r="F1564">
        <f>HYPERLINK("https://www.reddit.com/r/diabetes/comments/3xmue7/favorite_breakfast_cereals/")</f>
        <v/>
      </c>
      <c r="G1564" t="inlineStr">
        <is>
          <t>2015-12-20 15:26:19</t>
        </is>
      </c>
      <c r="H1564" t="inlineStr">
        <is>
          <t>Type 2</t>
        </is>
      </c>
    </row>
    <row r="1565">
      <c r="A1565" t="inlineStr">
        <is>
          <t>3xmvpz</t>
        </is>
      </c>
      <c r="B1565" t="inlineStr">
        <is>
          <t>Did anyone else try Wellth? Did you actually get the money?</t>
        </is>
      </c>
      <c r="C1565" t="inlineStr">
        <is>
          <t>Issue resolved.</t>
        </is>
      </c>
      <c r="D1565" t="n">
        <v>5</v>
      </c>
      <c r="E1565" t="n">
        <v>5</v>
      </c>
      <c r="F1565">
        <f>HYPERLINK("https://www.reddit.com/r/diabetes/comments/3xmvpz/did_anyone_else_try_wellth_did_you_actually_get/")</f>
        <v/>
      </c>
      <c r="G1565" t="inlineStr">
        <is>
          <t>2015-12-20 15:36:32</t>
        </is>
      </c>
      <c r="H1565" t="inlineStr">
        <is>
          <t>Type 2</t>
        </is>
      </c>
    </row>
    <row r="1566">
      <c r="A1566" t="inlineStr">
        <is>
          <t>3xn0zo</t>
        </is>
      </c>
      <c r="B1566" t="inlineStr">
        <is>
          <t>Low-carb recipes for T1 2 year old?</t>
        </is>
      </c>
      <c r="C1566" t="inlineStr">
        <is>
          <t>Ok so I have a 2 year old cousin with Type 1 Diabetes. He was diagnosed about 4 months ago. We've had a hard time finding food that he could eat, especially snacks that are under 10 carbs. His grandma is Type 1 so we have some recipes but we don't have much variety, and its hard finding snacks that he could eat. Especially with his blood sugar still fluctuating so much. I'd really appreciate it if any of you had some recipes that you think would work!</t>
        </is>
      </c>
      <c r="D1566" t="n">
        <v>3</v>
      </c>
      <c r="E1566" t="n">
        <v>8</v>
      </c>
      <c r="F1566">
        <f>HYPERLINK("https://www.reddit.com/r/diabetes/comments/3xn0zo/lowcarb_recipes_for_t1_2_year_old/")</f>
        <v/>
      </c>
      <c r="G1566" t="inlineStr">
        <is>
          <t>2015-12-20 16:17:53</t>
        </is>
      </c>
      <c r="H1566" t="inlineStr">
        <is>
          <t>Type 1</t>
        </is>
      </c>
    </row>
    <row r="1567">
      <c r="A1567" t="inlineStr">
        <is>
          <t>3xp03d</t>
        </is>
      </c>
      <c r="B1567" t="inlineStr">
        <is>
          <t>Restaurant/Airline food and insulin dosage?</t>
        </is>
      </c>
      <c r="C1567" t="inlineStr">
        <is>
          <t>How do you measure? Do you just inject a flat dosage and hope it's not too much and inject any corrections later or is there something I'm missing? What if I inject too much in an airplane?</t>
        </is>
      </c>
      <c r="D1567" t="n">
        <v>1</v>
      </c>
      <c r="E1567" t="n">
        <v>6</v>
      </c>
      <c r="F1567">
        <f>HYPERLINK("https://www.reddit.com/r/diabetes/comments/3xp03d/restaurantairline_food_and_insulin_dosage/")</f>
        <v/>
      </c>
      <c r="G1567" t="inlineStr">
        <is>
          <t>2015-12-21 03:57:26</t>
        </is>
      </c>
      <c r="H1567" t="inlineStr">
        <is>
          <t>Type 1</t>
        </is>
      </c>
    </row>
    <row r="1568">
      <c r="A1568" t="inlineStr">
        <is>
          <t>3xppax</t>
        </is>
      </c>
      <c r="B1568" t="inlineStr">
        <is>
          <t>Just got back from the Endo.</t>
        </is>
      </c>
      <c r="C1568" t="inlineStr">
        <is>
          <t>A1C is 7.3!!! I'm happy that it's down from 8.0 but there's always room to improve! Thanks to you guys for helping me get it down! Hopefully it'll be below 7 soon!</t>
        </is>
      </c>
      <c r="D1568" t="n">
        <v>41</v>
      </c>
      <c r="E1568" t="n">
        <v>12</v>
      </c>
      <c r="F1568">
        <f>HYPERLINK("https://www.reddit.com/r/diabetes/comments/3xppax/just_got_back_from_the_endo/")</f>
        <v/>
      </c>
      <c r="G1568" t="inlineStr">
        <is>
          <t>2015-12-21 07:46:26</t>
        </is>
      </c>
      <c r="H1568" t="inlineStr">
        <is>
          <t>Type 1</t>
        </is>
      </c>
    </row>
    <row r="1569">
      <c r="A1569" t="inlineStr">
        <is>
          <t>3xqbok</t>
        </is>
      </c>
      <c r="B1569" t="inlineStr">
        <is>
          <t>NyQuil! Why?!</t>
        </is>
      </c>
      <c r="C1569" t="inlineStr">
        <is>
          <t>I've been sick so my blood sugars haven't been the best. I decided to take some NyQuil yesterday to help with the cold.
NyQuil has 20 grams of carbs in it!!! REALLY?! I didn't think about checking to see if medicine would have so much sugar but apparently it does. Ended up shooting up to 170. :(
This goes to show that you really, really, really gotta check EVERYTHING.</t>
        </is>
      </c>
      <c r="D1569" t="n">
        <v>14</v>
      </c>
      <c r="E1569" t="n">
        <v>12</v>
      </c>
      <c r="F1569">
        <f>HYPERLINK("https://www.reddit.com/r/diabetes/comments/3xqbok/nyquil_why/")</f>
        <v/>
      </c>
      <c r="G1569" t="inlineStr">
        <is>
          <t>2015-12-21 10:18:36</t>
        </is>
      </c>
      <c r="H1569" t="inlineStr">
        <is>
          <t>Type 1</t>
        </is>
      </c>
    </row>
    <row r="1570">
      <c r="A1570" t="inlineStr">
        <is>
          <t>3xravo</t>
        </is>
      </c>
      <c r="B1570" t="inlineStr">
        <is>
          <t>DexCom 5 CGM Mobile Tips?</t>
        </is>
      </c>
      <c r="C1570" t="inlineStr">
        <is>
          <t>Sensor pairing up for the first time as I type. I want to be able to hear alarms at night on my iPhone, but that means NOT using Do Not Disturb. Bummer. Any hacks?</t>
        </is>
      </c>
      <c r="D1570" t="n">
        <v>2</v>
      </c>
      <c r="E1570" t="n">
        <v>4</v>
      </c>
      <c r="F1570">
        <f>HYPERLINK("https://www.reddit.com/r/diabetes/comments/3xravo/dexcom_5_cgm_mobile_tips/")</f>
        <v/>
      </c>
      <c r="G1570" t="inlineStr">
        <is>
          <t>2015-12-21 14:17:17</t>
        </is>
      </c>
      <c r="H1570" t="inlineStr">
        <is>
          <t>Type 1</t>
        </is>
      </c>
    </row>
    <row r="1571">
      <c r="A1571" t="inlineStr">
        <is>
          <t>3xvky7</t>
        </is>
      </c>
      <c r="B1571" t="inlineStr">
        <is>
          <t>"Type 1 diabetes can be greatly improved and reversed in many persons"</t>
        </is>
      </c>
      <c r="C1571" t="inlineStr">
        <is>
          <t xml:space="preserve">I just read this in an article at 
http://savannahnow.com/accent/2015-12-21/toward-true-health-type-1-diabetes-care
ARGGG!! This crap from some stupid nutritionist angers me so much. Just change your diet, release your toxins, don't drink milk BLA BLA BLA. Sorry, I think I just needed to vent. My son was diagnosed just a little over a year ago and I'm still not used to some of the stupidity that I see regarding Type 1 cures (fake ones I mean).
Edit: I Sent this lady an email if anyone is interested. Long read but I will post it.
In a recent story at Savannahnow.com you wrote that “Type 1 diabetes can be greatly improved and reversed in many persons”. It is at this link:
http://savannahnow.com/accent/2015-12-21/toward-true-health-type-1-diabetes-care
This is untrue and irresponsible of you to put in print. No person with Type one has ever had their diabetes “reversed”. It’s not possible. I can only assume that this was some type of mistake or typo on the part of the writer. Please consider changing your story.Unless you have some prof that type 1 can be changed with diet and nutrition alone. If so why don't you list your sources.
To the best of my knowledge Type 1 diabetics will DIE without insulin. 
Her response:
Redacted,
Thank you for reading the column and for taking the time to respond.
The reason I write this column is because I want to offer readers the opportunity to know and learn what they didn't know before.
You've never heard this before, however, that does not make me wrong nor irresponsible.
It is not an error. It is fact. But, In this age that makes research so easy, the information is easy to find.  And, You can research it also.  If it were that important to you.
Nutrition is the key to health, Period.  As long as the populous continues to let folk tell you what's what, and make no effort to seek new information, then how and when will you know that there is a new theory, a new revelation? A new way to do what no one thought was possible?,  and save your life, or the life of someone you love?
So many persons thought it could not be done, until in desperation, went out and found a way. If you are a regular reader of my work, you know that I am all about independent thinking and personal responsibility.  If you'd like to get together to discuss this more, I'd welcome the meeting.
Ever wonder why this information is not mainstream?
To Your Best Health, 
Redacted
</t>
        </is>
      </c>
      <c r="D1571" t="n">
        <v>18</v>
      </c>
      <c r="E1571" t="n">
        <v>30</v>
      </c>
      <c r="F1571">
        <f>HYPERLINK("https://www.reddit.com/r/diabetes/comments/3xvky7/type_1_diabetes_can_be_greatly_improved_and/")</f>
        <v/>
      </c>
      <c r="G1571" t="inlineStr">
        <is>
          <t>2015-12-22 12:31:05</t>
        </is>
      </c>
      <c r="H1571" t="inlineStr">
        <is>
          <t>Type 1</t>
        </is>
      </c>
    </row>
    <row r="1572">
      <c r="A1572" t="inlineStr">
        <is>
          <t>3xw5qs</t>
        </is>
      </c>
      <c r="B1572" t="inlineStr">
        <is>
          <t>Dexcom – Viewing Carb and Insulin Entries</t>
        </is>
      </c>
      <c r="C1572" t="inlineStr">
        <is>
          <t>Is there a way to view the carb and insulin entries that are entered from the Dexcom phone app?  I’m looking to see historical data on how many carbs I eat and how much insulin was used.  I don’t see a way to view this info from the Clarity website.  I’ve tried using the Studio software (used on a PC) but I don’t see how you can sync Studio with anything other than their physical receiver (no way to import from a phone).  How can I view my carb/insulin entries?  There has to be a way to pull it from the phone app; why else would there be a field to enter carb and insulin counts?
I’m using the G5 and an iPhone.</t>
        </is>
      </c>
      <c r="D1572" t="n">
        <v>1</v>
      </c>
      <c r="E1572" t="n">
        <v>2</v>
      </c>
      <c r="F1572">
        <f>HYPERLINK("https://www.reddit.com/r/diabetes/comments/3xw5qs/dexcom_viewing_carb_and_insulin_entries/")</f>
        <v/>
      </c>
      <c r="G1572" t="inlineStr">
        <is>
          <t>2015-12-22 14:56:52</t>
        </is>
      </c>
      <c r="H1572" t="inlineStr">
        <is>
          <t>Type 1</t>
        </is>
      </c>
    </row>
    <row r="1573">
      <c r="A1573" t="inlineStr">
        <is>
          <t>3xy632</t>
        </is>
      </c>
      <c r="B1573" t="inlineStr">
        <is>
          <t>[Rant] Medtronic CareLink</t>
        </is>
      </c>
      <c r="C1573" t="inlineStr">
        <is>
          <t>Hi,
First, let me start off with a little explanation for those that aren't familiar with the system:
Medtronic has a system, called CareLink, that you can use to upload your pump data (BG history, bolus events, etc.) which your doctor can then see in CareLink Professional (another ugly beast of software). In theory, the system is fantastic. You can get charts and overviews of your days, and some other "useful" information.
[Here is an album with some images related to the rants](http://imgur.com/a/8qbbb)
That leads me straight into **rant 1**: charts  
Those charts are only *kinda* useful. Compared to the charts in CareLink Professional, those that I get are garbage. They focus too much on a sensor (which I don't have) and very little information is actually useful.
**Rant 2**: antiquity   
This software looks like it was made in 1995 or some other ancient time.. They require IE or some old version of Firefox and some other ridiculous things. The whole site is tucked away in the corner of my screen because it's made for 800x600 displays, and *only* those displays
**Rant 3**: connection  
About 75% of the time, the system won't recognize the CareLink USB-device (dongle to connect to the pump), and another 20% of the time it will find it but then the dongle won't connect to my pump. so **95%** of the time, I'm stuck retrying until it finally works.
**Rant 4**: support  
I decided to email them about my woes. Maybe it was just me doing something wrong (I doubt it, but you never know). I explained that I can almost never connect, and the only way I can "properly" run the program is by using Opera (Not even an approved browser) in XP SP2 compatibility mode. I also noted that security wasn't that good (a medical application running on an in-browser java applet? really?) I also noted that pretty much everyone at the hospital (doctors and patients alike) absolutely *hate* the system and all of them have problems.
I got a call back about two days later, not too bad, but it started off terribly right from the get go.. The guy starts of by saying "Hi, this is dave (*not his real name*). I wanted to show you what you're doing wrong with the system" What? That's not a very nice way to talk to someone.. 
He starts off by saying that I shouldn't use Windows XP (which I'm not) and Opera is not recommended (Which I know, but nothing else works, as I said in the email). He then gets mad at me for complaining about security, because why the hell would a *medical* company care about security? He keeps insisting that I'm doing it wrong, and everyone else is having no issues. I then bring up that everyone I asked about it is having the same issues, to which he responds that they are all doing it wrong. (I study Software Engineering, and one of the golden rules is that when everyone is doing it wrong, the software isn't doing it right). 
After a 15-minute call where he keeps dismissing whatever I say and insists that I'm just doing it wrong, I give up and end the call.
**TL;DR:**  
CareLink sucks, everyone I know that uses it also thinks it sucks. And Medtronic doesn't care and says we're all doing it wrong.</t>
        </is>
      </c>
      <c r="D1573" t="n">
        <v>15</v>
      </c>
      <c r="E1573" t="n">
        <v>17</v>
      </c>
      <c r="F1573">
        <f>HYPERLINK("https://www.reddit.com/r/diabetes/comments/3xy632/rant_medtronic_carelink/")</f>
        <v/>
      </c>
      <c r="G1573" t="inlineStr">
        <is>
          <t>2015-12-23 02:23:12</t>
        </is>
      </c>
      <c r="H1573" t="inlineStr">
        <is>
          <t>Type 1</t>
        </is>
      </c>
    </row>
    <row r="1574">
      <c r="A1574" t="inlineStr">
        <is>
          <t>3xyxsv</t>
        </is>
      </c>
      <c r="B1574" t="inlineStr">
        <is>
          <t>When do YOU think T1 will be cured?</t>
        </is>
      </c>
      <c r="C1574" t="inlineStr">
        <is>
          <t>We're just a few weeks in with our almost 4 year old type one. I know there's not a cure now, but the pediatrician who diagnosed my son said he truly believed there would be a cure in the next 10 years.
I was just wondering if that was the general feeling 10 years ago and if it's always going to be 10 years away.</t>
        </is>
      </c>
      <c r="D1574" t="n">
        <v>3</v>
      </c>
      <c r="E1574" t="n">
        <v>29</v>
      </c>
      <c r="F1574">
        <f>HYPERLINK("https://www.reddit.com/r/diabetes/comments/3xyxsv/when_do_you_think_t1_will_be_cured/")</f>
        <v/>
      </c>
      <c r="G1574" t="inlineStr">
        <is>
          <t>2015-12-23 07:17:15</t>
        </is>
      </c>
      <c r="H1574" t="inlineStr">
        <is>
          <t>Type 1</t>
        </is>
      </c>
    </row>
    <row r="1575">
      <c r="A1575" t="inlineStr">
        <is>
          <t>3xzo6b</t>
        </is>
      </c>
      <c r="B1575" t="inlineStr">
        <is>
          <t>Questions about Dexcom accuracy (and tips)</t>
        </is>
      </c>
      <c r="C1575" t="inlineStr">
        <is>
          <t>Hey all,
I just got my Dexcom the day before yesterday and have been using it for over a day now. I'm so excited! Yay!
However, I've noticed that Dexcom consistently tells me I'm either way higher or way lower than what my finger pricking tests say (about 20-30 mg/dl). It shows that I'm yoyoing like crazy, even when I haven't eaten anything. It's been like that the entire day. I calibrated every time it tells me to (12 hours). Am I calibrating incorrectly? How accurate is your Dexcom? Any tips on what I should keep in mind regarding having a CGM? I just hope I'm doing this right.
Thanks so much!</t>
        </is>
      </c>
      <c r="D1575" t="n">
        <v>2</v>
      </c>
      <c r="E1575" t="n">
        <v>7</v>
      </c>
      <c r="F1575">
        <f>HYPERLINK("https://www.reddit.com/r/diabetes/comments/3xzo6b/questions_about_dexcom_accuracy_and_tips/")</f>
        <v/>
      </c>
      <c r="G1575" t="inlineStr">
        <is>
          <t>2015-12-23 10:36:01</t>
        </is>
      </c>
      <c r="H1575" t="inlineStr">
        <is>
          <t>Type 1</t>
        </is>
      </c>
    </row>
    <row r="1576">
      <c r="A1576" t="inlineStr">
        <is>
          <t>3y0f9c</t>
        </is>
      </c>
      <c r="B1576" t="inlineStr">
        <is>
          <t>Today has been a horrible day...</t>
        </is>
      </c>
      <c r="C1576" t="inlineStr">
        <is>
          <t>My hamster died, I have a fever of 101°, and I just tested positive for small ketones. Woohoo! :/</t>
        </is>
      </c>
      <c r="D1576" t="n">
        <v>5</v>
      </c>
      <c r="E1576" t="n">
        <v>3</v>
      </c>
      <c r="F1576">
        <f>HYPERLINK("https://www.reddit.com/r/diabetes/comments/3y0f9c/today_has_been_a_horrible_day/")</f>
        <v/>
      </c>
      <c r="G1576" t="inlineStr">
        <is>
          <t>2015-12-23 13:57:16</t>
        </is>
      </c>
      <c r="H1576" t="inlineStr">
        <is>
          <t>Type 1</t>
        </is>
      </c>
    </row>
    <row r="1577">
      <c r="A1577" t="inlineStr">
        <is>
          <t>3y16ru</t>
        </is>
      </c>
      <c r="B1577" t="inlineStr">
        <is>
          <t>Dexcom G5 mobile application to come to Android?</t>
        </is>
      </c>
      <c r="C1577" t="inlineStr">
        <is>
          <t>Any news on when (if?) the Dexcom G5 mobile app will be available for android users? I really don't like having to be restricted to only owning an iPhone if I want to use my sensor with my phone rather than the receiver.</t>
        </is>
      </c>
      <c r="D1577" t="n">
        <v>9</v>
      </c>
      <c r="E1577" t="n">
        <v>23</v>
      </c>
      <c r="F1577">
        <f>HYPERLINK("https://www.reddit.com/r/diabetes/comments/3y16ru/dexcom_g5_mobile_application_to_come_to_android/")</f>
        <v/>
      </c>
      <c r="G1577" t="inlineStr">
        <is>
          <t>2015-12-23 17:43:17</t>
        </is>
      </c>
      <c r="H1577" t="inlineStr">
        <is>
          <t>Type 1</t>
        </is>
      </c>
    </row>
    <row r="1578">
      <c r="A1578" t="inlineStr">
        <is>
          <t>3y1b3e</t>
        </is>
      </c>
      <c r="B1578" t="inlineStr">
        <is>
          <t>Uh oh... I leaked 4 units of my lantus</t>
        </is>
      </c>
      <c r="C1578" t="inlineStr">
        <is>
          <t>I am currently suffering from the cold, and had a reading today of 368, and only was able to get it down to 318 at one point.  I just took lantus and insulin leaked out, usally not such a big deal, hardly enough to fill up the needle to one unit, but this time it leaked 4 units.  I am wondering if anyone has some advice on what I should do.  Should I take another shot of lantus for 4 units?  I currently take 15 units at night, and I fear not having the extra 4 in me will cause for a hospital visit tommorow from stress and massively high readings.  I sure do love IVs in me but I would hate to bother the hospital on christmas eve.   
EDIT:  I called a Pharmacist (I love these people) and they told me to take the extra lantus that I knew for sure fell out, so I took a extra shot for 3 units and I should be good.  Really panicky but that comes with the diabetes.</t>
        </is>
      </c>
      <c r="D1578" t="n">
        <v>5</v>
      </c>
      <c r="E1578" t="n">
        <v>14</v>
      </c>
      <c r="F1578">
        <f>HYPERLINK("https://www.reddit.com/r/diabetes/comments/3y1b3e/uh_oh_i_leaked_4_units_of_my_lantus/")</f>
        <v/>
      </c>
      <c r="G1578" t="inlineStr">
        <is>
          <t>2015-12-23 18:22:04</t>
        </is>
      </c>
      <c r="H1578" t="inlineStr">
        <is>
          <t>Type 1</t>
        </is>
      </c>
    </row>
    <row r="1579">
      <c r="A1579" t="inlineStr">
        <is>
          <t>3y22i0</t>
        </is>
      </c>
      <c r="B1579" t="inlineStr">
        <is>
          <t>Confused freshly minted T2. Help!</t>
        </is>
      </c>
      <c r="C1579" t="inlineStr">
        <is>
          <t>I'm in the process of being diagnosed, although I think it's pretty certain.
I've been using MFP food diary to track my eating. 
Also just started BG testing at home.
My confusion comes from having, almost consistently just over half their recommended calorie intake &amp;amp; having usually about 40-70 carbs per day. My weight is the same &amp;amp; my BG remains at, or just over, the line between normal &amp;amp; high. 
I'm on 500mg metformin twice a day, building to 1,000 mg twice a day.
I've been doing this for  10 days now. Is it too soon to see changes? Or am I missing something?
I've not been cheating - although nearly did when doing the final Christmas shop today. (I'm well pleased with myself that I didn't give in, even though it was close :-D )
I'm seeing the diabetic nurse next Wed for more food advice, cos the last one I saw was a bit hopeless. 
I'd appreciate all input please.</t>
        </is>
      </c>
      <c r="D1579" t="n">
        <v>6</v>
      </c>
      <c r="E1579" t="n">
        <v>23</v>
      </c>
      <c r="F1579">
        <f>HYPERLINK("https://www.reddit.com/r/diabetes/comments/3y22i0/confused_freshly_minted_t2_help/")</f>
        <v/>
      </c>
      <c r="G1579" t="inlineStr">
        <is>
          <t>2015-12-23 22:37:04</t>
        </is>
      </c>
      <c r="H1579" t="inlineStr">
        <is>
          <t>Type 2</t>
        </is>
      </c>
    </row>
    <row r="1580">
      <c r="A1580" t="inlineStr">
        <is>
          <t>3y33h2</t>
        </is>
      </c>
      <c r="B1580" t="inlineStr">
        <is>
          <t>Need assistance. For those who've had "lantus lows" has there been any solution?</t>
        </is>
      </c>
      <c r="C1580" t="inlineStr">
        <is>
          <t>Hey guys, it happens to me a few times a year, but it's happened 3 times in about 4 weeks now -  the lantus low.  For those who haven't experienced, consider yourself lucky.  In short, to give some background, it is when something goes wrong in the crystallization of lantus after it's been injected and it acts as fast acting insulin.  It's happened to me for a few years now, a few times a year.  The last 3 times I went from 231 waking to 40 in 15 minutes on my way to work on the subway - not good - luckily I have a short ride and had to drink a small juice and 2 cans of coke to stabilize at 160.  2nd time wasn't so bad - 2 glasses of welche's grape juice did it.  3rd time I was over a ladyfriend's house, started with 123 as my blood sugar and was down to 65 in 5 or so minutes, luckily she was kind enough to go get me coke - I went through 2 and a half 12 oz bottles before stabilizing in the 150's.  I inject 33U, and this has lately happened only in my right leg.  I know up closer to the hip joint is a trouble area, so I've been doing it lower.  Too close to the IT band is also a trouble area.  This leaves me with not a lot of room.  My legs are muscular so I can't pinch up a ton of skin.  The first time it happened I bled, the 2nd time only a little blood - this usually isn't a clear indicator though, as I've bled often without getting a low or any drop at all.  
Anyone else have this issue that's found a better solution than only using my left leg?  Running out of room here too.  Any kind of pattern you notice?   And I do my other 5 Novologs in the abdominal region, btw.
Thanks.
BTW I've talked to my endo.  He dosn't believe it's possible due to the pharmacokinetics of lantus, which is the very thing that makes this possible, actually.  He says if anything break up the dose or switch to a pump, both of which do not solve my problem since 16 units of fast acting would still hit me like a rock and I don't want to switch to a pump.  
Another edit: I know about switching to Levemir 2x a day. I might have to do that, but would really hate to as I'm not really around at the same times in the same places on a daily basis.  
Also was reading though [this](http://www.tudiabetes.org/forum/t/lantus-lows/14248/11) - has anyone noticed the lipodystrophy (not extreme cases) may trigger that response as well?</t>
        </is>
      </c>
      <c r="D1580" t="n">
        <v>6</v>
      </c>
      <c r="E1580" t="n">
        <v>31</v>
      </c>
      <c r="F1580">
        <f>HYPERLINK("https://www.reddit.com/r/diabetes/comments/3y33h2/need_assistance_for_those_whove_had_lantus_lows/")</f>
        <v/>
      </c>
      <c r="G1580" t="inlineStr">
        <is>
          <t>2015-12-24 06:45:47</t>
        </is>
      </c>
      <c r="H1580" t="inlineStr">
        <is>
          <t>Type 1</t>
        </is>
      </c>
    </row>
    <row r="1581">
      <c r="A1581" t="inlineStr">
        <is>
          <t>3yafha</t>
        </is>
      </c>
      <c r="B1581" t="inlineStr">
        <is>
          <t>Breakthrough powdered insulin inhaler offers diabetes patients alternative to injections</t>
        </is>
      </c>
      <c r="C1581" t="inlineStr">
        <is>
          <t>HOUSTON – Sam Finta has always been fit and considered himself healthy. Everything changed with a diagnosis of Type 1 diabetes in 1999.
“It’s a lifelong disease and you have to manage it several hours a day,” Finta said.
But that all changed when he became part of a clinical trial for a powdered form of insulin called Afrezza.
Rather than pumps and injections, the drug comes in a little whistle-like device that is inhaled just before mealtime.
“It’s a major breakthrough as far as I’m concerned because it’s a very innovative drug,” Dr. Eric Weinstein said.
As a podiatrist, Weinstein deals with one of the main complications of diabetes: neuropathy, or nerve damage that leads to foot ulcers that won’t heal.
He said Afrezza could be a game changer for people with both Type 1 and 2 diabetes.
“Not only is it the convenience factor but it’s also quick acting so it’s in and out of your system very fast,” Weinstein said.
That means patients can avoid the problematic blood-sugar highs and lows that come with typical treatment.
“Until Afrezza I didn’t realize how sick I’ve been because I’ve normalized my blood sugar,” Finta said. “Before, dealing with highs and lows and as a diabetic I get used to it.”
Finta is planning a charity walk to raise awareness.
“I always thought that I was going to be the youngest person to die in my family, but now I have the hope of living a full healthy life,” Finta said.
Because it’s an inhaled powder it cannot be used by people with long-term, chronic lung disease.
http://healthwatchwi.com/breakthrough-powdered-insulin-inhaler-offers-diabetes-patients-alternative-to-injections/</t>
        </is>
      </c>
      <c r="D1581" t="n">
        <v>1</v>
      </c>
      <c r="E1581" t="n">
        <v>13</v>
      </c>
      <c r="F1581">
        <f>HYPERLINK("https://www.reddit.com/r/diabetes/comments/3yafha/breakthrough_powdered_insulin_inhaler_offers/")</f>
        <v/>
      </c>
      <c r="G1581" t="inlineStr">
        <is>
          <t>2015-12-26 06:45:07</t>
        </is>
      </c>
      <c r="H1581" t="inlineStr">
        <is>
          <t>Type 1</t>
        </is>
      </c>
    </row>
    <row r="1582">
      <c r="A1582" t="inlineStr">
        <is>
          <t>3yd6qz</t>
        </is>
      </c>
      <c r="B1582" t="inlineStr">
        <is>
          <t>Wow it's been over ten years</t>
        </is>
      </c>
      <c r="C1582" t="inlineStr">
        <is>
          <t xml:space="preserve">It's really easy to forgot what life was like before being diabetic. Mainly because I was 4 when I was diagnosed </t>
        </is>
      </c>
      <c r="D1582" t="n">
        <v>2</v>
      </c>
      <c r="E1582" t="n">
        <v>3</v>
      </c>
      <c r="F1582">
        <f>HYPERLINK("https://www.reddit.com/r/diabetes/comments/3yd6qz/wow_its_been_over_ten_years/")</f>
        <v/>
      </c>
      <c r="G1582" t="inlineStr">
        <is>
          <t>2015-12-26 20:47:40</t>
        </is>
      </c>
      <c r="H1582" t="inlineStr">
        <is>
          <t>Type 1</t>
        </is>
      </c>
    </row>
    <row r="1583">
      <c r="A1583" t="inlineStr">
        <is>
          <t>3yekfj</t>
        </is>
      </c>
      <c r="B1583" t="inlineStr">
        <is>
          <t>The TSA - A Time and Stress Tax on Diabetics?</t>
        </is>
      </c>
      <c r="C1583" t="inlineStr">
        <is>
          <t>I fly fairly often, not a ton, probably about every other month. I've done basically everything I can do to make the process go as smoothly as possible. I pack light, don't check bags, and have "TSA Pre✓" and Global Entry. 
Up until getting a Dexcom G4 (which is a lifesaver and a complete game-changer), the process was fairly simple. Put everything other than my pump into my bag, walk through the metal detector (generally with Pre✓, it's the metal detector), and about 75% of the time walk through without incident. The remaining 25% of the time it sets it off, I politely explain my pump, they generally understand (or some other agent does after the initial one tries to bully me into walking through a full body scanner and telling me I am wrong about any risk to my devices), they do a demeaning but almost always polite hand pat-down, run my shoes through the x-ray, and I'm on my way.
Ever since getting the Dexcom, which can't go through the X-ray machine, I almost always set off the metal detector, and the 75% of the time I get through fine has gone to zero. I get more hassle because fewer agents know what CGM is, and increasingly I am made to wait longer, take off my belt and shoes, etc etc. The hand pat downs are still courteous, but seem to be taking longer and longer.
This essentially adds anywhere from 5 to 25 minutes to every trip, with the rare exception of about a 45 minute delay the time I was detained and held in a private room and not allowed to touch any of my things because they thought a glucose gel (and a small amount of it that had gotten on my hands when treating a low an hour before) was some kind of suspicious residue.
Every time I travel with work, there is a somewhat embarrassing facepalm/apology to my boss or coworkers as I explain that we're going to be delayed a little while, and with my wife there is the added stress. We flew yesterday (a busy day) and she was in tears as we nearly missed our flight.
I feel like I have done nearly everything right, and yet still get caught up in this every single time. I am fortunate to be white and nonthreatening, so I suspect I get about the nicest treatment a T1 with a pump can get. I know the agents are "just doing their job" (which can often be a very thankless one), but "just doing my job" * 1000 is often the justification for a lot of bad things, things far worse than delaying travel.
How have your experiences been? Is there anything you have done or can suggest to make the experience less unpleasant?
EDIT: It sounds to me like most of the people on this thread who don't have problems put their Dexcom receiver (and sometimes their pump) into the X-ray machine. Medtronic and Dexcom specifically say not to do this, and some/many of the full body scanners use x-ray. My original Minimed pump was exposed to an x-ray many years ago, and the pump stopped working a few weeks later, though that could have easily been a coincidence.
http://www.medtronicdiabetes.com/customer-support/traveling-with-an-insulin-pump-or-device
http://www.amsl.com.au/media/documents/Dexcom%20Travel%20Disclaimer.pdf</t>
        </is>
      </c>
      <c r="D1583" t="n">
        <v>24</v>
      </c>
      <c r="E1583" t="n">
        <v>57</v>
      </c>
      <c r="F1583">
        <f>HYPERLINK("https://www.reddit.com/r/diabetes/comments/3yekfj/the_tsa_a_time_and_stress_tax_on_diabetics/")</f>
        <v/>
      </c>
      <c r="G1583" t="inlineStr">
        <is>
          <t>2015-12-27 07:24:29</t>
        </is>
      </c>
      <c r="H1583" t="inlineStr">
        <is>
          <t>Type 1</t>
        </is>
      </c>
    </row>
    <row r="1584">
      <c r="A1584" t="inlineStr">
        <is>
          <t>3yismk</t>
        </is>
      </c>
      <c r="B1584" t="inlineStr">
        <is>
          <t>A1C</t>
        </is>
      </c>
      <c r="C1584" t="inlineStr">
        <is>
          <t>So back in late August when I first diagnosed and Type 2 Diabetic my A1C was a 15.9 (The highest my doctor's office had ever seen in all his years of practice) Last week on Monday I went back for my 90 some day test and I got the results back today. (Actually I got them back Wednesday but the long holiday weekend kept me from posting this.) I'm a 6.4 now! The doctor called me himself to congratulate me on my progress and wants me to start talking to newly diagnosed Diabetics at the local Joslin Diabetes Center! Not meaning to humblebrag or give you all a wall of text but I was in a funk when I first was diagnosed and this news really made for the best Christmas present really! I also want to thank you all. I don't comment on here a lot, but I do lurk and some of you have some really great uplifting stories and advice. Thank you all and here's a good 2016.</t>
        </is>
      </c>
      <c r="D1584" t="n">
        <v>22</v>
      </c>
      <c r="E1584" t="n">
        <v>9</v>
      </c>
      <c r="F1584">
        <f>HYPERLINK("https://www.reddit.com/r/diabetes/comments/3yismk/a1c/")</f>
        <v/>
      </c>
      <c r="G1584" t="inlineStr">
        <is>
          <t>2015-12-28 05:37:29</t>
        </is>
      </c>
      <c r="H1584" t="inlineStr">
        <is>
          <t>Type 2</t>
        </is>
      </c>
    </row>
    <row r="1585">
      <c r="A1585" t="inlineStr">
        <is>
          <t>3yj8ae</t>
        </is>
      </c>
      <c r="B1585" t="inlineStr">
        <is>
          <t>Permanent healing?</t>
        </is>
      </c>
      <c r="C1585" t="inlineStr">
        <is>
          <t>We started at reading the Newcastle MRT Study and later the "cureddiabetes.com" site.
We took my wife off Metformin after 3 derailings of blood parameters with ER episodes and followed a low carb ketogenic aproach which had the morning fbg at 90 again after breaking the resistance with HIIT as described.
Her C-Peptide before low carb was at the lowest end but not under.
Everything went fine, we made sugar tests, she passed with 30g (read above page for the procedure) when she had some allergic reaction to a headache pill and they gave her a chortison shot.
That immedeate brought the fbg to 180 and it took near 2 month to go down to 135 again.
Question
Are people here following such protocols and have full remission?
How can you hinder the buildup of the insulin resistance again?</t>
        </is>
      </c>
      <c r="D1585" t="n">
        <v>0</v>
      </c>
      <c r="E1585" t="n">
        <v>42</v>
      </c>
      <c r="F1585">
        <f>HYPERLINK("https://www.reddit.com/r/diabetes/comments/3yj8ae/permanent_healing/")</f>
        <v/>
      </c>
      <c r="G1585" t="inlineStr">
        <is>
          <t>2015-12-28 07:52:17</t>
        </is>
      </c>
      <c r="H1585" t="inlineStr">
        <is>
          <t>Type 2</t>
        </is>
      </c>
    </row>
    <row r="1586">
      <c r="A1586" t="inlineStr">
        <is>
          <t>3yk4s1</t>
        </is>
      </c>
      <c r="B1586" t="inlineStr">
        <is>
          <t>Has anybody else been diagnosed type 1 without any symptoms?</t>
        </is>
      </c>
      <c r="C1586" t="inlineStr">
        <is>
          <t xml:space="preserve">It's been a crazy Christmas for sure, I still have a hard time believing this. Everything was fine up until Christmas Day. One of my cousins has type 1 diabetes so I kind of knew the symptoms - thirst, frequent urination, fatigue etc. I had none of those symptoms. 
The way I found out was when I went with my family to the park on Christmas. We were looking at all the Christmas displays then I see this girl walking by with a dog. The dog started jumping and putting his paw on me. I love animals so I got all excited, I thought he wanted to play. The girl asked me if I was diabetic. It turns out it was a diabetic alert dog, he puts your paw on you when your blood sugar is high. 
That's when I started to freak out. When we got home my cousin checked my blood and sure enough. My blood sugar was 482. So off to the hospital, I actually just got home today. It's just weird that I didn't have symptoms. And scary to think what would of happened if that little girl hadn't been there with her dog. 
At first the doctors actually thought I had type 2. I'm a 21 year old guy with a few extra pounds. But then they did some tests and I have type 1. 
Anyways sorry for the long post. I just need to vent and talk with someone. My diabetic cousin is out of the country now so I can't talk to him </t>
        </is>
      </c>
      <c r="D1586" t="n">
        <v>13</v>
      </c>
      <c r="E1586" t="n">
        <v>14</v>
      </c>
      <c r="F1586">
        <f>HYPERLINK("https://www.reddit.com/r/diabetes/comments/3yk4s1/has_anybody_else_been_diagnosed_type_1_without/")</f>
        <v/>
      </c>
      <c r="G1586" t="inlineStr">
        <is>
          <t>2015-12-28 11:38:26</t>
        </is>
      </c>
      <c r="H1586" t="inlineStr">
        <is>
          <t>Type 1</t>
        </is>
      </c>
    </row>
    <row r="1587">
      <c r="A1587" t="inlineStr">
        <is>
          <t>3ymaik</t>
        </is>
      </c>
      <c r="B1587" t="inlineStr">
        <is>
          <t>Hemoglobin A1C</t>
        </is>
      </c>
      <c r="C1587" t="inlineStr">
        <is>
          <t>So back in January, i was diagnosed with Type 2 diabetes.  I got some labs drawn and my A1C was 8.2.  I kept my cool in the doctor's office and on the way home, but as soon as I got home, I locked myself in my room and broke down.  I've always been overweight and I knew eventually this was going to happen, but the fact that i could die has become very apparent to me in recent months.  My doctor put me on Metformin Extended Release 750 Mg and also recommended a diabetes camp (btw i'm 16).
Then, in June, I got my labs drawn and my A1C came back as 7.2.  I'm not one to express my feelings much, I'm even having trouble writing this for everyone to see, but I just couldn't hold back a smile from ear to fucking ear.  For once in my life, i had made a plan and stuck to it.  I was so proud of myself, and so was everybody else.  My mom called everyone she could think of to tell the the good news to.
Recently, I've been really slacking off. A LOT.  I rarely take my sugar in the morning anymore.  I'm usually in a hurry to get to school so half the time I forget to take my meds.  My diet now consists of Wendy's, Subway, Mcdonalds, and more Wendy's.  I'm in a weight training class at school and I love it, but my mom says that I need cardio instead of weightlifting. 
Earlier this month, I had my labs drawn again, and felt really afraid.  At around 4:00 today, I went back to the docs office to find out my A1C had jumped right back up to 8.3.  Once again, I was able to keep my cool in the office.  But when my mom went to pickup something from the dry cleaners, I couldn't hold it in anymore.  The feeling of shame overtook my body and tears ran down my face.  Luckily, I was able to compose myself by the time she came back to the car.  If I'm going to be honest, I hate myself right now, and If it wasn't for the fact that I don't what comes after life, I would end it right now.  But i'm really trying to push those thoughts out my head and stay strong.  If you've read this far, thanks because this is my first time posting here and I apologize for making it so long.
**TL;DR**: I felt really bad, then really good, then really bad all over again but I'm working on it.</t>
        </is>
      </c>
      <c r="D1587" t="n">
        <v>5</v>
      </c>
      <c r="E1587" t="n">
        <v>15</v>
      </c>
      <c r="F1587">
        <f>HYPERLINK("https://www.reddit.com/r/diabetes/comments/3ymaik/hemoglobin_a1c/")</f>
        <v/>
      </c>
      <c r="G1587" t="inlineStr">
        <is>
          <t>2015-12-28 21:06:00</t>
        </is>
      </c>
      <c r="H1587" t="inlineStr">
        <is>
          <t>Type 2</t>
        </is>
      </c>
    </row>
    <row r="1588">
      <c r="A1588" t="inlineStr">
        <is>
          <t>3ypb9z</t>
        </is>
      </c>
      <c r="B1588" t="inlineStr">
        <is>
          <t>Insulin and weight lifting</t>
        </is>
      </c>
      <c r="C1588" t="inlineStr">
        <is>
          <t>Is there anyway to maximize the use of insulin to help put on muscle growth/weight? Started working out a few weeks ago and am trying to put on significant weight because I've always been very skinny and wasn't sure if there was a good way to help take the insulin I'm taking anyway but do so in a way that benefited weight gain as well. Is it better to take it before working out or after? I assume after would make it hit the muscle or wherever it goes better since the blood is flowing more but I have no idea which is why I posted here..</t>
        </is>
      </c>
      <c r="D1588" t="n">
        <v>16</v>
      </c>
      <c r="E1588" t="n">
        <v>24</v>
      </c>
      <c r="F1588">
        <f>HYPERLINK("https://www.reddit.com/r/diabetes/comments/3ypb9z/insulin_and_weight_lifting/")</f>
        <v/>
      </c>
      <c r="G1588" t="inlineStr">
        <is>
          <t>2015-12-29 13:39:58</t>
        </is>
      </c>
      <c r="H1588" t="inlineStr">
        <is>
          <t>Type 1</t>
        </is>
      </c>
    </row>
    <row r="1589">
      <c r="A1589" t="inlineStr">
        <is>
          <t>3ys1eg</t>
        </is>
      </c>
      <c r="B1589" t="inlineStr">
        <is>
          <t>A question about calories</t>
        </is>
      </c>
      <c r="C1589" t="inlineStr">
        <is>
          <t xml:space="preserve">I started tracking my food/ calorie intake and steps using a fitness band and MyFitnessPal.  Whenever I have a low blood sugar, I eat some Skittles or juice or something to bring it back up.  These calories that I wouldn't have otherwise eaten take away from how much food I can have for the rest of the day.  Are these calories processed any differently because my blood sugar is low (does my body process it differently), or should they come off of my allowed calories for the day the same as all the others? </t>
        </is>
      </c>
      <c r="D1589" t="n">
        <v>5</v>
      </c>
      <c r="E1589" t="n">
        <v>6</v>
      </c>
      <c r="F1589">
        <f>HYPERLINK("https://www.reddit.com/r/diabetes/comments/3ys1eg/a_question_about_calories/")</f>
        <v/>
      </c>
      <c r="G1589" t="inlineStr">
        <is>
          <t>2015-12-30 04:44:26</t>
        </is>
      </c>
      <c r="H1589" t="inlineStr">
        <is>
          <t>Type 1</t>
        </is>
      </c>
    </row>
    <row r="1590">
      <c r="A1590" t="inlineStr">
        <is>
          <t>3yvei9</t>
        </is>
      </c>
      <c r="B1590" t="inlineStr">
        <is>
          <t>Gaining insulin resistance over time</t>
        </is>
      </c>
      <c r="C1590" t="inlineStr">
        <is>
          <t>Hi;
I've recently found an interesting trend with my sugars, just want to see if there's any validity to what im seeing.
I started out with a pretty sweet (heh heh heh) I:C ratio, 1u:20g for breakfast time and 1u:30g for lunch/supper, but have slowly seen that decrease to what seem like more reasonable numbers. Last time i tested, it was closer to 1u:15g and 1u:20g respectively. Over the last few weeks i've started to feel progressively shittier from mid-afternoon on, and my blood sugars match. I feel fine in the morning, and measure fine with breakfast and active insulin. I recently tested on the hour for the morning and with my 1u:15g i was well within the 5-8 range while i had active insulin. I recently tested my midday range and i was a little bit over that mark which would indicate that that 1u:20g is no longer valid, and actually had the same, but worse, results being even more out of range for supper.
Obvious stuff to do right now is to figure out my proper ratios, but im more concerned as to why im seeing this trend, and why am i always fine for breakfast? What is making my body "reset" every night? Is this normal and i was just living the sweet life in the honeymoon phase?
I currently do 14u of Lantus at night, and as i've been told it *should* last 24 hours. Would splitting the dosages help lower the upwards trend? It's probably a bad way to view this, but im very much a cause and effect thinker, so i do not want to have too many changes going on at once; both splitting up my Lantus and adjusting my ratios. For all i know, my lantus could be present in the morning and gone by mid day, and that could cause my BG readings to go up and up since it's no longer there.</t>
        </is>
      </c>
      <c r="D1590" t="n">
        <v>2</v>
      </c>
      <c r="E1590" t="n">
        <v>3</v>
      </c>
      <c r="F1590">
        <f>HYPERLINK("https://www.reddit.com/r/diabetes/comments/3yvei9/gaining_insulin_resistance_over_time/")</f>
        <v/>
      </c>
      <c r="G1590" t="inlineStr">
        <is>
          <t>2015-12-30 20:12:29</t>
        </is>
      </c>
      <c r="H1590" t="inlineStr">
        <is>
          <t>Type 1</t>
        </is>
      </c>
    </row>
    <row r="1591">
      <c r="A1591" t="inlineStr">
        <is>
          <t>3ywlhv</t>
        </is>
      </c>
      <c r="B1591" t="inlineStr">
        <is>
          <t>Personal methods to avoid "beating yourself up."</t>
        </is>
      </c>
      <c r="C1591" t="inlineStr">
        <is>
          <t>Just wondering some of the different ways people avoid getting down on themselves after an "off" period.
I have been rocking the Holiday season with a nice level basal line, and readings that have averaged right down the 95-105 (5.5-6.0) mark. It's been really nice.
Last night I went to bed feeling a bit feverish. Sometime in the night I spiked up to 200 (~11.0). I vaguely remember my CGM alarming me to the rise, but, in my state of illness it is all very foggy and I, for some reason, never corrected.
Long story short, I woke up at 5:30am still at 207, so I had just spent the last 4-4.5 hours at or over the 200 mark.
I was so angry at myself, and I'm wondering how other people deal with this. I know it is just 4 hours out of the last however many weeks, but it just sucks.
The good news is that the extra sleep pushed out whatever was causing the fever so I was able to take a correction, and am back to where I want to be...but...ugh so frustrating!</t>
        </is>
      </c>
      <c r="D1591" t="n">
        <v>6</v>
      </c>
      <c r="E1591" t="n">
        <v>8</v>
      </c>
      <c r="F1591">
        <f>HYPERLINK("https://www.reddit.com/r/diabetes/comments/3ywlhv/personal_methods_to_avoid_beating_yourself_up/")</f>
        <v/>
      </c>
      <c r="G1591" t="inlineStr">
        <is>
          <t>2015-12-31 04:16:58</t>
        </is>
      </c>
      <c r="H1591" t="inlineStr">
        <is>
          <t>Type 1</t>
        </is>
      </c>
    </row>
    <row r="1592">
      <c r="A1592" t="inlineStr">
        <is>
          <t>3yykq4</t>
        </is>
      </c>
      <c r="B1592" t="inlineStr">
        <is>
          <t>Type 1 I have to give a shoutout to my Pharmacy</t>
        </is>
      </c>
      <c r="C1592" t="inlineStr">
        <is>
          <t xml:space="preserve">I used more Humalog than normal this month and tried to get an early refill. My insurance wouldn't process it until the 3rd. I was unsure what to do and while I was on the phone with my insurance company trying to work something out, my pharmacy (without asking) called my doctor and got my prescription changed for more, and know the insurance will pay today! I couldn't thank her enough. After spending most of the morning dreading and stressing paying the $500 over the counter, this made my day. 
It was just crazy to me that she did this for me, honestly I didn't even think about calling the doctor to up my prescription amount because I thought it still wouldn't clear until the 3rd (which is 3 days away). I learned to always contact everyone before giving up! 
The stresses of diabetes. </t>
        </is>
      </c>
      <c r="D1592" t="n">
        <v>21</v>
      </c>
      <c r="E1592" t="n">
        <v>10</v>
      </c>
      <c r="F1592">
        <f>HYPERLINK("https://www.reddit.com/r/diabetes/comments/3yykq4/type_1_i_have_to_give_a_shoutout_to_my_pharmacy/")</f>
        <v/>
      </c>
      <c r="G1592" t="inlineStr">
        <is>
          <t>2015-12-31 14:27:57</t>
        </is>
      </c>
      <c r="H1592" t="inlineStr">
        <is>
          <t>Type 1</t>
        </is>
      </c>
    </row>
    <row r="1593">
      <c r="A1593" t="inlineStr">
        <is>
          <t>3z5kt8</t>
        </is>
      </c>
      <c r="B1593" t="inlineStr">
        <is>
          <t>Metformin FTW</t>
        </is>
      </c>
      <c r="C1593" t="inlineStr">
        <is>
          <t>http://www.sciencealert.com/a-common-diabetes-drug-will-be-trialled-as-an-anti-ageing-elixir-from-next-year
Finally some good news for being Type 2</t>
        </is>
      </c>
      <c r="D1593" t="n">
        <v>13</v>
      </c>
      <c r="E1593" t="n">
        <v>7</v>
      </c>
      <c r="F1593">
        <f>HYPERLINK("https://www.reddit.com/r/diabetes/comments/3z5kt8/metformin_ftw/")</f>
        <v/>
      </c>
      <c r="G1593" t="inlineStr">
        <is>
          <t>2016-01-02 08:18:50</t>
        </is>
      </c>
      <c r="H1593" t="inlineStr">
        <is>
          <t>Type 2</t>
        </is>
      </c>
    </row>
    <row r="1594">
      <c r="A1594" t="inlineStr">
        <is>
          <t>3z869a</t>
        </is>
      </c>
      <c r="B1594" t="inlineStr">
        <is>
          <t>Are lows 45mins to 1hour after eating always a sign of gastroparesis, or could I need a bolus adjustment?</t>
        </is>
      </c>
      <c r="C1594" t="inlineStr">
        <is>
          <t>I've been having some weird lows lately that, in one case, was pretty severe (dropped to 36).
My worry is that it is a sign of gastroparesis, since I'm going low around 45m minutes to 1 hour after eating. So it would stand to reason that the insulin is hitting before the meal is getting into my system.
However, is this always the case? 
Keep in mind I am just recovering from a multi-day illness, and, as my numbers have been getting much better my endo has been changing my bolus ratio.
I'm literally frozen with fear (severe health anxieties) that this is gastroparesis, but is it possible I may just need to keep adjusting my ratio?
I will say that I am getting severe highs after the fact, but, again, it could also be because I'm needing to hit myself with a full 20 oz. of sugary soda in order to get myself out of the low, so the rebound effect is pretty big.
Anyone out there with tips? I'm going to call my endo on Monday, but I'm very afraid of eating tomorrow because of the chance that I may go low again.</t>
        </is>
      </c>
      <c r="D1594" t="n">
        <v>2</v>
      </c>
      <c r="E1594" t="n">
        <v>7</v>
      </c>
      <c r="F1594">
        <f>HYPERLINK("https://www.reddit.com/r/diabetes/comments/3z869a/are_lows_45mins_to_1hour_after_eating_always_a/")</f>
        <v/>
      </c>
      <c r="G1594" t="inlineStr">
        <is>
          <t>2016-01-02 19:18:40</t>
        </is>
      </c>
      <c r="H1594" t="inlineStr">
        <is>
          <t>Type 1</t>
        </is>
      </c>
    </row>
    <row r="1595">
      <c r="A1595" t="inlineStr">
        <is>
          <t>3zbfea</t>
        </is>
      </c>
      <c r="B1595" t="inlineStr">
        <is>
          <t>Average Daily Carb Intake?</t>
        </is>
      </c>
      <c r="C1595" t="inlineStr">
        <is>
          <t>Hey guys! I just got my Dexcom and trying to figure out how to better fine tune my post meal blood sugars. I know the key to this is pre bouluses and eating low carb and I feel like my normal diet is probably just too many carbs. What is your average daily carb Intake? I'm curious for both people with and without CGMs.</t>
        </is>
      </c>
      <c r="D1595" t="n">
        <v>4</v>
      </c>
      <c r="E1595" t="n">
        <v>35</v>
      </c>
      <c r="F1595">
        <f>HYPERLINK("https://www.reddit.com/r/diabetes/comments/3zbfea/average_daily_carb_intake/")</f>
        <v/>
      </c>
      <c r="G1595" t="inlineStr">
        <is>
          <t>2016-01-03 12:53:00</t>
        </is>
      </c>
      <c r="H1595" t="inlineStr">
        <is>
          <t>Type 1</t>
        </is>
      </c>
    </row>
    <row r="1596">
      <c r="A1596" t="inlineStr">
        <is>
          <t>3zebwg</t>
        </is>
      </c>
      <c r="B1596" t="inlineStr">
        <is>
          <t>Effects of a low/no carb diet on a type 1 diabetic</t>
        </is>
      </c>
      <c r="C1596" t="inlineStr">
        <is>
          <t>My girlfriend and I want to do the standard new year thing and go on a diet, and it has been suggested that a low/no carb diet is a good way to start
I'm just wondering if there is anything I have to be aware of as a Type 1</t>
        </is>
      </c>
      <c r="D1596" t="n">
        <v>6</v>
      </c>
      <c r="E1596" t="n">
        <v>29</v>
      </c>
      <c r="F1596">
        <f>HYPERLINK("https://www.reddit.com/r/diabetes/comments/3zebwg/effects_of_a_lowno_carb_diet_on_a_type_1_diabetic/")</f>
        <v/>
      </c>
      <c r="G1596" t="inlineStr">
        <is>
          <t>2016-01-04 02:50:33</t>
        </is>
      </c>
      <c r="H1596" t="inlineStr">
        <is>
          <t>Type 1</t>
        </is>
      </c>
    </row>
    <row r="1597">
      <c r="A1597" t="inlineStr">
        <is>
          <t>3zfgx3</t>
        </is>
      </c>
      <c r="B1597" t="inlineStr">
        <is>
          <t>Husband new to pumping</t>
        </is>
      </c>
      <c r="C1597" t="inlineStr">
        <is>
          <t>My husband 54 is T1 and just started pumping on Dec 23.  It is going really well, his BG is down and we are getting the hang of it.  He is a little upset at times that this "thing" has to be attached to him at all times now.  Please tell me this frustration gets better with time.  Any tricks that pumpers would recommend to make the transition easier on him?  What can I tell him to make him feel better??</t>
        </is>
      </c>
      <c r="D1597" t="n">
        <v>6</v>
      </c>
      <c r="E1597" t="n">
        <v>26</v>
      </c>
      <c r="F1597">
        <f>HYPERLINK("https://www.reddit.com/r/diabetes/comments/3zfgx3/husband_new_to_pumping/")</f>
        <v/>
      </c>
      <c r="G1597" t="inlineStr">
        <is>
          <t>2016-01-04 08:36:31</t>
        </is>
      </c>
      <c r="H1597" t="inlineStr">
        <is>
          <t>Type 1</t>
        </is>
      </c>
    </row>
    <row r="1598">
      <c r="A1598" t="inlineStr">
        <is>
          <t>3zhqgt</t>
        </is>
      </c>
      <c r="B1598" t="inlineStr">
        <is>
          <t>Diabetes Education Certifications? I need help</t>
        </is>
      </c>
      <c r="C1598" t="inlineStr">
        <is>
          <t xml:space="preserve">My wife, an RN, has recently filed for divorce.   We have a 3 year old that has Type 1 Diabetes.   She is a 'stay at home' mom and has managed a majority of his care - though I have and am completely comfortable and capable in following his doctors preferred plan of care (dosing formulas - insulins - etc).   My wifes attorney has stated that she fears for the safety of the child in my control and has appointed a third party guardian ad litem attorney to work in the best interest of the child due to his diabetes.
I personally follow a ketogenic diet and have a firm grasp of the nutritional makeup of most foods - IE: I am capable of finding the corresponding carbohydrate values in foods.  I am comfortable dosing him and I understand the importance of the timing of his dosages.
Now - to my question - What types of layman certifications can I prepare for that would show (on paper) that I am a capable individual to manage
my sons disease?  My STBXW has done an excellent job of overstating the severity of managing his condition and I am concerned that this could legitimately be used against me and prevent me from having my children overnight.  I love my children and I am incredibly scared they will not be able to spend time with me....
Thanks for any help you can provide...
</t>
        </is>
      </c>
      <c r="D1598" t="n">
        <v>2</v>
      </c>
      <c r="E1598" t="n">
        <v>6</v>
      </c>
      <c r="F1598">
        <f>HYPERLINK("https://www.reddit.com/r/diabetes/comments/3zhqgt/diabetes_education_certifications_i_need_help/")</f>
        <v/>
      </c>
      <c r="G1598" t="inlineStr">
        <is>
          <t>2016-01-04 17:15:24</t>
        </is>
      </c>
      <c r="H1598" t="inlineStr">
        <is>
          <t>Type 1</t>
        </is>
      </c>
    </row>
    <row r="1599">
      <c r="A1599" t="inlineStr">
        <is>
          <t>3zjjmj</t>
        </is>
      </c>
      <c r="B1599" t="inlineStr">
        <is>
          <t>A1C in AM, only fasted 8 hours instead of 12, also cholesterol test - Really worried.</t>
        </is>
      </c>
      <c r="C1599" t="inlineStr">
        <is>
          <t>I feel like I'm going to fail and I hate that.  I'm currently doing an at-home A1C test waiting for the results even though I'm getting it tested in six hours.  I'm really nervous.  I'm still sort of new to Type 2 diabetes; only 16 months since diagnosis.  
I've been eating Keto since day one of my diagnosis and I've never cheated, but I feel like I'm totally burnt out on it and so I've been having a bit more peanut butter here and there, a little more sugar-free whipped cream, things like that.  I've had a bad cold, a very stressful last 2 months...I could go on.  It's not going to go well and I'm really scared about that.  
In 16 months I haven't been able to give up HWC in my coffee, which I drink all day.  I initially lost 80 pounds, but all weight loss stopped back in May of 2015.  
The at-home test says 5.5, but I know it will be higher at the doctor's office.  :(  And I know my cholesterol will be bad, too.  I take a medication that seems to mess with my cholesterol numbers (it's either Toprol or Effexor, not 100% sure which one is doing it - or it could be my thyroid, which my family doctor has never checked beyond the "simple" test...even though I tell him every 3 months that my body temperature is never above 96.5 degrees.  I don't see an endo, just my family doctor.)
I'm just a nervous wreck.  :(
UPDATE: My A1C was 5.7, so down .1 from 3 months ago, but my triglycerides were elevated.  Someone here thought it might be the shortened fasting time, so maybe that contributed. My doctor said he wants me to go on a statin. I don't want to go on a statin.</t>
        </is>
      </c>
      <c r="D1599" t="n">
        <v>1</v>
      </c>
      <c r="E1599" t="n">
        <v>13</v>
      </c>
      <c r="F1599">
        <f>HYPERLINK("https://www.reddit.com/r/diabetes/comments/3zjjmj/a1c_in_am_only_fasted_8_hours_instead_of_12_also/")</f>
        <v/>
      </c>
      <c r="G1599" t="inlineStr">
        <is>
          <t>2016-01-05 02:02:17</t>
        </is>
      </c>
      <c r="H1599" t="inlineStr">
        <is>
          <t>Type 2</t>
        </is>
      </c>
    </row>
    <row r="1600">
      <c r="A1600" t="inlineStr">
        <is>
          <t>3zkqeu</t>
        </is>
      </c>
      <c r="B1600" t="inlineStr">
        <is>
          <t>My A1C is over 14 and School is giving me a lot of anxiety</t>
        </is>
      </c>
      <c r="C1600" t="inlineStr">
        <is>
          <t xml:space="preserve">Well my A1C is way too high and school is so hard right now whenever school gets stressful my health drops because i dont take care of my self very well.
What should i do my teachers dont care and i have till the 22 of the month to make up weeks worth of work. All i ever am is tired i had winter break to make up work but i pretty much slept the break away using none of the time to catch up. Ive hurt myself really badly by not utilizing the break. Im always so tired and feel so bad my teachers dont care how i feel. They just want the work to be done.
 everyone tells me health comes first school second but when im falling apart and my grades my health isnt a issue anymore. only my grades are the other day i was so worried about my makeup work i forgot to take my lantis and almost went to the hospital. Is it possible to take some kind of leave of absence? maybe for a week or so my body can recover im sleeping over 14 hours a day right now and trying to do as much work as i can but its not enough.
Update: I would like to say the amount of support i have received is just Awesome! I would like to thank you all for being so kind and caring! The reason all of you are so kind is probably because of just how much you can empathize what im going through. Again you guys are awesome and have helped a lot. </t>
        </is>
      </c>
      <c r="D1600" t="n">
        <v>5</v>
      </c>
      <c r="E1600" t="n">
        <v>38</v>
      </c>
      <c r="F1600">
        <f>HYPERLINK("https://www.reddit.com/r/diabetes/comments/3zkqeu/my_a1c_is_over_14_and_school_is_giving_me_a_lot/")</f>
        <v/>
      </c>
      <c r="G1600" t="inlineStr">
        <is>
          <t>2016-01-05 07:58:34</t>
        </is>
      </c>
      <c r="H1600" t="inlineStr">
        <is>
          <t>Type 1</t>
        </is>
      </c>
    </row>
    <row r="1601">
      <c r="A1601" t="inlineStr">
        <is>
          <t>3znxoq</t>
        </is>
      </c>
      <c r="B1601" t="inlineStr">
        <is>
          <t>Seriously weird blood sugar</t>
        </is>
      </c>
      <c r="C1601" t="inlineStr">
        <is>
          <t>Hey guys, 6 year type 1 here. First/long post.
Recently, I've been experiencing very strange and unexplained swings in my blood sugar and it's starting to put my health at serious risk. I've been sticking to the same 1:7 carb ratio with a 1:25 correction factor for a while now, and it had been working excellently up until about a month ago when i had the worst low of my life. I'm not exactly sure what it was because i could instantly tell it was so bad i didn't have time to check, and after i ate an entire jar of jelly (desparate times call for desparate measures) it was 12, so it had to be pretty horrible, and somewhere below 10. And ever since I've been experiencing weird discrepancies in my sugar levels, both high, and low. For example i went snowboarding recently, and i have to keep my meter in the lodge or it will get too cold to read, but i always keep sugar on me just incase. When i headed out, my sugar was 151, which is fine for snowboarding since i'd rather be a little high than low. and when i came in an hour and a half later, after eating 10g of carbs while snowboarding, i was at 379. I took 8 units of insulin instead of 9 to be on the safe side, and i kept checking my blood sugar and it went from 379 to 330 to 380 to 330 to 350 to 280 and so on. bouncing back and forth maybe 8 times total (i ate no more food and took no additional insulin). I know that excercise can affect your sugar levels differently, but this is just too strange and i simply can't figure out why. I've had similar episodes occur with low blood sugars as well, where i will go fairly low from a normally calculated shot, whereas 95% of the time my normal calculated shots work perfectly. I went into my endo and talked to them about it, but unfortunately the week before i went i lost my meter so i only had a week's worth of actual data for them to work with. My A1c also went from 6.8 to 8.9 in the span of a few months since the low occured. Sadly, they didn't know what was going on and couldn't do much with limited data as well.
I'm half posting this to see if anyone else has expereinced similar problems, and half just to vent, as it's been very frusturating and scary, as i've had a lot of lows lately. Thanks for reading!
Tl:dr I had a really bad low and now my blood sugar is super whack and i don't know why.</t>
        </is>
      </c>
      <c r="D1601" t="n">
        <v>2</v>
      </c>
      <c r="E1601" t="n">
        <v>5</v>
      </c>
      <c r="F1601">
        <f>HYPERLINK("https://www.reddit.com/r/diabetes/comments/3znxoq/seriously_weird_blood_sugar/")</f>
        <v/>
      </c>
      <c r="G1601" t="inlineStr">
        <is>
          <t>2016-01-05 19:37:38</t>
        </is>
      </c>
      <c r="H1601" t="inlineStr">
        <is>
          <t>Type 1</t>
        </is>
      </c>
    </row>
    <row r="1602">
      <c r="A1602" t="inlineStr">
        <is>
          <t>3zo6gh</t>
        </is>
      </c>
      <c r="B1602" t="inlineStr">
        <is>
          <t>My type 1 wife just tested positive for being pregnant!!!!!</t>
        </is>
      </c>
      <c r="C1602" t="inlineStr">
        <is>
          <t>This is a planned pregnancy a couple weeks after the doctors told her she had a condition that would make her possibly infertile. I'm so happy i want to scream!  She's in her early 30s and there's a lot of scary information on the internet.   What can i expect?  Her A1C is generally under control and she has to quit smoking (obviously).  I've been a father from a non-diabetic mother before.   What will be different? 
Edit- wrds</t>
        </is>
      </c>
      <c r="D1602" t="n">
        <v>25</v>
      </c>
      <c r="E1602" t="n">
        <v>8</v>
      </c>
      <c r="F1602">
        <f>HYPERLINK("https://www.reddit.com/r/diabetes/comments/3zo6gh/my_type_1_wife_just_tested_positive_for_being/")</f>
        <v/>
      </c>
      <c r="G1602" t="inlineStr">
        <is>
          <t>2016-01-05 20:36:41</t>
        </is>
      </c>
      <c r="H1602" t="inlineStr">
        <is>
          <t>Type 1</t>
        </is>
      </c>
    </row>
    <row r="1603">
      <c r="A1603" t="inlineStr">
        <is>
          <t>3zrlt6</t>
        </is>
      </c>
      <c r="B1603" t="inlineStr">
        <is>
          <t>Texas Lions Camp in Kerrville, Texas has started taking applications for its 2016 Type 1 diabetes sessions</t>
        </is>
      </c>
      <c r="C1603" t="inlineStr">
        <is>
          <t>Texas Lions Camp was chartered in 1949 as a place where children suffering from polio could have a summer camp experience.  After the eradication of polio, it began serving children suffering from other disabilities, and since 1971 its program has included sessions specifically for children with diabetes.
There are two one-week sessions for children ages 8 - 15 suffering from Type 1 diabetes.  The 2016 sessions will be July 24 - 30 and July 31 - August 6.  The camp is funded by Lions Clubs International, and there is no cost to campers, other the travel expense to get there and the things they bring.  
The staff at the camp is knowledgeable and great with the kids.  My son has had a lot of fun each time he's gone, and he's learned a lot about how to take better care of himself and not let diabetes limit what he does.  I know a few adults who went there as children, and they all say it was one of their best experiences.
I just started registering my son for his third year, and he can't wait to go back.  If you've got a kid with T1 who enjoys the outdoors, I'd encourage you to look into this camp:  http://lionscamp.com/default.html</t>
        </is>
      </c>
      <c r="D1603" t="n">
        <v>13</v>
      </c>
      <c r="E1603" t="n">
        <v>7</v>
      </c>
      <c r="F1603">
        <f>HYPERLINK("https://www.reddit.com/r/diabetes/comments/3zrlt6/texas_lions_camp_in_kerrville_texas_has_started/")</f>
        <v/>
      </c>
      <c r="G1603" t="inlineStr">
        <is>
          <t>2016-01-06 12:20:28</t>
        </is>
      </c>
      <c r="H1603" t="inlineStr">
        <is>
          <t>Type 1</t>
        </is>
      </c>
    </row>
    <row r="1604">
      <c r="A1604" t="inlineStr">
        <is>
          <t>3zudc4</t>
        </is>
      </c>
      <c r="B1604" t="inlineStr">
        <is>
          <t>Making dinner (and dessert?) for my brothers family with two Diabetic Type 1 kids</t>
        </is>
      </c>
      <c r="C1604" t="inlineStr">
        <is>
          <t>My brother and his family have been traveling for two weeks and I am having them over this weekend for a home cooked meal, there first in two weeks I believe.
We plan on making them a pumpkin soup as a starter and a homemade gnocchi with a cream source as mains.
First question is what is something simple or preferably off the shelf that we can have for dessert? Our family is quite used to serving fruit as a healthy dessert, though I'm hazy if unprocessed sugars are just the same as processed for diabetics.
Secondly, gnocchi is potatoes, which is a lot of carbohydrates does that skew things people who need manage there insulin?
Background information: The kids are 10 and 15 years old, both have insulin pumps. At least one of them has the bluetooth version.
I just want them to relax for one evening.</t>
        </is>
      </c>
      <c r="D1604" t="n">
        <v>2</v>
      </c>
      <c r="E1604" t="n">
        <v>15</v>
      </c>
      <c r="F1604">
        <f>HYPERLINK("https://www.reddit.com/r/diabetes/comments/3zudc4/making_dinner_and_dessert_for_my_brothers_family/")</f>
        <v/>
      </c>
      <c r="G1604" t="inlineStr">
        <is>
          <t>2016-01-06 22:59:09</t>
        </is>
      </c>
      <c r="H1604" t="inlineStr">
        <is>
          <t>Type 1</t>
        </is>
      </c>
    </row>
    <row r="1605">
      <c r="A1605" t="inlineStr">
        <is>
          <t>3zvt14</t>
        </is>
      </c>
      <c r="B1605" t="inlineStr">
        <is>
          <t>How do you take care of an Insulin pump on the beach?</t>
        </is>
      </c>
      <c r="C1605" t="inlineStr">
        <is>
          <t xml:space="preserve">We are travelling to Mexico in March and this will be the first time we are taking my T1 husbands minimed insulin pump.  We already ordered a Frio cooling pump wallet.  Anything else we should prepare for? what about keeping the insulin in the tubing cool? any suggestions or thoughts would be appreciated. </t>
        </is>
      </c>
      <c r="D1605" t="n">
        <v>1</v>
      </c>
      <c r="E1605" t="n">
        <v>9</v>
      </c>
      <c r="F1605">
        <f>HYPERLINK("https://www.reddit.com/r/diabetes/comments/3zvt14/how_do_you_take_care_of_an_insulin_pump_on_the/")</f>
        <v/>
      </c>
      <c r="G1605" t="inlineStr">
        <is>
          <t>2016-01-07 07:00:15</t>
        </is>
      </c>
      <c r="H1605" t="inlineStr">
        <is>
          <t>Type 1</t>
        </is>
      </c>
    </row>
    <row r="1606">
      <c r="A1606" t="inlineStr">
        <is>
          <t>4026wv</t>
        </is>
      </c>
      <c r="B1606" t="inlineStr">
        <is>
          <t>Possible cause?</t>
        </is>
      </c>
      <c r="C1606" t="inlineStr">
        <is>
          <t>I was diagnosed with juvenile (type 1) diabetes in 2002 when I was 6 years old. However, there's no family history of diabetes at all. I'm curious as to why I ended up getting it, and was hoping someone could give me at least a shot in the dark (pardon the pun) about where it originated from. I was born with strep also, so could that have suppressed my immune system in some way and have caused it?</t>
        </is>
      </c>
      <c r="D1606" t="n">
        <v>1</v>
      </c>
      <c r="E1606" t="n">
        <v>9</v>
      </c>
      <c r="F1606">
        <f>HYPERLINK("https://www.reddit.com/r/diabetes/comments/4026wv/possible_cause/")</f>
        <v/>
      </c>
      <c r="G1606" t="inlineStr">
        <is>
          <t>2016-01-08 09:57:56</t>
        </is>
      </c>
      <c r="H1606" t="inlineStr">
        <is>
          <t>Type 1</t>
        </is>
      </c>
    </row>
    <row r="1607">
      <c r="A1607" t="inlineStr">
        <is>
          <t>403ffk</t>
        </is>
      </c>
      <c r="B1607" t="inlineStr">
        <is>
          <t>People who eat carbs freely, how do your spikes look?</t>
        </is>
      </c>
      <c r="C1607" t="inlineStr">
        <is>
          <t>I'm really curious as to what is a normal or acceptable spike level for someone who doesn't go the low-carb route. I was taught that a person without diabetes should have blood sugars between 80 and 140; does that mean that they spike up to 140 after meals and then level out back to around 80 again? 
The reason I ask is because I've been seeing a lot of posts about people who see their numbers in the 120s or 130s and are super mad/frustrated. Isn't this considered normal? Are my 140 spikes after meals horrible then? What is acceptable or a good goal? I've been trying to keep my fasting around 100 and spikes to go no higher than 150 but now I don't know if that's even good or not based off of all the different reactions to numbers.</t>
        </is>
      </c>
      <c r="D1607" t="n">
        <v>21</v>
      </c>
      <c r="E1607" t="n">
        <v>32</v>
      </c>
      <c r="F1607">
        <f>HYPERLINK("https://www.reddit.com/r/diabetes/comments/403ffk/people_who_eat_carbs_freely_how_do_your_spikes/")</f>
        <v/>
      </c>
      <c r="G1607" t="inlineStr">
        <is>
          <t>2016-01-08 14:22:56</t>
        </is>
      </c>
      <c r="H1607" t="inlineStr">
        <is>
          <t>Type 1</t>
        </is>
      </c>
    </row>
    <row r="1608">
      <c r="A1608" t="inlineStr">
        <is>
          <t>4062rp</t>
        </is>
      </c>
      <c r="B1608" t="inlineStr">
        <is>
          <t>Smartphone-based system does job of pancreas, treats type 1 diabetes - Artificial organ that automatically controls blood-sugar levels enters final trials.</t>
        </is>
      </c>
      <c r="C1608" t="inlineStr">
        <is>
          <t>http://arstechnica.com/science/2016/01/smartphone-based-system-does-job-of-pancreas-treats-type-1-diabetes/</t>
        </is>
      </c>
      <c r="D1608" t="n">
        <v>41</v>
      </c>
      <c r="E1608" t="n">
        <v>14</v>
      </c>
      <c r="F1608">
        <f>HYPERLINK("https://www.reddit.com/r/diabetes/comments/4062rp/smartphonebased_system_does_job_of_pancreas/")</f>
        <v/>
      </c>
      <c r="G1608" t="inlineStr">
        <is>
          <t>2016-01-09 04:03:29</t>
        </is>
      </c>
      <c r="H1608" t="inlineStr">
        <is>
          <t>Type 1</t>
        </is>
      </c>
    </row>
    <row r="1609">
      <c r="A1609" t="inlineStr">
        <is>
          <t>40bgow</t>
        </is>
      </c>
      <c r="B1609" t="inlineStr">
        <is>
          <t>Type 1 So there was blood in my insulin tube, is that bad?</t>
        </is>
      </c>
      <c r="C1609" t="inlineStr">
        <is>
          <t>As the title states, before going to bed having changed my inset that day (Tandum T-slim pump) I noticed about 2 inches of my tubing were blood red. When I woke up the blood was gone and my tubing looks normal now. Is this just something that happens? I've had a pump for almost a year now and this is the first time I've had something like this happen. The site was in my stomach if that helps.</t>
        </is>
      </c>
      <c r="D1609" t="n">
        <v>2</v>
      </c>
      <c r="E1609" t="n">
        <v>4</v>
      </c>
      <c r="F1609">
        <f>HYPERLINK("https://www.reddit.com/r/diabetes/comments/40bgow/type_1_so_there_was_blood_in_my_insulin_tube_is/")</f>
        <v/>
      </c>
      <c r="G1609" t="inlineStr">
        <is>
          <t>2016-01-10 06:24:25</t>
        </is>
      </c>
      <c r="H1609" t="inlineStr">
        <is>
          <t>Type 1</t>
        </is>
      </c>
    </row>
    <row r="1610">
      <c r="A1610" t="inlineStr">
        <is>
          <t>40bju1</t>
        </is>
      </c>
      <c r="B1610" t="inlineStr">
        <is>
          <t>My mother has Type 2 diabetes and her latest blood sugar read 513. Is it alarming?</t>
        </is>
      </c>
      <c r="C1610" t="inlineStr">
        <is>
          <t>Hi,
I have a family history of diabetes. My father has it but he keeps it in check with daily walks and controlled eating. But my mom is too stubborn and refuses Insulin and any other medication suggested by the doctor. However, she has somewhat decreased the sugar intake since it was diagnosed an year ago. She is 55 and doesn't exercise much to control it. For the last  3 -4 months, her blood sugar reads somewhere between 300 - 400. Today when we forcefully made her check it, it read 513. She maintains that she feels well and is adamant that she doesn't need any doctor. I don't have any other option than to forcefully take her to the ER, if it is alarming. Please let me know what are the dangers what are the potential dangers at present and in the future. What steps should I take?</t>
        </is>
      </c>
      <c r="D1610" t="n">
        <v>19</v>
      </c>
      <c r="E1610" t="n">
        <v>22</v>
      </c>
      <c r="F1610">
        <f>HYPERLINK("https://www.reddit.com/r/diabetes/comments/40bju1/my_mother_has_type_2_diabetes_and_her_latest/")</f>
        <v/>
      </c>
      <c r="G1610" t="inlineStr">
        <is>
          <t>2016-01-10 06:50:55</t>
        </is>
      </c>
      <c r="H1610" t="inlineStr">
        <is>
          <t>Type 2</t>
        </is>
      </c>
    </row>
    <row r="1611">
      <c r="A1611" t="inlineStr">
        <is>
          <t>40ee83</t>
        </is>
      </c>
      <c r="B1611" t="inlineStr">
        <is>
          <t>Whey Protein Suggestions for T1D</t>
        </is>
      </c>
      <c r="C1611" t="inlineStr">
        <is>
          <t xml:space="preserve">Hey everyone! I'm looking to incorporate more protein into my diet but would like a low carb option that isn't filled with awful ingredients. Does anyone know of a whey protein that is low carb and has "clean" ingredients? 
What are you all mixing with the protein powder? Before diabetes I would mix with Milk... 
Thanks in advance! </t>
        </is>
      </c>
      <c r="D1611" t="n">
        <v>3</v>
      </c>
      <c r="E1611" t="n">
        <v>9</v>
      </c>
      <c r="F1611">
        <f>HYPERLINK("https://www.reddit.com/r/diabetes/comments/40ee83/whey_protein_suggestions_for_t1d/")</f>
        <v/>
      </c>
      <c r="G1611" t="inlineStr">
        <is>
          <t>2016-01-10 17:27:48</t>
        </is>
      </c>
      <c r="H1611" t="inlineStr">
        <is>
          <t>Type 1</t>
        </is>
      </c>
    </row>
    <row r="1612">
      <c r="A1612" t="inlineStr">
        <is>
          <t>40o0tb</t>
        </is>
      </c>
      <c r="B1612" t="inlineStr">
        <is>
          <t>New to the sub, question about my situation</t>
        </is>
      </c>
      <c r="C1612" t="inlineStr">
        <is>
          <t>Hey all, glad to know there is a sub for this. I need a good resource and Reddit people are usually good for that. On to my situation and question: I am type 2, taking an oral medication twice a day. My blood sugar seems to average around 200 mg/dl which seems high based on what I've read although I feel good around that mark. The other day I was feeling HORRIBLE (shaking, cold sweats, etc) so I tested - it was 139 mg/dl. I was thinking it was 70 or lower but it was at the higher scale of where I should be. Why is that? I try to test when I'm feeling a certain describable way so I can later correlate that feeling with a feeling. Then I can guess what my blood sugar might be in situations based on my body talking to me, but this is causing some issues doing so.</t>
        </is>
      </c>
      <c r="D1612" t="n">
        <v>3</v>
      </c>
      <c r="E1612" t="n">
        <v>8</v>
      </c>
      <c r="F1612">
        <f>HYPERLINK("https://www.reddit.com/r/diabetes/comments/40o0tb/new_to_the_sub_question_about_my_situation/")</f>
        <v/>
      </c>
      <c r="G1612" t="inlineStr">
        <is>
          <t>2016-01-12 11:43:10</t>
        </is>
      </c>
      <c r="H1612" t="inlineStr">
        <is>
          <t>Type 2</t>
        </is>
      </c>
    </row>
    <row r="1613">
      <c r="A1613" t="inlineStr">
        <is>
          <t>40p9w6</t>
        </is>
      </c>
      <c r="B1613" t="inlineStr">
        <is>
          <t>Why is diabetes "incurable"? [Type 2]</t>
        </is>
      </c>
      <c r="C1613" t="inlineStr">
        <is>
          <t xml:space="preserve">The following post is just a bunch of questions and my train of thought while typing this up, good luck. 
It is my understanding that diabetes has no cure, and once you have it you have it for the rest of your life. I guess my question is why? 
My understanding is fairly limited, what exactly diabetes is. As far as I know diabetes is ether the lack of insulin or the lack of response in your body to insulin.
**What causes Type 2 Diabetes?**
**Why would getting in shape losing, 20lbs and "doing the right things" not cure you?**
I mean the way I see it every 3-6 months you have a new set of blood cells? I mean 7 years every cell in your body is "new?" 
Maybe I am oversimplifying the condition or even the existence of disease in general. </t>
        </is>
      </c>
      <c r="D1613" t="n">
        <v>1</v>
      </c>
      <c r="E1613" t="n">
        <v>13</v>
      </c>
      <c r="F1613">
        <f>HYPERLINK("https://www.reddit.com/r/diabetes/comments/40p9w6/why_is_diabetes_incurable_type_2/")</f>
        <v/>
      </c>
      <c r="G1613" t="inlineStr">
        <is>
          <t>2016-01-12 16:09:27</t>
        </is>
      </c>
      <c r="H1613" t="inlineStr">
        <is>
          <t>Type 2</t>
        </is>
      </c>
    </row>
    <row r="1614">
      <c r="A1614" t="inlineStr">
        <is>
          <t>40pezm</t>
        </is>
      </c>
      <c r="B1614" t="inlineStr">
        <is>
          <t>No longer clinically considered diabetic!</t>
        </is>
      </c>
      <c r="C1614" t="inlineStr">
        <is>
          <t>Just got back from an appointment with my PCP, to talk about my recent a1c and lipid tests. So, the upshot is that we're going to try me without Metformin and Lipitor, going back in three months for tests to make sure I can maintain these levels. But she thinks I am no longer clinically diabetic, and I don't need to go in for other peripheral appointments.
We also talked about the things I've been going through with my feet. She thinks it might not be diabetic neuropathy in my feet, and might be a B12 deficiency. She's running a test for that and a test on thyroid levels. We'll take it from there.
I'm happy and a little nervous about this new diagnosis.</t>
        </is>
      </c>
      <c r="D1614" t="n">
        <v>10</v>
      </c>
      <c r="E1614" t="n">
        <v>32</v>
      </c>
      <c r="F1614">
        <f>HYPERLINK("https://www.reddit.com/r/diabetes/comments/40pezm/no_longer_clinically_considered_diabetic/")</f>
        <v/>
      </c>
      <c r="G1614" t="inlineStr">
        <is>
          <t>2016-01-12 16:43:12</t>
        </is>
      </c>
      <c r="H1614" t="inlineStr">
        <is>
          <t>Type 2</t>
        </is>
      </c>
    </row>
    <row r="1615">
      <c r="A1615" t="inlineStr">
        <is>
          <t>40t08q</t>
        </is>
      </c>
      <c r="B1615" t="inlineStr">
        <is>
          <t>How often do you guys drink?</t>
        </is>
      </c>
      <c r="C1615" t="inlineStr">
        <is>
          <t>I have gotten it down pretty well so my blood sugar never goes above 150, or below 80 while partying. Ive been a T1 for about ten years now, using a pump. I drank a lot in college and am currently recently single and going out a lot more. My A1C roams around a 7, I consider my levels to be controlled. 
So my question is should I slow down? Currently I am getting hammered at-least once or twice a week. For those out there that do drink, how often?</t>
        </is>
      </c>
      <c r="D1615" t="n">
        <v>22</v>
      </c>
      <c r="E1615" t="n">
        <v>59</v>
      </c>
      <c r="F1615">
        <f>HYPERLINK("https://www.reddit.com/r/diabetes/comments/40t08q/how_often_do_you_guys_drink/")</f>
        <v/>
      </c>
      <c r="G1615" t="inlineStr">
        <is>
          <t>2016-01-13 09:22:01</t>
        </is>
      </c>
      <c r="H1615" t="inlineStr">
        <is>
          <t>Type 1</t>
        </is>
      </c>
    </row>
    <row r="1616">
      <c r="A1616" t="inlineStr">
        <is>
          <t>40tef8</t>
        </is>
      </c>
      <c r="B1616" t="inlineStr">
        <is>
          <t>Advice on how to set up my eating schedule on days like this?</t>
        </is>
      </c>
      <c r="C1616" t="inlineStr">
        <is>
          <t>Hello! I need some advice on when to eat on days when my class schedule is somewhat unusual for me. One day a week I have class from 9:30 to 10:50 AM, then a large break, then class from 4:30 to 8:30 PM. I eat my breakfast at around 8:40 AM, but then I'm not sure when I should eat lunch and dinner. Right now I'm going to attempt to eat a later lunch at 3 PM then have dinner around 8:50 PM I guess? But I feel like I will run into problems because of the big gaps between meals and a very late dinner. Any advice on how I should eat or should I just stick with this schedule?
I am a Type 1 who is on shots, which is why my eating schedule isn't quite as flexible. Thanks for your help!</t>
        </is>
      </c>
      <c r="D1616" t="n">
        <v>2</v>
      </c>
      <c r="E1616" t="n">
        <v>8</v>
      </c>
      <c r="F1616">
        <f>HYPERLINK("https://www.reddit.com/r/diabetes/comments/40tef8/advice_on_how_to_set_up_my_eating_schedule_on/")</f>
        <v/>
      </c>
      <c r="G1616" t="inlineStr">
        <is>
          <t>2016-01-13 10:40:53</t>
        </is>
      </c>
      <c r="H1616" t="inlineStr">
        <is>
          <t>Type 1</t>
        </is>
      </c>
    </row>
    <row r="1617">
      <c r="A1617" t="inlineStr">
        <is>
          <t>40uptq</t>
        </is>
      </c>
      <c r="B1617" t="inlineStr">
        <is>
          <t>Looking for a comprehensive, but not to exhaustive carbohydrate and serving size list. excel format preferred.</t>
        </is>
      </c>
      <c r="C1617" t="inlineStr">
        <is>
          <t xml:space="preserve">Recently diagnosed Type 1 here.  I have been looking online rather unsuccessfully for a list of common foods with their serving size and carbohydrate count.  I've found several lists that either dont copy and paste well into excel, or are either overly exhaustive (therefore hard to navigate) or far to small.
I'd like to create a list that I can hang in my kitchen for quick reference.  Excel would be preferable so I can format the printed size and to add additional formulas as needed. For example, so I can convert all the info to serving size per 15 carb increments.
Anyone have anything like this already?? Thanks! </t>
        </is>
      </c>
      <c r="D1617" t="n">
        <v>3</v>
      </c>
      <c r="E1617" t="n">
        <v>3</v>
      </c>
      <c r="F1617">
        <f>HYPERLINK("https://www.reddit.com/r/diabetes/comments/40uptq/looking_for_a_comprehensive_but_not_to_exhaustive/")</f>
        <v/>
      </c>
      <c r="G1617" t="inlineStr">
        <is>
          <t>2016-01-13 15:11:33</t>
        </is>
      </c>
      <c r="H1617" t="inlineStr">
        <is>
          <t>Type 1</t>
        </is>
      </c>
    </row>
    <row r="1618">
      <c r="A1618" t="inlineStr">
        <is>
          <t>40uqjp</t>
        </is>
      </c>
      <c r="B1618" t="inlineStr">
        <is>
          <t>Online Personal Trainer Options</t>
        </is>
      </c>
      <c r="C1618" t="inlineStr">
        <is>
          <t>Hello fellow diabetics!
I was recently diagnosed with T1 (about a month ago) and I've spent the last few weeks rigorously researching the disease and learning how to cook. My goal has simply been to sustainably lower my blood sugar levels and it's going quite well!
I understand the key to maximizing health with diabetes is a combination of diet, exercise, and insulin. I'm doing well with the diet and I'm getting pretty dialed in with injecting (going to get a CGM in the next few weeks!), but I've been apprehensive to just jump right back into the gym...
I'd really love to find a certified personal trainer that has experience working with diabetics. I've never had a personal trainer before, but I'd be amenable to an online trainer because I've regularly been in a gym for over a decade so I don't need help with learning the different exercises.
Do any of you guys have experience with personal trainers, be it a great or a poor experience? Can anyone recommend an online personal trainer? Or, even better, can anyone recommend a personal trainer where I live (San Diego)?
It's been super surprising to me how few resources there are for this online!</t>
        </is>
      </c>
      <c r="D1618" t="n">
        <v>1</v>
      </c>
      <c r="E1618" t="n">
        <v>8</v>
      </c>
      <c r="F1618">
        <f>HYPERLINK("https://www.reddit.com/r/diabetes/comments/40uqjp/online_personal_trainer_options/")</f>
        <v/>
      </c>
      <c r="G1618" t="inlineStr">
        <is>
          <t>2016-01-13 15:15:52</t>
        </is>
      </c>
      <c r="H1618" t="inlineStr">
        <is>
          <t>Type 1</t>
        </is>
      </c>
    </row>
    <row r="1619">
      <c r="A1619" t="inlineStr">
        <is>
          <t>40vbrb</t>
        </is>
      </c>
      <c r="B1619" t="inlineStr">
        <is>
          <t>Options for a T1 Diabetic between insurance coverage - Pen-type insulins and Dexcom G4.</t>
        </is>
      </c>
      <c r="C1619" t="inlineStr">
        <is>
          <t>I live in the US and I just took a new job so new health coverage will not kick in for 3 months.
I currently use Novolog FlexPens for short acting delivery and Toujeo SoloStar pens for long acting delivery, plus a Dexcom G4 Share.  
I have enough Toujeo and Dexcom sensors to last until I have health coverage again - but I do not have enough Novolog.  Also the battery in my Dexcom G4 transmitter was just reported as low which is unfortunate timing. 
I've never taken any other types of insulins (syringe and refrigerated for example).
Looking for any/all advice here on options for both Novolog and Dexcom transmitter.  I do have a salary coming in but at the same time I'm not sure if I can afford the Dexcom replacement G4 transmitter (something like $1200 if I remember w/o insurance?)
Thanks for reading.  I will actively reply during EST time zone.</t>
        </is>
      </c>
      <c r="D1619" t="n">
        <v>3</v>
      </c>
      <c r="E1619" t="n">
        <v>13</v>
      </c>
      <c r="F1619">
        <f>HYPERLINK("https://www.reddit.com/r/diabetes/comments/40vbrb/options_for_a_t1_diabetic_between_insurance/")</f>
        <v/>
      </c>
      <c r="G1619" t="inlineStr">
        <is>
          <t>2016-01-13 17:36:44</t>
        </is>
      </c>
      <c r="H1619" t="inlineStr">
        <is>
          <t>Type 1</t>
        </is>
      </c>
    </row>
    <row r="1620">
      <c r="A1620" t="inlineStr">
        <is>
          <t>40y706</t>
        </is>
      </c>
      <c r="B1620" t="inlineStr">
        <is>
          <t>Type 1 - Progress! Still a long way to go, but I needed to cheer a little bit!</t>
        </is>
      </c>
      <c r="C1620" t="inlineStr">
        <is>
          <t>Hey everybody! So I didn't start this year with a specific "New Year, New Me" plan- I actually got started on my low carb diet immediately after Christmas (My mother came from Buffalo, NY down to where I live in Carolina and did it with me for a while to help me get the swing of things) (She's been low carbing like a pro for like 18 months, and lost like 50lbs, she's amazing.)  
Anyway, part of my deal is that after 18 years, I've gotten out of the habit of being a good diabetic. Frankly I think I got out of the habit of it back when I was in High School, and just never picked it back up. So I know I have work to do. I missed doctors appointments, I moved Endo offices when they said they wouldn't prescribe for me unless I showed up... Not testing regularly, not testing at all, taking wild guesses at what to take in terms of insulin... I was **the worst** and I'm not proud of it.  
Well I'm not proud to say, but my hba1c has been in the double digits before, and I am *SO LUCKY* that I haven't had something awful happen to me. Already long story short- I have a visit with my primary and my endo next week (and blood work for both of them) and the blood work from the primary came through on the patient portal- so I just looked it up- and my hba1c is down! it's at a 9.0, which I know is nothing to brag about. But I have seen it worse. I have seen it worse in the past year. And that I got it to start going down directly after the most sugar and candy filled months of the year? I'm Ok with that.   
I have a long road ahead of me, and I am grateful to all of you out there in the internet. You inspire me all the time, even if I'm just a lurker who comes out once in a while for some validation like a jerk. Thanks everyone, you're the very best.</t>
        </is>
      </c>
      <c r="D1620" t="n">
        <v>15</v>
      </c>
      <c r="E1620" t="n">
        <v>28</v>
      </c>
      <c r="F1620">
        <f>HYPERLINK("https://www.reddit.com/r/diabetes/comments/40y706/type_1_progress_still_a_long_way_to_go_but_i/")</f>
        <v/>
      </c>
      <c r="G1620" t="inlineStr">
        <is>
          <t>2016-01-14 08:05:08</t>
        </is>
      </c>
      <c r="H1620" t="inlineStr">
        <is>
          <t>Type 1</t>
        </is>
      </c>
    </row>
    <row r="1621">
      <c r="A1621" t="inlineStr">
        <is>
          <t>40yh1u</t>
        </is>
      </c>
      <c r="B1621" t="inlineStr">
        <is>
          <t>Itchy/Red/Irritated Cannula Site (OmniPod)</t>
        </is>
      </c>
      <c r="C1621" t="inlineStr">
        <is>
          <t>So I have been on the OmniPod for just over a month now. So far I LOVE being tubeless, but I have noticed that the site where the cannula goes into the skin gets red, itchy, and irritated towards the end of my pod life. (2 days) It starts to itch after the first day and is really itchy the closer I get to "replace the pod time".
Once I remove the pod, the inflammation goes away in a few hours but the area (only around where the cannula enters) remains red and itchy for a few days (3 days max). I used to be on Medtronic and could have a site in for 3 days with no issues at all, but now I can't get longer than 2 days with a pod. (Based on my TDD, 2 days is about all I can get out of a pod anyways.) 
Has anyone experienced this or know why it gets so irritated? I clean my hands and then the area with alcohol before I attach a new pod, and like I said have never had this issue Pre-OmniPod.
Any recommendations would help! Thank you!</t>
        </is>
      </c>
      <c r="D1621" t="n">
        <v>6</v>
      </c>
      <c r="E1621" t="n">
        <v>10</v>
      </c>
      <c r="F1621">
        <f>HYPERLINK("https://www.reddit.com/r/diabetes/comments/40yh1u/itchyredirritated_cannula_site_omnipod/")</f>
        <v/>
      </c>
      <c r="G1621" t="inlineStr">
        <is>
          <t>2016-01-14 09:06:35</t>
        </is>
      </c>
      <c r="H1621" t="inlineStr">
        <is>
          <t>Type 1</t>
        </is>
      </c>
    </row>
    <row r="1622">
      <c r="A1622" t="inlineStr">
        <is>
          <t>410962</t>
        </is>
      </c>
      <c r="B1622" t="inlineStr">
        <is>
          <t>Type 1 - Going off insulin during honeymoon phase?</t>
        </is>
      </c>
      <c r="C1622" t="inlineStr">
        <is>
          <t>Hey all,
Newly diagnosed Type 1 here.  Just had my 2-month check in with my endo, and he's really happy with my numbers.  I haven't done a follow-up A1C yet, but I'm staying within 80-130 with an average bg of 97 from my meter download.   I'm only taking 9 units of Lantus right now with zero bolus shots for meals.  I'm just eating fairly low-carb to keep my numbers in line.   (&amp;lt;30-45g of carbs per meal max)
Anyway, he's suggesting that I might go off Lantus and give Metformin a try to see if that's enough to keep my numbers in line, since I'm obviously still in a honeymoon phase and getting the bulk of my insulin naturally.   Anyone ever try that?    I know that Metformin is used often for Type 2's and that it's been getting press about possibly lowering mortality rates as a general bonus side effect.   I just feel a little nervous about going off insulin after having relied on it for 2 months straight.
EDIT:
I read some of the other threads on the subject and there doesn't seem to be any consensus on whether it's beneficial to extend the honeymoon phase through low-dose insulin supplementation, or better to drop it, and let the pancreas do the work. Anyone have any insights here?
It's just mind-boggling that this honeymoon phase has lasted for up to 5 years for some people....</t>
        </is>
      </c>
      <c r="D1622" t="n">
        <v>1</v>
      </c>
      <c r="E1622" t="n">
        <v>10</v>
      </c>
      <c r="F1622">
        <f>HYPERLINK("https://www.reddit.com/r/diabetes/comments/410962/type_1_going_off_insulin_during_honeymoon_phase/")</f>
        <v/>
      </c>
      <c r="G1622" t="inlineStr">
        <is>
          <t>2016-01-14 15:23:19</t>
        </is>
      </c>
      <c r="H1622" t="inlineStr">
        <is>
          <t>Type 1</t>
        </is>
      </c>
    </row>
    <row r="1623">
      <c r="A1623" t="inlineStr">
        <is>
          <t>410jgr</t>
        </is>
      </c>
      <c r="B1623" t="inlineStr">
        <is>
          <t>My SO, who is a type 1, got some lab results back that I need some help deciphering</t>
        </is>
      </c>
      <c r="C1623" t="inlineStr">
        <is>
          <t xml:space="preserve">Islet Cell Cytoplasmic Antibodies - &amp;lt;5 (ref &amp;lt;5 JDF units)
Glutamic Acid Decarboxy Autoab - 51.8 U/ml (ref &amp;lt;1)
C-Peptide - 0.3 ng/ml (ref 0.8-3.9)
NOTE: I am not sure if she is a T1 or 2. It was adult onset and she has a pump. </t>
        </is>
      </c>
      <c r="D1623" t="n">
        <v>8</v>
      </c>
      <c r="E1623" t="n">
        <v>12</v>
      </c>
      <c r="F1623">
        <f>HYPERLINK("https://www.reddit.com/r/diabetes/comments/410jgr/my_so_who_is_a_type_1_got_some_lab_results_back/")</f>
        <v/>
      </c>
      <c r="G1623" t="inlineStr">
        <is>
          <t>2016-01-14 16:29:36</t>
        </is>
      </c>
      <c r="H1623" t="inlineStr">
        <is>
          <t>Type 1.5/LADA</t>
        </is>
      </c>
    </row>
    <row r="1624">
      <c r="A1624" t="inlineStr">
        <is>
          <t>413fpn</t>
        </is>
      </c>
      <c r="B1624" t="inlineStr">
        <is>
          <t>Threshold suspend is now off.</t>
        </is>
      </c>
      <c r="C1624" t="inlineStr">
        <is>
          <t>After a long night of predicted lows I woke up to 205 with an up arrow on my minimed. Looks like I was trying to turn alarms off in my sleep, and didn't notice the threshold suspend came on. Trying to figure out how long my insulin was off. (I think I might have to upload to find that because it doesn't show up in the history.) I just turned that feature off. I think I will be switching to Dexcom when I need to replace this.</t>
        </is>
      </c>
      <c r="D1624" t="n">
        <v>2</v>
      </c>
      <c r="E1624" t="n">
        <v>3</v>
      </c>
      <c r="F1624">
        <f>HYPERLINK("https://www.reddit.com/r/diabetes/comments/413fpn/threshold_suspend_is_now_off/")</f>
        <v/>
      </c>
      <c r="G1624" t="inlineStr">
        <is>
          <t>2016-01-15 07:04:58</t>
        </is>
      </c>
      <c r="H1624" t="inlineStr">
        <is>
          <t>Type 1</t>
        </is>
      </c>
    </row>
    <row r="1625">
      <c r="A1625" t="inlineStr">
        <is>
          <t>414kuw</t>
        </is>
      </c>
      <c r="B1625" t="inlineStr">
        <is>
          <t>Nutrition for muscle building</t>
        </is>
      </c>
      <c r="C1625" t="inlineStr">
        <is>
          <t>I have recently started exercising with a trainer, focusing on interval training to reduce and help maintain my blood sugar.
He just asked me what I knew about post exercise nutrition in order to focus on muscle building. I thought I was in the clear as I had assumed "protein" was the answer (I control my numbers using a low carb diet).
He threw me for a loop when he told me a non-diabetic should aim for a 4-1 ration of carbs to protein.
My obvious question is how do I adapt? I certainly can't up my carbs at this point or I will never be able to get off of medication and keep my numbers low.
Does anyone have experience with this? 
Thanks in advance. I credit this community for all of my success with this disease so far!</t>
        </is>
      </c>
      <c r="D1625" t="n">
        <v>3</v>
      </c>
      <c r="E1625" t="n">
        <v>7</v>
      </c>
      <c r="F1625">
        <f>HYPERLINK("https://www.reddit.com/r/diabetes/comments/414kuw/nutrition_for_muscle_building/")</f>
        <v/>
      </c>
      <c r="G1625" t="inlineStr">
        <is>
          <t>2016-01-15 11:13:23</t>
        </is>
      </c>
      <c r="H1625" t="inlineStr">
        <is>
          <t>Type 2</t>
        </is>
      </c>
    </row>
    <row r="1626">
      <c r="A1626" t="inlineStr">
        <is>
          <t>416qjx</t>
        </is>
      </c>
      <c r="B1626" t="inlineStr">
        <is>
          <t>Fiance is T1 Diabetic with poor management...Don't know what to do</t>
        </is>
      </c>
      <c r="C1626" t="inlineStr">
        <is>
          <t>My fiancé is a Type 1 Diabetic and has terrible management. Almost feels like she is in denial of it. She was diagnosed at 13 now 25. I am a surgical tech/first assist and I have done several toe and foot amputations due to poor diabetes management. She had an episode a few months ago where her bs was almost 400. I took her to the er and we later met with her NP and it felt like it was the wakeup call she needed.
I posted funny notes all around the house to remind her to test herself and take her insulin and it lasted for about 3 weeks, when i stopped being hard on her. She's falling off the wagon again. Her NP wants her bs to be around 150 and I'm happy if its low 200s because she isn't taking it serious enough. I wish she could see what I see and smell when I'm doing an amputation. How do i get her to realize she will lose a toe, she will die if she keeps this up? She's also very depressed and is on anti depressants</t>
        </is>
      </c>
      <c r="D1626" t="n">
        <v>8</v>
      </c>
      <c r="E1626" t="n">
        <v>16</v>
      </c>
      <c r="F1626">
        <f>HYPERLINK("https://www.reddit.com/r/diabetes/comments/416qjx/fiance_is_t1_diabetic_with_poor_managementdont/")</f>
        <v/>
      </c>
      <c r="G1626" t="inlineStr">
        <is>
          <t>2016-01-15 19:56:03</t>
        </is>
      </c>
      <c r="H1626" t="inlineStr">
        <is>
          <t>Type 1</t>
        </is>
      </c>
    </row>
    <row r="1627">
      <c r="A1627" t="inlineStr">
        <is>
          <t>4175ye</t>
        </is>
      </c>
      <c r="B1627" t="inlineStr">
        <is>
          <t>Pump Comparisons</t>
        </is>
      </c>
      <c r="C1627" t="inlineStr">
        <is>
          <t>Hi.
I'm a T1, checking out some pump options. I was on syringes for about 6 years, and pens for the last decade. I've recently had some trouble with ~~The Third Reich~~ ExpressScripts, and I've been buying Humalin/Novolin over the counter and using syringes again. Needless to say, it's [annyong](http://i.imgur.com/52pam0h.jpg). That annoyance prompted me to reconsider pumps, and my endo gave me a couple of brochues with sales rep contacts on them, one for the Animas Vibe+G4 combo and one for the G5. A family member, however, swears by the omnipod, and after some research, I've been unable to find a good resource for comparing them. Does anyone have or know of an up-to-date comparison of all the pumps? I saw the page on Integrated Diabetes Services, but it was last updated June 1, 2015.
Any help from people who have tried multiple pumps would also be awesome.
Thanks :)</t>
        </is>
      </c>
      <c r="D1627" t="n">
        <v>2</v>
      </c>
      <c r="E1627" t="n">
        <v>11</v>
      </c>
      <c r="F1627">
        <f>HYPERLINK("https://www.reddit.com/r/diabetes/comments/4175ye/pump_comparisons/")</f>
        <v/>
      </c>
      <c r="G1627" t="inlineStr">
        <is>
          <t>2016-01-15 22:07:07</t>
        </is>
      </c>
      <c r="H1627" t="inlineStr">
        <is>
          <t>Type 1</t>
        </is>
      </c>
    </row>
    <row r="1628">
      <c r="A1628" t="inlineStr">
        <is>
          <t>4176zf</t>
        </is>
      </c>
      <c r="B1628" t="inlineStr">
        <is>
          <t>Lowering A1C side effects (T1)</t>
        </is>
      </c>
      <c r="C1628" t="inlineStr">
        <is>
          <t>After getting an A1C of 8.0 I realized I needed  tighter control so I am way more on top of my diabetes than in the past. I am now getting less highs; however, I am finding there is way less room for mistakes and if I do make one I will go into a low. Im getting low blood sugar about once a day, do you guys have any tips so I can cut back on all of these lows?</t>
        </is>
      </c>
      <c r="D1628" t="n">
        <v>2</v>
      </c>
      <c r="E1628" t="n">
        <v>6</v>
      </c>
      <c r="F1628">
        <f>HYPERLINK("https://www.reddit.com/r/diabetes/comments/4176zf/lowering_a1c_side_effects_t1/")</f>
        <v/>
      </c>
      <c r="G1628" t="inlineStr">
        <is>
          <t>2016-01-15 22:16:36</t>
        </is>
      </c>
      <c r="H1628" t="inlineStr">
        <is>
          <t>Type 1</t>
        </is>
      </c>
    </row>
    <row r="1629">
      <c r="A1629" t="inlineStr">
        <is>
          <t>417w4o</t>
        </is>
      </c>
      <c r="B1629" t="inlineStr">
        <is>
          <t>High Carb Low Fat Diet for Type 1 Diabetics?</t>
        </is>
      </c>
      <c r="C1629" t="inlineStr">
        <is>
          <t>I've been looking into transitioning towards a more plant-based diet (no concrete labels or anything, just feel inclined for sustainability reasons) and I've found a lot of information online regarding high carb low fat diets. A low carb, high fat/protein diet for type 1 diabetes feels very intuitive to me when considering things like insulin resistance and complications down the road. My current insulin ratio is pretty low (1:30) and my A1C has never exceeded 6%. I feel like my ratio would definitely change if I explored high carb eating and understand that my A1C could more or less stay the same if I just covered the carb changes with more insulin. 
I am not affiliated with this youtube user but here is an example meal plan of the diet: https://www.youtube.com/watch?v=pT_Trj20u08
tldr; is this a well-informed diet for type 1's or nah?</t>
        </is>
      </c>
      <c r="D1629" t="n">
        <v>3</v>
      </c>
      <c r="E1629" t="n">
        <v>14</v>
      </c>
      <c r="F1629">
        <f>HYPERLINK("https://www.reddit.com/r/diabetes/comments/417w4o/high_carb_low_fat_diet_for_type_1_diabetics/")</f>
        <v/>
      </c>
      <c r="G1629" t="inlineStr">
        <is>
          <t>2016-01-16 02:44:39</t>
        </is>
      </c>
      <c r="H1629" t="inlineStr">
        <is>
          <t>Type 1</t>
        </is>
      </c>
    </row>
    <row r="1630">
      <c r="A1630" t="inlineStr">
        <is>
          <t>419ikh</t>
        </is>
      </c>
      <c r="B1630" t="inlineStr">
        <is>
          <t>Hell of a week. Have some questions.</t>
        </is>
      </c>
      <c r="C1630" t="inlineStr">
        <is>
          <t>My 12 year old son was just diagnosed with type 1 diabetes.  He was transported to Lurie's Childrens in Chicago on Wednesday night and just got out last night.  It's been a huge learning curve so far.
My first question is, which app or apps can we use that are cross platform, since we all have a good smattering of android and apple devices in the house.  I'd like an app that he can enter his results and that we can see that at our end.  Basically, just one app that can be viewed by us but crossplatform.  I don't mind having to pay for it more than once honestly. 
Another question I have is, WHERE CAN I GET CHEAPER SUPPLIES! Jeez man, this stuff can be quite expensive!  My insurance is okay at best so wherever I can get some savings is a huge plus!
All this just before his 13th birthday too. He was so upset (while he was in and out...he was near coma the doctors were saying) that he might be in the hospital on his birthday...
EDIT:  I had to really restrain myself from buying him, like, ALL OF THE THINGS as gifts while he was in the hospital...Not much moneys right now...</t>
        </is>
      </c>
      <c r="D1630" t="n">
        <v>18</v>
      </c>
      <c r="E1630" t="n">
        <v>37</v>
      </c>
      <c r="F1630">
        <f>HYPERLINK("https://www.reddit.com/r/diabetes/comments/419ikh/hell_of_a_week_have_some_questions/")</f>
        <v/>
      </c>
      <c r="G1630" t="inlineStr">
        <is>
          <t>2016-01-16 10:18:19</t>
        </is>
      </c>
      <c r="H1630" t="inlineStr">
        <is>
          <t>Type 1</t>
        </is>
      </c>
    </row>
    <row r="1631">
      <c r="A1631" t="inlineStr">
        <is>
          <t>41aa4a</t>
        </is>
      </c>
      <c r="B1631" t="inlineStr">
        <is>
          <t>Which foods make you spike besides the usual carbs and sweets of course!</t>
        </is>
      </c>
      <c r="C1631" t="inlineStr">
        <is>
          <t xml:space="preserve">Which foods make you spike? (above average)
</t>
        </is>
      </c>
      <c r="D1631" t="n">
        <v>3</v>
      </c>
      <c r="E1631" t="n">
        <v>19</v>
      </c>
      <c r="F1631">
        <f>HYPERLINK("https://www.reddit.com/r/diabetes/comments/41aa4a/which_foods_make_you_spike_besides_the_usual/")</f>
        <v/>
      </c>
      <c r="G1631" t="inlineStr">
        <is>
          <t>2016-01-16 13:07:19</t>
        </is>
      </c>
      <c r="H1631" t="inlineStr">
        <is>
          <t>Type 2</t>
        </is>
      </c>
    </row>
    <row r="1632">
      <c r="A1632" t="inlineStr">
        <is>
          <t>41anf5</t>
        </is>
      </c>
      <c r="B1632" t="inlineStr">
        <is>
          <t>Bitter Melon recipe!</t>
        </is>
      </c>
      <c r="C1632" t="inlineStr">
        <is>
          <t xml:space="preserve">So, in an ever expanding quest to find interesting and delicious foods, I picked up a bitter melon at our Chinese grocery. My first attempt with it was, well, not good. But in the process of looking for recipes, I found all of these links talking about how [great bitter melon is for diabetics.](http://www.diabetes.co.uk/natural-therapies/bitter-melon.html)
Determined to make this [strange looking vegetable](http://juicing-for-health.com/wp-content/uploads/2012/06/bittergourd.jpg) work, I picked up a couple more small ones this morning. My husband won't touch it after the first dish I attempted to make, so I thought I'd make some up that I could use as a snack for the next couple days. 
I can't convince him to try it, but hey! this recipe *worked!* Seriously, it's pretty damn good!
**Bitter melon stir fry**
1 smallish bitter melon
4 small yellow tomatoes
About 3 thin slices red onion
1 thumb ginger, matchsticked
1 medium clove garlic minced
1 ½ tbls salt
1 tbls sesame oil
Fresh parmesan
Cut bitter melon in half and remove seeds. Slice bitter melon into 1/4” slices. Cover with cold water, and add salt. Let stand for 20 minutes. Drain
Put bitter melon into wok, cover with fresh cold water. Bring to boil, let boil for 2 minutes. Drain into a colander, let sit.
Heat wok, put in sesame oil. Add garlic, then ginger. Let bloom, then add onion. Sauté for a half minute. Add tomato, sauté until it starts to break down. Add bitter melon. Saute for about two minutes. Turn off heat and grate parmesan into it, toss. Eat!
</t>
        </is>
      </c>
      <c r="D1632" t="n">
        <v>2</v>
      </c>
      <c r="E1632" t="n">
        <v>9</v>
      </c>
      <c r="F1632">
        <f>HYPERLINK("https://www.reddit.com/r/diabetes/comments/41anf5/bitter_melon_recipe/")</f>
        <v/>
      </c>
      <c r="G1632" t="inlineStr">
        <is>
          <t>2016-01-16 14:30:35</t>
        </is>
      </c>
      <c r="H1632" t="inlineStr">
        <is>
          <t>Type 2</t>
        </is>
      </c>
    </row>
    <row r="1633">
      <c r="A1633" t="inlineStr">
        <is>
          <t>41bg8c</t>
        </is>
      </c>
      <c r="B1633" t="inlineStr">
        <is>
          <t>Call for Participation for Research Entitled "Perceptions of Contributing Factors Regarding the Development of Diabulimia in Individuals with Type I Diabetes"</t>
        </is>
      </c>
      <c r="C1633" t="inlineStr">
        <is>
          <t xml:space="preserve">Hello,
My name is Ashley Streeter, and I am a second year doctoral student in Counselor Education and Supervision at Texas A&amp;amp;M University – Corpus Christi. I am conducting a study under the supervision of Dr. Marvarene Oliver. This study was developed to gain an understanding of factors that contribute to the development of Diabulimia in individuals who have type 1 diabetes. With this study, I hope to increase the awareness and understanding of Diabulimia, within society and the mental health and medical fields. 
I am seeking individuals over the age of 18, who are currently at least six months into recovery from their experience with Diabulimia. This study will involve participation in an initial survey that includes more information about the study, informed consent, as well as a page asking for demographic information, previous experience with mental health professionals, general questions related to Type 1 Diabetes and your experience with Diabulimia, current mental health status, contact information, and a pseudonym. After that is completed, I will contact you about setting up a date and time for an interview. This interview will be audio recorded. The interview will involve questions about your experience with Diabulimia. The time it should take for participation is approximately one to two hours, total. 
If you are interested in participating in my research, please click/copy &amp;amp; paste the following link: https://qtrial2014az1.az1.qualtrics.com/SE/?SID=SV_eJKbwkSLNIkvypD
If you have any questions, feel free to contact me at my email: astreeter@islander.tamucc.edu
</t>
        </is>
      </c>
      <c r="D1633" t="n">
        <v>5</v>
      </c>
      <c r="E1633" t="n">
        <v>0</v>
      </c>
      <c r="F1633">
        <f>HYPERLINK("https://www.reddit.com/r/diabetes/comments/41bg8c/call_for_participation_for_research_entitled/")</f>
        <v/>
      </c>
      <c r="G1633" t="inlineStr">
        <is>
          <t>2016-01-16 17:47:29</t>
        </is>
      </c>
      <c r="H1633" t="inlineStr">
        <is>
          <t>Type 1</t>
        </is>
      </c>
    </row>
    <row r="1634">
      <c r="A1634" t="inlineStr">
        <is>
          <t>41kxhp</t>
        </is>
      </c>
      <c r="B1634" t="inlineStr">
        <is>
          <t>First surgery ever, questions about blood sugars afterwards...</t>
        </is>
      </c>
      <c r="C1634" t="inlineStr">
        <is>
          <t>So in a couple of weeks I'm going under for the first time ever to have my shoulder worked on. I was wondering how my blood sugars will react afterwards. I've heard/read that the Anesthesia will pretty much make it go all over the place for a couple of day's and I will most likely feel like crap. Is this true? Anyone have any experience?</t>
        </is>
      </c>
      <c r="D1634" t="n">
        <v>2</v>
      </c>
      <c r="E1634" t="n">
        <v>6</v>
      </c>
      <c r="F1634">
        <f>HYPERLINK("https://www.reddit.com/r/diabetes/comments/41kxhp/first_surgery_ever_questions_about_blood_sugars/")</f>
        <v/>
      </c>
      <c r="G1634" t="inlineStr">
        <is>
          <t>2016-01-18 12:50:13</t>
        </is>
      </c>
      <c r="H1634" t="inlineStr">
        <is>
          <t>Type 1</t>
        </is>
      </c>
    </row>
    <row r="1635">
      <c r="A1635" t="inlineStr">
        <is>
          <t>41p7ms</t>
        </is>
      </c>
      <c r="B1635" t="inlineStr">
        <is>
          <t>T1s with other autoimmune conditions, unexplained fever, high bg's?</t>
        </is>
      </c>
      <c r="C1635" t="inlineStr">
        <is>
          <t>I've had a high fever (101-104) for the past 5 days and it's not responding to antibiotics or antiviral medications (only thing that brings it down is advil), so my doctor is starting to suspect another autoimmune condition.
My BGs, however, have been very elevated (I am taking 2-3x as much bolus insulin as normal, though my basals are ok). I thought elevated BGs was pretty clearly a result of being sick, and less likely from another undiagnosed autoimmune condition. Anyone on here have any personal experiences to share? 
I'm getting a little nervous that I may have another condition that may require steroid treatment (which of course is going to make my T1 even harder to control).</t>
        </is>
      </c>
      <c r="D1635" t="n">
        <v>4</v>
      </c>
      <c r="E1635" t="n">
        <v>11</v>
      </c>
      <c r="F1635">
        <f>HYPERLINK("https://www.reddit.com/r/diabetes/comments/41p7ms/t1s_with_other_autoimmune_conditions_unexplained/")</f>
        <v/>
      </c>
      <c r="G1635" t="inlineStr">
        <is>
          <t>2016-01-19 07:49:21</t>
        </is>
      </c>
      <c r="H1635" t="inlineStr">
        <is>
          <t>Type 1</t>
        </is>
      </c>
    </row>
    <row r="1636">
      <c r="A1636" t="inlineStr">
        <is>
          <t>41pj8b</t>
        </is>
      </c>
      <c r="B1636" t="inlineStr">
        <is>
          <t>Omnipod user just found out new Rx vendor doesn't cover Freestyle test strips</t>
        </is>
      </c>
      <c r="C1636" t="inlineStr">
        <is>
          <t>I've been on the Omnipod for a little over a year now and love it. Today I went to refill my rx for test strips and found out that my new rx vendor (insurance itself didn't change) doesn't cover the Freestyle strips at all. Has anyone run into this problem? Is it possible to get them OTC for a reasonable price anywhere? I was paying $50 for 250 strips. I really don't want to have to switch to a different pump system if at all possible. I guess carrying around 2 meters is an option but that's also a pain in the ass. Any advice/insight is greatly appreciated. Thanks!</t>
        </is>
      </c>
      <c r="D1636" t="n">
        <v>2</v>
      </c>
      <c r="E1636" t="n">
        <v>21</v>
      </c>
      <c r="F1636">
        <f>HYPERLINK("https://www.reddit.com/r/diabetes/comments/41pj8b/omnipod_user_just_found_out_new_rx_vendor_doesnt/")</f>
        <v/>
      </c>
      <c r="G1636" t="inlineStr">
        <is>
          <t>2016-01-19 08:58:12</t>
        </is>
      </c>
      <c r="H1636" t="inlineStr">
        <is>
          <t>Type 1</t>
        </is>
      </c>
    </row>
    <row r="1637">
      <c r="A1637" t="inlineStr">
        <is>
          <t>41pwje</t>
        </is>
      </c>
      <c r="B1637" t="inlineStr">
        <is>
          <t>A1C during pregnancy</t>
        </is>
      </c>
      <c r="C1637" t="inlineStr">
        <is>
          <t xml:space="preserve">I am 34 weeks pregnant and managing my type 1 diabetes has been far from easy. To say I'm exhausted would be an understatement. But, I feel pretty good about my hard work today. A1C was 7.1 at the start of my pregnancy and now it's 5.7. In your face diabetes pregnancy combo! </t>
        </is>
      </c>
      <c r="D1637" t="n">
        <v>38</v>
      </c>
      <c r="E1637" t="n">
        <v>24</v>
      </c>
      <c r="F1637">
        <f>HYPERLINK("https://www.reddit.com/r/diabetes/comments/41pwje/a1c_during_pregnancy/")</f>
        <v/>
      </c>
      <c r="G1637" t="inlineStr">
        <is>
          <t>2016-01-19 10:11:54</t>
        </is>
      </c>
      <c r="H1637" t="inlineStr">
        <is>
          <t>Type 1</t>
        </is>
      </c>
    </row>
    <row r="1638">
      <c r="A1638" t="inlineStr">
        <is>
          <t>41pzti</t>
        </is>
      </c>
      <c r="B1638" t="inlineStr">
        <is>
          <t>What's your record low?</t>
        </is>
      </c>
      <c r="C1638" t="inlineStr">
        <is>
          <t xml:space="preserve">I hit a new record last night! I was at 27! 
As far as I know I didn't have a seizure or anything, so I got that goin' for me. My previous record was 29 and I passed out and fell over during that one and luckily my sister (a nurse too) came to my aid and brought me sugar. Now that I live by myself these super lows get super scary but luckily I was able to make my way to the fridge and pound 2 Tahitian Treats and munch a few packs of gummy bears.
TLDR: I hit 27 last night and it was scary. </t>
        </is>
      </c>
      <c r="D1638" t="n">
        <v>1</v>
      </c>
      <c r="E1638" t="n">
        <v>4</v>
      </c>
      <c r="F1638">
        <f>HYPERLINK("https://www.reddit.com/r/diabetes/comments/41pzti/whats_your_record_low/")</f>
        <v/>
      </c>
      <c r="G1638" t="inlineStr">
        <is>
          <t>2016-01-19 10:30:16</t>
        </is>
      </c>
      <c r="H1638" t="inlineStr">
        <is>
          <t>Type 1</t>
        </is>
      </c>
    </row>
    <row r="1639">
      <c r="A1639" t="inlineStr">
        <is>
          <t>41qn24</t>
        </is>
      </c>
      <c r="B1639" t="inlineStr">
        <is>
          <t>T1D. What's your perfect snack before workout (Cardio)?</t>
        </is>
      </c>
      <c r="C1639" t="inlineStr">
        <is>
          <t>Hi diabetic fellows,
I am T1D, and I would like to know what's your favorite preworkout snack that works for you? Cheers.</t>
        </is>
      </c>
      <c r="D1639" t="n">
        <v>1</v>
      </c>
      <c r="E1639" t="n">
        <v>3</v>
      </c>
      <c r="F1639">
        <f>HYPERLINK("https://www.reddit.com/r/diabetes/comments/41qn24/t1d_whats_your_perfect_snack_before_workout_cardio/")</f>
        <v/>
      </c>
      <c r="G1639" t="inlineStr">
        <is>
          <t>2016-01-19 12:46:02</t>
        </is>
      </c>
      <c r="H1639" t="inlineStr">
        <is>
          <t>Type 1</t>
        </is>
      </c>
    </row>
    <row r="1640">
      <c r="A1640" t="inlineStr">
        <is>
          <t>41wr9x</t>
        </is>
      </c>
      <c r="B1640" t="inlineStr">
        <is>
          <t>T1d extremely poorly managed. Strong enough to admit I need some serious help.</t>
        </is>
      </c>
      <c r="C1640" t="inlineStr">
        <is>
          <t>Ok this is going to be a long back story, which might be very frustrating to read. Sorry and thank you for taking the time to read.
Diagnosed with t1d little over 3 years ago when I was 23 (sept. '12). Guessing it was developed when I had a really bad case of bronchitis earlier that year (around Feb '12) that I didn't see the doctor for. Between February and September I dropped in weight drastically, went from about 190 lbs to almost 100 lbs. At first I was happy about losing weight by doing nothing at all, until I was nothing but skin and bones and could barely even walk. I was bed ritten and had to get carried by my father to see doctors before I was finally diagnosed. Guess I had a dud of a primary doctor because he sent me to several specialists and had a few different major tests done just to see what's going on with me instead of just adding diabetes to the blood tests. I was talking to a friend, who was training to be an emt, and he told me to get tested for diabetes immediately! I finally had an answer and the end of a lot of suffering. Eternally grateful to this guy because from what I read I could of easily died at any point during that time and was really lucky that I didn't get hospitalized. Things were getting better, or so I thought.
Prior to developing diabetes I was quite the party boy (binge drinking at least 4x a week), smoked about a half pack a day for about a decade, ate mountains of food at a time (real food, not junk food), rarely exercised. Bottom line, I didn't give a shit. The problem is, I still do quite a bit of this. I don't drink as often or eat as much, but I don't take care of myself at all. The first time I went into DKA I was at my air force reserves base and had no idea what was going on. I thought I could just ride out whatever was happening. The pain was so bad that I started hallucinating and speaking in tongues before I had to call my friend to get an ambulance for me.  I've been in the hospital about 5 times now for DKA over the past 3 years and should of went to the hospital even more than that, but I'm such a "smart guy" that I kinda figured out how to take my insulin and eat to prevent having to go to the hospital when I'm going into DKA. I'm really just dodging bullets. 
Now I must say I was doing very well for a short time when I was put on pump therapy with an omnipod. I absolutely loved it because it put a careless person like myself in check. It was just what I needed. I was still under my father's insurance at the time so I thought it would be covered for a 4 months supply. Then I turned 26 a few weeks later and it seems like one thing after another was going horribly wrong. I thought I had time to figure out things with insurance and keeping up with my medication and everything. Nope. Life doesn't work that way. A couple of days after I turned 26 I moved into a new apartment with my friends in one of the basement rooms. Left all my stuff in boxes and decided to unpack it all after I got back from work, only to come home to find the basement has flooded. All my stuff was ruined. Most importantly, 3-4 boxes of pods and other diabetic related supplies. Luckily I was smart enough to put my levemir and humalog in the fridge and leave the rest of the stockpile of insulin at my parents house. So I wasn't completely up shit's creek. No longer being insured under my father at this time I decided to just leave everything as is and thank the stars that it wasn't any worse. Big mistake. 
Fast forward 5 months to this past November. Haven't found insurance I can afford (min $400/mo with $1000 deductible), took a day trip to the hospital a couple of weeks prior for DKA, haven't seen my endo in like 6 months, down to about 50u of humalog left in my last pen, can't afford to just buy humalog @ $350 a box. Needless to say I'm freaking out at this point. I was on my way to work so I was able to call up my mother to hopefully calm me down and come up with a game plan. We were able to get samples from my nurse and from my primary. Given another miracle and another bullet dodged. 
Jump to today. Same situation once again. Down to 50u in the last of the sample pens that were given to me, no insurance and my job doesn't provide insurance either. Only difference is I can afford to buy a box of humalog and I have an appointment with my endo on friday to get a Lilly cares form filled out so I can get a discount on them in the future (hopefully) and also to talk about my legs. I've been feeling pain and numbness in them lately, more the left leg than the right, and it's terrifying.
After all that I still have a hard time keeping myself in check. Healthy food is not hard to come by living in NYC, but with the high cost of living and residing in an area with nothing but Bodegas and takeout it's not easy to afford or quickly obtain. So I eat like shit most of the time. Close to zero self discipline, even less motivational drive to get past the bare minimum to survive, and secretly extremely depressed and borderline suicidal at times. Only reason why I would never throw in the towel is because that's how my uncle and one of my best friends died and I would never want my family or friends to go through that again. My mother wouldn't survive it, nor would my best friend. But it's always in my head especially with the heavy burden I've put on myself and keep adding to. I've also seriously questioned if I have mental disabilities as well, but I've always been afraid to find out, and now that I'm uninsured I'm afraid I will never know if that is the root of my problems.
I'm just not sure what I need to do in order to get myself healthy. I just want to live, not just survive, but life is making it more and more difficult for me even to survive. I need help. Any advice or guidance would be appreciated.</t>
        </is>
      </c>
      <c r="D1640" t="n">
        <v>9</v>
      </c>
      <c r="E1640" t="n">
        <v>9</v>
      </c>
      <c r="F1640">
        <f>HYPERLINK("https://www.reddit.com/r/diabetes/comments/41wr9x/t1d_extremely_poorly_managed_strong_enough_to/")</f>
        <v/>
      </c>
      <c r="G1640" t="inlineStr">
        <is>
          <t>2016-01-20 14:30:24</t>
        </is>
      </c>
      <c r="H1640" t="inlineStr">
        <is>
          <t>Type 1</t>
        </is>
      </c>
    </row>
    <row r="1641">
      <c r="A1641" t="inlineStr">
        <is>
          <t>41xvnj</t>
        </is>
      </c>
      <c r="B1641" t="inlineStr">
        <is>
          <t>Blood sugar frequently over 200, is it normal for Type 1 Diabetic?</t>
        </is>
      </c>
      <c r="C1641" t="inlineStr">
        <is>
          <t>So after discussing low blood sugar with a friend who was concerned his blood sugar might be lower than normal, i got to thinking, yeah most diabetics average blood sugar will be higher, even if well controlled. I always thought the normal range for me was 120-200, and that 200-250 wasnt that problematic, but after deciding to take a peek at what "normal" blood sugars are for type 1 diabetics, it seems the range of 120-150 is normal.
I am frequently over 200, i eat well, i always correct, im not a very active person in the sense of working out but i have been moving around a lot lately, and i eat at regular times. Im just wondering if im putting myself at risk for greater problems, maybe floating around the 200's isnt as safe as i was led to believe.
Do not mistake me, my blood sugar does goes into the suggested range a lot....even lower. I am frequently low during the night and morning, alarmingly so, even as low as 50 sometimes, which is why i've cut back on my insulin. But I'm starting to think ahead, maybe i need to deal with more frequent bad lows to avoid the potential problems with floating around moderately high levels of glucose? Though high for me is anything over 250.
Going to doctor tomorrow, figured to maybe bring it up. I take Humalog/Lantus. 24 years old (well 24 in feb!) and was diagnosed I believe when I was 10.</t>
        </is>
      </c>
      <c r="D1641" t="n">
        <v>4</v>
      </c>
      <c r="E1641" t="n">
        <v>30</v>
      </c>
      <c r="F1641">
        <f>HYPERLINK("https://www.reddit.com/r/diabetes/comments/41xvnj/blood_sugar_frequently_over_200_is_it_normal_for/")</f>
        <v/>
      </c>
      <c r="G1641" t="inlineStr">
        <is>
          <t>2016-01-20 18:50:36</t>
        </is>
      </c>
      <c r="H1641" t="inlineStr">
        <is>
          <t>Type 1</t>
        </is>
      </c>
    </row>
    <row r="1642">
      <c r="A1642" t="inlineStr">
        <is>
          <t>41y264</t>
        </is>
      </c>
      <c r="B1642" t="inlineStr">
        <is>
          <t>Loss of strength in arms and legs, high muscle enzymes with diabetes.</t>
        </is>
      </c>
      <c r="C1642" t="inlineStr">
        <is>
          <t>I went to the doctor yesterday about why I have lost almost all the strength in my legs. I had blood tests done and they returned with high muscle enzyme levels. For reference the strength loss is significant but not disabling, I went from a 500 pound 1 rep squat max to barely being able to lift 200 pounds. I lost almost all this strength over a two week period back in July. I go back tomorrow to have my kidney's checked since I am diabetic and to make further plans. Should I be worried?</t>
        </is>
      </c>
      <c r="D1642" t="n">
        <v>1</v>
      </c>
      <c r="E1642" t="n">
        <v>2</v>
      </c>
      <c r="F1642">
        <f>HYPERLINK("https://www.reddit.com/r/diabetes/comments/41y264/loss_of_strength_in_arms_and_legs_high_muscle/")</f>
        <v/>
      </c>
      <c r="G1642" t="inlineStr">
        <is>
          <t>2016-01-20 19:36:10</t>
        </is>
      </c>
      <c r="H1642" t="inlineStr">
        <is>
          <t>Type 1</t>
        </is>
      </c>
    </row>
    <row r="1643">
      <c r="A1643" t="inlineStr">
        <is>
          <t>41yqva</t>
        </is>
      </c>
      <c r="B1643" t="inlineStr">
        <is>
          <t>[t1] How low do you go?</t>
        </is>
      </c>
      <c r="C1643" t="inlineStr">
        <is>
          <t xml:space="preserve">Hello /r/diabetes!
I'm curious, what do you try to set your "lower bound" for acceptable glucose for? I find that I can get a bit shaky around 90, and lower 80s are not tons of fun; my numbers seem to drop more quickly for me when they're at that range, whereas they're more stable at 120 or so. When I'm going to be active (lots of walking, a workout, sex, whatever) I usually raise my number to 140 or so and then treat as-needed as time progresses. 
Any thoughts, experiences, advice, or resources you have to share on this topic would be great. 
----
Looks like people are saying 4.4/80, 3.9/70, and 3.3/60 are fine for them, which average out to A1Cs of 4.0 to 5.0 with some variance permitted, which are all under a higher bound of 7.0 (an average of 8.3/150). </t>
        </is>
      </c>
      <c r="D1643" t="n">
        <v>4</v>
      </c>
      <c r="E1643" t="n">
        <v>9</v>
      </c>
      <c r="F1643">
        <f>HYPERLINK("https://www.reddit.com/r/diabetes/comments/41yqva/t1_how_low_do_you_go/")</f>
        <v/>
      </c>
      <c r="G1643" t="inlineStr">
        <is>
          <t>2016-01-20 22:40:12</t>
        </is>
      </c>
      <c r="H1643" t="inlineStr">
        <is>
          <t>Type 1</t>
        </is>
      </c>
    </row>
    <row r="1644">
      <c r="A1644" t="inlineStr">
        <is>
          <t>420mmp</t>
        </is>
      </c>
      <c r="B1644" t="inlineStr">
        <is>
          <t>Diabetes management not that great, I need some advice and tips</t>
        </is>
      </c>
      <c r="C1644" t="inlineStr">
        <is>
          <t xml:space="preserve">Hi Everyone,
My name is Alex and I have been a diabetic T1 since i was 12. My diabetes management in my teens was great I would eat and pretty much ride my bike ALL DAY Long, A1c always below 6.5. 
In my 20s a lot of things changed with work, moved to different city etc. and my A1C would fluxuate from 7-8. 
Now in my 31 I am wearing a dexcom and a T-slim my last A1C was 7.8. I am trying to manage my diabetes as well as I can but I am having difficulties. I work out twice a week an hour of cardio at the time and I eat relatively clean (I do eat BS once or twice a week).
I was recently prescribed Metformin as I am using about 80 units of basal plus boluses which is a lot of insulin and the doctor wanted to help with the pills. 
I feel the issues comes from when I get low sugars by over-correcting. Also let's say that I am eating a sandwich 2 slices of bread and I give my bolus for the next 2-3 hrs my levels are great and then my sugar will hit over 200. Also when i correct my Sugar the units that are programmed in my machine dont seem to be enough my sugar will stay in the 200s for couple of hours and will slightly move. 
Has anyone else seen this pattern? From what I wrote can you pinpoint what I am doing wrong. I wont be offended if you tell me straight up whats up.
P.S. I have been wearing the Tslim for 2 years and I am not a big fan I was using minimed and i felt happier, anyone else fells that way?
</t>
        </is>
      </c>
      <c r="D1644" t="n">
        <v>2</v>
      </c>
      <c r="E1644" t="n">
        <v>4</v>
      </c>
      <c r="F1644">
        <f>HYPERLINK("https://www.reddit.com/r/diabetes/comments/420mmp/diabetes_management_not_that_great_i_need_some/")</f>
        <v/>
      </c>
      <c r="G1644" t="inlineStr">
        <is>
          <t>2016-01-21 08:09:21</t>
        </is>
      </c>
      <c r="H1644" t="inlineStr">
        <is>
          <t>Type 1</t>
        </is>
      </c>
    </row>
    <row r="1645">
      <c r="A1645" t="inlineStr">
        <is>
          <t>421f53</t>
        </is>
      </c>
      <c r="B1645" t="inlineStr">
        <is>
          <t>T1 need encouragement.</t>
        </is>
      </c>
      <c r="C1645" t="inlineStr">
        <is>
          <t xml:space="preserve">Lately I have been slacking VERY much on checking my blood sugar and doing my shots. I feel like shit but that still doesn't make me want to do it. I'm a teenager and I know not taking care of it will effect me in the future, but it's a pain in the ass. Plus my depression isn't helping at all and being stuck in the house because of snow with nothing to do but watch TV. I just need a bit of encouragement, some tips, anything. P.s, I only got diagnosed like the day after thanksgiving, I haven't gotten into a habit yet. Gotta remind myself it could always be worst. (:  </t>
        </is>
      </c>
      <c r="D1645" t="n">
        <v>12</v>
      </c>
      <c r="E1645" t="n">
        <v>10</v>
      </c>
      <c r="F1645">
        <f>HYPERLINK("https://www.reddit.com/r/diabetes/comments/421f53/t1_need_encouragement/")</f>
        <v/>
      </c>
      <c r="G1645" t="inlineStr">
        <is>
          <t>2016-01-21 10:55:14</t>
        </is>
      </c>
      <c r="H1645" t="inlineStr">
        <is>
          <t>Type 1</t>
        </is>
      </c>
    </row>
    <row r="1646">
      <c r="A1646" t="inlineStr">
        <is>
          <t>4269e5</t>
        </is>
      </c>
      <c r="B1646" t="inlineStr">
        <is>
          <t>Type 1- Progress Update!</t>
        </is>
      </c>
      <c r="C1646" t="inlineStr">
        <is>
          <t>Hello all! I posted just over a week ago [here](https://www.reddit.com/r/diabetes/comments/40y706/type_1_progress_still_a_long_way_to_go_but_i/) about how I was making progress- and I knew I still had a ways to go- but I was still proud, really turning my life around, etc.  
WELL! (This is still a happy story- don't worry!) That blood work saying my A1C was at 9 was from my primary- and I also had blood work from my endo, who I saw 2 days later- and she had the records of what my last A1C was, so I could compare. (!!!!!!!!!!)  
From last July (ish) to Now I went from an A1C of 11.5 to 8.6!  
We also downloaded my glucose readings (I haven't been able to, because my laptop died - and I've been using a back up until 2 days ago) and the majority of the improvement has been visible in the past month or two. My endo literally said I was crushing it.  
There's more work to do, but I'm even happier than I was before. And thank you all who commented on my first post- you are such an awesome bunch of people, and I am so super grateful that you exist and are willing to share about your experiences and challenges and struggles as well as your successes!</t>
        </is>
      </c>
      <c r="D1646" t="n">
        <v>26</v>
      </c>
      <c r="E1646" t="n">
        <v>25</v>
      </c>
      <c r="F1646">
        <f>HYPERLINK("https://www.reddit.com/r/diabetes/comments/4269e5/type_1_progress_update/")</f>
        <v/>
      </c>
      <c r="G1646" t="inlineStr">
        <is>
          <t>2016-01-22 08:26:54</t>
        </is>
      </c>
      <c r="H1646" t="inlineStr">
        <is>
          <t>Type 1</t>
        </is>
      </c>
    </row>
    <row r="1647">
      <c r="A1647" t="inlineStr">
        <is>
          <t>426otl</t>
        </is>
      </c>
      <c r="B1647" t="inlineStr">
        <is>
          <t>I had my wisdom teeth removed yesterday and now I have a moderate amount of ketones. Dentist is closed and I left a voicemail with my educator but could use some advice/reassurance.</t>
        </is>
      </c>
      <c r="C1647" t="inlineStr">
        <is>
          <t>So yesterday morning I got my wisdom teeth (all 4) removed and everything seemed to have gone well. I got home and passed out for 6 hours and when I woke up my blood sugar was a little over 100. I took 2 units and had a Soylent (since it's a nice, easy drink to have after an extraction). A few hours later my blood sugar was at 250! And I used a ketone pee strip and it showed up as "moderate."
At this point the Vicodin was making me really drowsy so I took 4 units, waited an hour and tested at a little over 200, but couldn't stay awake any longer so I fell asleep hoping it would continue to drop a bit. At about 2AM I woke up at 150 and took a unit to correct but then at 9ish I woke up for the day at 160, took another ketone test and it's still moderate.
Does anyone have any idea what might be going on? 160 doesn't seem that high so the ketones are surprising to me. I've even been over 200 before without ketones. In fact this is the most I've tested with since I was diagnosed.
For a little additional information, I'm 22 and was diagnosed T1 a year ago. I use Lantus and Humalog.
Any help would be greatly appreciated.
edit: thanks a lot guys. My educator called back and said basically the same thing about starvation ketones. I had a nice glass of OJ and some scrambled eggs and I'll be making sure to get enough carbs into me for the rest of the day. I'm already feeling a lot better. This subreddit is great.</t>
        </is>
      </c>
      <c r="D1647" t="n">
        <v>1</v>
      </c>
      <c r="E1647" t="n">
        <v>5</v>
      </c>
      <c r="F1647">
        <f>HYPERLINK("https://www.reddit.com/r/diabetes/comments/426otl/i_had_my_wisdom_teeth_removed_yesterday_and_now_i/")</f>
        <v/>
      </c>
      <c r="G1647" t="inlineStr">
        <is>
          <t>2016-01-22 09:56:49</t>
        </is>
      </c>
      <c r="H1647" t="inlineStr">
        <is>
          <t>Type 1</t>
        </is>
      </c>
    </row>
    <row r="1648">
      <c r="A1648" t="inlineStr">
        <is>
          <t>429jt6</t>
        </is>
      </c>
      <c r="B1648" t="inlineStr">
        <is>
          <t>Endocrinologist says I should manage my BG by eating more carbs and less fat, but I think I have early indications of LADA.</t>
        </is>
      </c>
      <c r="C1648" t="inlineStr">
        <is>
          <t>I have an upcoming appointment with my endocrinologist in a couple of weeks, and it's been an uphill battle with him and the NP so I'd like to be prepared.
Basically, I've been busting my ass on a keto diet for about six months, dropped a lot of weight (and I was only a little bit overweight to begin with), and my most recent A1C is 5.1, so I'm going to say it was worth it.
At my last appointment three months ago, I was told to up my carb intake to 30g per meal. I tried that for a few weeks but my 2 hour PP readings were consistently above 150 and I was lethargic all the time, so I gradually went back to keto. I continue to have frequent readings in the 120+ range, and even a small amount of carbs (as few as 6 grams) will launch me into 150+ territory. I prepare all my food from scratch and rarely eat out, so it's very unlikely that I am significantly underestimating my carb intake.
Today, I took a stab at a self-administered OGTT (a.k.a I ate a quart of ice cream). With a starting BG of 84, I was up to 150 1 hour post, and peaked just under 2 hours post with a BG of 193. 3.5 hours later, I was still at 155, and didn't hit 100 until 5.5 hours post. I finally dropped within pre-meal BG range almost 6 hours later with a reading of 78. I know that low-carb diets can lead to overestimation of BG values, but the effect would only account for about 10 mg/dl. Also, it wasn't a perfect test because of the high fat content of the ice cream (a true glucose test would have no fat), so if anything my values are lower than they would have been using glucose liquid.
There's obviously something going on, and my biggest concern right now is that I've been incorrectly diagnosed with T2 instead of LADA. Mainly, I think this is true because doctors have always noted that my BG is on the high side my whole life, I've never been obese, have only ever been a little bit overweight for the last couple of years (I blame grad school for that one), and I'm only 32 years old. I'm 5'1" and right now I weigh 138 lbs, which does still put me in the overweight category, but only marginally, and in terms of my measurements I'm probably not skinny but I don't appear overweight (I wear a size 4/6). With that said, I'm not a naturally skinny person by any means, and I've always had to maintain healthy eating habits to keep my weight in check. In short, I'm a young, basically healthy young woman with an uncooperative pancreas.
I'm really worried that I'm going to go to my appointment and the endocrinologist, as before, is going to tell me to eat more carbs but otherwise keep doing what I'm doing. While it's possible that the T2 diagnosis is correct, my biggest concern is that it's LADA and I won't know until it's too late and my beta cells are totally killed off. It's clear that right now I do have beta cell function. My C-peptide test value was 1.3, with a reference range of 1.1-5.0ng/ml. I've been reading up on this a lot but I haven't been able to find any useful information. It seems to be that T2 is correlated with higher C-peptide values and LADA with lower values. I am clearly on the lower side, but still within the normal range, so ought the endocrinologist even consider that? Could it just be an artifact of my low carb diet? Are there other tests I should ask for? Incidentally, my fasting BG for the same blood work was 121 and noted as impaired. 
I could probably give a lot more details but instead I will just say that I will gladly answer any questions from any kind LADA experts out there.</t>
        </is>
      </c>
      <c r="D1648" t="n">
        <v>4</v>
      </c>
      <c r="E1648" t="n">
        <v>10</v>
      </c>
      <c r="F1648">
        <f>HYPERLINK("https://www.reddit.com/r/diabetes/comments/429jt6/endocrinologist_says_i_should_manage_my_bg_by/")</f>
        <v/>
      </c>
      <c r="G1648" t="inlineStr">
        <is>
          <t>2016-01-22 21:20:22</t>
        </is>
      </c>
      <c r="H1648" t="inlineStr">
        <is>
          <t>Type 1.5/LADA</t>
        </is>
      </c>
    </row>
    <row r="1649">
      <c r="A1649" t="inlineStr">
        <is>
          <t>42d3gi</t>
        </is>
      </c>
      <c r="B1649" t="inlineStr">
        <is>
          <t>Looking to donate 4 boxes Omnipod pods</t>
        </is>
      </c>
      <c r="C1649" t="inlineStr">
        <is>
          <t>Hey guys, 
Long time lurker first time poster. I went through a experimentation phase with the Omnipod and it didn't work out; so I'm now sitting on 4 boxes of unopened pods I'd like to donate. Anyone have any suggestions? I'm not against donating to a follow redditor... Just trying to give them to some that needs them.</t>
        </is>
      </c>
      <c r="D1649" t="n">
        <v>2</v>
      </c>
      <c r="E1649" t="n">
        <v>3</v>
      </c>
      <c r="F1649">
        <f>HYPERLINK("https://www.reddit.com/r/diabetes/comments/42d3gi/looking_to_donate_4_boxes_omnipod_pods/")</f>
        <v/>
      </c>
      <c r="G1649" t="inlineStr">
        <is>
          <t>2016-01-23 14:29:30</t>
        </is>
      </c>
      <c r="H1649" t="inlineStr">
        <is>
          <t>Type 1</t>
        </is>
      </c>
    </row>
    <row r="1650">
      <c r="A1650" t="inlineStr">
        <is>
          <t>42dtbr</t>
        </is>
      </c>
      <c r="B1650" t="inlineStr">
        <is>
          <t>[Type One] Virus Wreaking Havoc</t>
        </is>
      </c>
      <c r="C1650" t="inlineStr">
        <is>
          <t>Hello reddit,
First time posting here.  I've had type one diabetes since I was 9-years-old (23 now), and I thought, by now, I'd have seen it all but I (and my parents... and sister who is also T1D) are/am stumped.
I have a virus of some sort that has been causing infrequent vomiting and diarrhea, along with cold-like symptoms.  My head hurts, my joints ache, and I feel just plain sick.  My blood sugars have been running in the 300-450 range since this past Tuesday (it's Saturday now) and on Wednesday night, I was so sick, I went to the Emergency Room.  
They did several tests and said that I had a couple different viruses in my system, but it was NOT DKA or the flu, or pneumonia, or anything like that, so they sent me home after a couple hours (and through an IV, got my sugar down to 291, which apparently they thought was acceptable).  
That was almost four days ago.  I'm feeling slightly better, but still sickly.  My sugar is staying in the 300's, and even with corrections, I can't get it to budge.  I was using a pump to correct, changed sites, all that good stuff, but then when that wasn't working, I tried using good old-fashioned pens, and am still not seeing any results.
I feel like crap, and I am just at a loss as to what to do.  I'm drinking plenty of fluids and I know that's all the hospital would do for me, so I'd like to not go back there if I can help it.
Any advice?</t>
        </is>
      </c>
      <c r="D1650" t="n">
        <v>2</v>
      </c>
      <c r="E1650" t="n">
        <v>9</v>
      </c>
      <c r="F1650">
        <f>HYPERLINK("https://www.reddit.com/r/diabetes/comments/42dtbr/type_one_virus_wreaking_havoc/")</f>
        <v/>
      </c>
      <c r="G1650" t="inlineStr">
        <is>
          <t>2016-01-23 17:18:07</t>
        </is>
      </c>
      <c r="H1650" t="inlineStr">
        <is>
          <t>Type 1</t>
        </is>
      </c>
    </row>
    <row r="1651">
      <c r="A1651" t="inlineStr">
        <is>
          <t>42erk9</t>
        </is>
      </c>
      <c r="B1651" t="inlineStr">
        <is>
          <t>Keeping CGM clean</t>
        </is>
      </c>
      <c r="C1651" t="inlineStr">
        <is>
          <t xml:space="preserve">I'm just getting started with a Dexcom G5 and during my first attempt, the adhesive around my sensor got pretty nasty and was peeling off after a few days. I think the biggest issue for me was sweating on it (had it on my arm and was riding exercise bike).
Are there any products you use to keep it clean? I have seen a few YouTube videos where people cut holes in surgical pads to cover it, but wanted to get all of your perspectives. Thanks! </t>
        </is>
      </c>
      <c r="D1651" t="n">
        <v>5</v>
      </c>
      <c r="E1651" t="n">
        <v>6</v>
      </c>
      <c r="F1651">
        <f>HYPERLINK("https://www.reddit.com/r/diabetes/comments/42erk9/keeping_cgm_clean/")</f>
        <v/>
      </c>
      <c r="G1651" t="inlineStr">
        <is>
          <t>2016-01-23 21:44:46</t>
        </is>
      </c>
      <c r="H1651" t="inlineStr">
        <is>
          <t>Type 1</t>
        </is>
      </c>
    </row>
    <row r="1652">
      <c r="A1652" t="inlineStr">
        <is>
          <t>42imcl</t>
        </is>
      </c>
      <c r="B1652" t="inlineStr">
        <is>
          <t>Newly Diagnosed</t>
        </is>
      </c>
      <c r="C1652" t="inlineStr">
        <is>
          <t>Just got out of the hospital. Spent 3 days in the ICU. Didn't know I was a diabetic and just got diagnosed with an A1c of 12. 
I've been started on insulin, lantus at night and humalog with meals. 
I'm looking for anything that can help me keep my insulin injections and glucose checks straight. Can anybody point me in a good direction?</t>
        </is>
      </c>
      <c r="D1652" t="n">
        <v>5</v>
      </c>
      <c r="E1652" t="n">
        <v>5</v>
      </c>
      <c r="F1652">
        <f>HYPERLINK("https://www.reddit.com/r/diabetes/comments/42imcl/newly_diagnosed/")</f>
        <v/>
      </c>
      <c r="G1652" t="inlineStr">
        <is>
          <t>2016-01-24 16:21:54</t>
        </is>
      </c>
      <c r="H1652" t="inlineStr">
        <is>
          <t>Type 2</t>
        </is>
      </c>
    </row>
    <row r="1653">
      <c r="A1653" t="inlineStr">
        <is>
          <t>42mf83</t>
        </is>
      </c>
      <c r="B1653" t="inlineStr">
        <is>
          <t>Need some advice/help - Type 2/PCOS/Metformin</t>
        </is>
      </c>
      <c r="C1653" t="inlineStr">
        <is>
          <t>Hi there,
I'm new to posting on reddit but I've been lurking for years. I'm need some advice because I'm honestly afraid that I will die because of gross incompetence via gastrointestinal illness and metformin. TMI warnings because I do have to explain some of the weirdness I've been going through. 
Backing up, I was officially diagnosed with Type 2 diabetes in 2012, but I've had symptoms if insulin resistance since I was 10, circa the onset of my menstrual cycle with the appearance of a "dirty neck". In not going to get into how my dermatologist at that age was afraid to touch the velvety-dark skin and recommended that I needed to be more hygienic about my neck while he ignored my knees, elbows, underarms, fingers, and etc. Even in 2012, my doctor tested my fasting blood sugar with a meter and was dismissive of my 90ml until I told her my symptoms and she checked my A1C1 which was 6.2 and she placed me on metformin XR and told me to increase the dosage. I stayed on metformin, 1000mg 2x daily but I couldn't take it. I told her and she told me to decrease the dose to 1500 but still take it.
So, I stayed on metformin, going to the local clinic because my job didn't provide health insurance and supplies, meds, and doctor's visits add up, but in 2014 after months of testing and dismissiveness, I was diagnosed with PCOS by an endocrinologist. So their response? MORE METFORMIN! Back up to 1000 mg 2x day and it killed my stomach and I kept have sharp pains in my left side and pain in my back. 
Fast forwarding through my gallbladder removal because of massive stones, I'm back to the same thing: more pain, more nausea, more vomiting but with the addition of tingling numbness in my fingers and feet, shortness of breath, blurry vision, and terrible headaches. Today, I had the highest blood sugar I've ever had at 204ml fasting, headache, and nausea but very hungry and so fatigued that I've been falling asleep at work and as soon as I get home. I told my doc about my symptoms, and she checked my urine and found proteins and an elevated white blood cell count, but no bacteria (they never do) and the chest xray came back normal so my shortness of breath was dismissed. My WBC was elevated while my RBC, hemocrit, hemoglobin, and oxygen levels were quite low but these were dismissed as well. My A1C1 rose from a 6.1 in September to a 6.5 in December as well. :/
I dunno what to do so I'm hoping someone here knows something similar and what to do or an alternative to metformin because I think it's messing up my digestive tract and urinary tract.
Feel free to ask me questions or guide me because I've never had any issues with controlling my blood sugar or these wacky symptoms.</t>
        </is>
      </c>
      <c r="D1653" t="n">
        <v>9</v>
      </c>
      <c r="E1653" t="n">
        <v>9</v>
      </c>
      <c r="F1653">
        <f>HYPERLINK("https://www.reddit.com/r/diabetes/comments/42mf83/need_some_advicehelp_type_2pcosmetformin/")</f>
        <v/>
      </c>
      <c r="G1653" t="inlineStr">
        <is>
          <t>2016-01-25 09:06:23</t>
        </is>
      </c>
      <c r="H1653" t="inlineStr">
        <is>
          <t>Type 2</t>
        </is>
      </c>
    </row>
    <row r="1654">
      <c r="A1654" t="inlineStr">
        <is>
          <t>42mlxo</t>
        </is>
      </c>
      <c r="B1654" t="inlineStr">
        <is>
          <t>Going to Japan for a month, have a few questions.(T1)</t>
        </is>
      </c>
      <c r="C1654" t="inlineStr">
        <is>
          <t>So, I'm a 21 year old male in the USA, and I had the opportunity to go to japan for about a month(most of march). 
I use insulin pens(humalog and lantus), not a pump.
Do I need to do some sort of import form before going?
Also, can I call my doctor and ask for a bit of an "advance" in my prescription so I can make sure I have enough supplies?</t>
        </is>
      </c>
      <c r="D1654" t="n">
        <v>12</v>
      </c>
      <c r="E1654" t="n">
        <v>15</v>
      </c>
      <c r="F1654">
        <f>HYPERLINK("https://www.reddit.com/r/diabetes/comments/42mlxo/going_to_japan_for_a_month_have_a_few_questionst1/")</f>
        <v/>
      </c>
      <c r="G1654" t="inlineStr">
        <is>
          <t>2016-01-25 09:40:38</t>
        </is>
      </c>
      <c r="H1654" t="inlineStr">
        <is>
          <t>Type 1</t>
        </is>
      </c>
    </row>
    <row r="1655">
      <c r="A1655" t="inlineStr">
        <is>
          <t>42ppt4</t>
        </is>
      </c>
      <c r="B1655" t="inlineStr">
        <is>
          <t>Type 1. Weird question. Is anyone a surgeon or nurse?</t>
        </is>
      </c>
      <c r="C1655" t="inlineStr">
        <is>
          <t>I have an opportunity to get CNIM certified so that I can be an intraoperative neuromonitoring technician. From what I understand, this will require unpredictable and long hours, and 8-10 hour surgeries on occasion. Does anyone's jobs put them in this kind of situation? How do you last 10 hours without eating without your blood sugar dropping? Am I going to have to pass up this opportunity because of T1 diabetes?</t>
        </is>
      </c>
      <c r="D1655" t="n">
        <v>5</v>
      </c>
      <c r="E1655" t="n">
        <v>7</v>
      </c>
      <c r="F1655">
        <f>HYPERLINK("https://www.reddit.com/r/diabetes/comments/42ppt4/type_1_weird_question_is_anyone_a_surgeon_or_nurse/")</f>
        <v/>
      </c>
      <c r="G1655" t="inlineStr">
        <is>
          <t>2016-01-25 19:58:42</t>
        </is>
      </c>
      <c r="H1655" t="inlineStr">
        <is>
          <t>Type 1</t>
        </is>
      </c>
    </row>
    <row r="1656">
      <c r="A1656" t="inlineStr">
        <is>
          <t>42rwcn</t>
        </is>
      </c>
      <c r="B1656" t="inlineStr">
        <is>
          <t>T1 and school.</t>
        </is>
      </c>
      <c r="C1656" t="inlineStr">
        <is>
          <t xml:space="preserve">So I posted here before about needing encouragement, but now school is back in. I take care of my Diabetes more when I'm in school because I find it easier to not get distracted and forget. But, I feel like school just stressed me out more with my diabetes. Today will be the first day of not bring my own lunch and drink... I'm panicking.
How am I going to know how many carbs are in the food? They don't have anything as far as I know and I'm too embarrassed to ask if they have a sheet with nutrition facts or anything. Sure I can guess but what if I don't get it right and get too low? Ugh...
Can't skip lunch because that's around the time I get low. I'm sorry, I'm probably overreacting it's just I haven't eaten the schools food since finding out about my T1 and my dad said he'd call the school to ask, but never did.
I'm stupid, what should I do?
I'll try looking at the schools website but I'm too embarrassed to ask around in front of my class mates. What if they ask why do I need it? Ugh... sorry anxiety.
Can anyone help?    </t>
        </is>
      </c>
      <c r="D1656" t="n">
        <v>4</v>
      </c>
      <c r="E1656" t="n">
        <v>13</v>
      </c>
      <c r="F1656">
        <f>HYPERLINK("https://www.reddit.com/r/diabetes/comments/42rwcn/t1_and_school/")</f>
        <v/>
      </c>
      <c r="G1656" t="inlineStr">
        <is>
          <t>2016-01-26 07:15:22</t>
        </is>
      </c>
      <c r="H1656" t="inlineStr">
        <is>
          <t>Type 1</t>
        </is>
      </c>
    </row>
    <row r="1657">
      <c r="A1657" t="inlineStr">
        <is>
          <t>42rzq8</t>
        </is>
      </c>
      <c r="B1657" t="inlineStr">
        <is>
          <t>Dosing advice for switching from Lantus to Tresiba</t>
        </is>
      </c>
      <c r="C1657" t="inlineStr">
        <is>
          <t xml:space="preserve">So my endois OK with me switching to Tresiba, but hasn't really given me guidelines for dosing.  I assume because Tresiba lasts longer and doses will stack, that less will be used (for daily injection).
Can anyone advise?  Obviously I'm not just going to do inject any amount that's advised - will run it by him first.  I'm currently on 34U lantus once daily.  Thanks.
</t>
        </is>
      </c>
      <c r="D1657" t="n">
        <v>2</v>
      </c>
      <c r="E1657" t="n">
        <v>8</v>
      </c>
      <c r="F1657">
        <f>HYPERLINK("https://www.reddit.com/r/diabetes/comments/42rzq8/dosing_advice_for_switching_from_lantus_to_tresiba/")</f>
        <v/>
      </c>
      <c r="G1657" t="inlineStr">
        <is>
          <t>2016-01-26 07:34:06</t>
        </is>
      </c>
      <c r="H1657" t="inlineStr">
        <is>
          <t>Type 1</t>
        </is>
      </c>
    </row>
    <row r="1658">
      <c r="A1658" t="inlineStr">
        <is>
          <t>42sljq</t>
        </is>
      </c>
      <c r="B1658" t="inlineStr">
        <is>
          <t>Got my A1c results back after 3 months of Keto</t>
        </is>
      </c>
      <c r="C1658" t="inlineStr">
        <is>
          <t xml:space="preserve">I've gone from an A1c of 7.1 to one of 5.7!!!!! My triglycerides are also down as well, and I'm down 7 pounds from my Dr visit last month. I'm pretty sure Reddit and the interwebs have saved my life. I wouldn't have heard about Keto without visiting Reddit. </t>
        </is>
      </c>
      <c r="D1658" t="n">
        <v>42</v>
      </c>
      <c r="E1658" t="n">
        <v>15</v>
      </c>
      <c r="F1658">
        <f>HYPERLINK("https://www.reddit.com/r/diabetes/comments/42sljq/got_my_a1c_results_back_after_3_months_of_keto/")</f>
        <v/>
      </c>
      <c r="G1658" t="inlineStr">
        <is>
          <t>2016-01-26 09:30:46</t>
        </is>
      </c>
      <c r="H1658" t="inlineStr">
        <is>
          <t>Type 2</t>
        </is>
      </c>
    </row>
    <row r="1659">
      <c r="A1659" t="inlineStr">
        <is>
          <t>42t98a</t>
        </is>
      </c>
      <c r="B1659" t="inlineStr">
        <is>
          <t>Newly diagnosed... Meds?</t>
        </is>
      </c>
      <c r="C1659" t="inlineStr">
        <is>
          <t>So I was newly diagnosed with T2 just after Christmas after a shitty stay at the hospital due to high glucose reading and a bad infection (was now in my blood apparently).
Once released I was put on a bit of stuff...
* Metformin (2x twice daily) [Switching to Janumet once done]
* Januvia (1x twice daily) [Switching to Janumet once done]
* Jardiance (1x daily)
* 8 units Fast-Acting insulin for meals (with sliding scale)
* 20 units of Lantus before bed
Tests showed me A1C was apparently high at 11.7% which they've told me that means my glucose levels were on average 14 mmol/l every day.
I've radically changed how I eat and now try to exercise daily. I've lost over 30 lbs in about a month and feel amazing. My glucose readings for the past 3 weeks have been between 4 and 6.
I no longer use the meal-time insulin and am now lowered to 5 units of lantus at bedtime for the next week then was told I could drop it if my numbers stay good.
Is it just me or does that seem excessive for meds after being first diagnosed? My mother was started on metformin and one other pill when she was diagnosed. One of our employees had worse glucose readings than me and is just on metformin!
Anyone else ever get prescribed a lot at first diagnosis?
Sucks since my insurance doesn't cover Januvia/Janumet ($188 CAD for 4 weeks worth, trying to get it "authorized" by my insurance) or Jardiance (Did get the "free year" supply, wonder if it will be added to my insurances plan once it's up, it's over $300 CAD per month)</t>
        </is>
      </c>
      <c r="D1659" t="n">
        <v>3</v>
      </c>
      <c r="E1659" t="n">
        <v>7</v>
      </c>
      <c r="F1659">
        <f>HYPERLINK("https://www.reddit.com/r/diabetes/comments/42t98a/newly_diagnosed_meds/")</f>
        <v/>
      </c>
      <c r="G1659" t="inlineStr">
        <is>
          <t>2016-01-26 11:38:40</t>
        </is>
      </c>
      <c r="H1659" t="inlineStr">
        <is>
          <t>Type 2</t>
        </is>
      </c>
    </row>
    <row r="1660">
      <c r="A1660" t="inlineStr">
        <is>
          <t>42ura3</t>
        </is>
      </c>
      <c r="B1660" t="inlineStr">
        <is>
          <t>Burnout that isn't really burnout?</t>
        </is>
      </c>
      <c r="C1660" t="inlineStr">
        <is>
          <t>Does anyone else test regularly, always bolus, make sure their basal rates work, consistently have an A1C below 6.5, etc. but just have a huge amount of mental and emotional stress that never goes away?
On the surface, I seem like I'm doing fine. Good numbers and I eat whatever I want; what's to complain about? And I wouldn't consider letting my health fail, so I can't really call this burnout.
But I'm depressed and I've withdrawn from society. I hate living like this. I can't relate to anyone around me and I'm tired of hearing about their relatively tame problems while my immune system does its best to kill me. This isn't my only autoimmune disorder, even, but it's the most annoying one. It's just so constant. I feel like my life is devoted to managing this stupid disease. It doesn't take much of my actual time, but it takes all of my mental energy. I'm tired of thinking about the concentration of chemicals in my blood at all hours of the day. I'm tired of working on a project and having to put it to the side for 15 minutes to go drink orange juice. I feel like I can't truly start living again until it's cured, and I feel like it won't be cured within my lifetime. I don't even want to have friends because they don't understand what it's like to have chronic illnesses and it feels like I'm living in a different world from them. My management is good, but at what cost? I'm miserable. At the same time, I'm too afraid of ending up in the hospital to let it go and stop trying, so I'm just in some awkward in-between place where I keep going through the motions because I know that I have to but all I want to do is take a long-ass nap and forget about it.</t>
        </is>
      </c>
      <c r="D1660" t="n">
        <v>4</v>
      </c>
      <c r="E1660" t="n">
        <v>8</v>
      </c>
      <c r="F1660">
        <f>HYPERLINK("https://www.reddit.com/r/diabetes/comments/42ura3/burnout_that_isnt_really_burnout/")</f>
        <v/>
      </c>
      <c r="G1660" t="inlineStr">
        <is>
          <t>2016-01-26 16:41:27</t>
        </is>
      </c>
      <c r="H1660" t="inlineStr">
        <is>
          <t>Type 1</t>
        </is>
      </c>
    </row>
    <row r="1661">
      <c r="A1661" t="inlineStr">
        <is>
          <t>42w1np</t>
        </is>
      </c>
      <c r="B1661" t="inlineStr">
        <is>
          <t>For the first time in 21 years, my A1C is under 9.</t>
        </is>
      </c>
      <c r="C1661" t="inlineStr">
        <is>
          <t>I know, I should be aiming for like 5 or 6, but I'm really proud of the 8.6 I just got back with. Little steps.</t>
        </is>
      </c>
      <c r="D1661" t="n">
        <v>85</v>
      </c>
      <c r="E1661" t="n">
        <v>66</v>
      </c>
      <c r="F1661">
        <f>HYPERLINK("https://www.reddit.com/r/diabetes/comments/42w1np/for_the_first_time_in_21_years_my_a1c_is_under_9/")</f>
        <v/>
      </c>
      <c r="G1661" t="inlineStr">
        <is>
          <t>2016-01-26 21:45:21</t>
        </is>
      </c>
      <c r="H1661" t="inlineStr">
        <is>
          <t>Type 1</t>
        </is>
      </c>
    </row>
    <row r="1662">
      <c r="A1662" t="inlineStr">
        <is>
          <t>42xybn</t>
        </is>
      </c>
      <c r="B1662" t="inlineStr">
        <is>
          <t>Type 1 - Personal Micro Study on Splenda v. Truvia</t>
        </is>
      </c>
      <c r="C1662" t="inlineStr">
        <is>
          <t>So my endo had previously suggested I make the shift from Splenda to Truvia- and I tried, but hated it, and never made the shift- that was years back. I thought of it again recently- with the advent of my new found control and good stuff and gave it a shot, and it's pretty O.K.  I prefer splenda- it is sweeter, and I like the sweet (sweet tooth, guilty.) - but I have noticed that it does spike my blood sugar.  
Particularly, in a micro study (that I didn't intend to do) that is far from scientific- the past two days, I was out to work (new job) early- and ended up having coffee out of the house- and only had splenda available- so I put one packet in the cup- each day. And each day I had a spike in my blood sugar. So, I think that's my definitive answer as to if I need to really switch over. (And/Or make a preventive bolus for my coffee- which I would prefer not to do, since I'm supposed to be eating low carb, so my alleged low carb sweetener making me bolus is counter productive.)  
Anyone else have any experience in this area? Thoughts? Feelings? Hugs?</t>
        </is>
      </c>
      <c r="D1662" t="n">
        <v>1</v>
      </c>
      <c r="E1662" t="n">
        <v>13</v>
      </c>
      <c r="F1662">
        <f>HYPERLINK("https://www.reddit.com/r/diabetes/comments/42xybn/type_1_personal_micro_study_on_splenda_v_truvia/")</f>
        <v/>
      </c>
      <c r="G1662" t="inlineStr">
        <is>
          <t>2016-01-27 07:29:32</t>
        </is>
      </c>
      <c r="H1662" t="inlineStr">
        <is>
          <t>Type 1</t>
        </is>
      </c>
    </row>
    <row r="1663">
      <c r="A1663" t="inlineStr">
        <is>
          <t>42yn4a</t>
        </is>
      </c>
      <c r="B1663" t="inlineStr">
        <is>
          <t>(T1) (26F) Does anyone know about PAD?</t>
        </is>
      </c>
      <c r="C1663" t="inlineStr">
        <is>
          <t xml:space="preserve">Hey guys. 26F T1 for almost 14 years now. for the first ~5 years I struggled with adequately caring for myself as I was raised by a single mother who was always working/never really took the time to understand how to care for a diabetic child. Additionally, I didn't care/know any better as I had a shitty endocrinologist who literally never informed me this was unacceptable. Fast forward to the past 9 years of my life, I take relatively good care of myself, A1C usually hovers around 7. Over the years (and I've noticed it progressively worsening), I get these horrible pains in my calves while walking fast or doing strenuous/aggressive exercise. The pain is sort of like an intense cramping, yet not a "charlie horse" type of cramp. After a nice little googling session, I stumbled upon a self-diagnosis of Peripheral Artery Disease, which I also learned is prevalent in diabetics. Does anyone here have any experience with this? What is it caused by/how can I remedy it without more medication or surgery? Is it neurological? Should I be scared? Halp! </t>
        </is>
      </c>
      <c r="D1663" t="n">
        <v>2</v>
      </c>
      <c r="E1663" t="n">
        <v>2</v>
      </c>
      <c r="F1663">
        <f>HYPERLINK("https://www.reddit.com/r/diabetes/comments/42yn4a/t1_26f_does_anyone_know_about_pad/")</f>
        <v/>
      </c>
      <c r="G1663" t="inlineStr">
        <is>
          <t>2016-01-27 09:48:03</t>
        </is>
      </c>
      <c r="H1663" t="inlineStr">
        <is>
          <t>Type 1</t>
        </is>
      </c>
    </row>
    <row r="1664">
      <c r="A1664" t="inlineStr">
        <is>
          <t>431kcm</t>
        </is>
      </c>
      <c r="B1664" t="inlineStr">
        <is>
          <t>Just diagnosed Dec. 30th. (type 1)</t>
        </is>
      </c>
      <c r="C1664" t="inlineStr">
        <is>
          <t>Greetings r/diabetes. First post here. 
I'm 30 years old. Been a whirlwind of activity. Haven't had a lot of time to figure it all out. I don't have much to say. Just feeling down about it all. 
I guess I'd love some tips, or a "here's what to expect." If you're feeling generous.</t>
        </is>
      </c>
      <c r="D1664" t="n">
        <v>26</v>
      </c>
      <c r="E1664" t="n">
        <v>66</v>
      </c>
      <c r="F1664">
        <f>HYPERLINK("https://www.reddit.com/r/diabetes/comments/431kcm/just_diagnosed_dec_30th_type_1/")</f>
        <v/>
      </c>
      <c r="G1664" t="inlineStr">
        <is>
          <t>2016-01-27 19:56:14</t>
        </is>
      </c>
      <c r="H1664" t="inlineStr">
        <is>
          <t>Type 1</t>
        </is>
      </c>
    </row>
    <row r="1665">
      <c r="A1665" t="inlineStr">
        <is>
          <t>434290</t>
        </is>
      </c>
      <c r="B1665" t="inlineStr">
        <is>
          <t>Insulin resistance or "Where did those 2u go?"</t>
        </is>
      </c>
      <c r="C1665" t="inlineStr">
        <is>
          <t>Had a bit of a rough go with some dawn phenomenon this morning. First time in a couple weeks.
At 220 I hit up 2u of correction (~1u per 50pts). Those 2u only dropped me about 50pts instead of the 100 I expected.
So does anyone have good information on what insulin resistance is, or how it works? Why 1 day 220--&amp;gt;120 with 2u is a breeze, but other days it's not?
I've been looking at my CGM waiting for the drop and wondering "where did those 2u go?"</t>
        </is>
      </c>
      <c r="D1665" t="n">
        <v>1</v>
      </c>
      <c r="E1665" t="n">
        <v>7</v>
      </c>
      <c r="F1665">
        <f>HYPERLINK("https://www.reddit.com/r/diabetes/comments/434290/insulin_resistance_or_where_did_those_2u_go/")</f>
        <v/>
      </c>
      <c r="G1665" t="inlineStr">
        <is>
          <t>2016-01-28 08:39:13</t>
        </is>
      </c>
      <c r="H1665" t="inlineStr">
        <is>
          <t>Type 1</t>
        </is>
      </c>
    </row>
    <row r="1666">
      <c r="A1666" t="inlineStr">
        <is>
          <t>434egk</t>
        </is>
      </c>
      <c r="B1666" t="inlineStr">
        <is>
          <t>Fucked up for many years in my youth. Finally trying to take care of my diabetes the way I should be. Minor "shadowy" spots in vision. Once retinopathy stars is it possible to stop, or did I fuck myself over and it's set in stone that I'm going to go blind now?</t>
        </is>
      </c>
      <c r="C1666" t="inlineStr">
        <is>
          <t>Title says it all.
I also wear glasses now, just got them in the last year.  The "shadowy spots" really worry me though.  They're not that noticeable, but I can tell they're there when I move my eyes around or when I look at a white space.  
Am I fucked?  Feeling pretty anxious &amp;amp; depressed about this.</t>
        </is>
      </c>
      <c r="D1666" t="n">
        <v>21</v>
      </c>
      <c r="E1666" t="n">
        <v>41</v>
      </c>
      <c r="F1666">
        <f>HYPERLINK("https://www.reddit.com/r/diabetes/comments/434egk/fucked_up_for_many_years_in_my_youth_finally/")</f>
        <v/>
      </c>
      <c r="G1666" t="inlineStr">
        <is>
          <t>2016-01-28 09:50:12</t>
        </is>
      </c>
      <c r="H1666" t="inlineStr">
        <is>
          <t>Type 1</t>
        </is>
      </c>
    </row>
    <row r="1667">
      <c r="A1667" t="inlineStr">
        <is>
          <t>4359d6</t>
        </is>
      </c>
      <c r="B1667" t="inlineStr">
        <is>
          <t>Retinopaty celebration</t>
        </is>
      </c>
      <c r="C1667" t="inlineStr">
        <is>
          <t>For my upcoming 40th anniversary in April, I went to the optometrist this morning, where I had lovely portraits taken of the insides of my eyes. She pointed out 2 tiny dots in my right eye, and said it was technically diabetic retinopathy. She thought my body shuld be able to repair it and we'll take another picture in a year and compare.
To celebrate, I had a bagel and arnold palmer for lunch, and then took a thousand units of Novolog to compensate.</t>
        </is>
      </c>
      <c r="D1667" t="n">
        <v>7</v>
      </c>
      <c r="E1667" t="n">
        <v>6</v>
      </c>
      <c r="F1667">
        <f>HYPERLINK("https://www.reddit.com/r/diabetes/comments/4359d6/retinopaty_celebration/")</f>
        <v/>
      </c>
      <c r="G1667" t="inlineStr">
        <is>
          <t>2016-01-28 12:48:27</t>
        </is>
      </c>
      <c r="H1667" t="inlineStr">
        <is>
          <t>Type 1</t>
        </is>
      </c>
    </row>
    <row r="1668">
      <c r="A1668" t="inlineStr">
        <is>
          <t>435u53</t>
        </is>
      </c>
      <c r="B1668" t="inlineStr">
        <is>
          <t>No nutrition info</t>
        </is>
      </c>
      <c r="C1668" t="inlineStr">
        <is>
          <t>How do you guys estimate how much to inject to a X amount of food and you have no idea how much carbs there are, pretty much like a cafeteria in a school etc, I try to count it right but a couple of hours later its like 18 mmol its fucking crazy even though I even kind of "overshot" the dosage, send help</t>
        </is>
      </c>
      <c r="D1668" t="n">
        <v>7</v>
      </c>
      <c r="E1668" t="n">
        <v>13</v>
      </c>
      <c r="F1668">
        <f>HYPERLINK("https://www.reddit.com/r/diabetes/comments/435u53/no_nutrition_info/")</f>
        <v/>
      </c>
      <c r="G1668" t="inlineStr">
        <is>
          <t>2016-01-28 14:51:11</t>
        </is>
      </c>
      <c r="H1668" t="inlineStr">
        <is>
          <t>Type 1</t>
        </is>
      </c>
    </row>
    <row r="1669">
      <c r="A1669" t="inlineStr">
        <is>
          <t>437pyr</t>
        </is>
      </c>
      <c r="B1669" t="inlineStr">
        <is>
          <t>BMI of 17, doctors won't consider LADA</t>
        </is>
      </c>
      <c r="C1669" t="inlineStr">
        <is>
          <t>I don't even know what to do at this point. They emphatically talked down to me and insisted that "in my clinical experience, you have type 2 diabetes"... they also said that they couldn't run a c-peptide or antibody test in the ER... of course, I asked them how they could diagnose me specifically with type 2 without a definitive test and their response was "because adult"... not literally, but I gave my exact same details to them but said "if I were a child, you'd say type 1 right away" and they agreed.
I've already suffered my entire life with chronic major depressive disorder and PTSD from years of psychological abuse growing up, and now I'm just so frustrated, I almost feel like giving up before I've even started...
Further details: first hint something was wrong: lethargy caused me to sleep through the morning one day, boss calls me up furious, I'm upset, I end up with a depressive crisis, and go to the psych ER. Nurse comes in after blood draws and is upset that I'm not taking care of my diabetes, to which, I'm all "huh? wha?" ~450 mg/dL BG on that test, ~350 finger prick, taken to ER/ICU/something where they can watch my BG levels.
Kind person taking care of me and who gives me my diagnosis says he has type 1 diabetes ALSO, and that he's pretty sure that I have type 1 diabetes. Get a follow up for two weeks later. Spend the whole two weeks hovering around 250, never going below 179, had to get a BGM on my own initiation (no one told me to get one or monitor my levels), later learn about ketosis and that stuff, order those.
Have follow up, they slap "Type 2" on the paper and send me off with a Rx for Metformin. I get home, my ketone sticks have arrived, the strip instantly turns the darkest color upon contact with urine... no "wait EXACTLY 15 seconds for results", BAM! Off the chart.
Read that metformin can increase risk of lactic acidosis, and I'm already heavily in ketosis, so, what the hell? Talk to pharmacist about it, she's stumped why they would have prescribed it, so I'm left wondering what the hell to do, see a doctor, or just wing it, so I did the sensible thing: saw a doctor.
Arrive at ER tell them about my ketone strip, but I'm not presenting with classic ketoacidosis symptoms, so three hours later, I'm looked at, and all I get is a doctor telling me that I'm full of bogus information and that he's positive that I have type 2... you know, except for having none of the risk factors...
If there were a case study that looked at a person with LADA, I would match that study perfect... OH WAIT! I found a case study of a woman with LADA, and all of her lab results were EXACTLY LIKE MINE...
I'm a freaking LADA textbook example, and they're telling me that I shouldn't trust what I'm reading on the internet, and I'm like A CASE STUDY?! FROM A PEER-REVIEWED JOURNAL?!
I don't know... I just... don't know anymore. I've stopped being able to even.</t>
        </is>
      </c>
      <c r="D1669" t="n">
        <v>6</v>
      </c>
      <c r="E1669" t="n">
        <v>40</v>
      </c>
      <c r="F1669">
        <f>HYPERLINK("https://www.reddit.com/r/diabetes/comments/437pyr/bmi_of_17_doctors_wont_consider_lada/")</f>
        <v/>
      </c>
      <c r="G1669" t="inlineStr">
        <is>
          <t>2016-01-28 22:51:05</t>
        </is>
      </c>
      <c r="H1669" t="inlineStr">
        <is>
          <t>Type 1.5/LADA</t>
        </is>
      </c>
    </row>
    <row r="1670">
      <c r="A1670" t="inlineStr">
        <is>
          <t>438qf6</t>
        </is>
      </c>
      <c r="B1670" t="inlineStr">
        <is>
          <t>Type 1 diabetic taking creatine as a workout supplement. Good idea or not?</t>
        </is>
      </c>
      <c r="C1670" t="inlineStr">
        <is>
          <t>I have been taking small doses of creatine for a few weeks now and have noticed markedly lower average blood sugars. Some studies confirm that creatine can help diabetics control their blood sugars. Not sure if this is a good idea or if I am walking too close to the edge of dangerous hypoglycemia. Does anyone have any experience?</t>
        </is>
      </c>
      <c r="D1670" t="n">
        <v>20</v>
      </c>
      <c r="E1670" t="n">
        <v>15</v>
      </c>
      <c r="F1670">
        <f>HYPERLINK("https://www.reddit.com/r/diabetes/comments/438qf6/type_1_diabetic_taking_creatine_as_a_workout/")</f>
        <v/>
      </c>
      <c r="G1670" t="inlineStr">
        <is>
          <t>2016-01-29 05:14:48</t>
        </is>
      </c>
      <c r="H1670" t="inlineStr">
        <is>
          <t>Type 1</t>
        </is>
      </c>
    </row>
    <row r="1671">
      <c r="A1671" t="inlineStr">
        <is>
          <t>43hp2e</t>
        </is>
      </c>
      <c r="B1671" t="inlineStr">
        <is>
          <t>T2 diabetics, what was your most frightening diabetes experience?</t>
        </is>
      </c>
      <c r="C1671" t="inlineStr">
        <is>
          <t xml:space="preserve">Hey guys! I'm a product design student and T2 diabetic researching the beast that is diabetic lifestyle management. Over the next few months, I will be developing a product to help us stay on track. In the meantime, I'm collecting information from diabetics far and wide to understand our strengths and weaknesses, successes and failures. (In fact, I have a short, 9-question survey here if you want to help even more: https://www.surveymonkey.com/r/GX6PFMR )
With that said, what was your scariest diabetes experience? For me, it was a time when I accidentally drank and entire liter of regular Pepsi. I had meant to grab Pepsi Max (or whatever their manly version of diet Pepsi is called) but somehow ended up with a regular. I was tossing the bottle in the trash when I noticed the label--and the lack of the word, "diet". I ran home in a panic thinking I would need to head for the hospital. I tested my blood sugar every 20 minutes for the next four hours, but shockingly it never climbed above 140. This is very strange because 2 slices of pizza once put me at 240. What were your most frightening moments? </t>
        </is>
      </c>
      <c r="D1671" t="n">
        <v>0</v>
      </c>
      <c r="E1671" t="n">
        <v>20</v>
      </c>
      <c r="F1671">
        <f>HYPERLINK("https://www.reddit.com/r/diabetes/comments/43hp2e/t2_diabetics_what_was_your_most_frightening/")</f>
        <v/>
      </c>
      <c r="G1671" t="inlineStr">
        <is>
          <t>2016-01-30 20:23:52</t>
        </is>
      </c>
      <c r="H1671" t="inlineStr">
        <is>
          <t>Type 2</t>
        </is>
      </c>
    </row>
    <row r="1672">
      <c r="A1672" t="inlineStr">
        <is>
          <t>43i6d2</t>
        </is>
      </c>
      <c r="B1672" t="inlineStr">
        <is>
          <t>So I just got the diagnosis yesterday</t>
        </is>
      </c>
      <c r="C1672" t="inlineStr">
        <is>
          <t>Its been odd since I was told. I haven't gotten the call to go to the nutritionist so I'm frustrated at the moment. I'm actually afraid of food right and the only reason I was able to eat was because my wife convinced me to. Hopefully once I'm told what I can and can't eat things will get better. Any help would be appreciated.</t>
        </is>
      </c>
      <c r="D1672" t="n">
        <v>1</v>
      </c>
      <c r="E1672" t="n">
        <v>2</v>
      </c>
      <c r="F1672">
        <f>HYPERLINK("https://www.reddit.com/r/diabetes/comments/43i6d2/so_i_just_got_the_diagnosis_yesterday/")</f>
        <v/>
      </c>
      <c r="G1672" t="inlineStr">
        <is>
          <t>2016-01-30 23:05:40</t>
        </is>
      </c>
      <c r="H1672" t="inlineStr">
        <is>
          <t>Type 2</t>
        </is>
      </c>
    </row>
    <row r="1673">
      <c r="A1673" t="inlineStr">
        <is>
          <t>43j2p0</t>
        </is>
      </c>
      <c r="B1673" t="inlineStr">
        <is>
          <t>Am I in the honeymoon phase?</t>
        </is>
      </c>
      <c r="C1673" t="inlineStr">
        <is>
          <t xml:space="preserve">I'm 23 years old and have been diagnosed with T1 in the last week of 2015. At the day of diagnosis I was admitted to intensity care wth 39.6 mmol/L, where they pumped me full of insulin and brought my weight back to normal (I lost 7kg in a few months). I stayed in the hospital for 9 days and was released with instructions to dose 10U of Lantus, 10U Novorapid before breakfast and 8U before lunch and dinner. Since then, I brought my dosage down to 7U Lantus and around 6U before meals, depending on the size of the meal. My ratio right now is 15-16 g/U and my glucose levels seem to be normalizing and everything is going quite well actually.
My question, is this the honeymoon phase and will controlling my glucose levels get tougher over time? I'm currently monitoring my carb intake and writing down every meal as I'm supposed to and right now it seems to be working. Thank god for apps. But this stage feels like a calm before the sugar roller-coaster.  </t>
        </is>
      </c>
      <c r="D1673" t="n">
        <v>1</v>
      </c>
      <c r="E1673" t="n">
        <v>4</v>
      </c>
      <c r="F1673">
        <f>HYPERLINK("https://www.reddit.com/r/diabetes/comments/43j2p0/am_i_in_the_honeymoon_phase/")</f>
        <v/>
      </c>
      <c r="G1673" t="inlineStr">
        <is>
          <t>2016-01-31 05:38:10</t>
        </is>
      </c>
      <c r="H1673" t="inlineStr">
        <is>
          <t>Type 1</t>
        </is>
      </c>
    </row>
    <row r="1674">
      <c r="A1674" t="inlineStr">
        <is>
          <t>43j4dv</t>
        </is>
      </c>
      <c r="B1674" t="inlineStr">
        <is>
          <t>I can't control my BG while working out..</t>
        </is>
      </c>
      <c r="C1674" t="inlineStr">
        <is>
          <t xml:space="preserve">Hi, 
I've started working out about a week ago and noticed that I can't keep my BG on a reasonable level. Even when I eat a bit without bolus and turn down my basal to 40% I still end up waaaaay too low. 
I already contacted my doctor but figured advise would never hurt. 
So, if anyone has any advise, I'd love to hear it!
EDIT, because [this](https://www.reddit.com/r/diabetes/comments/43j4dv/i_cant_control_my_bg_while_working_out/czj08mr) makes sense:
Age: 20  
Weight: Around 200 pounds (90 kg)  
Treatment: pump for the past 6 years, no CGM  
I use about 60 units of insulin (Novo Rapid) per day
</t>
        </is>
      </c>
      <c r="D1674" t="n">
        <v>21</v>
      </c>
      <c r="E1674" t="n">
        <v>30</v>
      </c>
      <c r="F1674">
        <f>HYPERLINK("https://www.reddit.com/r/diabetes/comments/43j4dv/i_cant_control_my_bg_while_working_out/")</f>
        <v/>
      </c>
      <c r="G1674" t="inlineStr">
        <is>
          <t>2016-01-31 05:52:56</t>
        </is>
      </c>
      <c r="H1674" t="inlineStr">
        <is>
          <t>Type 1</t>
        </is>
      </c>
    </row>
    <row r="1675">
      <c r="A1675" t="inlineStr">
        <is>
          <t>43jewj</t>
        </is>
      </c>
      <c r="B1675" t="inlineStr">
        <is>
          <t>Normal level of blood ketones? (T1)</t>
        </is>
      </c>
      <c r="C1675" t="inlineStr">
        <is>
          <t>I was pretty sick for the first few weeks of January (even ended up in the ER) but I am feeling mostly better at this point. However, I'm still noticing that my blood ketones are in the 0.2-0.3 range (mmol/L), which is in the "green" range on my Nova Max meter. I almost never test blood ketones unless I'm really high or sick (the strips are expensive), so I'm not quite sure if this is normal. I do tend to eat pretty low carb (&amp;lt;60g/day). Do others normally have some low amount of ketones in their blood?</t>
        </is>
      </c>
      <c r="D1675" t="n">
        <v>1</v>
      </c>
      <c r="E1675" t="n">
        <v>4</v>
      </c>
      <c r="F1675">
        <f>HYPERLINK("https://www.reddit.com/r/diabetes/comments/43jewj/normal_level_of_blood_ketones_t1/")</f>
        <v/>
      </c>
      <c r="G1675" t="inlineStr">
        <is>
          <t>2016-01-31 07:21:18</t>
        </is>
      </c>
      <c r="H1675" t="inlineStr">
        <is>
          <t>Type 1</t>
        </is>
      </c>
    </row>
    <row r="1676">
      <c r="A1676" t="inlineStr">
        <is>
          <t>43kull</t>
        </is>
      </c>
      <c r="B1676" t="inlineStr">
        <is>
          <t>T2 Diabetics, how do you motivate yourself to keep your health on track?</t>
        </is>
      </c>
      <c r="C1676" t="inlineStr">
        <is>
          <t>I've been fighting my diabetes and my weight for a number of years, and I'm a classic yo-yo dieter. I've been doing a lot of self reflection and I realize that when I'm under stress, I don't take good care of my body. This has been really helpful in recognizing scenarios that make me fail, and also added resistance against my terrible carb cravings. In the past I have jumped into lifestyle improvement with full gusto, and would lose 15-20 lbs in 2 or 3 months. Inevitably, I would return to the bad habits and gain it all back plus 5 lbs. This time I'm trying something different. I'm making small rules about how I eat, and slowly integrating them into my diet as I accomplish the latest one. The idea is to build good habits rather than deprive myself. So far, the rules are as follows: no snacking (by far the hardest one), only eat out 3x per week (my bf and I have 12+ hr work days, so it's pretty tough to cook on a regular basis), one treat per week, eat fruits for dessert, double the veggies in any meal, weigh myself regularly, and measure out my carb portions with measuring cups. Once I get in the habit of measuring my carb portions, I want to add two walks per week to my schedule and start going to bed before 11PM. 
Just writing those out, it seems like a lot of rules. Since I made them over time, however, it has actually been pretty manageable. I've only been doing this for the month of January, and I've lost 2 lbs. For now, I'm happy simply maintaining my weight and I suspect it will start falling in a month or two (especially since I plan to add more exercise).
So what do you guys do to keep your health on track? I like to imagine going to the beach wearing a bikini. I have manged to avoid bathing suits since my sophomore year of high school because of my weight, so the idea of soaking up rays in confidence is really exciting. What long term goals keep you oriented and what strategies help you reach them?</t>
        </is>
      </c>
      <c r="D1676" t="n">
        <v>17</v>
      </c>
      <c r="E1676" t="n">
        <v>32</v>
      </c>
      <c r="F1676">
        <f>HYPERLINK("https://www.reddit.com/r/diabetes/comments/43kull/t2_diabetics_how_do_you_motivate_yourself_to_keep/")</f>
        <v/>
      </c>
      <c r="G1676" t="inlineStr">
        <is>
          <t>2016-01-31 12:49:30</t>
        </is>
      </c>
      <c r="H1676" t="inlineStr">
        <is>
          <t>Type 2</t>
        </is>
      </c>
    </row>
    <row r="1677">
      <c r="A1677" t="inlineStr">
        <is>
          <t>43lkw3</t>
        </is>
      </c>
      <c r="B1677" t="inlineStr">
        <is>
          <t>Scholarships for Summer Camps?</t>
        </is>
      </c>
      <c r="C1677" t="inlineStr">
        <is>
          <t xml:space="preserve">Hey all - my ten year old nephew is T1, as is his father. My nephew was diagnosed when he was 3. He's super smart and his teacher nominated him for the Pathways to STEM Leadership Conference. My sister doesn't feel comfortable letting him go on his own, and wants to stay nearby in case he needs anything. The camp is already out of their price range, but he really wants to go. 
I've done some research on the scholarships through the camp, and he has to have registered to even access them. Other scholarships seem to be for conferences or for college. 
Does anyone here know of any scholarship organizations for kids with T1 who want to go to a summer camp? </t>
        </is>
      </c>
      <c r="D1677" t="n">
        <v>2</v>
      </c>
      <c r="E1677" t="n">
        <v>2</v>
      </c>
      <c r="F1677">
        <f>HYPERLINK("https://www.reddit.com/r/diabetes/comments/43lkw3/scholarships_for_summer_camps/")</f>
        <v/>
      </c>
      <c r="G1677" t="inlineStr">
        <is>
          <t>2016-01-31 15:29:53</t>
        </is>
      </c>
      <c r="H1677" t="inlineStr">
        <is>
          <t>Type 1</t>
        </is>
      </c>
    </row>
    <row r="1678">
      <c r="A1678" t="inlineStr">
        <is>
          <t>43m6de</t>
        </is>
      </c>
      <c r="B1678" t="inlineStr">
        <is>
          <t>T2/Newly diagnosed, confused</t>
        </is>
      </c>
      <c r="C1678" t="inlineStr">
        <is>
          <t>Hello all. 
I was just diagnosed with diabetes ( type 2, I assume. My meeting with the doctor is tomorrow) But, I have some questions that maybe you all can help me with, maybe not.
My A1c is 8.2, and my sugars have been really high all this weekend, even watching what I eat. I know that a weekend isn't enough to really tell too much, but if I'm eating what I considering mostly reasonably, and my sugar is still so high, am I a good candidate for skipping over all the pills and playing the Medicine Game and going straight to insulin? I'd actually prefer that. 
Also, if my sugar is so out of whack, and my eating times/ sleep patterns are odd ( I work third shift, run 1st shift on my days off, and frequently don't get a lot of sleep due to having to run my daughter to appointments.) is that another injection check mark?
Thanks for any help that you can give! Have a good one. :)</t>
        </is>
      </c>
      <c r="D1678" t="n">
        <v>1</v>
      </c>
      <c r="E1678" t="n">
        <v>9</v>
      </c>
      <c r="F1678">
        <f>HYPERLINK("https://www.reddit.com/r/diabetes/comments/43m6de/t2newly_diagnosed_confused/")</f>
        <v/>
      </c>
      <c r="G1678" t="inlineStr">
        <is>
          <t>2016-01-31 17:45:30</t>
        </is>
      </c>
      <c r="H1678" t="inlineStr">
        <is>
          <t>Type 2</t>
        </is>
      </c>
    </row>
    <row r="1679">
      <c r="A1679" t="inlineStr">
        <is>
          <t>43nrx9</t>
        </is>
      </c>
      <c r="B1679" t="inlineStr">
        <is>
          <t>Need help/suggestions, not sure what else to do.</t>
        </is>
      </c>
      <c r="C1679" t="inlineStr">
        <is>
          <t>To begin, I'm a type 1 Diabetic, have been for the past 15 years. I'm a 19 year old male who lives in Australia and I am an apprentice carpenter which involves a lot of physical work as some of you may have guessed.
My problem is that I have realized I tend to have a low blood sugar between the time I start work (7am) and my first break (10:30am) and after that I am usually fine and get through the day. 
My boss has told me that it is becoming an issue because I could be a liability and that it looks bad to clients, fair enough. I have tried to solve the issue by lowering my insulin in the morning but I can't possibly go any lower. I have also tried upping my intake of food in the morning which includes a lot of carbs (4 slices of multigrain toast with vegemite, and if i can stomach it, a bowl of cereal) but nothing seems to be working and my boss is rethinking his options. I don't want to lose this position as I love the trade. 
I will be seeing a GP/dietician as soon as I can but hopefully I can hear some feedback from other diabetics because this is an issue.</t>
        </is>
      </c>
      <c r="D1679" t="n">
        <v>7</v>
      </c>
      <c r="E1679" t="n">
        <v>20</v>
      </c>
      <c r="F1679">
        <f>HYPERLINK("https://www.reddit.com/r/diabetes/comments/43nrx9/need_helpsuggestions_not_sure_what_else_to_do/")</f>
        <v/>
      </c>
      <c r="G1679" t="inlineStr">
        <is>
          <t>2016-02-01 01:39:04</t>
        </is>
      </c>
      <c r="H1679" t="inlineStr">
        <is>
          <t>Type 1</t>
        </is>
      </c>
    </row>
    <row r="1680">
      <c r="A1680" t="inlineStr">
        <is>
          <t>43oeun</t>
        </is>
      </c>
      <c r="B1680" t="inlineStr">
        <is>
          <t>vitamin supplements for T1</t>
        </is>
      </c>
      <c r="C1680" t="inlineStr">
        <is>
          <t>I've been taking a D3 supplement for a few years after reading a bunch of articles linking lack of sunlight to a range of conditions.
I recently stumbled on this article linking vitamin D deficiency to poor glycemic control: http://www.ncbi.nlm.nih.gov/pmc/articles/PMC2994161/
I wondered what supplements other T1s take and why?</t>
        </is>
      </c>
      <c r="D1680" t="n">
        <v>9</v>
      </c>
      <c r="E1680" t="n">
        <v>12</v>
      </c>
      <c r="F1680">
        <f>HYPERLINK("https://www.reddit.com/r/diabetes/comments/43oeun/vitamin_supplements_for_t1/")</f>
        <v/>
      </c>
      <c r="G1680" t="inlineStr">
        <is>
          <t>2016-02-01 05:23:24</t>
        </is>
      </c>
      <c r="H1680" t="inlineStr">
        <is>
          <t>Type 1</t>
        </is>
      </c>
    </row>
    <row r="1681">
      <c r="A1681" t="inlineStr">
        <is>
          <t>43pk98</t>
        </is>
      </c>
      <c r="B1681" t="inlineStr">
        <is>
          <t>Silly question?</t>
        </is>
      </c>
      <c r="C1681" t="inlineStr">
        <is>
          <t>I cant find this info anywhere.  How many grams of carbs does it take to raise your blood glucose 1 mmol/l?  like if I'm at 4mmol/l and I want to get to 6, how many grams of carbs should I take?  
Edit:mmol/l</t>
        </is>
      </c>
      <c r="D1681" t="n">
        <v>7</v>
      </c>
      <c r="E1681" t="n">
        <v>16</v>
      </c>
      <c r="F1681">
        <f>HYPERLINK("https://www.reddit.com/r/diabetes/comments/43pk98/silly_question/")</f>
        <v/>
      </c>
      <c r="G1681" t="inlineStr">
        <is>
          <t>2016-02-01 09:40:00</t>
        </is>
      </c>
      <c r="H1681" t="inlineStr">
        <is>
          <t>Type 1.5/LADA</t>
        </is>
      </c>
    </row>
    <row r="1682">
      <c r="A1682" t="inlineStr">
        <is>
          <t>43ppdl</t>
        </is>
      </c>
      <c r="B1682" t="inlineStr">
        <is>
          <t>[Help] 22M, T1D, recent Cholesterol issues</t>
        </is>
      </c>
      <c r="C1682" t="inlineStr">
        <is>
          <t>**NOTE: I have an appointment for my diabetes specialist doctor in 2 days, and if necessary according to her I'll see my physician too. Just looking for similar cases and general opinion to get a clearer picture.**
**Health background:**
1. T1 diabetic since 4 y/o. Treated with pump + sensor. HbA1C is 6.3% as of 6 months ago (results from today pending).
2. Hashimoto thyroiditis since ~14. Treated with Levothyroxine, TSH is balanced as of a blood test which occurred today.
3. Coeliac since ~18. Treated with gluten-free diet. Been tested negative on every blood test since the diagnosis, results for today pending.
4. Height is a little over 173 cm, weight is 72kg, BMI is apparently 24.1.
**The question**
6 months ago my HDL was a little low (details below). The doctor said it's generally fine, but I should go see a dietitian. I did, and he gave me some tips on what not to eat etc, but I didn't find it so simple to figure out a diet out of these tips and apparently I've been doing a lousy job since - as of today my HDL is in the norm, but my LDL is a little high, as well as my total cholesterol test.
I'm looking for a few tips on the following matters:
1. If you have been a student in a highly demanding university bachelor's program, how did you maintain a healthy diet while keeping the time consumption of preparing your meals for each day to a mininum?
2. What should I be expecting when I go to a dietitian? I am a pretty systematic guy, so if I am given an organized dietary plan or at least a "whitelist" of proper meals I assume it'd be very easy to follow - but over the last couple of visits I've felt both dietitians were much more determined to just make a "blacklist" of what I shouldn't eat. Is this to be expected, or is there a better way to handle the situation in your experience?
3. To the best of your experience, is this situation likely to happen even at my relatively young age (due to diet issues?) or should I be concerned of a possible underlying issue?
Thanks for your answer. Here are my cholesterol results from recent blood tests:
*TEST: Value (lowest recommended value - highest) (visualization)*
*Today:*
CHOLESTEROL                  204.00 MG/DL   (  120.00-  200.00) (.........)*
HDL-CHOLEST.                  44.10 MG/DL   (   40.00-   85.00) (*........)
LDL-CHOLEST.                 145.10 MG/DL   (   60.00-  130.00) (.........)*
*6 months ago:*
CHOLESTEROL                  168.00 MG/DL   (  120.00-  200.00) (....*....)
HDL-CHOLEST.                  39.50 MG/DL   (   40.00-   85.00)*(.........)
LDL-CHOLEST.                 116.10 MG/DL   (   60.00-  130.00) (......*..)
**Edit:** format</t>
        </is>
      </c>
      <c r="D1682" t="n">
        <v>1</v>
      </c>
      <c r="E1682" t="n">
        <v>7</v>
      </c>
      <c r="F1682">
        <f>HYPERLINK("https://www.reddit.com/r/diabetes/comments/43ppdl/help_22m_t1d_recent_cholesterol_issues/")</f>
        <v/>
      </c>
      <c r="G1682" t="inlineStr">
        <is>
          <t>2016-02-01 10:06:48</t>
        </is>
      </c>
      <c r="H1682" t="inlineStr">
        <is>
          <t>Type 1</t>
        </is>
      </c>
    </row>
    <row r="1683">
      <c r="A1683" t="inlineStr">
        <is>
          <t>43qll8</t>
        </is>
      </c>
      <c r="B1683" t="inlineStr">
        <is>
          <t>LADA?</t>
        </is>
      </c>
      <c r="C1683" t="inlineStr">
        <is>
          <t>So a bit about my background before I get into this: my father's side of the family has a strong history of T1D, at least one person in every generation has it. Since I was an infant I have had a history of various autoimmune-linked conditions, but nothing serious (e.g. asthma, eczema, tons of food allergies). I am now 23 years old, 5'10", 150 lbs, and my BMI has never been over 25 at my heftiest. I live in Ontario if its in any way relevant.
So I show up at my doctor's office in August 2014 after the on-call doctor at a walk-in clinic noticed I had tons of glucose in my urine. My family doctor reluctantly orders an A1C after trying to convince me there was no possible way I was diabetic because I was not young enough for T1 and not fat enough for T2.  Surprise surprise, A1C of 10.8. He writes me a script for Metformin, tells me not to eat cake, and refers me to an endocrinologist.
The endocrinologist thinks it might be T1, so he orders an antibody panel and tells me to come back in a month. I know he at least ordered ICA and IAA because the nurse made a mistake and accidentally made her notes visible to me on my patient web interface. I don't know if he ordered GAD antibodies or C-Peptide, I didn't see those in the notes... 
Meanwhile I had read Dr. Bernstein, went keto, started exercising, and as a result my A1C went from the initial 10.8 to 4.6. When I showed up back at the endo, he saw my 4.6 A1C, looked at my antibody test results (I was negative for everything),and then told me I never needed to see him again.
Fast forward to today, 18 months after diagnosis, and there's definitely something wrong. My blood sugars are getting higher and patterns throughout the day are starting to look weird. A recent example is a meal of meat and vegetables (10g of carbs max) that would never spike my blood sugar past 5 mmol/L (90 mg/dl) gets me to 6.4 mmol/L (115 mg/dl). It seems to be taking longer for an insulin response to kick in, with blood sugar steadily rising for a while after meals before it starts to turn around. Fasting blood sugars are still alright.
Before anyone says anything, yes I am going to see a doctor. But in the meantime, I wanted to hear from anyone who knows about or might have LADA themselves to hear what they think? Maybe also if anyone has any good questions to ask the doctor, or any advice dealing with the Ontario healthcare system? I have a bad feeling they won't take me seriously until my A1C starts getting bad again, and I want to stay on top of this as much as possible.
Thanks in advance for responses and thanks in general to you guys for being so supportive and making me feel better for the last 18 months.</t>
        </is>
      </c>
      <c r="D1683" t="n">
        <v>2</v>
      </c>
      <c r="E1683" t="n">
        <v>6</v>
      </c>
      <c r="F1683">
        <f>HYPERLINK("https://www.reddit.com/r/diabetes/comments/43qll8/lada/")</f>
        <v/>
      </c>
      <c r="G1683" t="inlineStr">
        <is>
          <t>2016-02-01 13:01:58</t>
        </is>
      </c>
      <c r="H1683" t="inlineStr">
        <is>
          <t>Type 1.5/LADA</t>
        </is>
      </c>
    </row>
    <row r="1684">
      <c r="A1684" t="inlineStr">
        <is>
          <t>43r3nn</t>
        </is>
      </c>
      <c r="B1684" t="inlineStr">
        <is>
          <t>T2 Diabetics, what is your Kryptonite?</t>
        </is>
      </c>
      <c r="C1684" t="inlineStr">
        <is>
          <t>For me, it's doughnuts. They are the perfect combo of delicious, fluffy carbs fried in tasty oil and drenched in liquid sugar. I live right next to a gourmet doughnut shop, and in the morning it smells divine. There is also a doughnut shop right next to my school, so I get double temptation of delicious doughnuts every day. I think I've eaten 1 doughnut in the last 6 months, but I get offered them a 2 or 3 times per month... it takes all my willpower to hold back. Popcorn is another big one; I could literally eat a bucket of popcorn in one sitting. Ug, my mouth is watering just thinking about doughnuts and popcorn D:
What are your most tempting foods?</t>
        </is>
      </c>
      <c r="D1684" t="n">
        <v>3</v>
      </c>
      <c r="E1684" t="n">
        <v>19</v>
      </c>
      <c r="F1684">
        <f>HYPERLINK("https://www.reddit.com/r/diabetes/comments/43r3nn/t2_diabetics_what_is_your_kryptonite/")</f>
        <v/>
      </c>
      <c r="G1684" t="inlineStr">
        <is>
          <t>2016-02-01 14:43:30</t>
        </is>
      </c>
      <c r="H1684" t="inlineStr">
        <is>
          <t>Type 2</t>
        </is>
      </c>
    </row>
    <row r="1685">
      <c r="A1685" t="inlineStr">
        <is>
          <t>43wxv4</t>
        </is>
      </c>
      <c r="B1685" t="inlineStr">
        <is>
          <t>Type 2 taking Trulicity and my success with this drug</t>
        </is>
      </c>
      <c r="C1685" t="inlineStr">
        <is>
          <t>Guys,
I am not for sure if anyone else out there is on this drug but I have been on it for 7 months now and I have had terrific success with it.  When i started it my A1C was a 7.7 in the first three months it dropped to a 4.2 and my last check up it was a 4.4.  
I have managed to lose over 100 pounds with this drug as well because it helps control your appetite.  I have suggested this drug to a few of my friends that have type 2, but none of them have started it.  I don't know if they are scared of it or just don't want to.
Any of you guys been on this or currently on this medicine and I was wondering how it's working for you.  If you have any questions pleased don't hesitate to ask, Ill do my best to answer them for you.
Thanks for reading.</t>
        </is>
      </c>
      <c r="D1685" t="n">
        <v>2</v>
      </c>
      <c r="E1685" t="n">
        <v>3</v>
      </c>
      <c r="F1685">
        <f>HYPERLINK("https://www.reddit.com/r/diabetes/comments/43wxv4/type_2_taking_trulicity_and_my_success_with_this/")</f>
        <v/>
      </c>
      <c r="G1685" t="inlineStr">
        <is>
          <t>2016-02-02 15:25:12</t>
        </is>
      </c>
      <c r="H1685" t="inlineStr">
        <is>
          <t>Type 2</t>
        </is>
      </c>
    </row>
    <row r="1686">
      <c r="A1686" t="inlineStr">
        <is>
          <t>43x8ml</t>
        </is>
      </c>
      <c r="B1686" t="inlineStr">
        <is>
          <t>A1c = 6.4</t>
        </is>
      </c>
      <c r="C1686" t="inlineStr">
        <is>
          <t xml:space="preserve">Where to start.  I've never been under 7 on my A1c's even since I was diagnosed 26 years ago.  Usually was in the low 8s.  
Last year (about 6 months ago) I got a huge wake up call.  I was diagnosed with moderate to severe diabetic retinopathy.  Thankfully I haven't lost any detectable vision and am current in treatment.  My A1c at the time was 9.5.  
I was managing my diabetes through my GP, and discussed a CGM with him.  He said I would have to go see an Endocrinologist in order to get one.  So, my first trip back to an endo in probably a decade.  Many insulin dosage adjustments and 3 months later, first A1c of 6.6.
Fast forward to today and after the holidays, down to 6.4!
Endo said I'm at the high end of the non diabetic range.  I guess I can't trade in my vials and syringes yet, but boy I'm happy and proud of myself.  Now I need to start with some other life (diet) changes and get the rest of me in order.  This was he first step!
Time for some Ice Cream! </t>
        </is>
      </c>
      <c r="D1686" t="n">
        <v>51</v>
      </c>
      <c r="E1686" t="n">
        <v>18</v>
      </c>
      <c r="F1686">
        <f>HYPERLINK("https://www.reddit.com/r/diabetes/comments/43x8ml/a1c_64/")</f>
        <v/>
      </c>
      <c r="G1686" t="inlineStr">
        <is>
          <t>2016-02-02 16:32:48</t>
        </is>
      </c>
      <c r="H1686" t="inlineStr">
        <is>
          <t>Type 1</t>
        </is>
      </c>
    </row>
    <row r="1687">
      <c r="A1687" t="inlineStr">
        <is>
          <t>440gdm</t>
        </is>
      </c>
      <c r="B1687" t="inlineStr">
        <is>
          <t>I had a really high night</t>
        </is>
      </c>
      <c r="C1687" t="inlineStr">
        <is>
          <t>For some unknown reason my blood sugar jumped up to 515 at like 8pm.  My Dexcom was in the ??? stage and I neglected to check my BS with the meter...I waited too long.  I bolused the heck out of my pump and my number slowly crept down to about 400 by 11pm.  I had to go to bed so I pumped myself with more insulin and hoped for the best.  I woke up at 2am and it was only down to 320.  Bolused again.  Woke up at 7am and it was down to 180...bolused some more.  15 minutes later I get the down arrows so I think I'm good to go.  Well, I get to work and it's slowly creeping back up.  
WTH is going on?  I'm about to change out inset, reservoir, everything...maybe my insulin just isn't getting in?  Argh
Update: I'm at 110 and still falling...although now I'm nauseous and can't eat :/</t>
        </is>
      </c>
      <c r="D1687" t="n">
        <v>6</v>
      </c>
      <c r="E1687" t="n">
        <v>12</v>
      </c>
      <c r="F1687">
        <f>HYPERLINK("https://www.reddit.com/r/diabetes/comments/440gdm/i_had_a_really_high_night/")</f>
        <v/>
      </c>
      <c r="G1687" t="inlineStr">
        <is>
          <t>2016-02-03 08:07:28</t>
        </is>
      </c>
      <c r="H1687" t="inlineStr">
        <is>
          <t>Type 1</t>
        </is>
      </c>
    </row>
    <row r="1688">
      <c r="A1688" t="inlineStr">
        <is>
          <t>446ejs</t>
        </is>
      </c>
      <c r="B1688" t="inlineStr">
        <is>
          <t>Doctor just told my I'm T2. Haven't told the family yet... I stunned and a bit scared.</t>
        </is>
      </c>
      <c r="C1688" t="inlineStr">
        <is>
          <t>Went for my yearly checkup, doctor asked for blood to be drawn, and then again to "make sure." Silly me, my biggest worry was cancer.  Nope, he told me I've got diabetes.  He gave me a few pamphlets, but I've not looked at them yet.  I'm just at work stunned and scared and googling pictures of diabetes feet scared the shit out of... 
I created this alt acct as I am  not ready for friends and followers to know.   
Any words of advice or comfort would be nice right about now.
edit: told the wife, she was as loving as supportive as a wife could be.  I was stupid for being scared of telling her.  We spent the evening talking about changes that will need to happen.  Also how we need to start eating.
Thank you all sooo much for your support!</t>
        </is>
      </c>
      <c r="D1688" t="n">
        <v>5</v>
      </c>
      <c r="E1688" t="n">
        <v>35</v>
      </c>
      <c r="F1688">
        <f>HYPERLINK("https://www.reddit.com/r/diabetes/comments/446ejs/doctor_just_told_my_im_t2_havent_told_the_family/")</f>
        <v/>
      </c>
      <c r="G1688" t="inlineStr">
        <is>
          <t>2016-02-04 09:51:59</t>
        </is>
      </c>
      <c r="H1688" t="inlineStr">
        <is>
          <t>Type 2</t>
        </is>
      </c>
    </row>
    <row r="1689">
      <c r="A1689" t="inlineStr">
        <is>
          <t>4470wh</t>
        </is>
      </c>
      <c r="B1689" t="inlineStr">
        <is>
          <t>What's the difference between my meter's A1C and my blood test A1C?</t>
        </is>
      </c>
      <c r="C1689" t="inlineStr">
        <is>
          <t>I have an option to check out my A1C on my meter but viewing the past 90 day average. How exactly do they measure the lab test average? My two results differ quite a bit, and I'm wondering which one is more accurate and how they are different.</t>
        </is>
      </c>
      <c r="D1689" t="n">
        <v>0</v>
      </c>
      <c r="E1689" t="n">
        <v>10</v>
      </c>
      <c r="F1689">
        <f>HYPERLINK("https://www.reddit.com/r/diabetes/comments/4470wh/whats_the_difference_between_my_meters_a1c_and_my/")</f>
        <v/>
      </c>
      <c r="G1689" t="inlineStr">
        <is>
          <t>2016-02-04 12:00:21</t>
        </is>
      </c>
      <c r="H1689" t="inlineStr">
        <is>
          <t>Type 1</t>
        </is>
      </c>
    </row>
    <row r="1690">
      <c r="A1690" t="inlineStr">
        <is>
          <t>447dti</t>
        </is>
      </c>
      <c r="B1690" t="inlineStr">
        <is>
          <t>Dreading the eye exam tomorrow</t>
        </is>
      </c>
      <c r="C1690" t="inlineStr">
        <is>
          <t>I go in for my yearly eye exam tomorrow and this is probably the most nervous I've been in all my years of being a T1D.
I moved the appointment up from Saturday so I could get in earlier. Now, last year's exam was still clean as a whistle with "no signs of any diabetic eye complications," so I was quite pleased.
Within the last week, however, my right eye has been giving me fits. It constantly feels dry and is definitely blurrier when viewing distant objects than my left eye. On top of that there is general fatigue on my eyes (i.e. I love nothing more than closing my eyes and resting them throughout the day).
Last year the doctor gave me a prescription because I was "borderline" for needing glasses/lenses, but it was an option as I wasn't in dire need of them. On top of that I do work a job that entails almost 6 hours of computer screen time, and then add in laptop/tablet time at night putting total daily screen time at close to 8 hours most days.
My last a1c was 6.2, and since my last eye exam the highest a1c was 7.7.
I'm really dreading that the issue with my tired eyes is related to my 7+ a1c the past year, but is it even possible to have retinopathy symptoms so suddenly? Especially since my numbers have gone down throughout the year?
I know none of you are Doctors, and I'm going to get all my answers tomorrow, but it feels good to vent every now and again.
I've never worn glasses in my life, but I'm 1 year away from the big 40, so I know it's a definite possibility. Fingers crossed that maybe that's all I need.</t>
        </is>
      </c>
      <c r="D1690" t="n">
        <v>1</v>
      </c>
      <c r="E1690" t="n">
        <v>6</v>
      </c>
      <c r="F1690">
        <f>HYPERLINK("https://www.reddit.com/r/diabetes/comments/447dti/dreading_the_eye_exam_tomorrow/")</f>
        <v/>
      </c>
      <c r="G1690" t="inlineStr">
        <is>
          <t>2016-02-04 13:13:22</t>
        </is>
      </c>
      <c r="H1690" t="inlineStr">
        <is>
          <t>Type 1</t>
        </is>
      </c>
    </row>
    <row r="1691">
      <c r="A1691" t="inlineStr">
        <is>
          <t>447wov</t>
        </is>
      </c>
      <c r="B1691" t="inlineStr">
        <is>
          <t>update: GAD positive</t>
        </is>
      </c>
      <c r="C1691" t="inlineStr">
        <is>
          <t>So, for all the people who bore with my rant about how frustrating the ER docs were, I've received my GAD test results, and at 124.9 U/mL, it's pretty definitive that I have T1.
Just goes to show that doctors still have trouble recognizing T1 even when the person has absolutely no risk factors for T2...</t>
        </is>
      </c>
      <c r="D1691" t="n">
        <v>6</v>
      </c>
      <c r="E1691" t="n">
        <v>14</v>
      </c>
      <c r="F1691">
        <f>HYPERLINK("https://www.reddit.com/r/diabetes/comments/447wov/update_gad_positive/")</f>
        <v/>
      </c>
      <c r="G1691" t="inlineStr">
        <is>
          <t>2016-02-04 15:06:04</t>
        </is>
      </c>
      <c r="H1691" t="inlineStr">
        <is>
          <t>Type 1.5/LADA</t>
        </is>
      </c>
    </row>
    <row r="1692">
      <c r="A1692" t="inlineStr">
        <is>
          <t>44bv1y</t>
        </is>
      </c>
      <c r="B1692" t="inlineStr">
        <is>
          <t>I can't do this.</t>
        </is>
      </c>
      <c r="C1692" t="inlineStr">
        <is>
          <t xml:space="preserve">Hello! So, I was diagnosed with Type 1 Diabetes November 27th of last year, I am 13. I won't go into much of how I was diagnosed because it's mostly the same for everyone, went into the early stages of DKA and knew something was wrong. Lately I have not been taking care of my diabetes expect for at school.
I feel like such a burden on my family and friends. Going out is such a hassle now, so I've stopped wanting to. I'm only eating when my blood sugar is low and even when I feeling hungry and my blood sugar is fine, I get so full easily after the littlest things and my dad keeps telling me I need to get bigger meals with more carbs. I'm scared of carbs and I shouldn't be.
At home I just am so tired after school, more than the normal because because managing diabetes and school is hard as some of you might know. If my mind isn't on school work it is on my blood sugar. I don't feel like my teachers understand how much this is a big deal and how it effects me either, which I can't blame them because you know, they don't know me outside of school and nothing about diabetes. I go to an alternative, we have no nurse or anything, that scares me.
Lately I just feel so hopeless, I can't get into the habit and I'm never doing any of my shots. Yes, I know the effects it will have on my future, please give me tips and stuff. Keep in mine of 13 so some of the stuff you do to keep on track might be different/harder for me.
My depression just has gotten worst since this happened and I'm so suicidal. I'm sick of telling people I have diabetes and them being shocked because "it doesn't look like I have diabetes". Everyone also tells me about there grandparents who have Type 2, I understand they have good intentions, but it's annoying.
Please, I just need help. Lately my shots have been hurting everywhere else except for my arms so my arm are my main spot, but I need to spread out before my arms start "rejecting" the insulin. I haven't seen met the doctor that does the A1c or whatever it's called I forgot, I'll just say diabetic doctor. I was suppose to go last month but because of the snow we couldn't make it, I have to wait until next month. 
When I was first diagnosed they told me my doctor would be adjusting my dose a lot but it has been the same since I left the hospital and I feel it needs to be changed.
I FEEL LIKE SH*T all the time, even when I'm doing my shots. God, at this point I just want to die. I know it could be worst like everyone tells me but like, I'm young and this is hard to accept and deal with.
Can someone please help?
</t>
        </is>
      </c>
      <c r="D1692" t="n">
        <v>42</v>
      </c>
      <c r="E1692" t="n">
        <v>45</v>
      </c>
      <c r="F1692">
        <f>HYPERLINK("https://www.reddit.com/r/diabetes/comments/44bv1y/i_cant_do_this/")</f>
        <v/>
      </c>
      <c r="G1692" t="inlineStr">
        <is>
          <t>2016-02-05 09:35:39</t>
        </is>
      </c>
      <c r="H1692" t="inlineStr">
        <is>
          <t>Type 1</t>
        </is>
      </c>
    </row>
    <row r="1693">
      <c r="A1693" t="inlineStr">
        <is>
          <t>44c1wf</t>
        </is>
      </c>
      <c r="B1693" t="inlineStr">
        <is>
          <t>Pumps and Honeymooning?</t>
        </is>
      </c>
      <c r="C1693" t="inlineStr">
        <is>
          <t>I just had my two year diaversary on January 28th and it looks like I'm still coasting through on a honeymoon. I recently switched from MDI to the omnipod and am experiencing frequent lows since making the switch early January. My basal is set at 0.05u/hr, the lowest possible setting, and I don't bolus for food, as it causes a low several hours later. My insulin ratio is 1:30. Right now I'm eating about 160g complex carbs daily. I've started working out again (just 30 minute walks on a incline to get to 10,000 steps daily) and I go low about 10 minutes in each time. Before the gym, I'll usually eat a banana and two apples with peanut butter. Yesterday was my sister's birthday dinner so I ate a bagful of candy we purchased at the candy store. Went to gym after dinner (Garlic bread, ceasar salad, salmon, apple turnover, one container of bubble tape, one bazooka bubblegum, two now and laters, two double bubbles) and went low 18 minutes into my walk (10 incline, 3.5 speed). Pump was turned off two hours before walking. I sleep with my pump off. Per my endocrinologist's instructions, I keep my pump off about 80% of the day. I go low about 1-2x daily, sometimes more. Basically, is it even worth keeping this thing? I love the convenience and it has been useful when I have very carb rich meals like Indian food, but I'm tossing a lot of insulin since the pods require a minimum of 86u or whatever, that I don't even get close to using. Has anyone else had this problem???</t>
        </is>
      </c>
      <c r="D1693" t="n">
        <v>1</v>
      </c>
      <c r="E1693" t="n">
        <v>10</v>
      </c>
      <c r="F1693">
        <f>HYPERLINK("https://www.reddit.com/r/diabetes/comments/44c1wf/pumps_and_honeymooning/")</f>
        <v/>
      </c>
      <c r="G1693" t="inlineStr">
        <is>
          <t>2016-02-05 10:15:37</t>
        </is>
      </c>
      <c r="H1693" t="inlineStr">
        <is>
          <t>Type 1</t>
        </is>
      </c>
    </row>
    <row r="1694">
      <c r="A1694" t="inlineStr">
        <is>
          <t>44c25e</t>
        </is>
      </c>
      <c r="B1694" t="inlineStr">
        <is>
          <t>Quick question about taking levemir</t>
        </is>
      </c>
      <c r="C1694" t="inlineStr">
        <is>
          <t>I have to take this every 12 hours, but my schedule is messed up, would it be safe to take it.. lets say 2 hours earlier than the 12 hour mark?</t>
        </is>
      </c>
      <c r="D1694" t="n">
        <v>1</v>
      </c>
      <c r="E1694" t="n">
        <v>2</v>
      </c>
      <c r="F1694">
        <f>HYPERLINK("https://www.reddit.com/r/diabetes/comments/44c25e/quick_question_about_taking_levemir/")</f>
        <v/>
      </c>
      <c r="G1694" t="inlineStr">
        <is>
          <t>2016-02-05 10:16:55</t>
        </is>
      </c>
      <c r="H1694" t="inlineStr">
        <is>
          <t>Type 1</t>
        </is>
      </c>
    </row>
    <row r="1695">
      <c r="A1695" t="inlineStr">
        <is>
          <t>44d9e0</t>
        </is>
      </c>
      <c r="B1695" t="inlineStr">
        <is>
          <t>Trouble With Control - Type 2 with OmniPod using U500 Insulin</t>
        </is>
      </c>
      <c r="C1695" t="inlineStr">
        <is>
          <t>I'm having a lot of diffculty with after meal sugar levels. For instance, today when I woke up at 815a, fasting BG was 120. I bolused for 20g of carbs and the pump administered 1.10u. I actually ate 20g in a peanut bar. When I checked BG before lunch at 1133a, BG was 232. I told the pump I was going to eat 73g of carbs for lunch but only ended up eating 40g. The pump administered 6.30u. I ate at 1215p. When I checked BG again at 402p, it was 232 and the pump administered a correction bolus of 1.85u. Can anyone help me figure out what is going on here? This is typical of what I experience on a regular basis.  I need help. I also take 1000mg of metformin twice a day.</t>
        </is>
      </c>
      <c r="D1695" t="n">
        <v>2</v>
      </c>
      <c r="E1695" t="n">
        <v>7</v>
      </c>
      <c r="F1695">
        <f>HYPERLINK("https://www.reddit.com/r/diabetes/comments/44d9e0/trouble_with_control_type_2_with_omnipod_using/")</f>
        <v/>
      </c>
      <c r="G1695" t="inlineStr">
        <is>
          <t>2016-02-05 14:32:17</t>
        </is>
      </c>
      <c r="H1695" t="inlineStr">
        <is>
          <t>Type 2</t>
        </is>
      </c>
    </row>
    <row r="1696">
      <c r="A1696" t="inlineStr">
        <is>
          <t>44e8no</t>
        </is>
      </c>
      <c r="B1696" t="inlineStr">
        <is>
          <t>Question about water and its effect on BG.</t>
        </is>
      </c>
      <c r="C1696" t="inlineStr">
        <is>
          <t>Hi, I'm a new (1 month) T1 diabetic, and I just got my Dexcom. I've noticed that drinking water has a serious effect on my BG. The ER doctor told me when I was first diagnosed that the water 'dilutes' the sugar in the blood, thus lowering it. My question is: Is this an actual lowering of my BG, or just a temporary dilution. The way they described it, I would think that my BG would rebound back up after a little while, but it doesn't appear to.  
Any help (be it anecdotal) would be appreciated. :)</t>
        </is>
      </c>
      <c r="D1696" t="n">
        <v>1</v>
      </c>
      <c r="E1696" t="n">
        <v>3</v>
      </c>
      <c r="F1696">
        <f>HYPERLINK("https://www.reddit.com/r/diabetes/comments/44e8no/question_about_water_and_its_effect_on_bg/")</f>
        <v/>
      </c>
      <c r="G1696" t="inlineStr">
        <is>
          <t>2016-02-05 18:28:39</t>
        </is>
      </c>
      <c r="H1696" t="inlineStr">
        <is>
          <t>Type 1</t>
        </is>
      </c>
    </row>
    <row r="1697">
      <c r="A1697" t="inlineStr">
        <is>
          <t>44ep21</t>
        </is>
      </c>
      <c r="B1697" t="inlineStr">
        <is>
          <t>In type 2, How low is too low?</t>
        </is>
      </c>
      <c r="C1697" t="inlineStr">
        <is>
          <t xml:space="preserve">So, I was 76 tonight, feeling like major shit, shakes, nausea, anger and really disorientated all at the same time.  It had been around 5 hours since lunch and 2 hours since my last snack which was a small pack of welch's fruit snacks at 19 sugars.  Í'm gonna have a talk with my doc Monday cause this is happening quite a bit actually, but anyone else experience this?  I start feeling shitty around 85, but I thought being below 100 for a T2 was a good thing?  Am I just completely wrong about that? </t>
        </is>
      </c>
      <c r="D1697" t="n">
        <v>7</v>
      </c>
      <c r="E1697" t="n">
        <v>33</v>
      </c>
      <c r="F1697">
        <f>HYPERLINK("https://www.reddit.com/r/diabetes/comments/44ep21/in_type_2_how_low_is_too_low/")</f>
        <v/>
      </c>
      <c r="G1697" t="inlineStr">
        <is>
          <t>2016-02-05 20:31:58</t>
        </is>
      </c>
      <c r="H1697" t="inlineStr">
        <is>
          <t>Type 2</t>
        </is>
      </c>
    </row>
    <row r="1698">
      <c r="A1698" t="inlineStr">
        <is>
          <t>44fig9</t>
        </is>
      </c>
      <c r="B1698" t="inlineStr">
        <is>
          <t>Question about someone w/ T2 having highs and lows</t>
        </is>
      </c>
      <c r="C1698" t="inlineStr">
        <is>
          <t>I'm male, 33, 255 lbs, 6'2", very sedentary, have other health conditions. I take Seroquel which is known to raise blood sugar.
So, many years ago because of the Seroquel I asked my doctor to test my A1C, and it came back as 6.4. I panicked, but he said anything under 7 is good. But he did prescribe glucose strips for me. 
At the time, I wanted to go on metformin, but he didn't think I should.
I started taking Cinnulin PF (a cinnamon water extract). My subsequent A1Cs were better, all in the 5 range, with the highest being 5.9.
I thought things were better so I haven't been in the habit of taking my blood sugar often. However, we've had a lot of sweets in the house recently and I noticed myself getting tachycardic feeling after having sugar. I took my blood sugar today and it was 202. I have never seen it that high before. I had just been eating candy that is all sugar (swedish fish). I didn't eat anymore after that and it came down to 144, and then 92, and then 82. By the point it got to 82, my hands were visibly shaking. Before I've seen it go up to 180, but I've always thought it was OK because when I should check at 2 hours past the time I ate it would be right around 140 or a little bit below. I unfortunately don't know when exactly I ate in relation to when I took my blood sugar today.
I called my doctor after hours at the point it was 202 and he agreed finally that I should go on metformin and called in a prescription as well as more test strips.
However, I didn't realize it was going to go down so fast to 82 to a point where I was feeling shaky. 82 is actually much lower than my fasting blood sugar (which I haven't taken in a long time, but it used to be 106 or so). I don't want to bother him after hours again, so I'll wait to ask him in person.
But in the mean time:
**Main question: Is having your blood sugar go up really high and then so low you feel shaky typical for Type 2 diabetes (as someone who is on no meds for diabetes) or could this be a different type of diabetes? I am now concerned about the metformin making my blood sugar go to low if it can rise to 202 and then crash to 82 in a relatively short period of time.**
As far as diet, I have only just come across your subreddit now, and I see a lot of people mentioning keto. I have been vegetarian since I was three years old and I just can't bring myself to eat meat--not even an ethics thing, I just can't physically do it. Eggs I can force myself to eat but it really, really grosses me out.
I think in my case low-carb could maybe solve this issue without meds, but it would be difficult. I'm on psychiatric meds that already make me cut out certain foods, and I'm also gluten free due to celiac. Being a vegetarian who cuts out carbs seems a bit daunting, but I'm thinking about making myself start with eggs for breakfast at the least, as gross as it will be for me.
Thank you!</t>
        </is>
      </c>
      <c r="D1698" t="n">
        <v>2</v>
      </c>
      <c r="E1698" t="n">
        <v>10</v>
      </c>
      <c r="F1698">
        <f>HYPERLINK("https://www.reddit.com/r/diabetes/comments/44fig9/question_about_someone_w_t2_having_highs_and_lows/")</f>
        <v/>
      </c>
      <c r="G1698" t="inlineStr">
        <is>
          <t>2016-02-06 01:05:52</t>
        </is>
      </c>
      <c r="H1698" t="inlineStr">
        <is>
          <t>Type 2</t>
        </is>
      </c>
    </row>
    <row r="1699">
      <c r="A1699" t="inlineStr">
        <is>
          <t>44jp44</t>
        </is>
      </c>
      <c r="B1699" t="inlineStr">
        <is>
          <t>Stopped taking insulin</t>
        </is>
      </c>
      <c r="C1699" t="inlineStr">
        <is>
          <t xml:space="preserve">Hi guys,
For the last few week Iv'e been trying to eat low carb and have been sticking to it pretty well. At first I just reduced the amount of bolus that I was taking because the meals I was having had so much lower carbs, but I started to have hypos when I wouldn't expect them so I lowered my basal. The amount of insulin I was needing slowly went down, and now (about 3 week since starting) I no longer need to inject. I wake up at less than 5mmol now and I spend most of the day between 4 and 5, but go into the 6s after meals.
I was just wondering if anyone had a similar experience or had some insight into this.
Thanks
Some other info:
- Before this I was taking about 40 units a day (10 levemir, 30 novorapid).
- I am now taking no injected insulin at all, this include basal
- ketones are fine
- have lost about 4kg in the last few weeks too
</t>
        </is>
      </c>
      <c r="D1699" t="n">
        <v>2</v>
      </c>
      <c r="E1699" t="n">
        <v>65</v>
      </c>
      <c r="F1699">
        <f>HYPERLINK("https://www.reddit.com/r/diabetes/comments/44jp44/stopped_taking_insulin/")</f>
        <v/>
      </c>
      <c r="G1699" t="inlineStr">
        <is>
          <t>2016-02-06 19:11:26</t>
        </is>
      </c>
      <c r="H1699" t="inlineStr">
        <is>
          <t>Type 1</t>
        </is>
      </c>
    </row>
    <row r="1700">
      <c r="A1700" t="inlineStr">
        <is>
          <t>44k5la</t>
        </is>
      </c>
      <c r="B1700" t="inlineStr">
        <is>
          <t>Retinopathy undiagnosed...</t>
        </is>
      </c>
      <c r="C1700" t="inlineStr">
        <is>
          <t>This is a follow-up to [this](https://www.reddit.com/r/diabetes/comments/3xphzn/after_22_years_of_disease_first_signs_of_diabetic/).
So back then I made a retinography, the nurse/technician told me I had signs of it. I was awaiting to be called for an appointment (still am), but I couldn't wait so I scheduled one in private practice.
Redone the exames and got seen by a ophthalmologist specialist in diabetic complications and there seem to be no signs whatsoever of any. Myopia and astigmatism is all I seem to have.
How can I have been told I had signs of it though? Is there anything in the pictures that can be dubious ans produce a false positive?</t>
        </is>
      </c>
      <c r="D1700" t="n">
        <v>12</v>
      </c>
      <c r="E1700" t="n">
        <v>3</v>
      </c>
      <c r="F1700">
        <f>HYPERLINK("https://www.reddit.com/r/diabetes/comments/44k5la/retinopathy_undiagnosed/")</f>
        <v/>
      </c>
      <c r="G1700" t="inlineStr">
        <is>
          <t>2016-02-06 21:10:40</t>
        </is>
      </c>
      <c r="H1700" t="inlineStr">
        <is>
          <t>Type 1</t>
        </is>
      </c>
    </row>
    <row r="1701">
      <c r="A1701" t="inlineStr">
        <is>
          <t>44mgdw</t>
        </is>
      </c>
      <c r="B1701" t="inlineStr">
        <is>
          <t>Diabetic father not checking his blood sugar</t>
        </is>
      </c>
      <c r="C1701" t="inlineStr">
        <is>
          <t>Hey guys, so my father is diabetic and doesn't check his blood sugar. He says that only when he "feels symptoms" like thirst or fatigue, will he have it tested. 
So far he only has retinopathy and is on metformin. I am concerned what the long term consequences will be of prolonged high blood sugar?
Does only little bit of blood sugar give the symptoms or does it have to be really high for the symptoms to be noticed?
Thanks</t>
        </is>
      </c>
      <c r="D1701" t="n">
        <v>1</v>
      </c>
      <c r="E1701" t="n">
        <v>6</v>
      </c>
      <c r="F1701">
        <f>HYPERLINK("https://www.reddit.com/r/diabetes/comments/44mgdw/diabetic_father_not_checking_his_blood_sugar/")</f>
        <v/>
      </c>
      <c r="G1701" t="inlineStr">
        <is>
          <t>2016-02-07 09:12:14</t>
        </is>
      </c>
      <c r="H1701" t="inlineStr">
        <is>
          <t>Type 2</t>
        </is>
      </c>
    </row>
    <row r="1702">
      <c r="A1702" t="inlineStr">
        <is>
          <t>44u48w</t>
        </is>
      </c>
      <c r="B1702" t="inlineStr">
        <is>
          <t>After meal highs</t>
        </is>
      </c>
      <c r="C1702" t="inlineStr">
        <is>
          <t>I am 23 and have only been recently diagnosed. The question that I have is, how high is too high after eating? If I have around 100 mg/dl before I eat, then I bolus for my food about an hour after I eat my blood sugar will be around 225 mg/dl. After about 2 hours it will be back to normal. is this normal? and why does this occur?
EDIT: I dont know if this helps but my last A1C was 6.4</t>
        </is>
      </c>
      <c r="D1702" t="n">
        <v>3</v>
      </c>
      <c r="E1702" t="n">
        <v>10</v>
      </c>
      <c r="F1702">
        <f>HYPERLINK("https://www.reddit.com/r/diabetes/comments/44u48w/after_meal_highs/")</f>
        <v/>
      </c>
      <c r="G1702" t="inlineStr">
        <is>
          <t>2016-02-08 17:12:13</t>
        </is>
      </c>
      <c r="H1702" t="inlineStr">
        <is>
          <t>Type 1</t>
        </is>
      </c>
    </row>
    <row r="1703">
      <c r="A1703" t="inlineStr">
        <is>
          <t>44usf7</t>
        </is>
      </c>
      <c r="B1703" t="inlineStr">
        <is>
          <t>How Long Will It Take To Get Diagnosed With Neuropathy In My Feet?</t>
        </is>
      </c>
      <c r="C1703" t="inlineStr">
        <is>
          <t xml:space="preserve">I have been diagnosed type 2 for about a year and a half and have my numbers under control.  I have been experiencing some pain in my feet that was out of the "normal" foot pain.  I went to read about neuropathy and in the list of symptoms was included "sensitivity to pain to the point where even a blanket touching a person can be terribly painful".  When I read that it was like a bolt of lighting.  I have been experiencing this type of foot pain while trying to fall asleep for years.  I just thought it was because I was fat and worked on my feet all day.  So I have an appointment to see my doctor in a couple days and was wondering how long the testing takes to get diagnosed?  Any input appreciated and thanks for reading. </t>
        </is>
      </c>
      <c r="D1703" t="n">
        <v>1</v>
      </c>
      <c r="E1703" t="n">
        <v>11</v>
      </c>
      <c r="F1703">
        <f>HYPERLINK("https://www.reddit.com/r/diabetes/comments/44usf7/how_long_will_it_take_to_get_diagnosed_with/")</f>
        <v/>
      </c>
      <c r="G1703" t="inlineStr">
        <is>
          <t>2016-02-08 19:47:50</t>
        </is>
      </c>
      <c r="H1703" t="inlineStr">
        <is>
          <t>Type 2</t>
        </is>
      </c>
    </row>
    <row r="1704">
      <c r="A1704" t="inlineStr">
        <is>
          <t>44ve8d</t>
        </is>
      </c>
      <c r="B1704" t="inlineStr">
        <is>
          <t>High readings, not sure why, feeling stressed</t>
        </is>
      </c>
      <c r="C1704" t="inlineStr">
        <is>
          <t>(I apologize in advance for the lengthy post)
**Background**
I was diagnosed with Type 1 last year late September. I'm seventeen years old and in my final year of high school. I started with syringes, but I now use insulin pens (Humalog and Lantus). My carb ratio is 1:15 and one unit of humalog is supposed to reduce my bg by 50mg/dl.
**Problem**
My blood sugars have been really off recently and I'm not sure why. The problems started Saturday. 
For lunch, I ate an 8 inch sub. I looked it up on Calorie King and bolused for it (this was at 12:30pm). The afternoon comes around, and my blood sugar is up to 234 (4:00pm). I almost never get readings above 180 so this was an immediate shock, but I wrote it off as just carb counting incorrectly. I then ate dinner a few hours later (orange chicken) once my blood sugar had settled. I checked my blood 4 hours later and it was at 283 (9:00pm). This has been my highest post-diagnosis reading, for reference. I took 3.5 units to bring it down, and checked an hour later. It had barely budged, only going down to 259 (10:00pm). I took another 3 units, and another hour later it went down to 196. I took one last unit and went to bed. I had thought that this was just a fluke day, and maybe I had just carb counted incorrectly, but I was wrong.
Sunday rolls around. I wake up, skip breakfast, and check my blood at 2pm. 117. Maybe everything will be alright after all? I was wrong. Despite taking above average boluses to bring my blood sugar down, it only seemed to climb; 177 at 4:40pm. 175 at 7:40pm, 194 at 10:25pm, and 214 at 12:40am. Only then did the upward climb reverse and I went to sleep at 1:40am with a blood sugar of 169.
Monday rolls around. I wake up once again at a normal blood sugar  - 129 at 12:30pm. I eat lunch (91 carbs, 6.5 units insulin). Despite me taking even more insulin than I ought to have, I check at 1:45pm and my blood sugar is 244. It felt like the insulin hadn't even made a dent. I took 2.5 more units and it dropped down to 179 at 3:10. Once again, this made no sense to me, as 2.5 units should have brought me down to normal levels. I take 1 more unit for good measure and check again at 6:00. Now my blood sugar is at 61. What the hell? How could 1 unit have brought me down that low when the others did practically nothing?
It got worse, though. 7:30pm, I eat again and it's back down to a healthy level at 119. I eat 58 carbs - some chili, a coffee, a glass of milk, and a bag of chips. I take 4 units of insulin. I check again at 10:15pm when I go down to take my lantus, and it was up at 168. I take 1 unit of humalog to bring it down, and check again at 11:40pm. Despite me taking the 1 unit to bring it down, it has only gone up, back into the 200s. I'm here waiting for it to go down now and wondering what I am doing wrong.
This is all a huge shock to me, because in the past weeks my numbers have been very regular and have almost never gone into the 200s. My highest numbers were always in the morning, and never above 180. I am just having trouble wrapping my head around what I am doing wrong, and I have thought of a few explanations.
**Explanations**
- I am carb counting incorrectly.
This doesn't seem right. I often weigh whatever I eat or look it up on Calorie King, and even when I estimated before I often got it correct. 
- Either my Lantus or Humalog isn't working correctly.
This doesn't seem right either. Obviously the Humalog is working, or else I wouldn't have gone down to 61. The Lantus might not be working, but I have no reason to think it shouldn't. It was just opened recently and has always been stored correctly. It hasn't been heated or frozen.
- I am injecting into scar tissue and the insulin sometimes doesn't absorb properly.
This might be a good explanation, but it just seems too improbable. I frequently alternate sites around my abdomen, hips, upper arms, and butt, and I don't see any reason why the change would be so sudden if it was scar tissue. I would expect to see gradually decreasing insulin absorption rates, but this seems far too sudden.
- I am eating too many carbs.
I regularly eat somewhere between 60-100 carbs per meal. I know many of the people on this subreddit eat far less or on ketogenic diets and it helps them, but I have not had any difficulties doing this before. I don't see why it would suddenly change.
- I am exiting my honeymoon period.
A reasonable explanation, but I had always assumed the honeymoon period was limited to a few weeks. A few months from diagnosis seems unlikely.
- I am overly stressed
This is probably the most likely explanation; I have been struggling quite a bit in the past week. It's not just with the diabetes - it's quite honestly my entire life, of which diabetes is just a part. I had been struggling with depression prior to diagnosis and it has only been exacerbated. I feel like a burden to my friends whenever I complain and like a prisoner in my own skin. I've started to have really toxic and dramatic thoughts that I never thought would resurface. The past few weeks have just been a sort of building tension, as school and family issues are just becoming worse and worse. I actually skipped school out of anxiety because I am doing very poorly in my classes and I am intimidated by my teachers. It is probably the closest thing to a nervous breakdown I have ever experienced. All I could do was lie in bed and listen to music.
At the same time, how much does stress, depression, and anxiety really affect blood sugar readings? I can't imagine it would have this big of an impact. 
If anything, though, it's a terrible feedback loop. My poor blood sugar control just constantly reminds me that I'm going to develop complications 10 years or 15 years from now and that I'm going to have to work harder for the same results as everyone else, and I hate it. I hate the idea of having to pay thousands of extra dollars a year just to live a lower quality life with a shortened lifespan. I see my high numbers and I feel terrible and it only adds to the building self-hate and stress.
I genuinely don't know what to do. Does anyone have any advice or insight for me?</t>
        </is>
      </c>
      <c r="D1704" t="n">
        <v>2</v>
      </c>
      <c r="E1704" t="n">
        <v>4</v>
      </c>
      <c r="F1704">
        <f>HYPERLINK("https://www.reddit.com/r/diabetes/comments/44ve8d/high_readings_not_sure_why_feeling_stressed/")</f>
        <v/>
      </c>
      <c r="G1704" t="inlineStr">
        <is>
          <t>2016-02-08 22:34:02</t>
        </is>
      </c>
      <c r="H1704" t="inlineStr">
        <is>
          <t>Type 1</t>
        </is>
      </c>
    </row>
    <row r="1705">
      <c r="A1705" t="inlineStr">
        <is>
          <t>44xp8z</t>
        </is>
      </c>
      <c r="B1705" t="inlineStr">
        <is>
          <t>After first day of insulin, didn't believe my ketostrips</t>
        </is>
      </c>
      <c r="C1705" t="inlineStr">
        <is>
          <t>OMG, after weeks of pissing syrup and instant max results on my ketostrips, today, for the first time in like a month, (it took that long to get on insulin) I pee on my ketostrip and there's NOTHING... the thing doesn't change a shade. I'm like "OMG, this ketostrip has gone bad!" I pull out another one, and it does the same thing, and my first thoughts are "all these ketostrips have gone bad". So, check my BG and it's 154... O.O ever since my diagnosis I've never been under 180 (fasting) and 250 (random).
I am absolutely on cloud 9 right now, and my toes don't feel like pins and needles. I know 154 is still stupid high, but THIS is awesome after a month of bull from my (former) doctors refusing to give me insulin, and leaving me untreated.</t>
        </is>
      </c>
      <c r="D1705" t="n">
        <v>12</v>
      </c>
      <c r="E1705" t="n">
        <v>25</v>
      </c>
      <c r="F1705">
        <f>HYPERLINK("https://www.reddit.com/r/diabetes/comments/44xp8z/after_first_day_of_insulin_didnt_believe_my/")</f>
        <v/>
      </c>
      <c r="G1705" t="inlineStr">
        <is>
          <t>2016-02-09 09:16:04</t>
        </is>
      </c>
      <c r="H1705" t="inlineStr">
        <is>
          <t>Type 1</t>
        </is>
      </c>
    </row>
    <row r="1706">
      <c r="A1706" t="inlineStr">
        <is>
          <t>44xpd1</t>
        </is>
      </c>
      <c r="B1706" t="inlineStr">
        <is>
          <t>Is Keto the answer?</t>
        </is>
      </c>
      <c r="C1706" t="inlineStr">
        <is>
          <t xml:space="preserve">My friend is very ill and I am trying to find what I can to help him. He is on Medicaid for disability. Type 2 diabetic with severe neuropathy and a pretty bad foot ulcer. He is 47. He has serious stomach/digestive issue which causes him loose, uncontrolled stool. He wears adult diapers.
He has not been diagnosed, but I think he has chrones, colitis, metabolic syndrome, ibs...and a combo of the above.
I have suggested he cut out sugar, carbs....but I am wondering if a full keto plan would be the right way to go. He is no longer overweight. He was before diabetes diagnosis 10 years ago. 
He is very very low energy and may lose his foot.
I have also asked that he do organic coconut oil, cbd oil, ACV and lemon water.
Any advice would be gratefully appreciated. </t>
        </is>
      </c>
      <c r="D1706" t="n">
        <v>0</v>
      </c>
      <c r="E1706" t="n">
        <v>12</v>
      </c>
      <c r="F1706">
        <f>HYPERLINK("https://www.reddit.com/r/diabetes/comments/44xpd1/is_keto_the_answer/")</f>
        <v/>
      </c>
      <c r="G1706" t="inlineStr">
        <is>
          <t>2016-02-09 09:16:39</t>
        </is>
      </c>
      <c r="H1706" t="inlineStr">
        <is>
          <t>Type 2</t>
        </is>
      </c>
    </row>
    <row r="1707">
      <c r="A1707" t="inlineStr">
        <is>
          <t>44ze44</t>
        </is>
      </c>
      <c r="B1707" t="inlineStr">
        <is>
          <t>A1c results are in, new personal record</t>
        </is>
      </c>
      <c r="C1707" t="inlineStr">
        <is>
          <t>New A1c results in, lowest I've had so far: 5.3! Doctor was happy. She said usually people have too many lows with that kind of A1c but she saw from my numbers it's ok (my meter data says 7% of records are under target). I've had T1D since November 2014.</t>
        </is>
      </c>
      <c r="D1707" t="n">
        <v>3</v>
      </c>
      <c r="E1707" t="n">
        <v>3</v>
      </c>
      <c r="F1707">
        <f>HYPERLINK("https://www.reddit.com/r/diabetes/comments/44ze44/a1c_results_are_in_new_personal_record/")</f>
        <v/>
      </c>
      <c r="G1707" t="inlineStr">
        <is>
          <t>2016-02-09 14:36:38</t>
        </is>
      </c>
      <c r="H1707" t="inlineStr">
        <is>
          <t>Type 1</t>
        </is>
      </c>
    </row>
    <row r="1708">
      <c r="A1708" t="inlineStr">
        <is>
          <t>44znqd</t>
        </is>
      </c>
      <c r="B1708" t="inlineStr">
        <is>
          <t>Newly diagnosed type 2</t>
        </is>
      </c>
      <c r="C1708" t="inlineStr">
        <is>
          <t>Hello everyone! I've been reading this board for a few weeks now (it's been so helpful!), and I finally found out what my a1c is so I feel like now I can introduce myself officially. 
I'm 33 and my a1c is 9.4. I had gestational diabetes 2 years ago during my 1st pregnancy (although I'm thinking I was a pre-diabetic at the time). My numbers all came down after the pregnancy, but within the last few months, I started feeling off like I did if my numbers were too high when I was pregnant. I found my meter and started checking and sure enough, my levels were in the mid 200's to low 300's.
I've started taking 500 mg of Metformin twice a day and I haven't found the medication to be too bad so far. I'm following my gestational diabetes diet (high protein and super low carb) and trying to be more active, but I'm not seeing the numbers come down much which is really discouraging (now I'm in the low 200's, high 100's). When I was pregnant, I was taking insulin and obviously saw the numbers drop fast, but my doctor just wants me on the metformin for now. I'm hopeful that the meds will need a few more days or weeks to really start reflecting a change in my readings.
I'm happy to have found such a supportive, positive community! :)</t>
        </is>
      </c>
      <c r="D1708" t="n">
        <v>3</v>
      </c>
      <c r="E1708" t="n">
        <v>16</v>
      </c>
      <c r="F1708">
        <f>HYPERLINK("https://www.reddit.com/r/diabetes/comments/44znqd/newly_diagnosed_type_2/")</f>
        <v/>
      </c>
      <c r="G1708" t="inlineStr">
        <is>
          <t>2016-02-09 15:34:41</t>
        </is>
      </c>
      <c r="H1708" t="inlineStr">
        <is>
          <t>Type 2</t>
        </is>
      </c>
    </row>
    <row r="1709">
      <c r="A1709" t="inlineStr">
        <is>
          <t>450gxy</t>
        </is>
      </c>
      <c r="B1709" t="inlineStr">
        <is>
          <t>Tingling skin/pressure/stiff hands and feet after bringing blood sugar down</t>
        </is>
      </c>
      <c r="C1709" t="inlineStr">
        <is>
          <t>I'm 26. I was recently (~1 month ago) diagnosed with Type 1.5 LADA diabetes. A1c was 11.3. A week or two prior to diagnosis my feet felt sore/kind of like I was walking on something hard all the time. This is what prompted me to go and get checked out. 
I am still producing some insulin so I am only on Metformin (500mg x2 daily) and low carb diet for now. Doctor says we caught this very early. Since diagnosis, my blood average blood sugar has been 107 (equates to a A1C of around 5.35 I believe). 
Over the past week or so, I have had occasional burning sensation in my toes. Feet are tingly almost all the time and these symptoms have spread into my legs up to my ankles/calves. It feels like someone is cramming my toes together/applying pressure. On one of my hands, it feels like my thumb, index finger, and middle finger are jammed/stiff. Occasionally some of these symptoms vanish and then come back. I still have feeling in my feet - in fact they are actually hyper sensitive sometimes. They are worse when I stay in the same position for a long time, or when I wake up. It seems when my blood sugar is lower (70-90) that the symptoms are more prevalent.
I am basically wondering, is this neuropathy from having high blood sugar in the past? And if so, why is it getting worse now that my blood sugar is under control? I've read about people experiencing neuropathy from nerves healing...I guess I'm just curious if it is likely my body is healing itself or still destroying my nerves.
A neurologist appt is on the books.</t>
        </is>
      </c>
      <c r="D1709" t="n">
        <v>3</v>
      </c>
      <c r="E1709" t="n">
        <v>4</v>
      </c>
      <c r="F1709">
        <f>HYPERLINK("https://www.reddit.com/r/diabetes/comments/450gxy/tingling_skinpressurestiff_hands_and_feet_after/")</f>
        <v/>
      </c>
      <c r="G1709" t="inlineStr">
        <is>
          <t>2016-02-09 18:35:46</t>
        </is>
      </c>
      <c r="H1709" t="inlineStr">
        <is>
          <t>Type 1.5/LADA</t>
        </is>
      </c>
    </row>
    <row r="1710">
      <c r="A1710" t="inlineStr">
        <is>
          <t>453lwu</t>
        </is>
      </c>
      <c r="B1710" t="inlineStr">
        <is>
          <t>Major blood sugar spike before breakfast... what the heck?</t>
        </is>
      </c>
      <c r="C1710" t="inlineStr">
        <is>
          <t>In recent weeks I've been working on getting my life back on track and that includes managing my diabetes. I was diagnosed in 2012, but due to depression and spotty insurance, I haven't done a great job managing it (A1Cs range from 6.8-7.2, usually). Even though I've had this disease for years, I'm learning new ways of managing it thanks to this forum :) I realized that even though my fasting blood sugars have been decent, I was probably eating WAY too many carbs. I have been testing before and after each meal, and the results are surprising and confusing. Namely, my blood sugar shoots up from 90-100 when I first wake up to 160-170 in within an hour...  BEFORE I eat! Does this happen to anyone else? What on earth is causing it? The first morning I saw this happen, I tested 3 times to make sure my meter wasn't messing up. Thankfully I can get it under 120 by walking a mile or two and eating a zero-carb meal for lunch, but it's still frustrating. Another strange thing is that if I eat a 30-ish carb meal, my blood glucose will raise 30-40 points. If I do nothing, it will hover there a few hours before starting to fall. Is it normal to stay consistently high like that? I've had spikes before, but never these weird plateaus. My blood sugar used to steadily rise, peak, and then fall at a consistent rate. This trend is new. I think mild exercise like walking a few blocks is enough to make it start falling, but I wonder what else I can do.
The most obvious solution to this is cutting carbs, so that's where I'm starting. I have to eat dinner pretty late--usually within 30 minutes of going to bed--so I'm cutting all carbs from that meal. I can't spike in the morning without carbs in my system, right? My late dinners have also caused my fasting glucose to be too high, so I need to do that anyway. I'm also fiddling with the timing of my Metformin to see if I can drop those plateaus. Finally, I'm going to cut my meals to 20 carbs and make sure snacks max out at 5 carbs (and of course skip them if I'm high). If I can't lower it, then I don't want my blood sugar getting higher than 130.</t>
        </is>
      </c>
      <c r="D1710" t="n">
        <v>4</v>
      </c>
      <c r="E1710" t="n">
        <v>34</v>
      </c>
      <c r="F1710">
        <f>HYPERLINK("https://www.reddit.com/r/diabetes/comments/453lwu/major_blood_sugar_spike_before_breakfast_what_the/")</f>
        <v/>
      </c>
      <c r="G1710" t="inlineStr">
        <is>
          <t>2016-02-10 08:45:20</t>
        </is>
      </c>
      <c r="H1710" t="inlineStr">
        <is>
          <t>Type 2</t>
        </is>
      </c>
    </row>
    <row r="1711">
      <c r="A1711" t="inlineStr">
        <is>
          <t>455207</t>
        </is>
      </c>
      <c r="B1711" t="inlineStr">
        <is>
          <t>Going high about 4 hours after meal?</t>
        </is>
      </c>
      <c r="C1711" t="inlineStr">
        <is>
          <t>Sup guys,
As the title says, it seems like clockwork I go high about 4 hours after my meal.  I'm not sure how to combat it--if I add more insulin, I have a hypo.  if I drop insulin I end up with a high sooner than that.  Also, I'm a Type 1.
Here's today as an example 
1 cup of cooked [wild rice &amp;amp; quinoa blend](http://www.amazon.com/truRoots-Organic-Sprouted-Quinoa-Blend/dp/B008KAILNK)
150 grams chicken breast
125 grams unsalted peanuts
100 grams carrots &amp;amp; ranch dip
By my calculations this comes to 78 grams of carbs.  
&amp;gt;6.6 mmol/l at 12:00, took 7 units of Novorapid for lunch
Ate lunch
&amp;gt;5.2 mmol/l at 2:10.  Okay cool.
&amp;gt;7.3 mmol/l at 3:01.  Kind of high, but okay.
&amp;gt;10.7 at 4:00.  The fuck?  Take 2 units novorapid to correct.  
Same thing happens a lot.  Take yesterday for example:
&amp;gt;7.6 at 12:04.  Same lunch, took 7 units.
&amp;gt;8.6 at 12:55
&amp;gt;4.5 at 2:00
&amp;gt;8.2 at 3:08
&amp;gt;10.8 at 3:51
Does anyone know what could be causing this?  Is there an issue with my meal?  
This is really annoying, any input would be really appreciated.
Thanks.</t>
        </is>
      </c>
      <c r="D1711" t="n">
        <v>2</v>
      </c>
      <c r="E1711" t="n">
        <v>7</v>
      </c>
      <c r="F1711">
        <f>HYPERLINK("https://www.reddit.com/r/diabetes/comments/455207/going_high_about_4_hours_after_meal/")</f>
        <v/>
      </c>
      <c r="G1711" t="inlineStr">
        <is>
          <t>2016-02-10 13:18:29</t>
        </is>
      </c>
      <c r="H1711" t="inlineStr">
        <is>
          <t>Type 1</t>
        </is>
      </c>
    </row>
    <row r="1712">
      <c r="A1712" t="inlineStr">
        <is>
          <t>455mw6</t>
        </is>
      </c>
      <c r="B1712" t="inlineStr">
        <is>
          <t>Help analyze my C-Peptide/Antibody test</t>
        </is>
      </c>
      <c r="C1712" t="inlineStr">
        <is>
          <t>I was diagnosed as a prediabetic. Due to my age (30) and low body weight, everyone here has suggested I take a C-peptide/antibody test to see if I actually have late onset T1. So I did.
Here are my results:
* A1C: 5.5
* **C-Peptide, Serum: 0.9** (below normal low, normal 1.1-4.4)
* GAD-65 Autoantibody: &amp;lt;5.0
* **Insulin: 1.8** (below normal low, normal 2.6-24.9)
* Antipancreatic Islet Cells: Negative
It seems like my antibody tests are normal, but my insulin and c-peptide are low. What does that mean?
I'm waiting to see what my doctor says, but what do you think? Do I have T1? T2?</t>
        </is>
      </c>
      <c r="D1712" t="n">
        <v>0</v>
      </c>
      <c r="E1712" t="n">
        <v>8</v>
      </c>
      <c r="F1712">
        <f>HYPERLINK("https://www.reddit.com/r/diabetes/comments/455mw6/help_analyze_my_cpeptideantibody_test/")</f>
        <v/>
      </c>
      <c r="G1712" t="inlineStr">
        <is>
          <t>2016-02-10 15:10:26</t>
        </is>
      </c>
      <c r="H1712" t="inlineStr">
        <is>
          <t>Type 1.5/LADA</t>
        </is>
      </c>
    </row>
    <row r="1713">
      <c r="A1713" t="inlineStr">
        <is>
          <t>456frg</t>
        </is>
      </c>
      <c r="B1713" t="inlineStr">
        <is>
          <t>Need motivation!</t>
        </is>
      </c>
      <c r="C1713" t="inlineStr">
        <is>
          <t xml:space="preserve">I've been type 1 diabetic for 6 years and I'm finding myself feeling unmotivated. I was diagnosed on my 16th birthday (Happy birthday to me!) and never really had help dealing with it. I went to the doctor's a few times a month but living in a small town, there isn't many well educated diabetes workers here. I'm also the only T1 diabetic I know and I have yet to come across another fellow fighter. 
Am I the only one feeling alone and unmotivated? How do you guys find motivation to deal with this? </t>
        </is>
      </c>
      <c r="D1713" t="n">
        <v>1</v>
      </c>
      <c r="E1713" t="n">
        <v>7</v>
      </c>
      <c r="F1713">
        <f>HYPERLINK("https://www.reddit.com/r/diabetes/comments/456frg/need_motivation/")</f>
        <v/>
      </c>
      <c r="G1713" t="inlineStr">
        <is>
          <t>2016-02-10 18:05:02</t>
        </is>
      </c>
      <c r="H1713" t="inlineStr">
        <is>
          <t>Type 1</t>
        </is>
      </c>
    </row>
    <row r="1714">
      <c r="A1714" t="inlineStr">
        <is>
          <t>4598rq</t>
        </is>
      </c>
      <c r="B1714" t="inlineStr">
        <is>
          <t>Tomorrow (2/12/16) is our 1st Diagnosis Anniversary.</t>
        </is>
      </c>
      <c r="C1714" t="inlineStr">
        <is>
          <t>Our daughter was 15 months old when our lack of any experience with the symptoms of T1 Diabetes and a negligent pediatrician nearly led to a diabetic coma. This morning we got our piss-and-vinegar, happy and healthy little girl into her car seat and on her way to day care.  Going to hold her extra close tomorrow.
Just wanted to share. Thank you to everyone here for helping us adjust. U/Prairiepeppers and I send our love.</t>
        </is>
      </c>
      <c r="D1714" t="n">
        <v>12</v>
      </c>
      <c r="E1714" t="n">
        <v>5</v>
      </c>
      <c r="F1714">
        <f>HYPERLINK("https://www.reddit.com/r/diabetes/comments/4598rq/tomorrow_21216_is_our_1st_diagnosis_anniversary/")</f>
        <v/>
      </c>
      <c r="G1714" t="inlineStr">
        <is>
          <t>2016-02-11 07:19:56</t>
        </is>
      </c>
      <c r="H1714" t="inlineStr">
        <is>
          <t>Type 1</t>
        </is>
      </c>
    </row>
    <row r="1715">
      <c r="A1715" t="inlineStr">
        <is>
          <t>459yi0</t>
        </is>
      </c>
      <c r="B1715" t="inlineStr">
        <is>
          <t>CGM Kinking/ Bending Problem</t>
        </is>
      </c>
      <c r="C1715" t="inlineStr">
        <is>
          <t>Hello all! 
After taking a few years off of the CGM I decided to give it a try again. I love the new inserter and the fact that it's less of a harpoon then the first version, but the last 3 times I've tried to wear my sensor it has been terrible.
All three times I would get sensor errors (when my bg was stable, tried turning off and on for a few hours...) so I took them out. Each time the needle part was kinked or bent. 
I am not a thin person, so that's not the problem. I tried different spots on my belly each time thinking maybe it was scar tissue, but I haven't been putting my insulin pump in my stomach for years. 
I'm at a loss. Anyone else have this issue? How'd you deal?
*edit:* It's a Medtronic Enlite</t>
        </is>
      </c>
      <c r="D1715" t="n">
        <v>5</v>
      </c>
      <c r="E1715" t="n">
        <v>10</v>
      </c>
      <c r="F1715">
        <f>HYPERLINK("https://www.reddit.com/r/diabetes/comments/459yi0/cgm_kinking_bending_problem/")</f>
        <v/>
      </c>
      <c r="G1715" t="inlineStr">
        <is>
          <t>2016-02-11 09:34:52</t>
        </is>
      </c>
      <c r="H1715" t="inlineStr">
        <is>
          <t>Type 1</t>
        </is>
      </c>
    </row>
    <row r="1716">
      <c r="A1716" t="inlineStr">
        <is>
          <t>45a5ef</t>
        </is>
      </c>
      <c r="B1716" t="inlineStr">
        <is>
          <t>New to type 2, looking for advice on sugar cravings.</t>
        </is>
      </c>
      <c r="C1716" t="inlineStr">
        <is>
          <t>I found out I was diabetic last Monday. A1c 11.6 and I am trying to get that down, so long term habits have to change. My problem is constant cravings for sweets. After cutting off soda and sweets and most other junk I am not sure what I can have to get rid of the cravings.</t>
        </is>
      </c>
      <c r="D1716" t="n">
        <v>3</v>
      </c>
      <c r="E1716" t="n">
        <v>22</v>
      </c>
      <c r="F1716">
        <f>HYPERLINK("https://www.reddit.com/r/diabetes/comments/45a5ef/new_to_type_2_looking_for_advice_on_sugar_cravings/")</f>
        <v/>
      </c>
      <c r="G1716" t="inlineStr">
        <is>
          <t>2016-02-11 10:09:00</t>
        </is>
      </c>
      <c r="H1716" t="inlineStr">
        <is>
          <t>Type 2</t>
        </is>
      </c>
    </row>
    <row r="1717">
      <c r="A1717" t="inlineStr">
        <is>
          <t>45b9w0</t>
        </is>
      </c>
      <c r="B1717" t="inlineStr">
        <is>
          <t>Something less nerdy to store pens?</t>
        </is>
      </c>
      <c r="C1717" t="inlineStr">
        <is>
          <t>Greetings! So as a TI I have to carry around my pens as well as glucometer. Right now I just kind of stash it in my pocket, but I'd love something nicer than a cheap zipper pouch to store my stuff in. What do you guys like?
As an aside, my doctor didn't mention much about keeping my insulin cold (after I start using the pen, the other ones are in the fridge), but a lot of the pouches are, "cooler packs." Should I be worrying about that? I read somewhere it's good for a month at room temp. True? False?</t>
        </is>
      </c>
      <c r="D1717" t="n">
        <v>2</v>
      </c>
      <c r="E1717" t="n">
        <v>17</v>
      </c>
      <c r="F1717">
        <f>HYPERLINK("https://www.reddit.com/r/diabetes/comments/45b9w0/something_less_nerdy_to_store_pens/")</f>
        <v/>
      </c>
      <c r="G1717" t="inlineStr">
        <is>
          <t>2016-02-11 13:46:27</t>
        </is>
      </c>
      <c r="H1717" t="inlineStr">
        <is>
          <t>Type 1</t>
        </is>
      </c>
    </row>
    <row r="1718">
      <c r="A1718" t="inlineStr">
        <is>
          <t>45hmx6</t>
        </is>
      </c>
      <c r="B1718" t="inlineStr">
        <is>
          <t>Self-managing as a T1 while hospitalized</t>
        </is>
      </c>
      <c r="C1718" t="inlineStr">
        <is>
          <t>Hi everybody-
I've spent most of this week in the hospital with pneumonia (don't worry, I'm on the mend and discharged now), but I had a pleasant surprise in the the hospital I was at had a policy of letting T1s on insulin pumps keep their pumps and handle their own diabetes management while they were there.
While inpatient, the nurses would still check my blood sugar with their meter, and would ask me about current basal settings and any boluses given every 4 hours, but other than that, they let me take care of the diabetes aspect of things. The entire time I was in, I never went below 70 or over 180, and they were amazed that I was able to keep things that well-controlled while fighting an infection, getting IV antibiotics, TONS of albuterol to keep my lungs open and functioning, etc.
Which led me to wonder: With all of the horror stories I hear from T1s who have had to be hospitalized, How common is this? Is it becoming more common? (I hope!). Does anyone else have any tales of hospitals with sane insulin pump policies? It seems like common sense to me, but we all know how uncommon common sense seems to be in many medical settings...</t>
        </is>
      </c>
      <c r="D1718" t="n">
        <v>6</v>
      </c>
      <c r="E1718" t="n">
        <v>9</v>
      </c>
      <c r="F1718">
        <f>HYPERLINK("https://www.reddit.com/r/diabetes/comments/45hmx6/selfmanaging_as_a_t1_while_hospitalized/")</f>
        <v/>
      </c>
      <c r="G1718" t="inlineStr">
        <is>
          <t>2016-02-12 15:53:33</t>
        </is>
      </c>
      <c r="H1718" t="inlineStr">
        <is>
          <t>Type 1</t>
        </is>
      </c>
    </row>
    <row r="1719">
      <c r="A1719" t="inlineStr">
        <is>
          <t>45hqyh</t>
        </is>
      </c>
      <c r="B1719" t="inlineStr">
        <is>
          <t>I am ashamed of being a young person with type 2</t>
        </is>
      </c>
      <c r="C1719" t="inlineStr">
        <is>
          <t xml:space="preserve">Things have been tough lately. I have been diagnosed with type 2 for a year now at 18. Even though I've been able to manage it, it is mentally that I am suffering. For a while when I was in the hospital they didn't know if I was type 2 or 1 because I got pretty suddenly, very strongly ( had to be in the hospital for 3 weeks ) and though I'm overweight not that dramatically ( but from my moroccan side of the family a lot have type 2 ). 
I know it sounds horrible but in the hospital I wished I was type 1 even though I knew it was harder to manage. Because if that was the case it wasn't going to be my fault. But I am type 2...It's tough to think I am a statistic, like oh youth is getting fatter and now more and more of them have diabetes. Now my family talk about it openly with everybody when it is so intimate to me. when I argue against it they say it's for my own good and I will understand when I have a child. I don't tell my friends the truth because I am ashamed. I also think on the internet people with type 1  are judging me because our illness have the same name but theirs is harder to deal with ( wish I understand but it is hard to hear some people say my illness was bad luck but I got mine by my own fault )  
I don't want to sound like I'm complaining, I know it could be way way worse, I just wonder if some of you with type 2 feel the same way and how you dealt with it or find some people who got it young like me. </t>
        </is>
      </c>
      <c r="D1719" t="n">
        <v>25</v>
      </c>
      <c r="E1719" t="n">
        <v>19</v>
      </c>
      <c r="F1719">
        <f>HYPERLINK("https://www.reddit.com/r/diabetes/comments/45hqyh/i_am_ashamed_of_being_a_young_person_with_type_2/")</f>
        <v/>
      </c>
      <c r="G1719" t="inlineStr">
        <is>
          <t>2016-02-12 16:20:30</t>
        </is>
      </c>
      <c r="H1719" t="inlineStr">
        <is>
          <t>Type 2</t>
        </is>
      </c>
    </row>
    <row r="1720">
      <c r="A1720" t="inlineStr">
        <is>
          <t>45klvr</t>
        </is>
      </c>
      <c r="B1720" t="inlineStr">
        <is>
          <t>Retinopathy, Neuropathy, and Nephropathy - my son's life</t>
        </is>
      </c>
      <c r="C1720" t="inlineStr">
        <is>
          <t xml:space="preserve">Hello r/diabetes. I've written in the past about my son, but it's been a couple of years. Things have changed quite a lot since then. He's 30 years old, is a professional chef, and lives with me. We're more housemates/friends than mother/son, and it's an amicable arrangement. He has had type 1 since he was 5 years old.
Two years ago he was nearly blind from retinopathy. He underwent a vitrectomy in one eye and about 18 months of Avastin injections. Last summer he had extensive laser treatments. His eyesight has improved dramatically! His next appointment with his eye specialist is in March, and then he will get new glasses and we're hoping he'll be able to drive. He hasn't driven in nearly 4 years.
Also last summer, his kidneys began failing. We knew he was on the path to dialysis and began making preparations. His first attempt at fistula surgery was an utter disaster, which I blame on the surgeon and his staff. As usual, he had to fast the night before, so they told him to skip his morning insulin. His surgery was scheduled for 10:30 am. By 9, with no insulin, his blood sugar had reached the upper 300's.  The surgeon ordered insulin and when the nurse came in to give the injection, we asked her how much. We told her that was FAR too much, per his correction factor, and she shrugged and said, "it's what the doctor ordered," and gave him the shot. 
Naturally, within 30-45 minutes, he was crashing. Then began the "have a snack, wait 30 minutes, test again" routine. It was a major clusterfuck. They canceled the surgery because they deemed him unstable, but they wouldn't allow us to leave until his BG had risen.  By 1pm, his BG was still below 100; I told them this was ridiculous, we were leaving and would stop for something to eat on the way home.
In November his GFR had reached critical levels so an emergency fistula surgery was scheduled. The surgeon also installed a perma-cath just under his clavicle, for dialysis access, since the fistula needed 2-3 months to mature. The fistula... holy shit. He has an incision from his armpit to the bend in his elbow. It's massive. The actual fistula is bizarre. You can see it, and if you put your hand on it, you can feel the blood rushing through it. He began dialysis on Nov 20 and has been going 3 days a week since. Some days he comes home and can't do anything except go to bed. It's very, very hard on him, but he's still managing to work every evening from 3-11pm. He still has the catheter in his chest; it will be removed within the next few weeks, since they are now using his fistula.
Now for the good news. We've jumped through all of the hoops and he completed all of the testing and is now on the transplant list, for kidney AND pancreas! Even better, his blood is type B, which is the 2nd rarest, and the transplant center had no one on the B list so he is #1. Obviously, since it's a fairly rare type, it will take longer for a cadaver donor, but when they do get one and it's a good tissue match, he'll get the organs.
I've never been so impressed with a group of physicians as I am with the people at the Indiana  University Medical Center, the transplant team. They are beyond amazing. The director of the transplant center is also the surgeon who does 99% of the surgeries and he is phenomenal. I have ultimate faith and trust in him. Extremely impressive.
My son is scared shitless about the surgery, and also freaking out about the possibility of a diabetes-free life. All he has ever known, his entire life, has been needles.  We realize that if he gets a new pancreas, it won't last the rest of his life, but he'll happily take whatever he can get.
tl;dr - son, type 1 x 25  yr is on transplant list for pancreas &amp;amp; kidney
</t>
        </is>
      </c>
      <c r="D1720" t="n">
        <v>25</v>
      </c>
      <c r="E1720" t="n">
        <v>12</v>
      </c>
      <c r="F1720">
        <f>HYPERLINK("https://www.reddit.com/r/diabetes/comments/45klvr/retinopathy_neuropathy_and_nephropathy_my_sons/")</f>
        <v/>
      </c>
      <c r="G1720" t="inlineStr">
        <is>
          <t>2016-02-13 06:29:14</t>
        </is>
      </c>
      <c r="H1720" t="inlineStr">
        <is>
          <t>Type 1</t>
        </is>
      </c>
    </row>
    <row r="1721">
      <c r="A1721" t="inlineStr">
        <is>
          <t>45lbmk</t>
        </is>
      </c>
      <c r="B1721" t="inlineStr">
        <is>
          <t>Need help finding app for figuring carbs per serving of home baked goods - T1</t>
        </is>
      </c>
      <c r="C1721" t="inlineStr">
        <is>
          <t>I love to bake and cook, but haven been having trouble finding a reliable way to figure carb counts for the recipes I make. My boyfriend has enough experience with all that to guess quite accurately, but I would like to make things easier for him. 
So, can anyone recommend a good app that will allow me to input a recipe and then provide the nutritional facts per serving? Thanks so much!</t>
        </is>
      </c>
      <c r="D1721" t="n">
        <v>6</v>
      </c>
      <c r="E1721" t="n">
        <v>12</v>
      </c>
      <c r="F1721">
        <f>HYPERLINK("https://www.reddit.com/r/diabetes/comments/45lbmk/need_help_finding_app_for_figuring_carbs_per/")</f>
        <v/>
      </c>
      <c r="G1721" t="inlineStr">
        <is>
          <t>2016-02-13 08:44:49</t>
        </is>
      </c>
      <c r="H1721" t="inlineStr">
        <is>
          <t>Type 1</t>
        </is>
      </c>
    </row>
    <row r="1722">
      <c r="A1722" t="inlineStr">
        <is>
          <t>45rerv</t>
        </is>
      </c>
      <c r="B1722" t="inlineStr">
        <is>
          <t>Being sick and OJ</t>
        </is>
      </c>
      <c r="C1722" t="inlineStr">
        <is>
          <t>Before being diagnosed T1 last Feb. I used to drink OJ by the gallons when sick but now I'm worried about carbs so I don't drink any. How do you all handle this issue? Regular Tropicana has I think around 27g of carbs while Trop 50 is around 15. Drinking just 2 glasses with a meal will blow up my usual 75g per meal allotment I try to stay with so do you guys count these when dosing or no? Any tips?</t>
        </is>
      </c>
      <c r="D1722" t="n">
        <v>1</v>
      </c>
      <c r="E1722" t="n">
        <v>21</v>
      </c>
      <c r="F1722">
        <f>HYPERLINK("https://www.reddit.com/r/diabetes/comments/45rerv/being_sick_and_oj/")</f>
        <v/>
      </c>
      <c r="G1722" t="inlineStr">
        <is>
          <t>2016-02-14 08:08:33</t>
        </is>
      </c>
      <c r="H1722" t="inlineStr">
        <is>
          <t>Type 1</t>
        </is>
      </c>
    </row>
    <row r="1723">
      <c r="A1723" t="inlineStr">
        <is>
          <t>45u0k4</t>
        </is>
      </c>
      <c r="B1723" t="inlineStr">
        <is>
          <t>Dexcom transmitter died</t>
        </is>
      </c>
      <c r="C1723" t="inlineStr">
        <is>
          <t>Woke up this morning to "low battery replace soon" after only 45 days. Happy valentines day... :-( 
Called dexcom and they're over overnighting a new sensor gratis since it's still in warranty. Great customer service despite the issue.</t>
        </is>
      </c>
      <c r="D1723" t="n">
        <v>2</v>
      </c>
      <c r="E1723" t="n">
        <v>8</v>
      </c>
      <c r="F1723">
        <f>HYPERLINK("https://www.reddit.com/r/diabetes/comments/45u0k4/dexcom_transmitter_died/")</f>
        <v/>
      </c>
      <c r="G1723" t="inlineStr">
        <is>
          <t>2016-02-14 17:02:49</t>
        </is>
      </c>
      <c r="H1723" t="inlineStr">
        <is>
          <t>Type 1</t>
        </is>
      </c>
    </row>
    <row r="1724">
      <c r="A1724" t="inlineStr">
        <is>
          <t>45wjly</t>
        </is>
      </c>
      <c r="B1724" t="inlineStr">
        <is>
          <t>[Advice] UK T1 Confused about pumps and which to choose</t>
        </is>
      </c>
      <c r="C1724" t="inlineStr">
        <is>
          <t>Hi Guys
I am T1 in the UK and I ***might*** be able to get a pump in the next 3-6 months. 
My DSN is keen and my consultant and dietitian agree but there are still a few hoops to jump through.
In the meantime my DSN has told me which pumps I would be able to choose from (if approved) so I can do a bit of research, they are:
1. Medtronic (I think Minimed 640G)
1. Animas Vibe
1. Roche Accu-Chek Combo
1. Roche Accu-Chek Insight
I have been trying to work out what would be best for me based of what info I can find and what I think I will need.
I am currently using MDI of Levemir (14 AM &amp;amp; 19 PM) and NovoRapid with the Accu-Chek Aviva Expert meter
* Carb/Bolus Wizard - Essential 
* Remote – Advantage 
* Cannula Type – Plastic not metal 
* Infusion Set – Automated cannula insertion not manual.
* Reservoir Size – As large as possible 
* Tubing Length – Long as possible
* Waterproof – Not really that necessary, remove for shower or bath and I don't swim
* CGM – Not possible
From what little I know and the research I have done so far these are the opinions I have come to:
[Medtronic 640G ](https://www.medtronic-diabetes.co.uk/minimed-system/minimed-640g-insulin-pump)– couldn't see any advantages over the others especially with no CGM
[Animas Vibe](https://www.animascorp.co.uk/insulin-pumps/vibe-insulin-pump ) – seems good but no remote and most info I found just waffled on about the CGM sensor compatibility
[Roche Accu-Chek Combo](https://www.accu-chek.co.uk/gb/products/insulinpumps/combo.html ) – I already know how to use the meter but hate the bloody thing, it is clunky and not easy to use but the pump seemed ok
[Roche Accu-Chek Insight](https://www.accu-chek.co.uk/gb/products/insulinpumps/insight.html  ) – so far this is my favourite except the teething problems but my DSN and reviews mentioned (which may well be fixed by the time I get one) and the apparently slow handset and the small reservoir.
I could really do with some advice and corrections on any wrong assumptions or any bonuses of each one I may have missed. I have watched many YouTube videos as well as the links above. Any help from yourselves would be greatly appreciated. 
As a bonus, I would also quite like this Vertical Bra Pocket Snaps (under Bras) from www.pumpwearinc.com too :)</t>
        </is>
      </c>
      <c r="D1724" t="n">
        <v>3</v>
      </c>
      <c r="E1724" t="n">
        <v>20</v>
      </c>
      <c r="F1724">
        <f>HYPERLINK("https://www.reddit.com/r/diabetes/comments/45wjly/advice_uk_t1_confused_about_pumps_and_which_to/")</f>
        <v/>
      </c>
      <c r="G1724" t="inlineStr">
        <is>
          <t>2016-02-15 05:52:27</t>
        </is>
      </c>
      <c r="H1724" t="inlineStr">
        <is>
          <t>Type 1</t>
        </is>
      </c>
    </row>
    <row r="1725">
      <c r="A1725" t="inlineStr">
        <is>
          <t>45yl69</t>
        </is>
      </c>
      <c r="B1725" t="inlineStr">
        <is>
          <t>Just Diagnosed Type-2, I have a question about glucose meters...</t>
        </is>
      </c>
      <c r="C1725" t="inlineStr">
        <is>
          <t>How do you figure out how accurate blood glucose meters are?  My doctor gave me a Freestyle Lite, but the test strips seem really expensive.  I found a TrueTest meter on Amazon and the strips for that one seem way more reasonable, but there are a few user comments saying that they meter is constantly off... 
Is there some special way to verify meter accuracy, or do those amazon comment folks have access to equipment that others don't?</t>
        </is>
      </c>
      <c r="D1725" t="n">
        <v>3</v>
      </c>
      <c r="E1725" t="n">
        <v>5</v>
      </c>
      <c r="F1725">
        <f>HYPERLINK("https://www.reddit.com/r/diabetes/comments/45yl69/just_diagnosed_type2_i_have_a_question_about/")</f>
        <v/>
      </c>
      <c r="G1725" t="inlineStr">
        <is>
          <t>2016-02-15 12:39:17</t>
        </is>
      </c>
      <c r="H1725" t="inlineStr">
        <is>
          <t>Type 2</t>
        </is>
      </c>
    </row>
    <row r="1726">
      <c r="A1726" t="inlineStr">
        <is>
          <t>460bfd</t>
        </is>
      </c>
      <c r="B1726" t="inlineStr">
        <is>
          <t>Having kids as a diabetic - Do you need to screen/test your kids?</t>
        </is>
      </c>
      <c r="C1726" t="inlineStr">
        <is>
          <t>I'm a proud first Dad. Had a little girl on the weekend.
As a T1 parent, is there anything I should be doing to keep an eye out for signs of diabetes in my kids? 
Our midwife hadn't heard of anything about screening for diabetes... and they screen for a hell of a lot. Poor girl has been jabbed and prodded numerous times in the 3 days she's been alive, testing for illnesses I've never even heard of. I cringed at the poor nurse pricking her heel for blood and failing miserably... it took her 3 tries and I almost jumped in.
Just wondering what experience you other parents have been through? I know it usually takes a few years to propagate, if at all.</t>
        </is>
      </c>
      <c r="D1726" t="n">
        <v>4</v>
      </c>
      <c r="E1726" t="n">
        <v>10</v>
      </c>
      <c r="F1726">
        <f>HYPERLINK("https://www.reddit.com/r/diabetes/comments/460bfd/having_kids_as_a_diabetic_do_you_need_to/")</f>
        <v/>
      </c>
      <c r="G1726" t="inlineStr">
        <is>
          <t>2016-02-15 18:36:07</t>
        </is>
      </c>
      <c r="H1726" t="inlineStr">
        <is>
          <t>Type 1</t>
        </is>
      </c>
    </row>
    <row r="1727">
      <c r="A1727" t="inlineStr">
        <is>
          <t>460d98</t>
        </is>
      </c>
      <c r="B1727" t="inlineStr">
        <is>
          <t>Doing Keto and I can't keep my Sugars Down</t>
        </is>
      </c>
      <c r="C1727" t="inlineStr">
        <is>
          <t xml:space="preserve">I'm having such a hard time with keto right now. I'm on the diet and it's working. But my sugars are averaging around 14, they're rock solid and barely move. 
And it seems I'm using more insulin than before, my bolus has gone  up, I'm looking at upping my basals, and I've done my correction factor as well. Any tips for this?
I'm averaging around 30 carbs a day, I use net carbs for my bolus and haven't been calculating protein but should I be? What are the rules when it comes to that? </t>
        </is>
      </c>
      <c r="D1727" t="n">
        <v>1</v>
      </c>
      <c r="E1727" t="n">
        <v>4</v>
      </c>
      <c r="F1727">
        <f>HYPERLINK("https://www.reddit.com/r/diabetes/comments/460d98/doing_keto_and_i_cant_keep_my_sugars_down/")</f>
        <v/>
      </c>
      <c r="G1727" t="inlineStr">
        <is>
          <t>2016-02-15 18:47:34</t>
        </is>
      </c>
      <c r="H1727" t="inlineStr">
        <is>
          <t>Type 1</t>
        </is>
      </c>
    </row>
    <row r="1728">
      <c r="A1728" t="inlineStr">
        <is>
          <t>461nr4</t>
        </is>
      </c>
      <c r="B1728" t="inlineStr">
        <is>
          <t>Medtronics Enlite CGM Sensor Day 12...</t>
        </is>
      </c>
      <c r="C1728" t="inlineStr">
        <is>
          <t>So i'm currently on my 12th day with the same sensor. Yay. Thought I'd share some info in case it helps others work out how to best keep their sensors going past the 6 day expiry.
I use 1 of the provided overtapes, not two like some people. I use some cheap medical paper tape to hold the transmitter down (transmitter is also facing upwards so gravity doesn't pull it away from sensor). This particular sensor I inserted just above and to the right of my belly button. 
On days 4, 5, and 6 I'd get occasional missed data points (just a single 5min measurement). If it came up with sensor data not available it'd usually come good within 20mins.
At the end of day 6 I started getting ISIG data not available error and it didn't recover (this is not the same as a sensor error). So I ended up unplugging the transmitter, reseating it, and reconnected it as a new sensor. After the warm up time and a calibration (minimed 640G), it was working fine again. 
Day 7 had a couple of missed data points. 
Day 8 it dropped out again and didn't come back again. Reconnected as new sensor, and away we go again. 
Day 12 transmitter battery is low and the original overtape has started to peel off. Replaced it with another piece of overtape (you get 2 per sensor in the box). Recharged the transmitter while I had the chance. Currently doing warm up period.
Will be interesting to see just how long I can stretch this one out to. There's absolutely no sign of irritation or infection at the insertion site either. 
A couple of points:
I've had one sensor make it to day 4 and come up with sensor error. Reconnecting it didn't work as it quickly came up with the same sensor error again after warm up. Guess it was a dud.
All of the sensors I've used so far have been accurate regardless of age. I'm talking +/- 1mmol/L accurate. Usually just do the 12hr calibration measurements, but my 640G is setup to auto-calibrate any time I do a test. Whatever algorithm the 640G uses to calibrate the sensors works pretty well. 
I'm interested to hear what experiences other people are having with the Enlite system (the new one not the old system). I'm pretty happy with it so far. Integration with the 640G pump with the autosuspend before low feature is great. It seems the sensors can be a bit hit-or-miss, but they *can* be stretched beyond the 6 days in some cases. The dexcom from what I've heard is pretty consistent with getting 2+ weeks out of a sensor. I might've gone with the Animas pump + Dexcom if it weren't for the fact it only has a 200u cartridge (I go through a 300u cartridge every second day... insulin resistance ftw)</t>
        </is>
      </c>
      <c r="D1728" t="n">
        <v>3</v>
      </c>
      <c r="E1728" t="n">
        <v>10</v>
      </c>
      <c r="F1728">
        <f>HYPERLINK("https://www.reddit.com/r/diabetes/comments/461nr4/medtronics_enlite_cgm_sensor_day_12/")</f>
        <v/>
      </c>
      <c r="G1728" t="inlineStr">
        <is>
          <t>2016-02-16 01:05:24</t>
        </is>
      </c>
      <c r="H1728" t="inlineStr">
        <is>
          <t>Type 1</t>
        </is>
      </c>
    </row>
    <row r="1729">
      <c r="A1729" t="inlineStr">
        <is>
          <t>4632fq</t>
        </is>
      </c>
      <c r="B1729" t="inlineStr">
        <is>
          <t>Humulin R and Keto</t>
        </is>
      </c>
      <c r="C1729" t="inlineStr">
        <is>
          <t>What do you think of using regular insulin (Humulin R or Novolin R) instead of rapid acting (Apidra, Humalog or Novolog)?
The profile of regular seems to cover proteins/fats better, but the onset time is much worse. I'm currently on Apidra, maybe Humalog or Novolog will be better for keto?</t>
        </is>
      </c>
      <c r="D1729" t="n">
        <v>1</v>
      </c>
      <c r="E1729" t="n">
        <v>3</v>
      </c>
      <c r="F1729">
        <f>HYPERLINK("https://www.reddit.com/r/diabetes/comments/4632fq/humulin_r_and_keto/")</f>
        <v/>
      </c>
      <c r="G1729" t="inlineStr">
        <is>
          <t>2016-02-16 08:01:39</t>
        </is>
      </c>
      <c r="H1729" t="inlineStr">
        <is>
          <t>Type 1</t>
        </is>
      </c>
    </row>
    <row r="1730">
      <c r="A1730" t="inlineStr">
        <is>
          <t>465gfb</t>
        </is>
      </c>
      <c r="B1730" t="inlineStr">
        <is>
          <t>Any other Type 1 diabetic musicians out there? what do you play?</t>
        </is>
      </c>
      <c r="C1730" t="inlineStr">
        <is>
          <t>My name is matt, been type one for about 5 years now, Play bass in a funk band in Ireland :)</t>
        </is>
      </c>
      <c r="D1730" t="n">
        <v>1</v>
      </c>
      <c r="E1730" t="n">
        <v>14</v>
      </c>
      <c r="F1730">
        <f>HYPERLINK("https://www.reddit.com/r/diabetes/comments/465gfb/any_other_type_1_diabetic_musicians_out_there/")</f>
        <v/>
      </c>
      <c r="G1730" t="inlineStr">
        <is>
          <t>2016-02-16 16:13:20</t>
        </is>
      </c>
      <c r="H1730" t="inlineStr">
        <is>
          <t>Type 1</t>
        </is>
      </c>
    </row>
    <row r="1731">
      <c r="A1731" t="inlineStr">
        <is>
          <t>465vej</t>
        </is>
      </c>
      <c r="B1731" t="inlineStr">
        <is>
          <t>Question for those on a CGM</t>
        </is>
      </c>
      <c r="C1731" t="inlineStr">
        <is>
          <t xml:space="preserve">I recently started wearing a CGM and have been loving it so far. Im still trying to figure out all the tips and tricks for getting the most out of a sensor.
When is the best time to put a new sensor on? When I attach a new sensor I get a 2 hour warm up period before I need to calibrate it. Is it a bad idea to eat a meal during that 2 hour warm up period? I know for calibration I should have stable blood sugars for better results, but I'm more interested in how unstable blood sugars might impact the CGM during its warmup stage. Has anyone heard anything about this? Or have you noticed any difference from your personal experiences?
Im using enlite sensors with a medtronic pump. </t>
        </is>
      </c>
      <c r="D1731" t="n">
        <v>6</v>
      </c>
      <c r="E1731" t="n">
        <v>11</v>
      </c>
      <c r="F1731">
        <f>HYPERLINK("https://www.reddit.com/r/diabetes/comments/465vej/question_for_those_on_a_cgm/")</f>
        <v/>
      </c>
      <c r="G1731" t="inlineStr">
        <is>
          <t>2016-02-16 17:52:41</t>
        </is>
      </c>
      <c r="H1731" t="inlineStr">
        <is>
          <t>Type 1</t>
        </is>
      </c>
    </row>
    <row r="1732">
      <c r="A1732" t="inlineStr">
        <is>
          <t>46950x</t>
        </is>
      </c>
      <c r="B1732" t="inlineStr">
        <is>
          <t>Working out.</t>
        </is>
      </c>
      <c r="C1732" t="inlineStr">
        <is>
          <t xml:space="preserve">I'm have type 1.5 diabetes, I'm not over weight, I'm out of shape.  I've been have lots of problems with neuropathy in my legs and feet.
I want to join a gym to exercise, when is the best time to work out, morning (before work) or evening (after dinner)?  For those of you who do work out, what do you do at the gym, and how do you prevent lows?  
Thanks JB
</t>
        </is>
      </c>
      <c r="D1732" t="n">
        <v>1</v>
      </c>
      <c r="E1732" t="n">
        <v>10</v>
      </c>
      <c r="F1732">
        <f>HYPERLINK("https://www.reddit.com/r/diabetes/comments/46950x/working_out/")</f>
        <v/>
      </c>
      <c r="G1732" t="inlineStr">
        <is>
          <t>2016-02-17 07:27:07</t>
        </is>
      </c>
      <c r="H1732" t="inlineStr">
        <is>
          <t>Type 1</t>
        </is>
      </c>
    </row>
    <row r="1733">
      <c r="A1733" t="inlineStr">
        <is>
          <t>46ajpq</t>
        </is>
      </c>
      <c r="B1733" t="inlineStr">
        <is>
          <t>Diabetes and children?</t>
        </is>
      </c>
      <c r="C1733" t="inlineStr">
        <is>
          <t xml:space="preserve">Hello! So, I'm posting here just because one day I plan to have kids and I have Type 1 Diabetes. It runs in my family and seems to skip one generation because it skipped my mom and her sisters. But, now my step sister and I have it. Her pregnancy seemed to be very hard. She was always in and out of the hospital and had to stay in the hospital for a few weeks after her child's birth...
I don't know if it was because she wasn't taking care of it or what, we've never been close. But, I was wondering what are the risks of being a Type 1 Diabetic and having children? I'm gonna hope it will skip my kids generation whenever I decided to have one. Can anyone enlighten me? </t>
        </is>
      </c>
      <c r="D1733" t="n">
        <v>3</v>
      </c>
      <c r="E1733" t="n">
        <v>7</v>
      </c>
      <c r="F1733">
        <f>HYPERLINK("https://www.reddit.com/r/diabetes/comments/46ajpq/diabetes_and_children/")</f>
        <v/>
      </c>
      <c r="G1733" t="inlineStr">
        <is>
          <t>2016-02-17 11:42:08</t>
        </is>
      </c>
      <c r="H1733" t="inlineStr">
        <is>
          <t>Type 1</t>
        </is>
      </c>
    </row>
    <row r="1734">
      <c r="A1734" t="inlineStr">
        <is>
          <t>46amar</t>
        </is>
      </c>
      <c r="B1734" t="inlineStr">
        <is>
          <t>search dogs...</t>
        </is>
      </c>
      <c r="C1734" t="inlineStr">
        <is>
          <t xml:space="preserve">Today at my school we had search dogs come in. They told us to leave our bags and everything in the room and leave, they were obviously looking for drugs. One of the police guys described my bag saying how both the dogs kept going to it and I panic, one of my insulin things broke because of temperature change and spilled. They searched my bag and everything was fine though!   </t>
        </is>
      </c>
      <c r="D1734" t="n">
        <v>2</v>
      </c>
      <c r="E1734" t="n">
        <v>4</v>
      </c>
      <c r="F1734">
        <f>HYPERLINK("https://www.reddit.com/r/diabetes/comments/46amar/search_dogs/")</f>
        <v/>
      </c>
      <c r="G1734" t="inlineStr">
        <is>
          <t>2016-02-17 11:55:50</t>
        </is>
      </c>
      <c r="H1734" t="inlineStr">
        <is>
          <t>Type 1</t>
        </is>
      </c>
    </row>
    <row r="1735">
      <c r="A1735" t="inlineStr">
        <is>
          <t>46aued</t>
        </is>
      </c>
      <c r="B1735" t="inlineStr">
        <is>
          <t>Found out guy I'm dating is HIV+</t>
        </is>
      </c>
      <c r="C1735" t="inlineStr">
        <is>
          <t>Hey all, first time posting in r/diabetes but I was wondering if anyone could offer some insight. Im 20 years old, diagnosed with type 1 diabetes about 8 months ago (really late onset), but other than that fairly healthy. I have been seeing a guy for a few weeks now, and we both very much feel a connection. Last night on a date he confessed to me that he was raped a few months ago and as a result contracted HIV. We havn't sex yet, but he is currently bringing his viral load to undetectable. I understand sustaining a relationship with someone who is HIV+ in this day and age is entirely possible (condoms/prep/truvada), but I was wondering if as a diabetic, I was at a higher risk for contracting HIV, even if he is undetectable? It just got me thinking since we frequently prick our fingers and inject with insuline, could chance of infection be higher. I am really into this boy, in a way I've never felt before, and wanted to know if anyone on here is in a relationship with an HIV+ person. Any information would greatly appreciate it.
Edit: thanks everybody for the advice. I see there is a lot of differing opinions but after some research and the links y'all supplied me with, I'm beginning to think it may be possible. Definitely going to talk to my doctor though.</t>
        </is>
      </c>
      <c r="D1735" t="n">
        <v>24</v>
      </c>
      <c r="E1735" t="n">
        <v>43</v>
      </c>
      <c r="F1735">
        <f>HYPERLINK("https://www.reddit.com/r/diabetes/comments/46aued/found_out_guy_im_dating_is_hiv/")</f>
        <v/>
      </c>
      <c r="G1735" t="inlineStr">
        <is>
          <t>2016-02-17 12:39:33</t>
        </is>
      </c>
      <c r="H1735" t="inlineStr">
        <is>
          <t>Type 1</t>
        </is>
      </c>
    </row>
    <row r="1736">
      <c r="A1736" t="inlineStr">
        <is>
          <t>46bzek</t>
        </is>
      </c>
      <c r="B1736" t="inlineStr">
        <is>
          <t>After weeks of testing, I finally have my basal rates, carb ratio, and correction factor dialed in.</t>
        </is>
      </c>
      <c r="C1736" t="inlineStr">
        <is>
          <t xml:space="preserve">I'm so happy. No more going low three times a day, no more waking up low every day. Turning down my basal proved my carb ratio was too low. Went from 1:10 to 1:7. 
I'm also really close to figuring out how to do cardio! I've managed to do it without going low, but I turned my basal down too much because I ended up high. </t>
        </is>
      </c>
      <c r="D1736" t="n">
        <v>2</v>
      </c>
      <c r="E1736" t="n">
        <v>4</v>
      </c>
      <c r="F1736">
        <f>HYPERLINK("https://www.reddit.com/r/diabetes/comments/46bzek/after_weeks_of_testing_i_finally_have_my_basal/")</f>
        <v/>
      </c>
      <c r="G1736" t="inlineStr">
        <is>
          <t>2016-02-17 16:26:46</t>
        </is>
      </c>
      <c r="H1736" t="inlineStr">
        <is>
          <t>Type 1</t>
        </is>
      </c>
    </row>
    <row r="1737">
      <c r="A1737" t="inlineStr">
        <is>
          <t>46c4p9</t>
        </is>
      </c>
      <c r="B1737" t="inlineStr">
        <is>
          <t>One of those days where it won't stop buzzing.</t>
        </is>
      </c>
      <c r="C1737" t="inlineStr">
        <is>
          <t>http://imgur.com/sOIkUhC
Besides changing it out or muting the alarms, do you have any homespun methods to keep the trendlines more even and accurate?  
I guarantee you my BG didn't go from 360 to 40 in under 30 minutes.</t>
        </is>
      </c>
      <c r="D1737" t="n">
        <v>2</v>
      </c>
      <c r="E1737" t="n">
        <v>0</v>
      </c>
      <c r="F1737">
        <f>HYPERLINK("https://www.reddit.com/r/diabetes/comments/46c4p9/one_of_those_days_where_it_wont_stop_buzzing/")</f>
        <v/>
      </c>
      <c r="G1737" t="inlineStr">
        <is>
          <t>2016-02-17 17:01:22</t>
        </is>
      </c>
      <c r="H1737" t="inlineStr">
        <is>
          <t>Type 1</t>
        </is>
      </c>
    </row>
    <row r="1738">
      <c r="A1738" t="inlineStr">
        <is>
          <t>46f1yp</t>
        </is>
      </c>
      <c r="B1738" t="inlineStr">
        <is>
          <t>Pump Error - Using Syringes for 1 Day - Help!</t>
        </is>
      </c>
      <c r="C1738" t="inlineStr">
        <is>
          <t>Hello!
So this morning I was taking off my pj shirt in a rush to get to work and I ripped out my infusion set, and of course didn't have my spare with me.
I stopped at the pharmacy, purchased some syringes and I have extra novorapid at work. So I'm about 2 hours into syringes and I need some help.  
I know that usually you'd use Lantus to keep you steady and use novo for bolusing. But because I've got myself in this situation, do you have any suggestions on how to approach this?
Right now I've got my CGM, and pretty much every time it shows and upwards arrow I take 1 unit of insulin or more if I'm having a snack. Luckily I go home in 7 hours and can hook back up to my pump...
Any suggestions?</t>
        </is>
      </c>
      <c r="D1738" t="n">
        <v>1</v>
      </c>
      <c r="E1738" t="n">
        <v>4</v>
      </c>
      <c r="F1738">
        <f>HYPERLINK("https://www.reddit.com/r/diabetes/comments/46f1yp/pump_error_using_syringes_for_1_day_help/")</f>
        <v/>
      </c>
      <c r="G1738" t="inlineStr">
        <is>
          <t>2016-02-18 06:47:39</t>
        </is>
      </c>
      <c r="H1738" t="inlineStr">
        <is>
          <t>Type 1</t>
        </is>
      </c>
    </row>
    <row r="1739">
      <c r="A1739" t="inlineStr">
        <is>
          <t>46fvs8</t>
        </is>
      </c>
      <c r="B1739" t="inlineStr">
        <is>
          <t>Other medications for T1 diabetics?</t>
        </is>
      </c>
      <c r="C1739" t="inlineStr">
        <is>
          <t>Wondering what other medications T1D's are on?
I just got done with my yearly well-check with my primary (my endo takes care of everything else 4x per year).
My cholesterol levels are fine for a "non-diabetic" but she suggested I start on a low dose of lipitor to nudge it closer to 80 (treating it as if I have heart disease). In addition, a low dose of an ACE inhibitor was also suggested to handle my blood pressure (borderline high ~130/80) and protect my kidneys.
I'm already on an SSRI for anxiety/depression and niacin for my HDL cholesterol (runs low in my family).
Wondering how many pills &amp;amp; medications can one 39 year old be on?</t>
        </is>
      </c>
      <c r="D1739" t="n">
        <v>1</v>
      </c>
      <c r="E1739" t="n">
        <v>13</v>
      </c>
      <c r="F1739">
        <f>HYPERLINK("https://www.reddit.com/r/diabetes/comments/46fvs8/other_medications_for_t1_diabetics/")</f>
        <v/>
      </c>
      <c r="G1739" t="inlineStr">
        <is>
          <t>2016-02-18 09:30:40</t>
        </is>
      </c>
      <c r="H1739" t="inlineStr">
        <is>
          <t>Type 1</t>
        </is>
      </c>
    </row>
    <row r="1740">
      <c r="A1740" t="inlineStr">
        <is>
          <t>46h18g</t>
        </is>
      </c>
      <c r="B1740" t="inlineStr">
        <is>
          <t>Introduction</t>
        </is>
      </c>
      <c r="C1740" t="inlineStr">
        <is>
          <t>I am the mother of a seven year old brittle T1, diagnosed at age 2. She's been on the pump since 6 months after diagnosis.
She knows some of the time when she's low, but there will be other times when she is totally fine and will check her blood sugar for dinner and be 2.3! We check about 10 times a day.
She is learning carb counting-- knowing how much certain foods are, adding them up. 
Our main concern is that the only way she will allow her pump insertion is in her bum, which is becoming horribly scarred. We need to start using other areas, but she freaks out. Any suggestions on getting her to allow other sites??</t>
        </is>
      </c>
      <c r="D1740" t="n">
        <v>1</v>
      </c>
      <c r="E1740" t="n">
        <v>1</v>
      </c>
      <c r="F1740">
        <f>HYPERLINK("https://www.reddit.com/r/diabetes/comments/46h18g/introduction/")</f>
        <v/>
      </c>
      <c r="G1740" t="inlineStr">
        <is>
          <t>2016-02-18 13:18:51</t>
        </is>
      </c>
      <c r="H1740" t="inlineStr">
        <is>
          <t>Type 1</t>
        </is>
      </c>
    </row>
    <row r="1741">
      <c r="A1741" t="inlineStr">
        <is>
          <t>46hcil</t>
        </is>
      </c>
      <c r="B1741" t="inlineStr">
        <is>
          <t>1 year anniversary type 1 lada.</t>
        </is>
      </c>
      <c r="C1741" t="inlineStr">
        <is>
          <t>Its been almost one year since my life changed, I read this place daily and appreciate everyone here. I am still not on insulin and my A1C's have been 5.2's and 5.3s every time I have been checked since I started eating low carb ( I am also on metformin) I go in again March 9th. Since Thanksgiving I have been cheating more and more and have had a few days of high blood sugar 180+ I feel guilty and horrible every time it happens. I also had a really bad cold that lasted close to two weeks and my  blood sugar was almost impossible to control with diet. 
oh well. 
here's to another year! 
thanks again everyone!</t>
        </is>
      </c>
      <c r="D1741" t="n">
        <v>5</v>
      </c>
      <c r="E1741" t="n">
        <v>16</v>
      </c>
      <c r="F1741">
        <f>HYPERLINK("https://www.reddit.com/r/diabetes/comments/46hcil/1_year_anniversary_type_1_lada/")</f>
        <v/>
      </c>
      <c r="G1741" t="inlineStr">
        <is>
          <t>2016-02-18 14:21:49</t>
        </is>
      </c>
      <c r="H1741" t="inlineStr">
        <is>
          <t>Type 1.5/LADA</t>
        </is>
      </c>
    </row>
    <row r="1742">
      <c r="A1742" t="inlineStr">
        <is>
          <t>46hhfu</t>
        </is>
      </c>
      <c r="B1742" t="inlineStr">
        <is>
          <t>Just had a minor hypo and now I get to suffer a few days of being treated like an invalid.</t>
        </is>
      </c>
      <c r="C1742" t="inlineStr">
        <is>
          <t>Just under half an hour ago, I was out in town with my Dad and I started to repeat myself. We both realised I was going low and I bought a Coke. Chugged it down and now I feel fine. And, although I know it's only because he cares, I still don't look forward to days of "Do you think you should be doing that?", "Are you sure you'll be alright with x?", "Do you want me to do that, just in case?"
I know our relatives get scared but I wish they could get over hypos as quickly as we do.</t>
        </is>
      </c>
      <c r="D1742" t="n">
        <v>9</v>
      </c>
      <c r="E1742" t="n">
        <v>4</v>
      </c>
      <c r="F1742">
        <f>HYPERLINK("https://www.reddit.com/r/diabetes/comments/46hhfu/just_had_a_minor_hypo_and_now_i_get_to_suffer_a/")</f>
        <v/>
      </c>
      <c r="G1742" t="inlineStr">
        <is>
          <t>2016-02-18 14:50:45</t>
        </is>
      </c>
      <c r="H1742" t="inlineStr">
        <is>
          <t>Type 1</t>
        </is>
      </c>
    </row>
    <row r="1743">
      <c r="A1743" t="inlineStr">
        <is>
          <t>46hq9n</t>
        </is>
      </c>
      <c r="B1743" t="inlineStr">
        <is>
          <t>My diabetic journey</t>
        </is>
      </c>
      <c r="C1743" t="inlineStr">
        <is>
          <t>I was diagnosed with type 2 diabetes around 2010, I probably had it well before that but didn't get checked for a very long time. I had a A1c number of 12 in 2010, was on meds, however I was not very consistent with it. Fast forward to Oct 2015, I decided ok it's time to get serious about my diabetes. I got checked and it was 12 again, I get put on meds and I stick with it this time. A month later it dropped to a 10, progress but not great. I was on meds but I didn't change my diet. At thanksgiving time I started checking my glucose level each morning, on thanksgiving morning I was at 245. It was that day that I decided fuck this, I'm going to change my diet. 
Since then I have cut out all sugary drinks, I'll drink gatorade to replenish when I'm out cycling because I know I'll burn it off quickly. Other than that it's water or ice tea for me. I also cut out all sugary desserts like cakes, cookies, candy. The hardest for me was carbs, I freakin love carbs! I didnt cut it out, but limited my intake. If I'm going to eat carbs its going to be brown rice or grains, no more white bread or rice. Lately I've been cutting back on the sauces too, you dont think about it, but that stuff has a lot of sugar in it. Compared to a lot of people, I didn't eat bad, but didnt eat great either, just averaged compared to most. What I do now is check the label of what I eat, if it has over 10g is sugar per serving I'll pass on it.
As for exercise, I cycle once a week(30-50 miles), and muay thai once or twice a week. Actually I've been slacking on the muay thai.
Since thanksgiving, I've exercised less, but I've been dropping weight and most importantly slimming. I was not that much over weight anyways, my ideal according to the Dr was around 165, I was 174, I'm 5'9. I think my weight now is down to around the low 161's. Most people are shocked when I tell them I'm diabetic because I dont fit that image at all. Damn gentics! My mom's side is diabetic and they were all fit too.
Anyways with those changes, my morning glucose level has been in the 104-118 range for the past week or two. Other than lack of sweets i still get to enjoy pretty tasty food, it is not all bland as one would imagine. I've been letting myself have some cheats here and there, I check how much sugar is in a cookie and have one. I have to keep my sanity somehow. 
In about 3 months I went from a pretty bad number to something much more manageable. I've always had this chronic dull pain in my back, below my shoulder blade,  been there for over 5-8 years. Ever since I change my diet, it immediately went away. 
Fighting diabetes is easy, the hard part is all mental and keeping at it.</t>
        </is>
      </c>
      <c r="D1743" t="n">
        <v>4</v>
      </c>
      <c r="E1743" t="n">
        <v>4</v>
      </c>
      <c r="F1743">
        <f>HYPERLINK("https://www.reddit.com/r/diabetes/comments/46hq9n/my_diabetic_journey/")</f>
        <v/>
      </c>
      <c r="G1743" t="inlineStr">
        <is>
          <t>2016-02-18 15:44:54</t>
        </is>
      </c>
      <c r="H1743" t="inlineStr">
        <is>
          <t>Type 2</t>
        </is>
      </c>
    </row>
    <row r="1744">
      <c r="A1744" t="inlineStr">
        <is>
          <t>46jpva</t>
        </is>
      </c>
      <c r="B1744" t="inlineStr">
        <is>
          <t>Anti-psychotics and diabetes</t>
        </is>
      </c>
      <c r="C1744" t="inlineStr">
        <is>
          <t>I was diagnosed with Type 2 diabetes at age 17, 1 year after I started taking Risperdal and Depekene for BPD. I was told by a new psychatrist that I was most likely misdiagnosed with BPD. I'm 22 now and I stopped taking Risperdal completely (6months now) and weening off Depekene  under doctor's supervision. 
I haven't gone to my GP (for diabetes) but I stopped taking my diabetes medication for the past 2 months since I started throwing up (once I stopped Risperdal) after taking it regularly. I noticed I was feeling better but was not monitoring my blood sugar. The past week I was monitoring my blood sugar (fasting, 2hrs after eating) and it's... normal. Even if I eat candy or have soda. I told a person with diabetes to use my machine to see if it was working and it was.
I really feel damn great too. I was wondering if anyone had similar experiences? I really feel like taking those shitty anti-psychotics was a good waste of my young years and body.
Besides having diabetes I would also not get periods and for what... a misdiagnosis for BPD? 
I'm going to get tested at a doctor's office again soon to see the effects of stopping those drugs.</t>
        </is>
      </c>
      <c r="D1744" t="n">
        <v>3</v>
      </c>
      <c r="E1744" t="n">
        <v>3</v>
      </c>
      <c r="F1744">
        <f>HYPERLINK("https://www.reddit.com/r/diabetes/comments/46jpva/antipsychotics_and_diabetes/")</f>
        <v/>
      </c>
      <c r="G1744" t="inlineStr">
        <is>
          <t>2016-02-19 00:46:34</t>
        </is>
      </c>
      <c r="H1744" t="inlineStr">
        <is>
          <t>Type 2</t>
        </is>
      </c>
    </row>
    <row r="1745">
      <c r="A1745" t="inlineStr">
        <is>
          <t>46luiz</t>
        </is>
      </c>
      <c r="B1745" t="inlineStr">
        <is>
          <t>[QUESTION] Newly diagnosed with pre-diabetes, question about carbs</t>
        </is>
      </c>
      <c r="C1745" t="inlineStr">
        <is>
          <t xml:space="preserve">I was diagnosed with pre-diabetes about a week ago.  The doctor told me to go on a low-carb/ low-fat diet.  I went to see a dietician yesterday, and she was kind of a joke.  Every time I asked a question she didn't really know the answer.
So, I am asking you:
1. She said I can have 45g of carbs at each meal (3 meals a day).  She said I have to count the carbs in every single food item that I eat, including all veggies even lettuce, broccoli, celery, tomatoes.  That sounds strange to me.   Is this accurate?
2. I asked her if I should seek foods higher in fiber when chosing carbs (high-fiber bread for example), and she said it doesn't really matter either way.  But doesn't the fiber negate some of the carbs?  For example, if something has 15g of total carbs, and 5g of fiber, don't you only count it as 10g of carbs?
I guess those are my two most pressing questions at the moment.  Thank you for any help!
</t>
        </is>
      </c>
      <c r="D1745" t="n">
        <v>5</v>
      </c>
      <c r="E1745" t="n">
        <v>10</v>
      </c>
      <c r="F1745">
        <f>HYPERLINK("https://www.reddit.com/r/diabetes/comments/46luiz/question_newly_diagnosed_with_prediabetes/")</f>
        <v/>
      </c>
      <c r="G1745" t="inlineStr">
        <is>
          <t>2016-02-19 09:54:42</t>
        </is>
      </c>
      <c r="H1745" t="inlineStr">
        <is>
          <t>Type 2</t>
        </is>
      </c>
    </row>
    <row r="1746">
      <c r="A1746" t="inlineStr">
        <is>
          <t>46qvqz</t>
        </is>
      </c>
      <c r="B1746" t="inlineStr">
        <is>
          <t>Questions regarding CGM devices.</t>
        </is>
      </c>
      <c r="C1746" t="inlineStr">
        <is>
          <t xml:space="preserve">Hello!  I am new to this subreddit so I do apologize if I am repeating previous posts.  I am type 1 diabetic since I was 11 years old, I am now 29.  I have never been interested in a pump or in a CGM device because the thought of something ALWAYS sticking in me kind of freaks me out a little bit.  HOWEVER, a series of events have made me consider a CGM device a little more.  My husband and I are looking to get pregnant and I am sure everyone can figure out on their own if they didn't already know that sugars staying stable are an important factor for pregnancy before, during and after.  The other factor is that I recently (as in it happened two days ago and was diagnosed yesterday) have BRVO (branch retinal vascular occlusion) which is basically when oxygen is deprived from your eye leaving you with a blind spot (a complication from Diabetes and high BP).  It may never get completely better which has left me kind of bummed and with a new found urge to get my sugars completely under control.  I used to be such a brat about my diabetes as a child and would have A1Cs as high as 12, which I think contributed to the BRVO.  I now keep my A1Cs in the 7s but I still have some highs, and since I have been a bit more strict about my blood sugar for and upcoming pregnancy, some lows.  Sorry for rambling on, just wanted to give some background on myself and my reason for looking into a new device.  What devices are out there?  I have read some about the Dexcom.  Does anyone have any experience with a high deductible plan and the covering of such devices?  I have a $3000 deductible and will meet it with ease, and I am supposed to pay max out of pocket $4000 but I don't know if this sort of thing can be denied by insurance as unnecessary?  How much ordering of supplies are needed to replace parts of the device throughout the year?  What about the aesthetics of the device that is on your body?  Is it obvious?  I don't mind people asking or seeing it but there are times when I would imagine I would prefer it hidden (such as a formal party).  Can you take it off for a night for such an occasion easily and replace?  What about insertion does that hurt or is it difficult?  Does it get bumped easily?  I hope that I am not rambling too much and that you guys can give me some insights into the pros and cons.  Thank you!
TL;DR Tell me the pros and cons of a CGM device.  </t>
        </is>
      </c>
      <c r="D1746" t="n">
        <v>3</v>
      </c>
      <c r="E1746" t="n">
        <v>19</v>
      </c>
      <c r="F1746">
        <f>HYPERLINK("https://www.reddit.com/r/diabetes/comments/46qvqz/questions_regarding_cgm_devices/")</f>
        <v/>
      </c>
      <c r="G1746" t="inlineStr">
        <is>
          <t>2016-02-20 08:58:14</t>
        </is>
      </c>
      <c r="H1746" t="inlineStr">
        <is>
          <t>Type 1</t>
        </is>
      </c>
    </row>
    <row r="1747">
      <c r="A1747" t="inlineStr">
        <is>
          <t>46rjt9</t>
        </is>
      </c>
      <c r="B1747" t="inlineStr">
        <is>
          <t>Pump Site question - applicable to anyone with pump experience.</t>
        </is>
      </c>
      <c r="C1747" t="inlineStr">
        <is>
          <t>So I've been a diabetic for a long time (18+ years of excitement) - and on and off of the pump. The first time I had a pump, all the way back in 1999ish, any area I put an infusion site, it was fine. No issues, my body seemed to absorb the insulin fine.  
(I will note that I was much smaller than, I was a pre-pubescent girl- then on through puberty- and if anything I'm curvier now, the areas of my body where I put infusion sites are much unchanged.)  
After a while off (wild college years, etc.)  I returned to using a pump a bit over 2 years ago, and (some of you may recognize the user name) only just this year got around to actually paying attention to testing and bolusing correctly. I have noticed that some of my old favored infusion sites don't seem to take as well anymore. Particularly my outer thighs- which were always my favorite spot, relatively painless to use, and out of the way.  
Anyone have any insight as to what could be going on here? Anyone else have a spot just not work as well over time? I just changed sites last night, and put one in my upper thigh, and for some reason today my numbers are just not jiving for me. I haven't consumed much in the way of carbs, but I'm trending up, I'm not sick- all I can think of is that my basal rate isn't working correctly. I'm going to change out the site, but the puzzle of the area has my interest flagged.  
Thoughts, comrades?</t>
        </is>
      </c>
      <c r="D1747" t="n">
        <v>4</v>
      </c>
      <c r="E1747" t="n">
        <v>15</v>
      </c>
      <c r="F1747">
        <f>HYPERLINK("https://www.reddit.com/r/diabetes/comments/46rjt9/pump_site_question_applicable_to_anyone_with_pump/")</f>
        <v/>
      </c>
      <c r="G1747" t="inlineStr">
        <is>
          <t>2016-02-20 11:28:10</t>
        </is>
      </c>
      <c r="H1747" t="inlineStr">
        <is>
          <t>Type 1</t>
        </is>
      </c>
    </row>
    <row r="1748">
      <c r="A1748" t="inlineStr">
        <is>
          <t>46rl59</t>
        </is>
      </c>
      <c r="B1748" t="inlineStr">
        <is>
          <t>Type 2 and the Flu</t>
        </is>
      </c>
      <c r="C1748" t="inlineStr">
        <is>
          <t xml:space="preserve">I have been able to keep my BGL under control except for now.  I have the flu and although I am barely able to eat anything (7 carb Gatorades and bacon and eggs) my blood sugar is 300+ constantly.  I am taking my metformin still but it doesn't seem to control it.  My exercise is way down due to being sore and stiff.  Is this common?  I have an endo appointment in 4 days but am nervous.
</t>
        </is>
      </c>
      <c r="D1748" t="n">
        <v>4</v>
      </c>
      <c r="E1748" t="n">
        <v>3</v>
      </c>
      <c r="F1748">
        <f>HYPERLINK("https://www.reddit.com/r/diabetes/comments/46rl59/type_2_and_the_flu/")</f>
        <v/>
      </c>
      <c r="G1748" t="inlineStr">
        <is>
          <t>2016-02-20 11:36:26</t>
        </is>
      </c>
      <c r="H1748" t="inlineStr">
        <is>
          <t>Type 2</t>
        </is>
      </c>
    </row>
    <row r="1749">
      <c r="A1749" t="inlineStr">
        <is>
          <t>46sfyk</t>
        </is>
      </c>
      <c r="B1749" t="inlineStr">
        <is>
          <t>My endo told me that if I dropped enough weight, I would be "cured" of my diabetes... what does this mean?</t>
        </is>
      </c>
      <c r="C1749" t="inlineStr">
        <is>
          <t>I just remembered that my endo told me this about a year ago. To me, being cured of diabetes means I could eat an entire cup of white sugar without spiking beyond normal, non-diabetic ranges. From what I understand, once you have diabetes there is no such cure. I might be able to get off meds, but I will never be free of this disease. Why would an endocrinologist tell me otherwise? If my problem was simply insulin resistance from excess weight, would they still call it diabetes? I now know that I was having diabetic readings well before I gained weight, so I'm pretty sure I have full-blown diabetes. My first doctor (not an endo) also said I could cure myself if I lost weight. I remember the intense hopefulness and incredible drive to get healthy, then the crushing realization that it simply wasn't true. What do these doctors mean when they say, "cured"?</t>
        </is>
      </c>
      <c r="D1749" t="n">
        <v>10</v>
      </c>
      <c r="E1749" t="n">
        <v>72</v>
      </c>
      <c r="F1749">
        <f>HYPERLINK("https://www.reddit.com/r/diabetes/comments/46sfyk/my_endo_told_me_that_if_i_dropped_enough_weight_i/")</f>
        <v/>
      </c>
      <c r="G1749" t="inlineStr">
        <is>
          <t>2016-02-20 14:58:51</t>
        </is>
      </c>
      <c r="H1749" t="inlineStr">
        <is>
          <t>Type 2</t>
        </is>
      </c>
    </row>
    <row r="1750">
      <c r="A1750" t="inlineStr">
        <is>
          <t>46th69</t>
        </is>
      </c>
      <c r="B1750" t="inlineStr">
        <is>
          <t>rant - Diagnosed last year, need some support</t>
        </is>
      </c>
      <c r="C1750" t="inlineStr">
        <is>
          <t xml:space="preserve">Hi everyone, 
Finally decided to post here! I graduated college last December. I was diagnosed with T1 right before my last semester of college.(Woohoo!) Started with Lantus, and Novolog, and slowly things were doing good, and my doctor said to stick to just lantus. Currently, my sugars are fluctuating all the time, on an average they are about 210-250 mg/dl per day. I have recently starting work at a manufacturing plant, and I am having a very hard time adjusting to work life too(administering the shots, checking 4 times a day). Multiple Injections is getting hard with my work life style.  I am back on novorapid and lantus, and hoping it's going to come down sometime soon. I live alone, and just in general finding it hard to go on with my day. I worry too much, and I just want to feel normal again. My boyfriend lives on the other side of the country, and I feel like I keep stressing him out too. I just want to be the same person I was before diagnosis, happy and cheerful. Any kind words would be appreciated :)  </t>
        </is>
      </c>
      <c r="D1750" t="n">
        <v>6</v>
      </c>
      <c r="E1750" t="n">
        <v>7</v>
      </c>
      <c r="F1750">
        <f>HYPERLINK("https://www.reddit.com/r/diabetes/comments/46th69/rant_diagnosed_last_year_need_some_support/")</f>
        <v/>
      </c>
      <c r="G1750" t="inlineStr">
        <is>
          <t>2016-02-20 19:07:35</t>
        </is>
      </c>
      <c r="H1750" t="inlineStr">
        <is>
          <t>Type 1</t>
        </is>
      </c>
    </row>
    <row r="1751">
      <c r="A1751" t="inlineStr">
        <is>
          <t>46xl9v</t>
        </is>
      </c>
      <c r="B1751" t="inlineStr">
        <is>
          <t>Air bubble equivalent to insulin units?</t>
        </is>
      </c>
      <c r="C1751" t="inlineStr">
        <is>
          <t xml:space="preserve">A VERY random question, but I was wondering if anyone knew how much insulin an inch worths of air in my infusion set tubing would equate to?  </t>
        </is>
      </c>
      <c r="D1751" t="n">
        <v>1</v>
      </c>
      <c r="E1751" t="n">
        <v>9</v>
      </c>
      <c r="F1751">
        <f>HYPERLINK("https://www.reddit.com/r/diabetes/comments/46xl9v/air_bubble_equivalent_to_insulin_units/")</f>
        <v/>
      </c>
      <c r="G1751" t="inlineStr">
        <is>
          <t>2016-02-21 14:12:12</t>
        </is>
      </c>
      <c r="H1751" t="inlineStr">
        <is>
          <t>Type 1</t>
        </is>
      </c>
    </row>
    <row r="1752">
      <c r="A1752" t="inlineStr">
        <is>
          <t>46xzau</t>
        </is>
      </c>
      <c r="B1752" t="inlineStr">
        <is>
          <t>Wish me luck, guys!</t>
        </is>
      </c>
      <c r="C1752" t="inlineStr">
        <is>
          <t>Teen (14) diabetic, diagnosed July 4 2015 at 696mg/dl.
Tomorrow morning is my next endocrinologist follow up appointment and my a1c test. Three months ago my a1c was really good, in the target range of like 4-5 something. Hopefully tomorrow's results are good!</t>
        </is>
      </c>
      <c r="D1752" t="n">
        <v>2</v>
      </c>
      <c r="E1752" t="n">
        <v>8</v>
      </c>
      <c r="F1752">
        <f>HYPERLINK("https://www.reddit.com/r/diabetes/comments/46xzau/wish_me_luck_guys/")</f>
        <v/>
      </c>
      <c r="G1752" t="inlineStr">
        <is>
          <t>2016-02-21 15:39:30</t>
        </is>
      </c>
      <c r="H1752" t="inlineStr">
        <is>
          <t>Type 1</t>
        </is>
      </c>
    </row>
    <row r="1753">
      <c r="A1753" t="inlineStr">
        <is>
          <t>4724if</t>
        </is>
      </c>
      <c r="B1753" t="inlineStr">
        <is>
          <t>Sudden sugar drop?</t>
        </is>
      </c>
      <c r="C1753" t="inlineStr">
        <is>
          <t>Context first, I am an obese T2 diagnosed a couple years ago, I changed my diet and I'm on 2000 mg of metformin a day and for months my numbers have been stable, just north of 89 and south of 136.
I have also been lurking here and just hit me how common hypoglycemia is, and how dangerous, you see, back when I was "healthy" (and doing my darnedest not to be) I had, from time to time, some light hypo, I would start to shake and have cold sweat, and so on after some particularly hard mental exertion, but it would go away with some coke and some sweet bready thing. now after the diagnostic I haven't gone hypo at all (wile keeping the top numbers on check) but now I am kind of worried that my blood sugar could drop unexpectedly and knock me out before I can do a thing about it, in fact I don´t keep sweet stuff at home. 
so, how big is the chance of blood sugar dropping unexpectedly and devastatingly for a T2? is it just an unfounded worry?</t>
        </is>
      </c>
      <c r="D1753" t="n">
        <v>4</v>
      </c>
      <c r="E1753" t="n">
        <v>11</v>
      </c>
      <c r="F1753">
        <f>HYPERLINK("https://www.reddit.com/r/diabetes/comments/4724if/sudden_sugar_drop/")</f>
        <v/>
      </c>
      <c r="G1753" t="inlineStr">
        <is>
          <t>2016-02-22 10:14:51</t>
        </is>
      </c>
      <c r="H1753" t="inlineStr">
        <is>
          <t>Type 2</t>
        </is>
      </c>
    </row>
    <row r="1754">
      <c r="A1754" t="inlineStr">
        <is>
          <t>4725ag</t>
        </is>
      </c>
      <c r="B1754" t="inlineStr">
        <is>
          <t>lows- what do y'all eat to avoid crazy bounceback high readings?</t>
        </is>
      </c>
      <c r="C1754" t="inlineStr">
        <is>
          <t>Hi guys, me again. I'm just full of questions! I've been T1 for almost 13 years, and I still haven't been able to get a handle on eating for late night low blood sugars. You know when you shoot out of bed, beeline down to the kitchen and eat everything in sight? I always try super hard not to do that, but I can't get out of my own way. Then I wake up in the morning for work feeling almost hungover. What do you guys do when you have low BS?</t>
        </is>
      </c>
      <c r="D1754" t="n">
        <v>5</v>
      </c>
      <c r="E1754" t="n">
        <v>22</v>
      </c>
      <c r="F1754">
        <f>HYPERLINK("https://www.reddit.com/r/diabetes/comments/4725ag/lows_what_do_yall_eat_to_avoid_crazy_bounceback/")</f>
        <v/>
      </c>
      <c r="G1754" t="inlineStr">
        <is>
          <t>2016-02-22 10:19:34</t>
        </is>
      </c>
      <c r="H1754" t="inlineStr">
        <is>
          <t>Type 1</t>
        </is>
      </c>
    </row>
    <row r="1755">
      <c r="A1755" t="inlineStr">
        <is>
          <t>4733td</t>
        </is>
      </c>
      <c r="B1755" t="inlineStr">
        <is>
          <t>It will catch up with you</t>
        </is>
      </c>
      <c r="C1755" t="inlineStr">
        <is>
          <t xml:space="preserve">Hi Friends,
As my flair suggests, I was diagnosed in 2004, at age 11. I'm 23 now, and I've begun to come to terms with it being more of a serious issue. I want to share a few things to see if it gives someone the insight they didn't know they wanted. I am Male, and my story pertains to that of a Male.
Throughout my teens, I was able to keep out of trouble, and only had one incident during high school where I went low while sleeping. (Only major low I've ever had) and avoided DKA until age 17. I've had DKA maybe two or three times now, each a little less scary than the last and it's now been a few years since I last had that.
My control has been mostly a bell curve over the 11 years. I didn't care much for it my teens as quality of life meant a lot more to me than strict routines and a long life. I'm now 23, in love, have a dog, have a great job and all of the freedom I could want. Except my health is catching up with me, and fast.
I'm short sighted, which could be because I'm a huge computer nerd. I've had teeth issues which doesn't have much to do with diabetes but it's something to take note of. I have Tendonitis in my right hand, which sucks in my line of work, and especially sucks when your hobbies are Guitar and Drums and my general energy has been at an all time low.
Each of these things I've had some sort of warning about with my Diabetes. Gum Diseases, Increased Eye Nerve Damage, Circulation in regards to my tendonitis. 
I started to take better care of myself this year. For the first time I recognised this thing can't be beat by will power. My HBA1c has been off the charts sometime in my journey, and I managed to get it back on when I realized this a few years ago.
I've been given everything I needed to be educated about how to control it, but never the truths of why I should.
I need a circumcision, as you likely know, we're prone to infection, and I'm sick of that being something to worry about happening. It does happen, it's fucking awful. I'm ready to have this done, but the anesthesiologist won't help me until the HBA1c is down to 75 (9.0%) 
It's the same with a Cortisone injection for Tendonitis, only if your HBA1c is fine, can you get help.
I've maintained an HBA1c that can be read and am now down to 96 (10.9%). I'm on my way but it's not easy when the problem is discipline and not education. I may already have damage that can't be undone. I recommend everyone learns what retrograde ejaculation is, and starts to sort their HBA1c right now. 
I'd like to remind everyone who reads these posts and ignores them because now's not a good time, that there's never a good time. You will regret the issues you get when you fall in love and want to live a long life with that person. I want you to learn from the mistake I've made by ignoring it for so long.
I hope the right people read this. Thanks.
Edit: Sorry if this was a little depressing or even apathetic. I just wanted to remind those who are young that it's not okay to ignore. </t>
        </is>
      </c>
      <c r="D1755" t="n">
        <v>51</v>
      </c>
      <c r="E1755" t="n">
        <v>47</v>
      </c>
      <c r="F1755">
        <f>HYPERLINK("https://www.reddit.com/r/diabetes/comments/4733td/it_will_catch_up_with_you/")</f>
        <v/>
      </c>
      <c r="G1755" t="inlineStr">
        <is>
          <t>2016-02-22 13:31:02</t>
        </is>
      </c>
      <c r="H1755" t="inlineStr">
        <is>
          <t>Type 1</t>
        </is>
      </c>
    </row>
    <row r="1756">
      <c r="A1756" t="inlineStr">
        <is>
          <t>4778bb</t>
        </is>
      </c>
      <c r="B1756" t="inlineStr">
        <is>
          <t>So, I fainted this weekend...has this ever happened to anyone else?</t>
        </is>
      </c>
      <c r="C1756" t="inlineStr">
        <is>
          <t xml:space="preserve">Background: So, I was diagnosed in the spring of 2013. My GP didn't send me to an endocrinologist and put me on Invokana. No insulin, no diabetic education, no glucose testing, nothing. I lost about 150 lbs since then (I am a fatty and still have more to lose). Thought things were going OK. Three weeks ago, turns out I had DKA and had to spend a night in the hospital. Glucose levels were around 250. Weren't as high as they were expecting given my condition, but high enough that I had to ditch the invokana for insulin pens. I'm taking corrective dosses of Humalog before meals and Tresiba in the morning. 
However, this Sunday, I woke up and went to the bathroom. It was a lazy Sunday morning. So I was sitting down, reading some reddit, taking my time. I guess I stood up too fast, got light headed and I fainted. I didn't lose consciousness all that long as I got up right away but it was weird. First thing I did was check my sugar, which was around 140. So it wasn't crazy high nor was it low. 
My wife wanted me to go to the ER again but I felt fine after it happened. Nor did I want to go to the ER again after spending $600-700 plus the deductible with my visit 3 weeks ago. 
I have my follow up with my endocrinologist next week, and will bring it up to him as well but wanted to see if anyone else has ever experienced this. </t>
        </is>
      </c>
      <c r="D1756" t="n">
        <v>3</v>
      </c>
      <c r="E1756" t="n">
        <v>10</v>
      </c>
      <c r="F1756">
        <f>HYPERLINK("https://www.reddit.com/r/diabetes/comments/4778bb/so_i_fainted_this_weekendhas_this_ever_happened/")</f>
        <v/>
      </c>
      <c r="G1756" t="inlineStr">
        <is>
          <t>2016-02-23 08:02:25</t>
        </is>
      </c>
      <c r="H1756" t="inlineStr">
        <is>
          <t>Type 2</t>
        </is>
      </c>
    </row>
    <row r="1757">
      <c r="A1757" t="inlineStr">
        <is>
          <t>4794a8</t>
        </is>
      </c>
      <c r="B1757" t="inlineStr">
        <is>
          <t>When family member on verge of passing out</t>
        </is>
      </c>
      <c r="C1757" t="inlineStr">
        <is>
          <t>My dad's a t1. I'm 15, and have known him as a T1 for pretty much all of my life.     
A few times he's reached the point of passing out or almost passing out from having low enough blood sugar. One of these times was last night, and my mom had to take him to the ER. This happens when it gets to the point where he can't manage it himself and nobody can get him to eat anything because he feels so nauseous.    
When this happens, what can I do to help?</t>
        </is>
      </c>
      <c r="D1757" t="n">
        <v>3</v>
      </c>
      <c r="E1757" t="n">
        <v>18</v>
      </c>
      <c r="F1757">
        <f>HYPERLINK("https://www.reddit.com/r/diabetes/comments/4794a8/when_family_member_on_verge_of_passing_out/")</f>
        <v/>
      </c>
      <c r="G1757" t="inlineStr">
        <is>
          <t>2016-02-23 14:13:50</t>
        </is>
      </c>
      <c r="H1757" t="inlineStr">
        <is>
          <t>Type 1</t>
        </is>
      </c>
    </row>
    <row r="1758">
      <c r="A1758" t="inlineStr">
        <is>
          <t>4797vh</t>
        </is>
      </c>
      <c r="B1758" t="inlineStr">
        <is>
          <t>Medical Alert Tattoo - Relevant If You're In NH</t>
        </is>
      </c>
      <c r="C1758" t="inlineStr">
        <is>
          <t>Hi Everyone! I hope this is alright to post this here!
If you are in New Hampshire (or can easily get here) and have Type 1 Diabetes, Midnight Moon Tattoo &amp;amp; Piercing in Meredith, NH is having a fundraising event on April 2nd, 2016.
On that Saturday, we will be having our three artists doing a strictly walk-in, free for donation tattooing event. We have a selection of pre-designed medical alerts tattoos all stating that the owner is a Type 1 Diabetic. We will be doing these tattoos free of charge, but ask that, if you can, you donate.
All donations will go to the American Diabetic Association's Camp Carefree in New Durham, NH. This camp relies heavily on donations and helps kids learn to manage their diabetes as well as being a great place to be with other kids who have Type 1 Diabetes.
You can read more on our blog [Here](http://midnightmoontattoo.com/midnight-moon-tattoo-type-1-diabetic-tattoo-day/)
Thanks!</t>
        </is>
      </c>
      <c r="D1758" t="n">
        <v>41</v>
      </c>
      <c r="E1758" t="n">
        <v>26</v>
      </c>
      <c r="F1758">
        <f>HYPERLINK("https://www.reddit.com/r/diabetes/comments/4797vh/medical_alert_tattoo_relevant_if_youre_in_nh/")</f>
        <v/>
      </c>
      <c r="G1758" t="inlineStr">
        <is>
          <t>2016-02-23 14:32:38</t>
        </is>
      </c>
      <c r="H1758" t="inlineStr">
        <is>
          <t>Type 1</t>
        </is>
      </c>
    </row>
    <row r="1759">
      <c r="A1759" t="inlineStr">
        <is>
          <t>47a824</t>
        </is>
      </c>
      <c r="B1759" t="inlineStr">
        <is>
          <t>THANK YOU, FELLOW /R/DIABETES REDDIT COMMENTERS</t>
        </is>
      </c>
      <c r="C1759" t="inlineStr">
        <is>
          <t>I've been visiting this sub for a little over two years since my T1D diagnosis and I want to sincerely thank everyone who contributes to the feed for making this an informed, productive, and in my opinion, very positive community. I am so proud to live with type 1 diabetes as a result of seeing and reading all the badass shit diabetics are doing online. My outlook has dramatically improved since I was diagnosed and it's no doubt that this is largely due in part to all of the resources within this community. Since I have Hashimoto's, I was also frequenting the r/hypothryoidism sub, which is disappointingly full of pseudo-science, one-size-fits-all treatment preaching by those without any medical background, and literally thousands of posts talking about how shitty life is, how hard things are etc. Hoping to change the conversation, I posted asking people how Hashi's has improved an aspect of their life/what successes they've had, and while it got a handful of comments, it pretty much went unnoticed in the sea of weight loss posts. While I understand living with autoimmunity can be a huge pain in the ass and that everyone copes differently, I again, strongly admire the vocalized resilience and fortitude within this community. I hope I'm able to find a Hashimoto's community as awesome as this, but in the meantime, I'll just keep getting my positivity fix from here :)</t>
        </is>
      </c>
      <c r="D1759" t="n">
        <v>10</v>
      </c>
      <c r="E1759" t="n">
        <v>10</v>
      </c>
      <c r="F1759">
        <f>HYPERLINK("https://www.reddit.com/r/diabetes/comments/47a824/thank_you_fellow_rdiabetes_reddit_commenters/")</f>
        <v/>
      </c>
      <c r="G1759" t="inlineStr">
        <is>
          <t>2016-02-23 18:15:01</t>
        </is>
      </c>
      <c r="H1759" t="inlineStr">
        <is>
          <t>Type 1</t>
        </is>
      </c>
    </row>
    <row r="1760">
      <c r="A1760" t="inlineStr">
        <is>
          <t>47a8xz</t>
        </is>
      </c>
      <c r="B1760" t="inlineStr">
        <is>
          <t>Weird/Funny/Random Diabetes Stories</t>
        </is>
      </c>
      <c r="C1760" t="inlineStr">
        <is>
          <t>So I had a kinda funny thing happen to me the other day and thought it could be fun to swap some random diabetes stories. 
So the other day, I had my insulin pen clipped on my pocket (with the pen on the inside of my pocket) and went to take my wallet out and it popped the cap off the pen. Of course this has happened before so I didn't think anything of it, but when I went to pop the cap back on I noticed that not only did it yank the cap off the pen needle, but it somehow ripped the actual metal needle part out of the plastic as well. So I was just like, well, shit, I guess I'm not eatting until I get home (I was only going to be out for a few hours so I wasn't too worried about it). Then I go to look at my wallet, AND SEE THE NEEDLE STICKING OUT JUST UNDER THE JOINT OF MY THUMB! A good 1/4 of the needle ended up going through my skin. Still have no idea how it happened or how I didn't feel it. It was just kinda like, huh, well that's a new one!</t>
        </is>
      </c>
      <c r="D1760" t="n">
        <v>7</v>
      </c>
      <c r="E1760" t="n">
        <v>6</v>
      </c>
      <c r="F1760">
        <f>HYPERLINK("https://www.reddit.com/r/diabetes/comments/47a8xz/weirdfunnyrandom_diabetes_stories/")</f>
        <v/>
      </c>
      <c r="G1760" t="inlineStr">
        <is>
          <t>2016-02-23 18:20:50</t>
        </is>
      </c>
      <c r="H1760" t="inlineStr">
        <is>
          <t>Type 1</t>
        </is>
      </c>
    </row>
    <row r="1761">
      <c r="A1761" t="inlineStr">
        <is>
          <t>47afyc</t>
        </is>
      </c>
      <c r="B1761" t="inlineStr">
        <is>
          <t>looking for help</t>
        </is>
      </c>
      <c r="C1761" t="inlineStr">
        <is>
          <t>Right, Long story short got a Physichal pushing sugar ended up being in the high 200's for a few weeks. Drastically overhauled my diet and now I hover a little above 100 on a regular basis. Now that ive got things a bit more under control Im trying to not be such a Nazi and figure out what I can and cannot introduce into my diet without overly wrecking my health.
I dont do refined or processed food of any type at all period and I make everything at home from scratch.
Pretty much my avg day.
3-4 eggs half a cup of red peppers, 1/2 an onion 1/2 cup of spinach all in an omelete with a tbs of salsa I make myself and a tbs of sour cream.
Lunch Is usually a large salad 5 oz box of random assortment of greens, red wine vinnegar (1tsp) and a light drizzle of olive oil. Usually chuck a chicken breast in there (unbreaded of course) or I skip lunch because I just dont really get hungry anymore.
Dinner can be anything, last night I made stuffed mushrooms, ground beef, Mozzerella cheese and green onions, tonight I did a green bean stirfry( green beans from farmers market, 4oz of italian brown mushrooms, a medium onion, 2 cloves of garlic sauted in olive oil then adding 1/2 cup vegetable stock 1/2 cup greek yogurt and 1 egg yolk to thicken) 
I keep a pretty tight lid on stuff and since I work professionally as a Chef its a bit easier for me to do things than for other people.
What im looking for is foods to experiment with that wont kill me, im used to eating pasta literally every day and its part of heritage and something I truly love to enjoy. However I cant do this cause I dont want to die. At least not for awhile lol, so im looking for alternatives in which to experiment with in order to create something similar in the kitchen that I can enjoy to the same effect.
Has anyone bothered to experiment with this sort of thing yet? and if so what have you used?
So far ive tried cauliflower, ive milled lentils into flour and been experimenting with that, ive been looking into fortifying buckwheat with what grass juice and making a much more nutritionally dense form of soba which doesnt seem to effect blood sugar at all for me, but buckwheat has an incredibly strong flavor and its a real pain in the ass to work with. Shiritake is disgusting.
So looking for a low carb sweet spot I can kind of mold into what I want. 
I know im all over the place lol, but advice/help/direction/anecdotes would be a godsend at this point.
thanks gents</t>
        </is>
      </c>
      <c r="D1761" t="n">
        <v>2</v>
      </c>
      <c r="E1761" t="n">
        <v>5</v>
      </c>
      <c r="F1761">
        <f>HYPERLINK("https://www.reddit.com/r/diabetes/comments/47afyc/looking_for_help/")</f>
        <v/>
      </c>
      <c r="G1761" t="inlineStr">
        <is>
          <t>2016-02-23 19:05:43</t>
        </is>
      </c>
      <c r="H1761" t="inlineStr">
        <is>
          <t>Type 2</t>
        </is>
      </c>
    </row>
    <row r="1762">
      <c r="A1762" t="inlineStr">
        <is>
          <t>47alyz</t>
        </is>
      </c>
      <c r="B1762" t="inlineStr">
        <is>
          <t>Is heart disease avoidable with Type 2 diabetes?</t>
        </is>
      </c>
      <c r="C1762" t="inlineStr">
        <is>
          <t>I apologize for the simple question. I was diagnosed about a month ago and have felt *completely* left in the dark, no matter what organization or article I look up, there doesn't seem to be any information offering these sorts of details for newly diagnosed diabetics. The whole experience has been pretty lonely, frustrating, and heartbreaking.
Does anyone know if avoiding heart disease as a T2 diabetic is likely?From the information I could gather, it is caused by high glucose levels over the years causing to damages to the blood vessels. Is it common to hear of diabetics utilizing a healthy lifestyle and not having years shaved off their life due to diabetes?
Since being diagnosed last month, I've lost nearly 20 pounds and brought my **average** blood glucose from 190 to around 110 without medication. I'm happy with my progress and would like a bit of insight from those who have experience with the topic.</t>
        </is>
      </c>
      <c r="D1762" t="n">
        <v>3</v>
      </c>
      <c r="E1762" t="n">
        <v>7</v>
      </c>
      <c r="F1762">
        <f>HYPERLINK("https://www.reddit.com/r/diabetes/comments/47alyz/is_heart_disease_avoidable_with_type_2_diabetes/")</f>
        <v/>
      </c>
      <c r="G1762" t="inlineStr">
        <is>
          <t>2016-02-23 19:43:44</t>
        </is>
      </c>
      <c r="H1762" t="inlineStr">
        <is>
          <t>Type 2</t>
        </is>
      </c>
    </row>
    <row r="1763">
      <c r="A1763" t="inlineStr">
        <is>
          <t>47cv7p</t>
        </is>
      </c>
      <c r="B1763" t="inlineStr">
        <is>
          <t>Sigh. My own mother...</t>
        </is>
      </c>
      <c r="C1763" t="inlineStr">
        <is>
          <t xml:space="preserve">The woman who cared for me as a Type 1 kid, recently told me to "eat cinnamon every day to lower your blood sugar."
So much misinformation from all sides. I know people mean well, it's just frustrating that so few people understand Type 1 well, even among those who have dealt with it.
edit: I really appreciate all the responses. I've done some more reading today and am still not seeing any evidence that cinnamon helps **Type 1**. It's a delicious spice, though, so if you like it, go for it. If you're looking for a less traditional way to use it, it's awesome on brussels sprouts and lamb. </t>
        </is>
      </c>
      <c r="D1763" t="n">
        <v>37</v>
      </c>
      <c r="E1763" t="n">
        <v>31</v>
      </c>
      <c r="F1763">
        <f>HYPERLINK("https://www.reddit.com/r/diabetes/comments/47cv7p/sigh_my_own_mother/")</f>
        <v/>
      </c>
      <c r="G1763" t="inlineStr">
        <is>
          <t>2016-02-24 06:35:26</t>
        </is>
      </c>
      <c r="H1763" t="inlineStr">
        <is>
          <t>Type 1</t>
        </is>
      </c>
    </row>
    <row r="1764">
      <c r="A1764" t="inlineStr">
        <is>
          <t>47e152</t>
        </is>
      </c>
      <c r="B1764" t="inlineStr">
        <is>
          <t>Type 2, Blood sugar rising while fasting</t>
        </is>
      </c>
      <c r="C1764" t="inlineStr">
        <is>
          <t>Hello, so I am T2 diagnosed October 2014, I managed pretty well for the first year, got my a1c down to 5.9 after my initial diagnosis, however, I lost my insurance November of 2015. I went off the rails a little bit, anyways, getting back on track now but won't have insurance again until april 1st so I am off medication until then. Anyhow!
I've noticed that during the morning period after I wake up and before lunch my blood sugar is consistently going up from around 110-120 when I wake up to 140 around lunch time. Is this normal? What accounts for this rise without having eaten or had anything to drink except water?</t>
        </is>
      </c>
      <c r="D1764" t="n">
        <v>0</v>
      </c>
      <c r="E1764" t="n">
        <v>18</v>
      </c>
      <c r="F1764">
        <f>HYPERLINK("https://www.reddit.com/r/diabetes/comments/47e152/type_2_blood_sugar_rising_while_fasting/")</f>
        <v/>
      </c>
      <c r="G1764" t="inlineStr">
        <is>
          <t>2016-02-24 10:26:28</t>
        </is>
      </c>
      <c r="H1764" t="inlineStr">
        <is>
          <t>Type 2</t>
        </is>
      </c>
    </row>
    <row r="1765">
      <c r="A1765" t="inlineStr">
        <is>
          <t>47fqz2</t>
        </is>
      </c>
      <c r="B1765" t="inlineStr">
        <is>
          <t>How to properly count carbs?</t>
        </is>
      </c>
      <c r="C1765" t="inlineStr">
        <is>
          <t>Right want to ask something, im looking at alternatives for recipes and low carbing and I keep coming across recipes that state zero carb bread where thy use things like flax seed and pylium husk in place of flower but these thins are not zero carb options and I would like to know why they are touted as such by the community?
Ive found a "Real" zero carb bread option thats fan fucking tastic but looking at alternatives to use for more intersting recipes.
This is the one of the articles I have in question, and I want to know if the information is real or just blowing smoke up my ass to sell a product. 
http://healthyeating.sfgate.com/carbohydrate-content-psyllium-husk-11597.html
please help?
Edit: the Zero carb bread is called cloud bread, made from eggs/cheeze baked you can toast it use it for sandwiches make pizza its epic. Just omit the sugar from the recipe in favor of savory spices (garlic, thyme, oregano, fenugreek, paprika etc)</t>
        </is>
      </c>
      <c r="D1765" t="n">
        <v>1</v>
      </c>
      <c r="E1765" t="n">
        <v>2</v>
      </c>
      <c r="F1765">
        <f>HYPERLINK("https://www.reddit.com/r/diabetes/comments/47fqz2/how_to_properly_count_carbs/")</f>
        <v/>
      </c>
      <c r="G1765" t="inlineStr">
        <is>
          <t>2016-02-24 15:10:36</t>
        </is>
      </c>
      <c r="H1765" t="inlineStr">
        <is>
          <t>Type 2</t>
        </is>
      </c>
    </row>
    <row r="1766">
      <c r="A1766" t="inlineStr">
        <is>
          <t>47p5gw</t>
        </is>
      </c>
      <c r="B1766" t="inlineStr">
        <is>
          <t>One year out from diagnosis.</t>
        </is>
      </c>
      <c r="C1766" t="inlineStr">
        <is>
          <t xml:space="preserve">I wanted to post as an encouragement to myself and hopefully, others. 
One year ago I went to my doctor for a regular checkup. He hadn't stressed getting bloodwork over time, and I didn't particularly care, but was definitely in denial. For the past couple of months or so, I had been tremendously thirsty, to the point that my throat felt dry **while** drinking water. I was peeing alot, not sleeping well and generally feeling crappy. I mentioned this to the nurse, and they took blood. Long story short: BG 311, A1C 12.1. I started on Metformin &amp;amp; saw a diabetes educator ASAP. With her help, I understood how &amp;amp; what needed to be done. One year later I'm down 25 pounds, BG usually right around 100, A1C 6. Losing weight is a struggle, even with daily cardio &amp;amp; yoga &amp;amp; body weight exercise, because of my under active thyroid. Hopefully, as that is treated, things will get easier. These efforts have helped me mentally, physically &amp;amp; emotionally. I can't stress enough the effect exercising and controlling my blood sugar has had on my tendency toward anxiety &amp;amp; depression. </t>
        </is>
      </c>
      <c r="D1766" t="n">
        <v>2</v>
      </c>
      <c r="E1766" t="n">
        <v>16</v>
      </c>
      <c r="F1766">
        <f>HYPERLINK("https://www.reddit.com/r/diabetes/comments/47p5gw/one_year_out_from_diagnosis/")</f>
        <v/>
      </c>
      <c r="G1766" t="inlineStr">
        <is>
          <t>2016-02-26 06:08:39</t>
        </is>
      </c>
      <c r="H1766" t="inlineStr">
        <is>
          <t>Type 2</t>
        </is>
      </c>
    </row>
    <row r="1767">
      <c r="A1767" t="inlineStr">
        <is>
          <t>47p6qg</t>
        </is>
      </c>
      <c r="B1767" t="inlineStr">
        <is>
          <t>Today marks 20 years...</t>
        </is>
      </c>
      <c r="C1767" t="inlineStr">
        <is>
          <t xml:space="preserve">Hello /r/diabetes, just thought I'd share a bit of my story as today is the 20th anniversary of my diagnosis with type 1 diabetes. 
I was three years old, but I still have memories of being in the hospital with my parents, and seeing how worried and upset they seemed. I remember the little stuffed bear the nurses gave me that also had IVs in it so I wouldn't feel alone, and I remember my parents giving saline shots to each other so they could practice. I remember all the cards my family sent, and I remember playing "drive-through" with the nurses, taking all their orders, in the play room while my parents met with doctors all afternoon. 
I don't remember a life without diabetes, which I am thankful for. It's all I've known, so it has always been my normal. I remember all the milestones. The first time I gave myself a finger prick, the first time I gave myself a shot and all the poor oranges I ruined while practicing (a family friend was watching me for the night when my parents were out, she told me "if I pass out you just keep doing whatever you have to, then wake me up when you're done." She doesn't like needles.)  I remember all the times in elementary school I had to explain to a substitute teacher what it meant when I said I "felt high" and asked to go to the nurse. 
There are great memories, like getting to use a room in the nurse's office to eat lunch with a couple friends every day so we didn't have to wait in line in the cafeteria, and there's horrible memories. Not many people look back on their middle school or high school years and think about all the great decisions they made, myself included. I was angry, I was frustrated with this stupid disease that meant I had a permanent shackle around my ankle. I thought I was doomed to die at 50, I figured why even bother fighting it, it'll always be there, and I can never win. 
I was lethargic, I tested and bolused maybe a couple times a day. There were a few periods when I tried hard, but diabetes wasn't at the top of my priority list. Other things came first. I worked harder to make sure I wasn't known as the diabetic kid than I did at actually taking care of my diabetes. I wanted to be other things. 
Towards the end of high school, my A1c was 11.5. I'll never forget the moment the labs came back during that appointment, and my mother's face. She started crying, and I have never been at a lower point in my life. All I could think about was how I made her cry. How it was my fault. I felt more than regret, I felt ashamed. 
College wasn't perfect, but it certainly wasn't as bad as that. My A1c stayed in the 9s mostly. It was a good report when it came back in the low 9s, at least it was to me. My doctors told me about the negative effects this could have, how it had to change, how they knew I could do it, how I had to get it down to the 7s at least. I knew it was bad, but it was normal to me. Nothing changed because I felt fine and it was normal. An A1c in the 8s seemed impossible to me, never mind 7. I was in the 9s; that was just where I was. 
A month ago I had an appointment with my endo, who I have been with since day one. She's grown over the years as well, traveling to conferences all over the world, accepting honors from the ADA, etc. She's the best of the best, and I regret wasting her time for all those years. The labs came back while I was sitting in her office, and after 20 years, after my stuffed bear with the IVs, after the lunches in the nurse's office, after making my mother cry, we got the results: 6.8. I called my mother, who cried for a different reason this time. It was my first time under 7, and a result of the hard work I had done over the last few months (Thank you Dexcom!)
This disease isn't easy, and over 20 years I've learned that there are good days and bad days. There's days where I feel like I have no idea what is going on, but each day is a fresh start to fix what went wrong. It's a chance to make up for all the days I didn't care. By some stroke of luck, I am living a healthy, complication free life. I'm starting a doctoral program in the fall. I coach high school ice hockey. I have 5 of the 48 4000-footer mountains in New Hampshire done (with many more to come this summer). Over 20 years, I've learned a great deal about diabetes and life, and I am greatly looking forward to learning from and enjoying the next 60 or 70. 
Thanks to anyone who has made it through this wall of text. I just wanted to get some of this off my chest. This community has been an inspiration for me, and I thank you very much for that. </t>
        </is>
      </c>
      <c r="D1767" t="n">
        <v>59</v>
      </c>
      <c r="E1767" t="n">
        <v>31</v>
      </c>
      <c r="F1767">
        <f>HYPERLINK("https://www.reddit.com/r/diabetes/comments/47p6qg/today_marks_20_years/")</f>
        <v/>
      </c>
      <c r="G1767" t="inlineStr">
        <is>
          <t>2016-02-26 06:17:41</t>
        </is>
      </c>
      <c r="H1767" t="inlineStr">
        <is>
          <t>Type 1</t>
        </is>
      </c>
    </row>
    <row r="1768">
      <c r="A1768" t="inlineStr">
        <is>
          <t>47sazm</t>
        </is>
      </c>
      <c r="B1768" t="inlineStr">
        <is>
          <t>Diabetes went on vacation today.</t>
        </is>
      </c>
      <c r="C1768" t="inlineStr">
        <is>
          <t>T1D toddler, 1 year post diagnosis.
Carb loaded breakfast w/ no spike... a pre-bolused lunch that was never consumed... and an afternoon with gummies, juice, and potato chips w/ no insulin at all.  Cannot explain [this BG trace](http://i.imgur.com/Mowlliv.png).  Anyone else ever seen this before?  I've heard of honeymoon days, but this is just crazy.</t>
        </is>
      </c>
      <c r="D1768" t="n">
        <v>2</v>
      </c>
      <c r="E1768" t="n">
        <v>1</v>
      </c>
      <c r="F1768">
        <f>HYPERLINK("https://www.reddit.com/r/diabetes/comments/47sazm/diabetes_went_on_vacation_today/")</f>
        <v/>
      </c>
      <c r="G1768" t="inlineStr">
        <is>
          <t>2016-02-26 15:57:26</t>
        </is>
      </c>
      <c r="H1768" t="inlineStr">
        <is>
          <t>Type 1</t>
        </is>
      </c>
    </row>
    <row r="1769">
      <c r="A1769" t="inlineStr">
        <is>
          <t>47uvtx</t>
        </is>
      </c>
      <c r="B1769" t="inlineStr">
        <is>
          <t>Officially Diagnosed T2 yesterday</t>
        </is>
      </c>
      <c r="C1769" t="inlineStr">
        <is>
          <t>I'm 34, 5'8, 181lbs. T2 runs heavy in my mom's family, including her, so it was almost inevitable. My first week I'm on 500mg Metformin daily to be ramped-up to 2000mg/daily by the 3rd week. I'm also on Lisinopril for blood pressure and Atorvastatin Calcium (lipitor) for slightly elevated cholesterol. 
So today I start my new daily routine of taking these 3 pills and seeing how the side effects hit me. I had planned to go for a jog, but didn't want to get far from the house and have issues. So far so good though.  
I'm trying not to think about all of the food I'm going to miss, but I'll get used to it.</t>
        </is>
      </c>
      <c r="D1769" t="n">
        <v>5</v>
      </c>
      <c r="E1769" t="n">
        <v>15</v>
      </c>
      <c r="F1769">
        <f>HYPERLINK("https://www.reddit.com/r/diabetes/comments/47uvtx/officially_diagnosed_t2_yesterday/")</f>
        <v/>
      </c>
      <c r="G1769" t="inlineStr">
        <is>
          <t>2016-02-27 05:28:38</t>
        </is>
      </c>
      <c r="H1769" t="inlineStr">
        <is>
          <t>Type 2</t>
        </is>
      </c>
    </row>
    <row r="1770">
      <c r="A1770" t="inlineStr">
        <is>
          <t>47x7qs</t>
        </is>
      </c>
      <c r="B1770" t="inlineStr">
        <is>
          <t>Insulin Pump - basal testing &amp;amp; adjustment</t>
        </is>
      </c>
      <c r="C1770" t="inlineStr">
        <is>
          <t>So, I've been trying to fine tune my basal rates, and I'm curious if anyone has some solid info on the time frame within which to adjust in order to see the result.  Like, if I'm dropping daily at 10am when fasting, is there any info on if I should be adjusting my basal at 9am? 8am?  I know that when I take a bolus, my insulin will spike 1 hour in, so my assumption is that I should be adjusting about an hour before I see these consistent daily drops while fasting.  
I've had some back and forth with my endo, and it's bizarre because he will tell me to adjust around 4am and 7am.. decreasing one timeframe while increasing another, which has actually caused me to drop more and earlier, so I'm not understanding/trusting those recommendations.  I keep asking what the timeframe is for seeing the basal adjustments' effect so I can do more to adjust/test it out myself, and for some reason he just keeps giving me a different recommendation rather than explaining how he's coming to these conclusions (which aren't working/making sense).  
Any info/tips/experiences would be greatly appreciated!  I just don't want to keep dropping in the mornings :(</t>
        </is>
      </c>
      <c r="D1770" t="n">
        <v>1</v>
      </c>
      <c r="E1770" t="n">
        <v>5</v>
      </c>
      <c r="F1770">
        <f>HYPERLINK("https://www.reddit.com/r/diabetes/comments/47x7qs/insulin_pump_basal_testing_adjustment/")</f>
        <v/>
      </c>
      <c r="G1770" t="inlineStr">
        <is>
          <t>2016-02-27 10:56:48</t>
        </is>
      </c>
      <c r="H1770" t="inlineStr">
        <is>
          <t>Type 1</t>
        </is>
      </c>
    </row>
    <row r="1771">
      <c r="A1771" t="inlineStr">
        <is>
          <t>47xzfa</t>
        </is>
      </c>
      <c r="B1771" t="inlineStr">
        <is>
          <t>Any insulin dependent diabetics out there with private pilot's licenses?</t>
        </is>
      </c>
      <c r="C1771" t="inlineStr">
        <is>
          <t>I'm a 28 year type 1 diabetic (diagnosed at 15) living in the United States. For years I've researched the feasibility and options for insulin dependent diabetics getting their class 3 medical airman's certificate and thus becoming licensed to fly non-commercially. I know it is possible today, but have never corresponded with a pilot who has done it. I know its legally possible but knowing someone out there who has already done this would be very encouraging to me.</t>
        </is>
      </c>
      <c r="D1771" t="n">
        <v>11</v>
      </c>
      <c r="E1771" t="n">
        <v>13</v>
      </c>
      <c r="F1771">
        <f>HYPERLINK("https://www.reddit.com/r/diabetes/comments/47xzfa/any_insulin_dependent_diabetics_out_there_with/")</f>
        <v/>
      </c>
      <c r="G1771" t="inlineStr">
        <is>
          <t>2016-02-27 13:01:46</t>
        </is>
      </c>
      <c r="H1771" t="inlineStr">
        <is>
          <t>Type 1</t>
        </is>
      </c>
    </row>
    <row r="1772">
      <c r="A1772" t="inlineStr">
        <is>
          <t>484910</t>
        </is>
      </c>
      <c r="B1772" t="inlineStr">
        <is>
          <t>Combo bolusing and post-prandial spikes</t>
        </is>
      </c>
      <c r="C1772" t="inlineStr">
        <is>
          <t>So I've been on the pump for just over a month, and I'm on my 6th day of using the dexcom G4 (loving it).  I've been trying to dose 30-40 minutes before eating however I think I'm hitting a snag.  My sugars stay nice and level for ages after eating, then all of s sudden BOOM, High sugars that last at least an hour before going down.  I really want tight control but I can't seem to escape highs of over ten after eating even with a lower carb meal.
I've also been trying to get a hang of combo bolusing but it doesn't seem to help my spikes at all no matter what I do.  I've been noting the fat content of my meals and have read all the stuff about glycemic indexes, but I just feel like I'm missing a trick!
I guess after this rant, what is more important, timing of a single bolus in one go 40 minutes before eating, or setting a combo bolus?</t>
        </is>
      </c>
      <c r="D1772" t="n">
        <v>3</v>
      </c>
      <c r="E1772" t="n">
        <v>5</v>
      </c>
      <c r="F1772">
        <f>HYPERLINK("https://www.reddit.com/r/diabetes/comments/484910/combo_bolusing_and_postprandial_spikes/")</f>
        <v/>
      </c>
      <c r="G1772" t="inlineStr">
        <is>
          <t>2016-02-28 09:44:00</t>
        </is>
      </c>
      <c r="H1772" t="inlineStr">
        <is>
          <t>Type 1</t>
        </is>
      </c>
    </row>
    <row r="1773">
      <c r="A1773" t="inlineStr">
        <is>
          <t>486qcc</t>
        </is>
      </c>
      <c r="B1773" t="inlineStr">
        <is>
          <t>Odd sort of question, Can anyone tell their blood sugar levels by how they feel?</t>
        </is>
      </c>
      <c r="C1773" t="inlineStr">
        <is>
          <t>I pay very close attention to how my body feels after I eat and during the course of the day. I know almost immediately if I fucked up or if im running smoothly and can tell with reasonably ok accuracy what my blood sugar level is like.
When I spike to high the adverse effects are kind of immediate, bloating, fatigue, difficult to think properly, sort of in a state that feels almost catatonic and can be painful. Also depressed mood.
When riding smooth and in what I would consider normal parameters I tend to feel pretty good with a rather sunny disposition. Similar to how you feel after a good jog but its rather constant and lasts for hours on end. 
Just kind of wandering if other people have sort of a similar experience?</t>
        </is>
      </c>
      <c r="D1773" t="n">
        <v>3</v>
      </c>
      <c r="E1773" t="n">
        <v>16</v>
      </c>
      <c r="F1773">
        <f>HYPERLINK("https://www.reddit.com/r/diabetes/comments/486qcc/odd_sort_of_question_can_anyone_tell_their_blood/")</f>
        <v/>
      </c>
      <c r="G1773" t="inlineStr">
        <is>
          <t>2016-02-28 15:13:37</t>
        </is>
      </c>
      <c r="H1773" t="inlineStr">
        <is>
          <t>Type 2</t>
        </is>
      </c>
    </row>
    <row r="1774">
      <c r="A1774" t="inlineStr">
        <is>
          <t>48ar27</t>
        </is>
      </c>
      <c r="B1774" t="inlineStr">
        <is>
          <t>First weekend under my belt</t>
        </is>
      </c>
      <c r="C1774" t="inlineStr">
        <is>
          <t>This was my first weekend after diagnosis and on meds. The metformin didn't really have a drastic affect on me... yet.   
It was difficult to watch my kids eat a pizza, mcdonalds, snack on chips and dip and sweets. I filled the void of snacks with some mixed nuts, which was fine for the first snack, but definitely lacking as the second for the day.   
My meals were under 45 carbs and snacks were at 15 carbs. I did find a new chinese dish I enjoyed more than general Tso or sweet &amp;amp; sour chicken, so that was good, but definitely missed the rice. I kicked sodas again for good a couple of weeks ago, so water hasn't been a problem. Meals seem to be fine as my wife is changing her eating habits as well, but not having snacks while relaxing at night and watching tv is painful.</t>
        </is>
      </c>
      <c r="D1774" t="n">
        <v>2</v>
      </c>
      <c r="E1774" t="n">
        <v>16</v>
      </c>
      <c r="F1774">
        <f>HYPERLINK("https://www.reddit.com/r/diabetes/comments/48ar27/first_weekend_under_my_belt/")</f>
        <v/>
      </c>
      <c r="G1774" t="inlineStr">
        <is>
          <t>2016-02-29 07:36:42</t>
        </is>
      </c>
      <c r="H1774" t="inlineStr">
        <is>
          <t>Type 2</t>
        </is>
      </c>
    </row>
    <row r="1775">
      <c r="A1775" t="inlineStr">
        <is>
          <t>48dlow</t>
        </is>
      </c>
      <c r="B1775" t="inlineStr">
        <is>
          <t>Question about net carbs</t>
        </is>
      </c>
      <c r="C1775" t="inlineStr">
        <is>
          <t>I was diagnosed with type 2 a month ago and have been on a strict diet and my numbers are great. I want to try experimenting a bit, but im not sure if i should be weary about net carbs. Would it be ok to have something that is high in total carbs, but have a really low net carb?</t>
        </is>
      </c>
      <c r="D1775" t="n">
        <v>9</v>
      </c>
      <c r="E1775" t="n">
        <v>6</v>
      </c>
      <c r="F1775">
        <f>HYPERLINK("https://www.reddit.com/r/diabetes/comments/48dlow/question_about_net_carbs/")</f>
        <v/>
      </c>
      <c r="G1775" t="inlineStr">
        <is>
          <t>2016-02-29 16:51:27</t>
        </is>
      </c>
      <c r="H1775" t="inlineStr">
        <is>
          <t>Type 2</t>
        </is>
      </c>
    </row>
    <row r="1776">
      <c r="A1776" t="inlineStr">
        <is>
          <t>48ev3m</t>
        </is>
      </c>
      <c r="B1776" t="inlineStr">
        <is>
          <t>Omnipod failures</t>
        </is>
      </c>
      <c r="C1776" t="inlineStr">
        <is>
          <t>My omnipod fails constantly and it is starting to make me angry. It fails if it gets cold it fails when Im working out it fails when I am playing sports It fails for no reason when I am just walking around. Anyone else have this problem??</t>
        </is>
      </c>
      <c r="D1776" t="n">
        <v>10</v>
      </c>
      <c r="E1776" t="n">
        <v>23</v>
      </c>
      <c r="F1776">
        <f>HYPERLINK("https://www.reddit.com/r/diabetes/comments/48ev3m/omnipod_failures/")</f>
        <v/>
      </c>
      <c r="G1776" t="inlineStr">
        <is>
          <t>2016-02-29 22:03:29</t>
        </is>
      </c>
      <c r="H1776" t="inlineStr">
        <is>
          <t>Type 1</t>
        </is>
      </c>
    </row>
    <row r="1777">
      <c r="A1777" t="inlineStr">
        <is>
          <t>48g6au</t>
        </is>
      </c>
      <c r="B1777" t="inlineStr">
        <is>
          <t>Question about test sites</t>
        </is>
      </c>
      <c r="C1777" t="inlineStr">
        <is>
          <t>My dad is a T2 diabetic (so are most of the people on his side of the family) and I tend to over worry about my health so I got a meter.
I do not need to measure per a doctor and no blood tests have ever came back with an issue but it gives me piece of mind to test a day or 2 per week and know that my levels are within range.
I do not like to test on my fingertips so I do it on the side of my palm, below the pinky where it's padded.  According to the manufacturer, that is an acceptable place to test but reading online, I see that it might not give the most up to date measurement of your actual blood sugar level.  Aside from it not being instant, is there any other issues with that site itself?  For example if I take reading from that area that is 75 while fasting that I can trust that 75 is an accurate number?</t>
        </is>
      </c>
      <c r="D1777" t="n">
        <v>3</v>
      </c>
      <c r="E1777" t="n">
        <v>6</v>
      </c>
      <c r="F1777">
        <f>HYPERLINK("https://www.reddit.com/r/diabetes/comments/48g6au/question_about_test_sites/")</f>
        <v/>
      </c>
      <c r="G1777" t="inlineStr">
        <is>
          <t>2016-03-01 04:48:53</t>
        </is>
      </c>
      <c r="H1777" t="inlineStr">
        <is>
          <t>Type 2</t>
        </is>
      </c>
    </row>
    <row r="1778">
      <c r="A1778" t="inlineStr">
        <is>
          <t>48iuh2</t>
        </is>
      </c>
      <c r="B1778" t="inlineStr">
        <is>
          <t>Crispy Fried Chicken (no carbs)</t>
        </is>
      </c>
      <c r="C1778" t="inlineStr">
        <is>
          <t xml:space="preserve">So, playing around last night. I made fried chicken. Without flour or bread crumbs. Ive been making Zuchini chips and Cauliflower chips in my over for a while now, little olive oil, little salt some parprika etc etc. Well, I had some leftover and was miserably lamenting I couldnt do flower for a proper fried chicken I got the brilliant idea to use my chips.
Tossed them into the oven to get them extra dry, threw it into a food processor and Poof, instant badass veggie crumbs. Dipped my chicken in some buttermilk and coated it veggie crumbs and stuck it in the oven with a bit of olive oil and a fresh sprig of rosemary.
Turned out ungodly f'ing amazing an tastes even better than KFC. Going to do some more experimenting over the next few days to get a perfect recipe but Hot damn I am a genius lol. Unbelievably amazing I just had to tell someone. </t>
        </is>
      </c>
      <c r="D1778" t="n">
        <v>71</v>
      </c>
      <c r="E1778" t="n">
        <v>24</v>
      </c>
      <c r="F1778">
        <f>HYPERLINK("https://www.reddit.com/r/diabetes/comments/48iuh2/crispy_fried_chicken_no_carbs/")</f>
        <v/>
      </c>
      <c r="G1778" t="inlineStr">
        <is>
          <t>2016-03-01 13:55:40</t>
        </is>
      </c>
      <c r="H1778" t="inlineStr">
        <is>
          <t>Type 2</t>
        </is>
      </c>
    </row>
    <row r="1779">
      <c r="A1779" t="inlineStr">
        <is>
          <t>48r1gn</t>
        </is>
      </c>
      <c r="B1779" t="inlineStr">
        <is>
          <t>[T1] Intermittent Fasting</t>
        </is>
      </c>
      <c r="C1779" t="inlineStr">
        <is>
          <t>Hello fellow diabeaters,
Been a lurker for a while now and decided to post something.
I have been practicing IF for over 5 years now, and have been wondering if there are any fellow T1IF'ers.</t>
        </is>
      </c>
      <c r="D1779" t="n">
        <v>3</v>
      </c>
      <c r="E1779" t="n">
        <v>13</v>
      </c>
      <c r="F1779">
        <f>HYPERLINK("https://www.reddit.com/r/diabetes/comments/48r1gn/t1_intermittent_fasting/")</f>
        <v/>
      </c>
      <c r="G1779" t="inlineStr">
        <is>
          <t>2016-03-02 23:40:53</t>
        </is>
      </c>
      <c r="H1779" t="inlineStr">
        <is>
          <t>Type 1</t>
        </is>
      </c>
    </row>
    <row r="1780">
      <c r="A1780" t="inlineStr">
        <is>
          <t>48r657</t>
        </is>
      </c>
      <c r="B1780" t="inlineStr">
        <is>
          <t>So has anyone else experienced this?</t>
        </is>
      </c>
      <c r="C1780" t="inlineStr">
        <is>
          <t xml:space="preserve">I wanna know if someone else has experienced this, because I'm worried and I'll likely be worried until my lab results come back. I'm not asking for medical advice or treatment, just if anyone else has been there done that and what happened for them? 
First some background: I'm a 25 year old female , type 1 diabetes is my only current health issue (but I have battled frequent...though not chronic pancreatitis in the past 2 years because of gallstones that were in my bile duct and having constant stents put in there until the summer of last year that was no fun!) , so otherwise I'm healthy now.  I've been a type 1 since 2013, I've overall maintained a A1C less than 6% since starting insulin (Which wasn't right away I spent a few months misdiagnosed as a type 2 due to being 22 years old even though I am a vegetarian of average/healthy/whatever word fits for non-overweight, thank goodness i found a good (so far?) endo that's also a type 1 diabetic himself diagnosed at the same age!) , most of my a1cs  have been 5.5-5.7% , was consistent for so long and everyone was proud of me and it's been a good normal thing for me, I never have experienced severe lows (I have gone into the 40's in the hospital because they don't know what the hell they're doing there!) and really don't experience lows unless my life is really stressful or I'm really active (Anime conventions I'm looking at you) ...which isn't all the time so I'm often around 80-140 mg/dL at any given time based on my tests.
So to...yesterday I had my a1c taken at the doctor's office and it was 4.9% ...wtf?????????? I haven't experienced many lows in the past 3 months (I had like 3? Maybe 4? I checked back on my meter and I can't remember now lol... in the entire 3 months and that's because I have stayed in hotels and for some reason my blood sugar always drops when I'm staying in a hotel? it is a mystery...)  why is it so low? Well, doctor explained there's a few scenarios. Either I have weird hemoglobin molecules that throw the test off (weird but ok...) , something's up with my red blood cell count throwing the test off, I'm having really frequent hypo unwareness OR I'm just a really weird type 1 diabetic that may just be around 94 mg/dL most the time and deserves the 4.9%?   My doctor believes it's not the hypo unawareness as he believes me I rarely have lows, and for until now I had consistent a1cs with very little changes.  I believe it's possible I'm anemic , as my period is super heavy (and I'm a vegetarian, but I ate meat early in my years of having a period and it didn't do anything whatsoever to help , and I've had a cbc long ago when I became a vegetarian like 3 years after it and I was normal then)  ...where that could be throwing it off...but I'm not sure? My doctor is concerned and so am I because of this.  The only other time I had a nearly this low a1c when I was hospitalized for said bile duct fun times and I was not eating anything for days because pancreatitis is healed with starvation...which wouldn't be the case now I eat plenty lol. 
Tl;dr: Has anyone experienced weird out of the blue low a1cs with no hypo unawareness/ not having frequent hypos regardless of feeling it? If so? What was it?   Once again, not asking for treatment advice or medical advice just needing to know 
edit: Also, I use novolog and lantus pens, I hope no one suggests the pump because I HATED that thing and never wanna use it. I'm more open to a CGM , especially if it is hypo related. </t>
        </is>
      </c>
      <c r="D1780" t="n">
        <v>3</v>
      </c>
      <c r="E1780" t="n">
        <v>6</v>
      </c>
      <c r="F1780">
        <f>HYPERLINK("https://www.reddit.com/r/diabetes/comments/48r657/so_has_anyone_else_experienced_this/")</f>
        <v/>
      </c>
      <c r="G1780" t="inlineStr">
        <is>
          <t>2016-03-03 00:34:57</t>
        </is>
      </c>
      <c r="H1780" t="inlineStr">
        <is>
          <t>Type 1</t>
        </is>
      </c>
    </row>
    <row r="1781">
      <c r="A1781" t="inlineStr">
        <is>
          <t>48u3p0</t>
        </is>
      </c>
      <c r="B1781" t="inlineStr">
        <is>
          <t>My a1c today was 6.3. :)</t>
        </is>
      </c>
      <c r="C1781" t="inlineStr">
        <is>
          <t xml:space="preserve">I don't have anything more really. Just wanted to share it with people who knew what it meant. </t>
        </is>
      </c>
      <c r="D1781" t="n">
        <v>79</v>
      </c>
      <c r="E1781" t="n">
        <v>16</v>
      </c>
      <c r="F1781">
        <f>HYPERLINK("https://www.reddit.com/r/diabetes/comments/48u3p0/my_a1c_today_was_63/")</f>
        <v/>
      </c>
      <c r="G1781" t="inlineStr">
        <is>
          <t>2016-03-03 13:23:16</t>
        </is>
      </c>
      <c r="H1781" t="inlineStr">
        <is>
          <t>Type 1</t>
        </is>
      </c>
    </row>
    <row r="1782">
      <c r="A1782" t="inlineStr">
        <is>
          <t>48vhkz</t>
        </is>
      </c>
      <c r="B1782" t="inlineStr">
        <is>
          <t>Mismanaging related to feeling like shit?</t>
        </is>
      </c>
      <c r="C1782" t="inlineStr">
        <is>
          <t>With uni starting and working in a kitchen 20-30 hours a week I feel like I'm struggling to manage correctly. I'm also a vegan and eat *ALOT* of carbs, way more than the average carb avoiding T1 diabetic would.
I've only been T1 since christmas of 2014, so I'm not too bummed but my last HBA1C was 8.2, and 7.8 before that. Kinda sucks but I'm wondering if these shitty numbers are why I'm kind of feeling like shit a lot? I just generally feel tired, and my legs will feel sore without any exercise. I'll wake up with really tingly, achy legs and just a general feeling of shit..
Sounds like a stupid question because obviously a high BG will make you feel shitty, but are slightly higher than healthy BG's directly related to feeling like shit?</t>
        </is>
      </c>
      <c r="D1782" t="n">
        <v>2</v>
      </c>
      <c r="E1782" t="n">
        <v>10</v>
      </c>
      <c r="F1782">
        <f>HYPERLINK("https://www.reddit.com/r/diabetes/comments/48vhkz/mismanaging_related_to_feeling_like_shit/")</f>
        <v/>
      </c>
      <c r="G1782" t="inlineStr">
        <is>
          <t>2016-03-03 19:03:02</t>
        </is>
      </c>
      <c r="H1782" t="inlineStr">
        <is>
          <t>Type 1</t>
        </is>
      </c>
    </row>
    <row r="1783">
      <c r="A1783" t="inlineStr">
        <is>
          <t>48wo38</t>
        </is>
      </c>
      <c r="B1783" t="inlineStr">
        <is>
          <t>Advice on Insulin Pump</t>
        </is>
      </c>
      <c r="C1783" t="inlineStr">
        <is>
          <t>Hi guys,
I'm after some advice. I've been a Type 1 diabetic for 18 years and I have recently considered going onto an insulin pump. I've been given two choices from my diabetic educator the Animas Vibe or the Medtronic. I'm after some reviews and experiences from people who have or are using either one. I work a full time job with children and I have two young boys myself. Which would be more suited? Thank you in advance!</t>
        </is>
      </c>
      <c r="D1783" t="n">
        <v>2</v>
      </c>
      <c r="E1783" t="n">
        <v>11</v>
      </c>
      <c r="F1783">
        <f>HYPERLINK("https://www.reddit.com/r/diabetes/comments/48wo38/advice_on_insulin_pump/")</f>
        <v/>
      </c>
      <c r="G1783" t="inlineStr">
        <is>
          <t>2016-03-04 01:31:46</t>
        </is>
      </c>
      <c r="H1783" t="inlineStr">
        <is>
          <t>Type 1</t>
        </is>
      </c>
    </row>
    <row r="1784">
      <c r="A1784" t="inlineStr">
        <is>
          <t>48wr0r</t>
        </is>
      </c>
      <c r="B1784" t="inlineStr">
        <is>
          <t>T2 reversal?</t>
        </is>
      </c>
      <c r="C1784" t="inlineStr">
        <is>
          <t>Hello,
I was diagnosed with T2 Diabetes in 2013 after a physical showed that my A1C was at 6.8% at 220lb 5'10"
Immediately I went to work reading NIH articles and navigated through the web while reading all the articles on "how to live with diabetes" "can diabetes be reversed" (as many of you might have done).
I knew that carbs was the enemy and found through a study published on the NIH website that by eliminating most carbs, the beta cells in ones body would be able to recover somewhat depending on how much dmg was done to them already
I cut carbs almost all carbs for 6 months and lost 20 lb. I went back for the follow up A1C and it came to 5.5. I did not take any medication.
Fast forward to today. I am 180 and I have continued to eat carbs sparingly (roughly &amp;lt;30G at most) and cycle modified fasting twice a month where I would consume only protein and no fats/carbs for a week.
Doing this, I achieved an A1C of &amp;lt;5.5 consistently and upon administering a self oral glucose tolerance test (100g of sugar), I tested my blood every 30 minutes for 3 hours and the peak spike was 125.
my question is: is my T2 diabetes gone for good(given this regimen keeps up) Or will blood sugar levels start in increase with age? Also, would I still be classfied as a diabetic? When i had a physical done by a different doctor (insurance reason) i explained to him that i was diabetic and when he got the blood test results he said i was not diabetic
lastly, the same doctor declined my request in asking for a metformin prescription. Should I find a new doctor?</t>
        </is>
      </c>
      <c r="D1784" t="n">
        <v>8</v>
      </c>
      <c r="E1784" t="n">
        <v>19</v>
      </c>
      <c r="F1784">
        <f>HYPERLINK("https://www.reddit.com/r/diabetes/comments/48wr0r/t2_reversal/")</f>
        <v/>
      </c>
      <c r="G1784" t="inlineStr">
        <is>
          <t>2016-03-04 02:03:42</t>
        </is>
      </c>
      <c r="H1784" t="inlineStr">
        <is>
          <t>Type 2</t>
        </is>
      </c>
    </row>
    <row r="1785">
      <c r="A1785" t="inlineStr">
        <is>
          <t>48xrqw</t>
        </is>
      </c>
      <c r="B1785" t="inlineStr">
        <is>
          <t>Not Feeling Lows</t>
        </is>
      </c>
      <c r="C1785" t="inlineStr">
        <is>
          <t>I've recently been having an issue where I don't feel my lows until I'm very low, (around 2.6 (45 ish)) where it just hits me like a truck. 
Is there a way to get the feeling back? I was never in the best control but I am trying hard. And lately I've been able to keep my sugars fairly stable. I'm scared that one day I might not feel it at all and pass out — which is not helping my anxiety.
I'm on Ontario's ADP program, and unfortunately can't afford a CGM.</t>
        </is>
      </c>
      <c r="D1785" t="n">
        <v>7</v>
      </c>
      <c r="E1785" t="n">
        <v>8</v>
      </c>
      <c r="F1785">
        <f>HYPERLINK("https://www.reddit.com/r/diabetes/comments/48xrqw/not_feeling_lows/")</f>
        <v/>
      </c>
      <c r="G1785" t="inlineStr">
        <is>
          <t>2016-03-04 07:29:38</t>
        </is>
      </c>
      <c r="H1785" t="inlineStr">
        <is>
          <t>Type 1</t>
        </is>
      </c>
    </row>
    <row r="1786">
      <c r="A1786" t="inlineStr">
        <is>
          <t>48zvtj</t>
        </is>
      </c>
      <c r="B1786" t="inlineStr">
        <is>
          <t>Looking for a (relatively) easy way for parents to hear child's low blood sugar alert alarm</t>
        </is>
      </c>
      <c r="C1786" t="inlineStr">
        <is>
          <t>Some background information: my little sister was recently diagnosed with T1 Diabetes. She's old enough to have a Medtronic Insulin Pump and CGM (Continuous Glucose Monitor - though I guess /r/Diabetes would know that?) but young enough that she can't manage a low by herself even if the alarm did wake her. My parents sleep in a room nearby, but not close enough to consistently hear any alarms, which is very worrying.
So, my question is, how have you/do you have any resources that may help better hear alarms?
We've already: 
* Tried using a baby monitor (alarm frequency was too high, I suppose, and the sound wasn't picked up at ALL)
* Looked into phone apps (we found stuff for Apple tech, but we're an all-android family over here)
* Seen if we could change/adjust the alarm for the pump/CGM (we can't)
So if anyone has a link to a baby monitor that might pick up a high pitched alarm, or has any other conventional (or unconventional) solutions, I'd be very grateful. As always, thanks for all and any help!</t>
        </is>
      </c>
      <c r="D1786" t="n">
        <v>2</v>
      </c>
      <c r="E1786" t="n">
        <v>8</v>
      </c>
      <c r="F1786">
        <f>HYPERLINK("https://www.reddit.com/r/diabetes/comments/48zvtj/looking_for_a_relatively_easy_way_for_parents_to/")</f>
        <v/>
      </c>
      <c r="G1786" t="inlineStr">
        <is>
          <t>2016-03-04 15:15:42</t>
        </is>
      </c>
      <c r="H1786" t="inlineStr">
        <is>
          <t>Type 1</t>
        </is>
      </c>
    </row>
    <row r="1787">
      <c r="A1787" t="inlineStr">
        <is>
          <t>4905vd</t>
        </is>
      </c>
      <c r="B1787" t="inlineStr">
        <is>
          <t>Medical alert tattoo</t>
        </is>
      </c>
      <c r="C1787" t="inlineStr">
        <is>
          <t>Just got diagnosed (type 1) in December. Hopefully, in an emergency, this will help! 
Now how can I bill this to my insurance company...
Http://imgur.com/gallery/2aCwaGj</t>
        </is>
      </c>
      <c r="D1787" t="n">
        <v>19</v>
      </c>
      <c r="E1787" t="n">
        <v>20</v>
      </c>
      <c r="F1787">
        <f>HYPERLINK("https://www.reddit.com/r/diabetes/comments/4905vd/medical_alert_tattoo/")</f>
        <v/>
      </c>
      <c r="G1787" t="inlineStr">
        <is>
          <t>2016-03-04 16:21:23</t>
        </is>
      </c>
      <c r="H1787" t="inlineStr">
        <is>
          <t>Type 1</t>
        </is>
      </c>
    </row>
    <row r="1788">
      <c r="A1788" t="inlineStr">
        <is>
          <t>490kab</t>
        </is>
      </c>
      <c r="B1788" t="inlineStr">
        <is>
          <t>I feel my toes \o/</t>
        </is>
      </c>
      <c r="C1788" t="inlineStr">
        <is>
          <t>Sooooo, bit of an odd thing I havent been able to feel my toes, for years, there was just no feeling there for a long time, I was diagnosed t2 and went uber low carb like max 10 a day if that and dieting eating really healthy and exercising and all that good stuff. Well, its been 5-6 months since I started living well and as of last week I have feeling back now. So, instead of feeling next to nothing which is what I used to feel (not feel) now my toes seem to have woken up and get cold easily and are sensitive to stimulation. This is annoying. My Dr says its a good thing and a sign of reversing damage but seriously \o/ its cold lol. Anyone else ever experience this?</t>
        </is>
      </c>
      <c r="D1788" t="n">
        <v>10</v>
      </c>
      <c r="E1788" t="n">
        <v>4</v>
      </c>
      <c r="F1788">
        <f>HYPERLINK("https://www.reddit.com/r/diabetes/comments/490kab/i_feel_my_toes_o/")</f>
        <v/>
      </c>
      <c r="G1788" t="inlineStr">
        <is>
          <t>2016-03-04 18:07:19</t>
        </is>
      </c>
      <c r="H1788" t="inlineStr">
        <is>
          <t>Type 2</t>
        </is>
      </c>
    </row>
    <row r="1789">
      <c r="A1789" t="inlineStr">
        <is>
          <t>490ruk</t>
        </is>
      </c>
      <c r="B1789" t="inlineStr">
        <is>
          <t>Sores on my mom's arms?</t>
        </is>
      </c>
      <c r="C1789" t="inlineStr">
        <is>
          <t>I have been researching and researching this, and I cannot find an answer. I can't show you pictures, but on my mother's right upper arm, and on her lower left arm, as well as a large one on her right breast, my mother has large, bluish scabs. They spontaneously appeared a few weeks ago, and some of them have gotten better, but they mainly just keep slowly showing up.
My mother has Type II diabetes. She takes glipizide, but not as regularly as she should. Over the past month, her blood sugar has been &amp;gt;500. I can't tell you what it is, because her blood glucose monitor simply says "HI" when she tests her blood and the manual says that means it's over 500. Before this past month, she hadn't checked it for months. She's had Type II diabetes for over 20 years.
My mother refuses to see doctors. Her health is now so poor, she cannot stand without assistance, and must use a bedpan. The same day we bought a chair designed to assist her with standing, she asked me to buy her an apple pie and caramel sauce for her chocolate ice cream. 
She says she doesn't trust doctors, they kill people all the time, and she has every right to make her own decisions regarding her health. I said that wasn't fair, if she expected me to care for her health when she didn't. She asked if I believe she should see a doctor. I proceeded to list off all of her health issues (blisters o her feet, unknown sores, blood sugar &amp;gt;500, etc) and said I believed a doctor could help her.
She said I was obsessed with doctors, and "like the rest of the world" would like an office where, upon entering, I could bow down and worship them. But they don't know anymore than she does. My father expressed concern about her health, not knowing it was so bad. My mother blamed food addiction and that it was all out of her control.
My question is simply, what are the scabbed sores? I have search diabetic resources all over and NOTHING matches what my mother has. They are thickly scabbed, bleed around the edges, appear whiter towards the middle and vary in size from the size of a dime to the size of a silver dollar. Altogether, I would estimate she has 12-15. 
What are they??</t>
        </is>
      </c>
      <c r="D1789" t="n">
        <v>7</v>
      </c>
      <c r="E1789" t="n">
        <v>14</v>
      </c>
      <c r="F1789">
        <f>HYPERLINK("https://www.reddit.com/r/diabetes/comments/490ruk/sores_on_my_moms_arms/")</f>
        <v/>
      </c>
      <c r="G1789" t="inlineStr">
        <is>
          <t>2016-03-04 19:06:16</t>
        </is>
      </c>
      <c r="H1789" t="inlineStr">
        <is>
          <t>Type 2</t>
        </is>
      </c>
    </row>
    <row r="1790">
      <c r="A1790" t="inlineStr">
        <is>
          <t>491u4f</t>
        </is>
      </c>
      <c r="B1790" t="inlineStr">
        <is>
          <t>Diagnosed for 1 year now with T1 ”but not really". Lots of questions!</t>
        </is>
      </c>
      <c r="C1790" t="inlineStr">
        <is>
          <t>I am now 26 years old and officially diagnosed with T1 for a year. However, my doctor keeps telling me it can't be really because it devlops highly atypical. Here's my long and tiresome story, sorry for the longread.
Since the age of around 16, I experience hypoglyceamic spells. Then, it was only when I skipped lunch or during exercise, but when I got older, I had them almost everyday, multiple times per day.
A few years ago, I was tired of them and bought a test kit to prove to my doctor that it wasn't "in my head". I noticed that Ihad severe hypo symptoms at around 4 mmol/l already, which didn't really help my case. Sometimes though, I would have a glucose of 3.2 at the lowest.
Anyhow, I was tested a lot, because hypoes can mean insulinoma, adrenergic symptoms can mean adrenaline producing tumor, etc. One test was to not eat for 72 hours. It was hell.
After all the testing didn't produce any diagnosis, I was asked to do some glucose curves. This revealed high glucose after meals (10-13 mostly, not much higher as I was already on a carb restricted diet for a while). Got some meds to try and reduce that high (acarbose), with the rationale that if my sugar wouldnt go high, it might also reduce hypo symptoms when values returned to low. The main focus remained the hypos, not the highs.
Well that didnt do anything, so I was referred to the next hospital because they didnt know what to do anymore, and I wanted a diagnosis, not experimenting with meds without a dx.
Got a glucose tolerance test, mixed meal test few weeks later (they forgot some values and needed to do another gtt like test) and antibodies testing, and conclusion was diabetes type 1, because glucose &amp;gt; 15 mmol and presence of antibodies, and not enough insulin. They also calculated that I was highly insulin sensitive, as though very little was produced by myself, it got me down eventually.
But the doctor keeps saying I am not a classical type 1, but no idea what I am then. I think LADA myself with an extremely long honeymoon. Have been on insulin for a short while, but mainly caused hypoes (as my body also produces insulin, at random it sometimes feels like) so I stopped. I bought the dexcom g4 myself now, and my life really has changed since then. The sugar swings were unbearable, made me tired and unhappy, hypoes were exhausting. So now I try and manage with the dexcom (which prevents me from going low, which was the biggest lifechanger), diet and exercise. My values are mostly between 5 and 10, sometimes (like 2x per week) between 10-15 for 4-5 hours. Doctor says thats not that bad and that insulin isnt necessary yet. 
However, Ive read a lot of topics and I think that most people here feel like shit above 10, and try to keep it below that value. I am really wondering whether I can feel better (often dont feel so good).
So, its a long story and this is the short version... But I was hoping to find someone who recognizes this story (extreme honeymooning?), and hope on some opinions on my current values and why I am going low without insulin . If there is important info missing I'll add it!
Summary on me: 26yo, male, 69kg (lost weight last weeks due to flu and high sugar, normal/ideal weight is 72)
awesome supportive gf (who pushed and pushed until I went to the doctor and supported me on and on when I wanted to give up after years of bullshit testing without dx)
Glucose mostly between 5-10, few times per week 10+
Dexcom g4
Novorapid and levemir available
Edit: hba1c always around 44
Edit2: tests for MODYlike genetic variants were negative. Mother and since this year little sister (23) report hypos too. Mother has it under control with diet, has hypo feelings (not measured) two times a year.
Edit3: I think it's safe to say I have LADA. Thank you /r/diabetes!
Tried insulin again today with breakfast (38g carbs) and 2.5u novorapid (tried a while ago already so I knew 2.5 was gonna be safe). Highest bg value was 8.9, instead of 12-14 normally with this amount of carbs. Gonna experiment some more with this exact breakfast to learn about carb counting and ratios and stuff, and keep the carbs low for lunch and dinner. I understand that ratios are different later in the day. As my sugar is often low in the afternoons by itself, I am guessing I am a lot more sensitive to (my own) insulin in the afternoon/early evening.</t>
        </is>
      </c>
      <c r="D1790" t="n">
        <v>5</v>
      </c>
      <c r="E1790" t="n">
        <v>36</v>
      </c>
      <c r="F1790">
        <f>HYPERLINK("https://www.reddit.com/r/diabetes/comments/491u4f/diagnosed_for_1_year_now_with_t1_but_not_really/")</f>
        <v/>
      </c>
      <c r="G1790" t="inlineStr">
        <is>
          <t>2016-03-05 01:21:51</t>
        </is>
      </c>
      <c r="H1790" t="inlineStr">
        <is>
          <t>Type 1</t>
        </is>
      </c>
    </row>
    <row r="1791">
      <c r="A1791" t="inlineStr">
        <is>
          <t>4923xq</t>
        </is>
      </c>
      <c r="B1791" t="inlineStr">
        <is>
          <t>[M31, 10years type 1]What to do about low testosterone? how can I bring this up to a doctor?</t>
        </is>
      </c>
      <c r="C1791" t="inlineStr">
        <is>
          <t>I took a test ass I've had symptoms for around a year-no libido, disturbed sleep, mood swings-and it verified what I  thought- I'm at 3.9nmol, which is definitely low for my age.
Does this have serious considerations for diabetes beyond just feeling crappy and drained a lot? How can I impress on a GP or a specialist that I'd like something (not a testosterone script, maybe a referral or a full hormone test) done about this?
What if anything would typically be done about this? If it makes any difference, I'm in the UK.
I'm not intending to do anything outside a doctors advice, but how can I convince a doctor that this does affect me?</t>
        </is>
      </c>
      <c r="D1791" t="n">
        <v>1</v>
      </c>
      <c r="E1791" t="n">
        <v>6</v>
      </c>
      <c r="F1791">
        <f>HYPERLINK("https://www.reddit.com/r/diabetes/comments/4923xq/m31_10years_type_1what_to_do_about_low/")</f>
        <v/>
      </c>
      <c r="G1791" t="inlineStr">
        <is>
          <t>2016-03-05 03:32:49</t>
        </is>
      </c>
      <c r="H1791" t="inlineStr">
        <is>
          <t>Type 1</t>
        </is>
      </c>
    </row>
    <row r="1792">
      <c r="A1792" t="inlineStr">
        <is>
          <t>49291f</t>
        </is>
      </c>
      <c r="B1792" t="inlineStr">
        <is>
          <t>Mind spin</t>
        </is>
      </c>
      <c r="C1792" t="inlineStr">
        <is>
          <t>When you watch a sci-fi movie and during it you're having a hypo and the movie is getting weirder but you don't realise that you're having a hypo because you're watching a sci-fi movie.
It's a definite mind spin.
BTW Ex machina is a good movie.</t>
        </is>
      </c>
      <c r="D1792" t="n">
        <v>12</v>
      </c>
      <c r="E1792" t="n">
        <v>4</v>
      </c>
      <c r="F1792">
        <f>HYPERLINK("https://www.reddit.com/r/diabetes/comments/49291f/mind_spin/")</f>
        <v/>
      </c>
      <c r="G1792" t="inlineStr">
        <is>
          <t>2016-03-05 04:33:28</t>
        </is>
      </c>
      <c r="H1792" t="inlineStr">
        <is>
          <t>Type 1</t>
        </is>
      </c>
    </row>
    <row r="1793">
      <c r="A1793" t="inlineStr">
        <is>
          <t>494607</t>
        </is>
      </c>
      <c r="B1793" t="inlineStr">
        <is>
          <t>Question on carb correction when hypo right before a meal..</t>
        </is>
      </c>
      <c r="C1793" t="inlineStr">
        <is>
          <t>Hello diabetes subreddit! New diabetes mom making my first post. My 3 year old was just diagnosed last week and we're trying to work through some problems we've run into since coming home from the hospital. Our current plan for dealing with hypo's is 15 grams of fast carbs to bring it up then 15 grams slow burning carbs to maintain. She was just hypo right before a meal so we gave her 15 of juice to bring her up but now aren't sure how to carb correct after the meal. She's on .5 unit/20 carbs. I'm thinking we need to add an additional 15 carbs to the meal which wouldn't be covered with the after meal shot but my husband thinks the meal will suffice and we should give her a full correction. Any advice? Also, any lingo corrections would be appreciated, I haven't gotten the hang of it yet :-)</t>
        </is>
      </c>
      <c r="D1793" t="n">
        <v>5</v>
      </c>
      <c r="E1793" t="n">
        <v>7</v>
      </c>
      <c r="F1793">
        <f>HYPERLINK("https://www.reddit.com/r/diabetes/comments/494607/question_on_carb_correction_when_hypo_right/")</f>
        <v/>
      </c>
      <c r="G1793" t="inlineStr">
        <is>
          <t>2016-03-05 13:00:15</t>
        </is>
      </c>
      <c r="H1793" t="inlineStr">
        <is>
          <t>Type 1</t>
        </is>
      </c>
    </row>
    <row r="1794">
      <c r="A1794" t="inlineStr">
        <is>
          <t>4951zc</t>
        </is>
      </c>
      <c r="B1794" t="inlineStr">
        <is>
          <t>Insulin Pen or vial's?</t>
        </is>
      </c>
      <c r="C1794" t="inlineStr">
        <is>
          <t>So I've been using the vial's...idk for 18 years lol. I'm going to be traveling in a month and going to different things like sporting events etc. 
As a male I like to take just the things I need and keep them in my pocket so its not a hassle when going through security for things like flying, or getting into sports arena's. 
So how are the Pen's, do they fit in pockets? Do they hold the same amount of insulin as the vials?
I'm looking into getting a Lantus &amp;amp; Humalog pen for my upcoming travels.
Thanks for any info!</t>
        </is>
      </c>
      <c r="D1794" t="n">
        <v>14</v>
      </c>
      <c r="E1794" t="n">
        <v>30</v>
      </c>
      <c r="F1794">
        <f>HYPERLINK("https://www.reddit.com/r/diabetes/comments/4951zc/insulin_pen_or_vials/")</f>
        <v/>
      </c>
      <c r="G1794" t="inlineStr">
        <is>
          <t>2016-03-05 16:41:33</t>
        </is>
      </c>
      <c r="H1794" t="inlineStr">
        <is>
          <t>Type 1</t>
        </is>
      </c>
    </row>
    <row r="1795">
      <c r="A1795" t="inlineStr">
        <is>
          <t>49a44b</t>
        </is>
      </c>
      <c r="B1795" t="inlineStr">
        <is>
          <t>One week in and metformin is kicking my butt</t>
        </is>
      </c>
      <c r="C1795" t="inlineStr">
        <is>
          <t>Saturday through Thursday of last week was pretty normal, no issues. Friday evening was met with nausea and MANY trips to the bathroom. My doctor had me do 500mg the first week and gradually increase by 500mg weekly until I hit 2000mg daily.  
Is nausea normal? I'm wondering if I got a stomach bug or something because of how well it was going until Friday.  
My testing has been pretty good between 120 - 140 considering my fasting diagnosis was 254.  
I read on here about the Extended release version, but since my doc made my first prescription 3 months worth at about $50, I'd hate to have to toss them for a new prescription.  
**UPDATE**  
So after some advice from another Type2 friend, I asked my doc about a probiotic to help the stomach issues and she agreed this would help. Started taking it last night and I've felt great! Last night after dinner my BG was 120 and this morning before breakfast it was 135.</t>
        </is>
      </c>
      <c r="D1795" t="n">
        <v>20</v>
      </c>
      <c r="E1795" t="n">
        <v>22</v>
      </c>
      <c r="F1795">
        <f>HYPERLINK("https://www.reddit.com/r/diabetes/comments/49a44b/one_week_in_and_metformin_is_kicking_my_butt/")</f>
        <v/>
      </c>
      <c r="G1795" t="inlineStr">
        <is>
          <t>2016-03-06 17:00:07</t>
        </is>
      </c>
      <c r="H1795" t="inlineStr">
        <is>
          <t>Type 2</t>
        </is>
      </c>
    </row>
    <row r="1796">
      <c r="A1796" t="inlineStr">
        <is>
          <t>49dcb6</t>
        </is>
      </c>
      <c r="B1796" t="inlineStr">
        <is>
          <t>I'm basically killing myself.</t>
        </is>
      </c>
      <c r="C1796" t="inlineStr">
        <is>
          <t>17, male, type 1.
 I'm a very irresponsible diabetic. I rarely check my bloodsugar and I go to sleep sometimes with it being high. Whenever I feel that it's high I dose a massive amount of Humalog and then I get low so I binge eat, causing a spike again. It becomes an endless cycle. I want to fix my bad habits but I have no idea how.</t>
        </is>
      </c>
      <c r="D1796" t="n">
        <v>48</v>
      </c>
      <c r="E1796" t="n">
        <v>48</v>
      </c>
      <c r="F1796">
        <f>HYPERLINK("https://www.reddit.com/r/diabetes/comments/49dcb6/im_basically_killing_myself/")</f>
        <v/>
      </c>
      <c r="G1796" t="inlineStr">
        <is>
          <t>2016-03-07 08:18:20</t>
        </is>
      </c>
      <c r="H1796" t="inlineStr">
        <is>
          <t>Type 1</t>
        </is>
      </c>
    </row>
    <row r="1797">
      <c r="A1797" t="inlineStr">
        <is>
          <t>49fc50</t>
        </is>
      </c>
      <c r="B1797" t="inlineStr">
        <is>
          <t>Neuropathy?</t>
        </is>
      </c>
      <c r="C1797" t="inlineStr">
        <is>
          <t>Hey all. I know we aren't really doctors here, but most of us are pretty experienced with this whole diabetes thing. T1 for 2.5 years, A1C has always been ehhh... Never really good, but not completely off the wall either. Average would probably be 7.5 over the time I've had T1.
I've been having a really pinpointed, sharp needle like pain in ONE spot on the back of my left heel for about 3 months now, and it comes and goes completely at random, regardless of how my BS is. My endo said neuropathy usually occurs in both feet and begins in the toes. This pain isn't regular, happens all throughout the day, which is also kinda weird, because she said it's usually worse at night, but not always. 
Any ideas? I really don't want to see a foot specialist, it's just more money and time, but I might have to.</t>
        </is>
      </c>
      <c r="D1797" t="n">
        <v>2</v>
      </c>
      <c r="E1797" t="n">
        <v>4</v>
      </c>
      <c r="F1797">
        <f>HYPERLINK("https://www.reddit.com/r/diabetes/comments/49fc50/neuropathy/")</f>
        <v/>
      </c>
      <c r="G1797" t="inlineStr">
        <is>
          <t>2016-03-07 15:00:52</t>
        </is>
      </c>
      <c r="H1797" t="inlineStr">
        <is>
          <t>Type 1</t>
        </is>
      </c>
    </row>
    <row r="1798">
      <c r="A1798" t="inlineStr">
        <is>
          <t>49glth</t>
        </is>
      </c>
      <c r="B1798" t="inlineStr">
        <is>
          <t>Healing of Infusion Sites?</t>
        </is>
      </c>
      <c r="C1798" t="inlineStr">
        <is>
          <t>I would still consider myself fairly new to the pump (about 3 months now), and I'm already struggling with site changes and the marks they leave. My ass looks ridiculous now with those dots everywhere. I don't ever put the sites on my stomach because of these marks, especially that it's summer still.
I would like to know if there's any way to aid the healing? Same goes for fingertips now that I test more. The skin is actually peeling off!
And also, how people manage to find new sites? Can I put them into the old ones if they haven't healed? Any help or advice at all please.</t>
        </is>
      </c>
      <c r="D1798" t="n">
        <v>6</v>
      </c>
      <c r="E1798" t="n">
        <v>9</v>
      </c>
      <c r="F1798">
        <f>HYPERLINK("https://www.reddit.com/r/diabetes/comments/49glth/healing_of_infusion_sites/")</f>
        <v/>
      </c>
      <c r="G1798" t="inlineStr">
        <is>
          <t>2016-03-07 19:56:16</t>
        </is>
      </c>
      <c r="H1798" t="inlineStr">
        <is>
          <t>Type 1</t>
        </is>
      </c>
    </row>
    <row r="1799">
      <c r="A1799" t="inlineStr">
        <is>
          <t>49h71k</t>
        </is>
      </c>
      <c r="B1799" t="inlineStr">
        <is>
          <t>Happy Ending?</t>
        </is>
      </c>
      <c r="C1799" t="inlineStr">
        <is>
          <t>Father is in the hospital. Checked in for dehydration. They found a cyst, looked closer and found cancer. In the ICU, then physical therapy. Fighting depression, not taking his meds, and being goaded into using his body again.
He has Type II, as do I, as does my mother.
Is my fate to grow old and watch my bodily functions slowly shut down and fail me?
I panic every time my foot tingles, or something gets in my blind spot. 
I was just wondering what's the plan? Or am I just testing sugars, and watching my foods, exercising, taking medication until nothing I do matters, because it's past my involvement.
It just dawned on me my Doctor never said. Oh take this for now and you'll be done. It's more like take this now, and when it gets worse, we will prescribe something stronger. 
It just seems so tedious, but worse yet...inevitable. 
Lol, Mr. Smith is just watching me and muttering, "why do you fight Mr. Anderson..."
I'm not asking if anyone older has "cured" diabetes. But if everything is done perfectly, how is your lifestyle as you get older? Are you bed ridden in a hospital? I realize writing this everyone's situation is different. I was just talking "in general".</t>
        </is>
      </c>
      <c r="D1799" t="n">
        <v>2</v>
      </c>
      <c r="E1799" t="n">
        <v>19</v>
      </c>
      <c r="F1799">
        <f>HYPERLINK("https://www.reddit.com/r/diabetes/comments/49h71k/happy_ending/")</f>
        <v/>
      </c>
      <c r="G1799" t="inlineStr">
        <is>
          <t>2016-03-07 22:21:05</t>
        </is>
      </c>
      <c r="H1799" t="inlineStr">
        <is>
          <t>Type 2</t>
        </is>
      </c>
    </row>
    <row r="1800">
      <c r="A1800" t="inlineStr">
        <is>
          <t>49ip1o</t>
        </is>
      </c>
      <c r="B1800" t="inlineStr">
        <is>
          <t>Teenaged Son Burned Out</t>
        </is>
      </c>
      <c r="C1800" t="inlineStr">
        <is>
          <t xml:space="preserve">Our 14 year old son was diagnosed on 11/9/15.  Since then, we've been very supportive and involved with getting him adjusted to his new way of life.  He has a Dexcom G5 and Omnipod, both of which has helped his control and with the peace of mind of both my wife and I.  This morning before school, he angrily took off his Dexcom and Omnipod exclaiming that "he's had it and is tired of wearing this stuff".  It was all we could do to get him to school.  His school nurse is awesome, as well as each of his teachers.  He couldn't have a better support group.  Still, he has always been somewhat introverted and being diagnosed with T1 didn't help.  It seems like he goes a few weeks and then he'll hit a bad day like this.  This morning was different, though.  He was flat out pissed off.  It has been tough on our family ( he has a younger sister and older brother) but I know our mental anguish is nothing compared to his.  I'd greatly appreciate input from other parents and anyone who has had to deal with being T1 in high school.  This subreddit is incredible and I'm here every day.  Thanks.
</t>
        </is>
      </c>
      <c r="D1800" t="n">
        <v>17</v>
      </c>
      <c r="E1800" t="n">
        <v>32</v>
      </c>
      <c r="F1800">
        <f>HYPERLINK("https://www.reddit.com/r/diabetes/comments/49ip1o/teenaged_son_burned_out/")</f>
        <v/>
      </c>
      <c r="G1800" t="inlineStr">
        <is>
          <t>2016-03-08 06:25:04</t>
        </is>
      </c>
      <c r="H1800" t="inlineStr">
        <is>
          <t>Type 1</t>
        </is>
      </c>
    </row>
    <row r="1801">
      <c r="A1801" t="inlineStr">
        <is>
          <t>49ixrw</t>
        </is>
      </c>
      <c r="B1801" t="inlineStr">
        <is>
          <t>We all know diabetes causes high blood sugar, but does it also make it easier to bottom out?</t>
        </is>
      </c>
      <c r="C1801" t="inlineStr">
        <is>
          <t>I made a post the other day asking for good snacks to eat before doing an intense workout session, I ended up going with clif bars (43 carbs) an hour or two before the session, raising up my blood sugar from 100 to 200 in about in hour. Now I've been starting out with doing the 7 minute workout, and amazingly, this is all my body can handle before I start to feel like crap due to low BS. In just 7 minutes that 200 drops down to 100. 
Eventually I'm going to want to workout longer and harder in order to get fit, the problem is I don't want to have to stuff my face every time I want to workout. I can't even do a light jog for 10 minutes without my blood sugar dropping to levels below 70 some times. I only take 10 units a day of lantus solo star. I'm doing somewhat of a paleo diet, around 20-40 carbs per meal, most of the carbs come from fruit but with lots of protein (eggs and meat, mostly).
I guess my question is, what is causing my BS to drop so easily while working out? Is there something about diabetes itself that makes it difficult for the body to prevent getting so low? Or maybe my insulin intake (10 units in the morning only) is causing this? How does a non diabetics BS look like after a work out?
Also, are there glucose tablets out there with a higher carb count? Because 4 per tablet just isn't enough, I would have to take 10 just to get 40 carbs.</t>
        </is>
      </c>
      <c r="D1801" t="n">
        <v>3</v>
      </c>
      <c r="E1801" t="n">
        <v>8</v>
      </c>
      <c r="F1801">
        <f>HYPERLINK("https://www.reddit.com/r/diabetes/comments/49ixrw/we_all_know_diabetes_causes_high_blood_sugar_but/")</f>
        <v/>
      </c>
      <c r="G1801" t="inlineStr">
        <is>
          <t>2016-03-08 07:22:47</t>
        </is>
      </c>
      <c r="H1801" t="inlineStr">
        <is>
          <t>Type 1.5/LADA</t>
        </is>
      </c>
    </row>
    <row r="1802">
      <c r="A1802" t="inlineStr">
        <is>
          <t>49j0ht</t>
        </is>
      </c>
      <c r="B1802" t="inlineStr">
        <is>
          <t>Blood Sugar is high when I didn't eat anything super bad?</t>
        </is>
      </c>
      <c r="C1802" t="inlineStr">
        <is>
          <t>Woke up at 7.  For breakfast at 9 I had 2 cups of sunflower seeds (shelled) and a dt. pop.  Took my medicine with it. 15 minutes later I  tested myself and I'm at 193.  
I'm new to being a diabetic. But that seems like a big spike for something so little in carbs.  Any ideas?</t>
        </is>
      </c>
      <c r="D1802" t="n">
        <v>5</v>
      </c>
      <c r="E1802" t="n">
        <v>19</v>
      </c>
      <c r="F1802">
        <f>HYPERLINK("https://www.reddit.com/r/diabetes/comments/49j0ht/blood_sugar_is_high_when_i_didnt_eat_anything/")</f>
        <v/>
      </c>
      <c r="G1802" t="inlineStr">
        <is>
          <t>2016-03-08 07:40:06</t>
        </is>
      </c>
      <c r="H1802" t="inlineStr">
        <is>
          <t>Type 2</t>
        </is>
      </c>
    </row>
    <row r="1803">
      <c r="A1803" t="inlineStr">
        <is>
          <t>49l0om</t>
        </is>
      </c>
      <c r="B1803" t="inlineStr">
        <is>
          <t>My story and my question</t>
        </is>
      </c>
      <c r="C1803" t="inlineStr">
        <is>
          <t>First off I know I should talk to a doctor about this but I thought it wouldn't hurt to ask here . I'm 28 years old male . Like over a year and a half ago the doctor said I had pre diabetes type 2 ......couple months ago I got re checked and now I'm in the more safe normal range . I'd assume why I got pre diabetes is because I had/have a serious addiction to soda pop. Long story short I have STOPPED my evil addiction of soda pop and have returned to the gym where I have lost 18 pounds in just about two months . My question is .....I'm stressing out ....I'm fighting with myself in my head . Do I have to have no soda ? Will I get full fledge diabetes if I have some ? Or can I allow myself a 20oz bottle once a week ? Can i have it on rare occasions ? I'm trying to fix this problem but trying to be fair to myself so I'm not completely miserable . I do NOT want diabetes at all and I'm not sure what or what not is acceptable to indulge in . Thanks for any help !</t>
        </is>
      </c>
      <c r="D1803" t="n">
        <v>1</v>
      </c>
      <c r="E1803" t="n">
        <v>8</v>
      </c>
      <c r="F1803">
        <f>HYPERLINK("https://www.reddit.com/r/diabetes/comments/49l0om/my_story_and_my_question/")</f>
        <v/>
      </c>
      <c r="G1803" t="inlineStr">
        <is>
          <t>2016-03-08 14:42:43</t>
        </is>
      </c>
      <c r="H1803" t="inlineStr">
        <is>
          <t>Type 2</t>
        </is>
      </c>
    </row>
    <row r="1804">
      <c r="A1804" t="inlineStr">
        <is>
          <t>49l85e</t>
        </is>
      </c>
      <c r="B1804" t="inlineStr">
        <is>
          <t>Books with a type one diabetic as main character?</t>
        </is>
      </c>
      <c r="C1804" t="inlineStr">
        <is>
          <t xml:space="preserve">The only one I've read is Sweetblood by Pete Hautman. 
I'm looking for more and haven't really found anything. 
Any suggestions are appreciated. </t>
        </is>
      </c>
      <c r="D1804" t="n">
        <v>5</v>
      </c>
      <c r="E1804" t="n">
        <v>13</v>
      </c>
      <c r="F1804">
        <f>HYPERLINK("https://www.reddit.com/r/diabetes/comments/49l85e/books_with_a_type_one_diabetic_as_main_character/")</f>
        <v/>
      </c>
      <c r="G1804" t="inlineStr">
        <is>
          <t>2016-03-08 15:31:32</t>
        </is>
      </c>
      <c r="H1804" t="inlineStr">
        <is>
          <t>Type 1</t>
        </is>
      </c>
    </row>
    <row r="1805">
      <c r="A1805" t="inlineStr">
        <is>
          <t>49og7b</t>
        </is>
      </c>
      <c r="B1805" t="inlineStr">
        <is>
          <t>This gets me pretty excited:</t>
        </is>
      </c>
      <c r="C1805" t="inlineStr">
        <is>
          <t>http://jdrf.org/blog/2016/03/01/breaking-free-from-the-daily-burden/?mkt_tok=3RkMMJWWfF9wsRokuKvKZKXonjHpfsX77egqUKCg38431UFwdcjKPmjr1YADRMZ0aPyQAgobGp5I5FEKTrLYX7lpt6EMWA%3D%3D</t>
        </is>
      </c>
      <c r="D1805" t="n">
        <v>67</v>
      </c>
      <c r="E1805" t="n">
        <v>62</v>
      </c>
      <c r="F1805">
        <f>HYPERLINK("https://www.reddit.com/r/diabetes/comments/49og7b/this_gets_me_pretty_excited/")</f>
        <v/>
      </c>
      <c r="G1805" t="inlineStr">
        <is>
          <t>2016-03-09 07:09:01</t>
        </is>
      </c>
      <c r="H1805" t="inlineStr">
        <is>
          <t>Type 1</t>
        </is>
      </c>
    </row>
    <row r="1806">
      <c r="A1806" t="inlineStr">
        <is>
          <t>49qm5w</t>
        </is>
      </c>
      <c r="B1806" t="inlineStr">
        <is>
          <t>If I binge once is it going to kill me?</t>
        </is>
      </c>
      <c r="C1806" t="inlineStr">
        <is>
          <t>Long story short, I am moving to Seattle on monday and cleaning up my apartment and throwing stuff out. Alot of things I have are stuff from prior to my diagnosis thats always been in my cabinit but ive just left alone. Lobster Tortolini, Alfredo Sauce, Imported High Grade canadian maple syrup, Mochiko from Japan, Semolina I ordered from a grower in Tuscany, few other things. Its expensive and hard to find specialty items I love using as a Chef and it seems a godawful shame to just toss it all out. I dont take any type of medication at all and I manage exclusively through strict diet and exercise. I might have like 10 carbs a day meybe and have eaten clean for 6 months now. So if I take a break for a 24 hour period and cook some of these things how badly would it tear me up?</t>
        </is>
      </c>
      <c r="D1806" t="n">
        <v>3</v>
      </c>
      <c r="E1806" t="n">
        <v>46</v>
      </c>
      <c r="F1806">
        <f>HYPERLINK("https://www.reddit.com/r/diabetes/comments/49qm5w/if_i_binge_once_is_it_going_to_kill_me/")</f>
        <v/>
      </c>
      <c r="G1806" t="inlineStr">
        <is>
          <t>2016-03-09 14:45:28</t>
        </is>
      </c>
      <c r="H1806" t="inlineStr">
        <is>
          <t>Type 2</t>
        </is>
      </c>
    </row>
    <row r="1807">
      <c r="A1807" t="inlineStr">
        <is>
          <t>49r9u2</t>
        </is>
      </c>
      <c r="B1807" t="inlineStr">
        <is>
          <t>Three month progress update: A1c and other tests</t>
        </is>
      </c>
      <c r="C1807" t="inlineStr">
        <is>
          <t xml:space="preserve">The main reason I am posting this is to thank all the nice readers of this sub, and the nice folks at the IRC. I have learned so much from these resources, and they were immensely helpful - especially during the scary first few days.
So, I found out in December 2015 that I am a T2. Suddenly lost 20 lbs eating shitty food, started having blurry vision, and the works. Bought a meter, and tested 350 fasted. Went to the doctor, and came out with an A1c of 13.3, bad lipids, and potential nephropathy. I will make a table of my test results below.
I largely ignored my dietitian, and went by what I was familiar with, and what I read here. I mainly follow a low-carb (non keto) diet, and cram all my carbs into my pre and post workout times. I changed my lifestyle, started strict diet and exercise regimen. Three months in, blood work looks much better! If anyone is interested, I am more than happy to give a detailed breakdown of what I have been doing.
Once again, thanks for all the help! Special shoutouts to the regulars on the IRC, /u/awaxa, /u/carrotsangua, /u/Ariensus, and other IRC regulars whose reddit usernames I don't know!
Date | A1c | Total Cholesterol | Triglycerides| LDL | HDL | Creatine | Albumin | Creatine/Albumin
---|---|----|----|----|----|----|----|----
Dec 10 | 13.3 | 295 | **1406** | 71 | 20 | 61| 169 | 36
March 9 | 5.9 | 166 | 69 | 103| 48 | 48.4 | &amp;lt;5 | &amp;lt; 30
Also, suggestions very very welcome! 
</t>
        </is>
      </c>
      <c r="D1807" t="n">
        <v>11</v>
      </c>
      <c r="E1807" t="n">
        <v>25</v>
      </c>
      <c r="F1807">
        <f>HYPERLINK("https://www.reddit.com/r/diabetes/comments/49r9u2/three_month_progress_update_a1c_and_other_tests/")</f>
        <v/>
      </c>
      <c r="G1807" t="inlineStr">
        <is>
          <t>2016-03-09 17:24:52</t>
        </is>
      </c>
      <c r="H1807" t="inlineStr">
        <is>
          <t>Type 2</t>
        </is>
      </c>
    </row>
    <row r="1808">
      <c r="A1808" t="inlineStr">
        <is>
          <t>49uuoo</t>
        </is>
      </c>
      <c r="B1808" t="inlineStr">
        <is>
          <t>T1: how many insulin/lantus do you take?</t>
        </is>
      </c>
      <c r="C1808" t="inlineStr">
        <is>
          <t>I know it's a bit of a weird question but I've read so many posts here now and I'm interested because there seems to be a big difference between me and other people's doses. I inject about 5 units of insulin at meals and every night 14u of lantus. Please let me know!</t>
        </is>
      </c>
      <c r="D1808" t="n">
        <v>4</v>
      </c>
      <c r="E1808" t="n">
        <v>44</v>
      </c>
      <c r="F1808">
        <f>HYPERLINK("https://www.reddit.com/r/diabetes/comments/49uuoo/t1_how_many_insulinlantus_do_you_take/")</f>
        <v/>
      </c>
      <c r="G1808" t="inlineStr">
        <is>
          <t>2016-03-10 10:54:37</t>
        </is>
      </c>
      <c r="H1808" t="inlineStr">
        <is>
          <t>Type 1</t>
        </is>
      </c>
    </row>
    <row r="1809">
      <c r="A1809" t="inlineStr">
        <is>
          <t>49v1sc</t>
        </is>
      </c>
      <c r="B1809" t="inlineStr">
        <is>
          <t>Best form of exercise to lower blood sugar?</t>
        </is>
      </c>
      <c r="C1809" t="inlineStr">
        <is>
          <t>I'm working on getting my blood sugar back to where it should be. My morning test is averaging around 150-160 which is too high. My diet is actually pretty healthy. I have been focusing on making sure that I'm not overeating or eating the wrong things.
I'm currently on 2/day 1000 mg of metformin and a tablet of glipizide. My goal this year is to get that down to 1 pill, but ideally 0 pills.
I've started to go back to the gym (started last Thursday) doing mostly treadmill.
My question is : which route is best for to get the blood sugar down? Should I stick with the treadmill for now or should I be mixing in weights?</t>
        </is>
      </c>
      <c r="D1809" t="n">
        <v>5</v>
      </c>
      <c r="E1809" t="n">
        <v>16</v>
      </c>
      <c r="F1809">
        <f>HYPERLINK("https://www.reddit.com/r/diabetes/comments/49v1sc/best_form_of_exercise_to_lower_blood_sugar/")</f>
        <v/>
      </c>
      <c r="G1809" t="inlineStr">
        <is>
          <t>2016-03-10 11:35:37</t>
        </is>
      </c>
      <c r="H1809" t="inlineStr">
        <is>
          <t>Type 2</t>
        </is>
      </c>
    </row>
    <row r="1810">
      <c r="A1810" t="inlineStr">
        <is>
          <t>49vcet</t>
        </is>
      </c>
      <c r="B1810" t="inlineStr">
        <is>
          <t>Diabetic from the UK, interested in how much people spend on their medication?</t>
        </is>
      </c>
      <c r="C1810" t="inlineStr">
        <is>
          <t xml:space="preserve">Please also state where you are from!
EDIT: I'm pretty blown away by the responses here guys. I had no idea how much money and hassle it is for you all, and I find it really sad. I'm currently a very poor student and I'm also from a poor family who can't help me out financially. Can anyone tell me what would happen to someone who genuinely couldn't afford there meds?
</t>
        </is>
      </c>
      <c r="D1810" t="n">
        <v>3</v>
      </c>
      <c r="E1810" t="n">
        <v>11</v>
      </c>
      <c r="F1810">
        <f>HYPERLINK("https://www.reddit.com/r/diabetes/comments/49vcet/diabetic_from_the_uk_interested_in_how_much/")</f>
        <v/>
      </c>
      <c r="G1810" t="inlineStr">
        <is>
          <t>2016-03-10 12:36:06</t>
        </is>
      </c>
      <c r="H1810" t="inlineStr">
        <is>
          <t>Type 1</t>
        </is>
      </c>
    </row>
    <row r="1811">
      <c r="A1811" t="inlineStr">
        <is>
          <t>49wu4l</t>
        </is>
      </c>
      <c r="B1811" t="inlineStr">
        <is>
          <t>Hi! Newbie here. T1 as of Nov 3rd 2015</t>
        </is>
      </c>
      <c r="C1811" t="inlineStr">
        <is>
          <t>Hello all! I am 28 years old and was diagnosed with Type 1 diabetes on Nov. 3rd 2015. It has been an interesting transition, but I am feeling much better. 
I guess I have a slow progressing form of type 1? I did not feel right for about 20 months. The last few months before being diagnosed I really went downhill. 
Anyway, I am excited to join this community and discuss with others. Just wanted to say hello!</t>
        </is>
      </c>
      <c r="D1811" t="n">
        <v>3</v>
      </c>
      <c r="E1811" t="n">
        <v>27</v>
      </c>
      <c r="F1811">
        <f>HYPERLINK("https://www.reddit.com/r/diabetes/comments/49wu4l/hi_newbie_here_t1_as_of_nov_3rd_2015/")</f>
        <v/>
      </c>
      <c r="G1811" t="inlineStr">
        <is>
          <t>2016-03-10 19:09:45</t>
        </is>
      </c>
      <c r="H1811" t="inlineStr">
        <is>
          <t>Type 1</t>
        </is>
      </c>
    </row>
    <row r="1812">
      <c r="A1812" t="inlineStr">
        <is>
          <t>4a3czb</t>
        </is>
      </c>
      <c r="B1812" t="inlineStr">
        <is>
          <t>Type 1. New pump user for about 3 months now, is this normal after removing a canula?</t>
        </is>
      </c>
      <c r="C1812" t="inlineStr">
        <is>
          <t>Title asks it all, removed my canula to change my reservoir and noticed a small ring around the site. I can assume this is bruising but it's the first time in 3 months that this has happened to me and wanted to know if this is normal. Cleaning it with alcohol and it's on the lower right quadrant of my abdomen. 
Thanks guys and ladies! 
The image: http://imgur.com/DRluEbu</t>
        </is>
      </c>
      <c r="D1812" t="n">
        <v>1</v>
      </c>
      <c r="E1812" t="n">
        <v>7</v>
      </c>
      <c r="F1812">
        <f>HYPERLINK("https://www.reddit.com/r/diabetes/comments/4a3czb/type_1_new_pump_user_for_about_3_months_now_is/")</f>
        <v/>
      </c>
      <c r="G1812" t="inlineStr">
        <is>
          <t>2016-03-12 02:16:07</t>
        </is>
      </c>
      <c r="H1812" t="inlineStr">
        <is>
          <t>Type 1</t>
        </is>
      </c>
    </row>
    <row r="1813">
      <c r="A1813" t="inlineStr">
        <is>
          <t>4a5qqp</t>
        </is>
      </c>
      <c r="B1813" t="inlineStr">
        <is>
          <t>Is it common to get a bad batch of insulin?</t>
        </is>
      </c>
      <c r="C1813" t="inlineStr">
        <is>
          <t xml:space="preserve">I'm still in my 'honeymoon phase' and my A1c went from 11 to 6 in only a few months of using 10 units of Lantus.  Usually my blood is in range before meals and when I wake up.  Yesterday it was much higher than usual and today it was 10 when I woke up (usually it's like 5) But I noticed this started when I started a new Lantus pen.  Do you ever just get a bad batch of insulin? Or is my honeymoon phase definitely over? </t>
        </is>
      </c>
      <c r="D1813" t="n">
        <v>6</v>
      </c>
      <c r="E1813" t="n">
        <v>10</v>
      </c>
      <c r="F1813">
        <f>HYPERLINK("https://www.reddit.com/r/diabetes/comments/4a5qqp/is_it_common_to_get_a_bad_batch_of_insulin/")</f>
        <v/>
      </c>
      <c r="G1813" t="inlineStr">
        <is>
          <t>2016-03-12 14:11:13</t>
        </is>
      </c>
      <c r="H1813" t="inlineStr">
        <is>
          <t>Type 1</t>
        </is>
      </c>
    </row>
    <row r="1814">
      <c r="A1814" t="inlineStr">
        <is>
          <t>4a9tbc</t>
        </is>
      </c>
      <c r="B1814" t="inlineStr">
        <is>
          <t>Blood on my Dexcom? What to do!</t>
        </is>
      </c>
      <c r="C1814" t="inlineStr">
        <is>
          <t>Update: Thanks everyone!  I got on the phone with Animas and after a very lengthy series of questions they are sending 2 replacement sensors.  Im glad I did what my rep recommended by keeping the bags the sensors came in so I could provide the lot numbers.
Annoying week this week.  After replacing my incredibly accurate sensor, I ended up having to remove a dud sensor.  Shit happens so I put another in.  Only to look later and see a BIG pool of blood seeping into the medical tape.  I leave it, hoping it will be ok, but the sensor is showing stupid highs and lows when my actual sugars are fine.
I guess my issue is with the original bad sensor, I can get a free replacement, but what is Dexcom's view on this one with the blood?  I assume it's my fault and therefore I'm out of pocket for a sensor?  It's a LOT of money for me to spend on each sensor, even with the Animas discount and It's going to leave me paranoid for using them if I end up wasting them through bleeding at the sites!
I will be contacting my animas supplier (they send out and replace the dexcom sensors here in the UK) but I was wondering if people had experience with possibly getting refunds on sensors that arn't necessarily faulty, but can't work due to bleeding.</t>
        </is>
      </c>
      <c r="D1814" t="n">
        <v>6</v>
      </c>
      <c r="E1814" t="n">
        <v>12</v>
      </c>
      <c r="F1814">
        <f>HYPERLINK("https://www.reddit.com/r/diabetes/comments/4a9tbc/blood_on_my_dexcom_what_to_do/")</f>
        <v/>
      </c>
      <c r="G1814" t="inlineStr">
        <is>
          <t>2016-03-13 13:16:36</t>
        </is>
      </c>
      <c r="H1814" t="inlineStr">
        <is>
          <t>Type 1</t>
        </is>
      </c>
    </row>
    <row r="1815">
      <c r="A1815" t="inlineStr">
        <is>
          <t>4ablpc</t>
        </is>
      </c>
      <c r="B1815" t="inlineStr">
        <is>
          <t>Animas ezManager Max Software</t>
        </is>
      </c>
      <c r="C1815" t="inlineStr">
        <is>
          <t>Would anyone be able to send me a copy of this software?  I can't find it available for download.  Or do I have to order the CD from somewhere?</t>
        </is>
      </c>
      <c r="D1815" t="n">
        <v>2</v>
      </c>
      <c r="E1815" t="n">
        <v>5</v>
      </c>
      <c r="F1815">
        <f>HYPERLINK("https://www.reddit.com/r/diabetes/comments/4ablpc/animas_ezmanager_max_software/")</f>
        <v/>
      </c>
      <c r="G1815" t="inlineStr">
        <is>
          <t>2016-03-13 21:06:14</t>
        </is>
      </c>
      <c r="H1815" t="inlineStr">
        <is>
          <t>Type 1</t>
        </is>
      </c>
    </row>
    <row r="1816">
      <c r="A1816" t="inlineStr">
        <is>
          <t>4ad4z5</t>
        </is>
      </c>
      <c r="B1816" t="inlineStr">
        <is>
          <t>John Boyega (Star Wars) visits the hospital/girl with T1</t>
        </is>
      </c>
      <c r="C1816" t="inlineStr">
        <is>
          <t xml:space="preserve">John Boyega visits the hospital - a young girl holding Rufus the bear is pictured: http://i.imgur.com/xtbLEre.jpg
</t>
        </is>
      </c>
      <c r="D1816" t="n">
        <v>47</v>
      </c>
      <c r="E1816" t="n">
        <v>4</v>
      </c>
      <c r="F1816">
        <f>HYPERLINK("https://www.reddit.com/r/diabetes/comments/4ad4z5/john_boyega_star_wars_visits_the_hospitalgirl/")</f>
        <v/>
      </c>
      <c r="G1816" t="inlineStr">
        <is>
          <t>2016-03-14 06:46:16</t>
        </is>
      </c>
      <c r="H1816" t="inlineStr">
        <is>
          <t>Type 1</t>
        </is>
      </c>
    </row>
    <row r="1817">
      <c r="A1817" t="inlineStr">
        <is>
          <t>4adg76</t>
        </is>
      </c>
      <c r="B1817" t="inlineStr">
        <is>
          <t>Insulin in fridge</t>
        </is>
      </c>
      <c r="C1817" t="inlineStr">
        <is>
          <t>Hello! So I keep most of my insulin in my fridge at home - but I keep a pretty good amount at the fridge in my parents house. I went there for a visit this weekend and while I was in the fridge grabbing a water bottle, I realized that some of the items (bag of lettuce, water bottle) were slightly frozen. This concerned me because I have 5 lantus pens in there!!! My insulin is on the bottom shelf and most of the frozen things were on the top shelf - but they are pens so it is hard to see any ice particles. Any advice??! Thanks!</t>
        </is>
      </c>
      <c r="D1817" t="n">
        <v>2</v>
      </c>
      <c r="E1817" t="n">
        <v>12</v>
      </c>
      <c r="F1817">
        <f>HYPERLINK("https://www.reddit.com/r/diabetes/comments/4adg76/insulin_in_fridge/")</f>
        <v/>
      </c>
      <c r="G1817" t="inlineStr">
        <is>
          <t>2016-03-14 08:08:55</t>
        </is>
      </c>
      <c r="H1817" t="inlineStr">
        <is>
          <t>Type 1</t>
        </is>
      </c>
    </row>
    <row r="1818">
      <c r="A1818" t="inlineStr">
        <is>
          <t>4aebuj</t>
        </is>
      </c>
      <c r="B1818" t="inlineStr">
        <is>
          <t>How do I lower my A1C while keeping my weight contained?</t>
        </is>
      </c>
      <c r="C1818" t="inlineStr">
        <is>
          <t xml:space="preserve">Hey guys, posting again. I read every comment on my last post and appreciated them all. 
So I got my A1C back from my labs, and it's pretty bad. Officially my highest A1C at 12.5 (yikes). However, all my labs came back clear, so despite the A1C and the 20 years of diabetes, it's actually not as bad. I fully believe I can bounce back from this, I just need some help/tips. 
I really want to be strong, healthy and fit. I'm at a place where I really like my body, and I like the muscle I've been putting on. So my biggest fear is that when I lower my A1C, that my weight will start going back up. I've heard/seen it a lot in other diabetics. I'm not super duper skinny, but I do like where I'm at now compared to when I never exercised. I now weight lift and dance/run, and despite the high A1C, this is the best I've ever felt in my life. I can't imagine how nice it'd be with normal blood sugar.
I really want to get to a healthy place in terms of diabetes management and diet, so I thought I'd reach out and ask if anyone has gotten their A1C down from a high level back to a lower level and also stayed fit. What resources did you use? Where there any books or diets you followed that helped you get to that? I'm a believer in moderation, and while I'm not against things like keto/paleo, I don't know if I like environment/following surrounding the diet. But, I am open to suggestions. Is there a workout regimen that worked well and helped? 
Thanks a ton guys!
Ninja edit: Yes, I'm aware my weight is likely lower due to the higher A1C. I'm not sure what is affecting it most, the A1C or the me actually working out. I lost the weight rather slowly (4 years ago I was 160, now 140 I'm 5'7", lost around 10 lbs in the first year of working out, hung around 150 for two years then recently dropped to 140). </t>
        </is>
      </c>
      <c r="D1818" t="n">
        <v>2</v>
      </c>
      <c r="E1818" t="n">
        <v>25</v>
      </c>
      <c r="F1818">
        <f>HYPERLINK("https://www.reddit.com/r/diabetes/comments/4aebuj/how_do_i_lower_my_a1c_while_keeping_my_weight/")</f>
        <v/>
      </c>
      <c r="G1818" t="inlineStr">
        <is>
          <t>2016-03-14 11:21:08</t>
        </is>
      </c>
      <c r="H1818" t="inlineStr">
        <is>
          <t>Type 1</t>
        </is>
      </c>
    </row>
    <row r="1819">
      <c r="A1819" t="inlineStr">
        <is>
          <t>4aerpc</t>
        </is>
      </c>
      <c r="B1819" t="inlineStr">
        <is>
          <t>Dexcom and Tylenol</t>
        </is>
      </c>
      <c r="C1819" t="inlineStr">
        <is>
          <t>I've seen all over that you shouldn't take Acetaminophen with a dexcom as it messes with the sensor, but I'm wondering how bad it really is.
I have a nasty virus right now and the aches and headache that come with it aren't touched at all by either Ibuprofen or Naproxen (or even my medical MJ). My wife, who has the same thing, has said that Tylenol works for her. So, how badly am I going to mess up my sensor by taking tylenol. Am I just going to get inaccurate numbers for 8 hours or am I going to have to toss the whole sensor and start a new one once I'm done? Has anyone tried it?</t>
        </is>
      </c>
      <c r="D1819" t="n">
        <v>1</v>
      </c>
      <c r="E1819" t="n">
        <v>8</v>
      </c>
      <c r="F1819">
        <f>HYPERLINK("https://www.reddit.com/r/diabetes/comments/4aerpc/dexcom_and_tylenol/")</f>
        <v/>
      </c>
      <c r="G1819" t="inlineStr">
        <is>
          <t>2016-03-14 12:53:46</t>
        </is>
      </c>
      <c r="H1819" t="inlineStr">
        <is>
          <t>Type 1</t>
        </is>
      </c>
    </row>
    <row r="1820">
      <c r="A1820" t="inlineStr">
        <is>
          <t>4aft15</t>
        </is>
      </c>
      <c r="B1820" t="inlineStr">
        <is>
          <t>Neuropathy of Feet and Hands</t>
        </is>
      </c>
      <c r="C1820" t="inlineStr">
        <is>
          <t>For the first time, I keep experiencing numbness and tingling in my toes and fingers.   I've only been T1 for 4 months and I got my first A1C back last month and it was 6.0%.   I did have some blood sugar swings this weekend because I was traveling, but I still think my glucose control has been pretty good.
I'm having a borderline panic attack because I can't imagine this just getting worse and worse the longer I have this.   How are my nerves damaged already?
Has anyone else had this come and go, or am I screwed to numbness or worse for the rest of my life?</t>
        </is>
      </c>
      <c r="D1820" t="n">
        <v>11</v>
      </c>
      <c r="E1820" t="n">
        <v>17</v>
      </c>
      <c r="F1820">
        <f>HYPERLINK("https://www.reddit.com/r/diabetes/comments/4aft15/neuropathy_of_feet_and_hands/")</f>
        <v/>
      </c>
      <c r="G1820" t="inlineStr">
        <is>
          <t>2016-03-14 16:42:45</t>
        </is>
      </c>
      <c r="H1820" t="inlineStr">
        <is>
          <t>Type 1</t>
        </is>
      </c>
    </row>
    <row r="1821">
      <c r="A1821" t="inlineStr">
        <is>
          <t>4ahe82</t>
        </is>
      </c>
      <c r="B1821" t="inlineStr">
        <is>
          <t>Possible gastroparesis/stomach issues. Looking for anyone with similar symptoms, what helped, etc.</t>
        </is>
      </c>
      <c r="C1821" t="inlineStr">
        <is>
          <t xml:space="preserve">Hi all,
I hope I did my flair right and everything else.  I've never posted here or even talked about this stuff with anyone at my partner's behest, so if I seem ignorant I'm sorry. 
My partner is Type 1, diagnosed ten years ago. He's 29. I've slowly been learning all that I can (we've known each other just over a year)  He prefers to keep his numbers and appointments with the doc private and I just support him with cooking, exercise, and all that.  But as of today he's staying overnight at the hospital for observation because the night before, he was puking and having diarrhea nonstop for hours, got dehydrated, it severely messed with his diabetes and was on the verge of DKA when he finally got admitted.
The problem is that the puking/diarrhea/stomach issues have been literally *every day* for the past ten months *at least.*  I've never known someone who pukes at least once every 48 hours, but that's "normal" for him.  He's spoken to his doctor, they've done blood tests, and apparently everyone is "confused" because he's "healthy as a horse."  I've tried to get him to talk to his doctor about seeing a gastroenterologist because obviously something is wrong.  The doctor mentioned that gastroparesis is a possible issue and matches his symptoms, but hasn't followed up with us and seemed dismissive.  Another doctor (today at the hospital) thought that he might have leaky gut.  
I guess at this point I'm just so, so worried about him and want to know if anyone has any experience with these possible diagnoses, or advice for us on who to contact, what to say, where to go.  It's so discouraging when the doctor pretty much says "yeah, so you have a stomachache...but look at these sugar levels" when I literally walk in the house to find him passed out sleeping on the bathroom floor after having puked the toilet floor.  It breaks my heart and it scares me.  The doctor said if he'd waited any longer before coming to the ER he would have had to go to ICU.  And my partner agreed to talk to the hospital doctor in the morning about options, but I'm tired of not having anywhere to turn on my own time.  
Sorry for the rant, thanks for listening. ANY advice on this is welcome and I appreciate all your thoughts. </t>
        </is>
      </c>
      <c r="D1821" t="n">
        <v>6</v>
      </c>
      <c r="E1821" t="n">
        <v>44</v>
      </c>
      <c r="F1821">
        <f>HYPERLINK("https://www.reddit.com/r/diabetes/comments/4ahe82/possible_gastroparesisstomach_issues_looking_for/")</f>
        <v/>
      </c>
      <c r="G1821" t="inlineStr">
        <is>
          <t>2016-03-15 00:04:35</t>
        </is>
      </c>
      <c r="H1821" t="inlineStr">
        <is>
          <t>Type 1</t>
        </is>
      </c>
    </row>
    <row r="1822">
      <c r="A1822" t="inlineStr">
        <is>
          <t>4aiwkb</t>
        </is>
      </c>
      <c r="B1822" t="inlineStr">
        <is>
          <t>Newly diagnosed T2 - educated but a few questions</t>
        </is>
      </c>
      <c r="C1822" t="inlineStr">
        <is>
          <t xml:space="preserve">Hey all,
Newly diagnosed type 2 here. 
**Dx:**
* My first Fasting BG was 347. 
* Repeat test with A1C to confirm diagnosis was 292 with A1C of 12.3. This was on Dec. 29, 2015. 
**Family History**
* I'm 29 years old, 6'1 and currently 210 lbs (and have been since 2013). I was 275 at my peak in 2012. In 2013 I was so proud of my transformation that I didn't even know about the dreaded "didn't really try" weight loss of about 45 lbs I experienced, probably indicating onset of diabetes. The last 15 lbs I've really tried though and have gotten them to stay off for about 6 months!
* my mom is pre-diabetic (61 yrs old)
* father is just recently prediabetic (62 years old)
* maternal grandmother is diabetic and has been for 20 years
* maternal uncle is diabetic and was diagnosed in his early 40s. 
**Treatment**
* Primary care (made the diagnosis) doc prescribed Janumet at 500/50 twice a day. Endocrinologist bumped this dosage up to 1000/50 twice a day. 
* Lisinopril 2.5mg daily to protect kidney function and slightly lower BP (last BP measure before Lisinopril was 122/78). 
**Progress**
* using Prodigy Autocode meter. Basically learned all meters are the same and inherently inaccurate by up to 20%. Prodigy test trips are $7 for 50 at wal-mart. 
* checking sugars on a floating schedule. I do check my Fasting BG every single day.
    * Monday - fasting
    * Tuesday - 2 hours after breakfast
    * wednesday - just before lunch 
    * thursday - 2 hours after lunch
    * Friday - just before dinner
    * Saturday - 2 hours after dinner
    * Sunday - Bed time
* Been following above schedule for about 2 months now, average BG levels have come down NICELY. 
* Adopted a significantly lower-carb diet. Limiting white flours, added/refined sugars, and increased protein intake. 
* PCP and Endo both agree that we've likely caught the diabetes early within the "Full blown diabetes" stage, especially considering I was asymptomatic. I did have increased thirst and urination as a result, but I always thought that I just drank a lot of water. Since lowering my sugars I've noticed significantly less water intake and no more night time pees. 
* PCP and Endo both believe that my body's response to the treatment probably indicates that my body is still able to use the insulin I produce effectively enough, it had just gotten to a point where such high sugar levels became a norm for my body. Adjusting to lower sugar levels was not fun, trust me when someone tells you they experience sugar withdrawals. It absolutely happens. Worst headaches of my life.
**Questions**
* 1) Between mid-January and the end of February I was able to maintain an average Fasting BG of about 115. This included a few days of the month at 100-105, and a few days around 125-130. Majority of the days were in the 110-120 range. My highest spike during this period post-meal was 179 and lowest recorded fasting was 98. For the month of March however, I have noticed my average fasting BG is pretty consistently at the 128-135 level. I haven't seen the lower side of 110 all month. What could be going on? Haven't changed diet from what I was doing in Feb. 
* 2) These meters are terrible. SOmetimes I get readings in the morning of 150+. I'll retest and it'll read 122. I'll test a third time and I get 131. WTF?!? How do I figure what I should record as my BG when this happens? I always clean my hands before and will retest several times if I have to as well as control test, but I am not gonna use 5 strips each time to get 1 reading. Any thoughts?  
* 3) I am committed to getting my A1C and average BG as low as they can go (within range ofc). I want my A1C sub 6 and I will get there. My endo stated that it's highly unlikely that I'll ever be taken off of diabetes treatment, yet I read online that folks are able to reverse their diabetes. I get that the condition never truly goes away, but if I can get under 6, will I be able to discontinue the Janumet at some point? Endo says "definitely not" and "diabetes is NOT reversible by any means" but of course she's an endo and diabetes keeps her in business, so I can see this being a standard pitch.  I'm expecting my next A1C (April 29th) to be in the 6-7 range based on my average BG numbers, and I'm hoping the subsequent retest after that will go even lower. 
* 4) Anyone try the local pharmacy "A1C at home" tests? How accurate are these really? 
Thank you for taking the time to read and I appreciate any insights! </t>
        </is>
      </c>
      <c r="D1822" t="n">
        <v>6</v>
      </c>
      <c r="E1822" t="n">
        <v>21</v>
      </c>
      <c r="F1822">
        <f>HYPERLINK("https://www.reddit.com/r/diabetes/comments/4aiwkb/newly_diagnosed_t2_educated_but_a_few_questions/")</f>
        <v/>
      </c>
      <c r="G1822" t="inlineStr">
        <is>
          <t>2016-03-15 08:26:00</t>
        </is>
      </c>
      <c r="H1822" t="inlineStr">
        <is>
          <t>Type 2</t>
        </is>
      </c>
    </row>
    <row r="1823">
      <c r="A1823" t="inlineStr">
        <is>
          <t>4aks8h</t>
        </is>
      </c>
      <c r="B1823" t="inlineStr">
        <is>
          <t>Help! I'm Falling in Love!</t>
        </is>
      </c>
      <c r="C1823" t="inlineStr">
        <is>
          <t>I'm a Research Assistant at my University and recently joined a research study in my building, which examines people living with type 1 diabetes for an artificial pancreas project. I have been given a Dexcom G4 to wear for the next week, and my heart is breaking with each glucose check because this thing is so damn perfect. What's not perfect is the cost! I recently began using an Omnipod (my first pump since being d'xd in 2014) and that by itself has been a huge financial adjustment for me. I have very good private insurance but still wound up paying $587 for the PDM and a 3-month supply of pods and all 3-month orders will be $287 moving forward. I believe I got an estimate for a Dexcom when I first ordered my pump and I believe the ball park was $500 on that, not accounting for refills. It's very overwhelming for me to think about the costs of refills specifically, since I can more easily plan for the one-time upfront costs of the device. Though I receive tuition stipends and a generous hourly wage through my graduate program, I am living paycheck to paycheck, which doesn't allow for a lot of wiggle room in my budget. I have a hefty student loan balance, so I'll also have to consider the costs of refills on top of student loan payments once I graduate next spring. So I ask: Is the additional financial strain (and possibly debt) worth it? Has using a Dexcom significantly improved your diabetes management? I had my first workout without a low blood sugar this year at the gym last night thanks to this Dexcom and it did wonders for my outlook. 
tldr; is investing in a Dexcom G4 or G5 worth the financial strain and possible debt? Do current Dexcom users know if it's considerably cheaper to request a G4 versus a G5? I live in the United States and have a private federal health insurance plan. Any insight helps!</t>
        </is>
      </c>
      <c r="D1823" t="n">
        <v>2</v>
      </c>
      <c r="E1823" t="n">
        <v>5</v>
      </c>
      <c r="F1823">
        <f>HYPERLINK("https://www.reddit.com/r/diabetes/comments/4aks8h/help_im_falling_in_love/")</f>
        <v/>
      </c>
      <c r="G1823" t="inlineStr">
        <is>
          <t>2016-03-15 15:18:04</t>
        </is>
      </c>
      <c r="H1823" t="inlineStr">
        <is>
          <t>Type 1</t>
        </is>
      </c>
    </row>
    <row r="1824">
      <c r="A1824" t="inlineStr">
        <is>
          <t>4aksma</t>
        </is>
      </c>
      <c r="B1824" t="inlineStr">
        <is>
          <t>How do you guys remember when you took your long lasting insulin?</t>
        </is>
      </c>
      <c r="C1824" t="inlineStr">
        <is>
          <t xml:space="preserve">My sleep schedule is fucked, I also nap alot, and during nights, ( I wake up during the day ) It's hard for me to remember when I took the morning shot, usually I remember it, and then on days like these I forget it, and think about the consequences after I have took the night shot, so... how do you guys remember it? I know that fixing my sleep schedule would help a ton, also.. I think I have to stop napping forever.
Btw, I'm using levemir and often try to fix my schedule and patterns by injecting it per 10-12 hours, and usually when I wake up I set an alarm 10, 11 or 12 hours ahead. </t>
        </is>
      </c>
      <c r="D1824" t="n">
        <v>3</v>
      </c>
      <c r="E1824" t="n">
        <v>25</v>
      </c>
      <c r="F1824">
        <f>HYPERLINK("https://www.reddit.com/r/diabetes/comments/4aksma/how_do_you_guys_remember_when_you_took_your_long/")</f>
        <v/>
      </c>
      <c r="G1824" t="inlineStr">
        <is>
          <t>2016-03-15 15:20:35</t>
        </is>
      </c>
      <c r="H1824" t="inlineStr">
        <is>
          <t>Type 1</t>
        </is>
      </c>
    </row>
    <row r="1825">
      <c r="A1825" t="inlineStr">
        <is>
          <t>4anqix</t>
        </is>
      </c>
      <c r="B1825" t="inlineStr">
        <is>
          <t>I know what damage I'm doing, but I can't get myself out of the burnout</t>
        </is>
      </c>
      <c r="C1825" t="inlineStr">
        <is>
          <t xml:space="preserve">I've been type 1 for 23 years in December this year. Honestly, I know what damage I'm doing to my body. I haven't done a single test in over 3-4 months, I don't even want to imagine what my HbA1c% is like. 
I want to have good control, but I just don't know where to start. I know what I need to do but it's just finding the right help. I actually don't feel like I'll ever get out of the hole I've dug myself since I was a teenager. I've been and seen counsellors and they've encouraged me to go and see an endocrinologist and start somewhere. I don't know what help I actually need.
EDIT: Dx at 16 months old. My last HbA1c% was 8.7% over 12 months ago. I do still administer myself insulin, I don't not give myself insulin, its basal plus whatever I eat, which at the best of times is a guess. My motivation to stop the damage is my partner and I both want kids, but I'm scared that I'm either not going to be able to give him kids or they won't be healthy. 
I'm scared of what number will come up on my tester. Because I know what those results relate to in the damage being done to my body. </t>
        </is>
      </c>
      <c r="D1825" t="n">
        <v>31</v>
      </c>
      <c r="E1825" t="n">
        <v>76</v>
      </c>
      <c r="F1825">
        <f>HYPERLINK("https://www.reddit.com/r/diabetes/comments/4anqix/i_know_what_damage_im_doing_but_i_cant_get_myself/")</f>
        <v/>
      </c>
      <c r="G1825" t="inlineStr">
        <is>
          <t>2016-03-16 06:16:00</t>
        </is>
      </c>
      <c r="H1825" t="inlineStr">
        <is>
          <t>Type 1</t>
        </is>
      </c>
    </row>
    <row r="1826">
      <c r="A1826" t="inlineStr">
        <is>
          <t>4aqpxl</t>
        </is>
      </c>
      <c r="B1826" t="inlineStr">
        <is>
          <t>Feel shaky but I'm not low?</t>
        </is>
      </c>
      <c r="C1826" t="inlineStr">
        <is>
          <t>I've felt a little bit shaky for a couple of hours, and I've tested myself a few times, but I wasn't low any time.
Anybody else ever experience this? Is it possibly not even related to diabetes?</t>
        </is>
      </c>
      <c r="D1826" t="n">
        <v>1</v>
      </c>
      <c r="E1826" t="n">
        <v>5</v>
      </c>
      <c r="F1826">
        <f>HYPERLINK("https://www.reddit.com/r/diabetes/comments/4aqpxl/feel_shaky_but_im_not_low/")</f>
        <v/>
      </c>
      <c r="G1826" t="inlineStr">
        <is>
          <t>2016-03-16 17:49:31</t>
        </is>
      </c>
      <c r="H1826" t="inlineStr">
        <is>
          <t>Type 1</t>
        </is>
      </c>
    </row>
    <row r="1827">
      <c r="A1827" t="inlineStr">
        <is>
          <t>4ayauh</t>
        </is>
      </c>
      <c r="B1827" t="inlineStr">
        <is>
          <t>Infusion Set Insertion Sites</t>
        </is>
      </c>
      <c r="C1827" t="inlineStr">
        <is>
          <t xml:space="preserve">Just curious as to what areas people use/prefer for their infusion set sites. 
I started on a pump a few months ago and have just kept using my stomach area. It's also the only area I used to use when injecting (long sleeve business shirt + pants made it difficult to use elsewhere). I have a feeling my stomach sites are fairly iffy in some locations due to constant use over the last 10 years. Using pens it wasn't a huge deal because each injection was a different spot. Having an infusion site for 3 days in a dodgy area has lead to some variability in levels...
So, 3 days ago I started a new spot on my upper thigh. Unfortunately, I did it on the front part of my leg which seems to be a bit more muscle-y. Within a few hours, the area was a bit sore with extreme movement (bending down to pick something up etc). I also tend to bolus 15-25U per meal due to my low insulin sensitivity. I found these amounts being injected in this site to be rather uncomfortable. 
The second one I've done a bit higher up and to the outer side of my leg. So far no issues - didn't hurt at all like the first one. 
I found having the tubing tucked into my boxers a lot more manageable than coming from my stomach area. 
Anyone got pro's / con's for other areas? </t>
        </is>
      </c>
      <c r="D1827" t="n">
        <v>5</v>
      </c>
      <c r="E1827" t="n">
        <v>9</v>
      </c>
      <c r="F1827">
        <f>HYPERLINK("https://www.reddit.com/r/diabetes/comments/4ayauh/infusion_set_insertion_sites/")</f>
        <v/>
      </c>
      <c r="G1827" t="inlineStr">
        <is>
          <t>2016-03-18 06:31:18</t>
        </is>
      </c>
      <c r="H1827" t="inlineStr">
        <is>
          <t>Type 1</t>
        </is>
      </c>
    </row>
    <row r="1828">
      <c r="A1828" t="inlineStr">
        <is>
          <t>4b01wz</t>
        </is>
      </c>
      <c r="B1828" t="inlineStr">
        <is>
          <t>T1. New to this sub, Looking for Advice on Diabetic Tattoos.</t>
        </is>
      </c>
      <c r="C1828" t="inlineStr">
        <is>
          <t xml:space="preserve">Hey guys, I just discovered this Sub, and have some questions regarding tattoos. I'm a 20 year old male who is doing his undergrad at USC and am a Biology major looking to become and Endocrinologist in the future, and am tired of wearing bracelets. Does anyone have any experience with diabetic tattoos, possible ramifications of a visible tattoo when doing interviews, or tattoo ideas that are more or less original? Any help on these topics would be much appreciated! Thanks
--Also, new to this sub. I've had diabetes for 12 years, and am on Omnipod (Which I HIGHLY, HIGHLY recommend), am a Sophomore at USC, and a member of a top fraternity there called Zeta Beta Tau. </t>
        </is>
      </c>
      <c r="D1828" t="n">
        <v>6</v>
      </c>
      <c r="E1828" t="n">
        <v>6</v>
      </c>
      <c r="F1828">
        <f>HYPERLINK("https://www.reddit.com/r/diabetes/comments/4b01wz/t1_new_to_this_sub_looking_for_advice_on_diabetic/")</f>
        <v/>
      </c>
      <c r="G1828" t="inlineStr">
        <is>
          <t>2016-03-18 13:21:47</t>
        </is>
      </c>
      <c r="H1828" t="inlineStr">
        <is>
          <t>Type 1</t>
        </is>
      </c>
    </row>
    <row r="1829">
      <c r="A1829" t="inlineStr">
        <is>
          <t>4b03n4</t>
        </is>
      </c>
      <c r="B1829" t="inlineStr">
        <is>
          <t>Any tips?</t>
        </is>
      </c>
      <c r="C1829" t="inlineStr">
        <is>
          <t>Are there any ways besides exercise to lower the amount of insulin needed and lose weight at the same time?</t>
        </is>
      </c>
      <c r="D1829" t="n">
        <v>4</v>
      </c>
      <c r="E1829" t="n">
        <v>7</v>
      </c>
      <c r="F1829">
        <f>HYPERLINK("https://www.reddit.com/r/diabetes/comments/4b03n4/any_tips/")</f>
        <v/>
      </c>
      <c r="G1829" t="inlineStr">
        <is>
          <t>2016-03-18 13:32:49</t>
        </is>
      </c>
      <c r="H1829" t="inlineStr">
        <is>
          <t>Type 1</t>
        </is>
      </c>
    </row>
    <row r="1830">
      <c r="A1830" t="inlineStr">
        <is>
          <t>4b0yxl</t>
        </is>
      </c>
      <c r="B1830" t="inlineStr">
        <is>
          <t>In how many minutes is your blood glucose supposed to get back up?</t>
        </is>
      </c>
      <c r="C1830" t="inlineStr">
        <is>
          <t>I mean, I don't wanna gamble with my life.</t>
        </is>
      </c>
      <c r="D1830" t="n">
        <v>3</v>
      </c>
      <c r="E1830" t="n">
        <v>16</v>
      </c>
      <c r="F1830">
        <f>HYPERLINK("https://www.reddit.com/r/diabetes/comments/4b0yxl/in_how_many_minutes_is_your_blood_glucose/")</f>
        <v/>
      </c>
      <c r="G1830" t="inlineStr">
        <is>
          <t>2016-03-18 17:19:09</t>
        </is>
      </c>
      <c r="H1830" t="inlineStr">
        <is>
          <t>Type 1</t>
        </is>
      </c>
    </row>
    <row r="1831">
      <c r="A1831" t="inlineStr">
        <is>
          <t>4b1jsb</t>
        </is>
      </c>
      <c r="B1831" t="inlineStr">
        <is>
          <t>First follow up blood work after diagnosis. What tests should I be asking for?</t>
        </is>
      </c>
      <c r="C1831" t="inlineStr">
        <is>
          <t>So, here's a wall of text with medical and family history. I'm a recently diagnosed T2 who has been keeping my numbers, according to my meter, under decent control with diet and metformin. I want to know what tests I should be asking for that my doctor may not have intended. 
I was not overweight when diagnosed. 6'4" and 185 lbs. I do carry all the fat in my gut. I also never gained weight easily and always took in many times the calories a normal person would. I have no idea what my caloric intake was, but it was probably three to four times the USRDA for my build. 
Fasting blood glucose of around 295 and an A1C of 10.9 at diagnosis. 
Prescribed 500mg of metformin twice daily. After some early fits and starts where I only had strips for a test a day and a mistaken belief that I just had to cut back carbs a bit and get more fiber (whole grain toast and oatmeal had to be better than the daily Dunkin Donuts blueberry muffin, right?), I've gotten my numbers much better. 
Spikes after meals go 125 - 135. I'm almost never above 140. Pre-meal numbers at dinner only can sometimes be in the 90-95 range, but are usually the low 100's. Unless I've had wine the night before, fasting numbers are 108-115. I'd like to see those lower. Barring that wine and with frequent testing, I've only had a sprinkling of numbers below 90 and only one below 80. 
The diet isn't quite keto, but is pretty close. Probably around 100 grams of carbs a day +- 20.  I still eat quite a bit, but less than I used to. Breakfast is often a large omelet with spinach and cheese as the only carb source. This weekend I grilled a 16 oz steak and ate it with about 3/4 cup of fresh broccoli liberally dipped in ranch dressing. 
My maternal grandmother was a Type 2 on insulin for the last few decades of her life. She didn't do a good job of diet and smoke unfiltered cigarettes most of her life. She died at 84 from issues related to the smoking and diabetes. 
My paternal grandfather was also Type 2, controlled through medication and diet. This was in the days of urine strips only for testing. He also was thin, and died at 89 without really suffering any complications due to diabetes. 
Both parents are Type 2. Diagnosed in their fifties. My mother had much higher numbers and likely went much longer without diagnosis. She also has hypothyroidism. My father was diagnosed later in his life, with less time undiagnosed. He also took a much more aggressive approach to diets and exercise, and once glucose meters came out, frequently tested and used the results to inform his actions. 
My father has needed insult to help control his diabetes for a few years now. My mother does not. 
I think, based on my reaction to metformin and my numbers that the Type 2 diagnosis is likely correct. At the diagnosis visit, my doctor indicated she wasn't convinced yet if it was Type 1 or 2. 
So, the next visit is at the end of the month. I know there will be an A1C test. I'd like a c-peptide, because I do not think I have insulin resistance, just that I produce a very low level of insulin. Based on my reaction to diet and metformin, I can imagine the doctor not seeing the need. I plan to fight for it and am willing to pay myself if it's an insurance issue. 
What else should I be asking for?  I don't see the need for everything under the sun, and I obviously feel I'm doing a decent if not ideal job controlling my response to diabetes, but if you were in my shoes, what else would you want?
EDIT: thanks for the responses and the retinopathy suggestion. I do plan to get an appointment. I also meant to include in the wall o' text above that I do already have mild neuropathy.  It started not quite a year before diagnosis, manifested as numbness only not pain, and corresponded with a significant I increase in daily walks with our dog. I honestly just thought it was some effect of increased pounding on my feet. 
I may be bright, but I'm not always smart. :)</t>
        </is>
      </c>
      <c r="D1831" t="n">
        <v>3</v>
      </c>
      <c r="E1831" t="n">
        <v>10</v>
      </c>
      <c r="F1831">
        <f>HYPERLINK("https://www.reddit.com/r/diabetes/comments/4b1jsb/first_follow_up_blood_work_after_diagnosis_what/")</f>
        <v/>
      </c>
      <c r="G1831" t="inlineStr">
        <is>
          <t>2016-03-18 20:05:48</t>
        </is>
      </c>
      <c r="H1831" t="inlineStr">
        <is>
          <t>Type 2</t>
        </is>
      </c>
    </row>
    <row r="1832">
      <c r="A1832" t="inlineStr">
        <is>
          <t>4b3eop</t>
        </is>
      </c>
      <c r="B1832" t="inlineStr">
        <is>
          <t>T1 15 years pump/cgm. Brittle diabetes?</t>
        </is>
      </c>
      <c r="C1832" t="inlineStr">
        <is>
          <t>Steady meal times.
No junk food.
On my feet about half of day.
Morning hours my blood shoots to a whopping 400! Basal can't be pushed much further due to the fact that if this pattern changes I'd be in a coma. No amount of apidra insulin will bring it down no matter what! It won't come down until abou 11-12 am. 
I vape but apparently it's constituents are not sugars and on other forums none of the t1's have any effect from even chain vaping. Also can rule out morning testosterone, mine is always low. Cortisol I'm not so sure they haven't tested. I'm starting to get really freaked out but I'm pretty young to worry about cancer. Bloodwork indicates minor dehydration. I really want to put a stop to this horrible wear and tear!</t>
        </is>
      </c>
      <c r="D1832" t="n">
        <v>2</v>
      </c>
      <c r="E1832" t="n">
        <v>2</v>
      </c>
      <c r="F1832">
        <f>HYPERLINK("https://www.reddit.com/r/diabetes/comments/4b3eop/t1_15_years_pumpcgm_brittle_diabetes/")</f>
        <v/>
      </c>
      <c r="G1832" t="inlineStr">
        <is>
          <t>2016-03-19 08:07:18</t>
        </is>
      </c>
      <c r="H1832" t="inlineStr">
        <is>
          <t>Type 1</t>
        </is>
      </c>
    </row>
    <row r="1833">
      <c r="A1833" t="inlineStr">
        <is>
          <t>4b48in</t>
        </is>
      </c>
      <c r="B1833" t="inlineStr">
        <is>
          <t>Is it normal to never be hungry?</t>
        </is>
      </c>
      <c r="C1833" t="inlineStr">
        <is>
          <t>So long story short, Was diagnosed t2 back in october, drastically changed everything. I live a pure keto style life, almost no carbs like 10 a day max and I exercise an enormous amount. Not addicted to gyms and what not but I walk the 4 miles to work every single morning and then back home and whatnot, then I like to go do laps at the gym.
My diet is also pretty varried, Mornings I have a handful of olives, peace of string cheeze, 6 slices 1.5 oz of dry salami and I alternate every single day between either full fat strained greek yogurt or a peace of citrus. Those are my carb allowances. 
Lunch is always salad bar, mixed green spinach, arugula, red onion, avocado, a slice of bacon ( yes only 1) a 1oz serving of tuna and some grated parmesan cheeze and 3-4 kalamata olives stuffed with feta. Also add 1 tbs of olive oil and a pinch of salt. 
Dinner is usually simple, tends to be a cold cut lettuce wrap, no sauce plenty of veg, peppers onions etc. And I switch it up abit from time to time. 
All in all I am eating between 1500-1800 calories a day and I am Never hungry anymore at all ever and I have to remind myself to eat or I just ignore food entirely and dont feel anything at all.
When I was diagnosed, I was starving all the time and could down 2 large pizzas in a single sitting and be hungry again an hour latter. Now I just dont really have any sort of appetite at all, I still enjoy food dont get me wrong but I dont crave it anymore.
Is this normal?
Edit: I dont take any medication at all and manage exclusively though diet/exercise.</t>
        </is>
      </c>
      <c r="D1833" t="n">
        <v>3</v>
      </c>
      <c r="E1833" t="n">
        <v>4</v>
      </c>
      <c r="F1833">
        <f>HYPERLINK("https://www.reddit.com/r/diabetes/comments/4b48in/is_it_normal_to_never_be_hungry/")</f>
        <v/>
      </c>
      <c r="G1833" t="inlineStr">
        <is>
          <t>2016-03-19 11:44:09</t>
        </is>
      </c>
      <c r="H1833" t="inlineStr">
        <is>
          <t>Type 2</t>
        </is>
      </c>
    </row>
    <row r="1834">
      <c r="A1834" t="inlineStr">
        <is>
          <t>4b4rx4</t>
        </is>
      </c>
      <c r="B1834" t="inlineStr">
        <is>
          <t>I'm really burnt out managing my diabetes. How do you bounce back and regain motivation?</t>
        </is>
      </c>
      <c r="C1834" t="inlineStr">
        <is>
          <t>This has been an ongoing cycle for the past couple of years. I started out in January with great determination and positivity to get healthy, and I was doing great until 2.5 weeks ago. Finals in my major are always incredibly stressful (not just a test, but huge presentations that require a ton of work). This term was particularly bad because I had three major presentations instead of one. It's basically impossible to find pre-made foods that fit my dietary needs, and with 12 hr days I didn't really have time to cook. Thanks to some monkey business with insurance I couldn't get a refill of Metformin until very recently, so I was also off meds during that time. Sleep deprivation and stress always raise my blood sugar, so my numbers were consistently too high. Needless to say, I fell off the boat. I have been eating terribly and not exercising. It seems like my resilience against carb cravings and restaurant meals has disappeared even though finals ended a week ago.
Traditionally, I have never been able to get back on my feet after a spell like this; finals (and other emotionally taxing events) have always been the bottom point of my yo-yo's. I'm really hoping that this can be a temporary plateau and I can keep moving forward, but I'm so burnt out and drained. I visited some friends who were constantly commenting on my diet (Can you eat this? What about this? I guess we can't get pizza because you're with us... Are some french fries really going to hurt you? Why are you dieting so hard?  And etc). I brought my own food so they didn't have to conform to my eating, but I still felt like a huge inconvenience to them. It really didn't help.
How do you guys recover from a spell of burnout? So far I've been off track for 2.5 weeks... so not too terrible in the grand scheme of things (my longest period was two years... yikes!). How can I get that energy and motivation back?</t>
        </is>
      </c>
      <c r="D1834" t="n">
        <v>2</v>
      </c>
      <c r="E1834" t="n">
        <v>31</v>
      </c>
      <c r="F1834">
        <f>HYPERLINK("https://www.reddit.com/r/diabetes/comments/4b4rx4/im_really_burnt_out_managing_my_diabetes_how_do/")</f>
        <v/>
      </c>
      <c r="G1834" t="inlineStr">
        <is>
          <t>2016-03-19 14:04:11</t>
        </is>
      </c>
      <c r="H1834" t="inlineStr">
        <is>
          <t>Type 2</t>
        </is>
      </c>
    </row>
    <row r="1835">
      <c r="A1835" t="inlineStr">
        <is>
          <t>4b71b2</t>
        </is>
      </c>
      <c r="B1835" t="inlineStr">
        <is>
          <t>Type 1 and CKD</t>
        </is>
      </c>
      <c r="C1835" t="inlineStr">
        <is>
          <t xml:space="preserve">Hi, wondering if anyone has a link to a forum for other type 1's with CKD. I tried browsing through reddit and the only thing I could find on Kidney disease was a group with 8 people. My kidney disease is and or has been under control, my last creatinine's have been trending better they were 2.1 1.9 and 1.7. over 18 months. The problem is I looked at 11 symptoms of CKD related Anemia and I have 10 of them and if I look back at the past year, a great deal of the energy loss I have been feeling, inability to concentrate at work, absolute crushing exhaustion I feel at times, is probably the Anemia.  </t>
        </is>
      </c>
      <c r="D1835" t="n">
        <v>1</v>
      </c>
      <c r="E1835" t="n">
        <v>3</v>
      </c>
      <c r="F1835">
        <f>HYPERLINK("https://www.reddit.com/r/diabetes/comments/4b71b2/type_1_and_ckd/")</f>
        <v/>
      </c>
      <c r="G1835" t="inlineStr">
        <is>
          <t>2016-03-20 03:10:52</t>
        </is>
      </c>
      <c r="H1835" t="inlineStr">
        <is>
          <t>Type 1</t>
        </is>
      </c>
    </row>
    <row r="1836">
      <c r="A1836" t="inlineStr">
        <is>
          <t>4b99lv</t>
        </is>
      </c>
      <c r="B1836" t="inlineStr">
        <is>
          <t>Newly diagnosed type 2</t>
        </is>
      </c>
      <c r="C1836" t="inlineStr">
        <is>
          <t>Hi.
New to diabetes (and reddit although I've lurked without a username for some time).  I was diagnosed in mid-Jan and still getting to grips with it.
I've done some reading, been advised by my doctor and diabetes nurse at my local surgery etc but any advice anyone can offer?
I've bought myself a test meter and getting to grips with it.  I'm losing weight, I've got a way to go but 5kg down already and I've been cycling the 3.5 miles to work for years.  Which leads me to another question.  If I overeat :( will exercising 30mins-1hr after help keep my blood sugar in check?  Obviously the correct answer is not to overeat but sometimes...
Thanks in advance for any advice :)</t>
        </is>
      </c>
      <c r="D1836" t="n">
        <v>5</v>
      </c>
      <c r="E1836" t="n">
        <v>16</v>
      </c>
      <c r="F1836">
        <f>HYPERLINK("https://www.reddit.com/r/diabetes/comments/4b99lv/newly_diagnosed_type_2/")</f>
        <v/>
      </c>
      <c r="G1836" t="inlineStr">
        <is>
          <t>2016-03-20 14:00:38</t>
        </is>
      </c>
      <c r="H1836" t="inlineStr">
        <is>
          <t>Type 2</t>
        </is>
      </c>
    </row>
    <row r="1837">
      <c r="A1837" t="inlineStr">
        <is>
          <t>4bdg8l</t>
        </is>
      </c>
      <c r="B1837" t="inlineStr">
        <is>
          <t>Any immigrants to Canada or another other countries living with Type 1 Diabetes?</t>
        </is>
      </c>
      <c r="C1837" t="inlineStr">
        <is>
          <t>I'm really interested in immigrating to either British Columbia or Québec next year after I finish my Masters program in the United States (Chicago native) and I am curious about whether living as an immigrant will have drastic implications on my ability to afford and access medical supplies (omnipod, Novolog, synthroid, etc.) or specialists (endocrinologists) in Canada. I've been playing around on the government sites for a few days now and they're admittedly a bit difficult to navigate. Does anyone have any anecdotal experience for how this transition has impacted them? I will have a BSc and MPH and about $60k in student debt so I'm mostly worried about finding a decently paid job and accessing quality healthcare service. I'm fluent in English and conversational in French, though wouldn't necessarily feel comfortable working in a technical setting with my French just yet. Thank you!</t>
        </is>
      </c>
      <c r="D1837" t="n">
        <v>4</v>
      </c>
      <c r="E1837" t="n">
        <v>10</v>
      </c>
      <c r="F1837">
        <f>HYPERLINK("https://www.reddit.com/r/diabetes/comments/4bdg8l/any_immigrants_to_canada_or_another_other/")</f>
        <v/>
      </c>
      <c r="G1837" t="inlineStr">
        <is>
          <t>2016-03-21 11:09:28</t>
        </is>
      </c>
      <c r="H1837" t="inlineStr">
        <is>
          <t>Type 1</t>
        </is>
      </c>
    </row>
    <row r="1838">
      <c r="A1838" t="inlineStr">
        <is>
          <t>4bee0u</t>
        </is>
      </c>
      <c r="B1838" t="inlineStr">
        <is>
          <t>Most important next step to improving BG for T1?</t>
        </is>
      </c>
      <c r="C1838" t="inlineStr">
        <is>
          <t xml:space="preserve">This was also posted in /r/diabetes_t1
Hi all, first time poster, sorry if I miss following the basic etiquette.
Background on my is I am a 26M diagnosed with T1 10 years ago. I had great control through highschool, but struggled through college and as an adult with increased stress levels and a more inconsistent schedule without exercise. I am not happy with my A1c sitting around 9.
My regiment is 40 units Lantus in the morning, 1:6 Novalog with 1:20 correction. I am a healthy weight, but not in great shape and do not exercise regularly. I got a dexcom a few months ago and love it.
I eat about 3500 calories a day, around 35% carbs. I find it a challenge to control blood sugar spikes around meals due to the quantity of food I eat. I have considered going keto or paleo due to spikes around meal times, despite predosing.
In the past, I have struggled with motivation, and believe I have depression. I am seeking help, although have not started treatment yet.
I have a volatile work schedule where large projects suddenly take up long stretches of time impacting my sleep and meal schedule. There have been weeks where i am only getting a few hours of sleep per night and working 70-110 weeks (not a typo). The nature of my work is also very cyclical, and leaving my current job would not mitigate haveing a stressful week every month and a busy winter (accounting).
These stressful period are causing huge issues with my BG. I find that i cant keep it down, despite trying to change ratios, and when it does go down it crashes, then rises randomly. I know there are a bunch of changes I want to and need to make. My question is, what changes, based on your experience would help me most? Should I change my diet to something like LCHF? Focus on eating meals at consistent times of the day? Exercise? Something else?
When I am not in these high stress times, my numbers are good. Its not an issue of me being completely incapable. Its that I lose the ability to keep a consistent meal schedule, sleep schedule, depressed and unmotivated, and feel defeated by blood sugar spikes and wildly inconsistent trends caused by the above.
TL;DR: I am struggling with controlling my BG due to stress, lack of sleep and a schedule, depression, and an inability to time my insulin to my food spike. What changes should I prioritize to maximize the improvement in my BG.
NOTE: I have an appointment with my Endo tomorrow, so I will be discussing this with them. I am looking for ideas on what to focus the discussion around. Thanks!
EDIT: Added spaces so it wasn't so hard to read.
UPDATE: Talked to my Endo. Apparently I am not a good candidate for the keto diet specifically as I am too thin to sustain it.  Other LCHF diets may be ok, but referred me to a nutritionist. She wants me to focus on testing my ratios before I focus on larger changes like a new diet or exercise. </t>
        </is>
      </c>
      <c r="D1838" t="n">
        <v>6</v>
      </c>
      <c r="E1838" t="n">
        <v>17</v>
      </c>
      <c r="F1838">
        <f>HYPERLINK("https://www.reddit.com/r/diabetes/comments/4bee0u/most_important_next_step_to_improving_bg_for_t1/")</f>
        <v/>
      </c>
      <c r="G1838" t="inlineStr">
        <is>
          <t>2016-03-21 14:30:55</t>
        </is>
      </c>
      <c r="H1838" t="inlineStr">
        <is>
          <t>Type 1</t>
        </is>
      </c>
    </row>
    <row r="1839">
      <c r="A1839" t="inlineStr">
        <is>
          <t>4beplv</t>
        </is>
      </c>
      <c r="B1839" t="inlineStr">
        <is>
          <t>Feeling dizzy &amp;amp; Shaky with normal blood sugar levels</t>
        </is>
      </c>
      <c r="C1839" t="inlineStr">
        <is>
          <t>I am Type-II and have been on 41 units of insulin for several years now. My sugar was controlled for the most part with numbers from 130-220 depending on what I ate. Recently, over the past couple month I decided to really take some charge and started juicing, organic, whole raw foods, supplements such as NA-R-Lipoic Acid, and others that work to make the body less insulin resistant. Well, it's working, maybe too well. After eating I get levels that seem to go no higher than 158-160 and afternoon before dinner levels that are consistently around 90-100. Problem is, I feel shaky and dizzy starting at around 115-120 and really bad at 100 or lower. I cut out all sugars, processed foods, carbs (except fruit) and sprouted rice or grains occasionally. I see my numbers going down ever so little every day but I am worried they may go too low. I was told to adjust my insulin levels lower to compensate but does not seem to make a difference. I love the progress I have made in the short amount of time but am scared that this is working too well and don't want to feel like this. Also, this gets far worse when I exercise and it drops even faster. How should I handle this?</t>
        </is>
      </c>
      <c r="D1839" t="n">
        <v>2</v>
      </c>
      <c r="E1839" t="n">
        <v>5</v>
      </c>
      <c r="F1839">
        <f>HYPERLINK("https://www.reddit.com/r/diabetes/comments/4beplv/feeling_dizzy_shaky_with_normal_blood_sugar_levels/")</f>
        <v/>
      </c>
      <c r="G1839" t="inlineStr">
        <is>
          <t>2016-03-21 15:43:39</t>
        </is>
      </c>
      <c r="H1839" t="inlineStr">
        <is>
          <t>Type 2</t>
        </is>
      </c>
    </row>
    <row r="1840">
      <c r="A1840" t="inlineStr">
        <is>
          <t>4bh75w</t>
        </is>
      </c>
      <c r="B1840" t="inlineStr">
        <is>
          <t>Need some help / feedback with my high readings in the morning. (Diagnosed type one July last year)</t>
        </is>
      </c>
      <c r="C1840" t="inlineStr">
        <is>
          <t>Hey guys, I was diagnosed type 1 last July and for the most part i've been doing ok.  I'm on 20 units of Toujeo in the morning and my ratio is roughly 1:12 for my Apidra at meal times.  My first A1C test was in Mid-November and I was right at 6 (probably still honeymooning at the time?).  
Anyways, the last several weeks things haven't been so easy.  My biggest issue is that I go to bed at around 100 (couple hours after my last shot, or bite of food) and wake up in the 140-150 range pretty much every day now.   My basal seems to be the right dosage.. i'm pretty steady throughout the day when i'm not eating. Dawn phenomenon? I've read about that a little but am not sure what i need to do about it.  My next endo appointment isn't until May.  
That's another thing, how often do you guys see your endo? I was told in november that since my a1c was so good at the time, i wouldn't need to see him for another six months.  Seems like a long time when i was just recently diagnosed.  
Any feedback at all would be great... i lurk on here sometimes and you guys seem to have seen and been through it all.  Thanks again!</t>
        </is>
      </c>
      <c r="D1840" t="n">
        <v>2</v>
      </c>
      <c r="E1840" t="n">
        <v>2</v>
      </c>
      <c r="F1840">
        <f>HYPERLINK("https://www.reddit.com/r/diabetes/comments/4bh75w/need_some_help_feedback_with_my_high_readings_in/")</f>
        <v/>
      </c>
      <c r="G1840" t="inlineStr">
        <is>
          <t>2016-03-22 05:35:19</t>
        </is>
      </c>
      <c r="H1840" t="inlineStr">
        <is>
          <t>Type 1</t>
        </is>
      </c>
    </row>
    <row r="1841">
      <c r="A1841" t="inlineStr">
        <is>
          <t>4bh8us</t>
        </is>
      </c>
      <c r="B1841" t="inlineStr">
        <is>
          <t>Never talk about how good your BG's have been ...</t>
        </is>
      </c>
      <c r="C1841" t="inlineStr">
        <is>
          <t>There is nothing that will jinx your diabetes worse than reviewing your BG's and commending yourself on how good they've been.
Getting ready for my next endo appt. in a few days and I was reviewing my Dexcom data. While my estimated A1C was around 6.3 (I wanted it to be in the 5's), I was excited to notice that I had virtually no episodes of hypo and had not had a 200+ in over 3 weeks!
So, of course, this morning I wake up, and do NOTHING different from any other day during that great period, and just hit 250. When it rains it pours!
So, take my advice, just let your numbers be your numbers, because, as always, if you get excited, diabetes will do its best to sap that excitement.
Off to take some corrections!</t>
        </is>
      </c>
      <c r="D1841" t="n">
        <v>18</v>
      </c>
      <c r="E1841" t="n">
        <v>7</v>
      </c>
      <c r="F1841">
        <f>HYPERLINK("https://www.reddit.com/r/diabetes/comments/4bh8us/never_talk_about_how_good_your_bgs_have_been/")</f>
        <v/>
      </c>
      <c r="G1841" t="inlineStr">
        <is>
          <t>2016-03-22 05:50:16</t>
        </is>
      </c>
      <c r="H1841" t="inlineStr">
        <is>
          <t>Type 1</t>
        </is>
      </c>
    </row>
    <row r="1842">
      <c r="A1842" t="inlineStr">
        <is>
          <t>4bif1l</t>
        </is>
      </c>
      <c r="B1842" t="inlineStr">
        <is>
          <t>Any T1s here who are working out and trying to gain weight?</t>
        </is>
      </c>
      <c r="C1842" t="inlineStr">
        <is>
          <t>So, as the title states, I am a Type 1 and am trying to work out to gain some weight.  In a "bulking" phase.  
Does anyone have good tips for bulking without fucking my blood sugar to all hell?  I've gained about 10 lbs since October but have had problems getting over 140 lbs, and most suggestions (just eat more, use mass gainer) leave me with a blood sugar that's pretty much impossible to control.  
Anyone with experience in this?  Any help is really appreciated!
Thanks</t>
        </is>
      </c>
      <c r="D1842" t="n">
        <v>5</v>
      </c>
      <c r="E1842" t="n">
        <v>9</v>
      </c>
      <c r="F1842">
        <f>HYPERLINK("https://www.reddit.com/r/diabetes/comments/4bif1l/any_t1s_here_who_are_working_out_and_trying_to/")</f>
        <v/>
      </c>
      <c r="G1842" t="inlineStr">
        <is>
          <t>2016-03-22 10:29:26</t>
        </is>
      </c>
      <c r="H1842" t="inlineStr">
        <is>
          <t>Type 1</t>
        </is>
      </c>
    </row>
    <row r="1843">
      <c r="A1843" t="inlineStr">
        <is>
          <t>4bj0u2</t>
        </is>
      </c>
      <c r="B1843" t="inlineStr">
        <is>
          <t>Scared type 1 newbie looking for advice</t>
        </is>
      </c>
      <c r="C1843" t="inlineStr">
        <is>
          <t>I was diagnosed with Type 1 last Fri and referred to an endocrinologist by my GP. After waiting through Fri, and then waiting through Mon (after never having anyone at the endo office answer the phone), I finally had the nurse at the endo office call me back to set up my initial appt. She said they will see me in a week and a half. 
When I asked her if I should be worried that I am not on insulin she said just continue to monitor my blood and the dr might want to see my log. When I explained that no one had told me to start monitoring and that I didn't have a monitor or even know what to look for she said not to worry about it and just "keep eating right" and the dr will go over everything when I see him.
I am planning on going and getting a monitor after work, but the number of choices is overwhelming. Advice on what kind to get? Advice on what to watch out for? I feel so alone right now, and I feel I am being borderline paranoid with my body, thinking every "odd" feeling might be due to the diabetes. Unfortunately the endo I was referred to is the only one in town, so I am left with the thoroughly American prospect of hoping strangers on the Internet are more helpful than my healthcare system.
**tl;dr** Got diagnosed almost 5 days ago, not scheduled to see endocrinologist for another 10 days. Feeling very scared and lost right now.</t>
        </is>
      </c>
      <c r="D1843" t="n">
        <v>18</v>
      </c>
      <c r="E1843" t="n">
        <v>37</v>
      </c>
      <c r="F1843">
        <f>HYPERLINK("https://www.reddit.com/r/diabetes/comments/4bj0u2/scared_type_1_newbie_looking_for_advice/")</f>
        <v/>
      </c>
      <c r="G1843" t="inlineStr">
        <is>
          <t>2016-03-22 12:41:29</t>
        </is>
      </c>
      <c r="H1843" t="inlineStr">
        <is>
          <t>Type 1</t>
        </is>
      </c>
    </row>
    <row r="1844">
      <c r="A1844" t="inlineStr">
        <is>
          <t>4bjfsq</t>
        </is>
      </c>
      <c r="B1844" t="inlineStr">
        <is>
          <t>Type II diabetes may be reversible using caloric restriction (new March 2016 study)</t>
        </is>
      </c>
      <c r="C1844" t="inlineStr">
        <is>
          <t xml:space="preserve">http://care.diabetesjournals.org/content/early/2016/02/24/dc15-1942.abstract (March 2016 study, N=30)
&amp;gt; OBJECTIVE Type 2 diabetes mellitus (T2DM) is generally regarded as an irreversible chronic condition. Because a very-low-calorie diet (VLCD) can bring about acute return to normal glucose control in some people with T2DM, this study tested the potential durability of this normalization. The underlying mechanisms were defined.
&amp;gt; RESEARCH DESIGN AND METHODS People with a T2DM duration of 0.5–23 years (n = 30) followed a VLCD for 8 weeks. All oral agents or insulins were stopped at baseline. Following a stepped return to isocaloric diet, a structured, individualized program of weight maintenance was provided. Glucose control, insulin sensitivity, insulin secretion, and hepatic and pancreas fat content were quantified at baseline, after return to isocaloric diet, and after 6 months to permit the primary comparison of change between post–weight loss and 6 months in responders. Responders were defined as achieving fasting blood glucose &amp;lt;7 mmol/L after return to isocaloric diet.
&amp;gt; RESULTS Weight fell (98.0 ± 2.6 to 83.8 ± 2.4 kg) and remained stable over 6 months (84.7 ± 2.5 kg). Twelve of 30 participants achieved fasting plasma glucose &amp;lt;7 mmol/L after return to isocaloric diet (responders), and 13 of 30 after 6 months. Responders had a shorter duration of diabetes and a higher initial fasting plasma insulin level. HbA1c fell from 7.1 ± 0.3 to 5.8 ± 0.2% (55 ± 4 to 40 ± 2 mmol/mol) in responders (P &amp;lt; 0.001) and from 8.4 ± 0.3 to 8.0 ± 0.5% (68 ± 3 to 64 ± 5 mmol/mol) in nonresponders, remaining constant at 6 months (5.9 ± 0.2 and 7.8 ± 0.3% [41 ± 2 and 62 ± 3 mmol/mol], respectively). The responders were characterized by return of first-phase insulin response.
&amp;gt; CONCLUSIONS **A robust and sustainable weight loss program achieved continuing remission of diabetes for at least 6 months in the 40% who responded to a VLCD by achieving fasting plasma glucose of &amp;lt;7 mmol/L. T2DM is a potentially reversible condition.**
--------------------------
http://www.ncbi.nlm.nih.gov/pmc/articles/PMC3609491/ (2013 research review)
&amp;gt; [...] it will be helpful for all individuals with newly diagnosed type 2 diabetes to know that they have a metabolic syndrome that is reversible.
</t>
        </is>
      </c>
      <c r="D1844" t="n">
        <v>4</v>
      </c>
      <c r="E1844" t="n">
        <v>12</v>
      </c>
      <c r="F1844">
        <f>HYPERLINK("https://www.reddit.com/r/diabetes/comments/4bjfsq/type_ii_diabetes_may_be_reversible_using_caloric/")</f>
        <v/>
      </c>
      <c r="G1844" t="inlineStr">
        <is>
          <t>2016-03-22 14:13:45</t>
        </is>
      </c>
      <c r="H1844" t="inlineStr">
        <is>
          <t>Type 2</t>
        </is>
      </c>
    </row>
    <row r="1845">
      <c r="A1845" t="inlineStr">
        <is>
          <t>4bk212</t>
        </is>
      </c>
      <c r="B1845" t="inlineStr">
        <is>
          <t>[Type 1] Why the Pink Panther?</t>
        </is>
      </c>
      <c r="C1845" t="inlineStr">
        <is>
          <t>I'm sure many of you are familiar with [this book](http://www.amazon.com/Understanding-Diabetes-Dr-Peter-Chase/dp/0967539838), right? *Understanding Diabetes*, or "the Pink Panther book," as I always called it? 
I posted today on FB about my 10-year diabirthday (diaversary?). I shared a picture of me with that book. My cousin was diagnosed 20 years ago and had the same book. A coworker's nephew was diagnosed on Sunday and got an updated version of the same book.
So my question is... why the Pink Panther? Anyone have any insight or insider knowledge as to why he was chosen as the eternal mascot of type 1 diabetes? Was he just the cheapest cartoon character they could afford licensing on?
Don't get me wrong--great book. I found it indispensable as a new diabetic, and the Pink Panther has a special place in my heart as a result. I'm just curious. :)</t>
        </is>
      </c>
      <c r="D1845" t="n">
        <v>4</v>
      </c>
      <c r="E1845" t="n">
        <v>13</v>
      </c>
      <c r="F1845">
        <f>HYPERLINK("https://www.reddit.com/r/diabetes/comments/4bk212/type_1_why_the_pink_panther/")</f>
        <v/>
      </c>
      <c r="G1845" t="inlineStr">
        <is>
          <t>2016-03-22 16:38:11</t>
        </is>
      </c>
      <c r="H1845" t="inlineStr">
        <is>
          <t>Type 1</t>
        </is>
      </c>
    </row>
    <row r="1846">
      <c r="A1846" t="inlineStr">
        <is>
          <t>4bnnfm</t>
        </is>
      </c>
      <c r="B1846" t="inlineStr">
        <is>
          <t>Diabetes Odd Question</t>
        </is>
      </c>
      <c r="C1846" t="inlineStr">
        <is>
          <t>When I was diagnosed I completely turned my life around and my habits around at the drop of a dime. I had struggles with weight for years and depression only complicated matters. The threat of Death though made me do everything immediately and cold turkey, no easing into things just did it. 
As a result I am incredibly careful with what I eat and avoid carbs and sugar like the plague and when I go to places and ask for a Lettuce wrap or grilled chicken and what not people always tend to give me funny looks.
Last night I met a guy working at the local grocery store with only one leg, he was working at the deli counter and I was asking him for the nutritional information of the various things to make sure there was no added junk to the food that would trigger a spike. He asked me why I was so damned interested in trying to be healthy and eat right and avoiding carbs and sugar, I promptly explained to the dude that I was Diabetic and had to watch my blood sugar and avoid certain foods. He just scoffed at me, said he was diabetic as well and complained that it took his Leg, and he complained that it causes alot of pain (neruopathy) and I explained that is exactly why I watch what I eat. He just laughed at me and said he doesnt give two shits about his diabetes and just eats whatever he wants anyways and was snacking on a peace of fried chicken. 
I was horrified, I cannot understand this. Why would someone knowingly kill themselves and deride others for wanting to live a quality life and engage in knowingly self destructive behavior? Has anyone else run into people such as this? How do you even begin to handle something like that? I mean I dont ask people or tell people wit Diabetes what to do and ask them if they can have that or not or even advise against something as its none of my business how they manage and they know themselves far better but seriously? Why would anyone willingly kill themselves and complain they were dying as they sat and consumed more of the poison that was leading o their own death?
Anyone have any answers?</t>
        </is>
      </c>
      <c r="D1846" t="n">
        <v>2</v>
      </c>
      <c r="E1846" t="n">
        <v>17</v>
      </c>
      <c r="F1846">
        <f>HYPERLINK("https://www.reddit.com/r/diabetes/comments/4bnnfm/diabetes_odd_question/")</f>
        <v/>
      </c>
      <c r="G1846" t="inlineStr">
        <is>
          <t>2016-03-23 11:03:37</t>
        </is>
      </c>
      <c r="H1846" t="inlineStr">
        <is>
          <t>Type 2</t>
        </is>
      </c>
    </row>
    <row r="1847">
      <c r="A1847" t="inlineStr">
        <is>
          <t>4bo6fq</t>
        </is>
      </c>
      <c r="B1847" t="inlineStr">
        <is>
          <t>Help I don't know what to do.</t>
        </is>
      </c>
      <c r="C1847" t="inlineStr">
        <is>
          <t>Just been discharged for the hospital after having DKA and I couldn't eat the horrid hospital food but where I was throwing up before I was admitted my throat tongue and uvula are all heavily swollen and its making me nauseous don't know what to do cause my appetite is back and ketones are less than 1 now :(</t>
        </is>
      </c>
      <c r="D1847" t="n">
        <v>4</v>
      </c>
      <c r="E1847" t="n">
        <v>9</v>
      </c>
      <c r="F1847">
        <f>HYPERLINK("https://www.reddit.com/r/diabetes/comments/4bo6fq/help_i_dont_know_what_to_do/")</f>
        <v/>
      </c>
      <c r="G1847" t="inlineStr">
        <is>
          <t>2016-03-23 12:59:10</t>
        </is>
      </c>
      <c r="H1847" t="inlineStr">
        <is>
          <t>Type 1</t>
        </is>
      </c>
    </row>
    <row r="1848">
      <c r="A1848" t="inlineStr">
        <is>
          <t>4bppd5</t>
        </is>
      </c>
      <c r="B1848" t="inlineStr">
        <is>
          <t>Got a shock this morning</t>
        </is>
      </c>
      <c r="C1848" t="inlineStr">
        <is>
          <t>I really shouldn't have been surprised, but I was.  I'm a 43 year old male, I've been overweight most of my adult life, and diabetes runs in my family (Dad and grandfather both have it).  For the last 4-5 years, we've had a "know your numbers" clinic at work, where we get our height, weight, blood-pressure, cholesterol, triglycerides and fasting blood glucose measured.  In every previous year, my fasting bg level was in the low 90s.  Today, it measured 226.  The clinician asked me if I'm diabetic, and I told her "No, not that I know of".  Ironically, I've lost over 25 lbs since New Years (counting calories), and have generally been feeling much better.
I immediately ordered a blood glucose tester from Amazon, and will be making an appointment with my doctor.  I suppose it's wishful thinking to hope that this was a rogue reading, and my numbers will be better the next time I test them?  I did eat fairly poorly last night, though I fasted for 10-11 hours, so it shouldn't have mattered.
Looks like I might be hanging around here more.  :-/</t>
        </is>
      </c>
      <c r="D1848" t="n">
        <v>3</v>
      </c>
      <c r="E1848" t="n">
        <v>10</v>
      </c>
      <c r="F1848">
        <f>HYPERLINK("https://www.reddit.com/r/diabetes/comments/4bppd5/got_a_shock_this_morning/")</f>
        <v/>
      </c>
      <c r="G1848" t="inlineStr">
        <is>
          <t>2016-03-23 18:58:30</t>
        </is>
      </c>
      <c r="H1848" t="inlineStr">
        <is>
          <t>Type 2</t>
        </is>
      </c>
    </row>
    <row r="1849">
      <c r="A1849" t="inlineStr">
        <is>
          <t>4br034</t>
        </is>
      </c>
      <c r="B1849" t="inlineStr">
        <is>
          <t>Sharing a personal story</t>
        </is>
      </c>
      <c r="C1849" t="inlineStr">
        <is>
          <t>I've never been much of a runner. But about two years ago two co-workers started dragging me out running for lunch. They were training a lot so keeping up was rough, but they kept encouraging me and the fast pace they set gave quick results. From not having run a lot since I quit sports about 10 years ago we went on to run about 10-12 km twice a week. It felt great. 
Fast forward about a year. One of my co-workers had quit and the other was on paternal leave. I still tried to keep up running but I didn't have the same energy that I used to. The time it took to complete the 10-12 km lap kept increasing. After that the distance decreased. I no longer had the energy to run the same distance. Eventually I had no energy to go out running at all. In fact I felt fatigued pretty much all the time. 
I slipped into a depression from being tired all of the time and about eight months ago my girlfriend, since four years, came over one day and said she was breaking up with me. Depression hit even harder. I started losing a lot of weight, though I had been losing some before this as well.
On november 19th last year I went to the ER and was subsequently diagnosed with type 1 diabetes. Knowing that there was actually actually something wrong felt like a huge relief. And after immediately being put on insulin my body started recovering. I gained about 10 kg back the first month after diagnosis. But I was still depressed.
About a week and a half ago I went out running for the first time since a few months before diagnosis. I managed to run 5 km, which was my goal, but I did it in a pace I did not expect. Yesterday I went out running for the second time. Now after running 5 km I still felt like I had a lot to give. I ended up running my 10 km again. Even better I did it in a for me record time under the hour. 
My life will never be the same as before diabetes, not only because of the disease. And I am still not fully recovered from depression. But being able to run those 10 km again made me feel the best I have in a very long time.</t>
        </is>
      </c>
      <c r="D1849" t="n">
        <v>17</v>
      </c>
      <c r="E1849" t="n">
        <v>8</v>
      </c>
      <c r="F1849">
        <f>HYPERLINK("https://www.reddit.com/r/diabetes/comments/4br034/sharing_a_personal_story/")</f>
        <v/>
      </c>
      <c r="G1849" t="inlineStr">
        <is>
          <t>2016-03-24 03:14:40</t>
        </is>
      </c>
      <c r="H1849" t="inlineStr">
        <is>
          <t>Type 1</t>
        </is>
      </c>
    </row>
    <row r="1850">
      <c r="A1850" t="inlineStr">
        <is>
          <t>4br8e8</t>
        </is>
      </c>
      <c r="B1850" t="inlineStr">
        <is>
          <t>Can I stop taking Lantis?</t>
        </is>
      </c>
      <c r="C1850" t="inlineStr">
        <is>
          <t>Hi, I have type 2 diabetes that was not responding to other medications.  What has worked is insulin injections.  I take 98 units of Novalog 3 times per day.  That is fine.  The problem I am having is that before bed I have to take an injection of 66units of Lantis.  The Lantis gives me insomnia.  Also, I can't eat after taking it, which can be very difficult if I can't sleep.  This is making my life very difficult.  Any ideas?  Thanks ahead of time for any responses!</t>
        </is>
      </c>
      <c r="D1850" t="n">
        <v>0</v>
      </c>
      <c r="E1850" t="n">
        <v>16</v>
      </c>
      <c r="F1850">
        <f>HYPERLINK("https://www.reddit.com/r/diabetes/comments/4br8e8/can_i_stop_taking_lantis/")</f>
        <v/>
      </c>
      <c r="G1850" t="inlineStr">
        <is>
          <t>2016-03-24 04:50:55</t>
        </is>
      </c>
      <c r="H1850" t="inlineStr">
        <is>
          <t>Type 2</t>
        </is>
      </c>
    </row>
    <row r="1851">
      <c r="A1851" t="inlineStr">
        <is>
          <t>4btp3g</t>
        </is>
      </c>
      <c r="B1851" t="inlineStr">
        <is>
          <t>DKA and hospitalization</t>
        </is>
      </c>
      <c r="C1851" t="inlineStr">
        <is>
          <t>I was in the ICU this weekend for the first time due to the freakin' beetus. My blood sugar was over 550, I vomited every 30 minutes for about 7 hours, and I was barely conscious until the nurses stabilized me with IV fluids, magnesium, potassium, all that good stuff.
I guess I don't have any questions - just wanted to share my experience with people who might understand. It hit me today (3 days after being released from the hospital) and the whole thing kind of terrified me. 
I'm 23F - diagnosed at 17 and have used a pump for 4 years.</t>
        </is>
      </c>
      <c r="D1851" t="n">
        <v>19</v>
      </c>
      <c r="E1851" t="n">
        <v>19</v>
      </c>
      <c r="F1851">
        <f>HYPERLINK("https://www.reddit.com/r/diabetes/comments/4btp3g/dka_and_hospitalization/")</f>
        <v/>
      </c>
      <c r="G1851" t="inlineStr">
        <is>
          <t>2016-03-24 14:37:47</t>
        </is>
      </c>
      <c r="H1851" t="inlineStr">
        <is>
          <t>Type 1</t>
        </is>
      </c>
    </row>
    <row r="1852">
      <c r="A1852" t="inlineStr">
        <is>
          <t>4byxrb</t>
        </is>
      </c>
      <c r="B1852" t="inlineStr">
        <is>
          <t>Do you guys get post-low headaches?</t>
        </is>
      </c>
      <c r="C1852" t="inlineStr">
        <is>
          <t>Hi, I was dx'd T1 three months ago and I've probably had a dozen lows (50's) and I usually end up with a bad headache. Today was the worst low I have experienced, meter said 52, although I suspect I was lower because I was completely out of my mind and this was around an hour after I ate. Now I've had the worst headache I've had in years for the past few hours, just wondering if you guys experience this too.</t>
        </is>
      </c>
      <c r="D1852" t="n">
        <v>5</v>
      </c>
      <c r="E1852" t="n">
        <v>28</v>
      </c>
      <c r="F1852">
        <f>HYPERLINK("https://www.reddit.com/r/diabetes/comments/4byxrb/do_you_guys_get_postlow_headaches/")</f>
        <v/>
      </c>
      <c r="G1852" t="inlineStr">
        <is>
          <t>2016-03-25 16:26:36</t>
        </is>
      </c>
      <c r="H1852" t="inlineStr">
        <is>
          <t>Type 1</t>
        </is>
      </c>
    </row>
    <row r="1853">
      <c r="A1853" t="inlineStr">
        <is>
          <t>4bznct</t>
        </is>
      </c>
      <c r="B1853" t="inlineStr">
        <is>
          <t>Finally taking care of myself 3-4 years after initial diagnoses. Could use some support.</t>
        </is>
      </c>
      <c r="C1853" t="inlineStr">
        <is>
          <t>I'm a 37 year old man who lives waaay below the poverty line in the USA.
About 4 years ago I was diagnosed with a variety of conditions, all in the same week or two. I was diagnosed with T2 diabetes, clinical depression, low testosterone, high cholesterol and high blood pressure. I was also 'officially' diagnosed as having a compulsive eating disorder, something I knew emotionally but had never been acknowledged by a professional.
I was prescribed a plethora of meds all at once: 500mg of metformin, meds for blood pressure and cholesterol, Wellbutrin and Lamictal for the depression, a testosterone gel.
I spoke to a dietician and she gave me some loose guidelines about how many carbs to have in each meal, what numbers I should be aiming for when I test my blood sugar, etc... but realistically she did nothing to address the fact that I was a compulsive overeater for two decades. Unfortunately telling someone they need to change a habit for the benefit of their health isn't a magical cure for behavior affected by mental health issues.
For a couple of years I took my meds. At one point glipizide was added because my blood sugars weren't improving much. I cut out sodas and juices and sugared beverages totally, but aside from that I didn't do much to change my diet or lifestyle.
Then around a year ago I missed several appointments in a row and my doctor ceased refills of my meds. ALL of them. I'm not going to open a can of worms here, but I was pretty pissed because although I brought it upon myself, I do feel like he should have given me some warning that this would be a consequence if I missed yet another appointment.
So I decided I was going to do absolutely nothing. Basically I decided I was going to passively kill myself by letting all of these issues get out of control, and for the next year I did just that.
Then a few months ago I put my back out. BADLY. A trip to the ER resulted in a sciatica diagnoses. I was out of commission for a month and am still experiencing constant pain. It was something of a wake up call, and I called up my doctor and scheduled an appointment.
That appointment was a few weeks ago, and they ran ALL the tests. The first thing he told me is that I had lost a colossal amount of weight. Honestly I knew I had lost weight because my clothes were all too big, but I had gone from around 330# down to about 270#. He also noted that my blood pressure was good.
However my triglycerides/cholesterol were through the roof, and once they got my A1C result it was bad news. My test came back at 11.3. The doctor basically said "When it hits 10, that's when we put you on insulin." He also said my testosterone was quite low still, but he is reluctant to put me on a gel again because it would make my cholesterol go even higher.
So I was totally honest with him, and I said, look, I'm just coming off of essentially being suicidal, and realistically if you tell me I have to start injecting myself with insulin I'm just going to backpedal in a HUGE way. Can we TRY putting me back on medication to see if it has a result first? He agreed.
We didn't even DISCUSS getting back into the habit of daily blood sugar testing. Right now the focus I guess is on getting that A1C result down.
So now I am back on Metformin, taking 2000mg a day. I've only been on it for  a few weeks now but I'm already experiencing diarrhea and gas like I couldn't have imagined. I have noticed some definite improvements in a variety of areas. Lower leg pains have ceased (other than the sciatica related pain.) I am no longer dehydrated, up five times a night peeing and drinking 2-3 gallons of water a day. However I do have drymouth all day long now.
I am facing an uphill battle for a lot of reasons. I'm unemployed and really have NO steady source of income. My food budget is about $190 a month. I *DO* have health insurance and that comes with a membership to the YMCA, so I can start exercising, but I'm finding the motivation lacking.
One thing I am noticing is that I am actively craving sweets. This is very new. My enemy has never explicitly been sweet things. Generalized compulsive overeating means I could binge on literally anything. But since getting on this new medicine routine I have an unending desire for sugary things. Is that normal?
I'm not sure what else to say other than that I could really use some supportive people to talk to. I'm a fairly sensitive person, so I'm just going to ask outright that if you can't be nice, don't bother responding. I'm not looking for your opinions about my life choices and mistakes, and I'm definitely not interested in your judgments. I posted here years ago under a different user name when I was first diagnosed, and most of the responses I got were HARSH.
I guess that's my TL;DR back story. I guess if anyone has any constructive friendly input on what's ahead for me, I'd welcome it! I have physical therapy scheduled to begin for my sciatica, and an appointment scheduled to have my eyes checked, and one with a podiatrist. So I'm really making an effort to make better choices, but it's overwhelming. &amp;lt;3</t>
        </is>
      </c>
      <c r="D1853" t="n">
        <v>3</v>
      </c>
      <c r="E1853" t="n">
        <v>4</v>
      </c>
      <c r="F1853">
        <f>HYPERLINK("https://www.reddit.com/r/diabetes/comments/4bznct/finally_taking_care_of_myself_34_years_after/")</f>
        <v/>
      </c>
      <c r="G1853" t="inlineStr">
        <is>
          <t>2016-03-25 19:49:34</t>
        </is>
      </c>
      <c r="H1853" t="inlineStr">
        <is>
          <t>Type 2</t>
        </is>
      </c>
    </row>
    <row r="1854">
      <c r="A1854" t="inlineStr">
        <is>
          <t>4c183u</t>
        </is>
      </c>
      <c r="B1854" t="inlineStr">
        <is>
          <t>New A1C is in...a bit disappointing</t>
        </is>
      </c>
      <c r="C1854" t="inlineStr">
        <is>
          <t>Went from a 6.2 to a 6.7, and I'm a bit down about it.
It is certainly better than 7.0, but after getting to the 6.2 I was really hoping for a sub-6.0 number. Looking back at my Dexcom data, though, it seems that January was the culprit. I had some severe lows around New Year's, and I spent the whole month resetting and trying to get things straightened out. During that time I was also on vacation, so I was pushing averages around 150-170.
Yes, February and March have been much better as my new routine is in place, and I've seen my averages dip into the 120-130 range. Still work to be done.
All in all, getting better numbers also changes perspectives. A few visits ago a 6.7 would have sent me over the moon...now I'm just "meh" about it.
Always good to post here, though, where I know people get how I'm feeling. Everyone else seems to think, "A 6.7! Fantastic!!!!"</t>
        </is>
      </c>
      <c r="D1854" t="n">
        <v>5</v>
      </c>
      <c r="E1854" t="n">
        <v>10</v>
      </c>
      <c r="F1854">
        <f>HYPERLINK("https://www.reddit.com/r/diabetes/comments/4c183u/new_a1c_is_ina_bit_disappointing/")</f>
        <v/>
      </c>
      <c r="G1854" t="inlineStr">
        <is>
          <t>2016-03-26 06:52:41</t>
        </is>
      </c>
      <c r="H1854" t="inlineStr">
        <is>
          <t>Type 1</t>
        </is>
      </c>
    </row>
    <row r="1855">
      <c r="A1855" t="inlineStr">
        <is>
          <t>4c4b2n</t>
        </is>
      </c>
      <c r="B1855" t="inlineStr">
        <is>
          <t>Any Type 1 truck drivers here? The rules for the FCMSA Diabetes Exemption process seem to have changed, but I cannot confirm.</t>
        </is>
      </c>
      <c r="C1855" t="inlineStr">
        <is>
          <t>Several years ago I applied for, and successfully received, a medical waiver for Type 1 diabetics to qualify for a medical card to drive commercial vehicles in interstate commerce. It was quite rigorous to keep it up; I had to see my endocrinologist every 3 months, who had to fill out a form given to me by the DOT and sent it to the appropriate bureau in Washington. Because I also have a touch of diabetic retinopathy, I also had to see my ophthalmologist once a year, who also had to fill out and send in a form.
The Diabetes Exemption department of the DOT would send me the forms at the beginning of every other year, a 2 year supply. This year it was time for another set of forms. However, I did not receive any (still haven't). I tried to call and email, but no response, as I expected.
While doing some research online, I found out that apparently the process as we knew it has changed. From what I can tell, Type 1 diabetics now only need to get the exam by their Medical Examiner like any other truck driver, except it must be at least once a year instead of every two years. The difference for a Type 1 diabetic is that he/she must also visit their endocrinologist at least once a year, and get some kind of note for the Medical Examiner verifying that his/her diabetes is under control.
I have not been able to verify anything 100%. I am not currently driving, so the medical card is not critical. I was keeping it active for a couple reasons. One is for job security; if I lose my current job, I can get another job driving truck tomorrow if necessary. The other reason is to force me to visit my endocrinologist regularly.
Is anyone here a truck driver and familiar with the process, or know of someone who is? I would appreciate any information. Thank you!</t>
        </is>
      </c>
      <c r="D1855" t="n">
        <v>6</v>
      </c>
      <c r="E1855" t="n">
        <v>4</v>
      </c>
      <c r="F1855">
        <f>HYPERLINK("https://www.reddit.com/r/diabetes/comments/4c4b2n/any_type_1_truck_drivers_here_the_rules_for_the/")</f>
        <v/>
      </c>
      <c r="G1855" t="inlineStr">
        <is>
          <t>2016-03-26 20:59:24</t>
        </is>
      </c>
      <c r="H1855" t="inlineStr">
        <is>
          <t>Type 1</t>
        </is>
      </c>
    </row>
    <row r="1856">
      <c r="A1856" t="inlineStr">
        <is>
          <t>4c4zc1</t>
        </is>
      </c>
      <c r="B1856" t="inlineStr">
        <is>
          <t>Need help</t>
        </is>
      </c>
      <c r="C1856" t="inlineStr">
        <is>
          <t>Hello guys, i have been a type 2 for a year and a half now and i really need some help.When i found out last year i had diabetes i immediately went on a keto diet, lost 66 pounds and had pretty good numbers , then in september last year i said screw it and went crazy with all the stuff i coudn't eat for about 3 months , i started feeling sick went to the doctor and my bg was 330 fasting (oops). I again went on a keto diet 2000 mg metamorfin a day and my levels still are not down , they hover between 150-230 , i also started doing cardio 3 weeks ago 30 mins a day. If you guys can help me, give me some advice what else can i do to normalize my sugar , i don't know what's happening , i am 25 years old .</t>
        </is>
      </c>
      <c r="D1856" t="n">
        <v>4</v>
      </c>
      <c r="E1856" t="n">
        <v>15</v>
      </c>
      <c r="F1856">
        <f>HYPERLINK("https://www.reddit.com/r/diabetes/comments/4c4zc1/need_help/")</f>
        <v/>
      </c>
      <c r="G1856" t="inlineStr">
        <is>
          <t>2016-03-27 01:48:16</t>
        </is>
      </c>
      <c r="H1856" t="inlineStr">
        <is>
          <t>Type 2</t>
        </is>
      </c>
    </row>
    <row r="1857">
      <c r="A1857" t="inlineStr">
        <is>
          <t>4c5tji</t>
        </is>
      </c>
      <c r="B1857" t="inlineStr">
        <is>
          <t>reducing Lantus because of extreme highs in the morning?</t>
        </is>
      </c>
      <c r="C1857" t="inlineStr">
        <is>
          <t>Type 1 / been diabetic for over 20 years.
I take 17 units of lantus in the Am, along with one unit of novolog per 15 carbs with a correction of 50. That means I usually take 3 units at breakfast with 45 carbs, none at lunch with 15 carbs, and 3 at dinner with 45 carbs.
This has worked perfectly for many years!
Until recently.
Now I wake up every morning with my bg between 200-320. I've been trying to fix this by moving around my am injection spot. I also have tryed to up my lantus by a couple of units.
If anything this has made it worse.
I should point out that my blood is perfect all day, most days with the exception of the morning number.
Yesterday, however, I had 8 random lows including a 45 right before bed. I treated it with 15 carbs and woke up with a bg of 320.
So something is not working....
What I did today was cutting my lantus down 2 units to 15. My thought process being maybe I'm going low over night and my liver is dumping sugar.
And it seems obvious that if I went low 8 times yesterday I'm taking too much insulin.
Does this make sense to anyone else?
My wife can't understand why I would reduce my lantus if I'm waking up this high but I'm out of ideas.
I have an appointment with my endo next month, but I need to fix this now.
Any thoughts?
I know I need a cgm, but I also need money ;) 
Update: This worked perfectly! No more lows during the day &amp;amp; no more highs at night! 
Thanks for your input folks!</t>
        </is>
      </c>
      <c r="D1857" t="n">
        <v>16</v>
      </c>
      <c r="E1857" t="n">
        <v>18</v>
      </c>
      <c r="F1857">
        <f>HYPERLINK("https://www.reddit.com/r/diabetes/comments/4c5tji/reducing_lantus_because_of_extreme_highs_in_the/")</f>
        <v/>
      </c>
      <c r="G1857" t="inlineStr">
        <is>
          <t>2016-03-27 08:01:03</t>
        </is>
      </c>
      <c r="H1857" t="inlineStr">
        <is>
          <t>Type 1</t>
        </is>
      </c>
    </row>
    <row r="1858">
      <c r="A1858" t="inlineStr">
        <is>
          <t>4c64ov</t>
        </is>
      </c>
      <c r="B1858" t="inlineStr">
        <is>
          <t>What is the purpose of taping for the Dexcom sensor? If the adhesive doesn't fall, do I need the extra taping?</t>
        </is>
      </c>
      <c r="C1858" t="inlineStr">
        <is>
          <t>THANKS TEAM!</t>
        </is>
      </c>
      <c r="D1858" t="n">
        <v>4</v>
      </c>
      <c r="E1858" t="n">
        <v>5</v>
      </c>
      <c r="F1858">
        <f>HYPERLINK("https://www.reddit.com/r/diabetes/comments/4c64ov/what_is_the_purpose_of_taping_for_the_dexcom/")</f>
        <v/>
      </c>
      <c r="G1858" t="inlineStr">
        <is>
          <t>2016-03-27 09:26:48</t>
        </is>
      </c>
      <c r="H1858" t="inlineStr">
        <is>
          <t>Type 1</t>
        </is>
      </c>
    </row>
    <row r="1859">
      <c r="A1859" t="inlineStr">
        <is>
          <t>4c6dcd</t>
        </is>
      </c>
      <c r="B1859" t="inlineStr">
        <is>
          <t>Nighscout: Dexcom G5 Transmitter, Upgraded G4 Receiver, and Android -- What can I do?</t>
        </is>
      </c>
      <c r="C1859" t="inlineStr">
        <is>
          <t>Hey all,  I'm a bit out of sorts here.  I'd really like to start capturing my CGM data, but I'm not sure exactly where I need to start (or if it's possible) with the hardware that I have.
Here's what I'm currently using:
* Dexcom G5 Transmitter
* Dexcom G4 Receiver (with the G5 "upgrade")
* Nexus 6 (Shamu)  made by Motorola
I got the G4 like a month before the G5 was announced and got a free "upgrade",  had I known back then what I know now, I would've refused the upgrade!  I was really excited with the G4 and [xDrip](http://stephenblackwasalreadytaken.github.io/xDrip/) and everything was working quite well.
Since upgrading to the G5,  I've felt a bit stuck.  I can't seem to find a way to get at the data off my G5 transmitter.
I'd think my ultimate goal is to start using [Nightscout](http://www.nightscout.info/) but in my crawling around various How Tos,  I'm not seeing that as an option for G5 users.
Heck, I'd even be more than happy to use all of Dexcom's services/apps to get at the data,  but they've been absolute crap about making good on their promise to bring it to the Android eco-system. :(
Am I missing something?  Has anyone had any luck with similar hardware?  What should I be looking into?
Thanks!</t>
        </is>
      </c>
      <c r="D1859" t="n">
        <v>5</v>
      </c>
      <c r="E1859" t="n">
        <v>10</v>
      </c>
      <c r="F1859">
        <f>HYPERLINK("https://www.reddit.com/r/diabetes/comments/4c6dcd/nighscout_dexcom_g5_transmitter_upgraded_g4/")</f>
        <v/>
      </c>
      <c r="G1859" t="inlineStr">
        <is>
          <t>2016-03-27 10:31:32</t>
        </is>
      </c>
      <c r="H1859" t="inlineStr">
        <is>
          <t>Type 1</t>
        </is>
      </c>
    </row>
    <row r="1860">
      <c r="A1860" t="inlineStr">
        <is>
          <t>4c848e</t>
        </is>
      </c>
      <c r="B1860" t="inlineStr">
        <is>
          <t>*throws confetti*</t>
        </is>
      </c>
      <c r="C1860" t="inlineStr">
        <is>
          <t>So! I just wanted to give everyone an update! I stumbled upon this reddit like six months ago, when I was first diagnosed. I had an A1c of 13.3. Now it's 6.6~! *jumps up and down in excitement*</t>
        </is>
      </c>
      <c r="D1860" t="n">
        <v>22</v>
      </c>
      <c r="E1860" t="n">
        <v>9</v>
      </c>
      <c r="F1860">
        <f>HYPERLINK("https://www.reddit.com/r/diabetes/comments/4c848e/throws_confetti/")</f>
        <v/>
      </c>
      <c r="G1860" t="inlineStr">
        <is>
          <t>2016-03-27 18:10:21</t>
        </is>
      </c>
      <c r="H1860" t="inlineStr">
        <is>
          <t>Type 2</t>
        </is>
      </c>
    </row>
    <row r="1861">
      <c r="A1861" t="inlineStr">
        <is>
          <t>4caj85</t>
        </is>
      </c>
      <c r="B1861" t="inlineStr">
        <is>
          <t>How to calculate carbs in a plate of soup ?</t>
        </is>
      </c>
      <c r="C1861" t="inlineStr">
        <is>
          <t>My wife was just diagnosed. So we are learning how to live with it. so issue #1 is how to correctly calculate carbs that she gets during one meal. Particularly hard to calculate amount is a plate of soup</t>
        </is>
      </c>
      <c r="D1861" t="n">
        <v>3</v>
      </c>
      <c r="E1861" t="n">
        <v>11</v>
      </c>
      <c r="F1861">
        <f>HYPERLINK("https://www.reddit.com/r/diabetes/comments/4caj85/how_to_calculate_carbs_in_a_plate_of_soup/")</f>
        <v/>
      </c>
      <c r="G1861" t="inlineStr">
        <is>
          <t>2016-03-28 08:11:17</t>
        </is>
      </c>
      <c r="H1861" t="inlineStr">
        <is>
          <t>Type 1.5/LADA</t>
        </is>
      </c>
    </row>
    <row r="1862">
      <c r="A1862" t="inlineStr">
        <is>
          <t>4cap2k</t>
        </is>
      </c>
      <c r="B1862" t="inlineStr">
        <is>
          <t>T2 and reduced insulin resistance</t>
        </is>
      </c>
      <c r="C1862" t="inlineStr">
        <is>
          <t>I am a T2 with a Dec 2014 diagnosis who has been managing Diabetes with exercise and diet (nutritional keto &amp;lt;15 g carbs daily). I want to share some personal success on managing my T2 effects.
I had taken a week-long March break in the southwest US and took myself off of keto for the time I was there, monitoring my BG closely to see how I reacted to reintroducing carbs into my diet.  It was great.
As folks know, the southwestern US has great Mexican food and great craft beer. And neither are low carb. I had several meals including  tacos, tamales, beans,... And after each meal I checked my BG at the 1 hour mark to see where I was spiking. Most times I was in the 100-115 range, with one spike after a particularly carby meal of 130. Morning fasting BG slowly ramped up from my keto normal of 80 to a 95. Testing after a single beer (strong IPA) showed me within non-diabetic norms also.
Since coming back I went keto again, and my morning BG is down to 80 again. I've no plans of abandoning my low carb lifestyle long term, but am pleased to know that I have a bit of flexibility there.
Since my original dx I've dropped 80+ pounds, and my exercise routine includes body weights three times a week, with the alternate days having lighter push-ups. I walk 45 minutes a day, each day. So I've built a fair bit more muscle mass, while still carrying some extra weight (about 20#). That has helped with dealing with insulin resistance, and I am also off of blood pressure and lipid meds. 
All in all, I think this is a tremendous result and is a n=1 experiment that validates that T2 is manageable with diet and exercise for soMe of us.</t>
        </is>
      </c>
      <c r="D1862" t="n">
        <v>13</v>
      </c>
      <c r="E1862" t="n">
        <v>6</v>
      </c>
      <c r="F1862">
        <f>HYPERLINK("https://www.reddit.com/r/diabetes/comments/4cap2k/t2_and_reduced_insulin_resistance/")</f>
        <v/>
      </c>
      <c r="G1862" t="inlineStr">
        <is>
          <t>2016-03-28 08:48:13</t>
        </is>
      </c>
      <c r="H1862" t="inlineStr">
        <is>
          <t>Type 2</t>
        </is>
      </c>
    </row>
    <row r="1863">
      <c r="A1863" t="inlineStr">
        <is>
          <t>4cb1oz</t>
        </is>
      </c>
      <c r="B1863" t="inlineStr">
        <is>
          <t>T1D who smokes and drinks regularly.....</t>
        </is>
      </c>
      <c r="C1863" t="inlineStr">
        <is>
          <t>just to be clear this is not a cry for help, just maybe looking for some advice or someone whose been in the same position or close.....
ive been a T1D since i was 12, am 21 now, ive been smoking &amp;amp; drinking regularly, smoking daily, drinking heavily mainly on the weekends but sometimes during the week as well, i have an office job which i walk to and back from (most days) around 20-30 minutes total but other than that, i only did a bit of gym before as exercise but always on and off never consistently, my sugar levels are not really controlled, although i do test &amp;amp; inject regularly (most days), but usually i average around 216 mg/dl. Ive also had my fair share of drug use but not regularly anymore......
Am i delusional thinking im still going to be ok by 30 ? Obviously i know im not exactly healthy.....</t>
        </is>
      </c>
      <c r="D1863" t="n">
        <v>13</v>
      </c>
      <c r="E1863" t="n">
        <v>11</v>
      </c>
      <c r="F1863">
        <f>HYPERLINK("https://www.reddit.com/r/diabetes/comments/4cb1oz/t1d_who_smokes_and_drinks_regularly/")</f>
        <v/>
      </c>
      <c r="G1863" t="inlineStr">
        <is>
          <t>2016-03-28 10:05:15</t>
        </is>
      </c>
      <c r="H1863" t="inlineStr">
        <is>
          <t>Type 1</t>
        </is>
      </c>
    </row>
    <row r="1864">
      <c r="A1864" t="inlineStr">
        <is>
          <t>4cb7cg</t>
        </is>
      </c>
      <c r="B1864" t="inlineStr">
        <is>
          <t>I Made a Calculator for Type 1 Keto-ers which gets Data From HealthKit</t>
        </is>
      </c>
      <c r="C1864" t="inlineStr">
        <is>
          <t xml:space="preserve">Hey everyone, I made a tool for people with type 1 to calculate your bolus based off what was logged in MyFitnessPal or other similar app. What it does is get the last logged data from the Health App and applies the following calculation:
&amp;gt; Carbs - Fiber + Protein/2
I wrote it using the WorkFlows App which you can find the link to below. 
#[LINK to WorkFlow](https://workflow.is/workflows/710e267abacd44ebab3166caab3d3b3b)
Please have a basic idea of the units you should be taking and always question the result. I'll work on this more if others are interested. And feel free to mess with it yourself! Let me know if you have any improvements!
## Technical Stuff
-----------------------------
###Events:
0. Prompt For Correct Date of Last Entry
1. Get last data logged in Health Kit for Carbs, Fiber, and Protein
2. Calculate Carbs - Fiber 
3. Prompt for Correctness
4. Save to clipboard to paste into your tracking app
###Requirements:
* MyFitnessPal (or other similar app – though no others have been tested)
     MFP must be able to write to HealthKit
* [WorkFlow App](https://workflow.is)
    This should prompt for Access on the first run
###Problems:
Getting info from HealthKit is a bit tricky. I take the last entry. This means that nothing else should be writing nutrition info between you logging your food and running the work flow. For example my fitness pal should log all 3 needed categories. However if an app just logs carbs it will break the calculation as I have not been able to include checks yet, this means you will be working with carbs (or other nutrition) info that may or may not be from the same meal.
</t>
        </is>
      </c>
      <c r="D1864" t="n">
        <v>6</v>
      </c>
      <c r="E1864" t="n">
        <v>2</v>
      </c>
      <c r="F1864">
        <f>HYPERLINK("https://www.reddit.com/r/diabetes/comments/4cb7cg/i_made_a_calculator_for_type_1_ketoers_which_gets/")</f>
        <v/>
      </c>
      <c r="G1864" t="inlineStr">
        <is>
          <t>2016-03-28 10:38:22</t>
        </is>
      </c>
      <c r="H1864" t="inlineStr">
        <is>
          <t>Type 1</t>
        </is>
      </c>
    </row>
    <row r="1865">
      <c r="A1865" t="inlineStr">
        <is>
          <t>4cbm52</t>
        </is>
      </c>
      <c r="B1865" t="inlineStr">
        <is>
          <t>Unexpected level of high sugar</t>
        </is>
      </c>
      <c r="C1865" t="inlineStr">
        <is>
          <t xml:space="preserve">I think we did a clear calculation for consumed carbs for the dinner (25 grams). We took in consideration also current higher level of glucose (8 mmol/g). And shot compensation 2.5 units dose of the Novarapid. However after two hours glucose level is high 11-12 mmol/l. Maybe we miscalculated. 
But I see we miss it constantly this week. Can it be because of nervous situation, bad sleeping or something else.
This situation is </t>
        </is>
      </c>
      <c r="D1865" t="n">
        <v>2</v>
      </c>
      <c r="E1865" t="n">
        <v>3</v>
      </c>
      <c r="F1865">
        <f>HYPERLINK("https://www.reddit.com/r/diabetes/comments/4cbm52/unexpected_level_of_high_sugar/")</f>
        <v/>
      </c>
      <c r="G1865" t="inlineStr">
        <is>
          <t>2016-03-28 12:06:23</t>
        </is>
      </c>
      <c r="H1865" t="inlineStr">
        <is>
          <t>Type 1</t>
        </is>
      </c>
    </row>
    <row r="1866">
      <c r="A1866" t="inlineStr">
        <is>
          <t>4cdrl1</t>
        </is>
      </c>
      <c r="B1866" t="inlineStr">
        <is>
          <t>Alcohol?</t>
        </is>
      </c>
      <c r="C1866" t="inlineStr">
        <is>
          <t xml:space="preserve">Recently diagnosed T2, so happy to have found this sub, been leaning toward a ketogenic diet after spending a week in the hospital and finding out I am SUPER diabetic (A1C 15,m fml) and I'm 31 years old, which begs the question, what can I drink now? Are there any alcohols that are "better" than others or is it all a crap shoot? I have never been a *frequent* drinker, but I occasionally like to throw on a buzz at parties. TIA for any advice. </t>
        </is>
      </c>
      <c r="D1866" t="n">
        <v>6</v>
      </c>
      <c r="E1866" t="n">
        <v>11</v>
      </c>
      <c r="F1866">
        <f>HYPERLINK("https://www.reddit.com/r/diabetes/comments/4cdrl1/alcohol/")</f>
        <v/>
      </c>
      <c r="G1866" t="inlineStr">
        <is>
          <t>2016-03-28 20:36:32</t>
        </is>
      </c>
      <c r="H1866" t="inlineStr">
        <is>
          <t>Type 2</t>
        </is>
      </c>
    </row>
    <row r="1867">
      <c r="A1867" t="inlineStr">
        <is>
          <t>4ceb94</t>
        </is>
      </c>
      <c r="B1867" t="inlineStr">
        <is>
          <t>Did you guys also have (postprandial) hypoglycemia as early symptoms of T1/LADA?</t>
        </is>
      </c>
      <c r="C1867" t="inlineStr">
        <is>
          <t>Hi guys,
I was wondering whether there were more people here with hypoglycemic episodes as early "warning signs" (in hindsight) that they were developing T1/LADA. I remember hypoglycemic situations from when I was 16, which increased in frequency and were really disabling by the age of 20. In hindsight, I probably got high after meals and my pancreas struggled after each meal to produce enough insulin. Eventually it got the job done, but with a little overcompensation, resulting in values between 3-4 mmol/l (mostly not severely low, but still disabling due to the ridiculous adrenalin dumps).
Doctors didn't understand at all, so I was wondering whether its an under recognized symptom or maybe its just really uncommon.</t>
        </is>
      </c>
      <c r="D1867" t="n">
        <v>3</v>
      </c>
      <c r="E1867" t="n">
        <v>4</v>
      </c>
      <c r="F1867">
        <f>HYPERLINK("https://www.reddit.com/r/diabetes/comments/4ceb94/did_you_guys_also_have_postprandial_hypoglycemia/")</f>
        <v/>
      </c>
      <c r="G1867" t="inlineStr">
        <is>
          <t>2016-03-28 23:35:01</t>
        </is>
      </c>
      <c r="H1867" t="inlineStr">
        <is>
          <t>Type 1</t>
        </is>
      </c>
    </row>
    <row r="1868">
      <c r="A1868" t="inlineStr">
        <is>
          <t>4cm18w</t>
        </is>
      </c>
      <c r="B1868" t="inlineStr">
        <is>
          <t>Newly T1D...Afraid to Go to Sleep when BG is Semi-Low...</t>
        </is>
      </c>
      <c r="C1868" t="inlineStr">
        <is>
          <t xml:space="preserve">I was diagnosed in October of 2015, so about 5 months ago.  I am already on a pump and CGM which helps a great deal with the psychological factors as well as maintaining OK numbers, but I can't bring myself to go to sleep if my BG is even in normal ranges.  My mind just starts racing and I keep thinking that I won't wake up... Anyone else have this issue?
</t>
        </is>
      </c>
      <c r="D1868" t="n">
        <v>12</v>
      </c>
      <c r="E1868" t="n">
        <v>18</v>
      </c>
      <c r="F1868">
        <f>HYPERLINK("https://www.reddit.com/r/diabetes/comments/4cm18w/newly_t1dafraid_to_go_to_sleep_when_bg_is_semilow/")</f>
        <v/>
      </c>
      <c r="G1868" t="inlineStr">
        <is>
          <t>2016-03-30 11:17:52</t>
        </is>
      </c>
      <c r="H1868" t="inlineStr">
        <is>
          <t>Type 1</t>
        </is>
      </c>
    </row>
    <row r="1869">
      <c r="A1869" t="inlineStr">
        <is>
          <t>4cnaxc</t>
        </is>
      </c>
      <c r="B1869" t="inlineStr">
        <is>
          <t>Insulin Cost and Canada</t>
        </is>
      </c>
      <c r="C1869" t="inlineStr">
        <is>
          <t>My daughter (18M) was recently diagnosed with Type 1. My wife and I make decent livings, which means we make too much to get any kind of help from the government, but we don't make enough to actually pay for the astronomical cost of health care.
My daughter was born with a condition unrelated to diabetes, which caused us to max our high deductible plan last year. With this recent diagnosis (following a four-day stay in the hospital with DKA), we will hit it again this year.
I was wondering if anyone has run into any complications getting their insulin from Canada and getting it back across the border?
As an aside, I don't particularly like to fly, and my doctor prescribed me Klonopin -- a controlled substance. I got 10 of them for $2. I was floored when I learned that insulin costs what it costs, being essential for my daughter to live. Any help on the cost front is appreciated.</t>
        </is>
      </c>
      <c r="D1869" t="n">
        <v>4</v>
      </c>
      <c r="E1869" t="n">
        <v>6</v>
      </c>
      <c r="F1869">
        <f>HYPERLINK("https://www.reddit.com/r/diabetes/comments/4cnaxc/insulin_cost_and_canada/")</f>
        <v/>
      </c>
      <c r="G1869" t="inlineStr">
        <is>
          <t>2016-03-30 16:01:41</t>
        </is>
      </c>
      <c r="H1869" t="inlineStr">
        <is>
          <t>Type 1</t>
        </is>
      </c>
    </row>
    <row r="1870">
      <c r="A1870" t="inlineStr">
        <is>
          <t>4cnom8</t>
        </is>
      </c>
      <c r="B1870" t="inlineStr">
        <is>
          <t>Another A1C post and an unexpected Doctor reaction</t>
        </is>
      </c>
      <c r="C1870" t="inlineStr">
        <is>
          <t xml:space="preserve">I was diagnosed in early December with an A1C of 10.9 and a fasting glucose around 295. 
Had the three month follow up today. In house A1C test of 5.5. I was expecting 5.5 to 5.7 based on my glucometer numbers. 
I was also expecting to either get told I was going too low or that I was "cured" and didn't need metformin. 
Instead, my doc said, basically, "I think you're a nut for testing as frequently as you do, but it's obviously working. I'd cut back if I were you, but feel free to keep doing what you are doing. Let's keep you on the metformin."
I radically reduced carbs and tested very often to see how foods affected me.  I know what one hamburger bun will do to me. I am a diabetic and still think my fasting numbers are too high. </t>
        </is>
      </c>
      <c r="D1870" t="n">
        <v>4</v>
      </c>
      <c r="E1870" t="n">
        <v>10</v>
      </c>
      <c r="F1870">
        <f>HYPERLINK("https://www.reddit.com/r/diabetes/comments/4cnom8/another_a1c_post_and_an_unexpected_doctor_reaction/")</f>
        <v/>
      </c>
      <c r="G1870" t="inlineStr">
        <is>
          <t>2016-03-30 17:37:27</t>
        </is>
      </c>
      <c r="H1870" t="inlineStr">
        <is>
          <t>Type 2</t>
        </is>
      </c>
    </row>
    <row r="1871">
      <c r="A1871" t="inlineStr">
        <is>
          <t>4coeug</t>
        </is>
      </c>
      <c r="B1871" t="inlineStr">
        <is>
          <t>Dexcom G5, iPhone integration, and overnight alarms?</t>
        </is>
      </c>
      <c r="C1871" t="inlineStr">
        <is>
          <t>Hello /r/diabetes,
Just got diagnosed a couple of weeks ago (mild DKA and an A1c of 12.3%!) and using Toujeo and Novolog and luckily doing well on that regimen (or just honeymooning, who knows). I just got my Dexcom G5 and an Apple Watch so I could track my blood sugars while exercising or at work. How do people deal with overnight alarms when not using the transmitter?
It seems like the options are if you turn on the "Do not disturb" mode (which I had been doing before the CGM) then all alarms are silenced including hypoglycemia alarms. If you don't turn off all the alarms, then you hear all your e-mail and text message alerts as well, which is annoying. How do others manage alarms while asleep? I could theoretically wear the Apple Watch and get vibration alarms there, but then I couldn't charge it during the day...
Thanks!</t>
        </is>
      </c>
      <c r="D1871" t="n">
        <v>4</v>
      </c>
      <c r="E1871" t="n">
        <v>6</v>
      </c>
      <c r="F1871">
        <f>HYPERLINK("https://www.reddit.com/r/diabetes/comments/4coeug/dexcom_g5_iphone_integration_and_overnight_alarms/")</f>
        <v/>
      </c>
      <c r="G1871" t="inlineStr">
        <is>
          <t>2016-03-30 20:56:39</t>
        </is>
      </c>
      <c r="H1871" t="inlineStr">
        <is>
          <t>Type 1</t>
        </is>
      </c>
    </row>
    <row r="1872">
      <c r="A1872" t="inlineStr">
        <is>
          <t>4cpx2j</t>
        </is>
      </c>
      <c r="B1872" t="inlineStr">
        <is>
          <t>Thank you /r/diabetes!</t>
        </is>
      </c>
      <c r="C1872" t="inlineStr">
        <is>
          <t>Hi all!
I've lurked here since my diagnosis of Type 2 on Friday, March 18th. That was a stressful situation, I ended up in the ER when my A1C was over 14 and my blood sugar was 360. Thankfully I didn't have DKA. 
I wanted to thank all of you for your humor, diet tips, and overall candor. I'm happy to report that my fasting level was 114 this morning. I understand that diabetes is more of a lifetime marathon and I still have a long way to go and learn. But I've learned a lot!
My family and I are grateful that /r/diabetes exists!</t>
        </is>
      </c>
      <c r="D1872" t="n">
        <v>29</v>
      </c>
      <c r="E1872" t="n">
        <v>12</v>
      </c>
      <c r="F1872">
        <f>HYPERLINK("https://www.reddit.com/r/diabetes/comments/4cpx2j/thank_you_rdiabetes/")</f>
        <v/>
      </c>
      <c r="G1872" t="inlineStr">
        <is>
          <t>2016-03-31 06:04:30</t>
        </is>
      </c>
      <c r="H1872" t="inlineStr">
        <is>
          <t>Type 2</t>
        </is>
      </c>
    </row>
    <row r="1873">
      <c r="A1873" t="inlineStr">
        <is>
          <t>4crs72</t>
        </is>
      </c>
      <c r="B1873" t="inlineStr">
        <is>
          <t>My son is now diabetes-free!!!</t>
        </is>
      </c>
      <c r="C1873" t="inlineStr">
        <is>
          <t>About a month ago [I wrote about my son's battle](https://www.reddit.com/r/diabetes/comments/45klvr/retinopathy_neuropathy_and_nephropathy_my_sons/) with diabetes. He had just received approval from insurance for a transplant, and been officially placed on the list.
It took 3 weeks.
Last Saturday night he was at work, and I had gone out of town to visit my grandmother for Easter. He called me at 6:45, frantic, and said, "Mom! MOM!!!! you have to come home. The transplant center just called! We have to be in Indianapolis by 9:30!!!" OMG, I flew home, a 45 minute drive. He called while I was on my way home and said that the surgeon himself had just called and told him to get there as soon as possible because these organs were a "very very good match."  I picked him up, and away we went. It's about 90 minutes to the hospital, and we arrived shortly after 9pm. 
They began his work-up: ekg, chest xray, and a massive array of bloodwork.  Oh, and much to my son's dismay, a thorough enema. He was horrified, lol. At 11pm, the nurse told us that they'd be taking him down to surgery around 11:30. I couldn't believe this was actually happening. 
The surgery nurse called me every 2 hours with an update, telling me where they were in the process. Surgery officially began at 1am, and at 3 she called and said the pancreas was done and it was already pumping out insulin and his glucose level was good. They were preparing to begin the kidney.
At 5:30, the kidney was finished and making urine.
At 8 the surgeon came to talk to me. He said that everything went beautifully, the organs were perfect and a perfect match, and that my son was in recovery for a couple of hours and they'd come and get me when I could see him. 
It was 11am before I could see him, and he was coherent, but obviously very groggy and couldn't stay awake for more than a minute or two. 
He has done extraordinarily well. So well that they are sending him home either tomorrow or Saturday. The ICU nurse told us he'd be there two weeks; Sunday would only be the one week mark. He is off all pain meds except for Lortab and Tylenol, he is walking and is able to sit up for extended periods, his IV and catheter are out, and he started solid food yesterday. His first meal? "A cheeseburger, cheesecake, applesauce, chocolate milk, and a salad with ranch dressing." After that feast his blood sugar was 103.... no insulin injection required :D
His incision looks really good. It's a straight, thin line from the top of his stomach all the way down to his pubic area. It should heal nicely. I think the scar from his fistula surgery will be worse than this scar.
I am still trying to get used to the fact that my son is no longer diabetic. For 25 years, that's all he's known and all I've worried about. Someone sent a balloon bouquet to him and it had a box of candy attached and my first reaction was, "well that's pretty damn stupid of them," and then I realized, no, he can totally  have that now! It's going to take a lot of getting used to! 
This is the most incredible thing that has ever happened to us. I am still in a state of disbelief. I feel like the weight of the world has been taken off of my shoulders, and I cannot even imagine how he feels. 
We know nothing about the donor except that s/he was from out of state. Whoever s/he was, we will be forever grateful, and grateful to the family who made this tremendous gift.  I've learned a lot about gratitude this week.
What a week it's been. 
There's hope, you guys. Don't give up the fight!!!</t>
        </is>
      </c>
      <c r="D1873" t="n">
        <v>130</v>
      </c>
      <c r="E1873" t="n">
        <v>41</v>
      </c>
      <c r="F1873">
        <f>HYPERLINK("https://www.reddit.com/r/diabetes/comments/4crs72/my_son_is_now_diabetesfree/")</f>
        <v/>
      </c>
      <c r="G1873" t="inlineStr">
        <is>
          <t>2016-03-31 13:01:09</t>
        </is>
      </c>
      <c r="H1873" t="inlineStr">
        <is>
          <t>Type 1</t>
        </is>
      </c>
    </row>
    <row r="1874">
      <c r="A1874" t="inlineStr">
        <is>
          <t>4crz3y</t>
        </is>
      </c>
      <c r="B1874" t="inlineStr">
        <is>
          <t>Losing weight and sugar levels</t>
        </is>
      </c>
      <c r="C1874" t="inlineStr">
        <is>
          <t>HI guys, beena  while since I posted. I'm losing weight, which is really good, but I've noticed that my sugars are running a bit higher than they were when my weight was stable. I've dropped 15 pounds over a month and a half, just by eating less, but my sugars always pop between 160 and 180. They go lower during the day, but that's been the average for the past three weeks.
Is there any correlation between losing weight and increased glucose during the weight loss?</t>
        </is>
      </c>
      <c r="D1874" t="n">
        <v>6</v>
      </c>
      <c r="E1874" t="n">
        <v>8</v>
      </c>
      <c r="F1874">
        <f>HYPERLINK("https://www.reddit.com/r/diabetes/comments/4crz3y/losing_weight_and_sugar_levels/")</f>
        <v/>
      </c>
      <c r="G1874" t="inlineStr">
        <is>
          <t>2016-03-31 13:44:18</t>
        </is>
      </c>
      <c r="H1874" t="inlineStr">
        <is>
          <t>Type 2</t>
        </is>
      </c>
    </row>
    <row r="1875">
      <c r="A1875" t="inlineStr">
        <is>
          <t>4cshhk</t>
        </is>
      </c>
      <c r="B1875" t="inlineStr">
        <is>
          <t>Hey guys. My 14 year old brother was just diagnosed type 1, and I'm a little concerned.</t>
        </is>
      </c>
      <c r="C1875" t="inlineStr">
        <is>
          <t xml:space="preserve">My brother was diagnosed a few weeks ago when he went to the hospital with high blood sugar and a number of other imbalances. They stabilized him, and now he's taking insulin 3 times a day. But his blood sugar levels have been consistently high - ranging from 200 to 300 - since he left the hospital. His doctor is telling him that it's supposed to be high because he's a new diabetic, but I'm still worried. It would really help if you guys can provide some insight into this issue. What were some of your experiences when you were first diagnosed?  
edit: Thanks for the comments everyone. I'm worrying a lot less right now because of you. I live a state away from my brother, so it's kinda tough being removed from the situation. I think I may have to introduce him to this sub in case he ever has any questions or just needs some support. From what I can tell, you're a cool bunch of people.  
Best wishes. </t>
        </is>
      </c>
      <c r="D1875" t="n">
        <v>14</v>
      </c>
      <c r="E1875" t="n">
        <v>13</v>
      </c>
      <c r="F1875">
        <f>HYPERLINK("https://www.reddit.com/r/diabetes/comments/4cshhk/hey_guys_my_14_year_old_brother_was_just/")</f>
        <v/>
      </c>
      <c r="G1875" t="inlineStr">
        <is>
          <t>2016-03-31 15:42:36</t>
        </is>
      </c>
      <c r="H1875" t="inlineStr">
        <is>
          <t>Type 1</t>
        </is>
      </c>
    </row>
    <row r="1876">
      <c r="A1876" t="inlineStr">
        <is>
          <t>4cvvhq</t>
        </is>
      </c>
      <c r="B1876" t="inlineStr">
        <is>
          <t>Type 1 Linked to Epilepsy</t>
        </is>
      </c>
      <c r="C1876" t="inlineStr">
        <is>
          <t>I was diagnosed with Type 1 Diabetes when I was 10.
My youngest daughter was just recently diagnosed with epilepsy.
Wondering how prolific it is of Type 1 running in the same family line as Epilepsy...
[Article here](http://health.usnews.com/health-news/articles/2016-03-31/type-1-diabetes-linked-to-epilepsy-risk-study-suggests)</t>
        </is>
      </c>
      <c r="D1876" t="n">
        <v>0</v>
      </c>
      <c r="E1876" t="n">
        <v>1</v>
      </c>
      <c r="F1876">
        <f>HYPERLINK("https://www.reddit.com/r/diabetes/comments/4cvvhq/type_1_linked_to_epilepsy/")</f>
        <v/>
      </c>
      <c r="G1876" t="inlineStr">
        <is>
          <t>2016-04-01 07:24:25</t>
        </is>
      </c>
      <c r="H1876" t="inlineStr">
        <is>
          <t>Type 1</t>
        </is>
      </c>
    </row>
    <row r="1877">
      <c r="A1877" t="inlineStr">
        <is>
          <t>4cwcd4</t>
        </is>
      </c>
      <c r="B1877" t="inlineStr">
        <is>
          <t>Margin of error on an A1C result?</t>
        </is>
      </c>
      <c r="C1877" t="inlineStr">
        <is>
          <t xml:space="preserve">I was trying to find out if there is a consensus on the margin of error on an A1C result.
My recent lab gave me an A1C of 6.7%. I'm printing out my CGM reports and my fingerstick logs and I can't make that number fit. My Dexcom (which is usually on point with my fingersticks), gives me a 6.2% for the 3 months prior (5.9% for the last 30 days). My fingerstick log averages out to about a 6.4% when doing a conversion.
So, all of my numbers from 24-hour CGM coverage, to my fingersticks (usually 4-6 per day) are showing numbers lower than what the A1C came back.
I know with my fingersticks there is an accepted 15%-20% range, but didn't know if there was an A1C "acceptable" margin as well?
Anyone ever have an A1C that was different from the expected numbers? </t>
        </is>
      </c>
      <c r="D1877" t="n">
        <v>5</v>
      </c>
      <c r="E1877" t="n">
        <v>6</v>
      </c>
      <c r="F1877">
        <f>HYPERLINK("https://www.reddit.com/r/diabetes/comments/4cwcd4/margin_of_error_on_an_a1c_result/")</f>
        <v/>
      </c>
      <c r="G1877" t="inlineStr">
        <is>
          <t>2016-04-01 08:59:19</t>
        </is>
      </c>
      <c r="H1877" t="inlineStr">
        <is>
          <t>Type 1</t>
        </is>
      </c>
    </row>
    <row r="1878">
      <c r="A1878" t="inlineStr">
        <is>
          <t>4cwsdk</t>
        </is>
      </c>
      <c r="B1878" t="inlineStr">
        <is>
          <t>6.2 a1c!!</t>
        </is>
      </c>
      <c r="C1878" t="inlineStr">
        <is>
          <t>Just had my first follow up appointment since diagnoses.i went from a 9.7 to a 6.2 and I just wanted to thank everybody for the advice and support :D
Edit: ive also lost 40 pounds in 2 months!</t>
        </is>
      </c>
      <c r="D1878" t="n">
        <v>19</v>
      </c>
      <c r="E1878" t="n">
        <v>7</v>
      </c>
      <c r="F1878">
        <f>HYPERLINK("https://www.reddit.com/r/diabetes/comments/4cwsdk/62_a1c/")</f>
        <v/>
      </c>
      <c r="G1878" t="inlineStr">
        <is>
          <t>2016-04-01 10:18:13</t>
        </is>
      </c>
      <c r="H1878" t="inlineStr">
        <is>
          <t>Type 2</t>
        </is>
      </c>
    </row>
    <row r="1879">
      <c r="A1879" t="inlineStr">
        <is>
          <t>4cxg57</t>
        </is>
      </c>
      <c r="B1879" t="inlineStr">
        <is>
          <t>Vision issues from Hypoglycemia</t>
        </is>
      </c>
      <c r="C1879" t="inlineStr">
        <is>
          <t xml:space="preserve">Hi all.
I've been Adult-onset type one for a couple years now. (just abruptly happened at 23, no one knows why.)
One thing I struggle a bit with is temporary blindness - or near blindness. Curious if it's a common symptom during lows? I don't see it mentioned often.
As soon as I drop below 3.0 I start losing eyesight. No blurriness or anything, but it's like my eyes shut off briefly every-couple seconds. It's accompanied by bright flashes. Kind of strange. Anyone else get this semi regularly?
</t>
        </is>
      </c>
      <c r="D1879" t="n">
        <v>5</v>
      </c>
      <c r="E1879" t="n">
        <v>6</v>
      </c>
      <c r="F1879">
        <f>HYPERLINK("https://www.reddit.com/r/diabetes/comments/4cxg57/vision_issues_from_hypoglycemia/")</f>
        <v/>
      </c>
      <c r="G1879" t="inlineStr">
        <is>
          <t>2016-04-01 12:10:50</t>
        </is>
      </c>
      <c r="H1879" t="inlineStr">
        <is>
          <t>Type 1</t>
        </is>
      </c>
    </row>
    <row r="1880">
      <c r="A1880" t="inlineStr">
        <is>
          <t>4cxlna</t>
        </is>
      </c>
      <c r="B1880" t="inlineStr">
        <is>
          <t>1 year anniversary of diabetes haHAA what a silly day right FeelsBadMan</t>
        </is>
      </c>
      <c r="C1880" t="inlineStr">
        <is>
          <t>1 year ago i was diagnosed with type 1 diabetes mellitus. At first I thought it all was a dream and a prank.... turned out it was no april fools joke.....</t>
        </is>
      </c>
      <c r="D1880" t="n">
        <v>14</v>
      </c>
      <c r="E1880" t="n">
        <v>4</v>
      </c>
      <c r="F1880">
        <f>HYPERLINK("https://www.reddit.com/r/diabetes/comments/4cxlna/1_year_anniversary_of_diabetes_hahaa_what_a_silly/")</f>
        <v/>
      </c>
      <c r="G1880" t="inlineStr">
        <is>
          <t>2016-04-01 12:36:14</t>
        </is>
      </c>
      <c r="H1880" t="inlineStr">
        <is>
          <t>Type 1</t>
        </is>
      </c>
    </row>
    <row r="1881">
      <c r="A1881" t="inlineStr">
        <is>
          <t>4cy0we</t>
        </is>
      </c>
      <c r="B1881" t="inlineStr">
        <is>
          <t>48+ Hours with a High BG</t>
        </is>
      </c>
      <c r="C1881" t="inlineStr">
        <is>
          <t>For over, 48 hours now I can't get my blood sugar to come down from the 250's or higher. 
I've  changed my infusion set once (though will do it again when I get home), increased boluses    from what my pump suggests, experimented with m temporary higher Basel rates, and even took a syringe injection. 
The insulin has to be working to an extent, cause I haven't changed my eating habits, and haven't gone over 380 yet. 
Is it worth calling the doctor over something like this? I don't know what other things I could/should be doing to get it down again. 
Edit: I should also add I'm almost done recovering from a minor cold. Though this hasn't really happened in the past or until I start to feel the symptoms dissipate. Perhaps that still has something to do with it though?
UPDATE: Since changing both the vial of insulin and IV set again (plus a pretty big manual injection), its seems to be on the way down to a more usual range again.  Thinking about it some more, it very well could have just been a bad IV set or something, but possibly a bad vial too.  Nonetheless, thanks all for your advice and support!</t>
        </is>
      </c>
      <c r="D1881" t="n">
        <v>4</v>
      </c>
      <c r="E1881" t="n">
        <v>9</v>
      </c>
      <c r="F1881">
        <f>HYPERLINK("https://www.reddit.com/r/diabetes/comments/4cy0we/48_hours_with_a_high_bg/")</f>
        <v/>
      </c>
      <c r="G1881" t="inlineStr">
        <is>
          <t>2016-04-01 13:49:22</t>
        </is>
      </c>
      <c r="H1881" t="inlineStr">
        <is>
          <t>Type 1</t>
        </is>
      </c>
    </row>
    <row r="1882">
      <c r="A1882" t="inlineStr">
        <is>
          <t>4cyg1n</t>
        </is>
      </c>
      <c r="B1882" t="inlineStr">
        <is>
          <t>Type 1 taking metformin?</t>
        </is>
      </c>
      <c r="C1882" t="inlineStr">
        <is>
          <t>Is anyone doing this on as a supplement to insulin?  My control has been bad for a while, despite a pretty good diet and effort put into taking care of myself.  My doctor discussed prescribing Metformin if this doesn't improve.  In addition to the bad numbers I am also about 30 pounds overweight and she said Metformin may also help with losing weight.  This would be as a last resort because I've since then been taking steps to correct this the smart way: I've been seeing a diabetes educator since that appointment and I just received my omnipod and Dexcom in the mail so I'm doing everything I can to avoid taking any additional medication (I already take a ton on non-diabetes related meds).  I'm only wondering if anyone has had experience with Metformin?  Thanks!</t>
        </is>
      </c>
      <c r="D1882" t="n">
        <v>2</v>
      </c>
      <c r="E1882" t="n">
        <v>12</v>
      </c>
      <c r="F1882">
        <f>HYPERLINK("https://www.reddit.com/r/diabetes/comments/4cyg1n/type_1_taking_metformin/")</f>
        <v/>
      </c>
      <c r="G1882" t="inlineStr">
        <is>
          <t>2016-04-01 15:08:45</t>
        </is>
      </c>
      <c r="H1882" t="inlineStr">
        <is>
          <t>Type 1</t>
        </is>
      </c>
    </row>
    <row r="1883">
      <c r="A1883" t="inlineStr">
        <is>
          <t>4cz1ks</t>
        </is>
      </c>
      <c r="B1883" t="inlineStr">
        <is>
          <t>So I understand it's possible that I may have a different type of Diabetes besides Type II, what do I ask my new doc for?</t>
        </is>
      </c>
      <c r="C1883" t="inlineStr">
        <is>
          <t>Recently diagnosed (February). I just changed doc and will be seeing my new doc next week. What do I need to ask for to make sure my diagnosis of "insulin resistant Type II" is accurate? Many thanks..</t>
        </is>
      </c>
      <c r="D1883" t="n">
        <v>3</v>
      </c>
      <c r="E1883" t="n">
        <v>10</v>
      </c>
      <c r="F1883">
        <f>HYPERLINK("https://www.reddit.com/r/diabetes/comments/4cz1ks/so_i_understand_its_possible_that_i_may_have_a/")</f>
        <v/>
      </c>
      <c r="G1883" t="inlineStr">
        <is>
          <t>2016-04-01 17:11:20</t>
        </is>
      </c>
      <c r="H1883" t="inlineStr">
        <is>
          <t>Type 2</t>
        </is>
      </c>
    </row>
    <row r="1884">
      <c r="A1884" t="inlineStr">
        <is>
          <t>4d1ed0</t>
        </is>
      </c>
      <c r="B1884" t="inlineStr">
        <is>
          <t>help me understand this disease</t>
        </is>
      </c>
      <c r="C1884" t="inlineStr">
        <is>
          <t>my friend will be staying with me while he heals from surgery. hes talking me through his med regiment and im blown away. he takes lantus 40 units  at night and humalog 25 units three times a day with meals. i thought humalog was a fast acting insulin only to be taken in small doses if the blood sugar was high, like 4 units for blood sugar over 200 etc. at least thats how they did it in the hospital. im concerned that that is way too much to give scheduled and not even on an as needed basis. please help me understand.</t>
        </is>
      </c>
      <c r="D1884" t="n">
        <v>2</v>
      </c>
      <c r="E1884" t="n">
        <v>14</v>
      </c>
      <c r="F1884">
        <f>HYPERLINK("https://www.reddit.com/r/diabetes/comments/4d1ed0/help_me_understand_this_disease/")</f>
        <v/>
      </c>
      <c r="G1884" t="inlineStr">
        <is>
          <t>2016-04-02 05:56:42</t>
        </is>
      </c>
      <c r="H1884" t="inlineStr">
        <is>
          <t>Type 2</t>
        </is>
      </c>
    </row>
    <row r="1885">
      <c r="A1885" t="inlineStr">
        <is>
          <t>4d25z3</t>
        </is>
      </c>
      <c r="B1885" t="inlineStr">
        <is>
          <t>My blood sugar levels this morning didn't make sense went from 345 to 130 in 30 seconds.</t>
        </is>
      </c>
      <c r="C1885" t="inlineStr">
        <is>
          <t>This morning I woke up and before I are anything or took my meds I checked my sugar levels and it was 345! I was freaking out because never since I was told by my doctor that I'm type 2 diabetic have I ever had a number that high. I retested again with a new strip and the number went down right away to about 130. Felt better about that 130. But what would cause my numbers to fluctuate like that? How can it be 345 one second and the next when I retest within 30 seconds it's 130 thereabouts? Should I be concerned?  I mean I felt just fine even at 345 but I just want to be sure here.</t>
        </is>
      </c>
      <c r="D1885" t="n">
        <v>4</v>
      </c>
      <c r="E1885" t="n">
        <v>11</v>
      </c>
      <c r="F1885">
        <f>HYPERLINK("https://www.reddit.com/r/diabetes/comments/4d25z3/my_blood_sugar_levels_this_morning_didnt_make/")</f>
        <v/>
      </c>
      <c r="G1885" t="inlineStr">
        <is>
          <t>2016-04-02 09:30:53</t>
        </is>
      </c>
      <c r="H1885" t="inlineStr">
        <is>
          <t>Type 2</t>
        </is>
      </c>
    </row>
    <row r="1886">
      <c r="A1886" t="inlineStr">
        <is>
          <t>4d6p18</t>
        </is>
      </c>
      <c r="B1886" t="inlineStr">
        <is>
          <t>December diagnosis and the 1st results are in....</t>
        </is>
      </c>
      <c r="C1886" t="inlineStr">
        <is>
          <t>10.9 A1c in December...now a 5.6!!!!
Weight loss of 50 lbs! 
I feel great and am ready to keep fighting!!</t>
        </is>
      </c>
      <c r="D1886" t="n">
        <v>39</v>
      </c>
      <c r="E1886" t="n">
        <v>14</v>
      </c>
      <c r="F1886">
        <f>HYPERLINK("https://www.reddit.com/r/diabetes/comments/4d6p18/december_diagnosis_and_the_1st_results_are_in/")</f>
        <v/>
      </c>
      <c r="G1886" t="inlineStr">
        <is>
          <t>2016-04-03 09:09:14</t>
        </is>
      </c>
      <c r="H1886" t="inlineStr">
        <is>
          <t>Type 2</t>
        </is>
      </c>
    </row>
    <row r="1887">
      <c r="A1887" t="inlineStr">
        <is>
          <t>4d7rd6</t>
        </is>
      </c>
      <c r="B1887" t="inlineStr">
        <is>
          <t>Anyone ever just get tired and feel it's too hard</t>
        </is>
      </c>
      <c r="C1887" t="inlineStr">
        <is>
          <t>past couple of months I've found it hard to manage. I still take my meds but my diet has taken a backseat.
It was all getting so hard and I just quit trying to diet. wasn't losing weight and was constantly hungry.
after having my metformin dosage increased(from 2 pills in the morning to 2 pills in the morning and 1 at night) I've decided to stick to it this time but I don't know what to do.
I'm still on a 1500 and I hate it. 
seems like i'm always going over. 
I need to and want to lose weight and get my diabetes under control but it seems like I can't do anything right.</t>
        </is>
      </c>
      <c r="D1887" t="n">
        <v>20</v>
      </c>
      <c r="E1887" t="n">
        <v>75</v>
      </c>
      <c r="F1887">
        <f>HYPERLINK("https://www.reddit.com/r/diabetes/comments/4d7rd6/anyone_ever_just_get_tired_and_feel_its_too_hard/")</f>
        <v/>
      </c>
      <c r="G1887" t="inlineStr">
        <is>
          <t>2016-04-03 13:25:58</t>
        </is>
      </c>
      <c r="H1887" t="inlineStr">
        <is>
          <t>Type 2</t>
        </is>
      </c>
    </row>
    <row r="1888">
      <c r="A1888" t="inlineStr">
        <is>
          <t>4d8i0o</t>
        </is>
      </c>
      <c r="B1888" t="inlineStr">
        <is>
          <t>Sleep and BG</t>
        </is>
      </c>
      <c r="C1888" t="inlineStr">
        <is>
          <t>Ok...this is not a travel question. I do travel a lot - so much that I do not feel any stress from traveling. The only real change to my travel routine is I started walking from the long term parking to the airport instead of taking the bus if I'm a little high. I tend not to sleep great when I'm in hotels. Just generally a light sleeper and if it's not totally dark and quiet I'm kind of restless. Anyway, I've noticed that towards the end of longer trips, my bg stays higher and I seem to become a little less insulin sensitive. I don't think it's the restaurant food because I'm essentially eats the same stuff and blousing the same way as I do earlier in the trip where I can maintain myself under 100. So, the theory I'm working on is that as I become more fatigued, this is making me more insulin resistant. Is this a thing?  Has anyone had similar experience?</t>
        </is>
      </c>
      <c r="D1888" t="n">
        <v>3</v>
      </c>
      <c r="E1888" t="n">
        <v>1</v>
      </c>
      <c r="F1888">
        <f>HYPERLINK("https://www.reddit.com/r/diabetes/comments/4d8i0o/sleep_and_bg/")</f>
        <v/>
      </c>
      <c r="G1888" t="inlineStr">
        <is>
          <t>2016-04-03 16:31:00</t>
        </is>
      </c>
      <c r="H1888" t="inlineStr">
        <is>
          <t>Type 1</t>
        </is>
      </c>
    </row>
    <row r="1889">
      <c r="A1889" t="inlineStr">
        <is>
          <t>4d8vdf</t>
        </is>
      </c>
      <c r="B1889" t="inlineStr">
        <is>
          <t>T1D Jeopardy! - The answer: 7 individual extra doses.</t>
        </is>
      </c>
      <c r="C1889" t="inlineStr">
        <is>
          <t>The question: What is the number of extra doses I've taken today while battling 102F fever and a terrible productive cough?
The sad part is that, despite all of those extra doses, I still have averaged somewhere in the 170 region for the day. But, at least, I haven't had any DKA issues, and I'm trying to get it lower.
Sometimes you take what you can get ... especially when you're sick.</t>
        </is>
      </c>
      <c r="D1889" t="n">
        <v>6</v>
      </c>
      <c r="E1889" t="n">
        <v>7</v>
      </c>
      <c r="F1889">
        <f>HYPERLINK("https://www.reddit.com/r/diabetes/comments/4d8vdf/t1d_jeopardy_the_answer_7_individual_extra_doses/")</f>
        <v/>
      </c>
      <c r="G1889" t="inlineStr">
        <is>
          <t>2016-04-03 18:10:51</t>
        </is>
      </c>
      <c r="H1889" t="inlineStr">
        <is>
          <t>Type 1</t>
        </is>
      </c>
    </row>
    <row r="1890">
      <c r="A1890" t="inlineStr">
        <is>
          <t>4db80w</t>
        </is>
      </c>
      <c r="B1890" t="inlineStr">
        <is>
          <t>Type 1: This is what my 4 days on a sensor has been like, thank you for kicking my butt into gear.</t>
        </is>
      </c>
      <c r="C1890" t="inlineStr">
        <is>
          <t xml:space="preserve">You may have looked at my previous submission: https://www.reddit.com/r/diabetes/comments/4anqix/i_know_what_damage_im_doing_but_i_cant_get_myself/
I have been pushing myself to get out of the hole I've dug myself into, I've tested most days, and attempted to bolus 95% of the time, and I'm getting there slowly. I've found I'm better when my tester is in my pocket and I can just grab it out and test. I had a spare sensor floating about at home and tried it, It failed on day 4 but its so much better than having nothing! Here are the traces and results from it: http://imgur.com/Xp9f10u
Again I appreciate all the feed back I get from you! </t>
        </is>
      </c>
      <c r="D1890" t="n">
        <v>12</v>
      </c>
      <c r="E1890" t="n">
        <v>2</v>
      </c>
      <c r="F1890">
        <f>HYPERLINK("https://www.reddit.com/r/diabetes/comments/4db80w/type_1_this_is_what_my_4_days_on_a_sensor_has/")</f>
        <v/>
      </c>
      <c r="G1890" t="inlineStr">
        <is>
          <t>2016-04-04 07:11:05</t>
        </is>
      </c>
      <c r="H1890" t="inlineStr">
        <is>
          <t>Type 1</t>
        </is>
      </c>
    </row>
    <row r="1891">
      <c r="A1891" t="inlineStr">
        <is>
          <t>4dchf8</t>
        </is>
      </c>
      <c r="B1891" t="inlineStr">
        <is>
          <t>Parents of toddlers with T1DM, counting carbs?</t>
        </is>
      </c>
      <c r="C1891" t="inlineStr">
        <is>
          <t>Wondering if there are any parents of toddlers with T1DM in this sub, and, if so, how you go about counting carbs?
Our 1 year old was just recently diagnosed.  Unfortunately, we live in a developing country (Vietnam) whose diabetes care is minimal at best, mildly superstitious at worst.  Carb counting is nothing that's been recommended by the doctors, just info I've gleamed from all the googling I've been doing.
Unfortunately, diagnoses in his age bracket seem rare so information on how to count carbs for breast milk, etc are contradictory or I can't find them.
Any pointers would be greatly appreciated.  Thank you!</t>
        </is>
      </c>
      <c r="D1891" t="n">
        <v>8</v>
      </c>
      <c r="E1891" t="n">
        <v>5</v>
      </c>
      <c r="F1891">
        <f>HYPERLINK("https://www.reddit.com/r/diabetes/comments/4dchf8/parents_of_toddlers_with_t1dm_counting_carbs/")</f>
        <v/>
      </c>
      <c r="G1891" t="inlineStr">
        <is>
          <t>2016-04-04 11:47:25</t>
        </is>
      </c>
      <c r="H1891" t="inlineStr">
        <is>
          <t>Type 1</t>
        </is>
      </c>
    </row>
    <row r="1892">
      <c r="A1892" t="inlineStr">
        <is>
          <t>4ddkvu</t>
        </is>
      </c>
      <c r="B1892" t="inlineStr">
        <is>
          <t>Looking for help for a friend if you can help</t>
        </is>
      </c>
      <c r="C1892" t="inlineStr">
        <is>
          <t>My friend has type 1 diabetes and me and some other friends of mine have started a gofundme for her because her insulin pump is 5 years old and its in pretty bad shape. Her family cannot afford one so we are raising the funds to surprise her with a new insulin pump. 
I've already donated $200 and were at about 300/1000 but I was wondering if I could get anyone to help if you can. She's an important friend of mine and I love her to death so if you could help I would appreciate it so much.
Edit: if you do wish to help and would choose to remain anonymous just plesse chose the option and as a note include from Reid's friend 
Edit2: currently at 432/1000$ ! Not even one day and were almost half way their
Edit3: anon donated $120 if it was anyone from here I thank you so much!</t>
        </is>
      </c>
      <c r="D1892" t="n">
        <v>1</v>
      </c>
      <c r="E1892" t="n">
        <v>12</v>
      </c>
      <c r="F1892">
        <f>HYPERLINK("https://www.reddit.com/r/diabetes/comments/4ddkvu/looking_for_help_for_a_friend_if_you_can_help/")</f>
        <v/>
      </c>
      <c r="G1892" t="inlineStr">
        <is>
          <t>2016-04-04 15:47:40</t>
        </is>
      </c>
      <c r="H1892" t="inlineStr">
        <is>
          <t>Type 1</t>
        </is>
      </c>
    </row>
    <row r="1893">
      <c r="A1893" t="inlineStr">
        <is>
          <t>4dj20m</t>
        </is>
      </c>
      <c r="B1893" t="inlineStr">
        <is>
          <t>weird feelings</t>
        </is>
      </c>
      <c r="C1893" t="inlineStr">
        <is>
          <t xml:space="preserve">I was diagnosed with diabetes type 1 11 years ago and so far only a couple of bad bad hypoglycemias but I just had my worst. I had no physical feeling in my body and i was close to being unconscious. I had double vision and in the end i thought i was in a dream. Even when my parents came i thought i was in a dream and it lasted till next morning. Any tips on preventing this in the future? </t>
        </is>
      </c>
      <c r="D1893" t="n">
        <v>1</v>
      </c>
      <c r="E1893" t="n">
        <v>5</v>
      </c>
      <c r="F1893">
        <f>HYPERLINK("https://www.reddit.com/r/diabetes/comments/4dj20m/weird_feelings/")</f>
        <v/>
      </c>
      <c r="G1893" t="inlineStr">
        <is>
          <t>2016-04-05 16:11:22</t>
        </is>
      </c>
      <c r="H1893" t="inlineStr">
        <is>
          <t>Type 1</t>
        </is>
      </c>
    </row>
    <row r="1894">
      <c r="A1894" t="inlineStr">
        <is>
          <t>4dj6al</t>
        </is>
      </c>
      <c r="B1894" t="inlineStr">
        <is>
          <t>Diabetes in school</t>
        </is>
      </c>
      <c r="C1894" t="inlineStr">
        <is>
          <t>I am 14 years old and diabetes in school is annoying. When I leave class for juice or an injection, people in my class get pissed or jealous even though they have no reason to be. Teachers also often spew out what they think is helpful or true information even when it isn't.
Another thing is the cafeteria. Since my food is measured I do not get money to buy stuff and to annoy me or tempt me, my friends go "mmmmm, this chocolate cake/pizza/unhealthy food you can't have and never will, is so good. It's sweet and tastes delicious!" This doesn't seem to bad but they do it all the time and I adore food to the point that if you asked me my top 5 things in life I would say
Food
Gymnastics
Cats
Video games
Friends.
anyway, these hints really annoy me and I would like some suggestions for dealing or solving these issues</t>
        </is>
      </c>
      <c r="D1894" t="n">
        <v>9</v>
      </c>
      <c r="E1894" t="n">
        <v>24</v>
      </c>
      <c r="F1894">
        <f>HYPERLINK("https://www.reddit.com/r/diabetes/comments/4dj6al/diabetes_in_school/")</f>
        <v/>
      </c>
      <c r="G1894" t="inlineStr">
        <is>
          <t>2016-04-05 16:39:39</t>
        </is>
      </c>
      <c r="H1894" t="inlineStr">
        <is>
          <t>Type 1</t>
        </is>
      </c>
    </row>
    <row r="1895">
      <c r="A1895" t="inlineStr">
        <is>
          <t>4dkwjf</t>
        </is>
      </c>
      <c r="B1895" t="inlineStr">
        <is>
          <t>Mid Morning Highs</t>
        </is>
      </c>
      <c r="C1895" t="inlineStr">
        <is>
          <t>Hi all, looking for a bit of insight. My blood sugar goes high *every* morning hen I'm at work at around 930. It's driving me insane. Goes up to about 18.0 - 26.0 (UK figures). My routine varies quite a bit, sometimes I drive into work, sometimes I do a 40 minute cycle into work, sometimes I go to the gym before work. Sometimes I eat breakfast at home sometimes at work. Sometimes I have a big bowl of cereal sometimes just a grapefruit. However regardless of changes in all the variables I seem to end up high at 930 everyday! I inject anything between 5-12 units depending on what I've had for breakfast. 
Am i missing something?</t>
        </is>
      </c>
      <c r="D1895" t="n">
        <v>7</v>
      </c>
      <c r="E1895" t="n">
        <v>20</v>
      </c>
      <c r="F1895">
        <f>HYPERLINK("https://www.reddit.com/r/diabetes/comments/4dkwjf/mid_morning_highs/")</f>
        <v/>
      </c>
      <c r="G1895" t="inlineStr">
        <is>
          <t>2016-04-06 01:33:27</t>
        </is>
      </c>
      <c r="H1895" t="inlineStr">
        <is>
          <t>Type 1</t>
        </is>
      </c>
    </row>
    <row r="1896">
      <c r="A1896" t="inlineStr">
        <is>
          <t>4dlap4</t>
        </is>
      </c>
      <c r="B1896" t="inlineStr">
        <is>
          <t>Sugar high after exercise?</t>
        </is>
      </c>
      <c r="C1896" t="inlineStr">
        <is>
          <t>Basically I'm type 2 so my doc told me to exercise. I've been trying this at home resistance-style training program (push-ups, lunges, sit-ups, tricep dips that kind of stuff) that runs in a circuit but every time I do it after I am like 130... And this is in the morning before I've eaten and my fasting is normally in the 80s or 90s. What am I doing wrong? Why is my glucose jumping up from exercise? Am I supposed to be doing just cardio or something...</t>
        </is>
      </c>
      <c r="D1896" t="n">
        <v>2</v>
      </c>
      <c r="E1896" t="n">
        <v>15</v>
      </c>
      <c r="F1896">
        <f>HYPERLINK("https://www.reddit.com/r/diabetes/comments/4dlap4/sugar_high_after_exercise/")</f>
        <v/>
      </c>
      <c r="G1896" t="inlineStr">
        <is>
          <t>2016-04-06 04:15:30</t>
        </is>
      </c>
      <c r="H1896" t="inlineStr">
        <is>
          <t>Type 2</t>
        </is>
      </c>
    </row>
    <row r="1897">
      <c r="A1897" t="inlineStr">
        <is>
          <t>4dm4z9</t>
        </is>
      </c>
      <c r="B1897" t="inlineStr">
        <is>
          <t>How do you guys feel about Statins - even if your cholesterol numbers are fine?</t>
        </is>
      </c>
      <c r="C1897" t="inlineStr">
        <is>
          <t>I saw a new doc yesterday and he said that he believes that even if your cholesterol levels are fine, which mine are, he recommends being on a statin due to increased chances of heart disease for diabetics.
I'm going in next week for a few more tests, so I haven't got a prescription for it yet, but it made me wonder on my drive back home: Isn't this the reason I'm working hard by dieting and exercising, so that I don't have to depend on more drugs to maintain my health?
I would like to be on as little medicine as possible, but it seems this doc is heavy on meds for "prevention". He said the same thing about a low dose high blood pressure pill; he said it would be to help protect my kidneys (even though my BP is normal). I told him I'm concerned that I would have episodes of low blood pressure, but he said it's a tiny amount (5mg).
Besides that, I liked that he brought up the fact that he wasn't sure I'm a type II and wants me to do a C-Peptide and GAD tests to make sure; he just came across as a very trigger happy doc for pills, which kind of put me off.</t>
        </is>
      </c>
      <c r="D1897" t="n">
        <v>4</v>
      </c>
      <c r="E1897" t="n">
        <v>12</v>
      </c>
      <c r="F1897">
        <f>HYPERLINK("https://www.reddit.com/r/diabetes/comments/4dm4z9/how_do_you_guys_feel_about_statins_even_if_your/")</f>
        <v/>
      </c>
      <c r="G1897" t="inlineStr">
        <is>
          <t>2016-04-06 08:08:00</t>
        </is>
      </c>
      <c r="H1897" t="inlineStr">
        <is>
          <t>Type 2</t>
        </is>
      </c>
    </row>
    <row r="1898">
      <c r="A1898" t="inlineStr">
        <is>
          <t>4dm9zj</t>
        </is>
      </c>
      <c r="B1898" t="inlineStr">
        <is>
          <t>Lantus Twice! oops</t>
        </is>
      </c>
      <c r="C1898" t="inlineStr">
        <is>
          <t>Hey guys,
So this morning I woke up a little earlier than usual and grabbed some water, did my lantus dose (19 units) and hopped back in bed. Well, I woke up bright and early for class this morning and (in a morning haze) managed to accidentally dose again. 
Does anybody have any suggestions on how I should handle this? Any snacks/drinks that you might recommend to keep my blood sugar normalized? 
Any advice would be great</t>
        </is>
      </c>
      <c r="D1898" t="n">
        <v>12</v>
      </c>
      <c r="E1898" t="n">
        <v>11</v>
      </c>
      <c r="F1898">
        <f>HYPERLINK("https://www.reddit.com/r/diabetes/comments/4dm9zj/lantus_twice_oops/")</f>
        <v/>
      </c>
      <c r="G1898" t="inlineStr">
        <is>
          <t>2016-04-06 08:38:35</t>
        </is>
      </c>
      <c r="H1898" t="inlineStr">
        <is>
          <t>Type 1</t>
        </is>
      </c>
    </row>
    <row r="1899">
      <c r="A1899" t="inlineStr">
        <is>
          <t>4dp0yh</t>
        </is>
      </c>
      <c r="B1899" t="inlineStr">
        <is>
          <t>Low 20</t>
        </is>
      </c>
      <c r="C1899" t="inlineStr">
        <is>
          <t>Well so this past Saturday I was at a friends house. We were hanging out and playing some Minecraft, when I felt a low coming on so I grabbed some glucose tabs and started eating a few. Then I woke up in the ER with a low of 20. They asked me a few simple questions that I didn't even know the answer to. Simple questions like my name and what the date was. I have not had a low so bad yet, that my friend had to call me an ambulance. He didn't know the passcode to my phone, so he had to go through Facebook and contact a bunch of my family members just to get a hold of someone to let them know I was in the hospital. 
I have never been this scared or anxious in my entire life. Not knowing what was going on or able to differentiate the most simple of things. I know diabetes isn't a death sentence but does it ever stop feeling like one?</t>
        </is>
      </c>
      <c r="D1899" t="n">
        <v>7</v>
      </c>
      <c r="E1899" t="n">
        <v>14</v>
      </c>
      <c r="F1899">
        <f>HYPERLINK("https://www.reddit.com/r/diabetes/comments/4dp0yh/low_20/")</f>
        <v/>
      </c>
      <c r="G1899" t="inlineStr">
        <is>
          <t>2016-04-06 19:06:49</t>
        </is>
      </c>
      <c r="H1899" t="inlineStr">
        <is>
          <t>Type 1</t>
        </is>
      </c>
    </row>
    <row r="1900">
      <c r="A1900" t="inlineStr">
        <is>
          <t>4due9c</t>
        </is>
      </c>
      <c r="B1900" t="inlineStr">
        <is>
          <t>*sigh......</t>
        </is>
      </c>
      <c r="C1900" t="inlineStr">
        <is>
          <t xml:space="preserve">So, generally my diabetes doesnt really bother me. Its a blessing, helped me get my life in order and I am now healthier than ever. I have sort of a specific diet and customarily eat things that are pretty easy for me to get hold of. Today I figured that it might be a great idea to stop in a bar and grab a quick bite to eat before the long walk home and I looked at the menu and then shed a tear and just left. *sigh I hate life sometimes. </t>
        </is>
      </c>
      <c r="D1900" t="n">
        <v>4</v>
      </c>
      <c r="E1900" t="n">
        <v>11</v>
      </c>
      <c r="F1900">
        <f>HYPERLINK("https://www.reddit.com/r/diabetes/comments/4due9c/sigh/")</f>
        <v/>
      </c>
      <c r="G1900" t="inlineStr">
        <is>
          <t>2016-04-07 19:06:45</t>
        </is>
      </c>
      <c r="H1900" t="inlineStr">
        <is>
          <t>Type 2</t>
        </is>
      </c>
    </row>
    <row r="1901">
      <c r="A1901" t="inlineStr">
        <is>
          <t>4dxqse</t>
        </is>
      </c>
      <c r="B1901" t="inlineStr">
        <is>
          <t>[TV] 13.4 to 7.0 in 2 months</t>
        </is>
      </c>
      <c r="C1901" t="inlineStr">
        <is>
          <t>Do you guys post Test Victories in here?
Just a small celebration. DX in late January after a horrible month. 425 BG and 13.4 A1c. My triglycerides also dropped from double the max to perfectly normal.
On diagnosis, I immediately adopted what I call "keto lite" (goal 50g max/day) but I refuse to beat myself up if I cheat. I get a bit hypo almost daily (50s), but I chew a few glucose tabs to recover evenly. I lost 35 lbs and 6 inches off my waist when I got sick, but with lazy keto I still haven't put even a pound back after getting back to normal. My eyes were pretty screwed up for a month, but they're back to normal now.
For breakfast I replaced about 100g of carbs in cereal with a 25g breakfast sandwich and some extra bacon. I still get my favorite subs for lunch, but without the bread. I cook chicken breast and broccoli almost every night for dinner and have a couple spoonfuls of ice cream (instead of half a pint!) for dessert.
For snacks, I replaced sugary soda with lemon water and Coke Zero. I replaced potato chips and doritos with cheese sticks and Jack Links.
As for meds, I was on Glipizide for a week then combo Glipizide/Metformin for 7 weeks. After reading about the risks of Glipizide for patients with Coronary Artery Disease (not me), I (update: almost) switched to combo Januvia/Metformin today (but not for $100/mo).
I know that if I had waited the full three months for the A1c I could have turned up a 6 or maybe even a 5. I am proof that anyone can do it. If you want to know more, just ask.</t>
        </is>
      </c>
      <c r="D1901" t="n">
        <v>15</v>
      </c>
      <c r="E1901" t="n">
        <v>17</v>
      </c>
      <c r="F1901">
        <f>HYPERLINK("https://www.reddit.com/r/diabetes/comments/4dxqse/tv_134_to_70_in_2_months/")</f>
        <v/>
      </c>
      <c r="G1901" t="inlineStr">
        <is>
          <t>2016-04-08 11:33:28</t>
        </is>
      </c>
      <c r="H1901" t="inlineStr">
        <is>
          <t>Type 2</t>
        </is>
      </c>
    </row>
    <row r="1902">
      <c r="A1902" t="inlineStr">
        <is>
          <t>4dz095</t>
        </is>
      </c>
      <c r="B1902" t="inlineStr">
        <is>
          <t>Diabetes and working in manufacturing</t>
        </is>
      </c>
      <c r="C1902" t="inlineStr">
        <is>
          <t xml:space="preserve">Hi everyone! I was recently diagnosed with T1D, it's been about 7-8 months. I have also recently graduated from college and taken up a job as a production supervisor. We work rotating shifts/and sometimes weekends too, and sometimes have a hard time managing everything.  I was wondering if there's others out there working in manufacturing environment, and how are they managing it! Any words of wisdom would be great! </t>
        </is>
      </c>
      <c r="D1902" t="n">
        <v>1</v>
      </c>
      <c r="E1902" t="n">
        <v>4</v>
      </c>
      <c r="F1902">
        <f>HYPERLINK("https://www.reddit.com/r/diabetes/comments/4dz095/diabetes_and_working_in_manufacturing/")</f>
        <v/>
      </c>
      <c r="G1902" t="inlineStr">
        <is>
          <t>2016-04-08 16:30:48</t>
        </is>
      </c>
      <c r="H1902" t="inlineStr">
        <is>
          <t>Type 1</t>
        </is>
      </c>
    </row>
    <row r="1903">
      <c r="A1903" t="inlineStr">
        <is>
          <t>4e4851</t>
        </is>
      </c>
      <c r="B1903" t="inlineStr">
        <is>
          <t>Are there any tricks to make my Medtronic minilink sensor last longer? What tape do you guys use?</t>
        </is>
      </c>
      <c r="C1903" t="inlineStr">
        <is>
          <t>&amp;lt;3&amp;lt;3</t>
        </is>
      </c>
      <c r="D1903" t="n">
        <v>5</v>
      </c>
      <c r="E1903" t="n">
        <v>3</v>
      </c>
      <c r="F1903">
        <f>HYPERLINK("https://www.reddit.com/r/diabetes/comments/4e4851/are_there_any_tricks_to_make_my_medtronic/")</f>
        <v/>
      </c>
      <c r="G1903" t="inlineStr">
        <is>
          <t>2016-04-09 19:34:20</t>
        </is>
      </c>
      <c r="H1903" t="inlineStr">
        <is>
          <t>Type 1</t>
        </is>
      </c>
    </row>
    <row r="1904">
      <c r="A1904" t="inlineStr">
        <is>
          <t>4e6xop</t>
        </is>
      </c>
      <c r="B1904" t="inlineStr">
        <is>
          <t>Pregnant wife recently diagnosed T2, could use some words of advice!</t>
        </is>
      </c>
      <c r="C1904" t="inlineStr">
        <is>
          <t>My wife was diagnosed March 25, and she also happens to be pregnant (note, this is not gestational diabetes, according to the doctor). The dietitian gave us a pretty stringent plan that we've been working really hard to stick by. She has to have enough carbs a day for the baby's development, but obviously her sugar can't be too high either. This has been exhausting.
Has anyone been in this position? Any words of advice?
I hate to even ask the question, but how realistic is it to hope we can reverse this with diet/exercise? I've been keeping a very close eye on her blood sugar with the mySugr app. I even keep track on an excel doc to watch the [trend line](http://imgur.com/eczHuyb) go down. I'm of course worried about my wife, but also terrified for our baby.</t>
        </is>
      </c>
      <c r="D1904" t="n">
        <v>10</v>
      </c>
      <c r="E1904" t="n">
        <v>19</v>
      </c>
      <c r="F1904">
        <f>HYPERLINK("https://www.reddit.com/r/diabetes/comments/4e6xop/pregnant_wife_recently_diagnosed_t2_could_use/")</f>
        <v/>
      </c>
      <c r="G1904" t="inlineStr">
        <is>
          <t>2016-04-10 11:31:20</t>
        </is>
      </c>
      <c r="H1904" t="inlineStr">
        <is>
          <t>Type 2</t>
        </is>
      </c>
    </row>
    <row r="1905">
      <c r="A1905" t="inlineStr">
        <is>
          <t>4e788u</t>
        </is>
      </c>
      <c r="B1905" t="inlineStr">
        <is>
          <t>Any experience with xanax and T1D?</t>
        </is>
      </c>
      <c r="C1905" t="inlineStr">
        <is>
          <t>Throwaway for privacy reasons.
I'm in my early 20s, having a rocky time in my current life situation. Worries are keeping my awake for hours and nightmares and uneasiness wake me up in the middle of the night, so my nights are very counterproductive to my daily routine.
My doctor prescribed me what seems to be antidepressants, a variant of Xanax. I'm a little worried about consuming it. Part of it is not wanting to get addicted, another part is that my glucose levels are not perfectly balanced and I'm worried that I wouldn't be able to wake up instinctively (or even when my CGM's alarm will go off) if I'd take the pill.
Keep in mind that this has been prescribed by my physician, he's obviously aware of my T1D but he still gave me that. I'll run it by my specialist diabetes doctor, but I wanted to hear some opinions, stories and thoughts from fellow diabetics who happened to take this drug before.
Thanks and best regards to you all.
**EDIT:** The drug is specifically named "Alpralid", unbranded name is "Alprazolam", 0.5mg.</t>
        </is>
      </c>
      <c r="D1905" t="n">
        <v>6</v>
      </c>
      <c r="E1905" t="n">
        <v>9</v>
      </c>
      <c r="F1905">
        <f>HYPERLINK("https://www.reddit.com/r/diabetes/comments/4e788u/any_experience_with_xanax_and_t1d/")</f>
        <v/>
      </c>
      <c r="G1905" t="inlineStr">
        <is>
          <t>2016-04-10 12:38:53</t>
        </is>
      </c>
      <c r="H1905" t="inlineStr">
        <is>
          <t>Type 1</t>
        </is>
      </c>
    </row>
    <row r="1906">
      <c r="A1906" t="inlineStr">
        <is>
          <t>4e9ii9</t>
        </is>
      </c>
      <c r="B1906" t="inlineStr">
        <is>
          <t>Traveling w/diabatic, issues so far</t>
        </is>
      </c>
      <c r="C1906" t="inlineStr">
        <is>
          <t>Hi,
Traveling with my wife's sister who is a type 1 diabetic. Something has happened with her treatment where she is passing out in the morning.
She seems fine during the day, walking, talking, doing her shots, eating. At night she eats dinner, but then when she goes to bed, she basically passes out. This has happened at least 5 of the 7 days we've been out in Europe.
My wife says this has happened every now and then, but this frequency is scary, and NOT normal. We even had to give her an emergency shot thing when the jelly/jam trick wasn't working.
My sister's wife thinks it might be her insulin level, being to high? But it seems she is a bit lost as well.
1. We're walking 5 - 7 miles a day which is new to her.
2. Her diet has changed, more carbs.
3. We've traveled and we're with my kids (2.5, 5m) so that can add stress
The thing is, she's great during the day, but basically passes out at night...really could use some help.
Yes, we're seeing a doctor when we get to Copenhagen in a day.
Thanks!</t>
        </is>
      </c>
      <c r="D1906" t="n">
        <v>3</v>
      </c>
      <c r="E1906" t="n">
        <v>25</v>
      </c>
      <c r="F1906">
        <f>HYPERLINK("https://www.reddit.com/r/diabetes/comments/4e9ii9/traveling_wdiabatic_issues_so_far/")</f>
        <v/>
      </c>
      <c r="G1906" t="inlineStr">
        <is>
          <t>2016-04-10 23:07:33</t>
        </is>
      </c>
      <c r="H1906" t="inlineStr">
        <is>
          <t>Type 1</t>
        </is>
      </c>
    </row>
    <row r="1907">
      <c r="A1907" t="inlineStr">
        <is>
          <t>4eb80j</t>
        </is>
      </c>
      <c r="B1907" t="inlineStr">
        <is>
          <t>OmniPod placement</t>
        </is>
      </c>
      <c r="C1907" t="inlineStr">
        <is>
          <t>Got my omnipod last week and have a question about placement. My first two pods were on my arm, which I had no trouble with, other than a little soreness. When I changed it last night I put it on my lower back and it was awful; I could lean back or bend over with pain (it felt like a tugging). Did I do something wrong? I placed it to the right of my spine, one inch above my waistband. Could it have been too high, since my pants are high waisted? I'm concerned about using my stomach since I am on the chunky side.  If no other place is comfortable, can I just alternate between arms? I'm really bummed about this since I also have a Dexcom that I fear I'll have the same problem with. Any suggestions? Thanks so much for any input!</t>
        </is>
      </c>
      <c r="D1907" t="n">
        <v>2</v>
      </c>
      <c r="E1907" t="n">
        <v>6</v>
      </c>
      <c r="F1907">
        <f>HYPERLINK("https://www.reddit.com/r/diabetes/comments/4eb80j/omnipod_placement/")</f>
        <v/>
      </c>
      <c r="G1907" t="inlineStr">
        <is>
          <t>2016-04-11 08:37:17</t>
        </is>
      </c>
      <c r="H1907" t="inlineStr">
        <is>
          <t>Type 1</t>
        </is>
      </c>
    </row>
    <row r="1908">
      <c r="A1908" t="inlineStr">
        <is>
          <t>4ec0f1</t>
        </is>
      </c>
      <c r="B1908" t="inlineStr">
        <is>
          <t>T1: Need a little help getting my head around insulin amounts</t>
        </is>
      </c>
      <c r="C1908" t="inlineStr">
        <is>
          <t>Hi all, I'm a 38 year old T1 (since '91) who has recently been to the doctors after years of up and down sugars. So, a pump has been put forward but I need to learn to carb count as I've never done it.
What I'm struggling with is finding my balance. So for instance, I had 60g of carbs for lunch today, and 14 units of novorapid. Blood sugar was 4.6 at the time. That went to 7.4, but before evening meal has crashed back to 4. Why, hours later has it continued to drop?
My long acting is Lantus, 40 units which I take around 8PM. I'm using MySugr to track food, doses and blood results.
Any tips would be appreciated as I'm not sure which bit to alter now and I'm struggling to see a patten. Heres a quick snapshot of the past few days:
http://imgur.com/2ZsglDA</t>
        </is>
      </c>
      <c r="D1908" t="n">
        <v>7</v>
      </c>
      <c r="E1908" t="n">
        <v>13</v>
      </c>
      <c r="F1908">
        <f>HYPERLINK("https://www.reddit.com/r/diabetes/comments/4ec0f1/t1_need_a_little_help_getting_my_head_around/")</f>
        <v/>
      </c>
      <c r="G1908" t="inlineStr">
        <is>
          <t>2016-04-11 11:24:07</t>
        </is>
      </c>
      <c r="H1908" t="inlineStr">
        <is>
          <t>Type 1</t>
        </is>
      </c>
    </row>
    <row r="1909">
      <c r="A1909" t="inlineStr">
        <is>
          <t>4edfxr</t>
        </is>
      </c>
      <c r="B1909" t="inlineStr">
        <is>
          <t>A1C 4.9</t>
        </is>
      </c>
      <c r="C1909" t="inlineStr">
        <is>
          <t>Down from 12.5 at diagnosis in January. Woo!</t>
        </is>
      </c>
      <c r="D1909" t="n">
        <v>16</v>
      </c>
      <c r="E1909" t="n">
        <v>19</v>
      </c>
      <c r="F1909">
        <f>HYPERLINK("https://www.reddit.com/r/diabetes/comments/4edfxr/a1c_49/")</f>
        <v/>
      </c>
      <c r="G1909" t="inlineStr">
        <is>
          <t>2016-04-11 16:37:05</t>
        </is>
      </c>
      <c r="H1909" t="inlineStr">
        <is>
          <t>Type 1</t>
        </is>
      </c>
    </row>
    <row r="1910">
      <c r="A1910" t="inlineStr">
        <is>
          <t>4edykc</t>
        </is>
      </c>
      <c r="B1910" t="inlineStr">
        <is>
          <t>Competitive sparring (TKD) for child with T1D</t>
        </is>
      </c>
      <c r="C1910" t="inlineStr">
        <is>
          <t>Can child diagnosed with T1D continue competitive sparring (TaeKwonDo)? 
PRACTICE: 
How handled typical sparring sparing practice?
CGM: How used CGM sensor while sparring? break/injury if kicked? thinking of Dexcom G5
Also any advice on competition days...  long waits... adrenaline... 
Thanks</t>
        </is>
      </c>
      <c r="D1910" t="n">
        <v>2</v>
      </c>
      <c r="E1910" t="n">
        <v>0</v>
      </c>
      <c r="F1910">
        <f>HYPERLINK("https://www.reddit.com/r/diabetes/comments/4edykc/competitive_sparring_tkd_for_child_with_t1d/")</f>
        <v/>
      </c>
      <c r="G1910" t="inlineStr">
        <is>
          <t>2016-04-11 18:46:35</t>
        </is>
      </c>
      <c r="H1910" t="inlineStr">
        <is>
          <t>Type 1</t>
        </is>
      </c>
    </row>
    <row r="1911">
      <c r="A1911" t="inlineStr">
        <is>
          <t>4efu5g</t>
        </is>
      </c>
      <c r="B1911" t="inlineStr">
        <is>
          <t>Going from Lantus to NovaMix 30</t>
        </is>
      </c>
      <c r="C1911" t="inlineStr">
        <is>
          <t>From tomorrow I'm going to switch my Lantus with NovaMix 30. So far I haven't read anything good about the NovaMix.
Does anybody have experience with it and is it really that bad? I just want to know what to expect.
I'm starting of with 20 units in the morning and 10 at night</t>
        </is>
      </c>
      <c r="D1911" t="n">
        <v>2</v>
      </c>
      <c r="E1911" t="n">
        <v>1</v>
      </c>
      <c r="F1911">
        <f>HYPERLINK("https://www.reddit.com/r/diabetes/comments/4efu5g/going_from_lantus_to_novamix_30/")</f>
        <v/>
      </c>
      <c r="G1911" t="inlineStr">
        <is>
          <t>2016-04-12 05:24:59</t>
        </is>
      </c>
      <c r="H1911" t="inlineStr">
        <is>
          <t>Type 2</t>
        </is>
      </c>
    </row>
    <row r="1912">
      <c r="A1912" t="inlineStr">
        <is>
          <t>4eg6mx</t>
        </is>
      </c>
      <c r="B1912" t="inlineStr">
        <is>
          <t>My Personal A1C Challenge</t>
        </is>
      </c>
      <c r="C1912" t="inlineStr">
        <is>
          <t>Hey Guys -
After having T1 for over 30 years and never having an A1C lower than 9... I have to challenge myself to get it under 8 over the next couple of months. I am going for a job that requires my A1C to be under 8 and will be disqualified if I test over 8 that day.
This is going to be hard for me, but I know I can do it. So many of you have, and it serves as inspiration for me. This Job means the world to me as it is my last chance to get a government job with excellent benefits for me and my family. If I screw this up, I will never forgive myself.
I know I will not get many replies but I am going to try and return often and update my progress in this post.
My last A1C was 9.8 on March 1,2016 - not good.
If any of you can share your tips to get my A1C down fast and keep it down for life, I would love to read them. Also - any good recipes that are low carb and high in protein that are some of your favorites to eat?
Thanks all</t>
        </is>
      </c>
      <c r="D1912" t="n">
        <v>7</v>
      </c>
      <c r="E1912" t="n">
        <v>24</v>
      </c>
      <c r="F1912">
        <f>HYPERLINK("https://www.reddit.com/r/diabetes/comments/4eg6mx/my_personal_a1c_challenge/")</f>
        <v/>
      </c>
      <c r="G1912" t="inlineStr">
        <is>
          <t>2016-04-12 06:55:19</t>
        </is>
      </c>
      <c r="H1912" t="inlineStr">
        <is>
          <t>Type 1</t>
        </is>
      </c>
    </row>
    <row r="1913">
      <c r="A1913" t="inlineStr">
        <is>
          <t>4egfpw</t>
        </is>
      </c>
      <c r="B1913" t="inlineStr">
        <is>
          <t>Morning/Fasting highs T1</t>
        </is>
      </c>
      <c r="C1913" t="inlineStr">
        <is>
          <t>I was diagnosed type 1 at the age of 32 last year in March. Currently I am only on Metformin and my blood sugar in the day (if I eat correctly) are fine &amp;lt;130 all the time. However my morning blood sugar has been around 150 lately. 
is there anything I can do about this? 
thanks!</t>
        </is>
      </c>
      <c r="D1913" t="n">
        <v>2</v>
      </c>
      <c r="E1913" t="n">
        <v>10</v>
      </c>
      <c r="F1913">
        <f>HYPERLINK("https://www.reddit.com/r/diabetes/comments/4egfpw/morningfasting_highs_t1/")</f>
        <v/>
      </c>
      <c r="G1913" t="inlineStr">
        <is>
          <t>2016-04-12 07:53:47</t>
        </is>
      </c>
      <c r="H1913" t="inlineStr">
        <is>
          <t>Type 1</t>
        </is>
      </c>
    </row>
    <row r="1914">
      <c r="A1914" t="inlineStr">
        <is>
          <t>4eh9e6</t>
        </is>
      </c>
      <c r="B1914" t="inlineStr">
        <is>
          <t>Low blood sugar procedure in hospital. No bueno!</t>
        </is>
      </c>
      <c r="C1914" t="inlineStr">
        <is>
          <t>I am 27 weeks pregnant and had to spend two days in the hospital to get my fluids back up after a bad virus. I'm fine now, thanks. I have been keeping my blood sugar in great control and had no clue what was to come when they tested my blood at 4:00 and it registered at 67.  The nurse told me in a worried voice like something had to be done immediately.  I asked for a juice but they apparently have a procedure they must follow for low blood sugar.  They squeezed two huge tubes of glucose into the IV.  It was freezing cold and not fun at all.  They also couldn't give me a count on how much sugar exactly it was pushing back into my system.  For someone whose blood sugar sits at 70 I was not looking forward to the sugar shock of 200+ numbers!  I'm not bitching about the hospital, the staff was amazing, just bitching about the experience, really.  So crazy! The next day a different nurse let me chug four cans of juice to raise my blood sugar after I begged to avoid the dreaded sugar tubes again!</t>
        </is>
      </c>
      <c r="D1914" t="n">
        <v>13</v>
      </c>
      <c r="E1914" t="n">
        <v>18</v>
      </c>
      <c r="F1914">
        <f>HYPERLINK("https://www.reddit.com/r/diabetes/comments/4eh9e6/low_blood_sugar_procedure_in_hospital_no_bueno/")</f>
        <v/>
      </c>
      <c r="G1914" t="inlineStr">
        <is>
          <t>2016-04-12 10:50:07</t>
        </is>
      </c>
      <c r="H1914" t="inlineStr">
        <is>
          <t>Type 1</t>
        </is>
      </c>
    </row>
    <row r="1915">
      <c r="A1915" t="inlineStr">
        <is>
          <t>4ek7s5</t>
        </is>
      </c>
      <c r="B1915" t="inlineStr">
        <is>
          <t>DanActive Yogurt - Any experiences? Might have caused me a hypo.</t>
        </is>
      </c>
      <c r="C1915" t="inlineStr">
        <is>
          <t xml:space="preserve">Hello everyone!  
About 6 years ago I had my first and only hypo which happened because I couldn't feel my lows anymore. It happened suddenly and went away just as fast. One day I could feel my lows and the next day I couldn't. It happened to coincide with the again, first and only time I was drinking [these DanActive yogurts](http://i.imgur.com/maUsLk2.jpg).  
Was just curious if anybody else has experienced suddenly losing their ability to feel their lows and maybe they have their own insight to provide. I love yogurt and it may very well be misplaced suspicion. </t>
        </is>
      </c>
      <c r="D1915" t="n">
        <v>0</v>
      </c>
      <c r="E1915" t="n">
        <v>8</v>
      </c>
      <c r="F1915">
        <f>HYPERLINK("https://www.reddit.com/r/diabetes/comments/4ek7s5/danactive_yogurt_any_experiences_might_have/")</f>
        <v/>
      </c>
      <c r="G1915" t="inlineStr">
        <is>
          <t>2016-04-12 22:37:15</t>
        </is>
      </c>
      <c r="H1915" t="inlineStr">
        <is>
          <t>Type 1</t>
        </is>
      </c>
    </row>
    <row r="1916">
      <c r="A1916" t="inlineStr">
        <is>
          <t>4enqmu</t>
        </is>
      </c>
      <c r="B1916" t="inlineStr">
        <is>
          <t>Lipos are no joke!</t>
        </is>
      </c>
      <c r="C1916" t="inlineStr">
        <is>
          <t xml:space="preserve">Hi all, 
Some explanation before I get started: for those that don't know, a lipo is when you inject insulin but it isn't absorbed by your body because of a number of possible reasons. With a pen you can simply inject in a different spot, but with a pump you need to insert a new infusion which isn't always an easy thing to do (I was at school in this case) 
The day started out fine, woke up with 4.8 and had my usual breakfast. When I measured my BG two hours later it was at 13.7. No big deal, just bolus a bit and wait it out. My BG quickly rised to 16.7 at lunchtime and 20.5 just an hour later. After a lot of aggressive bolussing, I got it down to 13.8 by 4:30 and decided to go home for the day. At home my BG was 3.4! I didn't bolus for dinner and still ended up at 2.2 two hours later. 
Fast forward four hours of measuring every 15 minutes and eating/drinking constantly while floating between 2.0 and 7.0 all the time (might I add I didn't have any insulin since my 4:30 bolus and even turned off the basal rate before dinner). 
I think I've drank a good two liters of apple juice, ate two bananas, five sandwiches, had dinner, ate 7 granola bars and threw up twice in the past four hours. 
The lesson learned: don't ignore a lipo and definitely don't let it grow like I did (I think it had about 50 units of rapid acting insulin in it), those fuckers pack a punch when they finally start releasing again!
TL;DR: don't ignore lipos or you'll fear for your life for the rest of the day
EDIT: [here are my values for the day](http://imgur.com/a/FqKis) </t>
        </is>
      </c>
      <c r="D1916" t="n">
        <v>9</v>
      </c>
      <c r="E1916" t="n">
        <v>16</v>
      </c>
      <c r="F1916">
        <f>HYPERLINK("https://www.reddit.com/r/diabetes/comments/4enqmu/lipos_are_no_joke/")</f>
        <v/>
      </c>
      <c r="G1916" t="inlineStr">
        <is>
          <t>2016-04-13 14:12:24</t>
        </is>
      </c>
      <c r="H1916" t="inlineStr">
        <is>
          <t>Type 1</t>
        </is>
      </c>
    </row>
    <row r="1917">
      <c r="A1917" t="inlineStr">
        <is>
          <t>4eoh2z</t>
        </is>
      </c>
      <c r="B1917" t="inlineStr">
        <is>
          <t>Type 1 - Back again, slow going, but still good.</t>
        </is>
      </c>
      <c r="C1917" t="inlineStr">
        <is>
          <t>Howdy friends, it's me again, your local young-adult long term T1 burnout turn reformed good-kid.  
I had my 3 month follow up with my endo today. My A1C is down to 8.4 (January it was at 8.6). Not a dramatic improvement- but still progress from the insane numbers I've had in my messy past.  
It's no excuse- but I did start a new job that has a very food-centric office culture- so sticking to low carb has been very hard for me to discipline myself to- however not losing all control and going UP in numbers I count as a success.  
Looking at the trends it looks like my overnight basal rate needs to be adjusted, so my endo and I agreed that I need to do some overnight readings to key in on what's happening there and hopefully zone in on what's happening.</t>
        </is>
      </c>
      <c r="D1917" t="n">
        <v>2</v>
      </c>
      <c r="E1917" t="n">
        <v>2</v>
      </c>
      <c r="F1917">
        <f>HYPERLINK("https://www.reddit.com/r/diabetes/comments/4eoh2z/type_1_back_again_slow_going_but_still_good/")</f>
        <v/>
      </c>
      <c r="G1917" t="inlineStr">
        <is>
          <t>2016-04-13 17:02:26</t>
        </is>
      </c>
      <c r="H1917" t="inlineStr">
        <is>
          <t>Type 1</t>
        </is>
      </c>
    </row>
    <row r="1918">
      <c r="A1918" t="inlineStr">
        <is>
          <t>4equvx</t>
        </is>
      </c>
      <c r="B1918" t="inlineStr">
        <is>
          <t>I'm pretty confused</t>
        </is>
      </c>
      <c r="C1918" t="inlineStr">
        <is>
          <t>Well, I'm a Type 2 diabetic. Was diagnosed in August and went from 11.6 to 7.3 with pills. I was told that it would be extremely difficult to have kids, but I guess Metformin made my ovaries kick in so boyfriend and I had a pleasant surprise in February.
That aside, I was given the A1c test shortly after my 7.3 results. I knew it wouldn't change much, dropped to 7.1. Still, the doctors called me back to have me come in ASAP. They had done a lot of blood work, I thought there might have been something else wrong because they knew I was diabetic. Nope, just my A1C results, and they went on and on about high numbers being bad for the baby and at the time I had already changed my diet and started checking my sugars four times a day as soon as I found out. So I just let them lecture me and hoped they had something else to say, they didn't and told me to get my numbers to 5.6.
So, it's been about a month and a half since then. My Endo did my two week A1C average yesterday. It went from 6.6 to 5.9 and he said that was bad. Of course my mouth dropped because I was working hard for those numbers. On occasions I did hypo because any physical activity will spike me and then make me go low, towards the sixties. He changed my insulin dosage and had me see a nutritionist who actually did help me with a carb guideline, something I didn't have before.
I changed my dose yesterday and it's showing in the numbers. I ate less than the 45-50 dinner requirement, and my reading was 136. My fasting was still good at 79..but now I'm scared that I will continuously run high.
I have never heard of A1C dropping too fast and was wondering if any of you had a similar experience. I only Hypo maybe two times in 14 days, and I feel like I'd rather take an occasional Hypo than having moderately high numbers after each meal.
I love my Endo, but I'm just scared for baby and paranoid.</t>
        </is>
      </c>
      <c r="D1918" t="n">
        <v>6</v>
      </c>
      <c r="E1918" t="n">
        <v>13</v>
      </c>
      <c r="F1918">
        <f>HYPERLINK("https://www.reddit.com/r/diabetes/comments/4equvx/im_pretty_confused/")</f>
        <v/>
      </c>
      <c r="G1918" t="inlineStr">
        <is>
          <t>2016-04-14 05:18:46</t>
        </is>
      </c>
      <c r="H1918" t="inlineStr">
        <is>
          <t>Type 2</t>
        </is>
      </c>
    </row>
    <row r="1919">
      <c r="A1919" t="inlineStr">
        <is>
          <t>4erfyw</t>
        </is>
      </c>
      <c r="B1919" t="inlineStr">
        <is>
          <t>Good books for education about type 1?</t>
        </is>
      </c>
      <c r="C1919" t="inlineStr">
        <is>
          <t xml:space="preserve">This post is a little long, I just want to make sure my needs and request are understood so I can find an appropriate resource for what I need him to know.  TL;DR: Books on basics of T1?
A little back gound: I have been type 1 for 17 years, (diagnosed age 10). My husband and I have been married for 3 years, but the majority of our relationship has been long distance due to the military. For the first time we finally get to live together, which is great, but the move has brought to light a few issues that I didn't expect to run into.
Because of our long distance he hasn't really had to concern himself with my T1 and the intensity it can bring to everyday life. Being that he's my husband and the only person I'm living with I feel like it's pretty damned important that he does understand, both for my safety and comfort. Fortunately I've never been in a situation where I haven't been able to help myself but there have been close calls he hasn't experienced with me.
To my point though. When I was diagnosed, my parents were given a 3 inch binder to read, and several days of in office training on how to take care of me. Obviously my husband doesn't need this sort of extreme education, but I'd like for him to know at least the basics. 
What books are they using for newly diagnosed people now? Are there any recommended specifically for people who are loved ones as apposed for those who have the diabetes? 
I'd like something for him that has basics of T1, explains how I'm feeling when BGs aren't steady, and why I might need help when my brain isn't working right during a low, even though I'm conscious and talking.  Maybe how to help me through a "sick day". I know there are books like Pumping Insulin, and Dr. Bernstein's, but I don't think advanced control and diet books are appropriate ones for this case.   He requested something short (less than 200 pages) But that just tells me how much he really has underestimated how complex diabetes is. I may have to break it to him that diabetes can't be summed up in 200 pages. 
Thanks in advance. </t>
        </is>
      </c>
      <c r="D1919" t="n">
        <v>4</v>
      </c>
      <c r="E1919" t="n">
        <v>10</v>
      </c>
      <c r="F1919">
        <f>HYPERLINK("https://www.reddit.com/r/diabetes/comments/4erfyw/good_books_for_education_about_type_1/")</f>
        <v/>
      </c>
      <c r="G1919" t="inlineStr">
        <is>
          <t>2016-04-14 07:43:17</t>
        </is>
      </c>
      <c r="H1919" t="inlineStr">
        <is>
          <t>Type 1</t>
        </is>
      </c>
    </row>
    <row r="1920">
      <c r="A1920" t="inlineStr">
        <is>
          <t>4esizx</t>
        </is>
      </c>
      <c r="B1920" t="inlineStr">
        <is>
          <t>Novolog "finishing strong?"</t>
        </is>
      </c>
      <c r="C1920" t="inlineStr">
        <is>
          <t>Wondering if anyone else notices that their rapid insulin seems to wane and then hit strong as it finishes?
I've noticed, thanks to my Dexcom, that I'll get an initial turn downward around the 45-75 minute mark, consistent with the advertised "peak." Then I will stay level as the meal is digested over the next few hours, but, in the final 60 minutes of the active period (5-6 hours after I inject), I'll get another really fast drop off, sometimes 50-60 points!
Anyone else see their rapid hit hard as it leaves your system?</t>
        </is>
      </c>
      <c r="D1920" t="n">
        <v>7</v>
      </c>
      <c r="E1920" t="n">
        <v>14</v>
      </c>
      <c r="F1920">
        <f>HYPERLINK("https://www.reddit.com/r/diabetes/comments/4esizx/novolog_finishing_strong/")</f>
        <v/>
      </c>
      <c r="G1920" t="inlineStr">
        <is>
          <t>2016-04-14 11:23:26</t>
        </is>
      </c>
      <c r="H1920" t="inlineStr">
        <is>
          <t>Type 1</t>
        </is>
      </c>
    </row>
    <row r="1921">
      <c r="A1921" t="inlineStr">
        <is>
          <t>4eta0p</t>
        </is>
      </c>
      <c r="B1921" t="inlineStr">
        <is>
          <t>My mom's Type2 Diabetes is frustrating. Any suggestion would mean a lot. Thanks!</t>
        </is>
      </c>
      <c r="C1921" t="inlineStr">
        <is>
          <t>My mother is a diabetic patient since last 5 years and she does her regular check up. This time, something unusual happened. 
1) HbA1C usually within normal range but latest report shows it as 7.44
2) RFT test normal 
3) Blood sugar report 1 day before fasting shows 139, PP 196
4) Controled diet seldom takes sweet things but regularly takes fruits esp banana
5) Walks 20 minutes daily and 45 minutes during weekend
6) Taking diebetic medicine before and after meals
Have already visited doctor and says not much to worry about but since HbA1C is unusually up for her, it has physically and mentally disturbed her. Has anyone faced through this? Anyone knows reason behind this? Any suggestions?
Thanks!</t>
        </is>
      </c>
      <c r="D1921" t="n">
        <v>3</v>
      </c>
      <c r="E1921" t="n">
        <v>6</v>
      </c>
      <c r="F1921">
        <f>HYPERLINK("https://www.reddit.com/r/diabetes/comments/4eta0p/my_moms_type2_diabetes_is_frustrating_any/")</f>
        <v/>
      </c>
      <c r="G1921" t="inlineStr">
        <is>
          <t>2016-04-14 13:58:24</t>
        </is>
      </c>
      <c r="H1921" t="inlineStr">
        <is>
          <t>Type 2</t>
        </is>
      </c>
    </row>
    <row r="1922">
      <c r="A1922" t="inlineStr">
        <is>
          <t>4ewik0</t>
        </is>
      </c>
      <c r="B1922" t="inlineStr">
        <is>
          <t>Sleep problem when "normalizing" blood sugar?</t>
        </is>
      </c>
      <c r="C1922" t="inlineStr">
        <is>
          <t>Long time diabetic who has decided to take care of myself.  I had an A1C off the scales(literally, they couldn't read any higher than 14) in February, and have really worked on getting everything under control.  I've been dialing in my Lantus and Novalog doses, and am doing pretty good.  However, I seem to be noticing that, as my blood sugar returns to healthy,  "normal" ranges I don't sleep very well.  This morning I woke up at 2am, and was unable to return to sleep.  I also shot an 88 when I tested at 5am.
Is this normal?  I love sleeping(since going on a CPAP I sleep like a rock most of the time), but it seems that I'm having a more difficult time staying asleep.</t>
        </is>
      </c>
      <c r="D1922" t="n">
        <v>4</v>
      </c>
      <c r="E1922" t="n">
        <v>7</v>
      </c>
      <c r="F1922">
        <f>HYPERLINK("https://www.reddit.com/r/diabetes/comments/4ewik0/sleep_problem_when_normalizing_blood_sugar/")</f>
        <v/>
      </c>
      <c r="G1922" t="inlineStr">
        <is>
          <t>2016-04-15 05:38:15</t>
        </is>
      </c>
      <c r="H1922" t="inlineStr">
        <is>
          <t>Type 1.5/LADA</t>
        </is>
      </c>
    </row>
    <row r="1923">
      <c r="A1923" t="inlineStr">
        <is>
          <t>4f02m4</t>
        </is>
      </c>
      <c r="B1923" t="inlineStr">
        <is>
          <t>To Pump or Not to Pump - That is the Question</t>
        </is>
      </c>
      <c r="C1923" t="inlineStr">
        <is>
          <t>I was just informed by my doc that I'm a Type 1 diabetic, not a Type II as I had been previously diagnosed (not a 1.5 as I had suspected). She's referring me to an Endo soon, and she said that's who I can discuss getting a pump with, since I have to shoot insulin 4x a day.
I honestly don't mind injections. By now, I've found good spots that I'm alternating that don't hurt (finger pricking hurts more) and after hanging up the phone, I realized I have zero clue as to how pumps work, so I'd like to know from those of you who have made the jump to pumps: Why did you do it? Why are pumps better than injections? I'd also like to know what risks are involved (infections, mobility restrictions if any, etc.)</t>
        </is>
      </c>
      <c r="D1923" t="n">
        <v>8</v>
      </c>
      <c r="E1923" t="n">
        <v>38</v>
      </c>
      <c r="F1923">
        <f>HYPERLINK("https://www.reddit.com/r/diabetes/comments/4f02m4/to_pump_or_not_to_pump_that_is_the_question/")</f>
        <v/>
      </c>
      <c r="G1923" t="inlineStr">
        <is>
          <t>2016-04-15 19:25:36</t>
        </is>
      </c>
      <c r="H1923" t="inlineStr">
        <is>
          <t>Type 1</t>
        </is>
      </c>
    </row>
    <row r="1924">
      <c r="A1924" t="inlineStr">
        <is>
          <t>4f3u3z</t>
        </is>
      </c>
      <c r="B1924" t="inlineStr">
        <is>
          <t>Sister needs a new kidney and pancreas, anyone have experience with organ transplant?</t>
        </is>
      </c>
      <c r="C1924" t="inlineStr">
        <is>
          <t>My older sister is starting dialysis this next week until she can get a new kidney and pancreas.  I want to know if anyone has been through it and what to expect.  She's been diabetic for almost 20 years and I imagine the transition will be quite jarring to have a functioning pancreas again, plus recovery from surgery.</t>
        </is>
      </c>
      <c r="D1924" t="n">
        <v>2</v>
      </c>
      <c r="E1924" t="n">
        <v>3</v>
      </c>
      <c r="F1924">
        <f>HYPERLINK("https://www.reddit.com/r/diabetes/comments/4f3u3z/sister_needs_a_new_kidney_and_pancreas_anyone/")</f>
        <v/>
      </c>
      <c r="G1924" t="inlineStr">
        <is>
          <t>2016-04-16 14:36:53</t>
        </is>
      </c>
      <c r="H1924" t="inlineStr">
        <is>
          <t>Type 1</t>
        </is>
      </c>
    </row>
    <row r="1925">
      <c r="A1925" t="inlineStr">
        <is>
          <t>4f800o</t>
        </is>
      </c>
      <c r="B1925" t="inlineStr">
        <is>
          <t>How can type 1 be diagnosed at 32 and type 2 be excluded?</t>
        </is>
      </c>
      <c r="C1925" t="inlineStr">
        <is>
          <t>Type 1 diagnosed this week. Underweight and vegan and sugar levels of over 30 mmol. Wondering if anyone can shed some light on why I was not diagnosed as type 2?</t>
        </is>
      </c>
      <c r="D1925" t="n">
        <v>9</v>
      </c>
      <c r="E1925" t="n">
        <v>20</v>
      </c>
      <c r="F1925">
        <f>HYPERLINK("https://www.reddit.com/r/diabetes/comments/4f800o/how_can_type_1_be_diagnosed_at_32_and_type_2_be/")</f>
        <v/>
      </c>
      <c r="G1925" t="inlineStr">
        <is>
          <t>2016-04-17 12:14:56</t>
        </is>
      </c>
      <c r="H1925" t="inlineStr">
        <is>
          <t>Type 1</t>
        </is>
      </c>
    </row>
    <row r="1926">
      <c r="A1926" t="inlineStr">
        <is>
          <t>4fd29p</t>
        </is>
      </c>
      <c r="B1926" t="inlineStr">
        <is>
          <t>Forgot to bring my mealtime insulin to work (I'm a LADA n00b). Some interesting reactions at work...</t>
        </is>
      </c>
      <c r="C1926" t="inlineStr">
        <is>
          <t>I told my boss and he said "OH MAN! Do you want one of us to go get it, are you going to be okay!?"
Luckily I live 20 minutes away from work, so I took a long break to go get it, but a lot of people here were acting like I was going to collapse any second, and then it hit me - a lot of people don't know much about diabetes, except that "if you don't have insulin, you die."
Question for you guys: Has anyone ever just ate 1/2 your lunch or spread it out as "snacks" over the course of the afternoon when you aren't able to get to your mealtime dose? I'm darn lucky to work with a bunch of great folks who are understanding, but I'm wondering how I would be able to manage in case I wasn't able to get to my shot?
(PS - One more reason for me to consider a pump down the line, definitely some pens when I see my Endo later this month, for now being so new at this, I'm on vials for both my long acting and short acting insulins).</t>
        </is>
      </c>
      <c r="D1926" t="n">
        <v>5</v>
      </c>
      <c r="E1926" t="n">
        <v>27</v>
      </c>
      <c r="F1926">
        <f>HYPERLINK("https://www.reddit.com/r/diabetes/comments/4fd29p/forgot_to_bring_my_mealtime_insulin_to_work_im_a/")</f>
        <v/>
      </c>
      <c r="G1926" t="inlineStr">
        <is>
          <t>2016-04-18 10:45:32</t>
        </is>
      </c>
      <c r="H1926" t="inlineStr">
        <is>
          <t>Type 1.5/LADA</t>
        </is>
      </c>
    </row>
    <row r="1927">
      <c r="A1927" t="inlineStr">
        <is>
          <t>4ffam5</t>
        </is>
      </c>
      <c r="B1927" t="inlineStr">
        <is>
          <t>Dexcom CGM sensor hurts</t>
        </is>
      </c>
      <c r="C1927" t="inlineStr">
        <is>
          <t>Being a 17 year old male, I never would have thought I had to say this but inserting the sensor actually pains me a lot. The recommended spot to put this on is the stomach and it seems to hurt 4 out of every 5 times I go to change it as well. Not only does it hurt upon injection, but I have to force myself to take it off at times as it hurts when I walk/run. I have tried everything including those tough pads that don't do squat. Does anyone have any recommendations what I should do?</t>
        </is>
      </c>
      <c r="D1927" t="n">
        <v>1</v>
      </c>
      <c r="E1927" t="n">
        <v>11</v>
      </c>
      <c r="F1927">
        <f>HYPERLINK("https://www.reddit.com/r/diabetes/comments/4ffam5/dexcom_cgm_sensor_hurts/")</f>
        <v/>
      </c>
      <c r="G1927" t="inlineStr">
        <is>
          <t>2016-04-18 18:45:05</t>
        </is>
      </c>
      <c r="H1927" t="inlineStr">
        <is>
          <t>Type 1</t>
        </is>
      </c>
    </row>
    <row r="1928">
      <c r="A1928" t="inlineStr">
        <is>
          <t>4fi6yh</t>
        </is>
      </c>
      <c r="B1928" t="inlineStr">
        <is>
          <t>Im a young(ish) person that was diagnosed with Type 1 recently, could use some advice/a small pep talk</t>
        </is>
      </c>
      <c r="C1928" t="inlineStr">
        <is>
          <t>I've been lurking on this sub since I was diagnosed this year with T1, and I have some time to kill and I've been meaning to ask this question for a while.  
basically the TL;DR, How much does your diabetes affect your daily life and ability to work or do things you like?
So the long version, I was going to a really good art college (junior), working long hours and didn't have a lot of time to sleep, so I thought that being so tired and worn out was because of that, and the fact I had to pee a lot was because I drank a gallon of water a day (still do!) but this late summer I checked my bg by happenstance and it was over 600, too high to read, so I went to the ER and they put me on some metphorim. I went back to the ER a few more times in the next few weeks because i knew enough that having a high bg was bad, and they made me set up an endo appointment... 3 months from then. So, my grades quickly dropped because not eating anything but chicken and having  your bg in the 200-500 range all the time made it impossible to function. While all this I'm puking and drawing my assignments at the same time trying this last ditch effort to pass my classes. I stopped going to the ER because whats the point if they just make me lay in bed without insulin. Come November the endo visits me and tells me I have type 2 diabetes, and puts me on lantus, but it doesn't really work that well. So by December I failed all my classes, the college expelled me and I had to come back home.
Not being satisfied and also being on my dad's awesome health insurance I went to 3 other endos here in Michigan (before I was in Florida) and one of them actually did blood and urine tests, and wow what a surprise I'm type 1! Finally got on the right insulin and am feeling much better than before, but still not like I used to be.
 My profession of choice is to be an artist, specifically a guy who figures out what things are gonna look like in movies (concept artist, animator, modeler, lighter), but this field is really competitive, and it has long hours. I guess I'm worried since this past few months have been really hindering me and my workload, does it get any better than when you were first diagnosed? Were you able to work a lot if you were strict about what you ate and your bolus? Does your work or company understand if you can't come in or if you have a low on the job? I've known what I've wanted to do since i was 6 so I want to keep trying because I'm stubborn as hell(but im not overlooking an option to switch majors), but I still wanted to ask if someone has a story to tell that could help me understand whats in store for the future for me or for someone in my position. I kinda feel like I've been beaten down a bit, but I'm determined. I know new news seems worse than it really is versus knowing for 10 years about it, so maybe I'm making more of deal out of it than it really is.
so this was more of a long rant, sorry but it feels nice to type it all out. thank you for reading!</t>
        </is>
      </c>
      <c r="D1928" t="n">
        <v>6</v>
      </c>
      <c r="E1928" t="n">
        <v>24</v>
      </c>
      <c r="F1928">
        <f>HYPERLINK("https://www.reddit.com/r/diabetes/comments/4fi6yh/im_a_youngish_person_that_was_diagnosed_with_type/")</f>
        <v/>
      </c>
      <c r="G1928" t="inlineStr">
        <is>
          <t>2016-04-19 08:43:58</t>
        </is>
      </c>
      <c r="H1928" t="inlineStr">
        <is>
          <t>Type 1</t>
        </is>
      </c>
    </row>
    <row r="1929">
      <c r="A1929" t="inlineStr">
        <is>
          <t>4fiq0a</t>
        </is>
      </c>
      <c r="B1929" t="inlineStr">
        <is>
          <t>[ELI5] Why I went low without taking any insulin.</t>
        </is>
      </c>
      <c r="C1929" t="inlineStr">
        <is>
          <t xml:space="preserve">Hi,
T1D of two years(still honeymooning I think), taking 13 units of Levimir(Lantus) and 1 unit of bolus(Novarapid) per 10g. 
Today I ate an ice cream my friend had purchased for me while we were in town(10 minutes form college), I didn't have insulin with me till it was too late and I had already eaten the ice cream(bad I know but not the point of the thread). 
I try to be controlled as possible with a a1c of 5.4% probably due to my body still making insulin and luck.
I went low 3 hours after eating the ice cream, how is this possible? I'm so confused. 
I did minimal exercise in this period of time, I sat in a lecture for 3 hours. </t>
        </is>
      </c>
      <c r="D1929" t="n">
        <v>1</v>
      </c>
      <c r="E1929" t="n">
        <v>3</v>
      </c>
      <c r="F1929">
        <f>HYPERLINK("https://www.reddit.com/r/diabetes/comments/4fiq0a/eli5_why_i_went_low_without_taking_any_insulin/")</f>
        <v/>
      </c>
      <c r="G1929" t="inlineStr">
        <is>
          <t>2016-04-19 10:31:56</t>
        </is>
      </c>
      <c r="H1929" t="inlineStr">
        <is>
          <t>Type 1</t>
        </is>
      </c>
    </row>
    <row r="1930">
      <c r="A1930" t="inlineStr">
        <is>
          <t>4fj3a6</t>
        </is>
      </c>
      <c r="B1930" t="inlineStr">
        <is>
          <t>HbA1c 6.1</t>
        </is>
      </c>
      <c r="C1930" t="inlineStr">
        <is>
          <t>Type 2, just got my latest result and its 6.1 last year it was 7.5 and the year previous when I was diagnosed (presented at the ER and spent a week in ICU) it was 19 :( I felt pretty rough that month!
I've not done much to be honest, I test a lot and when its high or i know I've eaten a big meal I take metformin, generally 2 tablets a day - was diagnosed 3 per day but my drs happy for me to carry on doing what I'm doing. I've lost some weight maybe one trouser size and I walk more, only other change is i dont drink coke or sprite anymore.
I'm about to step up the exercise to just improve my overall fitness so I was wondering how low I should allow my HbA1c to go - there's a lot of conflicting opinions on going lower than 6.
Any advice?</t>
        </is>
      </c>
      <c r="D1930" t="n">
        <v>1</v>
      </c>
      <c r="E1930" t="n">
        <v>6</v>
      </c>
      <c r="F1930">
        <f>HYPERLINK("https://www.reddit.com/r/diabetes/comments/4fj3a6/hba1c_61/")</f>
        <v/>
      </c>
      <c r="G1930" t="inlineStr">
        <is>
          <t>2016-04-19 11:46:41</t>
        </is>
      </c>
      <c r="H1930" t="inlineStr">
        <is>
          <t>Type 2</t>
        </is>
      </c>
    </row>
    <row r="1931">
      <c r="A1931" t="inlineStr">
        <is>
          <t>4fj4kx</t>
        </is>
      </c>
      <c r="B1931" t="inlineStr">
        <is>
          <t>Just got my first A1C since diagnosis...</t>
        </is>
      </c>
      <c r="C1931" t="inlineStr">
        <is>
          <t>**Original post [here](https://www.reddit.com/r/diabetes/comments/4aiwkb/newly_diagnosed_t2_educated_but_a_few_questions/)**
Just got my lab results from my first draw in about 4 months since my initial Dx draw. Back then my A1C was 12.3 and my fasting BG was around 300. 
Today's results: 
A1C is **5.6!!!!!!**
My FBG is averaging 110-125. Post meal is averaging in the 140-150 range, slightly higher after breakfast which is my heaviest meal of the day usually. Overall averages are in the 120-130 range. 
Cholesterol came back slightly abnormal and high. Total was 198, LDL was high at 136 and HDL was low at 35. Gonna try a serious workout regimen as soon as I fully recover from my recent surgery to try and nip this one in the bud without having to take a statin. Triglycerides were fine at 127. 
My C-Peptide was at 2.08. Can someone help me make sense of what that means? I will of course ask my endo about it at my follow up appointment this friday. 
FEELS GREAT TO NOT CRAVE SUGAR ANYMORE!!</t>
        </is>
      </c>
      <c r="D1931" t="n">
        <v>22</v>
      </c>
      <c r="E1931" t="n">
        <v>8</v>
      </c>
      <c r="F1931">
        <f>HYPERLINK("https://www.reddit.com/r/diabetes/comments/4fj4kx/just_got_my_first_a1c_since_diagnosis/")</f>
        <v/>
      </c>
      <c r="G1931" t="inlineStr">
        <is>
          <t>2016-04-19 11:53:55</t>
        </is>
      </c>
      <c r="H1931" t="inlineStr">
        <is>
          <t>Type 2</t>
        </is>
      </c>
    </row>
    <row r="1932">
      <c r="A1932" t="inlineStr">
        <is>
          <t>4fjd3z</t>
        </is>
      </c>
      <c r="B1932" t="inlineStr">
        <is>
          <t>A giant thankyou</t>
        </is>
      </c>
      <c r="C1932" t="inlineStr">
        <is>
          <t>I just wanted to say thank you for this sub.  Since I was diagnosed February last year I have learned so much.  I feel that this place has armed me with the information and support I need to be informed about this condition and to keep my sugars stable
I got my Hba1c back today as a 43 (6.1%).  I will be working to try to get it a bit lower but I'm very happy as my diabetes team have given the thumbs up to try for a family.  I'm so excited!</t>
        </is>
      </c>
      <c r="D1932" t="n">
        <v>15</v>
      </c>
      <c r="E1932" t="n">
        <v>3</v>
      </c>
      <c r="F1932">
        <f>HYPERLINK("https://www.reddit.com/r/diabetes/comments/4fjd3z/a_giant_thankyou/")</f>
        <v/>
      </c>
      <c r="G1932" t="inlineStr">
        <is>
          <t>2016-04-19 12:41:56</t>
        </is>
      </c>
      <c r="H1932" t="inlineStr">
        <is>
          <t>Type 1</t>
        </is>
      </c>
    </row>
    <row r="1933">
      <c r="A1933" t="inlineStr">
        <is>
          <t>4fkbpf</t>
        </is>
      </c>
      <c r="B1933" t="inlineStr">
        <is>
          <t>Mixing fast acting, long acting insulin and weight lifting or sports...</t>
        </is>
      </c>
      <c r="C1933" t="inlineStr">
        <is>
          <t>First let me say that I DON'T do this:
I was watching a youtube video of a very successful T1 bodybuilder today, during his pre-work out meal, he took Humalog, Humalin-R, and finally a small dose of Lantus. The meal was heavy protein and somewhere around 80 carbs. 
I've been T1 for 20 year's and I've never heard of using insulin like this. Now I'm curious. Does anyone else do this, or know of this?
His theory behind this was, Carbs, Fiber, Protein &amp;amp; Fats all absorb in the body at different times and this keeps his BG's stable for all of this. 
Is there any benefit to using 3 different insulin's like this compared to say just using Humalog with food and Lantus once or twice a day?
Thanks for any information!</t>
        </is>
      </c>
      <c r="D1933" t="n">
        <v>2</v>
      </c>
      <c r="E1933" t="n">
        <v>3</v>
      </c>
      <c r="F1933">
        <f>HYPERLINK("https://www.reddit.com/r/diabetes/comments/4fkbpf/mixing_fast_acting_long_acting_insulin_and_weight/")</f>
        <v/>
      </c>
      <c r="G1933" t="inlineStr">
        <is>
          <t>2016-04-19 16:03:59</t>
        </is>
      </c>
      <c r="H1933" t="inlineStr">
        <is>
          <t>Type 1</t>
        </is>
      </c>
    </row>
    <row r="1934">
      <c r="A1934" t="inlineStr">
        <is>
          <t>4flvzl</t>
        </is>
      </c>
      <c r="B1934" t="inlineStr">
        <is>
          <t>Help Understanding Type 1(I think?)</t>
        </is>
      </c>
      <c r="C1934" t="inlineStr">
        <is>
          <t>Hello everyone! 
I am here because I wanted to see if anyone living an insulin dependent life could give me any advice on helping my mom out with a weight loss plan. She isn't technically a T1 or T2... She didn't get diabetes until she was ~32 after she had my sister, her gestational diabetes didn't go away, and her pancreas stopped producing insulin. She is 54 now, and is technically obese. She wants to lose weight, but I don't think many diet plans cater to T1(I call it T1 because she can't produce her own insulin) and if there are any, I can't find them without buying something.
 I have a fairly good understanding of nutrition, but I don't really know if diet plans associated with T2 are okay for people with T1... I also don't want her to be overwhelmed by rules in a new diet. So I want to develop a "small steps" kind of deal that she can implement overtime, but I want to make sure to keep her diabetes in mind, and be safe as far as that goes. 
If anyone could give me any sort of advice on what kinds of things I should watch out for, or how you figure out how much insulin to use after a meal(without a pump, she uses pens), or what happens if you're blood sugar gets too high or too low and how that might affect a weight loss system... I have asked other nutrition students, and we are at a loss(probably from lack of specialization within our program so far, but that's besides the point). Most "Diabetes Diets" are created for people with T2, and I don't know if being T1 makes a difference in the way you should try and lose weight or not. She also doesn't have THAT bad of a diet, and all of the things I've been reading are made for people who have been more irresponsible with their diets than my mom has been.
Really, I would just like to have a conversation with someone who knows what living this is like, because I'm not sure that my mom really understands it too much better than I do, despite living with it for so long... I think she has become kind of complacent? She doesn't watch what she eats, and I don't even think she counts her carbs right now... It's a scary thing for me to realize how medicine wants you to live with this, and watching her do almost the opposite. I really want to help her get into a more "careful" routine if that's a thing? Maybe it's not a big deal though... Idk, I just need some advice on what I should do.</t>
        </is>
      </c>
      <c r="D1934" t="n">
        <v>2</v>
      </c>
      <c r="E1934" t="n">
        <v>2</v>
      </c>
      <c r="F1934">
        <f>HYPERLINK("https://www.reddit.com/r/diabetes/comments/4flvzl/help_understanding_type_1i_think/")</f>
        <v/>
      </c>
      <c r="G1934" t="inlineStr">
        <is>
          <t>2016-04-19 22:32:54</t>
        </is>
      </c>
      <c r="H1934" t="inlineStr">
        <is>
          <t>Type 1</t>
        </is>
      </c>
    </row>
    <row r="1935">
      <c r="A1935" t="inlineStr">
        <is>
          <t>4forul</t>
        </is>
      </c>
      <c r="B1935" t="inlineStr">
        <is>
          <t>Diabetic Type 1 gal here, having trouble finding the right fuel for my crossfit workout. I nearly passed out last session. Can anyone help?</t>
        </is>
      </c>
      <c r="C1935" t="inlineStr">
        <is>
          <t xml:space="preserve">Hi there - so I started crossfit, I really love it, however for the past few sessions I've had some trouble keeping my blood sugar high enough to get through the entire workout. Last session I went to I ended up actually puking, which was incredibly embarrassing, but I also don't understand why, since I'd eaten a sweet potato and two eggs about an hour before the workout. I'm trying to keep my diet low carb because weight loss / general health / blood sugar, but I'm thinking this might not be the best way to go if my blood sugar keeps dropping like a stone? The problem is, if I eat a really high carb meal, my sugar can rise so much that working about is actually dangerous, and if I don't eat enough, I might pass out. Does anyone have an experience / suggestions with this? </t>
        </is>
      </c>
      <c r="D1935" t="n">
        <v>2</v>
      </c>
      <c r="E1935" t="n">
        <v>30</v>
      </c>
      <c r="F1935">
        <f>HYPERLINK("https://www.reddit.com/r/diabetes/comments/4forul/diabetic_type_1_gal_here_having_trouble_finding/")</f>
        <v/>
      </c>
      <c r="G1935" t="inlineStr">
        <is>
          <t>2016-04-20 11:28:12</t>
        </is>
      </c>
      <c r="H1935" t="inlineStr">
        <is>
          <t>Type 1</t>
        </is>
      </c>
    </row>
    <row r="1936">
      <c r="A1936" t="inlineStr">
        <is>
          <t>4fquu9</t>
        </is>
      </c>
      <c r="B1936" t="inlineStr">
        <is>
          <t>Problems with pump infusion sites</t>
        </is>
      </c>
      <c r="C1936" t="inlineStr">
        <is>
          <t xml:space="preserve">I've mentioned this a few times before, but would like to know if anyone has had/is having similar problems. Almost every infusion I do has a problem. My sugar levels stay at about 12.0 and no matter how much I bolus, they won't go down. Sometimes, such as today, everything seems fine until I eat, and my levels go up to about 16.0. I then correct that and it comes back down.
I'm on the Medtronic paradigm, I have tried the mios, sure t, and silhouette sets, and they all have the same problems. I've also tried different areas on my body but it doesn't make a difference.
I'm thinking of switching back to injections this week, because nothing has helped, and I'm starting to feel off from the constant high's. My endo knows about this and doesn't have a solution for me. If anyone has gone through this then please help me. Feel free to ask any questions too. </t>
        </is>
      </c>
      <c r="D1936" t="n">
        <v>3</v>
      </c>
      <c r="E1936" t="n">
        <v>16</v>
      </c>
      <c r="F1936">
        <f>HYPERLINK("https://www.reddit.com/r/diabetes/comments/4fquu9/problems_with_pump_infusion_sites/")</f>
        <v/>
      </c>
      <c r="G1936" t="inlineStr">
        <is>
          <t>2016-04-20 19:07:16</t>
        </is>
      </c>
      <c r="H1936" t="inlineStr">
        <is>
          <t>Type 1</t>
        </is>
      </c>
    </row>
    <row r="1937">
      <c r="A1937" t="inlineStr">
        <is>
          <t>4fzcqe</t>
        </is>
      </c>
      <c r="B1937" t="inlineStr">
        <is>
          <t>Do any of you guys have Cubital Tunnel Syndrome?</t>
        </is>
      </c>
      <c r="C1937" t="inlineStr">
        <is>
          <t>I was recently dxd type 1 and often when I wake up my pinky and ring finger will be numb and quickly recedes when I move about. I have an Endo appointment in like 10 days and I'll obviously bring it up, just wondering if you guys have experienced it or have any advice. Thanks!</t>
        </is>
      </c>
      <c r="D1937" t="n">
        <v>2</v>
      </c>
      <c r="E1937" t="n">
        <v>5</v>
      </c>
      <c r="F1937">
        <f>HYPERLINK("https://www.reddit.com/r/diabetes/comments/4fzcqe/do_any_of_you_guys_have_cubital_tunnel_syndrome/")</f>
        <v/>
      </c>
      <c r="G1937" t="inlineStr">
        <is>
          <t>2016-04-22 09:56:49</t>
        </is>
      </c>
      <c r="H1937" t="inlineStr">
        <is>
          <t>Type 1.5/LADA</t>
        </is>
      </c>
    </row>
    <row r="1938">
      <c r="A1938" t="inlineStr">
        <is>
          <t>4g1cy4</t>
        </is>
      </c>
      <c r="B1938" t="inlineStr">
        <is>
          <t>Newly diagnosed 'thin' T2 diabetic looking for advice.</t>
        </is>
      </c>
      <c r="C1938" t="inlineStr">
        <is>
          <t>So... I'm 45 and my AC1 is at 6.6 which is clearly within the range of things.   My Dad developed it at 65, and we are both only mildly overweight.  I'm 6ft and 160lbs for example.  Before you ask, yes I ate a LOT of carbs, so I'm not in denial about my bad diet causing it, I just had a little genetic help.  (A lot being I can eat an entire medium pizza by myself.)
I was sent to some diabetic education folks at the local hospital and they are saying I should aim for 45g carbs a meal and under 160 blood sugar two hours after eating.
This seems high, considering everything I read says 140 and above causes damage, and being 45 I have a lot of years for that to build up.
Any thoughts on targets?  They said 160 because the two figures the big diabetes groups talk about is 140 and 180 and they "split the difference" but staying under 140 seems MUCH more logical to me.
So far tests show I hit 163 two hours after 45-50g of carbs in a meal, so I think that's too high.
Any opinions or advice?  It's weird being a 'thin' diabetic, a lot of advice is hard to follow like "Loose lots of weight!"</t>
        </is>
      </c>
      <c r="D1938" t="n">
        <v>4</v>
      </c>
      <c r="E1938" t="n">
        <v>16</v>
      </c>
      <c r="F1938">
        <f>HYPERLINK("https://www.reddit.com/r/diabetes/comments/4g1cy4/newly_diagnosed_thin_t2_diabetic_looking_for/")</f>
        <v/>
      </c>
      <c r="G1938" t="inlineStr">
        <is>
          <t>2016-04-22 17:46:21</t>
        </is>
      </c>
      <c r="H1938" t="inlineStr">
        <is>
          <t>Type 2</t>
        </is>
      </c>
    </row>
    <row r="1939">
      <c r="A1939" t="inlineStr">
        <is>
          <t>4g1wvp</t>
        </is>
      </c>
      <c r="B1939" t="inlineStr">
        <is>
          <t>Been getting high numbers for the past week and can't figure out why. Does honeymoon usually end up all of a sudden?</t>
        </is>
      </c>
      <c r="C1939" t="inlineStr">
        <is>
          <t>I know that's likely not the case but still felt it was worth asking. I was diagnosed a little over a year ago and have had perfect control ever since but for the past week or I've been getting numbers above 150 and that is *extremely* rare for me so my first thought was that the pen I'm using most have gone bad or something, and I've been testing over and over this week and my numbers seem high even when I use other pens. 
One option is that all the pens in my fridge got fucked up for whatever reason, that would suck. I've tested 2 different pens from that same place and still seem to get high numbers.
I have another pen stored over at my grandma's place and that one doesn't seem to have given me any high numbers but my testing has been all that accurate or consistent to be sure. Or perhaps my glucometer's low battery is fucking up my numbers? or, as the title asked, does the honeymoon tend to end very suddenly? Any ideas or thought would be very welcome.</t>
        </is>
      </c>
      <c r="D1939" t="n">
        <v>1</v>
      </c>
      <c r="E1939" t="n">
        <v>7</v>
      </c>
      <c r="F1939">
        <f>HYPERLINK("https://www.reddit.com/r/diabetes/comments/4g1wvp/been_getting_high_numbers_for_the_past_week_and/")</f>
        <v/>
      </c>
      <c r="G1939" t="inlineStr">
        <is>
          <t>2016-04-22 20:30:13</t>
        </is>
      </c>
      <c r="H1939" t="inlineStr">
        <is>
          <t>Type 1</t>
        </is>
      </c>
    </row>
    <row r="1940">
      <c r="A1940" t="inlineStr">
        <is>
          <t>4g3zvu</t>
        </is>
      </c>
      <c r="B1940" t="inlineStr">
        <is>
          <t>Can you check your blood glucose too much?</t>
        </is>
      </c>
      <c r="C1940" t="inlineStr">
        <is>
          <t xml:space="preserve">I was just diagnosed over a week ago with type 2 but I haven't been to any education yet. My doctor just said to keep track of my glucose and to check it twice a day. But when I'm on diabetes.org they say to check it after 2 hours after meals. So I've been checking it when I get up, when I go to bed, and 2 hours after each meal. 
I'm scared, I don't know what I'm doing, I have no idea what is safe to eat or drink. I've had a very poor diet for too long, too much junk, too much soda, just too much of everything. I'm trying to count carbs, I think I'm supposed to have 250 a day. I've stopped eating candy, ice cream, and any other junk food. If I need something sweet, I have a few strawberries or an orange. I drink mostly water, but since I get headaches from lack of caffeine, I've cut soda out but I'll have one with dinner every other day or or so. Oh, and I take metformin 500mg twice a day with meals.
My glucose, which I'm not even sure what is a good number, has been between 63 (once) and 132, but is usually around 105-120. If anyone has some information to share or a thought of anything I've shared, I'd appreciate it. The only diabetics I know are terrible role models, they still eat a lot of junk, they don't check their glucose, and they aren't trying to lose weight. They just don't seem to care. I was told I may be able to lose enough weight and change my habits that I could stop taking the meds, and that's my goal. But I haven't had too much medical help yet with the how tos. I have an appointment 5/12 to sit down with my PCP.  
EDIT: Thank you everyone! You guys have been very helpful and I feel much calmer. </t>
        </is>
      </c>
      <c r="D1940" t="n">
        <v>5</v>
      </c>
      <c r="E1940" t="n">
        <v>17</v>
      </c>
      <c r="F1940">
        <f>HYPERLINK("https://www.reddit.com/r/diabetes/comments/4g3zvu/can_you_check_your_blood_glucose_too_much/")</f>
        <v/>
      </c>
      <c r="G1940" t="inlineStr">
        <is>
          <t>2016-04-23 08:51:41</t>
        </is>
      </c>
      <c r="H1940" t="inlineStr">
        <is>
          <t>Type 2</t>
        </is>
      </c>
    </row>
    <row r="1941">
      <c r="A1941" t="inlineStr">
        <is>
          <t>4g45nf</t>
        </is>
      </c>
      <c r="B1941" t="inlineStr">
        <is>
          <t>Type 2: A1C1 is OK, Blood Monitor is high</t>
        </is>
      </c>
      <c r="C1941" t="inlineStr">
        <is>
          <t xml:space="preserve">I'm type 2.  About six months ago, I noticed my blood sugar creeping up to over 175, then over 200.  I was not doing anything different.  Had the A1C test, result was 6.6, up from 6.3 last time.  I was relieved because I thought it would be much higher.
I was more cautious with my diet, yet the blood suguar, as measured by my monitor, continued to creep up, staying consistently in the 200s.  I bought a new meter, thinking it might be the problem, but no change.
I went to the doctor this week, very concerned.  A1C was 6.3, estimated glucose 134.  This seemed very inconsistent to me, though I don't doubt the test results.
I've been keeping the test strips in a baggie, rolled up, and kept with my other testing items.  I took a new, unopened vial and used one of those strips and my blood sugar was more in normal range.  I tried twice and it was always the same:
New Strip:  139    Old Strip:  231
New Strip:  139    Old Strip:  250
So I've concluded the problem was the old strips.  Perhaps they were old, perhaps something about keeping them in the baggie instead of the original vial.  
I still have a way to go to get the blood sugar lower, but I think I've solved the mystery of the inconsistency between the A1C and my home readings.
I'm wondering if anyone has had this experience or can shed light on this?
Thanks
</t>
        </is>
      </c>
      <c r="D1941" t="n">
        <v>4</v>
      </c>
      <c r="E1941" t="n">
        <v>4</v>
      </c>
      <c r="F1941">
        <f>HYPERLINK("https://www.reddit.com/r/diabetes/comments/4g45nf/type_2_a1c1_is_ok_blood_monitor_is_high/")</f>
        <v/>
      </c>
      <c r="G1941" t="inlineStr">
        <is>
          <t>2016-04-23 09:31:08</t>
        </is>
      </c>
      <c r="H1941" t="inlineStr">
        <is>
          <t>Type 2</t>
        </is>
      </c>
    </row>
    <row r="1942">
      <c r="A1942" t="inlineStr">
        <is>
          <t>4g7xhc</t>
        </is>
      </c>
      <c r="B1942" t="inlineStr">
        <is>
          <t>[T2] Can your glucose be too low?</t>
        </is>
      </c>
      <c r="C1942" t="inlineStr">
        <is>
          <t>It's one year after my husband's diagnosis and he seems to be doing great! He's on 500mg Metformin twice a day, watching his diet and slowly losing weight. His bloodwork gets done every three months and the doctor's happy with the numbers, so that's good.
He's been testing his own glucose in the mornings and sometimes after meals (used to be more frequent), and has been getting quite low readings on days he sleeps late. For example, this morning his glucose was at 3,9 mmol. My question is, do people with T2 have to watch out for too low glucose levels? Is this something that can be discussed with the Dr. at his next appointment, or should we not wait until then?
ETA: His 2 hours after breakfast reading is 4.2 mmol. Breakfast was yogurt with some sugar free granola and a pear.</t>
        </is>
      </c>
      <c r="D1942" t="n">
        <v>4</v>
      </c>
      <c r="E1942" t="n">
        <v>19</v>
      </c>
      <c r="F1942">
        <f>HYPERLINK("https://www.reddit.com/r/diabetes/comments/4g7xhc/t2_can_your_glucose_be_too_low/")</f>
        <v/>
      </c>
      <c r="G1942" t="inlineStr">
        <is>
          <t>2016-04-24 05:14:54</t>
        </is>
      </c>
      <c r="H1942" t="inlineStr">
        <is>
          <t>Type 2</t>
        </is>
      </c>
    </row>
    <row r="1943">
      <c r="A1943" t="inlineStr">
        <is>
          <t>4g8343</t>
        </is>
      </c>
      <c r="B1943" t="inlineStr">
        <is>
          <t>Does having Type 1 Diabetes weaken my immune system?</t>
        </is>
      </c>
      <c r="C1943" t="inlineStr">
        <is>
          <t>Just wondered if type 1, as an auto-immune disease weaken my immune system's ability to cope with other diseases such as colds/flu?</t>
        </is>
      </c>
      <c r="D1943" t="n">
        <v>4</v>
      </c>
      <c r="E1943" t="n">
        <v>19</v>
      </c>
      <c r="F1943">
        <f>HYPERLINK("https://www.reddit.com/r/diabetes/comments/4g8343/does_having_type_1_diabetes_weaken_my_immune/")</f>
        <v/>
      </c>
      <c r="G1943" t="inlineStr">
        <is>
          <t>2016-04-24 06:12:36</t>
        </is>
      </c>
      <c r="H1943" t="inlineStr">
        <is>
          <t>Type 1</t>
        </is>
      </c>
    </row>
    <row r="1944">
      <c r="A1944" t="inlineStr">
        <is>
          <t>4g8apx</t>
        </is>
      </c>
      <c r="B1944" t="inlineStr">
        <is>
          <t>Swings in insulin sensitivity?</t>
        </is>
      </c>
      <c r="C1944" t="inlineStr">
        <is>
          <t>I'm a 20 year old type 1 diabetic that was diagnosed about 8 months ago. I am having fairly regular swings in insulin requirements and I can't figure out why. I'm oscillating between 10 and 20 units of Levemir, almost like a sine wave. One week I'll be using 11 units, and then two weeks later I'll be up at 21 units, and then repeat. Does anyone know why this might be? My diet and exercise patterns remain fairly consistent. (My mealtime insulin needs fluctuate too, just not to the same extent. I hover somewhere between 12 and 16 for my insulin:carb ratio using Novolog)</t>
        </is>
      </c>
      <c r="D1944" t="n">
        <v>0</v>
      </c>
      <c r="E1944" t="n">
        <v>8</v>
      </c>
      <c r="F1944">
        <f>HYPERLINK("https://www.reddit.com/r/diabetes/comments/4g8apx/swings_in_insulin_sensitivity/")</f>
        <v/>
      </c>
      <c r="G1944" t="inlineStr">
        <is>
          <t>2016-04-24 07:16:28</t>
        </is>
      </c>
      <c r="H1944" t="inlineStr">
        <is>
          <t>Type 1</t>
        </is>
      </c>
    </row>
    <row r="1945">
      <c r="A1945" t="inlineStr">
        <is>
          <t>4gdqns</t>
        </is>
      </c>
      <c r="B1945" t="inlineStr">
        <is>
          <t>New diagnose, scared but optimistic looking for advice</t>
        </is>
      </c>
      <c r="C1945" t="inlineStr">
        <is>
          <t xml:space="preserve">I'm a fresh diagnose. After two weeks of blurry vision, excessive thirst and urination, I decided to test my own blood glucose. It was 477. A year ago at my yearly it was normal. 
I immediately went into the ER, and they diagnosed me, perscribed me glimiperide 4mg once a day and metformin twice a day.
Within 48 hours it had stablized down to the 200s and it continues to improve. However, I have a few issues that I am not sure if its normal.
Mainly, I had a knee jerk reaction and completely cut out ALL CARBS. I also got some flu-like symptoms on day 2 of medication, including a fever. The fever broke within 8 hours and I feel way better, but I am wondering if it's just because I had a glass of orange juice and my body was celebrating the sugar.
I'm also getting diarrhea...and I'm hot a lot. Not pouring sweat, but I'm hotter than usual and like cool rooms. 
Basically, I am feeling so much better, no more blurry vision, no more constant peeing or drinking fluids, but I am not sure what I can have as far as carbs, or where to go from here. I am following up with the endo they found for me today after work but that's 8 hours from now.
Thanks1
</t>
        </is>
      </c>
      <c r="D1945" t="n">
        <v>6</v>
      </c>
      <c r="E1945" t="n">
        <v>7</v>
      </c>
      <c r="F1945">
        <f>HYPERLINK("https://www.reddit.com/r/diabetes/comments/4gdqns/new_diagnose_scared_but_optimistic_looking_for/")</f>
        <v/>
      </c>
      <c r="G1945" t="inlineStr">
        <is>
          <t>2016-04-25 08:12:17</t>
        </is>
      </c>
      <c r="H1945" t="inlineStr">
        <is>
          <t>Type 2</t>
        </is>
      </c>
    </row>
    <row r="1946">
      <c r="A1946" t="inlineStr">
        <is>
          <t>4geqxu</t>
        </is>
      </c>
      <c r="B1946" t="inlineStr">
        <is>
          <t>Aw yissss! Thank you reddit! Changed my life in four months!</t>
        </is>
      </c>
      <c r="C1946" t="inlineStr">
        <is>
          <t>I was diagnosed Type 2 in December 2015 and immediately set about learning everything I could about it, and what I could do.  I  took up a low carb diet within a few days, and after lots of testing, ended up doing a lazy keto.  I kept up the exercise I was already doing prior to diagnosis.   
But enough about me, let's see those numbers!   
A1C was 10.6, now **6.0**  
EGFR was 120, now 100  
Cholesterol:     
Total was 6.85, now 6.1  
LDL was 3.65, now 3.22  
HDL was 1.49, now 2.03  
Triglycerides were 3.76, now 1.87    
Anyways, I'm over the moon with these results, and can't wait to see it get even better.  Thanks for everyone's support, and all of the help.  You've all just helped me keep the final 30 years of my life a lot more functional and healthy :)</t>
        </is>
      </c>
      <c r="D1946" t="n">
        <v>6</v>
      </c>
      <c r="E1946" t="n">
        <v>7</v>
      </c>
      <c r="F1946">
        <f>HYPERLINK("https://www.reddit.com/r/diabetes/comments/4geqxu/aw_yissss_thank_you_reddit_changed_my_life_in/")</f>
        <v/>
      </c>
      <c r="G1946" t="inlineStr">
        <is>
          <t>2016-04-25 11:43:01</t>
        </is>
      </c>
      <c r="H1946" t="inlineStr">
        <is>
          <t>Type 2</t>
        </is>
      </c>
    </row>
    <row r="1947">
      <c r="A1947" t="inlineStr">
        <is>
          <t>4ggdvm</t>
        </is>
      </c>
      <c r="B1947" t="inlineStr">
        <is>
          <t>First time flying with T1, any tips?</t>
        </is>
      </c>
      <c r="C1947" t="inlineStr">
        <is>
          <t>Hey everyone! My husband was diagnosed with T1 a little over a month ago, and he's been adjusting pretty well for the most part. We're going to be going to Europe next week for our honeymoon for a two week trip, (visiting the UK, Latvia, and Norway) and I'm wondering if you have any tips for us to make sure we'll be well prepared. 
From what I've read so far, we're planning on bringing more than enough Lantis and Humalog (we'll be bringing two pens each), along with more than enough testing supplies. I've also already spoken to the airlines who will be able to refrigerate his stuff while in the air, and we plan to get to the airport really early just in case. Is there anything I haven't thought of? Anything we need to do/not do at the airport? 
Thanks for your input!</t>
        </is>
      </c>
      <c r="D1947" t="n">
        <v>11</v>
      </c>
      <c r="E1947" t="n">
        <v>24</v>
      </c>
      <c r="F1947">
        <f>HYPERLINK("https://www.reddit.com/r/diabetes/comments/4ggdvm/first_time_flying_with_t1_any_tips/")</f>
        <v/>
      </c>
      <c r="G1947" t="inlineStr">
        <is>
          <t>2016-04-25 17:46:21</t>
        </is>
      </c>
      <c r="H1947" t="inlineStr">
        <is>
          <t>Type 1</t>
        </is>
      </c>
    </row>
    <row r="1948">
      <c r="A1948" t="inlineStr">
        <is>
          <t>4ggh7k</t>
        </is>
      </c>
      <c r="B1948" t="inlineStr">
        <is>
          <t>Show me your diabetic/medical ID tattoos!</t>
        </is>
      </c>
      <c r="C1948" t="inlineStr">
        <is>
          <t>I am going to be 16 years old, and have been a diabetic for over 10 years. For my birthday, my dad is taking me to get a medical ID tattoo on my inner wrist. I have been trying to come up with a small, simple, and unique design that is easy to read. If anyone has one of these type of tattoos, I'd love to see!</t>
        </is>
      </c>
      <c r="D1948" t="n">
        <v>15</v>
      </c>
      <c r="E1948" t="n">
        <v>17</v>
      </c>
      <c r="F1948">
        <f>HYPERLINK("https://www.reddit.com/r/diabetes/comments/4ggh7k/show_me_your_diabeticmedical_id_tattoos/")</f>
        <v/>
      </c>
      <c r="G1948" t="inlineStr">
        <is>
          <t>2016-04-25 18:09:17</t>
        </is>
      </c>
      <c r="H1948" t="inlineStr">
        <is>
          <t>Type 1</t>
        </is>
      </c>
    </row>
    <row r="1949">
      <c r="A1949" t="inlineStr">
        <is>
          <t>4gj9ls</t>
        </is>
      </c>
      <c r="B1949" t="inlineStr">
        <is>
          <t>Need some info about NovoRapid</t>
        </is>
      </c>
      <c r="C1949" t="inlineStr">
        <is>
          <t>Well here it goes, I've had t1 for 11 years now(am 24) and my levels have always been top notch(hba1c around 5-7) but lately my blood sugar just can't get down. I'm using Novorapid 3 times a day and Lantus in the evening. I've been using 10units of Novorapid for my meals but these past few days my sugar levels are ridiculously high(can't seem to drop it below 12) even with lowered carbs and increased insulin. Sugar was 14mmol before lunch, I gave myself 14 units(which usually does its job) and I've eaten almost no carbs(one slice of brown bread = 30g) and 2hours after my glucose level is 17. (had boiled chicken breasts and some salad aside no dressings or something just to clarify). This has been going on for past 3-4 days and I've no answer for it, even when I added more insulin I couldn't get it to go lower unless I give too much and go in hypo which results again in hyper. I changed my pen thinking it must be a botched pen but it's still the same, is it possible that a whole series of pen that I got are faulty or that I'm doing something else wrong?</t>
        </is>
      </c>
      <c r="D1949" t="n">
        <v>7</v>
      </c>
      <c r="E1949" t="n">
        <v>10</v>
      </c>
      <c r="F1949">
        <f>HYPERLINK("https://www.reddit.com/r/diabetes/comments/4gj9ls/need_some_info_about_novorapid/")</f>
        <v/>
      </c>
      <c r="G1949" t="inlineStr">
        <is>
          <t>2016-04-26 08:16:11</t>
        </is>
      </c>
      <c r="H1949" t="inlineStr">
        <is>
          <t>Type 1</t>
        </is>
      </c>
    </row>
    <row r="1950">
      <c r="A1950" t="inlineStr">
        <is>
          <t>4gjj31</t>
        </is>
      </c>
      <c r="B1950" t="inlineStr">
        <is>
          <t>Medtronic - CGM Pros and Cons</t>
        </is>
      </c>
      <c r="C1950" t="inlineStr">
        <is>
          <t>It's time for me to order a new insulin pump, and Medtronic is giving me details about Continuous Glucose Monitoring as well. I've been on the pump since 2001 but I've never had a CGM to go with it.
How much of a hassle is having the CGM as well? I am thinking about cost (having to order more supplies), insertion (change my infusion set and my sensor), charging the transmitter?, carrying around the extra stuff I'd need on a day to day basis.
I know CGM is a benefit but I am trying to weigh out all the pros and cons. How hard was it for you to incorporate the CGM into your normal daily routine?</t>
        </is>
      </c>
      <c r="D1950" t="n">
        <v>5</v>
      </c>
      <c r="E1950" t="n">
        <v>10</v>
      </c>
      <c r="F1950">
        <f>HYPERLINK("https://www.reddit.com/r/diabetes/comments/4gjj31/medtronic_cgm_pros_and_cons/")</f>
        <v/>
      </c>
      <c r="G1950" t="inlineStr">
        <is>
          <t>2016-04-26 09:10:16</t>
        </is>
      </c>
      <c r="H1950" t="inlineStr">
        <is>
          <t>Type 1</t>
        </is>
      </c>
    </row>
    <row r="1951">
      <c r="A1951" t="inlineStr">
        <is>
          <t>4gkcvr</t>
        </is>
      </c>
      <c r="B1951" t="inlineStr">
        <is>
          <t>Hello, new T1D here</t>
        </is>
      </c>
      <c r="C1951" t="inlineStr">
        <is>
          <t>I just posted this to r/T1D but didn't realize there was a more generic and sizeable diabetes group. So gonna post again (I'm a newb when it comes to x-posting and stuff like that).
Hello all,
I'm a 29 year old male from Texas and found out a few weeks ago that I am most likely T1D. Still waiting on the antibody blood test (I should find out tomorrow) - but my endo said he is 90% confident I am Type 1. My first doctor determined I was Type 1.5, and referred me to an endo.
Diabetes runs in my dad's side, but it is mostly Type 2 and not all that serious. For example, my dad is able to control his glucose through diet and does not take insulin. His mom, however, had some form of diabetes but refused to see a doctor. She eventually went into a coma and asphyxiated in her sleep. We assume she was Type 2 but have no idea. Other than that, I only have one other known affected family member.
I've known I was pre-diabetic for the past 4-5 years, with my glucose hovering around 100 every year (we were required to take blood tests annually for work). I have always had a very slender frame and was told that as long as I stay in moderate shape and keep my gut down I will be fine. Now, I wish I had been told to be more proactive about monitoring my levels, even though it seems like there is nothing I could have done about it...
Anyway, over the past few months I started dropping weight very rapidly and always feeling tired/hungry/thirsty. I had all the typical symptoms, but didn't think much of it as I just chalked it up to all of the stress and overtime at my new job. Over the course of 2 weeks I had 2 instances where I went out and ate some food/had a few drinks and felt fine, but then a few hours later I suddenly became very hot and nauseous. Within 20 minutes I was throwing my guts up. The first time it happened, I assumed it was bad seafood (not a big fan of it). The second time it happened was after eating gyros and hummus with a few beers (something I eat all the time). That next morning I looked in the mirror and realized I was borderline anorexic. 
I finally listened to my friends and went to the doctor. I'm glad I did because when I went in, my glucose was 360 and I was very far into ketosis (maxed the test strips out). I am 6'3 and over a few months I went from ~185lbs to 142lbs. 
After dealing with my first idiot doctor who told me to come back in 2 weeks for blood work and didn't give me any insulin or words of caution except "Avoid carbs and sugar" - I got in with an Endo.
The doctors can explain to me all day what T1D is and what is happening with my body, but what I just can't understand is how/why did this all happen so suddenly and rapidly? Especially at the age of 29?! I felt fine then in a matter of months felt like I had completely deteriorated. I use to be very physically active (basketball 2-3 times a week and the gym 1-2 times) - but I kinda fell off the wagon the last year. That being said, I still go on the occasional run and do yard work around the house. I also stay away from sodas and most desserts, though I did drink beer on a regular basis. 
Anyone else just feel like T1 hit them like a hammer out of the blue? I keep trying to think of what I did to make this happen, but I guess its just genetics and even if I had ran 10 miles a day and only ate spinach I still would have gotten this? Granted- I probably wouldn't have deteriorated so quickly haha.
As of 2 weeks ago I have started on Humalog and Lantus. I am already feeling way better and starting to put some weight back on. 
I have a bajillion questions, but really just wanted to vent on here and introduce myself. Thanks for reading my diary lol. Looking forward to learning from people here and owning this shit. Have a nice day :)</t>
        </is>
      </c>
      <c r="D1951" t="n">
        <v>15</v>
      </c>
      <c r="E1951" t="n">
        <v>14</v>
      </c>
      <c r="F1951">
        <f>HYPERLINK("https://www.reddit.com/r/diabetes/comments/4gkcvr/hello_new_t1d_here/")</f>
        <v/>
      </c>
      <c r="G1951" t="inlineStr">
        <is>
          <t>2016-04-26 11:57:01</t>
        </is>
      </c>
      <c r="H1951" t="inlineStr">
        <is>
          <t>Type 1</t>
        </is>
      </c>
    </row>
    <row r="1952">
      <c r="A1952" t="inlineStr">
        <is>
          <t>4glrdv</t>
        </is>
      </c>
      <c r="B1952" t="inlineStr">
        <is>
          <t>Opinions on Animas Vibe system?</t>
        </is>
      </c>
      <c r="C1952" t="inlineStr">
        <is>
          <t>I was wondering what your thoughts and opinions are about it?  I'm planning on switching out my current setup and could use some input.  I sent out for literature from Animas and am suppose to get it tomorrow but I wanted to get real world feedback as well.</t>
        </is>
      </c>
      <c r="D1952" t="n">
        <v>2</v>
      </c>
      <c r="E1952" t="n">
        <v>16</v>
      </c>
      <c r="F1952">
        <f>HYPERLINK("https://www.reddit.com/r/diabetes/comments/4glrdv/opinions_on_animas_vibe_system/")</f>
        <v/>
      </c>
      <c r="G1952" t="inlineStr">
        <is>
          <t>2016-04-26 16:57:10</t>
        </is>
      </c>
      <c r="H1952" t="inlineStr">
        <is>
          <t>Type 1</t>
        </is>
      </c>
    </row>
    <row r="1953">
      <c r="A1953" t="inlineStr">
        <is>
          <t>4gm4kb</t>
        </is>
      </c>
      <c r="B1953" t="inlineStr">
        <is>
          <t>Test strip container</t>
        </is>
      </c>
      <c r="C1953" t="inlineStr">
        <is>
          <t>Like many here I use the Contour Next USB but I prefer the Accucheck FastClix lancet for comfort and the convenience of the one step button push.
The advantage of this combination is that they have a similar form factor and are easy to carry. I carry a lot of hard disks as an editor so I use one of these (in red so i know which one is my test kit):
http://www.ebay.co.uk/itm/Case-Logic-QHDC101-2-5-External-Portable-Hard-Drive-Case-Red-NEW-FREE-UK-POST-/380535714153?hash=item5899b23169:g:iCoAAOxy2CZTWkBn 
The Contour Next test strip container however is bulky, it fits but not elegantly. I understand the need to keep in the equivalent of the original container as it acts as a dessicant keeping the strips dry but does anyone know of a flatter ideally rectangular container that would do the same job?</t>
        </is>
      </c>
      <c r="D1953" t="n">
        <v>0</v>
      </c>
      <c r="E1953" t="n">
        <v>3</v>
      </c>
      <c r="F1953">
        <f>HYPERLINK("https://www.reddit.com/r/diabetes/comments/4gm4kb/test_strip_container/")</f>
        <v/>
      </c>
      <c r="G1953" t="inlineStr">
        <is>
          <t>2016-04-26 18:18:20</t>
        </is>
      </c>
      <c r="H1953" t="inlineStr">
        <is>
          <t>Type 2</t>
        </is>
      </c>
    </row>
    <row r="1954">
      <c r="A1954" t="inlineStr">
        <is>
          <t>4gmz7e</t>
        </is>
      </c>
      <c r="B1954" t="inlineStr">
        <is>
          <t>New Type 1, not terribly happy about it</t>
        </is>
      </c>
      <c r="C1954" t="inlineStr">
        <is>
          <t xml:space="preserve">Good evening, everyone
Back in high school, I made a lot of bad choices when it came to lifestyle. I could go through. 3-4 Dr. Pepper's in a day. I ate like crap (and my family loved buying frozen, highly processed foods). I didn't work out hardly at all. In one month I noted that I had gained 10 lbs. And with my family's history of diabetes, I suppose this was inevitable. 
Almost 3 years ago I was diagnosed as a Type 1.5 diabetic. My glucose check the day I was diagnosed was 672 and I had spent two weeks up until that point consuming insane amounts of water to try an quench what felt like an unbearable thirst. Sleep was hard to come by becuase I kept waking up every couple hours feeling completely parched or because I had to pee. Or both.
Well, I changed my diet (though I admit I made plenty of mistakes) and got a lot more active. I took my meds and dropped weight. After two years I was 151lbs (down from 220) and 5'10". I thought maybe things were going well. Within a year my A1c went from 10 to 6.2. Sadly, this was the end of the honeymoon.
Ever since my numbers have been steadily climbing higher and becoming harder to control. I was taken on and off glypizide several times to deal with it. Finally, my A1c refused to go below 8 and kept climbing higher every six weeks. We finally took the test and learned I was now type 1.
So that was about three weeks ago. I'm 23 and starting insulin (humalog and lantus) and we're working on figuring out my dosage. However, I'm finding this transition to be quiet... Frustrating. I do my checks frequently but rarely seem to fall below 200. I get angry about it and feel like I have no idea what to do. I search for advice and all I see are suggestions to cut out practically anything I find edible (I've always been a bread and fruit guy and have still not lost my sweet tooth). I find it difficult to feel full and have found myself accidentally overeating from time to time. 
I really could use some advice and support right now. I'm trying to explain things to my girlfriend so she can help me out but I don't really think she's getting it. I just... I really just feel angry and lost about this whole thing. 
I suppose the plus side is that I have a reason to use that awesome leather belt pouch I recently purchased. It's the perfect size to put my meter, pen, etc. in. </t>
        </is>
      </c>
      <c r="D1954" t="n">
        <v>3</v>
      </c>
      <c r="E1954" t="n">
        <v>12</v>
      </c>
      <c r="F1954">
        <f>HYPERLINK("https://www.reddit.com/r/diabetes/comments/4gmz7e/new_type_1_not_terribly_happy_about_it/")</f>
        <v/>
      </c>
      <c r="G1954" t="inlineStr">
        <is>
          <t>2016-04-26 21:53:49</t>
        </is>
      </c>
      <c r="H1954" t="inlineStr">
        <is>
          <t>Type 1</t>
        </is>
      </c>
    </row>
    <row r="1955">
      <c r="A1955" t="inlineStr">
        <is>
          <t>4gqzjl</t>
        </is>
      </c>
      <c r="B1955" t="inlineStr">
        <is>
          <t>If you were me, how would you tweak your mealtime bolus?</t>
        </is>
      </c>
      <c r="C1955" t="inlineStr">
        <is>
          <t xml:space="preserve">I'm currently on a fixed MDI and haven't been able to see a diabetes educator (DX'd a little over 2 months ago, had to find a new doc 'cus the old one wasn't that great, insurance advised not to get referrals from my old doc otherwise I wouldn't be able to switch; found new (better) doc, but new doc's CDE can't see me for another two weeks).
I'm getting BG in the 60s - low 80s 2 hours after 8 units of Novolog. I keep my carb intake between 35-50 grams of carbs per meal. My syringes only have markings every 2 units, I'm thinking of dropping it down to "7" as best as I can so I don't dip so low for the time being. A couple of days ago, I was down to 56! I didn't feel any "lows" symptoms which makes me think I'm Hypoglycemia Unaware. 
Does this sound like a good plan? I've left a message for my doc's nurse but it's close to quitting time here today and I may not be able to hear back from her until tomorrow. </t>
        </is>
      </c>
      <c r="D1955" t="n">
        <v>2</v>
      </c>
      <c r="E1955" t="n">
        <v>8</v>
      </c>
      <c r="F1955">
        <f>HYPERLINK("https://www.reddit.com/r/diabetes/comments/4gqzjl/if_you_were_me_how_would_you_tweak_your_mealtime/")</f>
        <v/>
      </c>
      <c r="G1955" t="inlineStr">
        <is>
          <t>2016-04-27 15:27:54</t>
        </is>
      </c>
      <c r="H1955" t="inlineStr">
        <is>
          <t>Type 1</t>
        </is>
      </c>
    </row>
    <row r="1956">
      <c r="A1956" t="inlineStr">
        <is>
          <t>4gsk3p</t>
        </is>
      </c>
      <c r="B1956" t="inlineStr">
        <is>
          <t>(T1D) Has anyone had any experience with the new U-200 Humalog?</t>
        </is>
      </c>
      <c r="C1956" t="inlineStr">
        <is>
          <t>I currently use the standard Humalog kwikpen, and I have heard that the U-200 Humalog is better/more convenient if you use more than 3 pens in a month. I use 4ish, anywhere from 25-40 units per day. I've had great results when using another concentrated insulin, Toujeo. What are y'all's thoughts?</t>
        </is>
      </c>
      <c r="D1956" t="n">
        <v>2</v>
      </c>
      <c r="E1956" t="n">
        <v>1</v>
      </c>
      <c r="F1956">
        <f>HYPERLINK("https://www.reddit.com/r/diabetes/comments/4gsk3p/t1d_has_anyone_had_any_experience_with_the_new/")</f>
        <v/>
      </c>
      <c r="G1956" t="inlineStr">
        <is>
          <t>2016-04-27 22:14:59</t>
        </is>
      </c>
      <c r="H1956" t="inlineStr">
        <is>
          <t>Type 1</t>
        </is>
      </c>
    </row>
    <row r="1957">
      <c r="A1957" t="inlineStr">
        <is>
          <t>4gzi9s</t>
        </is>
      </c>
      <c r="B1957" t="inlineStr">
        <is>
          <t>T1D/DMV</t>
        </is>
      </c>
      <c r="C1957" t="inlineStr">
        <is>
          <t>I got dx about 5 months ago and just got my drivers license renewal in the mail. I live in California. They say I need to disclose my diabetes. I am very well controlled. A1c 5.9. No complications. Has anyone been through this with the DMV?  I assume it is a pain in the ass.  Anything to worry about?</t>
        </is>
      </c>
      <c r="D1957" t="n">
        <v>8</v>
      </c>
      <c r="E1957" t="n">
        <v>29</v>
      </c>
      <c r="F1957">
        <f>HYPERLINK("https://www.reddit.com/r/diabetes/comments/4gzi9s/t1ddmv/")</f>
        <v/>
      </c>
      <c r="G1957" t="inlineStr">
        <is>
          <t>2016-04-29 07:01:28</t>
        </is>
      </c>
      <c r="H1957" t="inlineStr">
        <is>
          <t>Type 1</t>
        </is>
      </c>
    </row>
    <row r="1958">
      <c r="A1958" t="inlineStr">
        <is>
          <t>4h0d32</t>
        </is>
      </c>
      <c r="B1958" t="inlineStr">
        <is>
          <t>T1 Trouble with pump</t>
        </is>
      </c>
      <c r="C1958" t="inlineStr">
        <is>
          <t xml:space="preserve">Hey guys. So I switched over to a pump in January (Tandem t:slim) and it was working wonderfully for a few months. Level sugars, predictable reactions but recently I have been having issues. 
I had 3 infusions sites fail on me in a row, leaving me with 400+ sugars and long battles to bring it down. I rotated my site and haven't had one fail in a few days but I can't seem to bring my sugar below 300 even with upping both basal and bolus dosing. 
I'm an active male (6 ft 180lbs) and I can't figure out what I can do and its very frustrating. 
Any help would be greatly appreciated! 
</t>
        </is>
      </c>
      <c r="D1958" t="n">
        <v>7</v>
      </c>
      <c r="E1958" t="n">
        <v>10</v>
      </c>
      <c r="F1958">
        <f>HYPERLINK("https://www.reddit.com/r/diabetes/comments/4h0d32/t1_trouble_with_pump/")</f>
        <v/>
      </c>
      <c r="G1958" t="inlineStr">
        <is>
          <t>2016-04-29 10:03:06</t>
        </is>
      </c>
      <c r="H1958" t="inlineStr">
        <is>
          <t>Type 1</t>
        </is>
      </c>
    </row>
    <row r="1959">
      <c r="A1959" t="inlineStr">
        <is>
          <t>4h1xbv</t>
        </is>
      </c>
      <c r="B1959" t="inlineStr">
        <is>
          <t>Wasabi peas when low......baaaaad idea</t>
        </is>
      </c>
      <c r="C1959" t="inlineStr">
        <is>
          <t>Through a series of events I found myself parked in my car crashing in the forties with a bag of Wasabi peas in my hands. I ate some glucose tabs, but couldn't stop myself from putting handful after a handful of peas in my mouth. Between the low and the Wasabi, my lips were numb. That's when a big juicy Asian pear started to sound good. Oh my God, I am ill. Had to share with people who might understand.  
EDIT to add I just looked at the bag and they were HOT Wasabi Peas, which explains why my mouth was numb!  Never again.......  
2nd EDIT to say I managed to keep the BG roller coaster below 150 for over 12 hours, but for some reason, at 4 a.m., my BG went up to 220. Guess my body had a delayed reaction to the horror.</t>
        </is>
      </c>
      <c r="D1959" t="n">
        <v>30</v>
      </c>
      <c r="E1959" t="n">
        <v>20</v>
      </c>
      <c r="F1959">
        <f>HYPERLINK("https://www.reddit.com/r/diabetes/comments/4h1xbv/wasabi_peas_when_lowbaaaaad_idea/")</f>
        <v/>
      </c>
      <c r="G1959" t="inlineStr">
        <is>
          <t>2016-04-29 15:40:04</t>
        </is>
      </c>
      <c r="H1959" t="inlineStr">
        <is>
          <t>Type 1</t>
        </is>
      </c>
    </row>
    <row r="1960">
      <c r="A1960" t="inlineStr">
        <is>
          <t>4h5rg7</t>
        </is>
      </c>
      <c r="B1960" t="inlineStr">
        <is>
          <t>Is it dumb to test blood from cuts? (Type 2)</t>
        </is>
      </c>
      <c r="C1960" t="inlineStr">
        <is>
          <t>Hi folks. Awaiting a1c test results after getting a high blood sugar result yesterday--chances are I'll be joining this unfortunate club. I have a silly question, I can't find any answers online.
I'm deathly afraid of the lancets and needles, so when I cut my ankle while shaving this morning I jumped on the chance to maybe test my levels. Is this likely to be dumb/inaccurate? 
Thank you for humoring my odd question. :X</t>
        </is>
      </c>
      <c r="D1960" t="n">
        <v>10</v>
      </c>
      <c r="E1960" t="n">
        <v>31</v>
      </c>
      <c r="F1960">
        <f>HYPERLINK("https://www.reddit.com/r/diabetes/comments/4h5rg7/is_it_dumb_to_test_blood_from_cuts_type_2/")</f>
        <v/>
      </c>
      <c r="G1960" t="inlineStr">
        <is>
          <t>2016-04-30 12:13:35</t>
        </is>
      </c>
      <c r="H1960" t="inlineStr">
        <is>
          <t>Type 2</t>
        </is>
      </c>
    </row>
    <row r="1961">
      <c r="A1961" t="inlineStr">
        <is>
          <t>4hdwod</t>
        </is>
      </c>
      <c r="B1961" t="inlineStr">
        <is>
          <t>Thank You! &amp;amp; some questions!</t>
        </is>
      </c>
      <c r="C1961" t="inlineStr">
        <is>
          <t xml:space="preserve">Thanks to my wife being concerned about my CONSTANT thirst,we took a blood test and found out my numbers were way too high! That was three months ago. After a month of insulin shots twice a day, and some big lifestyle changes Im happy to be [where I am today](http://i.imgur.com/ehCmhBn.jpg?1). HBA1c down from 12.7 to 6.4. Stalking this sub helped a LOT for sure.Thank you guys!
Now the questions part,  I have lost about 20 pounds in the last 3 months(250-230) which I thought was due to my diet change and minimal exercise, but the doc said it was metformin that was causing the weight loss. Im switching from 1gm to 500mg starting today, has anyone experienced weight loss/gain due to metformin ?
Another question, my HDL went from 54 to 32 (high risk?) in the past three months, anyone seen this before ? 
</t>
        </is>
      </c>
      <c r="D1961" t="n">
        <v>10</v>
      </c>
      <c r="E1961" t="n">
        <v>6</v>
      </c>
      <c r="F1961">
        <f>HYPERLINK("https://www.reddit.com/r/diabetes/comments/4hdwod/thank_you_some_questions/")</f>
        <v/>
      </c>
      <c r="G1961" t="inlineStr">
        <is>
          <t>2016-05-01 20:20:28</t>
        </is>
      </c>
      <c r="H1961" t="inlineStr">
        <is>
          <t>Type 2</t>
        </is>
      </c>
    </row>
    <row r="1962">
      <c r="A1962" t="inlineStr">
        <is>
          <t>4hi1tc</t>
        </is>
      </c>
      <c r="B1962" t="inlineStr">
        <is>
          <t>Seeing the Endo today. What CGM should I ask for?</t>
        </is>
      </c>
      <c r="C1962" t="inlineStr">
        <is>
          <t>Finally decided to jump on the cgm boat. From what I've read Dexcom seems to be best but there are different models. I am not using a pump and would like to be able to view my results on my phone.
Any suggestions?
I know insurance probably won't pay for it, but I've been saving up for this.
Thanks!
Type1 for 20 some years.</t>
        </is>
      </c>
      <c r="D1962" t="n">
        <v>6</v>
      </c>
      <c r="E1962" t="n">
        <v>25</v>
      </c>
      <c r="F1962">
        <f>HYPERLINK("https://www.reddit.com/r/diabetes/comments/4hi1tc/seeing_the_endo_today_what_cgm_should_i_ask_for/")</f>
        <v/>
      </c>
      <c r="G1962" t="inlineStr">
        <is>
          <t>2016-05-02 08:35:24</t>
        </is>
      </c>
      <c r="H1962" t="inlineStr">
        <is>
          <t>Type 1</t>
        </is>
      </c>
    </row>
    <row r="1963">
      <c r="A1963" t="inlineStr">
        <is>
          <t>4hitu6</t>
        </is>
      </c>
      <c r="B1963" t="inlineStr">
        <is>
          <t>When it all seems to stop working.</t>
        </is>
      </c>
      <c r="C1963" t="inlineStr">
        <is>
          <t>In the past 7 months I have been using a CGM. I have gotten my a1c down from 7.7 to 6.2 &amp;amp; 6.7 in the last 2 visits. I have also lost 20 lbs.
All of this was making for some really sweet numbers. The last week, however, has been ridiculous and I'm probably the most frustrated I have ever been in my near-20 year battle with T1D. Last night I actually ended up throwing my meter down in disgust.
In the last week:
1) I have taken 1u after 1u after 1u and watched as it had 0 effect on numbers in the 180-200 range. (I even switched out my insulin vial).
2) I have watched my ratio react completely differently than at other time in the past 20 years. (i.e. the same exact meal will cause a 200+ high one day, and then a 40 low the next, while using the same dosage).
3) My CGM which is normally rock solid has suddenly decided to act strangely, as well. Last night it was telling me I was sitting on 200, but my fingerstick said 160. It was outside the 20% range, so I calibrated it, and it went right back UP to 200, while the fingerstick was still at 160.
I know it's a bunch of nitpicking little things. As my wife says, "Would you rather go back to NOT having the CGM and going through things blindly until your next finger stick?"
But it is all so frustrating when nothing seems to be working correctly. I put 1 or 2 units of insulin in my body, don't eat, and it SHOULD bring my numbers down...not up! It's like my body wants to kill itself! I ended up this morning yelling at myself, "I AM TRYING TO HELP YOU! HELP ME OUT A LITTLE BIT!"
Sorry for the rant, but I like this place because it allows me to vent a bit.
In the end this is probably all related to something stupid like allergies (can they affect your BG's?), and my hard-headed stance to NOT take allergy meds.</t>
        </is>
      </c>
      <c r="D1963" t="n">
        <v>3</v>
      </c>
      <c r="E1963" t="n">
        <v>7</v>
      </c>
      <c r="F1963">
        <f>HYPERLINK("https://www.reddit.com/r/diabetes/comments/4hitu6/when_it_all_seems_to_stop_working/")</f>
        <v/>
      </c>
      <c r="G1963" t="inlineStr">
        <is>
          <t>2016-05-02 10:47:22</t>
        </is>
      </c>
      <c r="H1963" t="inlineStr">
        <is>
          <t>Type 1</t>
        </is>
      </c>
    </row>
    <row r="1964">
      <c r="A1964" t="inlineStr">
        <is>
          <t>4hixxz</t>
        </is>
      </c>
      <c r="B1964" t="inlineStr">
        <is>
          <t>Got my A1C results, endo is concerned that I'm too low. What is "low" to you?</t>
        </is>
      </c>
      <c r="C1964" t="inlineStr">
        <is>
          <t>When I was diagnosed in August 2015 my A1C was 13%. 3 months later I got it down to 6.1%. Just recently got my A1C done beginning of April and the results show 5.4%! I'm so happy! However, my endo is really concerned and thinks that I'm managing my diabetes extremely poorly. She thinks I'm going too low and is requesting that I either get my numbers higher or she wouldn't continue with my insulin requests (I requested to go on Humalog U200 since I am very insulin resistant). I went to try to pick up my insulin the other day and my pharmacy told me that my Endo has put a "hold" on my medicine until I see the diabetes educator she recommended. I'm shocked and honestly really, really upset that my medical needs are being halted because my A1C is considered "healthy". 
Here's the thing, I don't really know what's acceptable or normal for a T1 diabetic. I have a CGM and have my low alarm set to 60. I try to get my fasting numbers as close to 80 mg/dL as possible, and if I'm over 110 I do correct. I don't feel scared to do so because I'm so insulin resistant that 1 unit of insulin only lowers me 15 mg/dL. I probably am hovering around 110 most of the time based off of what Dexcom tells me, but if I'm hovering in the low 80s or mid 70s and steady, I don't do anything about it because it doesn't seem right to shove carbs in me when this is what a non-diabetic person is at when fasting. Am I thinking incorrectly here?
What is your low threshold? What is your goal for a fasting BG? Should I stop trying to get goal BG and fasting levels so low? I'm really confused on what I should be aiming for if aiming for "healthy" isn't the right direction.</t>
        </is>
      </c>
      <c r="D1964" t="n">
        <v>13</v>
      </c>
      <c r="E1964" t="n">
        <v>67</v>
      </c>
      <c r="F1964">
        <f>HYPERLINK("https://www.reddit.com/r/diabetes/comments/4hixxz/got_my_a1c_results_endo_is_concerned_that_im_too/")</f>
        <v/>
      </c>
      <c r="G1964" t="inlineStr">
        <is>
          <t>2016-05-02 11:11:09</t>
        </is>
      </c>
      <c r="H1964" t="inlineStr">
        <is>
          <t>Type 1</t>
        </is>
      </c>
    </row>
    <row r="1965">
      <c r="A1965" t="inlineStr">
        <is>
          <t>4hkwcc</t>
        </is>
      </c>
      <c r="B1965" t="inlineStr">
        <is>
          <t>Diabetic Keto cyclists: question</t>
        </is>
      </c>
      <c r="C1965" t="inlineStr">
        <is>
          <t>This is my second season into the sport, first season with a CGM. I'm currently training (lightly) for a century ride in June. I am finding that when I go low and treat (4 glucose tabs/elevate/gu energy gel) that it temporarily spikes me and send me plummeting back down, not truly treating the low. I am assuming this is because I'm depleting my glycogen stores when I ride so the sugar bump is only temporary. 
Any Keto cyclists have success with a Keto friendly snack or treat to use in conjunction with glucose to successfully treat lows when riding? Should I just put more coconut oil in my coffee before the ride? More bacon? Help!
edit: forgot to mention I am also on pump. and I lower my temp basal to sub 50% for about an hour before I ride. Don't know why this is downvoted...simply looking for some help on the subject matter.</t>
        </is>
      </c>
      <c r="D1965" t="n">
        <v>20</v>
      </c>
      <c r="E1965" t="n">
        <v>17</v>
      </c>
      <c r="F1965">
        <f>HYPERLINK("https://www.reddit.com/r/diabetes/comments/4hkwcc/diabetic_keto_cyclists_question/")</f>
        <v/>
      </c>
      <c r="G1965" t="inlineStr">
        <is>
          <t>2016-05-02 18:13:52</t>
        </is>
      </c>
      <c r="H1965" t="inlineStr">
        <is>
          <t>Type 1</t>
        </is>
      </c>
    </row>
    <row r="1966">
      <c r="A1966" t="inlineStr">
        <is>
          <t>4hlbts</t>
        </is>
      </c>
      <c r="B1966" t="inlineStr">
        <is>
          <t>Newish-ly diagnosed T2</t>
        </is>
      </c>
      <c r="C1966" t="inlineStr">
        <is>
          <t>Hi, just thought I'd introduce myself as I've only just found this sub. I was diagnosed about 5 months ago, a blood test while I was getting checked out for a cold. I'm still trying to figure out how to control myself and my condition. I'm wondering if other people have had to deal with depression about their condition? I've spent the last month very low energy and decently depressed. I figured I'd reach out to the people here and see if it's just me.</t>
        </is>
      </c>
      <c r="D1966" t="n">
        <v>9</v>
      </c>
      <c r="E1966" t="n">
        <v>23</v>
      </c>
      <c r="F1966">
        <f>HYPERLINK("https://www.reddit.com/r/diabetes/comments/4hlbts/newishly_diagnosed_t2/")</f>
        <v/>
      </c>
      <c r="G1966" t="inlineStr">
        <is>
          <t>2016-05-02 19:58:28</t>
        </is>
      </c>
      <c r="H1966" t="inlineStr">
        <is>
          <t>Type 2</t>
        </is>
      </c>
    </row>
    <row r="1967">
      <c r="A1967" t="inlineStr">
        <is>
          <t>4hmpl6</t>
        </is>
      </c>
      <c r="B1967" t="inlineStr">
        <is>
          <t>T1 - Early onset peripheral neuropathy at 23 - Feeling lost.</t>
        </is>
      </c>
      <c r="C1967" t="inlineStr">
        <is>
          <t>I was diagnosed with T1 when I was 16 so kinda late. Over the past week or two I've developed constant light tingling and burning in my lower legs / feet.
The first few years after being diagnosed I had some problems with my a1c being over 8 but as of the last 2 years my a1c has lowered to 7.2/6.8 and I feel like I've understood whats wrong with me better and been able to control my diet and blood sugar levels.
I don't really know what to do from now on, I felt like my control was getting better and I was starting to get things under control and ready to begin my life looking for a job coming out of university but now I've been hit with the realisation my legs are going to be like this for the rest of my life and possibly even worse. I don't know how this is going to effect the job I want to do etc and I just feel kind of lost without any real guidance.</t>
        </is>
      </c>
      <c r="D1967" t="n">
        <v>11</v>
      </c>
      <c r="E1967" t="n">
        <v>13</v>
      </c>
      <c r="F1967">
        <f>HYPERLINK("https://www.reddit.com/r/diabetes/comments/4hmpl6/t1_early_onset_peripheral_neuropathy_at_23/")</f>
        <v/>
      </c>
      <c r="G1967" t="inlineStr">
        <is>
          <t>2016-05-03 03:58:20</t>
        </is>
      </c>
      <c r="H1967" t="inlineStr">
        <is>
          <t>Type 1</t>
        </is>
      </c>
    </row>
    <row r="1968">
      <c r="A1968" t="inlineStr">
        <is>
          <t>4hp68z</t>
        </is>
      </c>
      <c r="B1968" t="inlineStr">
        <is>
          <t>T1, Hashimoto's, Bad Habbits &amp;amp; Depression</t>
        </is>
      </c>
      <c r="C1968" t="inlineStr">
        <is>
          <t>I am a male in my thirties and was diagnosed with type 1 about 25 years ago. I fall back into bad habbits at times, at other times my levels won't come down for days although I keep tight control (this seems to happen periodically, 2-3 months apart). A1C has been in range 6.9 to 7.8 for the last 2 yrs.
Last year I was diagnosed with Hashimotos, which I possibly had already for years (undiagnosed). In addition i suffer episodes of depression since childhood (I have seen a therapist for about three years until 2012).
I'm at a point where I can't tell what's causing what.. and I'm not able to find an expert who's capable and willing look at the complete picture of my diseases. And it sucks. Hard.</t>
        </is>
      </c>
      <c r="D1968" t="n">
        <v>4</v>
      </c>
      <c r="E1968" t="n">
        <v>5</v>
      </c>
      <c r="F1968">
        <f>HYPERLINK("https://www.reddit.com/r/diabetes/comments/4hp68z/t1_hashimotos_bad_habbits_depression/")</f>
        <v/>
      </c>
      <c r="G1968" t="inlineStr">
        <is>
          <t>2016-05-03 11:42:36</t>
        </is>
      </c>
      <c r="H1968" t="inlineStr">
        <is>
          <t>Type 1</t>
        </is>
      </c>
    </row>
    <row r="1969">
      <c r="A1969" t="inlineStr">
        <is>
          <t>4hpud2</t>
        </is>
      </c>
      <c r="B1969" t="inlineStr">
        <is>
          <t>One of those "real proud of my A1C progress posts!"</t>
        </is>
      </c>
      <c r="C1969" t="inlineStr">
        <is>
          <t>Two months ago my A1C read 12.3. I hadn't been taking care of myself at all, I pretty much survived only because of taking high doses of Lantus every night (and some nights I wouldnt even bother) I didn't take any fast acting insulin for months.
Today, my A1C came in at 7.6, making it the lowest its ever been in my 6 years as a type 1 diabetic. 
This subreddit has helped me so much, I read it every day, read every struggling story, ever progress story, love all the jokes, and just love every bit of the community here. Thank you, and may the numbers keep going down.</t>
        </is>
      </c>
      <c r="D1969" t="n">
        <v>27</v>
      </c>
      <c r="E1969" t="n">
        <v>11</v>
      </c>
      <c r="F1969">
        <f>HYPERLINK("https://www.reddit.com/r/diabetes/comments/4hpud2/one_of_those_real_proud_of_my_a1c_progress_posts/")</f>
        <v/>
      </c>
      <c r="G1969" t="inlineStr">
        <is>
          <t>2016-05-03 13:05:05</t>
        </is>
      </c>
      <c r="H1969" t="inlineStr">
        <is>
          <t>Type 1</t>
        </is>
      </c>
    </row>
    <row r="1970">
      <c r="A1970" t="inlineStr">
        <is>
          <t>4hrouf</t>
        </is>
      </c>
      <c r="B1970" t="inlineStr">
        <is>
          <t>Seeking support from someone who has been in a rut.</t>
        </is>
      </c>
      <c r="C1970" t="inlineStr">
        <is>
          <t>To preface this post, I don't normally do this kind of thing. I've always been very independent in my management. Ever since my parents gave me the reins when I was 12, I haven't been a fan of getting help from others. But I'm starting to realize that going about this alone isn't going to work.
Freshman year of high school is when things started to slip. I stopped using my insulin pump due to the scar tissue that was building up, lost motivation to care for myself, and watched my numbers climb higher and higher. I'm 19 now, and I haven't had an A1c below 9% since I was 15. It even went above 14% at some point. I'm currently at 9.6%, but we all know that is not ideal.
I've been hospitalized twice I was 15. Once with DKA and pancreatitis, once with just severe hyperglycemia. I'm a nursing student, and I hear all about the horrible things that will happen if I don't get my health back on track. Yet, I'm still not motivated. There is a serious mental block going on here, and I can't put my finger on it. I'm not afraid to admit it: I need help. I have a loving mother and boyfriend who I don't want to worry, so I'm seeking to find someone who has been where I am and knows how to get out.
I'm hoping to correspond with someone for a while - until I'm in control again. PM me or comment if you have any interest. And of course, thank you for taking the time to read this.
Edit: Thank you everyone for your kind words. As always, I am floored by this supportive community! I'm in communication with a couple of people now, so hopefully I'll be able to work through this with great success this time.</t>
        </is>
      </c>
      <c r="D1970" t="n">
        <v>13</v>
      </c>
      <c r="E1970" t="n">
        <v>9</v>
      </c>
      <c r="F1970">
        <f>HYPERLINK("https://www.reddit.com/r/diabetes/comments/4hrouf/seeking_support_from_someone_who_has_been_in_a_rut/")</f>
        <v/>
      </c>
      <c r="G1970" t="inlineStr">
        <is>
          <t>2016-05-03 17:04:00</t>
        </is>
      </c>
      <c r="H1970" t="inlineStr">
        <is>
          <t>Type 1</t>
        </is>
      </c>
    </row>
    <row r="1971">
      <c r="A1971" t="inlineStr">
        <is>
          <t>4htbg3</t>
        </is>
      </c>
      <c r="B1971" t="inlineStr">
        <is>
          <t>Help! Out of Lantus, and can't get it refilled, but I have Toujeo.</t>
        </is>
      </c>
      <c r="C1971" t="inlineStr">
        <is>
          <t>I do however have a pen of Toujeo, but no pen needle caps. I was never given a dosage for it. I've seen that it's basically a 1:1 dosage ratio, but it's 300u/mL instead of 100u/mL, so would I divide my Lantus dosage by 3 to get what I should take using a 100u/mL needle?
I understand that most of you probably aren't doctors, and can't give official medical advice, but if you can help me not die, I would really appreciate it.</t>
        </is>
      </c>
      <c r="D1971" t="n">
        <v>1</v>
      </c>
      <c r="E1971" t="n">
        <v>9</v>
      </c>
      <c r="F1971">
        <f>HYPERLINK("https://www.reddit.com/r/diabetes/comments/4htbg3/help_out_of_lantus_and_cant_get_it_refilled_but_i/")</f>
        <v/>
      </c>
      <c r="G1971" t="inlineStr">
        <is>
          <t>2016-05-03 23:41:17</t>
        </is>
      </c>
      <c r="H1971" t="inlineStr">
        <is>
          <t>Type 1</t>
        </is>
      </c>
    </row>
    <row r="1972">
      <c r="A1972" t="inlineStr">
        <is>
          <t>4htmwh</t>
        </is>
      </c>
      <c r="B1972" t="inlineStr">
        <is>
          <t>My sugar always rises about ~40 during nighttime lately</t>
        </is>
      </c>
      <c r="C1972" t="inlineStr">
        <is>
          <t>Hey guys, I got diagnosed with Type 1 about 6 months ago and thought I had it under control pretty well, even though I sometimes had a higher sugar at morning (Dawn phenomenon?) I really cant be comfortable with whats happening right now.
I am using Humalog for short-term treatment and Toujeo for the whole day. 
I started using 14 units of Toujeo, but switched to 16, mainly because of my sugar rising way too much when I woke up.
Short example: I had a sugar level of 110 at 1 am, 117 at 2 am and 133 at 3 am. Finally, woke up at 8:35 to check sugar level again, its at 179.
I would consider just brute forcing it with more Toujeo, but my sugar is perfectly stable, even declining during normal waking hours, it just gets funky later at evening.
I feel like my body is too resistant when it gets late at night and dont know how to handle it. I cant stomach waking up to levels like 140-180 so often. I dont really think its connected to Dawn phenomenon, since my sugar seems to rise all the time at night...
Any suggestions?</t>
        </is>
      </c>
      <c r="D1972" t="n">
        <v>2</v>
      </c>
      <c r="E1972" t="n">
        <v>17</v>
      </c>
      <c r="F1972">
        <f>HYPERLINK("https://www.reddit.com/r/diabetes/comments/4htmwh/my_sugar_always_rises_about_40_during_nighttime/")</f>
        <v/>
      </c>
      <c r="G1972" t="inlineStr">
        <is>
          <t>2016-05-04 01:49:38</t>
        </is>
      </c>
      <c r="H1972" t="inlineStr">
        <is>
          <t>Type 1</t>
        </is>
      </c>
    </row>
    <row r="1973">
      <c r="A1973" t="inlineStr">
        <is>
          <t>4hufpq</t>
        </is>
      </c>
      <c r="B1973" t="inlineStr">
        <is>
          <t>[type 1] first post. looking for some guidance.</t>
        </is>
      </c>
      <c r="C1973" t="inlineStr">
        <is>
          <t>hi all. recently i've been having some trouble with my pump injection sites not healing well. i've got fatty tissue build up and scars from doing this so long. each time i switch between my left and right "handlebars" on my waist. i'm just wondering where you all inject? also, i'm having a really difficult time getting over the mental block of moving locations. I'm really nervous/anxious it will hurt, etc so i haven't been able to get myself to try a new location. have any of you experienced this before? how did you overcome it?
i just found this sub last night and spent an hour reading a ton of posts. it really helped me come out of a dark place and i'm so thankful i've finally found something where everyone can relate. 
thank you.</t>
        </is>
      </c>
      <c r="D1973" t="n">
        <v>4</v>
      </c>
      <c r="E1973" t="n">
        <v>12</v>
      </c>
      <c r="F1973">
        <f>HYPERLINK("https://www.reddit.com/r/diabetes/comments/4hufpq/type_1_first_post_looking_for_some_guidance/")</f>
        <v/>
      </c>
      <c r="G1973" t="inlineStr">
        <is>
          <t>2016-05-04 06:22:44</t>
        </is>
      </c>
      <c r="H1973" t="inlineStr">
        <is>
          <t>Type 1</t>
        </is>
      </c>
    </row>
    <row r="1974">
      <c r="A1974" t="inlineStr">
        <is>
          <t>4hvg30</t>
        </is>
      </c>
      <c r="B1974" t="inlineStr">
        <is>
          <t>My 1st A1C since diagnosis!</t>
        </is>
      </c>
      <c r="C1974" t="inlineStr">
        <is>
          <t>When I was diagnosed in February I was at a 9.3. I'm so happy to say I'm now at a 5.8!!! :D I've lost 30lbs and I feel FANTASTIC! All those metformin bathroom trips weren't for nothing! Happy Wednesday to everyone!!!</t>
        </is>
      </c>
      <c r="D1974" t="n">
        <v>19</v>
      </c>
      <c r="E1974" t="n">
        <v>18</v>
      </c>
      <c r="F1974">
        <f>HYPERLINK("https://www.reddit.com/r/diabetes/comments/4hvg30/my_1st_a1c_since_diagnosis/")</f>
        <v/>
      </c>
      <c r="G1974" t="inlineStr">
        <is>
          <t>2016-05-04 10:01:20</t>
        </is>
      </c>
      <c r="H1974" t="inlineStr">
        <is>
          <t>Type 2</t>
        </is>
      </c>
    </row>
    <row r="1975">
      <c r="A1975" t="inlineStr">
        <is>
          <t>4hzz1i</t>
        </is>
      </c>
      <c r="B1975" t="inlineStr">
        <is>
          <t>Do you use an Animas Pump and need additional supplies ? - We have some to give away, click for more details.</t>
        </is>
      </c>
      <c r="C1975" t="inlineStr">
        <is>
          <t xml:space="preserve">Our son is no longer on an Animas insulin pump, and after cleaning out his diabetes storage we have some extra supplies that we don't want to just throw away.  All we ask is that they are used and not resold, and that the recipient pays shipping costs from Central Arkansas, USA.  
We have the following:  
* 3-4 boxes of insets: Blue - 23" - 9mm  
* many boxes of pump cartridges: Animas 2.0 mL - PN 400-482-00 Rev B  
* a few comfort short insets: 23" Ref 100-240-51  
* a few boxes of IV Prep &amp;amp; Uni-Solve wipes  
* a partial box of Skin-Tac wipes  
It should be noted that most of these items have expired and they cannot be resold.
These currently fill up an 18" X 18" X 24" tote and it weighs approximately (no more than) 15 lbs.
</t>
        </is>
      </c>
      <c r="D1975" t="n">
        <v>7</v>
      </c>
      <c r="E1975" t="n">
        <v>2</v>
      </c>
      <c r="F1975">
        <f>HYPERLINK("https://www.reddit.com/r/diabetes/comments/4hzz1i/do_you_use_an_animas_pump_and_need_additional/")</f>
        <v/>
      </c>
      <c r="G1975" t="inlineStr">
        <is>
          <t>2016-05-05 06:49:51</t>
        </is>
      </c>
      <c r="H1975" t="inlineStr">
        <is>
          <t>Type 1</t>
        </is>
      </c>
    </row>
    <row r="1976">
      <c r="A1976" t="inlineStr">
        <is>
          <t>4i2f0o</t>
        </is>
      </c>
      <c r="B1976" t="inlineStr">
        <is>
          <t>Blood sugar at 80 directly after correcting a 64?</t>
        </is>
      </c>
      <c r="C1976" t="inlineStr">
        <is>
          <t>I'm kinda new to this.
I know the 64 is super low, and the 80 is perfectly normal. Was I just really good at correcting the low, or should I eat again because it didn't correct enough?</t>
        </is>
      </c>
      <c r="D1976" t="n">
        <v>3</v>
      </c>
      <c r="E1976" t="n">
        <v>9</v>
      </c>
      <c r="F1976">
        <f>HYPERLINK("https://www.reddit.com/r/diabetes/comments/4i2f0o/blood_sugar_at_80_directly_after_correcting_a_64/")</f>
        <v/>
      </c>
      <c r="G1976" t="inlineStr">
        <is>
          <t>2016-05-05 15:54:09</t>
        </is>
      </c>
      <c r="H1976" t="inlineStr">
        <is>
          <t>Type 2</t>
        </is>
      </c>
    </row>
    <row r="1977">
      <c r="A1977" t="inlineStr">
        <is>
          <t>4i5xj9</t>
        </is>
      </c>
      <c r="B1977" t="inlineStr">
        <is>
          <t>In TYPE 2 diabetes, why does the body respond to exogenous insulin when it has become resistant to endogenous insulin?</t>
        </is>
      </c>
      <c r="C1977" t="inlineStr">
        <is>
          <t>Feel free to adjust my understanding of the situation if I've asked it incorrectly.
Sources for further reading would be appreciated. Thanks!</t>
        </is>
      </c>
      <c r="D1977" t="n">
        <v>7</v>
      </c>
      <c r="E1977" t="n">
        <v>5</v>
      </c>
      <c r="F1977">
        <f>HYPERLINK("https://www.reddit.com/r/diabetes/comments/4i5xj9/in_type_2_diabetes_why_does_the_body_respond_to/")</f>
        <v/>
      </c>
      <c r="G1977" t="inlineStr">
        <is>
          <t>2016-05-06 09:43:06</t>
        </is>
      </c>
      <c r="H1977" t="inlineStr">
        <is>
          <t>Type 2</t>
        </is>
      </c>
    </row>
    <row r="1978">
      <c r="A1978" t="inlineStr">
        <is>
          <t>4i6oa9</t>
        </is>
      </c>
      <c r="B1978" t="inlineStr">
        <is>
          <t>When your doctor smiles and says BOOM!!!</t>
        </is>
      </c>
      <c r="C1978" t="inlineStr">
        <is>
          <t>So I was borderline diabetic for the last few years.  Well I got the diagnosis around Christmas.  In early January my A1C was nearly 12.  I made massive dietary changes, dropped soft drinks from my diet completely, and started avoiding high sugar substances like it was cyanide.  By the time I saw a specialist at the end of January I had all ready dropped to a 8.6.  I've continued to make changes and work at it.  Today was my next test.  I was talking to the doctor when the nurse walked in and hands him my paperwork   It went like this...
Doc:  "Hmm.  Let's see... your A1C is *BOOM*!!!!!" as a big shit eating grin comes over his face. 
He hands me the paper and highlights the 6.0.
End result my meds have been cut in half and I should keep doing what I'm doing.  Keep shedding the weight and increase my exercise program.</t>
        </is>
      </c>
      <c r="D1978" t="n">
        <v>10</v>
      </c>
      <c r="E1978" t="n">
        <v>3</v>
      </c>
      <c r="F1978">
        <f>HYPERLINK("https://www.reddit.com/r/diabetes/comments/4i6oa9/when_your_doctor_smiles_and_says_boom/")</f>
        <v/>
      </c>
      <c r="G1978" t="inlineStr">
        <is>
          <t>2016-05-06 12:25:52</t>
        </is>
      </c>
      <c r="H1978" t="inlineStr">
        <is>
          <t>Type 2</t>
        </is>
      </c>
    </row>
    <row r="1979">
      <c r="A1979" t="inlineStr">
        <is>
          <t>4i8pun</t>
        </is>
      </c>
      <c r="B1979" t="inlineStr">
        <is>
          <t>Completely unexplained highs; endo unreachable</t>
        </is>
      </c>
      <c r="C1979" t="inlineStr">
        <is>
          <t xml:space="preserve">Hi everyone, 
I've searched high and low on this forum and even commented on some related posts earlier today, but here is my deal: Had great control. For past month-ish, numbers crept into 200s and now have been STUCK in the 300s (okay some 200s and a few hours of 100s here and there). I'm at my wits end. I saw my endocrinologist, she treated me as if I hadn't tried bumping up my insulin. She did NO other troubleshooting. I'm honestly scared shitless because I haven't been able to consistently work or engage in my normal social activities for approx 2 weeks and I cannot take another minute of it. 
Today and yesterday, I quadrupled the amount of insulin I'm taking. I'm T1 on Novolog on a pump, with a CGM. NO RESULTS. Bloods are going even higher. 
I'm livid that the on call docs at NYU Endocrinology did not bother to call me back about my decision regarding heading to the ER. I am testing my ketones and they are fine. I do not want to be a waste of resources. And I will be pissed to no end if they have no other ideas other than to increase my insulin, which I have done already without ANY success. 
Before I completely lose it, er, more so than I already have (apologies for the high BG rant which apparently I've become too exhausted to keep in check), I'm wondering if anyone has advice on the following:
- If I'm sick or something and have some kind of symptomless infection, where should I go to have that checked out? Urgent Care? My PCP is out for the weekend. I feel like Urgent Care can be incompetent idiots but perhaps someone knows a decent location in NYC? 
- If I go to the ER, is there anywhere they are likely to do ANYTHING besides just give me insulin and fluids and send me packing? I feel like they are going to dismiss me as if I were just some noncompliant diabetic (and I'm not that and I have never been in DKA or in the ER for diabetes, ever)
- Where do I go from here? Do I fight like hell to get back on Victoza, at least to get my blood sugar down to levels where I am not relegated to watching Netflix between pissing on strips and drinking tons of water and taking walks? Do I push for other blood tests? Is the "chronic mono" a research endocrinologist found I had possibly back and screwing me over royally? Am I developing thyroid problems like the rest of the women in my family? Is there a vitamin deficiency? What should I do? My endocrinologist seems to think I'm noncompliant based on 2 weeks of data, which is frankly maddening as I've seen her when my numbers were better and I had high hopes for help from our appointment Monday. Could this be another hormonal problem? Another autoimmune issue? Since my endo won't take the driver's seat here, I am asking for your experiences so that I can try to figure out what to ask for. Fatty liver? Vitamin deficiency? F.....
Thank you so much. Other relevant information: I've changed insulin vials to two brand new ones and no change; of course I've changed sites and placement and so forth; I eat low carb and count religiously; I've had extreme fatigue on and off for months with no diagnosed cause. My TSH has tested high on a couple of occasions but never when we are making a decision about medication; on that note, it is typically only tested in the mid-afternoon. Also, my endo states nothing is wrong with me because my BMI is normal. I think this is bull. 
I can't live like this. I'm not used to seeing readings like this which my brain interprets as me being a total failure. I am desperate to live my life again. </t>
        </is>
      </c>
      <c r="D1979" t="n">
        <v>2</v>
      </c>
      <c r="E1979" t="n">
        <v>12</v>
      </c>
      <c r="F1979">
        <f>HYPERLINK("https://www.reddit.com/r/diabetes/comments/4i8pun/completely_unexplained_highs_endo_unreachable/")</f>
        <v/>
      </c>
      <c r="G1979" t="inlineStr">
        <is>
          <t>2016-05-06 21:39:20</t>
        </is>
      </c>
      <c r="H1979" t="inlineStr">
        <is>
          <t>Type 1</t>
        </is>
      </c>
    </row>
    <row r="1980">
      <c r="A1980" t="inlineStr">
        <is>
          <t>4ib2f7</t>
        </is>
      </c>
      <c r="B1980" t="inlineStr">
        <is>
          <t>Newly diagnosed, having trouble getting enough blood sometimes</t>
        </is>
      </c>
      <c r="C1980" t="inlineStr">
        <is>
          <t>Hey folks. Newly diagnosed T1? (it's not positive yet--maybe MODY) here.
I seem to be doing OK? getting my BG down. It went from 218 when I was first diagnosed to 114~140 in the mornings after about a week. We are seeing how I respond to the Metformin (I think to help determine what type I am?), so I'm not on insulin yet.
I am supposed to test two times a day (before breakfast and dinner). Right now my boyfriend is doing this for me while I look away and squint into samoyed puppy videos on youtube. It works out.
We haven't had trouble getting blood before dinner, but sometimes we have to try several times in the morning. He cranked it up to the highest setting on the Walgreens test (5/5), it hurts like a bitch.
It seems like it is related to circulation/how warm my hands are. I didn't appear to have any damage from the diabetes when I first went in, but I'm realizing now my fingers may have poor circulation. It seems to help our results if I'm awake for a bit before we take the test, if I walk around/exercise a bit, and if I soak my hands/body in warm water for longer amounts of time.
To be fair, it tends to be very cold in the mornings here. I sleep right next to the window. I've started closing it, but it can still get cold by morning (PNW).
Did I mention it hurts like a bitch? :(
If anyone has any advice/insights. I will be bringing it up to my doctor regardless, but I'm curious what the real-life experiences of other diabetics have been. I think my circulation is generally improving (looots of exercising, more water, better diet), though I don't know if it will undo any damage that may have been done. 
Anyway, does anyone have any tips? For improving hand circulation (my feet seem fine, thank goodness), getting enough blood, etc?
Thank you so much for any advice.</t>
        </is>
      </c>
      <c r="D1980" t="n">
        <v>2</v>
      </c>
      <c r="E1980" t="n">
        <v>24</v>
      </c>
      <c r="F1980">
        <f>HYPERLINK("https://www.reddit.com/r/diabetes/comments/4ib2f7/newly_diagnosed_having_trouble_getting_enough/")</f>
        <v/>
      </c>
      <c r="G1980" t="inlineStr">
        <is>
          <t>2016-05-07 11:17:02</t>
        </is>
      </c>
      <c r="H1980" t="inlineStr">
        <is>
          <t>Type 1</t>
        </is>
      </c>
    </row>
    <row r="1981">
      <c r="A1981" t="inlineStr">
        <is>
          <t>4iehgh</t>
        </is>
      </c>
      <c r="B1981" t="inlineStr">
        <is>
          <t>Insulin Pump not repeatable</t>
        </is>
      </c>
      <c r="C1981" t="inlineStr">
        <is>
          <t xml:space="preserve">I'm after some advice. I've now been on an insulin pump for 12 months. I switched after starting to struggle with MDI but prior to this my A1Cs have always been under 7.5. 
I'm reaching the point of giving up with the pump. It seems like it's just not repeatable, going from three days in a row of having multiple hypos after every meal, to today where my bloods have been constantly above 13 and just not shifting. It feels like this inconsistancy has been going on for months. I've just given up and switched back to MDI for a bolus and they are finally on the way down. I've tried different cannula lengths and sites and that seemed to make no difference. 
Any ideas?  I was super hyped to go on the pump, and when it runs smoothly it's awesome. But lately it feels like managing it is just taking over my life and starting to get me down.  I self funded a Dexcom(pity the NHS won't fund them:() to try to get everythng under control, whilst its awesome if my diabetes doesnt respond repeatably it's kinda useless. Visiting my Endo tomorrow so hopefully I'll get it sorted, but I was just wondering if anyone has experienced anything similar. </t>
        </is>
      </c>
      <c r="D1981" t="n">
        <v>2</v>
      </c>
      <c r="E1981" t="n">
        <v>12</v>
      </c>
      <c r="F1981">
        <f>HYPERLINK("https://www.reddit.com/r/diabetes/comments/4iehgh/insulin_pump_not_repeatable/")</f>
        <v/>
      </c>
      <c r="G1981" t="inlineStr">
        <is>
          <t>2016-05-08 06:09:51</t>
        </is>
      </c>
      <c r="H1981" t="inlineStr">
        <is>
          <t>Type 1</t>
        </is>
      </c>
    </row>
    <row r="1982">
      <c r="A1982" t="inlineStr">
        <is>
          <t>4ii4tq</t>
        </is>
      </c>
      <c r="B1982" t="inlineStr">
        <is>
          <t>Days after being diagnosed T2, what is going on?</t>
        </is>
      </c>
      <c r="C1982" t="inlineStr">
        <is>
          <t xml:space="preserve">(I’m a 28-year-old female)
A little over a week ago, I developed an ugly urinary tract infection. I paid a visit to an urgent care facility, thinking I’d be in and out fairly quickly with some standard antibiotics, but no. My urine sample also came back positive for glucose, and following blood work indicated my blood glucose level was 290, (mind you, I hadn’t eaten anything over four hours prior to the blood draw). Later, A1C came back at 8.2. The provider diagnosed me with type two, issued me a glucose monitor, and put me on Metformin.
My blood glucose levels remained high for about four more days, (189-261), then dropped suddenly and significantly. Now, most of my fasting and pre-meal readings have been between 80-100, highest post-meal at 134.
All the research I’ve conducted so far leads me to believe this is strange. Even with medication like Metformin, I can’t seem to find anyone whose BG levels have dropped so sharply, so soon after being diagnosed. I’ve even accidentally forgotten to take it a few times, but it doesn’t seem to make a difference. However, I have been sticking to a lower carb, no grains diet. I feel great, and I only have about ten pounds to lose until I hit my ideal weight.
Can anyone shed some light on what may be happening? I am really curious to know what is going on or if anyone else has had a similar experience. Is it remotely possible that the infection just threw my system into wack, that I may not be diabetic? The diagnosis was a complete shock, never saw it coming.
</t>
        </is>
      </c>
      <c r="D1982" t="n">
        <v>5</v>
      </c>
      <c r="E1982" t="n">
        <v>18</v>
      </c>
      <c r="F1982">
        <f>HYPERLINK("https://www.reddit.com/r/diabetes/comments/4ii4tq/days_after_being_diagnosed_t2_what_is_going_on/")</f>
        <v/>
      </c>
      <c r="G1982" t="inlineStr">
        <is>
          <t>2016-05-08 21:59:04</t>
        </is>
      </c>
      <c r="H1982" t="inlineStr">
        <is>
          <t>Type 2</t>
        </is>
      </c>
    </row>
    <row r="1983">
      <c r="A1983" t="inlineStr">
        <is>
          <t>4iiz65</t>
        </is>
      </c>
      <c r="B1983" t="inlineStr">
        <is>
          <t>Diagnosed with Type 1 at 18yo</t>
        </is>
      </c>
      <c r="C1983" t="inlineStr">
        <is>
          <t>I came to the ER for shortness of breath and now I'm stuck in the ICU for three days with a type 1 diagnosis. This is a lot to take in and pretty scary for me. Is there anyone that could tell me what to prepare for, some positivity, etc? I didn't wake up this morning thinking I would have a lifelong disease and anything to ease my mind would be greatly appreciated. Thank you very much for your time</t>
        </is>
      </c>
      <c r="D1983" t="n">
        <v>10</v>
      </c>
      <c r="E1983" t="n">
        <v>30</v>
      </c>
      <c r="F1983">
        <f>HYPERLINK("https://www.reddit.com/r/diabetes/comments/4iiz65/diagnosed_with_type_1_at_18yo/")</f>
        <v/>
      </c>
      <c r="G1983" t="inlineStr">
        <is>
          <t>2016-05-09 03:28:54</t>
        </is>
      </c>
      <c r="H1983" t="inlineStr">
        <is>
          <t>Type 1</t>
        </is>
      </c>
    </row>
    <row r="1984">
      <c r="A1984" t="inlineStr">
        <is>
          <t>4ilbci</t>
        </is>
      </c>
      <c r="B1984" t="inlineStr">
        <is>
          <t>(Type 1) Stopped Smoking Marajuana Last Thursday, Need Advice</t>
        </is>
      </c>
      <c r="C1984" t="inlineStr">
        <is>
          <t>Hello, I was diagnosed at age 11, I'm 23 now and I've been a daily smoker for about 1.5 years. I've given up the habit for now, as of last Thursday. Since then, my blood sugars have been crazy low, my insulin sensitivity has been absolutely off the charts, has anyone had a similar experience? I was anticipating running high, as I found that smoking certain strains would drop my blood sugar but I have found the opposite to be true.
I am seeing my endo next week to adjust things, but it would be great if anyone on here has had a similar experience to offer any tips or advice.
My eating habits are largely the same. (I have actually been eating slightly more often, and larger portions, but even 1 or 2 units for a meal will send me down into the 50's)</t>
        </is>
      </c>
      <c r="D1984" t="n">
        <v>4</v>
      </c>
      <c r="E1984" t="n">
        <v>12</v>
      </c>
      <c r="F1984">
        <f>HYPERLINK("https://www.reddit.com/r/diabetes/comments/4ilbci/type_1_stopped_smoking_marajuana_last_thursday/")</f>
        <v/>
      </c>
      <c r="G1984" t="inlineStr">
        <is>
          <t>2016-05-09 12:42:38</t>
        </is>
      </c>
      <c r="H1984" t="inlineStr">
        <is>
          <t>Type 1</t>
        </is>
      </c>
    </row>
    <row r="1985">
      <c r="A1985" t="inlineStr">
        <is>
          <t>4imddb</t>
        </is>
      </c>
      <c r="B1985" t="inlineStr">
        <is>
          <t>Question about smoking</t>
        </is>
      </c>
      <c r="C1985" t="inlineStr">
        <is>
          <t>So I've been a casual smoker for the past 2~3years, but lately with college stresses and whatnot I've been smoking waaaaay more.
Also, using a pump and I noticed that on the days that i smoke my bg goes completly wild and insulin seems too have no effect at all. Might be unrelated but what if its not?</t>
        </is>
      </c>
      <c r="D1985" t="n">
        <v>1</v>
      </c>
      <c r="E1985" t="n">
        <v>5</v>
      </c>
      <c r="F1985">
        <f>HYPERLINK("https://www.reddit.com/r/diabetes/comments/4imddb/question_about_smoking/")</f>
        <v/>
      </c>
      <c r="G1985" t="inlineStr">
        <is>
          <t>2016-05-09 16:25:00</t>
        </is>
      </c>
      <c r="H1985" t="inlineStr">
        <is>
          <t>Type 1</t>
        </is>
      </c>
    </row>
    <row r="1986">
      <c r="A1986" t="inlineStr">
        <is>
          <t>4imuq8</t>
        </is>
      </c>
      <c r="B1986" t="inlineStr">
        <is>
          <t>Is there anything that prevents a T1 from driving a forklift?</t>
        </is>
      </c>
      <c r="C1986" t="inlineStr">
        <is>
          <t>I got a job as a material handler this summer and it requires that I get a forklift certification.
I know I can't get a CDL as a T1 on insulin, but are there any restrictions like that on getting a forklift license?
Thanks</t>
        </is>
      </c>
      <c r="D1986" t="n">
        <v>2</v>
      </c>
      <c r="E1986" t="n">
        <v>3</v>
      </c>
      <c r="F1986">
        <f>HYPERLINK("https://www.reddit.com/r/diabetes/comments/4imuq8/is_there_anything_that_prevents_a_t1_from_driving/")</f>
        <v/>
      </c>
      <c r="G1986" t="inlineStr">
        <is>
          <t>2016-05-09 18:19:56</t>
        </is>
      </c>
      <c r="H1986" t="inlineStr">
        <is>
          <t>Type 1</t>
        </is>
      </c>
    </row>
    <row r="1987">
      <c r="A1987" t="inlineStr">
        <is>
          <t>4iqcje</t>
        </is>
      </c>
      <c r="B1987" t="inlineStr">
        <is>
          <t>Let's talk about Type II medications</t>
        </is>
      </c>
      <c r="C1987" t="inlineStr">
        <is>
          <t>On March 2 my new PCP prescribed Metformin 850mg Tab x3 per day.   Jardiance 25mg Tab x1 per day.  The next 10 days were pure hell as far as extremely loose bowels.  So much so that I could not leave the house.  I finally got the Doc on the phone and he had me cut back the Metformin to 2x per day and added Tradjenta to the lineup.  After reading the side effects of the Tradjenta I decided not to take it.  I am on other meds as well, but cutting back the metformin seemed to work for the loose bowels issue.  However, I am having a major skin irritation which is only counter acted by Benydryl.  I am not sure what is causing the skin irritation, but I look like I was in a nasty fight with a feral cat or two.     I am on my way back to the Dr. and would like to suggest a few meds he might want to think about prescribing without these horrible side effects.  My BS hover between 130-180 and my march A1C was 10.  I have no idea yet what my May A1C are.   
What meds are you on for your Type II and do you suffer from the same side effects?</t>
        </is>
      </c>
      <c r="D1987" t="n">
        <v>2</v>
      </c>
      <c r="E1987" t="n">
        <v>9</v>
      </c>
      <c r="F1987">
        <f>HYPERLINK("https://www.reddit.com/r/diabetes/comments/4iqcje/lets_talk_about_type_ii_medications/")</f>
        <v/>
      </c>
      <c r="G1987" t="inlineStr">
        <is>
          <t>2016-05-10 10:29:42</t>
        </is>
      </c>
      <c r="H1987" t="inlineStr">
        <is>
          <t>Type 2</t>
        </is>
      </c>
    </row>
    <row r="1988">
      <c r="A1988" t="inlineStr">
        <is>
          <t>4isroj</t>
        </is>
      </c>
      <c r="B1988" t="inlineStr">
        <is>
          <t>Reducing a post-breakfast spike?</t>
        </is>
      </c>
      <c r="C1988" t="inlineStr">
        <is>
          <t>[This graph](http://i.imgur.com/BdIceB2.png) is a pretty typical day for my 6-year-old (over the last 2-3 weeks; he's been diagnosed for a couple months). We're looking at trying to get that 9am spike down, curious how you'd do it if this was your chart.
He eats a 40g-carb breakfast (bowl of Shreddies) at 7:00, with 2u of humalog around 6:45 (he's MDI). (He's also autistic, so changing up the breakfast itself is easier said than done — we're kind of stuck with the cereal for the time being :)
Are we dosing too soon? Too late? Not enough? I know there isn't ever a single great answer, just looking for casual opinions to see if we're at all on the right track with how we're using this CGM data.
Thanks!</t>
        </is>
      </c>
      <c r="D1988" t="n">
        <v>6</v>
      </c>
      <c r="E1988" t="n">
        <v>30</v>
      </c>
      <c r="F1988">
        <f>HYPERLINK("https://www.reddit.com/r/diabetes/comments/4isroj/reducing_a_postbreakfast_spike/")</f>
        <v/>
      </c>
      <c r="G1988" t="inlineStr">
        <is>
          <t>2016-05-10 19:14:00</t>
        </is>
      </c>
      <c r="H1988" t="inlineStr">
        <is>
          <t>Type 1</t>
        </is>
      </c>
    </row>
    <row r="1989">
      <c r="A1989" t="inlineStr">
        <is>
          <t>4ivp58</t>
        </is>
      </c>
      <c r="B1989" t="inlineStr">
        <is>
          <t>I hate training and meetings</t>
        </is>
      </c>
      <c r="C1989" t="inlineStr">
        <is>
          <t>Managing blood sugar through out an eight hour period while being confined to a room of people is really hard. Excusing yourself from the meeting: "I have low blood sugar, be right back." And then trying to pick up where they are at when you get back and missing information because they continued while you were gone. Not just the snacking but also needing drinks and having to pee every so often.
Small office rant here. Anyone relate?</t>
        </is>
      </c>
      <c r="D1989" t="n">
        <v>22</v>
      </c>
      <c r="E1989" t="n">
        <v>23</v>
      </c>
      <c r="F1989">
        <f>HYPERLINK("https://www.reddit.com/r/diabetes/comments/4ivp58/i_hate_training_and_meetings/")</f>
        <v/>
      </c>
      <c r="G1989" t="inlineStr">
        <is>
          <t>2016-05-11 09:19:43</t>
        </is>
      </c>
      <c r="H1989" t="inlineStr">
        <is>
          <t>Type 1</t>
        </is>
      </c>
    </row>
    <row r="1990">
      <c r="A1990" t="inlineStr">
        <is>
          <t>4ixvv4</t>
        </is>
      </c>
      <c r="B1990" t="inlineStr">
        <is>
          <t>Could my meter be deffective? (Accu-chek)</t>
        </is>
      </c>
      <c r="C1990" t="inlineStr">
        <is>
          <t>Hi guys,
First time poster, long time lurker. 
Recently I have been struggling to get a grip on my BG values. Everything seems to just be up and down. I am working towards being ok with this, and just understanding that its the nature of what we deal with. But today, I used my meter, and couldn't believe the result I got. So I tested again. It was a different result to the test I had literally done, 10 seconds before. I tested again. It was different. 
These readings weren't out by too much, but to have a first reading at 5.4, a second reading at 5.1 and then the third reading at 5.8...
Surely something is wrong. As this is a swing of 0.7
I am using the Accu-Chek Performa Connect
Any help or ideas would greatly be appreciated</t>
        </is>
      </c>
      <c r="D1990" t="n">
        <v>2</v>
      </c>
      <c r="E1990" t="n">
        <v>6</v>
      </c>
      <c r="F1990">
        <f>HYPERLINK("https://www.reddit.com/r/diabetes/comments/4ixvv4/could_my_meter_be_deffective_accuchek/")</f>
        <v/>
      </c>
      <c r="G1990" t="inlineStr">
        <is>
          <t>2016-05-11 16:47:43</t>
        </is>
      </c>
      <c r="H1990" t="inlineStr">
        <is>
          <t>Type 1</t>
        </is>
      </c>
    </row>
    <row r="1991">
      <c r="A1991" t="inlineStr">
        <is>
          <t>4j1wkr</t>
        </is>
      </c>
      <c r="B1991" t="inlineStr">
        <is>
          <t>Advice for a road trip</t>
        </is>
      </c>
      <c r="C1991" t="inlineStr">
        <is>
          <t>Hello! I'm taking a two week road trip next week and I'm wondering if anyone has advice on managing diabetes along the way. I'm particularly interested in what to do with my insulin for the trip. I need to transport all my insulin, but I understand that it needs to be refrigerated. Should I bring an ice cooler, or is there a better way to do it? Also, what should I carry for snacks. I'm thinking some kind of meat or cheese, but same as the insulin, it requires some kind of refrigeration...
Thank you!</t>
        </is>
      </c>
      <c r="D1991" t="n">
        <v>1</v>
      </c>
      <c r="E1991" t="n">
        <v>11</v>
      </c>
      <c r="F1991">
        <f>HYPERLINK("https://www.reddit.com/r/diabetes/comments/4j1wkr/advice_for_a_road_trip/")</f>
        <v/>
      </c>
      <c r="G1991" t="inlineStr">
        <is>
          <t>2016-05-12 10:47:59</t>
        </is>
      </c>
      <c r="H1991" t="inlineStr">
        <is>
          <t>Type 1</t>
        </is>
      </c>
    </row>
    <row r="1992">
      <c r="A1992" t="inlineStr">
        <is>
          <t>4j2w6o</t>
        </is>
      </c>
      <c r="B1992" t="inlineStr">
        <is>
          <t>Just got the 'okay' on the Dexcom G5</t>
        </is>
      </c>
      <c r="C1992" t="inlineStr">
        <is>
          <t>And I'm f$*@ing excited. I was in the hospital back in October and diagnosed with Acute Pancreatitis. I've completely changed my lifestyle, no more alcohol, low-carb eating (some cheat days), workout/weightlift 3-5 times a week, but most importantly brought my a1c down from a 9ish to a 6.2.
As the title says, I just received the phone call saying they're shipping out the G5 today (and that I have to pay the $360 for the machine/first round of supplies), but what should I know about the G5 and using/wearing? I have an iPhone so I'll be using that as the receiver.
Thanks to everyone in the /r/diabetes community to help staying focused!</t>
        </is>
      </c>
      <c r="D1992" t="n">
        <v>5</v>
      </c>
      <c r="E1992" t="n">
        <v>10</v>
      </c>
      <c r="F1992">
        <f>HYPERLINK("https://www.reddit.com/r/diabetes/comments/4j2w6o/just_got_the_okay_on_the_dexcom_g5/")</f>
        <v/>
      </c>
      <c r="G1992" t="inlineStr">
        <is>
          <t>2016-05-12 14:10:24</t>
        </is>
      </c>
      <c r="H1992" t="inlineStr">
        <is>
          <t>Type 1</t>
        </is>
      </c>
    </row>
    <row r="1993">
      <c r="A1993" t="inlineStr">
        <is>
          <t>4j46tx</t>
        </is>
      </c>
      <c r="B1993" t="inlineStr">
        <is>
          <t>How would I use the Humalog U-200 insulin pen compared to my U-100 pens?</t>
        </is>
      </c>
      <c r="C1993" t="inlineStr">
        <is>
          <t>Do I need a special pen needle? My guess is the U-200 pens have more pressure along with the more potent formula and im worried about insulin shooting out and wasting it and making a mess.</t>
        </is>
      </c>
      <c r="D1993" t="n">
        <v>1</v>
      </c>
      <c r="E1993" t="n">
        <v>7</v>
      </c>
      <c r="F1993">
        <f>HYPERLINK("https://www.reddit.com/r/diabetes/comments/4j46tx/how_would_i_use_the_humalog_u200_insulin_pen/")</f>
        <v/>
      </c>
      <c r="G1993" t="inlineStr">
        <is>
          <t>2016-05-12 19:11:22</t>
        </is>
      </c>
      <c r="H1993" t="inlineStr">
        <is>
          <t>Type 1</t>
        </is>
      </c>
    </row>
    <row r="1994">
      <c r="A1994" t="inlineStr">
        <is>
          <t>4j4b0v</t>
        </is>
      </c>
      <c r="B1994" t="inlineStr">
        <is>
          <t>Life officially sucks</t>
        </is>
      </c>
      <c r="C1994" t="inlineStr">
        <is>
          <t>My blood sugar is always high and I need insane levels of insulin to bring it down
Was told to do the keto diet. Makes sense too. Reduce carb intake, lose weight, use less insulin. But I use more insulin not eating cards than when I do eat carbs. Even got a fellow T1 friend and retired nurse with a fitness freak son to monitor and in 1 day I consumed 10g of Carbs and I blew through almost 100 units of insulin that day.
What the hell is going on. 
I got off the diet and im back to using like 80-90 units but while eating around 100g of carbs. This makes no sense.
Also in general, before this diet, I always wake up with really high blood sugar levels. OR, I wake with 100 or some other good number but withing 30min I hit 250-300.
I tried picking up weight lifting since I heard having muscle is good for lower insulin resistance but after 40 minutes to an hour of lifting weights (bench press, squats, etc) I go from 100 to 300+ blood sugar.
Amazing...life sucks.</t>
        </is>
      </c>
      <c r="D1994" t="n">
        <v>13</v>
      </c>
      <c r="E1994" t="n">
        <v>38</v>
      </c>
      <c r="F1994">
        <f>HYPERLINK("https://www.reddit.com/r/diabetes/comments/4j4b0v/life_officially_sucks/")</f>
        <v/>
      </c>
      <c r="G1994" t="inlineStr">
        <is>
          <t>2016-05-12 19:41:03</t>
        </is>
      </c>
      <c r="H1994" t="inlineStr">
        <is>
          <t>Type 1</t>
        </is>
      </c>
    </row>
    <row r="1995">
      <c r="A1995" t="inlineStr">
        <is>
          <t>4j6ko2</t>
        </is>
      </c>
      <c r="B1995" t="inlineStr">
        <is>
          <t>Type 1'ers that were diagnosed between 10-13 what do you wish your parents did differently?</t>
        </is>
      </c>
      <c r="C1995" t="inlineStr">
        <is>
          <t xml:space="preserve">My step daughter was diagnosed 3 weeks ago. I have two step sisters that have Type 1, and for the month prior red flags started popping up all over the place for me. I finally grabbed a meter from one of them and checked her sugar which was 26.2 (Canadian, obvs) and nearly threw up when I saw the number. 
We have been to all the education sessions at this point, and our team is amazing. We are all slowly getting the hang of it. She is using pens, and on 2 injections in the AM and 2 in the PM and desperately wants to get on the pump in a year time (her and I both, stabbing a sobbing child is by far the worst). Some needles are good, but she has a really hard time controlling her emotions when her sugar is high.  
I am SO thankful with my experience with my sisters otherwise I would be MUCHO overwhelmed at this point. I still am to an extent, but not nearly as terrified as my husband. He is dealing quite well, and as a paraplegic due to a car accident has really been able to relate to her on life changing events, but is terrified of giving her needles and not yet sleeping very well at night.
I know everyone is different, and everyone's experience is different but I would love any suggestions, comments, anything really! I just want to make this transition in life as easy as possible. </t>
        </is>
      </c>
      <c r="D1995" t="n">
        <v>8</v>
      </c>
      <c r="E1995" t="n">
        <v>36</v>
      </c>
      <c r="F1995">
        <f>HYPERLINK("https://www.reddit.com/r/diabetes/comments/4j6ko2/type_1ers_that_were_diagnosed_between_1013_what/")</f>
        <v/>
      </c>
      <c r="G1995" t="inlineStr">
        <is>
          <t>2016-05-13 07:30:22</t>
        </is>
      </c>
      <c r="H1995" t="inlineStr">
        <is>
          <t>Type 1</t>
        </is>
      </c>
    </row>
    <row r="1996">
      <c r="A1996" t="inlineStr">
        <is>
          <t>4j7ww4</t>
        </is>
      </c>
      <c r="B1996" t="inlineStr">
        <is>
          <t>Advice on Hypoglycemia and Carb Counting</t>
        </is>
      </c>
      <c r="C1996" t="inlineStr">
        <is>
          <t>Hey everyone. I was just diagnosed with type 1 three months ago. Long story short, went into the hospital with ketoacidosis, had an A1C of 14.5, and blood ph of 6.8, so I feel really lucky to be alive at this point. 
Since I got out, I started eating low carb and exercising more. My sugar levels have been really good for the most part, usually between 70 and 100. However, I started getting more lows recently and am worried I am developing hypoglycemia unawareness. 
My endo prescribed me 22 units of basal at night and 5 units of bolus for each meal, and it's been working out for the most part. I've noticed though that when I am more active and walking around a lot, my blood sugar gets low, like in the 50s and once in the 40s. It has me kind of worried, because the only symptoms I feel are slight dizziness and lack of energy. 
Should I be taking less insulin when I know I will be more active, or eating more carbs? A nutritionist talked to me briefly about carb counting when I was in the hospital, but I'm not really sure how to get started with it. Thanks for the help!</t>
        </is>
      </c>
      <c r="D1996" t="n">
        <v>3</v>
      </c>
      <c r="E1996" t="n">
        <v>7</v>
      </c>
      <c r="F1996">
        <f>HYPERLINK("https://www.reddit.com/r/diabetes/comments/4j7ww4/advice_on_hypoglycemia_and_carb_counting/")</f>
        <v/>
      </c>
      <c r="G1996" t="inlineStr">
        <is>
          <t>2016-05-13 12:16:37</t>
        </is>
      </c>
      <c r="H1996" t="inlineStr">
        <is>
          <t>Type 1</t>
        </is>
      </c>
    </row>
    <row r="1997">
      <c r="A1997" t="inlineStr">
        <is>
          <t>4j85b1</t>
        </is>
      </c>
      <c r="B1997" t="inlineStr">
        <is>
          <t>After 26 years, I had my best a1C ever. Suck it diabetes.</t>
        </is>
      </c>
      <c r="C1997" t="inlineStr">
        <is>
          <t>I just had my best a1C ever. 6.3.. I still can't believe it.</t>
        </is>
      </c>
      <c r="D1997" t="n">
        <v>64</v>
      </c>
      <c r="E1997" t="n">
        <v>27</v>
      </c>
      <c r="F1997">
        <f>HYPERLINK("https://www.reddit.com/r/diabetes/comments/4j85b1/after_26_years_i_had_my_best_a1c_ever_suck_it/")</f>
        <v/>
      </c>
      <c r="G1997" t="inlineStr">
        <is>
          <t>2016-05-13 13:08:17</t>
        </is>
      </c>
      <c r="H1997" t="inlineStr">
        <is>
          <t>Type 1</t>
        </is>
      </c>
    </row>
    <row r="1998">
      <c r="A1998" t="inlineStr">
        <is>
          <t>4j8req</t>
        </is>
      </c>
      <c r="B1998" t="inlineStr">
        <is>
          <t>Quick question from a T2</t>
        </is>
      </c>
      <c r="C1998" t="inlineStr">
        <is>
          <t xml:space="preserve">The doctor just informed me today that I'm T2. Needless to say I'm scared and have about a million questions I need to ask my doctor but my question to you all is what is something you know now that you wish someone would have told you back when you were diagnosed? </t>
        </is>
      </c>
      <c r="D1998" t="n">
        <v>3</v>
      </c>
      <c r="E1998" t="n">
        <v>9</v>
      </c>
      <c r="F1998">
        <f>HYPERLINK("https://www.reddit.com/r/diabetes/comments/4j8req/quick_question_from_a_t2/")</f>
        <v/>
      </c>
      <c r="G1998" t="inlineStr">
        <is>
          <t>2016-05-13 15:28:50</t>
        </is>
      </c>
      <c r="H1998" t="inlineStr">
        <is>
          <t>Type 2</t>
        </is>
      </c>
    </row>
    <row r="1999">
      <c r="A1999" t="inlineStr">
        <is>
          <t>4j8x5g</t>
        </is>
      </c>
      <c r="B1999" t="inlineStr">
        <is>
          <t>Given a Rx for Invokana today -</t>
        </is>
      </c>
      <c r="C1999" t="inlineStr">
        <is>
          <t>I did a search in this subreddit for mentions of Invokana and I've read a lot of helpful information.  Does anyone else have any experiences with this drug they'd like to share or suggestions for me?  How has your insurance handled it?  My doctor said my insurance may kick up a fuss since it's a new drug, but she gave me info about their program that will hopefully give me a $0 co-pay. 
I'm concerned about the ketoacidosis; Thankfully I've been working on upping my water intake over the past 2 months and I now drink around 2 liters a day; I hope that will be enough to stave off any issues. I've never used keto sticks but think I ought to start based on what I've read here.  
Just some background on me - I'm 42, female, diagnosed T2 in October 2014 and I've been taking metformin (500mg 2x daily). My glucose readings had been getting lower until a couple of months ago; they've been haywire the past few weeks. When it started happening I upped my exercise frequency and intensity; I lowered my daily carb intake from 75g to 60g of carbs daily.  In spite of my efforts, losing weight has been a tremendous struggle. It's taken over a year to lose 30lbs, so I'm halfway to my goal of 60lbs total. My doc said this new medication should help me with my weight loss. Fingers crossed!
Thanks in advance for advice, experiences, etc.</t>
        </is>
      </c>
      <c r="D1999" t="n">
        <v>1</v>
      </c>
      <c r="E1999" t="n">
        <v>4</v>
      </c>
      <c r="F1999">
        <f>HYPERLINK("https://www.reddit.com/r/diabetes/comments/4j8x5g/given_a_rx_for_invokana_today/")</f>
        <v/>
      </c>
      <c r="G1999" t="inlineStr">
        <is>
          <t>2016-05-13 16:08:12</t>
        </is>
      </c>
      <c r="H1999" t="inlineStr">
        <is>
          <t>Type 2</t>
        </is>
      </c>
    </row>
    <row r="2000">
      <c r="A2000" t="inlineStr">
        <is>
          <t>4j9tc5</t>
        </is>
      </c>
      <c r="B2000" t="inlineStr">
        <is>
          <t>Diabetes is Weird</t>
        </is>
      </c>
      <c r="C2000" t="inlineStr">
        <is>
          <t>I'm a long time (44 years) T1,  A1c typically 6.0-6.4, weight has been 178 lbs for several years. I take a lot of insulin. 72 units/day Toujeo and about 90 units/day of Novolog. Today I've been having a hard time controlling my Bg. I've averaged about 160 all day.  I'm not stressed or sick. I've taken 248 units of  novolog today and I'm going to bed with my Bg at 245. Oh, and today I've eaten about half the carbs I normally eat.
Tomorrow I'll wake up with my bG at about 110, take no novolg until dinner and my bG will not go over 125. This happens every weekend. My wife says I'm just not diabetic on the weekend.
I'm not complaining. I've had no complications of diabetes and live a  pretty normal and productive life. I'm just amazed at how variable and unpredictable diabetes can be. I guess what I've learned in the last 44 years is to not stress over a poor control day and understand that what goes up must come down. Diabetes is just plain weird.</t>
        </is>
      </c>
      <c r="D2000" t="n">
        <v>33</v>
      </c>
      <c r="E2000" t="n">
        <v>16</v>
      </c>
      <c r="F2000">
        <f>HYPERLINK("https://www.reddit.com/r/diabetes/comments/4j9tc5/diabetes_is_weird/")</f>
        <v/>
      </c>
      <c r="G2000" t="inlineStr">
        <is>
          <t>2016-05-13 20:16:06</t>
        </is>
      </c>
      <c r="H2000" t="inlineStr">
        <is>
          <t>Type 1</t>
        </is>
      </c>
    </row>
    <row r="2001">
      <c r="A2001" t="inlineStr">
        <is>
          <t>4jcnor</t>
        </is>
      </c>
      <c r="B2001" t="inlineStr">
        <is>
          <t>I Put Together a Guide to Athletes with T1 Diabetes</t>
        </is>
      </c>
      <c r="C2001" t="inlineStr">
        <is>
          <t>Speaking from experience when I was diagnosed with T1, the first thing I did when I got home was google athletes and celebrities with diabetes. It gave me a sense of not being alone in the fight, it also assured me that there was no way T1 was going to stop me from living my life or my dreams.
I decided to do a short write up piece of some noteworthy athletes that also have T1 and how they manage and their accomplishments in hopes that it inspires not only newly diabetics but those who may find themselves struggling with motivation. Feel free to check it out and remember you are not alone.
https://gainsandgrammar.wordpress.com/2016/05/14/the-complete-guide-to-athletes-with-t1-diabetes/</t>
        </is>
      </c>
      <c r="D2001" t="n">
        <v>20</v>
      </c>
      <c r="E2001" t="n">
        <v>10</v>
      </c>
      <c r="F2001">
        <f>HYPERLINK("https://www.reddit.com/r/diabetes/comments/4jcnor/i_put_together_a_guide_to_athletes_with_t1/")</f>
        <v/>
      </c>
      <c r="G2001" t="inlineStr">
        <is>
          <t>2016-05-14 12:01:08</t>
        </is>
      </c>
      <c r="H2001" t="inlineStr">
        <is>
          <t>Type 1</t>
        </is>
      </c>
    </row>
    <row r="2002">
      <c r="A2002" t="inlineStr">
        <is>
          <t>4jczr3</t>
        </is>
      </c>
      <c r="B2002" t="inlineStr">
        <is>
          <t>Keto questions for T2</t>
        </is>
      </c>
      <c r="C2002" t="inlineStr">
        <is>
          <t>So I have been trying to understand my diet and trying to figure out how to prevent feeling like I'm constantly in a cloud. I've been reading up on Ketogenic diets and some of the possiblities that it presents for T2 folk.
I've read some of the studies saying that it may result in greater insulin resistance in rats.  I'm just curious to see how folk that have gone VLCKD for longer than a year have felt? I'm not very concerned with weight loss as my BMI is considered normal for my height and weight.  I've been reducing my carb load fairly drastically for the last few days as my eating habits since being diagnosed has not reduced my fasting BG to less than about 120 since I've started.  I'm trying to get myself to "normal" as quickly as possible but I'm a little worried about any long term concerns moving to Keto.</t>
        </is>
      </c>
      <c r="D2002" t="n">
        <v>3</v>
      </c>
      <c r="E2002" t="n">
        <v>27</v>
      </c>
      <c r="F2002">
        <f>HYPERLINK("https://www.reddit.com/r/diabetes/comments/4jczr3/keto_questions_for_t2/")</f>
        <v/>
      </c>
      <c r="G2002" t="inlineStr">
        <is>
          <t>2016-05-14 13:28:15</t>
        </is>
      </c>
      <c r="H2002" t="inlineStr">
        <is>
          <t>Type 2</t>
        </is>
      </c>
    </row>
    <row r="2003">
      <c r="A2003" t="inlineStr">
        <is>
          <t>4je421</t>
        </is>
      </c>
      <c r="B2003" t="inlineStr">
        <is>
          <t>Any Type 1's try Apple Cider Vinegar? Its supposedly good for blood sugar.</t>
        </is>
      </c>
      <c r="C2003" t="inlineStr">
        <is>
          <t xml:space="preserve">http://www.diabetesselfmanagement.com/blog/apple-cider-vinegar-and-diabetes/
Some university study showed it lowered post eating and post fasting blood sugars by like 34% which is kinda a lot and the effect was even greater with those who have high insulin resistance..
If true and you guys have experience with it let me know, I am about to buy 128oz of the stuff off Amazon from Bragg. </t>
        </is>
      </c>
      <c r="D2003" t="n">
        <v>0</v>
      </c>
      <c r="E2003" t="n">
        <v>16</v>
      </c>
      <c r="F2003">
        <f>HYPERLINK("https://www.reddit.com/r/diabetes/comments/4je421/any_type_1s_try_apple_cider_vinegar_its/")</f>
        <v/>
      </c>
      <c r="G2003" t="inlineStr">
        <is>
          <t>2016-05-14 18:39:48</t>
        </is>
      </c>
      <c r="H2003" t="inlineStr">
        <is>
          <t>Type 1</t>
        </is>
      </c>
    </row>
    <row r="2004">
      <c r="A2004" t="inlineStr">
        <is>
          <t>4jjnuh</t>
        </is>
      </c>
      <c r="B2004" t="inlineStr">
        <is>
          <t>I didn't know you could lose all of your teeth due to diabetes? Did you?</t>
        </is>
      </c>
      <c r="C2004" t="inlineStr">
        <is>
          <t>Being a type 2 diabetic for the pasrt 2 years, I've learned something new everyday as far as what I can do, and not do having diabetes. When I read this article about this lady who lost her teeth using Diabetes to lose weight, it just seemed so bizarre. Anyways, you can read the article for yourself here:
http://myhealthnews.co/6455/Woman-loses-her-teeth-after-abusing-diabetes-for-weight-loss-New-York-Post-1463344339</t>
        </is>
      </c>
      <c r="D2004" t="n">
        <v>3</v>
      </c>
      <c r="E2004" t="n">
        <v>14</v>
      </c>
      <c r="F2004">
        <f>HYPERLINK("https://www.reddit.com/r/diabetes/comments/4jjnuh/i_didnt_know_you_could_lose_all_of_your_teeth_due/")</f>
        <v/>
      </c>
      <c r="G2004" t="inlineStr">
        <is>
          <t>2016-05-15 21:48:09</t>
        </is>
      </c>
      <c r="H2004" t="inlineStr">
        <is>
          <t>Type 2</t>
        </is>
      </c>
    </row>
    <row r="2005">
      <c r="A2005" t="inlineStr">
        <is>
          <t>4jlm6e</t>
        </is>
      </c>
      <c r="B2005" t="inlineStr">
        <is>
          <t>Think I forgot to take my levimer</t>
        </is>
      </c>
      <c r="C2005" t="inlineStr">
        <is>
          <t>This is the first time I have let this happen. I'm pretty sure I forgot to take my injection last night for my long acting insulin. Woke up a little over 200, didn't eat anything and thought I would be lower by the time I got to work. It's been 2 hours later and it's up to 250 now, feeling really out of it. I have some short acting insulin with me, but not sure how to get back on track from here. Uggghh today is gonna be rough.</t>
        </is>
      </c>
      <c r="D2005" t="n">
        <v>4</v>
      </c>
      <c r="E2005" t="n">
        <v>5</v>
      </c>
      <c r="F2005">
        <f>HYPERLINK("https://www.reddit.com/r/diabetes/comments/4jlm6e/think_i_forgot_to_take_my_levimer/")</f>
        <v/>
      </c>
      <c r="G2005" t="inlineStr">
        <is>
          <t>2016-05-16 08:14:48</t>
        </is>
      </c>
      <c r="H2005" t="inlineStr">
        <is>
          <t>Type 1</t>
        </is>
      </c>
    </row>
    <row r="2006">
      <c r="A2006" t="inlineStr">
        <is>
          <t>4jm7c4</t>
        </is>
      </c>
      <c r="B2006" t="inlineStr">
        <is>
          <t>Flonase use and high blood sugar</t>
        </is>
      </c>
      <c r="C2006" t="inlineStr">
        <is>
          <t>Has anyone used the over the counter medicine FLonase and has an increase in blood sugar/loss of blood sugar control?</t>
        </is>
      </c>
      <c r="D2006" t="n">
        <v>1</v>
      </c>
      <c r="E2006" t="n">
        <v>6</v>
      </c>
      <c r="F2006">
        <f>HYPERLINK("https://www.reddit.com/r/diabetes/comments/4jm7c4/flonase_use_and_high_blood_sugar/")</f>
        <v/>
      </c>
      <c r="G2006" t="inlineStr">
        <is>
          <t>2016-05-16 10:20:53</t>
        </is>
      </c>
      <c r="H2006" t="inlineStr">
        <is>
          <t>Type 1</t>
        </is>
      </c>
    </row>
    <row r="2007">
      <c r="A2007" t="inlineStr">
        <is>
          <t>4jowar</t>
        </is>
      </c>
      <c r="B2007" t="inlineStr">
        <is>
          <t>Uncontrolled Type 1 for years, lazyness, forgetfulness, no health issues (yet)</t>
        </is>
      </c>
      <c r="C2007" t="inlineStr">
        <is>
          <t>I've been a type 1 diabetic for almost 10 years now (since I was 12, now 22), and for at least 3 or 4 of those years I've had a constant A1C over 9.0, recently in the past year over 12.
I always seem to "forget" or just not realize that I can just get up and take it with minimal effort. I'm amazed I don't have health problems yet, but I'm sure it's coming if I don't change things fast. I've tried a pump (Animas 2020) for more than half of the time, and it was the same thing, forgetting to dial it in and press the button. It got better after moving off the pump and back to pens, though it got worse again after a few months of that.
Currently on NovoLog (1:9 grams) and Levemir (26 units at night), and I never forget the Levemir, or even if I do I realize it within an hour or two and take it. My endo referred me to my primary doctor for regular checkups, which was a combination of outgrowing him, as he was a pediatric endo, and the lack of control.
I have no idea what I can do to remember it, push myself to be proactive about it and take it before eating, etc. I get very little exercise, and it's not because testing my blood sugar or taking insulin hurts, it just doesn't pop up in my head as a thought of something I have to do this second. Did anyone have an issue similar to this, if so, how'd you get past it? At this point in my life, I have no excuse to not be taking care of myself, and after everything it's time to get serious about it.</t>
        </is>
      </c>
      <c r="D2007" t="n">
        <v>3</v>
      </c>
      <c r="E2007" t="n">
        <v>8</v>
      </c>
      <c r="F2007">
        <f>HYPERLINK("https://www.reddit.com/r/diabetes/comments/4jowar/uncontrolled_type_1_for_years_lazyness/")</f>
        <v/>
      </c>
      <c r="G2007" t="inlineStr">
        <is>
          <t>2016-05-16 20:07:23</t>
        </is>
      </c>
      <c r="H2007" t="inlineStr">
        <is>
          <t>Type 1</t>
        </is>
      </c>
    </row>
    <row r="2008">
      <c r="A2008" t="inlineStr">
        <is>
          <t>4jqtow</t>
        </is>
      </c>
      <c r="B2008" t="inlineStr">
        <is>
          <t>My mom got diagnosed with type 2 a couple months ago and I am worried she is not taking it seriously.</t>
        </is>
      </c>
      <c r="C2008" t="inlineStr">
        <is>
          <t>Hello,
I live away from home, so when I heard she was diagnosed I had no way of knowing how she was planning on combating it/if she was actually sticking to it.
Since ive come home for the summer, I have been concerned. She has lost maybe 5 pounds total since the diagnosis and doesnt seem to value weight loss. I personally have lost 25 pounds in the last 6 months using calorie tracking and weighing of foods, so i recommended that but she quickly stopped doing it. She has a policy of in general eating low carb but I dont think she tracks the exact amounts. She is on a medicine but I forget the name. 
I am concerned as she is the type to buy into "snake oil" remedies easily. Correct me if I am wrong, but she was telling me that "all diabetics take cinnamon" as it corrects blood sugar which did not sound right to me. 
Is there any solid resources or tips for helping my mom? I would prefer to see something that has concrete recommendations as she wont believe me otherwise. Any tips in general?</t>
        </is>
      </c>
      <c r="D2008" t="n">
        <v>1</v>
      </c>
      <c r="E2008" t="n">
        <v>11</v>
      </c>
      <c r="F2008">
        <f>HYPERLINK("https://www.reddit.com/r/diabetes/comments/4jqtow/my_mom_got_diagnosed_with_type_2_a_couple_months/")</f>
        <v/>
      </c>
      <c r="G2008" t="inlineStr">
        <is>
          <t>2016-05-17 06:12:32</t>
        </is>
      </c>
      <c r="H2008" t="inlineStr">
        <is>
          <t>Type 2</t>
        </is>
      </c>
    </row>
    <row r="2009">
      <c r="A2009" t="inlineStr">
        <is>
          <t>4jr4n2</t>
        </is>
      </c>
      <c r="B2009" t="inlineStr">
        <is>
          <t>Should two T1's have a child?</t>
        </is>
      </c>
      <c r="C2009" t="inlineStr">
        <is>
          <t>My husband (31M) and I (27F) both have T1 - I was diagnosed when I was 19, he at 21. Neither of us have anyone in our family with diabetes, and we both have good control.
Now we are at the time in our lives where we are thinking about children. He is of the opinion that you can never know if a baby will be healthy or not, and that a life with T1 is still a life worth living. I agree, but am worried about the tremendous guilt I will feel if any future children do have T1. 
I've done the research, and it also looks like our children would only have ~10% chance of getting T1 since we were each diagnosed as adults (although there isn't really much data regarding such a situation). 
Has your diabetes influenced your decision to have/not have children?</t>
        </is>
      </c>
      <c r="D2009" t="n">
        <v>42</v>
      </c>
      <c r="E2009" t="n">
        <v>71</v>
      </c>
      <c r="F2009">
        <f>HYPERLINK("https://www.reddit.com/r/diabetes/comments/4jr4n2/should_two_t1s_have_a_child/")</f>
        <v/>
      </c>
      <c r="G2009" t="inlineStr">
        <is>
          <t>2016-05-17 07:20:24</t>
        </is>
      </c>
      <c r="H2009" t="inlineStr">
        <is>
          <t>Type 1</t>
        </is>
      </c>
    </row>
    <row r="2010">
      <c r="A2010" t="inlineStr">
        <is>
          <t>4jrwjn</t>
        </is>
      </c>
      <c r="B2010" t="inlineStr">
        <is>
          <t>BG Variation in T1/LADA/T2</t>
        </is>
      </c>
      <c r="C2010" t="inlineStr">
        <is>
          <t xml:space="preserve">Since I was diagnosed a little over a year ago with a A1C of 15, 30lbs of weight loss, terrible night leg cramps and frequent bathroom trips, etc. I have wondered about the true BG variation of all three groups of diabetics.  I do realize that LADA is a transitional to T1, but still kind of interested to see what it might look like.
Right away I was tested and have a low CPeptide (0.4 last tested) and showed antibodies, etc. so I know my days without bolus are limited.  Already on basal.
My doc gave me the option to do a CGM for a few days to see what was going on.  I deliberately kept day time carbs normal to what I eat, &amp;lt;60 per meal in most cases.  I let the dinner and weekend spike by eating what I wanted.  Some cases 125g carb per meal....maybe more...I had an apple fritter from my favorite place.  Results are fascinating.
I exercise a lot, do triathlons, etc.  Sensor doesn't like cold days on the bike (alarmed at low 40s all the way through a 40mi bike ride).  The sensor had a couple other things it did strange and I see why you aren't supposed to bolus based on it, but still cool.
Now to the question, anyone know what a T2 looks like under similar circumstances?  This profile still basically look like a T2?
http://imgur.com/7hT8OiN
</t>
        </is>
      </c>
      <c r="D2010" t="n">
        <v>1</v>
      </c>
      <c r="E2010" t="n">
        <v>17</v>
      </c>
      <c r="F2010">
        <f>HYPERLINK("https://www.reddit.com/r/diabetes/comments/4jrwjn/bg_variation_in_t1ladat2/")</f>
        <v/>
      </c>
      <c r="G2010" t="inlineStr">
        <is>
          <t>2016-05-17 09:58:07</t>
        </is>
      </c>
      <c r="H2010" t="inlineStr">
        <is>
          <t>Type 1.5/LADA</t>
        </is>
      </c>
    </row>
    <row r="2011">
      <c r="A2011" t="inlineStr">
        <is>
          <t>4jsu0v</t>
        </is>
      </c>
      <c r="B2011" t="inlineStr">
        <is>
          <t>Just diagnosed</t>
        </is>
      </c>
      <c r="C2011" t="inlineStr">
        <is>
          <t>So I just came from the doctor with an A1C of 9.7 I'm a little scared of how my lifestyle might change. Actually I'm just scared about everything. 
I just wanted to to tell someone who might know how it really is.</t>
        </is>
      </c>
      <c r="D2011" t="n">
        <v>8</v>
      </c>
      <c r="E2011" t="n">
        <v>19</v>
      </c>
      <c r="F2011">
        <f>HYPERLINK("https://www.reddit.com/r/diabetes/comments/4jsu0v/just_diagnosed/")</f>
        <v/>
      </c>
      <c r="G2011" t="inlineStr">
        <is>
          <t>2016-05-17 13:03:51</t>
        </is>
      </c>
      <c r="H2011" t="inlineStr">
        <is>
          <t>Type 1.5/LADA</t>
        </is>
      </c>
    </row>
    <row r="2012">
      <c r="A2012" t="inlineStr">
        <is>
          <t>4jt3lp</t>
        </is>
      </c>
      <c r="B2012" t="inlineStr">
        <is>
          <t>URG. WTF body.</t>
        </is>
      </c>
      <c r="C2012" t="inlineStr">
        <is>
          <t>I'm a t1 on a pump, just as an FYI.
I've recently started a Spring intersession class at my university that runs for 3 weeks (3 hours a day). I eat a fairly average breakfast in the morning (this morning I had a muffin and some milk), but by the time I get home ~4 hours later, my bg is between 14 and 17 (between 250 and 350 for you americans). This morning I woke up and my bg was 6.3 (about 110), counted my carbs EXACTLY as I had this problem all last week, but when I got home to eat lunch, my bg was 18.9 (340). WHAT THE HELL DID I DO TO DESERVE THAT CRAP NUMBER? I eat this type of muffin for breakfast often so I know how many carbs are in them. I'm inclined to blame it on sitting in a room, doing nothing for 3 hours, but that isn't out of the norm for me. And it isn't the insulin because I come down fairly quickly.
This is more or less just a rant. I know I can adjust my basal settings or give myself a temp basal while I am in class, but I have 5 more sessions of this class between this week and next week, so I am not sure if it is worth the experimenting or just coming home and bolusing for the high then (I got home an hour ago and I am already down to 11).</t>
        </is>
      </c>
      <c r="D2012" t="n">
        <v>2</v>
      </c>
      <c r="E2012" t="n">
        <v>12</v>
      </c>
      <c r="F2012">
        <f>HYPERLINK("https://www.reddit.com/r/diabetes/comments/4jt3lp/urg_wtf_body/")</f>
        <v/>
      </c>
      <c r="G2012" t="inlineStr">
        <is>
          <t>2016-05-17 13:58:53</t>
        </is>
      </c>
      <c r="H2012" t="inlineStr">
        <is>
          <t>Type 1</t>
        </is>
      </c>
    </row>
    <row r="2013">
      <c r="A2013" t="inlineStr">
        <is>
          <t>4ju81v</t>
        </is>
      </c>
      <c r="B2013" t="inlineStr">
        <is>
          <t>Controlling an insulin pump from your phone</t>
        </is>
      </c>
      <c r="C2013" t="inlineStr">
        <is>
          <t>I am looking for advice on the best options for an insulin pump that I can use discreetly. I have been a Medtronic pump user since 2005, however, I am increasingly frustrated with Medtronic's inability to provide the services I need. I work in an office and like wearing dresses/pencil skirts etc., this makes taking my pump out to give a bolus or correction incredibly frustrating and embarrassing and means I have very poor control as a result - does no one else have this issue?! All I want is to have a remote device that performs the bolus wizard calculation (i.e. not the incredibly basic contour next link meter) and can deliver insulin without me pulling out my pump. Obviously the best solution  would be to have these capabilities on my phone. I have been reading about the any dana android pump which I understand is available in Australia and England - does anyone have any experience with this? I can't find reviews anywhere. Alternatively, does anyone know of ways to hack your pump and create apps that can deliver insulin to it? 
EDIT: to clarify I am not looking for any old remote that gives manual insulin, I am looking for a remote that performs the bolus wizard calculations, my carb:insulin ratios change frequently throughout the day as does my insulin sensitivity - in particular I'm looking for anyone who has had experience with the dana-r pump and android technology</t>
        </is>
      </c>
      <c r="D2013" t="n">
        <v>2</v>
      </c>
      <c r="E2013" t="n">
        <v>9</v>
      </c>
      <c r="F2013">
        <f>HYPERLINK("https://www.reddit.com/r/diabetes/comments/4ju81v/controlling_an_insulin_pump_from_your_phone/")</f>
        <v/>
      </c>
      <c r="G2013" t="inlineStr">
        <is>
          <t>2016-05-17 18:16:59</t>
        </is>
      </c>
      <c r="H2013" t="inlineStr">
        <is>
          <t>Type 1</t>
        </is>
      </c>
    </row>
    <row r="2014">
      <c r="A2014" t="inlineStr">
        <is>
          <t>4jvx57</t>
        </is>
      </c>
      <c r="B2014" t="inlineStr">
        <is>
          <t>When you inject, how important is it to pinch a fold of fat?</t>
        </is>
      </c>
      <c r="C2014" t="inlineStr">
        <is>
          <t>Something that has been happening to me once in a while. I'll inject, then a watery stream of blood and fluid leaks out. I don't pinch, I just wipe an area with an alcohol pad, measure the dosage and stab. 99% of the time I don't see any blood afterwards.</t>
        </is>
      </c>
      <c r="D2014" t="n">
        <v>1</v>
      </c>
      <c r="E2014" t="n">
        <v>5</v>
      </c>
      <c r="F2014">
        <f>HYPERLINK("https://www.reddit.com/r/diabetes/comments/4jvx57/when_you_inject_how_important_is_it_to_pinch_a/")</f>
        <v/>
      </c>
      <c r="G2014" t="inlineStr">
        <is>
          <t>2016-05-18 02:58:32</t>
        </is>
      </c>
      <c r="H2014" t="inlineStr">
        <is>
          <t>Type 2</t>
        </is>
      </c>
    </row>
    <row r="2015">
      <c r="A2015" t="inlineStr">
        <is>
          <t>4jwvjj</t>
        </is>
      </c>
      <c r="B2015" t="inlineStr">
        <is>
          <t>[Type 1] - My little brother was just diagnosed - how can i support him?</t>
        </is>
      </c>
      <c r="C2015" t="inlineStr">
        <is>
          <t>My little brother is 16, he just got hospitalised today and the doctors are saying he has type 1 diabetes. he was really sick and hes got a lot of IVs and needles in him. they're going to keep him for a few days and check on him every hour.
How can i help him adjust to this? i know if i was in his shoes i'd be feeling really down. Any advice is really welcome, its taken the whole family by shock because its right off the back of my other brother being hospitalised (for a much less serious issue thankfully)</t>
        </is>
      </c>
      <c r="D2015" t="n">
        <v>1</v>
      </c>
      <c r="E2015" t="n">
        <v>4</v>
      </c>
      <c r="F2015">
        <f>HYPERLINK("https://www.reddit.com/r/diabetes/comments/4jwvjj/type_1_my_little_brother_was_just_diagnosed_how/")</f>
        <v/>
      </c>
      <c r="G2015" t="inlineStr">
        <is>
          <t>2016-05-18 07:19:48</t>
        </is>
      </c>
      <c r="H2015" t="inlineStr">
        <is>
          <t>Type 1</t>
        </is>
      </c>
    </row>
    <row r="2016">
      <c r="A2016" t="inlineStr">
        <is>
          <t>4jx89v</t>
        </is>
      </c>
      <c r="B2016" t="inlineStr">
        <is>
          <t>Lows without highs?</t>
        </is>
      </c>
      <c r="C2016" t="inlineStr">
        <is>
          <t xml:space="preserve">On average, I stay around 100 to 120. I'll often drop down to 80 or 90, but that normally only happens if I don't eat for a few hours.
The issue I'm having is that I keep dropping down to like [56](http://i.imgur.com/K2nH0zD.jpg) and [65](http://i.imgur.com/lDCyaDF.jpg). without ever going to high at all.
Is it at all possible that I take too much Metformin HCL? I'm on 1000mg twice a day. (Morning/Night)
My highest, so far, has been a [192](http://i.imgur.com/csbkEtC.jpg). (My highest recently was only a [144](http://i.imgur.com/UEWYT1s.jpg))
1. I have no idea what's going on.
2. Are these levels good?
**EDIT:**
My body is trying to kill me... http://i.imgur.com/TY5WCie.jpg
</t>
        </is>
      </c>
      <c r="D2016" t="n">
        <v>1</v>
      </c>
      <c r="E2016" t="n">
        <v>6</v>
      </c>
      <c r="F2016">
        <f>HYPERLINK("https://www.reddit.com/r/diabetes/comments/4jx89v/lows_without_highs/")</f>
        <v/>
      </c>
      <c r="G2016" t="inlineStr">
        <is>
          <t>2016-05-18 08:31:23</t>
        </is>
      </c>
      <c r="H2016" t="inlineStr">
        <is>
          <t>Type 2</t>
        </is>
      </c>
    </row>
    <row r="2017">
      <c r="A2017" t="inlineStr">
        <is>
          <t>4jx8uu</t>
        </is>
      </c>
      <c r="B2017" t="inlineStr">
        <is>
          <t>[Discussion] If one invents an accurate re-usable test strip, they are instantly a multi-millionaire</t>
        </is>
      </c>
      <c r="C2017" t="inlineStr">
        <is>
          <t>Is there a way to re-use test strips by alcohol solution, hot water ECT.?</t>
        </is>
      </c>
      <c r="D2017" t="n">
        <v>6</v>
      </c>
      <c r="E2017" t="n">
        <v>7</v>
      </c>
      <c r="F2017">
        <f>HYPERLINK("https://www.reddit.com/r/diabetes/comments/4jx8uu/discussion_if_one_invents_an_accurate_reusable/")</f>
        <v/>
      </c>
      <c r="G2017" t="inlineStr">
        <is>
          <t>2016-05-18 08:34:43</t>
        </is>
      </c>
      <c r="H2017" t="inlineStr">
        <is>
          <t>Type 2</t>
        </is>
      </c>
    </row>
    <row r="2018">
      <c r="A2018" t="inlineStr">
        <is>
          <t>4jxbea</t>
        </is>
      </c>
      <c r="B2018" t="inlineStr">
        <is>
          <t>How long does it take to get a CGM after approval from your endo?</t>
        </is>
      </c>
      <c r="C2018" t="inlineStr">
        <is>
          <t>HMO, in the U.S. - Typically, how long does it take for you to get one? Is this something you can get a Rx for from your endo, take it to your local CVS to fill or is it a process that takes much longer?
I can't get in to see my medical group's endo until the end of June and am planning to go on vacation in late July (would love to have it by then since I'm traveling abroad).</t>
        </is>
      </c>
      <c r="D2018" t="n">
        <v>1</v>
      </c>
      <c r="E2018" t="n">
        <v>8</v>
      </c>
      <c r="F2018">
        <f>HYPERLINK("https://www.reddit.com/r/diabetes/comments/4jxbea/how_long_does_it_take_to_get_a_cgm_after_approval/")</f>
        <v/>
      </c>
      <c r="G2018" t="inlineStr">
        <is>
          <t>2016-05-18 08:48:31</t>
        </is>
      </c>
      <c r="H2018" t="inlineStr">
        <is>
          <t>Type 1.5/LADA</t>
        </is>
      </c>
    </row>
    <row r="2019">
      <c r="A2019" t="inlineStr">
        <is>
          <t>4jxm59</t>
        </is>
      </c>
      <c r="B2019" t="inlineStr">
        <is>
          <t>Diabetes "reversal," "remission," some speculation out of my wazoo, and I need to get back on the wagon.</t>
        </is>
      </c>
      <c r="C2019" t="inlineStr">
        <is>
          <t>Say whatever you want about the Newcastle study, or other claims of "reversal" but it appears for some newly diagnosed T2's a short course of insulin therapy appears to give the pancreas a break and recover some of the first-phase insulin response (refer to http://care.diabetesjournals.org/content/27/5/1028). Per the article,
CONCLUSIONS—These results demonstrate that in newly diagnosed type 2 diabetes with elevated fasting glucose levels, a 2- to 3-week course of intensive insulin therapy can successfully lay a foundation for prolonged good glycemic control. The ease with which normoglycemia is achieved on insulin may predict those patients who can later succeed in controlling glucose levels with attention to diet alone.
I think how the so-called "remission" or "reversal" could work is, for example, if you have a newly diagnosed person with T2D that is obese and hyperinsulinemic. Being obese, weight loss reduces insulin resistance. A weight loss to a normal BMI would reduce insulin resistance quite a bit. Couple the weight loss with a nice vacation for the beta cells (a very low carb diet to give them less work to do and to get glucose levels down), someone may have enough beta cell function to be able to tolerate a significant amount of carbohydrate. Someone with more severe loss of beta cell function may not achieve the so called "reversal," or in other words "reversal" may occur only with a subset of T2Ds. 
For example, I was doing well with diet and exercise for a while (went down from 250 to 195), but then due to circumstances I fell off the wagon, gained most of the weight back (at 240something now), and surprise my post-prandial numbers got worse. As an n=1 I should just get my weight down to 170 (which would land me squarely in a healthy BMI at 6'0"), stick with the weight lifting, then get an OGTT to see what the hell happens.</t>
        </is>
      </c>
      <c r="D2019" t="n">
        <v>2</v>
      </c>
      <c r="E2019" t="n">
        <v>0</v>
      </c>
      <c r="F2019">
        <f>HYPERLINK("https://www.reddit.com/r/diabetes/comments/4jxm59/diabetes_reversal_remission_some_speculation_out/")</f>
        <v/>
      </c>
      <c r="G2019" t="inlineStr">
        <is>
          <t>2016-05-18 09:47:32</t>
        </is>
      </c>
      <c r="H2019" t="inlineStr">
        <is>
          <t>Type 2</t>
        </is>
      </c>
    </row>
    <row r="2020">
      <c r="A2020" t="inlineStr">
        <is>
          <t>4jxs8g</t>
        </is>
      </c>
      <c r="B2020" t="inlineStr">
        <is>
          <t>Pizza love</t>
        </is>
      </c>
      <c r="C2020" t="inlineStr">
        <is>
          <t>Please help me solve the enigma that is dosing for pizza!  I'm pretty new to the omnipod and understand that there is a way to 'spread out' the bolus for pizza.  I've eaten a lot of pizza over the years and have yet to nail it by having a good number after I eat...</t>
        </is>
      </c>
      <c r="D2020" t="n">
        <v>8</v>
      </c>
      <c r="E2020" t="n">
        <v>21</v>
      </c>
      <c r="F2020">
        <f>HYPERLINK("https://www.reddit.com/r/diabetes/comments/4jxs8g/pizza_love/")</f>
        <v/>
      </c>
      <c r="G2020" t="inlineStr">
        <is>
          <t>2016-05-18 10:19:50</t>
        </is>
      </c>
      <c r="H2020" t="inlineStr">
        <is>
          <t>Type 1</t>
        </is>
      </c>
    </row>
    <row r="2021">
      <c r="A2021" t="inlineStr">
        <is>
          <t>4jxyyv</t>
        </is>
      </c>
      <c r="B2021" t="inlineStr">
        <is>
          <t>T1. I really need advice.</t>
        </is>
      </c>
      <c r="C2021" t="inlineStr">
        <is>
          <t xml:space="preserve">Hey guys and gals, I've been subbed here for a while and have always been pretty quick to reach out or give advice when it was appropriate. I'm writing today because I'm the one in need of help. I'll give you a quick preface in that I was dx'd at 5 and am 26 now. I suffer from clinical depression and anxiety which I am unmedicated for. My father was T1 since 13 and managed my disease for me until I was a teenager, which was one of the worst periods of my life for the disease, A1C's in the 11 to 13's and total disregard for care. At 18 I decided to get my ass in gear and started treating myself almost neurotically, but have never been able to get that sweet 6.0 A1C, always ranging in the 7's-8's instead. It was only until December 22nd, 2015 that I started my insulin pump and have not yet seen my Endo for an A1C.  
A month ago I resigned from my job as an EMT and Nurses aid from a hospital after 3 years because of my uncontrolled depression. My psychologist who I've seen for almost 8 years now was "not interested in forming a relationship unless I could afford it" (verbatim) so I need to seek an alternate Dr. for an antidepressant. I've seen what happens to us when we don't take care of ourselves and it's only making me more anxious and depressed, so much so that I've stagnated and have been having a very hard time keeping my post meal spikes below 200 after 2 hours. The pump has helped me so much but I feel like I've almost neglected the fact that I have the disease after 20 years of manual injections almost 14 times a day and 15 blood tests a day because it feels so liberating to have a device to do that for me. 
I'm on my state's low income healthcare plan while I work out my situation but I'm calling my endo to see if he'll accept me with the new insurance plan I'm on, but I'm scared. I'm scared of complications, I'm scared that my urine has bubbles in it every time I pee (which is probably just because of dehydration but the anxiety and webmd tell me otherwise.). I'm scared that I don't exercise and have never been able to gain muscle or weight past 140 as a 6'0 adult male. I'm scared that I know my disease like the back of my hand but I'm watching myself slowly lose a fight that I can easily win. I don't know what to do or where to go for help. I don't even know where to start with exercise outside of a hike. I've been terrified of going low after 2 traumatic experiences that any kind of excessive workout is going to kill me, but if I don't the latter will. My father is now 57 and has zero complications, I want to be like him, I want to be like the 80 year old patients I've had with diabetes who have lived a great life. I dread asking my doc for a urinalysis or detailed lab because of what it might show. If this came off more like a rant it's because I've never asked anyone for help in this, looking for a support group because I've never really fully let my emotions go when it comes to talk of the disease. It's hard and right now I don't really know what else to do.
I love you fam, hope you're all well. </t>
        </is>
      </c>
      <c r="D2021" t="n">
        <v>10</v>
      </c>
      <c r="E2021" t="n">
        <v>14</v>
      </c>
      <c r="F2021">
        <f>HYPERLINK("https://www.reddit.com/r/diabetes/comments/4jxyyv/t1_i_really_need_advice/")</f>
        <v/>
      </c>
      <c r="G2021" t="inlineStr">
        <is>
          <t>2016-05-18 10:56:11</t>
        </is>
      </c>
      <c r="H2021" t="inlineStr">
        <is>
          <t>Type 1</t>
        </is>
      </c>
    </row>
    <row r="2022">
      <c r="A2022" t="inlineStr">
        <is>
          <t>4k1k1v</t>
        </is>
      </c>
      <c r="B2022" t="inlineStr">
        <is>
          <t>As a T1, I hate steroids</t>
        </is>
      </c>
      <c r="C2022" t="inlineStr">
        <is>
          <t xml:space="preserve">I usually just lurk here but I wanted to make a thread to vent if that’s okay.
To start I've been a T1 MDI for a few years now. This is probably just me complaining but this weekend I went to the ER for Bell’s Palsy, a viral infection that made it so I couldn’t move the left side of my face, and my blood sugar levels have been out of control because of the steroids they put me on. I was prescribed with the time frame of 3-10 days and my endocrinologist knows what’s going on but it’s still been a struggle. 
Usually I consider 160 to be extremely high but this week it’s a struggle to keep it in the low 200s. My last A1C was something like 6.7 but we'll see what it's like at my next appointment. I feel like both the steroids and blood sugar levels have put me in an extremely moody state but that might just be me making excuses. 
I’ve been talking with my endocrinologist and have doubled my short term insulin and increased my long term by a sizable margin but the numbers keep inching back up there. It’s just so frustrating to be this out of control, it’s like I’m not working with my body that I’ve been slowly learning how to function with over the last couple of years. I know that in the long run this week and a half won’t necessarily matter but right now it’s the only thing I can think of.
I have an appointment for Monday and am trying to work with my doctors on the phone to get things at least partially stabilized. Again I’m probably just venting I just hate feeling so out of control of my body. 
Again sorry for the rant, just feeling really down tonight seeing a 300 pop up on my meter. I know I’ll get past it but I wish I didn’t feel like I was doing permanent damage to my body when I’m just trying to function as T1 diabetic and even to extent a person with how moody I’ve been the last few days.
TL;DR I'm a T1 who is dealing with Bell's Palsy and the steroids I'm on are wrecking my BS levels.
</t>
        </is>
      </c>
      <c r="D2022" t="n">
        <v>4</v>
      </c>
      <c r="E2022" t="n">
        <v>7</v>
      </c>
      <c r="F2022">
        <f>HYPERLINK("https://www.reddit.com/r/diabetes/comments/4k1k1v/as_a_t1_i_hate_steroids/")</f>
        <v/>
      </c>
      <c r="G2022" t="inlineStr">
        <is>
          <t>2016-05-19 01:46:00</t>
        </is>
      </c>
      <c r="H2022" t="inlineStr">
        <is>
          <t>Type 1</t>
        </is>
      </c>
    </row>
    <row r="2023">
      <c r="A2023" t="inlineStr">
        <is>
          <t>4k4fk2</t>
        </is>
      </c>
      <c r="B2023" t="inlineStr">
        <is>
          <t>T1D In need of your help/guidance/support once again</t>
        </is>
      </c>
      <c r="C2023" t="inlineStr">
        <is>
          <t>Sorry for grammar/spelling/language/etc. I'm at work and super stressed out and upset and it's difficult to keep up my poker face.
Anyway, summary. 
T1d for about 4 years now (about to be 27) started strong then plummeted after the first year, stopped taking care of myself. Went to the hospital too many times for DKA, but didn't change much until I left my psycho ex (she was a bitch anyway). I picked up momentum and was taking care of myself and doing good with an omnipod until I moved into my new apartment and all my equipment got destroyed in a flood. I couldn't get it replaced because I just turned 26 and was kicked off my parents insurance. Major downward spiral after that, rationing the stockpile of insulin I saved up. I ran out and relied on whatever I could get from my endo and my parent's primary. Major breakdown again about 4 months ago when I was super depressed/suicidal and this community helped me get back up and start moving again (I will always love all of you for that)
So after my major breakdown a couple of months ago things were going okay, but I've started falling back down into the spiral once again. I haven't been taking care of myself much at all. I rarely ever check my blood, guessing dosages again, increasingly more and more depressed and hopeless with each passing day and the only way I can sleep is to either drown myself in whiskey or smoke weed until I pass out. Not good at all. I was able to get insurance through the state's marketplace, but its crazy expensive ($300+/mo + $2500 deductible for low level coverage). Apparently I make too much to get assistance, but theyre perfectly fine with me starving in order to pay for this shit. I have very little knowledge when it comes to how insurances work. Its hard enough to pay for that along with my doctor visits, but my insurance wont take care of my prescriptions until I pay my deductible. That means instead of paying like $35 for my insulin, I'm looking at $400+ a box. Talking roughly $1000 in one shot because I need both levemir and humalog/novolog. I'm 26 years old, barely making ends meet with dept up to my eyeballs as is. How the hell do they expect me to pay for this? I tried calling the insurance and the marketplace to try changing to a higher plan with no deductable, but I'm past the point where I can change it. I was practically begging, explaining how its literally a life or death situation. No luck at all with any of the cold hearted souls I was talking to. Each one telling me I have to wait until november to change plans. NOVEMBER! 
I'm able to get some of my medicine from my endo today, but it's just buying a little more time for me to figure out what to do. every plan I come up with leaves me starving, broke, back in the hospital, or dead. Its driving me crazy, I'm stressed out beyond belief and it's taking a toll on every aspect of my life right now, so I come to you lovely people for guidance in another rough time in my life. I know many of you have gone through similar/worse struggles so at least I know I'm not alone. I just wan't to stop struggling to survive and just be able to fucking live for once.</t>
        </is>
      </c>
      <c r="D2023" t="n">
        <v>8</v>
      </c>
      <c r="E2023" t="n">
        <v>18</v>
      </c>
      <c r="F2023">
        <f>HYPERLINK("https://www.reddit.com/r/diabetes/comments/4k4fk2/t1d_in_need_of_your_helpguidancesupport_once_again/")</f>
        <v/>
      </c>
      <c r="G2023" t="inlineStr">
        <is>
          <t>2016-05-19 13:10:40</t>
        </is>
      </c>
      <c r="H2023" t="inlineStr">
        <is>
          <t>Type 1</t>
        </is>
      </c>
    </row>
    <row r="2024">
      <c r="A2024" t="inlineStr">
        <is>
          <t>4k5jiy</t>
        </is>
      </c>
      <c r="B2024" t="inlineStr">
        <is>
          <t>Feedback requested for PredictBGL App for MDI users</t>
        </is>
      </c>
      <c r="C2024" t="inlineStr">
        <is>
          <t>We just released a free version of the PredictBGL App - it's an insulin  dose calculator that makes it very easy to identify incorrect doses within 3 hours not 14 days. It can also help you avoid hypos by predicting future blood sugar levels.
We'd love some feedback on the product's capabilities please!
  https://play.google.com/store/apps/details?id=com.managebgl.predictbgl2</t>
        </is>
      </c>
      <c r="D2024" t="n">
        <v>3</v>
      </c>
      <c r="E2024" t="n">
        <v>3</v>
      </c>
      <c r="F2024">
        <f>HYPERLINK("https://www.reddit.com/r/diabetes/comments/4k5jiy/feedback_requested_for_predictbgl_app_for_mdi/")</f>
        <v/>
      </c>
      <c r="G2024" t="inlineStr">
        <is>
          <t>2016-05-19 17:05:44</t>
        </is>
      </c>
      <c r="H2024" t="inlineStr">
        <is>
          <t>Type 1</t>
        </is>
      </c>
    </row>
    <row r="2025">
      <c r="A2025" t="inlineStr">
        <is>
          <t>4k5kuu</t>
        </is>
      </c>
      <c r="B2025" t="inlineStr">
        <is>
          <t>Underweight 23 year old diagnosed T2 - is a second opinion wise?</t>
        </is>
      </c>
      <c r="C2025" t="inlineStr">
        <is>
          <t>A friend of mine was diagnosed with T2 today. He's 23 years old, 5'11 and 120 lbs. He leads a sedentary lifestyle and his diet contains a lot of processed and fast food but is relatively low on sugar. I'm not sure whether he has a family history of diabetes or not. He was diagnosed following a lengthy period of weight loss, frequent thirst, fatigue/listlessness, and breathing difficulties. He was overweight as a child and teenager, but has been slender for the past few years and has lost nearly twenty pounds over the past six months without trying.
Because of his age and weight, am I correct to suspect that he may have been misdiagnosed and actually has T1 or LADA? Should I advise him to seek a second opinion or further testing?
EDIT: Thanks so much for all of the very helpful advice. I'll be advising him to get another opinion.</t>
        </is>
      </c>
      <c r="D2025" t="n">
        <v>4</v>
      </c>
      <c r="E2025" t="n">
        <v>9</v>
      </c>
      <c r="F2025">
        <f>HYPERLINK("https://www.reddit.com/r/diabetes/comments/4k5kuu/underweight_23_year_old_diagnosed_t2_is_a_second/")</f>
        <v/>
      </c>
      <c r="G2025" t="inlineStr">
        <is>
          <t>2016-05-19 17:14:15</t>
        </is>
      </c>
      <c r="H2025" t="inlineStr">
        <is>
          <t>Type 2</t>
        </is>
      </c>
    </row>
    <row r="2026">
      <c r="A2026" t="inlineStr">
        <is>
          <t>4k5xlw</t>
        </is>
      </c>
      <c r="B2026" t="inlineStr">
        <is>
          <t>Confusing advice - Squeezing the finger/pressure on finger during BG tests?</t>
        </is>
      </c>
      <c r="C2026" t="inlineStr">
        <is>
          <t xml:space="preserve">Hi all!
As seems to be the norm, I'm having a real tough time getting confusing or helpful answers off Google. I'm interested in your experiences/advice, you've all been massively helpful so far.
I came across warnings not to squeeze the finger during a BG test to avoid contaminating the results (I'm assuming the result would be lower than it actually is). Some sites say don't apply any pressure (this seems unreasonable), others say simply "don't squeeze", and others say "don't squeeze too hard". And others say to squeeze. A nurse recommended I apply light pressure slowly towards the finger/sort of rub it (this has worked well).
For the most part we're no longer having trouble getting enough blood out of my fingers, but sometimes we do have to apply a little pressure or squeeze to get enough out. But every time we get a half-decent result and we've applied any pressure, I worry that it's falsely low. If we're only applying mild pressure (as alan_s puts it: "Massage gently (milking a cow) until a drop of blood forms sufficient to put on the test strip")), are the results "accurate enough"? </t>
        </is>
      </c>
      <c r="D2026" t="n">
        <v>3</v>
      </c>
      <c r="E2026" t="n">
        <v>5</v>
      </c>
      <c r="F2026">
        <f>HYPERLINK("https://www.reddit.com/r/diabetes/comments/4k5xlw/confusing_advice_squeezing_the_fingerpressure_on/")</f>
        <v/>
      </c>
      <c r="G2026" t="inlineStr">
        <is>
          <t>2016-05-19 18:43:43</t>
        </is>
      </c>
      <c r="H2026" t="inlineStr">
        <is>
          <t>Type 1.5/LADA</t>
        </is>
      </c>
    </row>
    <row r="2027">
      <c r="A2027" t="inlineStr">
        <is>
          <t>4k5za8</t>
        </is>
      </c>
      <c r="B2027" t="inlineStr">
        <is>
          <t>Tired almost everyday. T1D</t>
        </is>
      </c>
      <c r="C2027" t="inlineStr">
        <is>
          <t>Hey guys, this past year I have had quite bad brain fog/tiredness almost everyday. I have been a T1 diabetic for almost 5 years, have an A1C of 6.4 and exersice/eat very well. This problem is really bothering me; I never want to do anything because mentally I feel like crap and struggle to be social when I can't think straight. If anyone else has experienced this and has some tips that would be greatly appreciated!</t>
        </is>
      </c>
      <c r="D2027" t="n">
        <v>10</v>
      </c>
      <c r="E2027" t="n">
        <v>11</v>
      </c>
      <c r="F2027">
        <f>HYPERLINK("https://www.reddit.com/r/diabetes/comments/4k5za8/tired_almost_everyday_t1d/")</f>
        <v/>
      </c>
      <c r="G2027" t="inlineStr">
        <is>
          <t>2016-05-19 18:55:25</t>
        </is>
      </c>
      <c r="H2027" t="inlineStr">
        <is>
          <t>Type 1</t>
        </is>
      </c>
    </row>
    <row r="2028">
      <c r="A2028" t="inlineStr">
        <is>
          <t>4k93r0</t>
        </is>
      </c>
      <c r="B2028" t="inlineStr">
        <is>
          <t>25 year old diagnosed with Type 1 yesterday</t>
        </is>
      </c>
      <c r="C2028" t="inlineStr">
        <is>
          <t>So I got the bad news yesterday. Don't really have any burning questions, just wanted to say hello to a subreddit I never thought I'd have to subscribe to. I appreciate all the very informative posts I've been combing through already, I find being more informed is reducing the anxiety a bit. Still struggling with the whole lifelong incurable disease thing, but I'm sure that's fairly normal. 
Any tips or advice are greatly appreciated.</t>
        </is>
      </c>
      <c r="D2028" t="n">
        <v>54</v>
      </c>
      <c r="E2028" t="n">
        <v>84</v>
      </c>
      <c r="F2028">
        <f>HYPERLINK("https://www.reddit.com/r/diabetes/comments/4k93r0/25_year_old_diagnosed_with_type_1_yesterday/")</f>
        <v/>
      </c>
      <c r="G2028" t="inlineStr">
        <is>
          <t>2016-05-20 09:40:07</t>
        </is>
      </c>
      <c r="H2028" t="inlineStr">
        <is>
          <t>Type 1</t>
        </is>
      </c>
    </row>
    <row r="2029">
      <c r="A2029" t="inlineStr">
        <is>
          <t>4k9iao</t>
        </is>
      </c>
      <c r="B2029" t="inlineStr">
        <is>
          <t>LADA Diagnosis at age 26, requesting some fitness and general advice. ( Very Long Initial post - Sorry! )</t>
        </is>
      </c>
      <c r="C2029" t="inlineStr">
        <is>
          <t xml:space="preserve">I was informally diagnosed with diabetes in 2013, my family doctor did not do any further blood work aside from A1C for almost two years. Sent me to his in-house chronic disease management nurse who was a complete quack.
I had been very active since 2010, lost &amp;gt;30 pounds and kept it off during this time. I exercise daily (Mixed martial arts, running, hot yoga, strength training). I had (and still have) a great diet. I was frustrated with meetings with him evasively accusing me of lying about my diet since my A1C was greater than 6.0- I am 5'7 and weighed 147 pounds and was in the best shape of my life. I was actually still losing weight rapidly and had a very low body fat percentage and they STILL insisted it was Type 2 and that I shouldn't be worrying about the type and instead making "better food choices". They prescribed me metformin, I was incredibly sick every day, losing more weight as they had me on a high dose and I was not satisfied with where I was heading with this particular doctor. I was receiving comments from my family, martial arts instructors and friends that I was losing a lot of weight in a concerning way.
In 2015 I requested a referral to an endocrinologist and Rheumatologist who had an antibody profile done and within a week I had the results that I tested positive for a few antibodies- most notably the GAD65 antibody. She called me and told me to stop taking metformin immediately and come in the next day to begin consulting with medical professionals to help me learn how to begin taking Insulin. This was a year ago, and I am still adjusting my dosages as I am reaching the end of my "honeymoon phase". Luckily when they initially caught my diagnosis it was when I still had some insulin production. 
TL;DR - Misdiagnosed for 2 years with type 2 despite being athletic with good diet- finally got diagnosis of LADA with request for Endocrinologist / Rheumatologist. Getting things under control. 
Sorry for the long post, but my issue us now that I am really noticing how easy it really is to gain weight. While I eat the right types of foods, portion control is really a bitch for me to get under control. I am still trying to adjust my insulin doses for exercise, as I find that I really go low if I am taking insulin with my meal before my work-out and that I am prone to going low if I take insulin with my meal immediately afterward. Where I am still in a honeymoon decline, my doses change  over time. I also am having a really hard time in maintaining discipline with testing, insulin and portions. I became really de-motivated for awhile, and suffered a devastating lower back injury that knocked me out of commission for several months.
Basically, the people who educate me right now are not athletic and have very vague instructions that vary regarding my fitness goals while properly managing my diabetes. I want to tighten my diet in a way that is safe and will help me achieve my goals. After addressing my back injury- I am really motivated and want to maximize my results. 
Any dietary / routine suggestions for the gym? I meal prep, and really enjoy weight lifting these days. Before my back injury I was into Mark Rippitoe's starting strength program and just recently got the all clear to resume strength training in addition to addressing my imbalances.
I am totally open to suggestions across the board with managing my sugar, ways to address my lack of discipline and I totally appreciate anyone taking the time to read my novel here about my experience so far. 
</t>
        </is>
      </c>
      <c r="D2029" t="n">
        <v>2</v>
      </c>
      <c r="E2029" t="n">
        <v>8</v>
      </c>
      <c r="F2029">
        <f>HYPERLINK("https://www.reddit.com/r/diabetes/comments/4k9iao/lada_diagnosis_at_age_26_requesting_some_fitness/")</f>
        <v/>
      </c>
      <c r="G2029" t="inlineStr">
        <is>
          <t>2016-05-20 11:01:12</t>
        </is>
      </c>
      <c r="H2029" t="inlineStr">
        <is>
          <t>Type 1.5/LADA</t>
        </is>
      </c>
    </row>
    <row r="2030">
      <c r="A2030" t="inlineStr">
        <is>
          <t>4kawaf</t>
        </is>
      </c>
      <c r="B2030" t="inlineStr">
        <is>
          <t>Without a meter until Monday</t>
        </is>
      </c>
      <c r="C2030" t="inlineStr">
        <is>
          <t>Need some advice.
So, it turns out the meter that I got about a year ago was a mix up. The meter I was prescribed was different from the one the pharmacy gave me. 
So, for the past year, I've been using an 8-year-old meter! Woo!
So, my doc freaked out and immediately ordered me a new meter.
Problem is, I am now flying blind for two days.
As a Type 2, it's not super life-threatening, but I still don't like this. Any advice?</t>
        </is>
      </c>
      <c r="D2030" t="n">
        <v>1</v>
      </c>
      <c r="E2030" t="n">
        <v>15</v>
      </c>
      <c r="F2030">
        <f>HYPERLINK("https://www.reddit.com/r/diabetes/comments/4kawaf/without_a_meter_until_monday/")</f>
        <v/>
      </c>
      <c r="G2030" t="inlineStr">
        <is>
          <t>2016-05-20 15:54:59</t>
        </is>
      </c>
      <c r="H2030" t="inlineStr">
        <is>
          <t>Type 2</t>
        </is>
      </c>
    </row>
    <row r="2031">
      <c r="A2031" t="inlineStr">
        <is>
          <t>4kbhdf</t>
        </is>
      </c>
      <c r="B2031" t="inlineStr">
        <is>
          <t>New T1D here. Want to try drinking beer tomorrow</t>
        </is>
      </c>
      <c r="C2031" t="inlineStr">
        <is>
          <t>Hi,
I'm new here and newly diagnosed with T1 Diabetes (two days ago). I've been reading through some threads here and it's been insanely helpful.
My question is tho, and I'm mostly looking for advice on this. But I'm going to the park tomorrow, with a lot of friends and I might want to have 5-6 beers while I'm there.
Of course I'm newly diagnosed and just learnig how to monitor and manage my glucose levels. But at the same time I don't want this to take control of my life, I wanna take control of it. I don't wanna sulk and be down.. well you get my drift.
I'm not talking about hitting the bar and a night out, just asking about when to shoot, before, after, during ? 
Edit: I'm 29 years old</t>
        </is>
      </c>
      <c r="D2031" t="n">
        <v>1</v>
      </c>
      <c r="E2031" t="n">
        <v>10</v>
      </c>
      <c r="F2031">
        <f>HYPERLINK("https://www.reddit.com/r/diabetes/comments/4kbhdf/new_t1d_here_want_to_try_drinking_beer_tomorrow/")</f>
        <v/>
      </c>
      <c r="G2031" t="inlineStr">
        <is>
          <t>2016-05-20 18:23:57</t>
        </is>
      </c>
      <c r="H2031" t="inlineStr">
        <is>
          <t>Type 1</t>
        </is>
      </c>
    </row>
    <row r="2032">
      <c r="A2032" t="inlineStr">
        <is>
          <t>4kcp7k</t>
        </is>
      </c>
      <c r="B2032" t="inlineStr">
        <is>
          <t>Newly diagnosed Type 1 here, having trouble eating carbs for dinner</t>
        </is>
      </c>
      <c r="C2032" t="inlineStr">
        <is>
          <t>Hey guys, I got diagnosed about 4-5 months ago, and I actually think I'm doing somewhat fine.
There is, however, one thing I cant figure out, and it annoys me to no end.
I cant eat more than 1.5 slices of bread or have a oatmeal dinner, and I cant figure out why.
I eat, bolus accordingly, and 1-2h after eating everythings fine. I eat at around 17:30-18:00, but at about 22:00-23:00 my sugar suddenly begins to rise until about 5-6am.
If I go to bed at 22:00 with a sugar level of 100, Im bound to wake up to 170+.
I had the same scenario yesterday; I was eating a bit less bread to test the boundaries:
18:30  -  102
19:40  -  135
21:47  -  162 (Injected 2 Bolus of Humalog)
23:09  -  172 (Again, 2 Bolus)
00:00  -  138 (I was thinking, alright, finally its going down,                better set an alarm to check again)
03:00  -  135  (1 Bolus)
09:00  -  163 .
Its basically the same for every day I eat bread/carbs.
At first I thought the evening/morning High was my Basal insulin screwing up (Toujeo); but after not eating carbs for dinner its perfectly fine.
I have no freaking clue whats going on; I tested about 5 different bread types to no avail (though they where all mostly wholemeal stuff; considering eating faster digested bread to see what happens)
I dont want to eat only meat for dinner, someone please help me :(
EDIT: Im using Toujeo (24h acting) and Humalog (1-3h).</t>
        </is>
      </c>
      <c r="D2032" t="n">
        <v>1</v>
      </c>
      <c r="E2032" t="n">
        <v>7</v>
      </c>
      <c r="F2032">
        <f>HYPERLINK("https://www.reddit.com/r/diabetes/comments/4kcp7k/newly_diagnosed_type_1_here_having_trouble_eating/")</f>
        <v/>
      </c>
      <c r="G2032" t="inlineStr">
        <is>
          <t>2016-05-21 01:08:49</t>
        </is>
      </c>
      <c r="H2032" t="inlineStr">
        <is>
          <t>Type 1</t>
        </is>
      </c>
    </row>
    <row r="2033">
      <c r="A2033" t="inlineStr">
        <is>
          <t>4kenqg</t>
        </is>
      </c>
      <c r="B2033" t="inlineStr">
        <is>
          <t>Insulin pump</t>
        </is>
      </c>
      <c r="C2033" t="inlineStr">
        <is>
          <t>I wear a pump and have broken many clip cases you wear them in. I found going to a dollar store and buying the old flip phone cases works better. They are not $50. they are $1.50. and your cases is completely protected. Just make sure you find the ones that don't have magnets that would be touching your pump. Magnets and computers are not good for each other. I have found some nice little leather like case that look good clipped on to a belt loop or belt, or bra. They work great.</t>
        </is>
      </c>
      <c r="D2033" t="n">
        <v>11</v>
      </c>
      <c r="E2033" t="n">
        <v>6</v>
      </c>
      <c r="F2033">
        <f>HYPERLINK("https://www.reddit.com/r/diabetes/comments/4kenqg/insulin_pump/")</f>
        <v/>
      </c>
      <c r="G2033" t="inlineStr">
        <is>
          <t>2016-05-21 10:57:34</t>
        </is>
      </c>
      <c r="H2033" t="inlineStr">
        <is>
          <t>Type 1</t>
        </is>
      </c>
    </row>
    <row r="2034">
      <c r="A2034" t="inlineStr">
        <is>
          <t>4kfuqu</t>
        </is>
      </c>
      <c r="B2034" t="inlineStr">
        <is>
          <t>Diabetes and doing Camino de Santiago?</t>
        </is>
      </c>
      <c r="C2034" t="inlineStr">
        <is>
          <t>A few friends and I are planning on biking around 350 miles across Spain next year. The only issue is that I'm diabetic. I'll have juice and food and there are towns every couple miles. I'm on an insulin pump so I'm not sure how I'll handle bringing the insulin. My diabetes is under pretty good control. Being diabetic am I able to do something like this? I don't want my diabetes to limit what I do in life but I still have to realize that there are things that I can't do. What should I do about this? I really want to do this trip but it is risky.</t>
        </is>
      </c>
      <c r="D2034" t="n">
        <v>8</v>
      </c>
      <c r="E2034" t="n">
        <v>8</v>
      </c>
      <c r="F2034">
        <f>HYPERLINK("https://www.reddit.com/r/diabetes/comments/4kfuqu/diabetes_and_doing_camino_de_santiago/")</f>
        <v/>
      </c>
      <c r="G2034" t="inlineStr">
        <is>
          <t>2016-05-21 15:37:49</t>
        </is>
      </c>
      <c r="H2034" t="inlineStr">
        <is>
          <t>Type 1</t>
        </is>
      </c>
    </row>
    <row r="2035">
      <c r="A2035" t="inlineStr">
        <is>
          <t>4kjsub</t>
        </is>
      </c>
      <c r="B2035" t="inlineStr">
        <is>
          <t>High ketones, normal BG</t>
        </is>
      </c>
      <c r="C2035" t="inlineStr">
        <is>
          <t xml:space="preserve">Hi guys.
I have had a very bad week on top of a very bad month. Something stressful happened to me on Monday and since then I've had difficulty eating much. My sugars have been pretty much normal excepting maybe a once daily spike to at or near 200 (this is unusual for me, and it was up to about 235 last night but came right down with insulin) and the occasional not too bad low.
I've been eating ok the last two days or so. Still having the occasional severe panic attack, constantly elevated blood pressure (153/98 for me is completely unheard of). I finally remembered this morning that ketones are a thing and tested, and they were between moderate/high on the strip. My BG at the time was 106.
What do I do? I ate come carbs and took some insulin, just to get more circulating in my system. Is this worth a trip to urgent care? </t>
        </is>
      </c>
      <c r="D2035" t="n">
        <v>5</v>
      </c>
      <c r="E2035" t="n">
        <v>10</v>
      </c>
      <c r="F2035">
        <f>HYPERLINK("https://www.reddit.com/r/diabetes/comments/4kjsub/high_ketones_normal_bg/")</f>
        <v/>
      </c>
      <c r="G2035" t="inlineStr">
        <is>
          <t>2016-05-22 11:31:45</t>
        </is>
      </c>
      <c r="H2035" t="inlineStr">
        <is>
          <t>Type 1</t>
        </is>
      </c>
    </row>
    <row r="2036">
      <c r="A2036" t="inlineStr">
        <is>
          <t>4kl2rz</t>
        </is>
      </c>
      <c r="B2036" t="inlineStr">
        <is>
          <t>A few "dumb" questions about T1 and insulin</t>
        </is>
      </c>
      <c r="C2036" t="inlineStr">
        <is>
          <t>Newly diagnosed T1 here and I've got some questions about the insulin, how to use it and store it.
1. I met a neutrician and a doctor who I spoke a lot with and they basically told me to try and avoid carbs and to use 1 dose of insulin agains 10g of carbs. Of course they talked a lot about healthy eating and such, good carbs, bad carbs and the whole.
I'm just "scared" I guess of getting it wrong, early days maybe... and haven't really gotten to meet and talk to someone with first hand experience about how it is for them. 
To me, as is, it sounds like counting carbs and shooting insulin according to the carbs you're gonna be eating. 
Everything sound so insanely overwhelming and I'm super scared of doing this all wrong... my glucose is all over the place at the moment, going up and down..
2. The insulin i'm using right now, should I be storing it in the fridge or is it ok to leave that at room temperature. I'm storing the extra insulin, unopened in the fridge.
Thanks for the answers everyone. Nice to have a place here with such helpful people!!!</t>
        </is>
      </c>
      <c r="D2036" t="n">
        <v>29</v>
      </c>
      <c r="E2036" t="n">
        <v>33</v>
      </c>
      <c r="F2036">
        <f>HYPERLINK("https://www.reddit.com/r/diabetes/comments/4kl2rz/a_few_dumb_questions_about_t1_and_insulin/")</f>
        <v/>
      </c>
      <c r="G2036" t="inlineStr">
        <is>
          <t>2016-05-22 16:21:23</t>
        </is>
      </c>
      <c r="H2036" t="inlineStr">
        <is>
          <t>Type 1</t>
        </is>
      </c>
    </row>
    <row r="2037">
      <c r="A2037" t="inlineStr">
        <is>
          <t>4klr0b</t>
        </is>
      </c>
      <c r="B2037" t="inlineStr">
        <is>
          <t>Looking for a healthy relatively low carb diet</t>
        </is>
      </c>
      <c r="C2037" t="inlineStr">
        <is>
          <t>Just like the title says, I'm looking for a relatively low carb diet.... I'm type 1, and my most recent a1c was 12 something. (Not diagnosis). I've been uncontrolled for years and have started to come back under control, however I found when I'm under a lot of stress that I tend to cease taking care of the diabetes, and I know that's not good, and that's why I'm looking for a kinda low carb diet. I know I still need to check and bolus but I think it would make it easier and better should I forget.</t>
        </is>
      </c>
      <c r="D2037" t="n">
        <v>10</v>
      </c>
      <c r="E2037" t="n">
        <v>23</v>
      </c>
      <c r="F2037">
        <f>HYPERLINK("https://www.reddit.com/r/diabetes/comments/4klr0b/looking_for_a_healthy_relatively_low_carb_diet/")</f>
        <v/>
      </c>
      <c r="G2037" t="inlineStr">
        <is>
          <t>2016-05-22 19:11:47</t>
        </is>
      </c>
      <c r="H2037" t="inlineStr">
        <is>
          <t>Type 1</t>
        </is>
      </c>
    </row>
    <row r="2038">
      <c r="A2038" t="inlineStr">
        <is>
          <t>4klsue</t>
        </is>
      </c>
      <c r="B2038" t="inlineStr">
        <is>
          <t>Better late than never I guess?</t>
        </is>
      </c>
      <c r="C2038" t="inlineStr">
        <is>
          <t>Type 1 for over 32 year. In my adult years I learned about carbs and how they are bad for us, but I never really cared to REALLY watch my carbs and REALLY keep the breads, pastas, Rice, Etc... at a bare minimum in my regular diet.
For the past 7 days I did a test and along with my wife we swore off all carbs (Except for an evening fruit), HOLY MOLY! I've never seen my glucose so stable and low and manageable in my whole life! I'm now convinced carbs are the devil! LOL
Not only now do I have excellent control in just one week, sudden spikes up or down don't happen as often and I feel over all just more alive and energetic! I don't feel like an old many anymore!
Ok just wanted to share my story and hope it helps someone. This week starts week two of just Salads and proteins with fruits as a daily dessert and I am hoping I stick with this forever!
PS. I I ate two hard boiled eggs for breakfast, everyday for the past 7 days. My body loves it but my brain tells me it's wrong lol. With the latest research are eggs really not as bad as I was brought up to think?</t>
        </is>
      </c>
      <c r="D2038" t="n">
        <v>10</v>
      </c>
      <c r="E2038" t="n">
        <v>8</v>
      </c>
      <c r="F2038">
        <f>HYPERLINK("https://www.reddit.com/r/diabetes/comments/4klsue/better_late_than_never_i_guess/")</f>
        <v/>
      </c>
      <c r="G2038" t="inlineStr">
        <is>
          <t>2016-05-22 19:25:39</t>
        </is>
      </c>
      <c r="H2038" t="inlineStr">
        <is>
          <t>Type 1</t>
        </is>
      </c>
    </row>
    <row r="2039">
      <c r="A2039" t="inlineStr">
        <is>
          <t>4koo26</t>
        </is>
      </c>
      <c r="B2039" t="inlineStr">
        <is>
          <t>Question about caring for pump insertion sites, and remembering to keep up on changing sets on time.</t>
        </is>
      </c>
      <c r="C2039" t="inlineStr">
        <is>
          <t>So, yeah, type 1 pump user, and I have trouble remembering to change out my insertion site as frequently as I've been recommended to (every 3 days). I usually don't change it until I notice that my blood sugar is less stable or the site gets irritated or starts to come loose, since these things remind me that it's there. 
I know I really don't manage my diabetes well, even though I tell myself every day I've got to get better at it. Both checking myself and changing my infusion set just slip my mind constantly, even though I used to have excellent control as a child (now 22, with 10 years of pump use).
So, in addition to getting myself to remember more often to do what I need to, I now have to care for a lot of old insertion sites that are giving me scarring. Does anyone know how to care for overused areas? I use only my bottom for pump site insertion, as it hurts far too much to do it elsewhere and the cord pulls when on arm/leg, and the site is visible and SO painful when on the belly. However I still think that having more options for placement might help with the overuse. 
Does anyone also have any tips on good areas to set the insertion, which are more convenient? I was told my only options, when I got the pump, are bottom and belly on account of my size, though I've seen other users with it set on their arms and legs and so I briefly (unsuccessfully) tried it.
 I'm a very small girl and so I haven't got a lot of available area to even put the thing on in the first place, but I'm irritated with the scarring and feel that having more available sites in addition to changing it more frequently would help the areas be less over-used.
TL;DR How to get into a more responsible mindset, where else can I stick this pump, and how can I care for the scar tissue repeated insertion is leaving?</t>
        </is>
      </c>
      <c r="D2039" t="n">
        <v>3</v>
      </c>
      <c r="E2039" t="n">
        <v>8</v>
      </c>
      <c r="F2039">
        <f>HYPERLINK("https://www.reddit.com/r/diabetes/comments/4koo26/question_about_caring_for_pump_insertion_sites/")</f>
        <v/>
      </c>
      <c r="G2039" t="inlineStr">
        <is>
          <t>2016-05-23 09:05:26</t>
        </is>
      </c>
      <c r="H2039" t="inlineStr">
        <is>
          <t>Type 1</t>
        </is>
      </c>
    </row>
    <row r="2040">
      <c r="A2040" t="inlineStr">
        <is>
          <t>4korb2</t>
        </is>
      </c>
      <c r="B2040" t="inlineStr">
        <is>
          <t>T1 diabetic since 1971</t>
        </is>
      </c>
      <c r="C2040" t="inlineStr">
        <is>
          <t>currently age 48 male with " the worst case of diabetes in the USA " my BG has always sunk like a rock and that is fortunate for me because after nearly 45 years I have perfect eyes, kidneys, all my toes / fingers, No heart disease and I still chase the ladies,  the secret is BG &amp;lt;120 at all times if possible.  it is risky (death) but benefits are worth it to me. Genetics plays a role in your diabetes also.  My hemo A1C was 2.8 for over 25 years.</t>
        </is>
      </c>
      <c r="D2040" t="n">
        <v>0</v>
      </c>
      <c r="E2040" t="n">
        <v>5</v>
      </c>
      <c r="F2040">
        <f>HYPERLINK("https://www.reddit.com/r/diabetes/comments/4korb2/t1_diabetic_since_1971/")</f>
        <v/>
      </c>
      <c r="G2040" t="inlineStr">
        <is>
          <t>2016-05-23 09:22:54</t>
        </is>
      </c>
      <c r="H2040" t="inlineStr">
        <is>
          <t>Type 1</t>
        </is>
      </c>
    </row>
    <row r="2041">
      <c r="A2041" t="inlineStr">
        <is>
          <t>4kp3yo</t>
        </is>
      </c>
      <c r="B2041" t="inlineStr">
        <is>
          <t>I messed up my sensor calibration</t>
        </is>
      </c>
      <c r="C2041" t="inlineStr">
        <is>
          <t>Hi all,
So I got a sensor last week since I can't feel lows anymore (It's the Medtronic sensor to go with their pumps). This afternoon, I miscalculated the carbs for lunch (I had to get something from the canteen since I overslept and had no time to make lunch at home) so I was too high around 3, I corrected and had to have lunch at 4:30 since I had to go to work. Then at 6:30 I should have calibrated (it had to happen before 7) but My bg was plummeting for some reason (I'm 100% sure I entered the correct carbs). I figured I'd wait it out without eating and it seemed to stabilize at 4.1 around 6:50, which was great because I still had to calibrate. Then right after I measured and told my pump to use it as calibration, my BG went down again so I had to eat.. Now my sensor is off by a lot (about 4 mmol/L). 
Is there anything I can do to fix this? I heard calibrating too often can mess up the results even more..</t>
        </is>
      </c>
      <c r="D2041" t="n">
        <v>4</v>
      </c>
      <c r="E2041" t="n">
        <v>6</v>
      </c>
      <c r="F2041">
        <f>HYPERLINK("https://www.reddit.com/r/diabetes/comments/4kp3yo/i_messed_up_my_sensor_calibration/")</f>
        <v/>
      </c>
      <c r="G2041" t="inlineStr">
        <is>
          <t>2016-05-23 10:33:21</t>
        </is>
      </c>
      <c r="H2041" t="inlineStr">
        <is>
          <t>Type 1</t>
        </is>
      </c>
    </row>
    <row r="2042">
      <c r="A2042" t="inlineStr">
        <is>
          <t>4kpxyt</t>
        </is>
      </c>
      <c r="B2042" t="inlineStr">
        <is>
          <t>What would happen if someone was to eat only foods with a 0 for their glycemic index?</t>
        </is>
      </c>
      <c r="C2042" t="inlineStr">
        <is>
          <t>I'm Type 2, and honestly considering this. (Even if only for an experiment)
So, I'd only be eating things like Spinach, sunflower seeds, almonds, and other foods that don't mess with blood glucose.
What would happen after a while of ONLY (Meaning not "Cheating") eating like this?
Also, if I do choose to do this, would I need to come off of my meds? I take 1000mg Metformin HCL twice daily.</t>
        </is>
      </c>
      <c r="D2042" t="n">
        <v>2</v>
      </c>
      <c r="E2042" t="n">
        <v>8</v>
      </c>
      <c r="F2042">
        <f>HYPERLINK("https://www.reddit.com/r/diabetes/comments/4kpxyt/what_would_happen_if_someone_was_to_eat_only/")</f>
        <v/>
      </c>
      <c r="G2042" t="inlineStr">
        <is>
          <t>2016-05-23 13:13:13</t>
        </is>
      </c>
      <c r="H2042" t="inlineStr">
        <is>
          <t>Type 2</t>
        </is>
      </c>
    </row>
    <row r="2043">
      <c r="A2043" t="inlineStr">
        <is>
          <t>4kr4sm</t>
        </is>
      </c>
      <c r="B2043" t="inlineStr">
        <is>
          <t>Sweet Spot Daily % Basal and Bolus Dose</t>
        </is>
      </c>
      <c r="C2043" t="inlineStr">
        <is>
          <t>Do you have an average percentage of basal and bolus doses that works best for you? I used to hover around 55% basal, but am now at 60% basal.</t>
        </is>
      </c>
      <c r="D2043" t="n">
        <v>0</v>
      </c>
      <c r="E2043" t="n">
        <v>2</v>
      </c>
      <c r="F2043">
        <f>HYPERLINK("https://www.reddit.com/r/diabetes/comments/4kr4sm/sweet_spot_daily_basal_and_bolus_dose/")</f>
        <v/>
      </c>
      <c r="G2043" t="inlineStr">
        <is>
          <t>2016-05-23 17:23:06</t>
        </is>
      </c>
      <c r="H2043" t="inlineStr">
        <is>
          <t>Type 1</t>
        </is>
      </c>
    </row>
    <row r="2044">
      <c r="A2044" t="inlineStr">
        <is>
          <t>4krufk</t>
        </is>
      </c>
      <c r="B2044" t="inlineStr">
        <is>
          <t>Fasting blood sugar is ok. But I'm thirsty a lot, drink lots of water and pee a lot (T2).</t>
        </is>
      </c>
      <c r="C2044" t="inlineStr">
        <is>
          <t xml:space="preserve">Hi all,
If I am type 2 and am managing it with drugs and trying to eat right, are things ok if I still am thirsty a lot? I drink lots of water and pee a lot too. Fasting blood sugar is ok according to the doctor. Or does this mean I am possibly not eating the right foods and blood sugar is spiking, such that my fasting blood sugar doesn't reflect what's really going on?
Edit: thanks for the responses. Point taken, I need to start checking regularly again. </t>
        </is>
      </c>
      <c r="D2044" t="n">
        <v>2</v>
      </c>
      <c r="E2044" t="n">
        <v>15</v>
      </c>
      <c r="F2044">
        <f>HYPERLINK("https://www.reddit.com/r/diabetes/comments/4krufk/fasting_blood_sugar_is_ok_but_im_thirsty_a_lot/")</f>
        <v/>
      </c>
      <c r="G2044" t="inlineStr">
        <is>
          <t>2016-05-23 20:14:45</t>
        </is>
      </c>
      <c r="H2044" t="inlineStr">
        <is>
          <t>Type 2</t>
        </is>
      </c>
    </row>
    <row r="2045">
      <c r="A2045" t="inlineStr">
        <is>
          <t>4ktmay</t>
        </is>
      </c>
      <c r="B2045" t="inlineStr">
        <is>
          <t>Average % Basal- What's yours? repost</t>
        </is>
      </c>
      <c r="C2045" t="inlineStr">
        <is>
          <t>I see recommendations for 50:50 (insulation) to 60:40 (wikipedia). I've also seen keto adaptors suggesting 45:55. Do you have an average percentage of basal dose that works best for you? I used to hover around 55% basal, but am now hovering around 60% basal. %Basal often fluctuates day by day, but most people develop a month by month average.</t>
        </is>
      </c>
      <c r="D2045" t="n">
        <v>2</v>
      </c>
      <c r="E2045" t="n">
        <v>19</v>
      </c>
      <c r="F2045">
        <f>HYPERLINK("https://www.reddit.com/r/diabetes/comments/4ktmay/average_basal_whats_yours_repost/")</f>
        <v/>
      </c>
      <c r="G2045" t="inlineStr">
        <is>
          <t>2016-05-24 05:53:09</t>
        </is>
      </c>
      <c r="H2045" t="inlineStr">
        <is>
          <t>Type 1</t>
        </is>
      </c>
    </row>
    <row r="2046">
      <c r="A2046" t="inlineStr">
        <is>
          <t>4kvzx9</t>
        </is>
      </c>
      <c r="B2046" t="inlineStr">
        <is>
          <t>Worried about c-peptide test--were you asked to fast first?</t>
        </is>
      </c>
      <c r="C2046" t="inlineStr">
        <is>
          <t>I took my c-peptide test yesterday and anxiously awaiting the results today. The nurse over the phone had told me that I didn't need to fast, and the nurse who took my blood said there was nothing written about needing to fast.
However, I can't help worrying that maybe I misheard the nurse over the phone or something. I read online that "You may be asked to stop eating and drinking for 8 hours before having this blood test...Insulin and some oral medicines used to treat type 2 diabetes can change the test results." (I've been taking metformin for a little under a month.)
Mostly I'm just worried there was incompetence or poor communication and that no one knew to tell me to fast. Was anyone asked to fast for their c-peptide?</t>
        </is>
      </c>
      <c r="D2046" t="n">
        <v>2</v>
      </c>
      <c r="E2046" t="n">
        <v>4</v>
      </c>
      <c r="F2046">
        <f>HYPERLINK("https://www.reddit.com/r/diabetes/comments/4kvzx9/worried_about_cpeptide_testwere_you_asked_to_fast/")</f>
        <v/>
      </c>
      <c r="G2046" t="inlineStr">
        <is>
          <t>2016-05-24 13:52:35</t>
        </is>
      </c>
      <c r="H2046" t="inlineStr">
        <is>
          <t>Type 1.5/LADA</t>
        </is>
      </c>
    </row>
    <row r="2047">
      <c r="A2047" t="inlineStr">
        <is>
          <t>4kx89k</t>
        </is>
      </c>
      <c r="B2047" t="inlineStr">
        <is>
          <t>First presentation of T1 and DKA.</t>
        </is>
      </c>
      <c r="C2047" t="inlineStr">
        <is>
          <t>Not really sure if y'all like background stories, but I felt the need to share:
 I've had an interesting month thus far Down Under. The flights were very long, but arrived safely. However, I felt absolutely horrible once I got to my final destination. I was drained feeling like I had bad jet lag. I was lethargic, confused, hyperventilating and occasionally vomiting. These symptoms went on for over 24 hours and I was trying to sleep it off, still thinking bad case of jet lag. Then things got worse...
Later, I wasn't able to think clearly and couldn't put a clear sentence together. Had to get help walking around. I ended up so confused, I attempted to take a shower with just a t-shirt on and then blacked out. My friend and a neighbor called an ambulance and carried me to said ambulance. I was taken to the nearby hospital and was told that I had my first known presentation of type-1 diabetes and was undergoing severe Diabetic Ketoacidosis. My blood sugar was so high, keytone bodies were building up in my blood and releasing high amounts of carbon dioxide. My body forced me to hyperventilate, in an effort to rid my self of CO2. It wasn't good enough so my blood was turning acidic to the point of damaging muscles. Hence, hard to walk. 
The doctors said I got there just in time. I was less than 12 hours away from slipping into a coma. They immediately started me on insulin infusions to bring my blood sugars down and other drugs to bring my blood pH levels back to normal. I was slipping in and out of consciousness/sleep for about a day and a half and woke up to me hooked up to machines and IVs. I was in the ICU for about 3 nights and in general med for 1.5 days. I'm now on a insulin regimen, but feeling much better and back on my feet, literally.
Would like to know others and how they are coping. Thanks for reading!</t>
        </is>
      </c>
      <c r="D2047" t="n">
        <v>6</v>
      </c>
      <c r="E2047" t="n">
        <v>13</v>
      </c>
      <c r="F2047">
        <f>HYPERLINK("https://www.reddit.com/r/diabetes/comments/4kx89k/first_presentation_of_t1_and_dka/")</f>
        <v/>
      </c>
      <c r="G2047" t="inlineStr">
        <is>
          <t>2016-05-24 18:23:27</t>
        </is>
      </c>
      <c r="H2047" t="inlineStr">
        <is>
          <t>Type 1</t>
        </is>
      </c>
    </row>
    <row r="2048">
      <c r="A2048" t="inlineStr">
        <is>
          <t>4l0h1y</t>
        </is>
      </c>
      <c r="B2048" t="inlineStr">
        <is>
          <t>first time flying abroad</t>
        </is>
      </c>
      <c r="C2048" t="inlineStr">
        <is>
          <t>hey guys, im going to London for vacation tomorrow and was wondering what hint, tips and tricks you folks have for getting through security quick and easy</t>
        </is>
      </c>
      <c r="D2048" t="n">
        <v>2</v>
      </c>
      <c r="E2048" t="n">
        <v>7</v>
      </c>
      <c r="F2048">
        <f>HYPERLINK("https://www.reddit.com/r/diabetes/comments/4l0h1y/first_time_flying_abroad/")</f>
        <v/>
      </c>
      <c r="G2048" t="inlineStr">
        <is>
          <t>2016-05-25 09:24:32</t>
        </is>
      </c>
      <c r="H2048" t="inlineStr">
        <is>
          <t>Type 1</t>
        </is>
      </c>
    </row>
    <row r="2049">
      <c r="A2049" t="inlineStr">
        <is>
          <t>4l1hr3</t>
        </is>
      </c>
      <c r="B2049" t="inlineStr">
        <is>
          <t>My Bloodsugars will NOT go down!!!!</t>
        </is>
      </c>
      <c r="C2049" t="inlineStr">
        <is>
          <t>I have been eating a no sugar, very low carb diet lately and my bloodsugars struggle to go under 200. I work out frequently doing soccer conditioning exercises. I have replaced my lantus and novolog pens and I still am struggling. I had a salad earlier when I was at 140 and took my normal dose or 7 units and it jumped up to 190, I took one more unit and an hour later letting all the insulin taking effect, its now around 220 an hour later after that. I took a few more units to hopefully get it down, but I am puzzled why they are staying high so lately. Thoughts?</t>
        </is>
      </c>
      <c r="D2049" t="n">
        <v>7</v>
      </c>
      <c r="E2049" t="n">
        <v>37</v>
      </c>
      <c r="F2049">
        <f>HYPERLINK("https://www.reddit.com/r/diabetes/comments/4l1hr3/my_bloodsugars_will_not_go_down/")</f>
        <v/>
      </c>
      <c r="G2049" t="inlineStr">
        <is>
          <t>2016-05-25 12:45:59</t>
        </is>
      </c>
      <c r="H2049" t="inlineStr">
        <is>
          <t>Type 1</t>
        </is>
      </c>
    </row>
    <row r="2050">
      <c r="A2050" t="inlineStr">
        <is>
          <t>4l1rel</t>
        </is>
      </c>
      <c r="B2050" t="inlineStr">
        <is>
          <t>A few questions...</t>
        </is>
      </c>
      <c r="C2050" t="inlineStr">
        <is>
          <t>Hi guys,
First time posting on this subreddit.  I have a few questions about t1 diabetes.  My girlfriend has it, and I'd like to be able to cook more for her and help her make better choices as far as eating goes.  Is there something she can eat that will help balance her glucose levels so she doesn't end up taking 2-3 shots a day?  Or is that inevitable?  
What kinds of snacks do you recommend, especially since she doesn't necessarily choose the best options available?
Any help would be greatly appreciated!</t>
        </is>
      </c>
      <c r="D2050" t="n">
        <v>2</v>
      </c>
      <c r="E2050" t="n">
        <v>42</v>
      </c>
      <c r="F2050">
        <f>HYPERLINK("https://www.reddit.com/r/diabetes/comments/4l1rel/a_few_questions/")</f>
        <v/>
      </c>
      <c r="G2050" t="inlineStr">
        <is>
          <t>2016-05-25 13:41:34</t>
        </is>
      </c>
      <c r="H2050" t="inlineStr">
        <is>
          <t>Type 1</t>
        </is>
      </c>
    </row>
    <row r="2051">
      <c r="A2051" t="inlineStr">
        <is>
          <t>4l303r</t>
        </is>
      </c>
      <c r="B2051" t="inlineStr">
        <is>
          <t>leg cramps</t>
        </is>
      </c>
      <c r="C2051" t="inlineStr">
        <is>
          <t xml:space="preserve">Anyone have information about leg cramps? T2 for 20 years painful leg cramps always at night. Used to be just calves now sometime ankles. Doctors no help either what's causing them or what to do about them. Any suggestions about avoiding, or dealing with cramps? </t>
        </is>
      </c>
      <c r="D2051" t="n">
        <v>4</v>
      </c>
      <c r="E2051" t="n">
        <v>13</v>
      </c>
      <c r="F2051">
        <f>HYPERLINK("https://www.reddit.com/r/diabetes/comments/4l303r/leg_cramps/")</f>
        <v/>
      </c>
      <c r="G2051" t="inlineStr">
        <is>
          <t>2016-05-25 18:36:52</t>
        </is>
      </c>
      <c r="H2051" t="inlineStr">
        <is>
          <t>Type 2</t>
        </is>
      </c>
    </row>
    <row r="2052">
      <c r="A2052" t="inlineStr">
        <is>
          <t>4l5fov</t>
        </is>
      </c>
      <c r="B2052" t="inlineStr">
        <is>
          <t>I want a wireless Glucose meter that works with samsung s7 /health.</t>
        </is>
      </c>
      <c r="C2052" t="inlineStr">
        <is>
          <t xml:space="preserve">Here is the deal im a type 2 and I don't mine the finger sticks. However I'm looking to digitally integrate my life. I would like to find a meter that sinks with my S-health app on my phone. For years I have been using the Ontrack app on my android phone.   And I have been using the Onetouch Ultra mini, I have about 300 strips left. If possible I would like one that uses the same strips. I am one of the Keto diet people. So i keep close track on my sugar levels. </t>
        </is>
      </c>
      <c r="D2052" t="n">
        <v>2</v>
      </c>
      <c r="E2052" t="n">
        <v>2</v>
      </c>
      <c r="F2052">
        <f>HYPERLINK("https://www.reddit.com/r/diabetes/comments/4l5fov/i_want_a_wireless_glucose_meter_that_works_with/")</f>
        <v/>
      </c>
      <c r="G2052" t="inlineStr">
        <is>
          <t>2016-05-26 07:02:01</t>
        </is>
      </c>
      <c r="H2052" t="inlineStr">
        <is>
          <t>Type 2</t>
        </is>
      </c>
    </row>
    <row r="2053">
      <c r="A2053" t="inlineStr">
        <is>
          <t>4l5n7d</t>
        </is>
      </c>
      <c r="B2053" t="inlineStr">
        <is>
          <t>Trying to get longer wear from Dexcom sensor but keep getting "???"</t>
        </is>
      </c>
      <c r="C2053" t="inlineStr">
        <is>
          <t>I've been using a Dexcom for almost two years and always wear a sensor until it starts to come off, which used to be a struggle to make it 10 days. However, I have recently been able to get the sensor to stay stuck for longer than that by rubbing/exfoliating the area with a damp cloth before a new sensor, along with using Mastisol when the adhesive does eventually start to come off.
My current sensor has been on for about 12 days and is still stuck firmly to my stomach thanks to my newfound stay-stuck technique, but yesterday started throwing the "???" 
I've tried to restart the sensor when this happened before with no luck. So last night, after the whole day of only a few scattered readings on the receiver, I decided to stop the sensor, take the transmitter off the sensor, swipe it with an alcohol wipe, place transmitter back in the sensor still on my stomach - thinking maybe after wearing it so many days it just needs a little cleaning - and then restart the sensor. Still more "???".
This has happened a few times now, usually on the second week of a sensor. I have heard of others being able to get several weeks, even months, out of a sensor. But all I seem to manage is one good week or so then "???".
Does anyone know what might cause these damn question marks?</t>
        </is>
      </c>
      <c r="D2053" t="n">
        <v>1</v>
      </c>
      <c r="E2053" t="n">
        <v>8</v>
      </c>
      <c r="F2053">
        <f>HYPERLINK("https://www.reddit.com/r/diabetes/comments/4l5n7d/trying_to_get_longer_wear_from_dexcom_sensor_but/")</f>
        <v/>
      </c>
      <c r="G2053" t="inlineStr">
        <is>
          <t>2016-05-26 07:46:38</t>
        </is>
      </c>
      <c r="H2053" t="inlineStr">
        <is>
          <t>Type 1</t>
        </is>
      </c>
    </row>
    <row r="2054">
      <c r="A2054" t="inlineStr">
        <is>
          <t>4l823r</t>
        </is>
      </c>
      <c r="B2054" t="inlineStr">
        <is>
          <t>Healthy weight or good A1C, but can't seem to have both</t>
        </is>
      </c>
      <c r="C2054" t="inlineStr">
        <is>
          <t>Struggling with taking care of myself.  I've had this disease for 10 years (T1), and over the last two years, my A1C's have crept up and up and up (like, around 10 or 11).  But when I "control" my diabetes and bolus for everything (on Novolog on an Animas pump), I gain so much weight.  But when I maintain a healthy weight (due to high blood sugars from not bolusing), my A1C is terrible, and I know the long term consequences are going to be scary.  How do people maintain both?  I tried getting a personal trainer and that resulted in gaining muscle but my A1C didn't go down, and I didn't lose any weight either.  Now those sessions are over, and I'm scared that nothing seems to be working.  And my endocrinologist just chastises me instead of helping me.  I don't know what to do.</t>
        </is>
      </c>
      <c r="D2054" t="n">
        <v>2</v>
      </c>
      <c r="E2054" t="n">
        <v>19</v>
      </c>
      <c r="F2054">
        <f>HYPERLINK("https://www.reddit.com/r/diabetes/comments/4l823r/healthy_weight_or_good_a1c_but_cant_seem_to_have/")</f>
        <v/>
      </c>
      <c r="G2054" t="inlineStr">
        <is>
          <t>2016-05-26 16:12:52</t>
        </is>
      </c>
      <c r="H2054" t="inlineStr">
        <is>
          <t>Type 1</t>
        </is>
      </c>
    </row>
    <row r="2055">
      <c r="A2055" t="inlineStr">
        <is>
          <t>4l8bnm</t>
        </is>
      </c>
      <c r="B2055" t="inlineStr">
        <is>
          <t>Do 33G lancets hurt less than thicker ones?</t>
        </is>
      </c>
      <c r="C2055" t="inlineStr">
        <is>
          <t xml:space="preserve">My fingers are really getting sore. </t>
        </is>
      </c>
      <c r="D2055" t="n">
        <v>2</v>
      </c>
      <c r="E2055" t="n">
        <v>15</v>
      </c>
      <c r="F2055">
        <f>HYPERLINK("https://www.reddit.com/r/diabetes/comments/4l8bnm/do_33g_lancets_hurt_less_than_thicker_ones/")</f>
        <v/>
      </c>
      <c r="G2055" t="inlineStr">
        <is>
          <t>2016-05-26 17:21:12</t>
        </is>
      </c>
      <c r="H2055" t="inlineStr">
        <is>
          <t>Type 2</t>
        </is>
      </c>
    </row>
    <row r="2056">
      <c r="A2056" t="inlineStr">
        <is>
          <t>4l9cmr</t>
        </is>
      </c>
      <c r="B2056" t="inlineStr">
        <is>
          <t>Anyone else noticed bulging veins?</t>
        </is>
      </c>
      <c r="C2056" t="inlineStr">
        <is>
          <t>I'm not really sure what's causing it. My doctor doesn't seem concerned by it and it doesn't show up on any of my "IF YOU NOTICE THIS YOU WILL DIE!!!" warnings (which are all helpfully vague, like 'headaches' and 'soreness'...). I'm not really concerned, either, just curious (and a bit weirded out)--I only noticed it once I started taking my metformin.
My best guess is maybe my circulation is just much better? It's in my hands and feet, seems to come and go randomly. But also predictably bulges when warm/hot, standing a while, or moving around a while. I think I had some circulation problems in my hands, and *that* seems to be getting better. Maybe someone else has noticed something similar once upon a time?</t>
        </is>
      </c>
      <c r="D2056" t="n">
        <v>1</v>
      </c>
      <c r="E2056" t="n">
        <v>2</v>
      </c>
      <c r="F2056">
        <f>HYPERLINK("https://www.reddit.com/r/diabetes/comments/4l9cmr/anyone_else_noticed_bulging_veins/")</f>
        <v/>
      </c>
      <c r="G2056" t="inlineStr">
        <is>
          <t>2016-05-26 22:24:41</t>
        </is>
      </c>
      <c r="H2056" t="inlineStr">
        <is>
          <t>Type 1.5/LADA</t>
        </is>
      </c>
    </row>
    <row r="2057">
      <c r="A2057" t="inlineStr">
        <is>
          <t>4ld283</t>
        </is>
      </c>
      <c r="B2057" t="inlineStr">
        <is>
          <t>Chili is definitely off the menu</t>
        </is>
      </c>
      <c r="C2057" t="inlineStr">
        <is>
          <t>So, I've had a really good week. I've been testing right after + an hour after every meal and I've never been higher than 94. 
I figure, COOL! My meds are working a bit better than they normally do!
So, I decided to treat myself a little bit and have something I haven't had since my diagnosis. Chili.
Specifically: http://i.imgur.com/zukxPxP.jpg
About half way into the bowl, I start to sweat. I'm a pretty small guy (160lb, 5' 8") so sweating while sitting is normally a sign of a small spike. I was thinking maybe a 120/130. I wasn't really feeling anything, so I thought it couldn't be that bad, right?
Like, I felt perfectly fine. Just sweating.
I test.
172.
Shit... alright. Let's go get some water.
15 minutes later, I test again.
199.
I hate my life.
I'm fine now. I tested 20 minutes ago and I was at 149. Should be normal again right about now, but that was the highest I've been since my diagnosis. So weird not to feel anything.
**Edit:** Back down to 80. We all good.</t>
        </is>
      </c>
      <c r="D2057" t="n">
        <v>3</v>
      </c>
      <c r="E2057" t="n">
        <v>24</v>
      </c>
      <c r="F2057">
        <f>HYPERLINK("https://www.reddit.com/r/diabetes/comments/4ld283/chili_is_definitely_off_the_menu/")</f>
        <v/>
      </c>
      <c r="G2057" t="inlineStr">
        <is>
          <t>2016-05-27 15:00:20</t>
        </is>
      </c>
      <c r="H2057" t="inlineStr">
        <is>
          <t>Type 2</t>
        </is>
      </c>
    </row>
    <row r="2058">
      <c r="A2058" t="inlineStr">
        <is>
          <t>4leryi</t>
        </is>
      </c>
      <c r="B2058" t="inlineStr">
        <is>
          <t>T1, new doctor visit tomorrow, wants me fasting, yey or nay?</t>
        </is>
      </c>
      <c r="C2058" t="inlineStr">
        <is>
          <t>So I have an appointment at like 10 tomorrow... they want me fasting... I plan to drive there and I'm at 69 right now before bed. Normally I would have a small snack, about 15 carbs or so. They said I should be fasting, but I just don't see that being a super great idea right now. I am changing insurances so they want to get an exam done, which I get, but telling a T1 to fast no matter what seems like a terrible idea. Thoughts? What can I do to keep my sugar stable tonight that won't mean I have to cancel my doctor's appointment?</t>
        </is>
      </c>
      <c r="D2058" t="n">
        <v>2</v>
      </c>
      <c r="E2058" t="n">
        <v>18</v>
      </c>
      <c r="F2058">
        <f>HYPERLINK("https://www.reddit.com/r/diabetes/comments/4leryi/t1_new_doctor_visit_tomorrow_wants_me_fasting_yey/")</f>
        <v/>
      </c>
      <c r="G2058" t="inlineStr">
        <is>
          <t>2016-05-27 23:31:58</t>
        </is>
      </c>
      <c r="H2058" t="inlineStr">
        <is>
          <t>Type 1</t>
        </is>
      </c>
    </row>
    <row r="2059">
      <c r="A2059" t="inlineStr">
        <is>
          <t>4lex5o</t>
        </is>
      </c>
      <c r="B2059" t="inlineStr">
        <is>
          <t>Hey ladies: do you need more insulin in the week before your period?</t>
        </is>
      </c>
      <c r="C2059" t="inlineStr">
        <is>
          <t>I'm 25 and have diabetes since 6 years, but just recently started noticing very high blood sugars in the week before my period. I've tried increasing my basal by 20%, which is enough during the day, but I still wake up at 200 in the mornings.
Do you increase your basal rate/I:C ratio before/during your period? By how much?</t>
        </is>
      </c>
      <c r="D2059" t="n">
        <v>15</v>
      </c>
      <c r="E2059" t="n">
        <v>36</v>
      </c>
      <c r="F2059">
        <f>HYPERLINK("https://www.reddit.com/r/diabetes/comments/4lex5o/hey_ladies_do_you_need_more_insulin_in_the_week/")</f>
        <v/>
      </c>
      <c r="G2059" t="inlineStr">
        <is>
          <t>2016-05-28 00:32:32</t>
        </is>
      </c>
      <c r="H2059" t="inlineStr">
        <is>
          <t>Type 1</t>
        </is>
      </c>
    </row>
    <row r="2060">
      <c r="A2060" t="inlineStr">
        <is>
          <t>4lgnmr</t>
        </is>
      </c>
      <c r="B2060" t="inlineStr">
        <is>
          <t>How to put OmniPod on leg/thigh?</t>
        </is>
      </c>
      <c r="C2060" t="inlineStr">
        <is>
          <t>I've been an OmniPod user for quite a few years, and I've mainly used my abdomen as my site. I need to switch to another location, and the leg/thigh seems like the best place for me given my lifestyle. Unfortunately, I don't have a lot of fat on my thighs and I haven't had much luck thus far.
The first pod I put on the outside of my thigh and it occluded pretty quickly. The second pod (wearing currently) I put closer to my hip, inbetween the front and side of my thigh. I was able to get my blood sugars to a stable level, but I woke up with a bg of ~350. I gave a large correction bolus and it hasn't given me an occlusion alarm yet, so I'm not sure what to make of it. I've been pinching up the skin, but I've never had to do that for my abdomen so I'm not sure if I'm doing it in the most effective way possible. 
I'm determined to get these sites to work, and I'd really appreciate some help from you guys. Where exactly on your leg/thigh do you put the pod? Do you pinch up your skin, and if so how much? My pod jiggles quite a bit when I walk, is this okay or should I try to tape it down/stabilize it? Are there any other tips or tricks you could give a leg noobie? Thanks so much guys, I really appreciate it!</t>
        </is>
      </c>
      <c r="D2060" t="n">
        <v>2</v>
      </c>
      <c r="E2060" t="n">
        <v>12</v>
      </c>
      <c r="F2060">
        <f>HYPERLINK("https://www.reddit.com/r/diabetes/comments/4lgnmr/how_to_put_omnipod_on_legthigh/")</f>
        <v/>
      </c>
      <c r="G2060" t="inlineStr">
        <is>
          <t>2016-05-28 10:19:08</t>
        </is>
      </c>
      <c r="H2060" t="inlineStr">
        <is>
          <t>Type 1</t>
        </is>
      </c>
    </row>
    <row r="2061">
      <c r="A2061" t="inlineStr">
        <is>
          <t>4lh0is</t>
        </is>
      </c>
      <c r="B2061" t="inlineStr">
        <is>
          <t>Sleeping in?</t>
        </is>
      </c>
      <c r="C2061" t="inlineStr">
        <is>
          <t>I'll start off by saying I know this is a bad thing, but sometimes I sleep in, and miss breakfast(I'm 17). I have different ratios for breakfast and lunch (1:8 for breakfast, 1:12 for lunch), and I want to know if I should use my breakfast ratio instead of my lunch ratio in this scenario.</t>
        </is>
      </c>
      <c r="D2061" t="n">
        <v>15</v>
      </c>
      <c r="E2061" t="n">
        <v>12</v>
      </c>
      <c r="F2061">
        <f>HYPERLINK("https://www.reddit.com/r/diabetes/comments/4lh0is/sleeping_in/")</f>
        <v/>
      </c>
      <c r="G2061" t="inlineStr">
        <is>
          <t>2016-05-28 11:49:26</t>
        </is>
      </c>
      <c r="H2061" t="inlineStr">
        <is>
          <t>Type 1</t>
        </is>
      </c>
    </row>
    <row r="2062">
      <c r="A2062" t="inlineStr">
        <is>
          <t>4lh0qm</t>
        </is>
      </c>
      <c r="B2062" t="inlineStr">
        <is>
          <t>Insertion Site Infection help?</t>
        </is>
      </c>
      <c r="C2062" t="inlineStr">
        <is>
          <t xml:space="preserve">Hello all quick question.. 
Note: Im on the tslim pump. 
I noticed last night and today that my blood sugar was ridiculously high even after trying to correct.  So today I though well maybe the site is bad. 
When i removed the site I noticed a little bit of white (pus) coming out. I kept on squeezing and a little bit more came out until blood was coming out. 
I immediately did some research and learned that I had an infection in the site. 
Mine didn't seem too bad as it wasn't a large amount of pus, and blood started to come out. Its a bit tender and red around the site and is slightly swollen but thats it. It seemed the blood clotted up the  hole as well. 
What should I do? Would antibiotic ointment help even though there isnt an open hole anymore? Or is this something i should keep an eye on for awhile? OR should i head to the doc.... 
Thank you for the help. </t>
        </is>
      </c>
      <c r="D2062" t="n">
        <v>3</v>
      </c>
      <c r="E2062" t="n">
        <v>3</v>
      </c>
      <c r="F2062">
        <f>HYPERLINK("https://www.reddit.com/r/diabetes/comments/4lh0qm/insertion_site_infection_help/")</f>
        <v/>
      </c>
      <c r="G2062" t="inlineStr">
        <is>
          <t>2016-05-28 11:50:51</t>
        </is>
      </c>
      <c r="H2062" t="inlineStr">
        <is>
          <t>Type 1</t>
        </is>
      </c>
    </row>
    <row r="2063">
      <c r="A2063" t="inlineStr">
        <is>
          <t>4lhj7t</t>
        </is>
      </c>
      <c r="B2063" t="inlineStr">
        <is>
          <t>TYPE 2 - Diet for a Diabetic who needs to keep their blood pressure down.</t>
        </is>
      </c>
      <c r="C2063" t="inlineStr">
        <is>
          <t xml:space="preserve">So i went to the doctor the other day and he wanted to put me on blood pressure meds because my level was 141/80.  Nurse said it was probably "white coat syndrome" that it was so high.  I promptly called him back and said I would prefer to get it down with diet and exercise.  He agreed to let me try that before putting me on the meds.So now I'm trying to balance a diabetic diet with a low sodium diet.  
Does anyone have a list/link/idea of items that fit in a diabetic diet with lower sodium?  It seems the lower sodium stuff is all pretty carby, and that's counter to the list of ingredients my doc gave me for diabetes management.
Any help would be great on this - I DO NOT want to be put on bp meds.
Side note - I have started 30 minutes of cardio a day and I also bought a bp cuff to measure my bp throughout the day.  It's an Omron BP652 and I have been seeing 120s/70s without much modification yet.  I have seen it as low as 108/64.
Thanks in advance!
</t>
        </is>
      </c>
      <c r="D2063" t="n">
        <v>5</v>
      </c>
      <c r="E2063" t="n">
        <v>3</v>
      </c>
      <c r="F2063">
        <f>HYPERLINK("https://www.reddit.com/r/diabetes/comments/4lhj7t/type_2_diet_for_a_diabetic_who_needs_to_keep/")</f>
        <v/>
      </c>
      <c r="G2063" t="inlineStr">
        <is>
          <t>2016-05-28 14:01:57</t>
        </is>
      </c>
      <c r="H2063" t="inlineStr">
        <is>
          <t>Type 2</t>
        </is>
      </c>
    </row>
    <row r="2064">
      <c r="A2064" t="inlineStr">
        <is>
          <t>4li6d5</t>
        </is>
      </c>
      <c r="B2064" t="inlineStr">
        <is>
          <t>Just got my A1C!</t>
        </is>
      </c>
      <c r="C2064" t="inlineStr">
        <is>
          <t xml:space="preserve">I went off Metformin in mid-January. Went in for my A1C test on Friday and just [got my results!](http://imgur.com/DKXSLsS). 5.5%!  am in tears, I swear! I can't believe it!  I have been so nervous about whether I would be able to maintain with no meds. OMG, I can't believe it! Thank you, r/diabetes! I owe you.
EDIT: Currently celebrating with copious amounts of cashews! :)
 </t>
        </is>
      </c>
      <c r="D2064" t="n">
        <v>36</v>
      </c>
      <c r="E2064" t="n">
        <v>46</v>
      </c>
      <c r="F2064">
        <f>HYPERLINK("https://www.reddit.com/r/diabetes/comments/4li6d5/just_got_my_a1c/")</f>
        <v/>
      </c>
      <c r="G2064" t="inlineStr">
        <is>
          <t>2016-05-28 16:52:08</t>
        </is>
      </c>
      <c r="H2064" t="inlineStr">
        <is>
          <t>Type 2</t>
        </is>
      </c>
    </row>
    <row r="2065">
      <c r="A2065" t="inlineStr">
        <is>
          <t>4li94f</t>
        </is>
      </c>
      <c r="B2065" t="inlineStr">
        <is>
          <t>Is there a safe chocolate we can eat?</t>
        </is>
      </c>
      <c r="C2065" t="inlineStr">
        <is>
          <t>I'll admit it, I'm weak willed. I'm eventually going to crave chocolate. I've tried fighting the craving with Coffee, but that can only work so well.
Is there a safe chocolate something I can pick up at a gas station or something? I know hershey's will probably kill me. (Hershey's with Almonds was always my go-to)</t>
        </is>
      </c>
      <c r="D2065" t="n">
        <v>13</v>
      </c>
      <c r="E2065" t="n">
        <v>38</v>
      </c>
      <c r="F2065">
        <f>HYPERLINK("https://www.reddit.com/r/diabetes/comments/4li94f/is_there_a_safe_chocolate_we_can_eat/")</f>
        <v/>
      </c>
      <c r="G2065" t="inlineStr">
        <is>
          <t>2016-05-28 17:12:37</t>
        </is>
      </c>
      <c r="H2065" t="inlineStr">
        <is>
          <t>Type 2</t>
        </is>
      </c>
    </row>
    <row r="2066">
      <c r="A2066" t="inlineStr">
        <is>
          <t>4lir0a</t>
        </is>
      </c>
      <c r="B2066" t="inlineStr">
        <is>
          <t>Mother of a newly diagnosed toddler...needs help.</t>
        </is>
      </c>
      <c r="C2066" t="inlineStr">
        <is>
          <t xml:space="preserve">We just moved to washington state when My toddler was diagnosed with T1D and very high cholesterol. Husband makes a little over he income max for WIC but due to all of our bills we can barely afford groceries and savings are almost depleted due to our sons new medical costs (almost $300 a month w/ insulin humalog+lantus, syringes, and etc) We don't know what to do, we can't move back due to his job and I can't get a job anytime soon since we can't afford day care and have no family here to watch our son. Very close to pawning everything we own of value to have money for his medications but we know it's not a permanent solution. Does anyone know what we could do or anyone who's been in a similar situation? </t>
        </is>
      </c>
      <c r="D2066" t="n">
        <v>5</v>
      </c>
      <c r="E2066" t="n">
        <v>8</v>
      </c>
      <c r="F2066">
        <f>HYPERLINK("https://www.reddit.com/r/diabetes/comments/4lir0a/mother_of_a_newly_diagnosed_toddlerneeds_help/")</f>
        <v/>
      </c>
      <c r="G2066" t="inlineStr">
        <is>
          <t>2016-05-28 19:38:11</t>
        </is>
      </c>
      <c r="H2066" t="inlineStr">
        <is>
          <t>Type 1</t>
        </is>
      </c>
    </row>
    <row r="2067">
      <c r="A2067" t="inlineStr">
        <is>
          <t>4ljjk2</t>
        </is>
      </c>
      <c r="B2067" t="inlineStr">
        <is>
          <t>Diet help for type2 diabetic with fat issues</t>
        </is>
      </c>
      <c r="C2067" t="inlineStr">
        <is>
          <t>My boyfriend was diagnosed about 9 months ago with type two and we've been struggling to find an eating pattern ever since. He has several gi issues and I'm suspecting either food  allergies  or maybe ibs we just haven't had the cash flow to seek a diagnoses. Mainly I thought we had it figured out with keto but he still has problems digesting fat after gallbladder removal. The last month has been nothing but hell on him, he has had terrifying stomach pains and various intestinal distress after every meal. 
I don't know what to feed him anymore, if I limit his carbs I have to fill the calories he needs with another source and he's so sensitive to fat content that I can't keep him on lchf. Any direction will be appreciated. :/</t>
        </is>
      </c>
      <c r="D2067" t="n">
        <v>3</v>
      </c>
      <c r="E2067" t="n">
        <v>7</v>
      </c>
      <c r="F2067">
        <f>HYPERLINK("https://www.reddit.com/r/diabetes/comments/4ljjk2/diet_help_for_type2_diabetic_with_fat_issues/")</f>
        <v/>
      </c>
      <c r="G2067" t="inlineStr">
        <is>
          <t>2016-05-29 00:08:30</t>
        </is>
      </c>
      <c r="H2067" t="inlineStr">
        <is>
          <t>Type 2</t>
        </is>
      </c>
    </row>
    <row r="2068">
      <c r="A2068" t="inlineStr">
        <is>
          <t>4lkow7</t>
        </is>
      </c>
      <c r="B2068" t="inlineStr">
        <is>
          <t>Type-1 Rant</t>
        </is>
      </c>
      <c r="C2068" t="inlineStr">
        <is>
          <t xml:space="preserve">Hey everyone,
I was diagnosed 12/31/14 as a type-1 diabetic. I'm pretty accepting of it as there is nothing I can do about it, and it could be much worse. That said I still have times where I just feel completely defeated and feel broken because of it. I still live at home and my parents both know I'm a type-1, my mom will go to every appointment if I wanted her too. But they're actions don't really support me. They continuously bring home junk food so it's all over the house which wouldn't be so bad, but they buy it then try to give it to me like nothing is wrong with me. Again rare occasions to "cheat" would be 1 thing but its constantly. Family meals are far from diabetic friendly. Then they wonder why I don't eat what they eat. The only thing they try to do is make or occasionally buy "sugar free" desserts which is probably worse than just eating real sugar which I've addressed with them over and over. I know I need to just cook my own meals and not touch the stuff. I'm just ranting sorry </t>
        </is>
      </c>
      <c r="D2068" t="n">
        <v>25</v>
      </c>
      <c r="E2068" t="n">
        <v>31</v>
      </c>
      <c r="F2068">
        <f>HYPERLINK("https://www.reddit.com/r/diabetes/comments/4lkow7/type1_rant/")</f>
        <v/>
      </c>
      <c r="G2068" t="inlineStr">
        <is>
          <t>2016-05-29 07:52:49</t>
        </is>
      </c>
      <c r="H2068" t="inlineStr">
        <is>
          <t>Type 1</t>
        </is>
      </c>
    </row>
    <row r="2069">
      <c r="A2069" t="inlineStr">
        <is>
          <t>4ll2vb</t>
        </is>
      </c>
      <c r="B2069" t="inlineStr">
        <is>
          <t>Technology frustrations...</t>
        </is>
      </c>
      <c r="C2069" t="inlineStr">
        <is>
          <t xml:space="preserve">My blood sugars been a little whacky the last few days and I just can't shake the frustration about our current state of technology. 
How is it that we can send someone to the moon, but we can't make a CGM and an inuslin pump talk? I feel like a 15 year old with a little bit of computer science experience could design a decent functioning prototype. How is it that these multi-billion dollar corporations (Medtronic, Dexcom) haven't figured it out yet? As we get closer and closer to the realization of a closed-loop artificial pancreas, and as we see more and more press releases about it, I just keep getting more and more frustrated. If I wasn't a full-time medical student, I'd probably use my engineering background and C++ knowledge to throw something together and use myself as a guinea pig. </t>
        </is>
      </c>
      <c r="D2069" t="n">
        <v>3</v>
      </c>
      <c r="E2069" t="n">
        <v>10</v>
      </c>
      <c r="F2069">
        <f>HYPERLINK("https://www.reddit.com/r/diabetes/comments/4ll2vb/technology_frustrations/")</f>
        <v/>
      </c>
      <c r="G2069" t="inlineStr">
        <is>
          <t>2016-05-29 09:31:47</t>
        </is>
      </c>
      <c r="H2069" t="inlineStr">
        <is>
          <t>Type 1</t>
        </is>
      </c>
    </row>
    <row r="2070">
      <c r="A2070" t="inlineStr">
        <is>
          <t>4llqq1</t>
        </is>
      </c>
      <c r="B2070" t="inlineStr">
        <is>
          <t>Help with T2 diet that isn't Keto</t>
        </is>
      </c>
      <c r="C2070" t="inlineStr">
        <is>
          <t xml:space="preserve">Hi!
I'm recently diagnosed. Nothing too serious yet, but the doctor was worried that if I didn't change my eating habits, I would end up on medication.
I have been doing a ton of research, but a lot of people are telling me to look at Keto. I tried it for a while (a couple of weeks), but I hated it. My numbers are really great, but I just can't stand it.
Is there any plant-focused diet (not completely vegetarian, but mostly?) that will help me control my blood sugars? Is there a way to be low sugar without being too low carb? 
If I'm just a fool and haven't researched this enough, links to books and websites are fine. It's just a little overwhelming. 
Thanks.
EDIT: I saw that the ADA website talked about "carb counting" and suggested 45-60 carbs per meal. This is something I could definitely do, I think. </t>
        </is>
      </c>
      <c r="D2070" t="n">
        <v>2</v>
      </c>
      <c r="E2070" t="n">
        <v>12</v>
      </c>
      <c r="F2070">
        <f>HYPERLINK("https://www.reddit.com/r/diabetes/comments/4llqq1/help_with_t2_diet_that_isnt_keto/")</f>
        <v/>
      </c>
      <c r="G2070" t="inlineStr">
        <is>
          <t>2016-05-29 12:07:44</t>
        </is>
      </c>
      <c r="H2070" t="inlineStr">
        <is>
          <t>Type 2</t>
        </is>
      </c>
    </row>
    <row r="2071">
      <c r="A2071" t="inlineStr">
        <is>
          <t>4llx68</t>
        </is>
      </c>
      <c r="B2071" t="inlineStr">
        <is>
          <t>leg cramps update nacl works for me</t>
        </is>
      </c>
      <c r="C2071" t="inlineStr">
        <is>
          <t>posted a few days about leg cramps and alan_s suggested upping my salt intake. It works for me went from waking up several times a night with cramps to sleeping all night through. Ymmv since I have always used way less salt than the typical American but dramatic difference for such a simple change. For the record I do take Metformin plus B and calcium suppliments.</t>
        </is>
      </c>
      <c r="D2071" t="n">
        <v>6</v>
      </c>
      <c r="E2071" t="n">
        <v>9</v>
      </c>
      <c r="F2071">
        <f>HYPERLINK("https://www.reddit.com/r/diabetes/comments/4llx68/leg_cramps_update_nacl_works_for_me/")</f>
        <v/>
      </c>
      <c r="G2071" t="inlineStr">
        <is>
          <t>2016-05-29 12:49:12</t>
        </is>
      </c>
      <c r="H2071" t="inlineStr">
        <is>
          <t>Type 2</t>
        </is>
      </c>
    </row>
    <row r="2072">
      <c r="A2072" t="inlineStr">
        <is>
          <t>4lmq2k</t>
        </is>
      </c>
      <c r="B2072" t="inlineStr">
        <is>
          <t>Blood Sugar Victory</t>
        </is>
      </c>
      <c r="C2072" t="inlineStr">
        <is>
          <t xml:space="preserve">I'm a 26 year old that was diagnosed Type 1 at the end of March. 
I've been mostly frustrated the past while, because even with the right bolus/how perfectly I'd counted my carbs my sugars were consistently high after meals - nearly always somewhere between 10-14. 
At the suggestion of my nurse during my last appointment, I upped my nighttime Lantus by one unit, and now my sugars are PERFECT. I'm so excited that my blood sugar is under control now that  I just had to tell someone!
PS, thanks for being a great community that shares a wealth of information and experiences - /r/diabetes has been an amazing resource during this whole adjustment! </t>
        </is>
      </c>
      <c r="D2072" t="n">
        <v>17</v>
      </c>
      <c r="E2072" t="n">
        <v>4</v>
      </c>
      <c r="F2072">
        <f>HYPERLINK("https://www.reddit.com/r/diabetes/comments/4lmq2k/blood_sugar_victory/")</f>
        <v/>
      </c>
      <c r="G2072" t="inlineStr">
        <is>
          <t>2016-05-29 16:03:10</t>
        </is>
      </c>
      <c r="H2072" t="inlineStr">
        <is>
          <t>Type 1</t>
        </is>
      </c>
    </row>
    <row r="2073">
      <c r="A2073" t="inlineStr">
        <is>
          <t>4ln1go</t>
        </is>
      </c>
      <c r="B2073" t="inlineStr">
        <is>
          <t>Just diagnosed T2 two weeks ago, on Metformin, bad diarrhea</t>
        </is>
      </c>
      <c r="C2073" t="inlineStr">
        <is>
          <t>I've been on Metformin for 2 weeks, and I'm going in for my "training" class Tuesday morning. Since I've been on Metformin I've had bad diarrhea 2 or 3 times a day. I haven't told my regular doctor yet because I'm seeing her this next Friday, and I have the training thing on Tuesday. Should I let my doctor know now, or is this a common thing. I've seen a lot of stuff online about people having to deal with the diarrhea for years while on Metformin, but there's got to be something better out there, is there?</t>
        </is>
      </c>
      <c r="D2073" t="n">
        <v>1</v>
      </c>
      <c r="E2073" t="n">
        <v>15</v>
      </c>
      <c r="F2073">
        <f>HYPERLINK("https://www.reddit.com/r/diabetes/comments/4ln1go/just_diagnosed_t2_two_weeks_ago_on_metformin_bad/")</f>
        <v/>
      </c>
      <c r="G2073" t="inlineStr">
        <is>
          <t>2016-05-29 17:27:42</t>
        </is>
      </c>
      <c r="H2073" t="inlineStr">
        <is>
          <t>Type 2</t>
        </is>
      </c>
    </row>
    <row r="2074">
      <c r="A2074" t="inlineStr">
        <is>
          <t>4lndj4</t>
        </is>
      </c>
      <c r="B2074" t="inlineStr">
        <is>
          <t>Is it weird for me to not like the insulin pump?</t>
        </is>
      </c>
      <c r="C2074" t="inlineStr">
        <is>
          <t>Right now I'm in the process of starting on an insulin pump. On my first appointment I looked at the different models and tried an insertion set on myself. I ended up wearing the cannula/infusion set thing with the tubing attached (sans insulin pump) for the rest of the day just to see what it would feel like. 
At the end of the day I didn't enjoy being tethered to a machine and couldn't wait to go home to rip out the tubing. Although I found the technology to be cool and potentially helpful in fine-tuning insulin intake, my current routine of MDI + keto has made it quite easy for me to control my blood sugars without much hassle. I haven't completely made up my mind yet, so I might give the insulin pump a try to see if I like it. Otherwise, I'm just not feeling the hype. Anyone else feel this way?</t>
        </is>
      </c>
      <c r="D2074" t="n">
        <v>5</v>
      </c>
      <c r="E2074" t="n">
        <v>18</v>
      </c>
      <c r="F2074">
        <f>HYPERLINK("https://www.reddit.com/r/diabetes/comments/4lndj4/is_it_weird_for_me_to_not_like_the_insulin_pump/")</f>
        <v/>
      </c>
      <c r="G2074" t="inlineStr">
        <is>
          <t>2016-05-29 18:59:21</t>
        </is>
      </c>
      <c r="H2074" t="inlineStr">
        <is>
          <t>Type 1</t>
        </is>
      </c>
    </row>
    <row r="2075">
      <c r="A2075" t="inlineStr">
        <is>
          <t>4lpyrk</t>
        </is>
      </c>
      <c r="B2075" t="inlineStr">
        <is>
          <t>Recently met a girl I have feelings for. Turns out her dad is a type 1 diabetic. When is crispr-cas9 (dna editing technology) etc going to allow me to knock this girl up with a diabetes-free baby???</t>
        </is>
      </c>
      <c r="C2075" t="inlineStr">
        <is>
          <t xml:space="preserve">First of all, I probably should have mentioned this, but I have type 1 diabetes. And also while this question is a bit tongue in cheek, this is a serious issue for me in general no matter who I have children with in the future.
And also perhaps I should have reworded this post as more of an announcement of the technology involved. But yes, this is a real possibility in the near future. I'm hoping by posting this I might find out about some test trials or places where I can sign up to get on a waiting list.
Here are some ted talks of various scientists and science journalists sharing the some announcements about CRISPR:
- https://www.ted.com/talks/jennifer_doudna_we_can_now_edit_our_dna_but_let_s_do_it_wisely?language=en
- http://www.ted.com/talks/jennifer_kahn_gene_editing_can_now_change_an_entire_species_forever
- http://www.ted.com/talks/juan_enriquez_we_can_reprogram_life_how_to_do_it_wisely
</t>
        </is>
      </c>
      <c r="D2075" t="n">
        <v>0</v>
      </c>
      <c r="E2075" t="n">
        <v>10</v>
      </c>
      <c r="F2075">
        <f>HYPERLINK("https://www.reddit.com/r/diabetes/comments/4lpyrk/recently_met_a_girl_i_have_feelings_for_turns_out/")</f>
        <v/>
      </c>
      <c r="G2075" t="inlineStr">
        <is>
          <t>2016-05-30 08:15:33</t>
        </is>
      </c>
      <c r="H2075" t="inlineStr">
        <is>
          <t>Type 1</t>
        </is>
      </c>
    </row>
    <row r="2076">
      <c r="A2076" t="inlineStr">
        <is>
          <t>4lq5pd</t>
        </is>
      </c>
      <c r="B2076" t="inlineStr">
        <is>
          <t>Insulin sensitivity / rollercoaster</t>
        </is>
      </c>
      <c r="C2076" t="inlineStr">
        <is>
          <t>Recently switched over from Lantus / Homalog due to insurance change. Now on Levemir / Novalog (same dosage amounts, splitting the Levemir in half 2x a day). 
Since the change, I have had very similar numbers when checking every few hours. However, (since I have Dexcom CGM) I can tell my glucose goes way higher and then falls the same large distance back to normal in the same time. Before, it might rise from 100 to maybe 180-200ish before coming back down. Now it will be at 100 and rise to 300-350 and then fall back.  
Any other MDI folks experience this? Ideas?</t>
        </is>
      </c>
      <c r="D2076" t="n">
        <v>1</v>
      </c>
      <c r="E2076" t="n">
        <v>7</v>
      </c>
      <c r="F2076">
        <f>HYPERLINK("https://www.reddit.com/r/diabetes/comments/4lq5pd/insulin_sensitivity_rollercoaster/")</f>
        <v/>
      </c>
      <c r="G2076" t="inlineStr">
        <is>
          <t>2016-05-30 08:56:05</t>
        </is>
      </c>
      <c r="H2076" t="inlineStr">
        <is>
          <t>Type 1</t>
        </is>
      </c>
    </row>
    <row r="2077">
      <c r="A2077" t="inlineStr">
        <is>
          <t>4lrl6t</t>
        </is>
      </c>
      <c r="B2077" t="inlineStr">
        <is>
          <t>Omnipod &amp;amp; University</t>
        </is>
      </c>
      <c r="C2077" t="inlineStr">
        <is>
          <t xml:space="preserve">I was diagnosed a T1 around 2010 and have been on injections since but I've had a chat about possibly switching to pump therapy before I go to university in a few months. I  looked into the omnipod and I think it looks great because the main thing that a pump needs to be (for me) is to be discreet.
 I'm not embarrassed about my diabetes I would just rather not have people know so I can avoid the annoying questions and not be treated like I'm on life support. I've read a few times that the omnipod has an extremely loud alarm. I was wondering if there was anyway that this alarm can be manually turned off because I think if it alarmed in an exam I wouldn't be too pleased about it. Also any omnipod advice is greatly appreciated! </t>
        </is>
      </c>
      <c r="D2077" t="n">
        <v>1</v>
      </c>
      <c r="E2077" t="n">
        <v>9</v>
      </c>
      <c r="F2077">
        <f>HYPERLINK("https://www.reddit.com/r/diabetes/comments/4lrl6t/omnipod_university/")</f>
        <v/>
      </c>
      <c r="G2077" t="inlineStr">
        <is>
          <t>2016-05-30 13:57:58</t>
        </is>
      </c>
      <c r="H2077" t="inlineStr">
        <is>
          <t>Type 1</t>
        </is>
      </c>
    </row>
    <row r="2078">
      <c r="A2078" t="inlineStr">
        <is>
          <t>4luq9v</t>
        </is>
      </c>
      <c r="B2078" t="inlineStr">
        <is>
          <t>Getting thing with T2</t>
        </is>
      </c>
      <c r="C2078" t="inlineStr">
        <is>
          <t>EDIT: getting thin*. I'm an idiot not to proof-read the title.
Hey people,
I've been diagnosed with t2 a month and a half ago. At that time, my blood sugar was very high - 16.3mmol/L. Started metformin (1000mg twice a day) and got my blood glucose to ~7.2mmol/L. Now, I have been overweight for a couple of years now. I am 187cm tall and hover around 120kg, and was unable to get thin via diets so far. Since I've been diagnosed I've kicked out most of the carbs intake and my diet consists mostly of protein (meat, eggs) and fresh vegetables. I've also cut down the amount of food I eat every day.
Now what I would like to know is - how do I get back in shape again? I've been around 85-90kg most of my adult life, but got heavier (115-120kg) last 3-4 years. Also to note - I'm a male in my mid thirties, non-smoker with a desk job and two small children (no real time for dedicated exercises).
Had any of you dear people here been in a similar situation? I would be very grateful to read about similar experiences as well as learn more on how do I control my body weight in diabetes. Also, my endocrynologist doctor scheduled my first checkup for early September, and all I got from him for now is that getting my glucose level to sub 7mmol/L is a great success in this time (since my Hba1c was 11% a month and a half ago).
Thanks!</t>
        </is>
      </c>
      <c r="D2078" t="n">
        <v>0</v>
      </c>
      <c r="E2078" t="n">
        <v>9</v>
      </c>
      <c r="F2078">
        <f>HYPERLINK("https://www.reddit.com/r/diabetes/comments/4luq9v/getting_thing_with_t2/")</f>
        <v/>
      </c>
      <c r="G2078" t="inlineStr">
        <is>
          <t>2016-05-31 04:20:11</t>
        </is>
      </c>
      <c r="H2078" t="inlineStr">
        <is>
          <t>Type 2</t>
        </is>
      </c>
    </row>
    <row r="2079">
      <c r="A2079" t="inlineStr">
        <is>
          <t>4luuw2</t>
        </is>
      </c>
      <c r="B2079" t="inlineStr">
        <is>
          <t>Broken Bones and Pain Causing High Blood Sugar?</t>
        </is>
      </c>
      <c r="C2079" t="inlineStr">
        <is>
          <t xml:space="preserve">Last week I had a bike accident and broke a bone in my elbow. Since then I've been having issues getting control.  Normally i hover around 7, but now things are closer to 14/15. Could it be the pain from my arm affecting this? I don't have a cast yet and haven't seen a doctor outside of the diagnosing ER doc. </t>
        </is>
      </c>
      <c r="D2079" t="n">
        <v>3</v>
      </c>
      <c r="E2079" t="n">
        <v>17</v>
      </c>
      <c r="F2079">
        <f>HYPERLINK("https://www.reddit.com/r/diabetes/comments/4luuw2/broken_bones_and_pain_causing_high_blood_sugar/")</f>
        <v/>
      </c>
      <c r="G2079" t="inlineStr">
        <is>
          <t>2016-05-31 04:58:35</t>
        </is>
      </c>
      <c r="H2079" t="inlineStr">
        <is>
          <t>Type 1</t>
        </is>
      </c>
    </row>
    <row r="2080">
      <c r="A2080" t="inlineStr">
        <is>
          <t>4luz99</t>
        </is>
      </c>
      <c r="B2080" t="inlineStr">
        <is>
          <t>Sporting with diabetes T1</t>
        </is>
      </c>
      <c r="C2080" t="inlineStr">
        <is>
          <t>Hi everyone, new to this sub but have had diabetes T1 for 3 years now. 
To keep it short, I do a lot of different kind of activities like riding bikes, skiing etc. I always have to eat something before going out without taking insulin to prevent getting low blood sugar (I never take insulin if I am doing any activity). I do get high blood sugar but pretty much never above 12.0 (216 for you americans) which I don't think is that high but it's always a good value when I check 1-3 hours after the meal. 
Now the reason that I write this is that I would like to NOT have to eat so much when doing sports, because I don't always feel like doing it and also will not all of them carbs make me fat or do I not need to take insulin because I burn the carbs that's in the carbohydrates? 
-Edit: I forgot to mention that I take Levemir in the morning and during the evening. But the dose is not very high and I can usually skip for example lunch without having low blood sugar like most people.</t>
        </is>
      </c>
      <c r="D2080" t="n">
        <v>1</v>
      </c>
      <c r="E2080" t="n">
        <v>9</v>
      </c>
      <c r="F2080">
        <f>HYPERLINK("https://www.reddit.com/r/diabetes/comments/4luz99/sporting_with_diabetes_t1/")</f>
        <v/>
      </c>
      <c r="G2080" t="inlineStr">
        <is>
          <t>2016-05-31 05:32:57</t>
        </is>
      </c>
      <c r="H2080" t="inlineStr">
        <is>
          <t>Type 1</t>
        </is>
      </c>
    </row>
    <row r="2081">
      <c r="A2081" t="inlineStr">
        <is>
          <t>4lw8k6</t>
        </is>
      </c>
      <c r="B2081" t="inlineStr">
        <is>
          <t>A1c, six months in: 5.3%</t>
        </is>
      </c>
      <c r="C2081" t="inlineStr">
        <is>
          <t>I just wanted to share my latest A1c results, and thank the sub. Special shoutout to the nice folks on the IRC.. (I have been busier than I wanted, but I shall be back on the IRC and bug you guys(and gals) in a week).
Here is the A1c chart: http://imgur.com/egBXz3R
I have been doing pretty simple stuff, really. Low carb-ish diet (not keto) with lots of nuts. I have cravings and eat rice (middle eastern/Chinese/Indian food), but I only do it after an intense weight lifting session. I have learned to schedule social meals around workouts.
I hit the gym regularly. I did Mark Rippetoe's Starting Strength routine from January - May. I just started a more focused split routine, because I need more gainz. 
I feel better than a few months ago, and I look much better than before.
**Thanks guys, for the wealth of information!**
I encourage newcomers to utilize what the sub offers. I would, of course, be more than happy to help in any way I can.</t>
        </is>
      </c>
      <c r="D2081" t="n">
        <v>10</v>
      </c>
      <c r="E2081" t="n">
        <v>21</v>
      </c>
      <c r="F2081">
        <f>HYPERLINK("https://www.reddit.com/r/diabetes/comments/4lw8k6/a1c_six_months_in_53/")</f>
        <v/>
      </c>
      <c r="G2081" t="inlineStr">
        <is>
          <t>2016-05-31 09:59:14</t>
        </is>
      </c>
      <c r="H2081" t="inlineStr">
        <is>
          <t>Type 2</t>
        </is>
      </c>
    </row>
    <row r="2082">
      <c r="A2082" t="inlineStr">
        <is>
          <t>4lx0d5</t>
        </is>
      </c>
      <c r="B2082" t="inlineStr">
        <is>
          <t>T1D for 15+ years, family doesn't understand</t>
        </is>
      </c>
      <c r="C2082" t="inlineStr">
        <is>
          <t>I was diagnosed at age 12, and I very quickly took over control of my care. My parents used to ask me about my blood sugars and take me to appointments, but around the age of 18, they stopped. From university on (I lived at home), I went to appointments myself, and didn’t really tell them much. I’m pretty sure that I got annoyed and told them to stop checking in, and that’s when they backed off a lot. I feel like I had to grow up at a very young age in response to my diagnosis, and while that sometimes makes me a little sad, I’ve accepted it, and have always taken it as a positive thing in my life that I’m so well organized.
Now though, at the age of 28, I’m starting to feel quite alone in this, and I almost want them to get more involved once again. Two years ago I ended up in the ER after a scary low, because for awhile I hadn’t been checking my sugars, just blindly giving insulin. I’ve really turned things around and now monitor myself very closely, so I also feel much better. I live alone, so that’s a big part of the reason that I maintain very good control through MDI.
I’m considering saying something to them all, but I don’t really know what or how. We’re pretty close, and I visit every few weeks (I live alone, and they’re two hours away). There are many parts they don’t understand, like how I need to eat very regularly, or how crappy I feel when I go low. We will sometimes plan meals or outings together, but they don’t understand that brunch at 11 am wreaks havoc on my sugars, or that I’d rather not eat pizza at 8 pm. When I was in the ER two years ago from a bad low, my mom’s first reaction was to ask if I was on drugs, not to consider that I had gone low from the condition I’d had for 13ish years at that point.
What should I say to them? Should I send an email, and explain just how much I go through on a daily basis? Perhaps there’s an informative video I could show them, or a blog? Should I say it in person? Have any of you ever gone through this kind of thing?
TL:DR I’d like my family to understand what I go through with my T1D, and am not sure what to say to them.</t>
        </is>
      </c>
      <c r="D2082" t="n">
        <v>14</v>
      </c>
      <c r="E2082" t="n">
        <v>32</v>
      </c>
      <c r="F2082">
        <f>HYPERLINK("https://www.reddit.com/r/diabetes/comments/4lx0d5/t1d_for_15_years_family_doesnt_understand/")</f>
        <v/>
      </c>
      <c r="G2082" t="inlineStr">
        <is>
          <t>2016-05-31 12:25:11</t>
        </is>
      </c>
      <c r="H2082" t="inlineStr">
        <is>
          <t>Type 1</t>
        </is>
      </c>
    </row>
    <row r="2083">
      <c r="A2083" t="inlineStr">
        <is>
          <t>4m1lvr</t>
        </is>
      </c>
      <c r="B2083" t="inlineStr">
        <is>
          <t>Can you die from diabetes type 1?</t>
        </is>
      </c>
      <c r="C2083" t="inlineStr">
        <is>
          <t xml:space="preserve">Hello there, like the title says, can you actually die from type 1 diabetes?
My doctors always said that you can't. They always told me that you can pass out but that's all. People here on reddit always say that giving to much insulin can kill you. So I asked the doctors but they kept denying, they keep saying you can't die from it. Are they trying to protect people from themselves so they don't try to suicide by giving to much insulin? My doctors are actually amazing people who help me a lot, even know when I'm having a bad time controlling and all that stuff. Anyone that can answer my question?...
regards, abraabci </t>
        </is>
      </c>
      <c r="D2083" t="n">
        <v>0</v>
      </c>
      <c r="E2083" t="n">
        <v>22</v>
      </c>
      <c r="F2083">
        <f>HYPERLINK("https://www.reddit.com/r/diabetes/comments/4m1lvr/can_you_die_from_diabetes_type_1/")</f>
        <v/>
      </c>
      <c r="G2083" t="inlineStr">
        <is>
          <t>2016-06-01 07:50:33</t>
        </is>
      </c>
      <c r="H2083" t="inlineStr">
        <is>
          <t>Type 1</t>
        </is>
      </c>
    </row>
    <row r="2084">
      <c r="A2084" t="inlineStr">
        <is>
          <t>4m2ius</t>
        </is>
      </c>
      <c r="B2084" t="inlineStr">
        <is>
          <t>26 year old runner just diagnosed T1- couple of questions!</t>
        </is>
      </c>
      <c r="C2084" t="inlineStr">
        <is>
          <t xml:space="preserve">Hello! This is my first post on Reddit, just looking for some advice after my T1 diagnosis last week. I am a 26 year old active female, 5'8" 130lbs. The diagnosis definitely came as a shock and I am struggling with the permanence of the disease as well as adjusting to a low-carb diet.
1. Any tips on how to feel more satisfied with meals? I am a "foodie" and enjoy baking. I don't want to have to give up my hobby!
2. I feel that this disease could be socially isolating.. going out to eat, drink, scrolling through social media and seeing food images, etc. I also find myself feeling jealous of non-diabetics who don't have to monitor themselves so obsessively. What do you think is the best way to deal with social situations?
3. I have sadness about giving up some of my favorite foods. After a long weekend run, I used to love to go for a cup of coffee and a muffin. Can I never do that again? When is it okay to indulge?
4. Runners- any favorite gear out there to run with diabetes care items, that's not too bulky? 
EDIT: Thank you to everyone who replied, your advice has helped a lot! </t>
        </is>
      </c>
      <c r="D2084" t="n">
        <v>4</v>
      </c>
      <c r="E2084" t="n">
        <v>10</v>
      </c>
      <c r="F2084">
        <f>HYPERLINK("https://www.reddit.com/r/diabetes/comments/4m2ius/26_year_old_runner_just_diagnosed_t1_couple_of/")</f>
        <v/>
      </c>
      <c r="G2084" t="inlineStr">
        <is>
          <t>2016-06-01 10:49:36</t>
        </is>
      </c>
      <c r="H2084" t="inlineStr">
        <is>
          <t>Type 1</t>
        </is>
      </c>
    </row>
    <row r="2085">
      <c r="A2085" t="inlineStr">
        <is>
          <t>4m485j</t>
        </is>
      </c>
      <c r="B2085" t="inlineStr">
        <is>
          <t>Dear today,</t>
        </is>
      </c>
      <c r="C2085" t="inlineStr">
        <is>
          <t>I give up for the moment. My dexcom receiver broke on Saturday, and my water heater did too. They couldn't ship a new receiver until yesterday. I spent the holiday weekend taking cold showers and feeling lost without my cgm. Today, the delivery guy promptly threw my new receiver over an 8 foot fence onto my concrete patio. Something I didn't realize until I was already 20 minutes on hold with their company, fuming that my package said delivered but wasn't on my porch. 
I think I'll just jump ahead to tomorrow. 
Oh man. Sometimes you just have to laugh about it!</t>
        </is>
      </c>
      <c r="D2085" t="n">
        <v>14</v>
      </c>
      <c r="E2085" t="n">
        <v>12</v>
      </c>
      <c r="F2085">
        <f>HYPERLINK("https://www.reddit.com/r/diabetes/comments/4m485j/dear_today/")</f>
        <v/>
      </c>
      <c r="G2085" t="inlineStr">
        <is>
          <t>2016-06-01 16:28:32</t>
        </is>
      </c>
      <c r="H2085" t="inlineStr">
        <is>
          <t>Type 1</t>
        </is>
      </c>
    </row>
    <row r="2086">
      <c r="A2086" t="inlineStr">
        <is>
          <t>4m4yo4</t>
        </is>
      </c>
      <c r="B2086" t="inlineStr">
        <is>
          <t>[Type 1]Has anyone here every stayed up a full 24 hours straight? Does it mess with your glucose?</t>
        </is>
      </c>
      <c r="C2086" t="inlineStr">
        <is>
          <t>I realize that sleep is a fundamental building block of diabetes management, as you need to time your injections correctly, but right now I'm in a bad place because I just got a job working afternoons and the way my sleep schedule is messed up right now is where I go to bed at about 7 in the morning and wake up at 4 in the afternoon. My shifts start at 2.  
I'd like to just go ahead and perform what I like to call a "hard reset", where I just stay up through the entire day and night and go to bed the next night at the correct time. I used to do this all the time back in college. Problem was, back in college I didn't have type 1.  
So I'm wondering how exactly this will affect my glucose and injections. Has anyone else ever done this before?</t>
        </is>
      </c>
      <c r="D2086" t="n">
        <v>0</v>
      </c>
      <c r="E2086" t="n">
        <v>5</v>
      </c>
      <c r="F2086">
        <f>HYPERLINK("https://www.reddit.com/r/diabetes/comments/4m4yo4/type_1has_anyone_here_every_stayed_up_a_full_24/")</f>
        <v/>
      </c>
      <c r="G2086" t="inlineStr">
        <is>
          <t>2016-06-01 19:24:38</t>
        </is>
      </c>
      <c r="H2086" t="inlineStr">
        <is>
          <t>Type 1</t>
        </is>
      </c>
    </row>
    <row r="2087">
      <c r="A2087" t="inlineStr">
        <is>
          <t>4m5p05</t>
        </is>
      </c>
      <c r="B2087" t="inlineStr">
        <is>
          <t>[T2] Just diagnosed, I have no idea what I'm doing</t>
        </is>
      </c>
      <c r="C2087" t="inlineStr">
        <is>
          <t>I'd been having high blood sugar symptoms the past couple of months, and finally got checked. My levels weren't ridiculously high, only 450 and it went down to 200 the next day but I was in DKA for a few hours in the ER today while they flushed me out.
I'm struggling to find what I can and can't eat, how many carbs can I eat and how often, etc.
I was prescribed metformin to take before breakfast and dinner if my levels were over 140mg/dL.</t>
        </is>
      </c>
      <c r="D2087" t="n">
        <v>1</v>
      </c>
      <c r="E2087" t="n">
        <v>31</v>
      </c>
      <c r="F2087">
        <f>HYPERLINK("https://www.reddit.com/r/diabetes/comments/4m5p05/t2_just_diagnosed_i_have_no_idea_what_im_doing/")</f>
        <v/>
      </c>
      <c r="G2087" t="inlineStr">
        <is>
          <t>2016-06-01 22:33:02</t>
        </is>
      </c>
      <c r="H2087" t="inlineStr">
        <is>
          <t>Type 2</t>
        </is>
      </c>
    </row>
    <row r="2088">
      <c r="A2088" t="inlineStr">
        <is>
          <t>4m88jj</t>
        </is>
      </c>
      <c r="B2088" t="inlineStr">
        <is>
          <t>Endocrinologist recommendations in the Bay Area?</t>
        </is>
      </c>
      <c r="C2088" t="inlineStr">
        <is>
          <t xml:space="preserve">I moved to Oakland about a year ago and never got set up with a new endocrinologist and now I'm looking for one. When I search there is a dizzying array of results and the bigger practices that I see all have crazy language about needing all your medical records for the past 10 years (which I don't have or isn't easily accessible; lived in Asia for most of the past 10 years). 
Can anyone offer any recommendations for an endocrinologist in Oakland, Berkeley, San Francisco and surrounding areas?
Or strategies, methods or apps/websites for finding one?
I manage my diabetes with MDI and a finger stick glucometer and I want to join the CGM/pump revolution. </t>
        </is>
      </c>
      <c r="D2088" t="n">
        <v>2</v>
      </c>
      <c r="E2088" t="n">
        <v>4</v>
      </c>
      <c r="F2088">
        <f>HYPERLINK("https://www.reddit.com/r/diabetes/comments/4m88jj/endocrinologist_recommendations_in_the_bay_area/")</f>
        <v/>
      </c>
      <c r="G2088" t="inlineStr">
        <is>
          <t>2016-06-02 10:16:33</t>
        </is>
      </c>
      <c r="H2088" t="inlineStr">
        <is>
          <t>Type 1</t>
        </is>
      </c>
    </row>
    <row r="2089">
      <c r="A2089" t="inlineStr">
        <is>
          <t>4m9b8a</t>
        </is>
      </c>
      <c r="B2089" t="inlineStr">
        <is>
          <t>Random high blood sugar</t>
        </is>
      </c>
      <c r="C2089" t="inlineStr">
        <is>
          <t>So I tested before dinner at 17:22, and got 5.5 mmol/L. Then, 3 [hours] later, after I've eaten fajitas, my sugar is 8.7 mmol/L. I take 1 unit of insulin [to correct the high]. 1 hour later, my sugar is 10 mmol/L. What the fuck?</t>
        </is>
      </c>
      <c r="D2089" t="n">
        <v>2</v>
      </c>
      <c r="E2089" t="n">
        <v>9</v>
      </c>
      <c r="F2089">
        <f>HYPERLINK("https://www.reddit.com/r/diabetes/comments/4m9b8a/random_high_blood_sugar/")</f>
        <v/>
      </c>
      <c r="G2089" t="inlineStr">
        <is>
          <t>2016-06-02 13:47:31</t>
        </is>
      </c>
      <c r="H2089" t="inlineStr">
        <is>
          <t>Type 1</t>
        </is>
      </c>
    </row>
    <row r="2090">
      <c r="A2090" t="inlineStr">
        <is>
          <t>4m9v9f</t>
        </is>
      </c>
      <c r="B2090" t="inlineStr">
        <is>
          <t>It takes all types...</t>
        </is>
      </c>
      <c r="C2090" t="inlineStr">
        <is>
          <t>So, I've been a type 1 since 1997, diagnosed at 9. My dad was diagnosed with type 2 two months before that. I've grown up with this, fought against it and eventually accepted it for what it is. I now I work in an endocrinology office and enjoy what I do. Yesterday, I left early from work to find out my dog of 12 years was a diabetic. She displayed all classic signs of DKA. Drastic weight loss, drinking a ton of water, peeing like there's no tomorrow and eventually uncontrollable vomiting. It didn't even dawn on me that diabetes was the reason. 
Two injections a day for the rest of her life. I've coordinated with the vet to use an old dexcom on her to evaluate the dose of insulin she'll need to be taking. No treats and getting stuck all the time is not going to make a happy Fifi. 
It's both terrifying and exciting that this disease has affected my entire life, including my dog. 
Funny how things work sometimes.</t>
        </is>
      </c>
      <c r="D2090" t="n">
        <v>19</v>
      </c>
      <c r="E2090" t="n">
        <v>13</v>
      </c>
      <c r="F2090">
        <f>HYPERLINK("https://www.reddit.com/r/diabetes/comments/4m9v9f/it_takes_all_types/")</f>
        <v/>
      </c>
      <c r="G2090" t="inlineStr">
        <is>
          <t>2016-06-02 15:50:32</t>
        </is>
      </c>
      <c r="H2090" t="inlineStr">
        <is>
          <t>Type 1</t>
        </is>
      </c>
    </row>
    <row r="2091">
      <c r="A2091" t="inlineStr">
        <is>
          <t>4md3ln</t>
        </is>
      </c>
      <c r="B2091" t="inlineStr">
        <is>
          <t>Why are my blood sugars if I inject after eating instead of before?</t>
        </is>
      </c>
      <c r="C2091" t="inlineStr">
        <is>
          <t>EDIT: Typo in the title! Why are my blood sugars *BETTER* if I inject after eating instead of before?
Every time I eat a meal with a certain amount of carbs, I inject after the meal and my blood sugar is much better and I need less insulin than if I had injected before. Does anyone know why this may happen?</t>
        </is>
      </c>
      <c r="D2091" t="n">
        <v>3</v>
      </c>
      <c r="E2091" t="n">
        <v>10</v>
      </c>
      <c r="F2091">
        <f>HYPERLINK("https://www.reddit.com/r/diabetes/comments/4md3ln/why_are_my_blood_sugars_if_i_inject_after_eating/")</f>
        <v/>
      </c>
      <c r="G2091" t="inlineStr">
        <is>
          <t>2016-06-03 07:25:36</t>
        </is>
      </c>
      <c r="H2091" t="inlineStr">
        <is>
          <t>Type 1</t>
        </is>
      </c>
    </row>
    <row r="2092">
      <c r="A2092" t="inlineStr">
        <is>
          <t>4mg6fg</t>
        </is>
      </c>
      <c r="B2092" t="inlineStr">
        <is>
          <t>T2 Newly diagnosed diabetic just discharged from the hospital after six days because of DKA. I don't know what I'm doing</t>
        </is>
      </c>
      <c r="C2092" t="inlineStr">
        <is>
          <t xml:space="preserve">After two weeks of feeling like crap I decided to bite the bullet and make my way to the local hospital ER where they immediately admitted me and ended up keeping me for six days, four of which were spent in the ICU.
Turns out I'm a type 2 diabetic. The doctor put me on actos, metformin, and lantus after discharging me, but I'm still so unsure about where I'm supposed to be with everything. I've been worried about everything I eat now, and have tested BG levels 40 times since I was discharged five days ago. Today is the first day my BG hasn't gone above 200, and I finally feel like I'm doing something right, but I feel like there's still so much I don't know about. 
What do controlled BG levels look like in a T2 diabetic?
How do I calm myself down so I'm not testing my self ten times a day?
EDIT: Thanks everyone for the information and kind words so far. I have an appointment this Tuesday to see a primary care doctor so I can have someone to go to. I don't believe any kind of test was done to determine my type in the hospital, so that's something I'll ask my new doctor to do, but I do want to add I'm 23, hispanic, overweight, and basically everyone older than me in my family is diabetic, I'm assuming type 2. I'm learning though that most of them weren't diagnosed until much later in life (around 40). 
I wasn't prescribed anything like fact-acting insulin by the hospital doctor, just a pretty large dose of lantus. Also, while I do enjoy alcohol from time to time, I don't think staying away isn't going to be an issue for me. I'm glad to hear that doing all this BG testing at first is normal. I have more testing supplies coming tomorrow so thankfully I won't be running out. </t>
        </is>
      </c>
      <c r="D2092" t="n">
        <v>17</v>
      </c>
      <c r="E2092" t="n">
        <v>20</v>
      </c>
      <c r="F2092">
        <f>HYPERLINK("https://www.reddit.com/r/diabetes/comments/4mg6fg/t2_newly_diagnosed_diabetic_just_discharged_from/")</f>
        <v/>
      </c>
      <c r="G2092" t="inlineStr">
        <is>
          <t>2016-06-03 18:34:22</t>
        </is>
      </c>
      <c r="H2092" t="inlineStr">
        <is>
          <t>Type 2</t>
        </is>
      </c>
    </row>
    <row r="2093">
      <c r="A2093" t="inlineStr">
        <is>
          <t>4mgq2t</t>
        </is>
      </c>
      <c r="B2093" t="inlineStr">
        <is>
          <t>Type 1: Riding a rollercoaster with an insulin pump?</t>
        </is>
      </c>
      <c r="C2093" t="inlineStr">
        <is>
          <t>I'm going to an amusement park tomorrow and am planning on riding as many rollercoasters as possible. On the Animas website it recommends disconnecting your pump because of high G forces. Have any of you had any experience with this? Is it okay to leave my pump on? I'm worried about leaving my pump unattended during the ride. 
I have an Animas Ping, if that makes a difference. Thanks for your help!</t>
        </is>
      </c>
      <c r="D2093" t="n">
        <v>5</v>
      </c>
      <c r="E2093" t="n">
        <v>7</v>
      </c>
      <c r="F2093">
        <f>HYPERLINK("https://www.reddit.com/r/diabetes/comments/4mgq2t/type_1_riding_a_rollercoaster_with_an_insulin_pump/")</f>
        <v/>
      </c>
      <c r="G2093" t="inlineStr">
        <is>
          <t>2016-06-03 21:08:49</t>
        </is>
      </c>
      <c r="H2093" t="inlineStr">
        <is>
          <t>Type 1</t>
        </is>
      </c>
    </row>
    <row r="2094">
      <c r="A2094" t="inlineStr">
        <is>
          <t>4mp15q</t>
        </is>
      </c>
      <c r="B2094" t="inlineStr">
        <is>
          <t>Any advice on how to help someone handling being diagnosed [type 1] really bad?</t>
        </is>
      </c>
      <c r="C2094" t="inlineStr">
        <is>
          <t xml:space="preserve">Long story short, my brother was diagnosed with Type 1 about a year and a half ago. On top of that he was thrown the curveball of the heart condition Long QT syndrome when he was 10. But since he's been diagnosed with Type 1 he's been in the hospital 4 times with his blood sugar being completley out of control. He spent 4 months at Cumbarland hospital in VA where they tried to help him get it under control and it seemed to help at first, but then he stopped monitoring his levels again and I'm not at home to make sure he does. He had an episode or something really early Saturday morning and I found him unconscious when I home around 4am. he was breathing really hard and I took him to the local ER as soon as I found him. His blood sugar was so high they couldn't get the meters to read it. They tried giving him an IV but he was so dehydrated they couldn't get it in his arm so they tried giving him an IV through his neck or something like that and they ended up puncturing his lung. But all that is fixed and he should have the tube out of his chest on Monday and they're getting his levels back where they need to be and he should be able to come home in the next few days. My question is, what else can I do to try and get him to understand that this is a life or death situation? Is there anything I can do? I'm not ready to bury my brother.
Edit: he is 18. Not sure if his age would be helpful. </t>
        </is>
      </c>
      <c r="D2094" t="n">
        <v>4</v>
      </c>
      <c r="E2094" t="n">
        <v>14</v>
      </c>
      <c r="F2094">
        <f>HYPERLINK("https://www.reddit.com/r/diabetes/comments/4mp15q/any_advice_on_how_to_help_someone_handling_being/")</f>
        <v/>
      </c>
      <c r="G2094" t="inlineStr">
        <is>
          <t>2016-06-05 12:41:50</t>
        </is>
      </c>
      <c r="H2094" t="inlineStr">
        <is>
          <t>Type 1</t>
        </is>
      </c>
    </row>
    <row r="2095">
      <c r="A2095" t="inlineStr">
        <is>
          <t>4mrh3w</t>
        </is>
      </c>
      <c r="B2095" t="inlineStr">
        <is>
          <t>T2 - experiencing weird symptoms and not sure what to do</t>
        </is>
      </c>
      <c r="C2095" t="inlineStr">
        <is>
          <t>Hi r/diabetes,
I was recently diagnosed as a "mild" T2 diabetic about a month ago. My family doctor refused to put me on medication because she said I don't need it. I'm scheduled to go to a diabetes nutrition session at my local hospital June 27th and get a free glucose meter with testing strips then. However, I'm concerned about some symptoms I've been having. I'm in the process of losing weight and I've changed my diet so that I'm eating more protein, dairy and vegetables, and limiting my carbohydrates as much as possible. The issue now is that I'm experiencing more symptoms than I had before I was diagnosed. My feet tingle, they feel numb and swollen in the mornings and at night. I also can't get to sleep because I'm constantly up peeing and I'm exhausted everyday. So the question is should I go to a walk in clinic and let them know about my symptoms? Or should I wait until my appointment? Thanks for your help guys :)</t>
        </is>
      </c>
      <c r="D2095" t="n">
        <v>4</v>
      </c>
      <c r="E2095" t="n">
        <v>20</v>
      </c>
      <c r="F2095">
        <f>HYPERLINK("https://www.reddit.com/r/diabetes/comments/4mrh3w/t2_experiencing_weird_symptoms_and_not_sure_what/")</f>
        <v/>
      </c>
      <c r="G2095" t="inlineStr">
        <is>
          <t>2016-06-05 22:37:16</t>
        </is>
      </c>
      <c r="H2095" t="inlineStr">
        <is>
          <t>Type 2</t>
        </is>
      </c>
    </row>
    <row r="2096">
      <c r="A2096" t="inlineStr">
        <is>
          <t>4mt2st</t>
        </is>
      </c>
      <c r="B2096" t="inlineStr">
        <is>
          <t>Tough Mudder/Mud Run Gear Suggestions?</t>
        </is>
      </c>
      <c r="C2096" t="inlineStr">
        <is>
          <t xml:space="preserve">Hi,  I am doing a tough mudder in July and am trying to look for some sort of dry bag to keep my meter, strips, insulin and needles dry. Anyone know of anything that could work? I used something when I went canyoning that scuba divers use but I can't remember what it was because I only borrowed it. 
I need something slim fitting so it doesn't get caught on any of the obstacles. Is bringing all this stuff with my on the whole course crazy? 
Anyone done one of these that is T1D and have any tips? </t>
        </is>
      </c>
      <c r="D2096" t="n">
        <v>4</v>
      </c>
      <c r="E2096" t="n">
        <v>3</v>
      </c>
      <c r="F2096">
        <f>HYPERLINK("https://www.reddit.com/r/diabetes/comments/4mt2st/tough_muddermud_run_gear_suggestions/")</f>
        <v/>
      </c>
      <c r="G2096" t="inlineStr">
        <is>
          <t>2016-06-06 07:06:41</t>
        </is>
      </c>
      <c r="H2096" t="inlineStr">
        <is>
          <t>Type 1</t>
        </is>
      </c>
    </row>
    <row r="2097">
      <c r="A2097" t="inlineStr">
        <is>
          <t>4muimk</t>
        </is>
      </c>
      <c r="B2097" t="inlineStr">
        <is>
          <t>Crashing low after exercise.</t>
        </is>
      </c>
      <c r="C2097" t="inlineStr">
        <is>
          <t>I am currently on 16 units of Levimir at night and have been trying to figure out how to deal with lows after exercise.  Usually I will try and make sure my BS is around 150 or so before I go on a bike ride, and will have a snack with 20g of sugar/carbs mid ride.  Ill check when i get back and my BS is usually around 80 or so and dropping fast, 10 points every 10-15 minutes or so.  Any ways to better manage this?  This morning I got up, BS was 89, had some cereal, some grape juice, and some gummy fruit snacks to boost my BS for my ride to work.  Rode 7 miles/ 1000ft gain, and check my BS.  It was 275, then 174 an hour later, then 64 an hour after that.  Not sure if I need to lower my Levimir dose if I am going to be active so I don't have to mainline sugar before/after my rides to survive.</t>
        </is>
      </c>
      <c r="D2097" t="n">
        <v>6</v>
      </c>
      <c r="E2097" t="n">
        <v>6</v>
      </c>
      <c r="F2097">
        <f>HYPERLINK("https://www.reddit.com/r/diabetes/comments/4muimk/crashing_low_after_exercise/")</f>
        <v/>
      </c>
      <c r="G2097" t="inlineStr">
        <is>
          <t>2016-06-06 11:40:42</t>
        </is>
      </c>
      <c r="H2097" t="inlineStr">
        <is>
          <t>Type 1</t>
        </is>
      </c>
    </row>
    <row r="2098">
      <c r="A2098" t="inlineStr">
        <is>
          <t>4mwji3</t>
        </is>
      </c>
      <c r="B2098" t="inlineStr">
        <is>
          <t>Tiny victory today!</t>
        </is>
      </c>
      <c r="C2098" t="inlineStr">
        <is>
          <t xml:space="preserve">Hi all. Super tiny victory here but I'm just so happy!
I'm suuuuuper afraid of needles, sharp things, etc...basically all the things that being diabetic now means I have to be subjected to daily.
The daily blood tests have been really rough, my boyfriend has been very supportive and doing the lancing for me each time. He's been very patient with me, but it's a strain to have him always need to help with this, so I've been trying really hard to work my way up to lancing myself. I'd always get panicky/shaky and wimp out at the sight of the lancet near my finger, couldn't even see the two together when we started (I had to watch [this video](https://www.youtube.com/watch?v=Kkc576tsEqA) to calm myself down during the test--every time).
I decided to start small. We worked on me watching the lancing, then me holding the device and him pressing the button, then vice versa. Today I finally did it on my own! I'm so relieved to finally get over this silly thing. </t>
        </is>
      </c>
      <c r="D2098" t="n">
        <v>14</v>
      </c>
      <c r="E2098" t="n">
        <v>9</v>
      </c>
      <c r="F2098">
        <f>HYPERLINK("https://www.reddit.com/r/diabetes/comments/4mwji3/tiny_victory_today/")</f>
        <v/>
      </c>
      <c r="G2098" t="inlineStr">
        <is>
          <t>2016-06-06 18:26:54</t>
        </is>
      </c>
      <c r="H2098" t="inlineStr">
        <is>
          <t>Type 1.5/LADA</t>
        </is>
      </c>
    </row>
    <row r="2099">
      <c r="A2099" t="inlineStr">
        <is>
          <t>4mwvnz</t>
        </is>
      </c>
      <c r="B2099" t="inlineStr">
        <is>
          <t>Help! I think I forgot to take my Lantus!</t>
        </is>
      </c>
      <c r="C2099" t="inlineStr">
        <is>
          <t>I'm a recent Type 1 who's had the disease for 5 months who is on Lantus, 8 units, and today I woke up and forgot to take my shot!  
I've been active all day though, and I have been feeling a bit sick, so I took my level and saw I was at 77 blood glucose. Am I ok? What do I do? Do I just take my shot? I think it's already too late. Will I just have to keep a very close eye on it?</t>
        </is>
      </c>
      <c r="D2099" t="n">
        <v>1</v>
      </c>
      <c r="E2099" t="n">
        <v>3</v>
      </c>
      <c r="F2099">
        <f>HYPERLINK("https://www.reddit.com/r/diabetes/comments/4mwvnz/help_i_think_i_forgot_to_take_my_lantus/")</f>
        <v/>
      </c>
      <c r="G2099" t="inlineStr">
        <is>
          <t>2016-06-06 19:40:58</t>
        </is>
      </c>
      <c r="H2099" t="inlineStr">
        <is>
          <t>Type 1</t>
        </is>
      </c>
    </row>
    <row r="2100">
      <c r="A2100" t="inlineStr">
        <is>
          <t>4mxozh</t>
        </is>
      </c>
      <c r="B2100" t="inlineStr">
        <is>
          <t>How safe is a 120?</t>
        </is>
      </c>
      <c r="C2100" t="inlineStr">
        <is>
          <t>I keep trying to stay near 80. My meals have been almost nothing but meats and green, leafy vegetables like spinach. This normally keeps me around 89-95.
I keep trying not to bump up above 100. Even a 105 makes me unhappy.
Am I being to controlling?</t>
        </is>
      </c>
      <c r="D2100" t="n">
        <v>7</v>
      </c>
      <c r="E2100" t="n">
        <v>77</v>
      </c>
      <c r="F2100">
        <f>HYPERLINK("https://www.reddit.com/r/diabetes/comments/4mxozh/how_safe_is_a_120/")</f>
        <v/>
      </c>
      <c r="G2100" t="inlineStr">
        <is>
          <t>2016-06-06 23:23:00</t>
        </is>
      </c>
      <c r="H2100" t="inlineStr">
        <is>
          <t>Type 2</t>
        </is>
      </c>
    </row>
    <row r="2101">
      <c r="A2101" t="inlineStr">
        <is>
          <t>4mzoh7</t>
        </is>
      </c>
      <c r="B2101" t="inlineStr">
        <is>
          <t>Excited today! got my latest A1C</t>
        </is>
      </c>
      <c r="C2101" t="inlineStr">
        <is>
          <t>So I went to my doc yesterday for my usual Diabeetus checkup and I got my A1C result back today.  I was diagnosed in January with an A1C of about 11.  Today I'm at 6.9.  I'm feeling pretty good right now.  So I'm celebrating with yogurt.</t>
        </is>
      </c>
      <c r="D2101" t="n">
        <v>34</v>
      </c>
      <c r="E2101" t="n">
        <v>18</v>
      </c>
      <c r="F2101">
        <f>HYPERLINK("https://www.reddit.com/r/diabetes/comments/4mzoh7/excited_today_got_my_latest_a1c/")</f>
        <v/>
      </c>
      <c r="G2101" t="inlineStr">
        <is>
          <t>2016-06-07 08:48:25</t>
        </is>
      </c>
      <c r="H2101" t="inlineStr">
        <is>
          <t>Type 2</t>
        </is>
      </c>
    </row>
    <row r="2102">
      <c r="A2102" t="inlineStr">
        <is>
          <t>4n2u8h</t>
        </is>
      </c>
      <c r="B2102" t="inlineStr">
        <is>
          <t>Can't get my levels down, help!</t>
        </is>
      </c>
      <c r="C2102" t="inlineStr">
        <is>
          <t>For almost two weeks now my sugar level has been sitting at around 12.0. I've done many set changes into different spots, used insulin from separate packs, and even injected insulin. It's only gone down once after a big gym session, and then went back up to 12. I have no idea what to do, and am starting to feel really sick. Has anyone else gone through this?</t>
        </is>
      </c>
      <c r="D2102" t="n">
        <v>1</v>
      </c>
      <c r="E2102" t="n">
        <v>11</v>
      </c>
      <c r="F2102">
        <f>HYPERLINK("https://www.reddit.com/r/diabetes/comments/4n2u8h/cant_get_my_levels_down_help/")</f>
        <v/>
      </c>
      <c r="G2102" t="inlineStr">
        <is>
          <t>2016-06-07 19:34:47</t>
        </is>
      </c>
      <c r="H2102" t="inlineStr">
        <is>
          <t>Type 1</t>
        </is>
      </c>
    </row>
    <row r="2103">
      <c r="A2103" t="inlineStr">
        <is>
          <t>4n325l</t>
        </is>
      </c>
      <c r="B2103" t="inlineStr">
        <is>
          <t>What does it FEEL like to go into a hypoglycemic coma?</t>
        </is>
      </c>
      <c r="C2103" t="inlineStr">
        <is>
          <t>I'm a bit worried about going into a coma, as I'm extremely active, and there have been times when it has gotten down to 40 during rigorous exercise, but the only thing that happened was the usual shakes and sweating.  
There have also been times when I have been laying in bed at night and awoken to sweating profusely, and checking my glucose to find I'm at 40-50.  
So what are the warning signs of entering the actual coma itself? Do you just start to get really dizzy? Or feeling faint? I want to know what other warning signs I can look for. I'm getting very paranoid about this.</t>
        </is>
      </c>
      <c r="D2103" t="n">
        <v>1</v>
      </c>
      <c r="E2103" t="n">
        <v>5</v>
      </c>
      <c r="F2103">
        <f>HYPERLINK("https://www.reddit.com/r/diabetes/comments/4n325l/what_does_it_feel_like_to_go_into_a_hypoglycemic/")</f>
        <v/>
      </c>
      <c r="G2103" t="inlineStr">
        <is>
          <t>2016-06-07 20:28:12</t>
        </is>
      </c>
      <c r="H2103" t="inlineStr">
        <is>
          <t>Type 1</t>
        </is>
      </c>
    </row>
    <row r="2104">
      <c r="A2104" t="inlineStr">
        <is>
          <t>4n68wb</t>
        </is>
      </c>
      <c r="B2104" t="inlineStr">
        <is>
          <t>Started insulin today...</t>
        </is>
      </c>
      <c r="C2104" t="inlineStr">
        <is>
          <t>Got a call a few minutes after I woke up, clinic told me to come in ASAP to be put on insulin.
We test my BG when I get there, teach me how to inject, and test again 10 minutes later after I start sweating and feel nauseous.
10 units of 24hr Lantus brought me from 170 to 100 in 10 minutes. There was also a large bump where I injected for about an hour, like the insulin just sat there for a while. Is this normal at all and do those bumps go away?</t>
        </is>
      </c>
      <c r="D2104" t="n">
        <v>5</v>
      </c>
      <c r="E2104" t="n">
        <v>11</v>
      </c>
      <c r="F2104">
        <f>HYPERLINK("https://www.reddit.com/r/diabetes/comments/4n68wb/started_insulin_today/")</f>
        <v/>
      </c>
      <c r="G2104" t="inlineStr">
        <is>
          <t>2016-06-08 10:34:03</t>
        </is>
      </c>
      <c r="H2104" t="inlineStr">
        <is>
          <t>Type 1</t>
        </is>
      </c>
    </row>
    <row r="2105">
      <c r="A2105" t="inlineStr">
        <is>
          <t>4n9git</t>
        </is>
      </c>
      <c r="B2105" t="inlineStr">
        <is>
          <t>Any way to make flax seed bread rise?</t>
        </is>
      </c>
      <c r="C2105" t="inlineStr">
        <is>
          <t>I've been using [Flax Seed Meal](http://www.images-iherb.com/l/BRM-00330-9.jpg) to make really good bread. low carb, doesn't spike me, really awesome.
Is there anything I could add to [my recipe](https://www.verywell.com/focaccia-style-flax-bread-2241708) to make it rise? I'm kinda craving a sandwich, but I fear eating normal bread might cause me to lose a foot down the line.</t>
        </is>
      </c>
      <c r="D2105" t="n">
        <v>1</v>
      </c>
      <c r="E2105" t="n">
        <v>6</v>
      </c>
      <c r="F2105">
        <f>HYPERLINK("https://www.reddit.com/r/diabetes/comments/4n9git/any_way_to_make_flax_seed_bread_rise/")</f>
        <v/>
      </c>
      <c r="G2105" t="inlineStr">
        <is>
          <t>2016-06-08 22:42:32</t>
        </is>
      </c>
      <c r="H2105" t="inlineStr">
        <is>
          <t>Type 2</t>
        </is>
      </c>
    </row>
    <row r="2106">
      <c r="A2106" t="inlineStr">
        <is>
          <t>4ncved</t>
        </is>
      </c>
      <c r="B2106" t="inlineStr">
        <is>
          <t>Forgot my mealtime insulin (again!) BUT - this time I was able to eat without it.</t>
        </is>
      </c>
      <c r="C2106" t="inlineStr">
        <is>
          <t>Just a little real-life experience that I'd like to share with those on MDI and who may not yet have a CGM or pump:
I forgot to bring my mealtime insulin to work today (again). I had brought with me a tuna sandwich (oroweat sandwich thins, which is 22g carbs) and 1/2 a banana. My current I:C is 1:34, so my mealtime insulin ~~was~~ should have been less than one unit (a little more than 1/2 a unit).
Just as I had prepared my lunch and was about to grab my mealtime insulin injection (don't have pens yet), my dog barfs and I have to clean up. By this time, I'm running late for work. I leave the house thinking of shortcuts to get to work on time and realize I had forgotten my injection when I pulled up into the parking lot.
So, I decided to eat my sandwich only and save the 1/2 banana for my afternoon snack. BG before meal: 99. BG 1 hour after meal: 123. BG 2 hours after meal: 105. Ate 1/4 banana (one bite really) and then went for a 15 minute walk: 110.
I wanted to post this because I feel damn proud of myself for knowing what to do in case life throws another curve ball and I forget my meal time insulin (if I would have had a more carb-heavy meal, I would have gone to buy something more "light" to eat with less carbs). The key here I think, is knowing how insulin affects you (specifically, how your long-acting insulin is working), and testing before/after meals to keep track of how things are going.</t>
        </is>
      </c>
      <c r="D2106" t="n">
        <v>9</v>
      </c>
      <c r="E2106" t="n">
        <v>12</v>
      </c>
      <c r="F2106">
        <f>HYPERLINK("https://www.reddit.com/r/diabetes/comments/4ncved/forgot_my_mealtime_insulin_again_but_this_time_i/")</f>
        <v/>
      </c>
      <c r="G2106" t="inlineStr">
        <is>
          <t>2016-06-09 13:53:23</t>
        </is>
      </c>
      <c r="H2106" t="inlineStr">
        <is>
          <t>Type 1.5/LADA</t>
        </is>
      </c>
    </row>
    <row r="2107">
      <c r="A2107" t="inlineStr">
        <is>
          <t>4nd3ak</t>
        </is>
      </c>
      <c r="B2107" t="inlineStr">
        <is>
          <t>Recent Diagnosis</t>
        </is>
      </c>
      <c r="C2107" t="inlineStr">
        <is>
          <t>A GP diagnosed my boyfriend with Type 2 diabetes about a month ago, but after following up with an Endo, he appears to have the LADA form of Type 1. His only response was "My life is a joke." but I asked some questions and it looks like we caught it before damage set in. There was no DKA and he had an a1c between 7 and 7.5. My experiences with Type 1 are a dear friend who passed in her sleep a couple years ago at 25 and a former coworker who has a much better insurance plan now and is a major foodie and appreciates craft beverages. I'm just want to get an idea of what we're in for, he's been through so much in his life and things were finally starting to look up for him and I'm so worried about his QoL.
He's also an great first responder with a lot invested in his career. I was wondering if any of you are EMTs, Paramedics, Firefighters, or LEOs.</t>
        </is>
      </c>
      <c r="D2107" t="n">
        <v>3</v>
      </c>
      <c r="E2107" t="n">
        <v>8</v>
      </c>
      <c r="F2107">
        <f>HYPERLINK("https://www.reddit.com/r/diabetes/comments/4nd3ak/recent_diagnosis/")</f>
        <v/>
      </c>
      <c r="G2107" t="inlineStr">
        <is>
          <t>2016-06-09 14:39:59</t>
        </is>
      </c>
      <c r="H2107" t="inlineStr">
        <is>
          <t>Type 1</t>
        </is>
      </c>
    </row>
    <row r="2108">
      <c r="A2108" t="inlineStr">
        <is>
          <t>4ngh3s</t>
        </is>
      </c>
      <c r="B2108" t="inlineStr">
        <is>
          <t>How many carbs are guaranteed to be safe?</t>
        </is>
      </c>
      <c r="C2108" t="inlineStr">
        <is>
          <t>I know eating anywhere between 5-9 carbs is safe. At most, I end up at a 105 for a few short minutes.
I had a bowl of Special K (Just normal, regular Special K) and tested an hour later at 126. Considering there's about 26g of carbs in just one cup of Special K, I'm going to say I had about 30-35g of carbs.
I have no idea what I'm doing. Any ideas?
Basically, can I eat a sandwich and be good to go? Bread and chocolate are my weakness, but I haven't had either for two years.</t>
        </is>
      </c>
      <c r="D2108" t="n">
        <v>1</v>
      </c>
      <c r="E2108" t="n">
        <v>37</v>
      </c>
      <c r="F2108">
        <f>HYPERLINK("https://www.reddit.com/r/diabetes/comments/4ngh3s/how_many_carbs_are_guaranteed_to_be_safe/")</f>
        <v/>
      </c>
      <c r="G2108" t="inlineStr">
        <is>
          <t>2016-06-10 07:14:14</t>
        </is>
      </c>
      <c r="H2108" t="inlineStr">
        <is>
          <t>Type 2</t>
        </is>
      </c>
    </row>
    <row r="2109">
      <c r="A2109" t="inlineStr">
        <is>
          <t>4nirxf</t>
        </is>
      </c>
      <c r="B2109" t="inlineStr">
        <is>
          <t>Are most teas safe?</t>
        </is>
      </c>
      <c r="C2109" t="inlineStr">
        <is>
          <t>I picked this up at the super market: http://www.celestialseasonings.com/products/herbal/cinnamon-apple-spice-herbal-tea
The nutrition facts say it has... nothing. It's telling me I'm just drinking water here.
Does this mean most teas won't mess with a diabetic? (I know caffeine messes with me. I only drink caffeine free stuff.)</t>
        </is>
      </c>
      <c r="D2109" t="n">
        <v>2</v>
      </c>
      <c r="E2109" t="n">
        <v>18</v>
      </c>
      <c r="F2109">
        <f>HYPERLINK("https://www.reddit.com/r/diabetes/comments/4nirxf/are_most_teas_safe/")</f>
        <v/>
      </c>
      <c r="G2109" t="inlineStr">
        <is>
          <t>2016-06-10 15:20:15</t>
        </is>
      </c>
      <c r="H2109" t="inlineStr">
        <is>
          <t>Type 2</t>
        </is>
      </c>
    </row>
    <row r="2110">
      <c r="A2110" t="inlineStr">
        <is>
          <t>4nizxg</t>
        </is>
      </c>
      <c r="B2110" t="inlineStr">
        <is>
          <t>My grandmother is killing herself</t>
        </is>
      </c>
      <c r="C2110" t="inlineStr">
        <is>
          <t>Pasta TV dinner: 30+g carbs
Rice and corn TV dinner: 50+g carbs
Power Aide: 21g carbs, 21g Sugar
Strawberry cake: god knows how much death within
These are some of the things I'm currently watching my grandmother eat. Seriously. I'm looking at her finish the cake off as I type.
She just got back from the hospital. Fasting blood sugar of 324, A1C of 14+.
All through the day, I've been trying to teach her how to eat right, how to handle this and not kill herself.
She keeps saying things like:
&amp;gt;You're no expert. You don't know
&amp;gt;Well, OK "Doctor [My name]"
&amp;gt;186 is really good if I just got done eating!
That last one just happened. I tested her seconds after finishing a meal (There's no way it had enough time to enter her system) and she ended up being 186.
Guys, I've tried everything. She just doesn't believe what I'm telling her is fact. I've shown her guides, studies, youtube videos, everything. Pretty sure I'm out of options.
She even said that I'll likely die before her because I "Worry too much about controlling everything I eat."
Is there a point where you just have to let someone self destruct?</t>
        </is>
      </c>
      <c r="D2110" t="n">
        <v>8</v>
      </c>
      <c r="E2110" t="n">
        <v>16</v>
      </c>
      <c r="F2110">
        <f>HYPERLINK("https://www.reddit.com/r/diabetes/comments/4nizxg/my_grandmother_is_killing_herself/")</f>
        <v/>
      </c>
      <c r="G2110" t="inlineStr">
        <is>
          <t>2016-06-10 16:15:28</t>
        </is>
      </c>
      <c r="H2110" t="inlineStr">
        <is>
          <t>Type 2</t>
        </is>
      </c>
    </row>
    <row r="2111">
      <c r="A2111" t="inlineStr">
        <is>
          <t>4nlmr4</t>
        </is>
      </c>
      <c r="B2111" t="inlineStr">
        <is>
          <t>Morning full body pain?</t>
        </is>
      </c>
      <c r="C2111" t="inlineStr">
        <is>
          <t>So the last few years, when I wake up or remain still for too long, my entire body hurts.  The only thing I can compare it too is a very minor version of what total renal failure felt like.  (Which was a 13 on a 10 scale).  It's every day, and it seems the better my BG's are, the worse it feels.  It's also starting to get worse.  
I've asked my doctors about it, (Endo, Primary, and Nephrologist), and they all kind of dismiss it/not doing anything or suggesting anything.  I've always thought that its a shade of neuropathy, but I'm starting to wonder if it's something else because it seems like the neuropathy pains I have are more in my legs/feet and this is all over my entire body, like muscular.  
Does anyone else have anything like this happening to them or have any idea how to help deal with it?  I've eaten a pot edible once or twice at night and it did seem to take a bit of the edge off in the morning but that's not something I can do everyday.  (Unless they legalize it medically, but that's probably at least a few years off her in Fla...)  You guys are usually pretty good with suggestions, so any ideas?  Thanks!</t>
        </is>
      </c>
      <c r="D2111" t="n">
        <v>5</v>
      </c>
      <c r="E2111" t="n">
        <v>18</v>
      </c>
      <c r="F2111">
        <f>HYPERLINK("https://www.reddit.com/r/diabetes/comments/4nlmr4/morning_full_body_pain/")</f>
        <v/>
      </c>
      <c r="G2111" t="inlineStr">
        <is>
          <t>2016-06-11 07:39:00</t>
        </is>
      </c>
      <c r="H2111" t="inlineStr">
        <is>
          <t>Type 1</t>
        </is>
      </c>
    </row>
    <row r="2112">
      <c r="A2112" t="inlineStr">
        <is>
          <t>4nm69f</t>
        </is>
      </c>
      <c r="B2112" t="inlineStr">
        <is>
          <t>16g raised my blood sugar from 154 to 244</t>
        </is>
      </c>
      <c r="C2112" t="inlineStr">
        <is>
          <t>First time posting, long time lurking.
Diagnosed at 19 right before Thanksgiving November 2013. I'm a Type 1 diabetic trying to get things together. I havn't had the best A1C in the past but now I'm really trying and really confused.
I woke up today to check my bloodsugar, 154 at 7AM. It is now almost noon, I have only had one protein bar with 16 grams of carbs and now I'm 244.
My doctor has me taking long acting Tresiba 36 units and Novolog 1u:10c ratio and a corrective dose of 1unit for every 25 over 125.
I didn't take any insulin for the protein bar because I didn't think it would raise me that much. 
I would need to take 4 units to lower back down to 154 but I should have only taken 2 units for the protein bar.
Will I need to up my ratio for carbs?</t>
        </is>
      </c>
      <c r="D2112" t="n">
        <v>3</v>
      </c>
      <c r="E2112" t="n">
        <v>12</v>
      </c>
      <c r="F2112">
        <f>HYPERLINK("https://www.reddit.com/r/diabetes/comments/4nm69f/16g_raised_my_blood_sugar_from_154_to_244/")</f>
        <v/>
      </c>
      <c r="G2112" t="inlineStr">
        <is>
          <t>2016-06-11 09:53:56</t>
        </is>
      </c>
      <c r="H2112" t="inlineStr">
        <is>
          <t>Type 1</t>
        </is>
      </c>
    </row>
    <row r="2113">
      <c r="A2113" t="inlineStr">
        <is>
          <t>4nn9gc</t>
        </is>
      </c>
      <c r="B2113" t="inlineStr">
        <is>
          <t>Wtf, how accurate are these glucose meters?</t>
        </is>
      </c>
      <c r="C2113" t="inlineStr">
        <is>
          <t>Hi, I'm scared of getting diabetes and so I bought a meter and strips for $40 (lot of money). I'm 5'11, 18 years old, and weigh 230 lbs. I tested my blood and I got 55 mg/dl?? 
This was on like a 13 or 14 hour fast and also not drinking any water. I used the freestyle precision neo. Am I in danger of diabetes?</t>
        </is>
      </c>
      <c r="D2113" t="n">
        <v>0</v>
      </c>
      <c r="E2113" t="n">
        <v>11</v>
      </c>
      <c r="F2113">
        <f>HYPERLINK("https://www.reddit.com/r/diabetes/comments/4nn9gc/wtf_how_accurate_are_these_glucose_meters/")</f>
        <v/>
      </c>
      <c r="G2113" t="inlineStr">
        <is>
          <t>2016-06-11 14:08:48</t>
        </is>
      </c>
      <c r="H2113" t="inlineStr">
        <is>
          <t>Type 2</t>
        </is>
      </c>
    </row>
    <row r="2114">
      <c r="A2114" t="inlineStr">
        <is>
          <t>4nngdf</t>
        </is>
      </c>
      <c r="B2114" t="inlineStr">
        <is>
          <t>Keeping Insulin Cold While Travelling?</t>
        </is>
      </c>
      <c r="C2114" t="inlineStr">
        <is>
          <t>Hey all,
I am a T1D who will be likely travelling from Canada to Australia for about a year. The flight/travel time seems like it will exceed 24 hours when taking into account lay overs and what not.
I see powered coolers like this one:
http://www.aliexpress.com/item/Xeoleo-12L-Portable-Cold-Storage-Refrigerator-Insulin-Reefer-Medicine-Cool-Box-Vaccine-Temperate-Box-Car-Refrigerator/32596062133.html?ws_ab_test=searchweb201556_8,searchweb201602_5_10017_507_401,searchweb201603_3&amp;amp;btsid=0b8efe86-0ee9-416a-a894-33df1b9a6282
I was wondering if anyone has experience with them or knows or a better solution for long term travelling. I will be bringing about 6 months worth of insulin so a smaller pouch wouldn't really work in this situation.
Any help is appreciated!</t>
        </is>
      </c>
      <c r="D2114" t="n">
        <v>3</v>
      </c>
      <c r="E2114" t="n">
        <v>21</v>
      </c>
      <c r="F2114">
        <f>HYPERLINK("https://www.reddit.com/r/diabetes/comments/4nngdf/keeping_insulin_cold_while_travelling/")</f>
        <v/>
      </c>
      <c r="G2114" t="inlineStr">
        <is>
          <t>2016-06-11 14:56:50</t>
        </is>
      </c>
      <c r="H2114" t="inlineStr">
        <is>
          <t>Type 1</t>
        </is>
      </c>
    </row>
    <row r="2115">
      <c r="A2115" t="inlineStr">
        <is>
          <t>4nsadf</t>
        </is>
      </c>
      <c r="B2115" t="inlineStr">
        <is>
          <t>Can I really eat what I want to again if I go on fast acting insulin?</t>
        </is>
      </c>
      <c r="C2115" t="inlineStr">
        <is>
          <t>I've been a Type 1 diabetic now for about 7 months and so far, I've only been on a long acting insulin called Lantus, and I've had to cut out almost every single sugary food in my diet and go on a low 60 carb diet.  
Well I miss eating food, and heaving freedom, naturally.  
I've been speaking to alot of other Type 1s, and they are all absolutely baffled how I am not on some form of fast acting insulin, and they tell me THEY can eat whatever they want. One of them even talked to me in the middle of chugging down a Mountain Dew.  
They told me that all I needed was enough insulin.  
Well, I spoke to my Endo about this and she said that since long acting and low carb was working pretty ok right now(my A1C was perfect), there's no big rush to throw me on fast acting, as its hard to manage, but I might be put on it in the future, and she told me can I can be a bit more flexible in terms of dieting...  
Well, I was too embarrassed to tell her I want to eat sugar again. I didn't want to be judged. Now? Now I just don't care.  
I'm willing to learn how to calculate carbs and stuff if it means I can eat food again. I'm so sick of seeing other people eating real food and I'm over here limited and controlled and caged by this shitty disease.  
My family seems to not believe me when I tell them the supposed freedom a Type 1 can have on insulin. My grandmother especially, who is a Type 2, has been trying to control and tell me what to do from the get go, and I'd imagine she'd throw a shitstorm if she saw me drinking a real soda anytime soon. My mother also is skeptical.  
So yeah...  
Can anyone discuss this with me? I go to my endocrinologist next month, and I am going to ask again to get put on fast acting, I'm thinking humalog, since I hear that's for people who want sugar in their diet.</t>
        </is>
      </c>
      <c r="D2115" t="n">
        <v>8</v>
      </c>
      <c r="E2115" t="n">
        <v>88</v>
      </c>
      <c r="F2115">
        <f>HYPERLINK("https://www.reddit.com/r/diabetes/comments/4nsadf/can_i_really_eat_what_i_want_to_again_if_i_go_on/")</f>
        <v/>
      </c>
      <c r="G2115" t="inlineStr">
        <is>
          <t>2016-06-12 14:10:21</t>
        </is>
      </c>
      <c r="H2115" t="inlineStr">
        <is>
          <t>Type 1</t>
        </is>
      </c>
    </row>
    <row r="2116">
      <c r="A2116" t="inlineStr">
        <is>
          <t>4nztfu</t>
        </is>
      </c>
      <c r="B2116" t="inlineStr">
        <is>
          <t>Multiple injections in different spots every time?</t>
        </is>
      </c>
      <c r="C2116" t="inlineStr">
        <is>
          <t xml:space="preserve">So...I want to know what you guys think. I've read conflicting stuff. 
I've read some people say that it's best to inject in your stomach all day to have better numbers. Maybe not in the same spot, but, in the stomach. 
I'm scared of developing scar tissue and lipogenesis, so...I inject in different spots every time. I inject 3 times a day including my basal insulin. 
So I'll go into my left hip, next time right arm, next time right side stomach, etc. I'll rotate every day...and my numbers seem find and not affected by the different places. 
Is this okay to do? I mean, does anyone else do this? </t>
        </is>
      </c>
      <c r="D2116" t="n">
        <v>8</v>
      </c>
      <c r="E2116" t="n">
        <v>17</v>
      </c>
      <c r="F2116">
        <f>HYPERLINK("https://www.reddit.com/r/diabetes/comments/4nztfu/multiple_injections_in_different_spots_every_time/")</f>
        <v/>
      </c>
      <c r="G2116" t="inlineStr">
        <is>
          <t>2016-06-13 21:50:36</t>
        </is>
      </c>
      <c r="H2116" t="inlineStr">
        <is>
          <t>Type 1</t>
        </is>
      </c>
    </row>
    <row r="2117">
      <c r="A2117" t="inlineStr">
        <is>
          <t>4o1r2z</t>
        </is>
      </c>
      <c r="B2117" t="inlineStr">
        <is>
          <t>Any way to roughly estimate blood sugar without a glucose meter?</t>
        </is>
      </c>
      <c r="C2117" t="inlineStr">
        <is>
          <t>Hello everyone, I don't know if this is the right subreddit to ask this question, but it's kind of urgent and I don't know what to do. My boyfriend is diabetic and he left on a 3 day trip but forgot his glucose meter at home. He now says he's not feeling well but we can't check what his sugar level is. Is there any way to tell if it's too low or too high without the tester? I'll be more than grateful for any advice!
UPDATE: Thank you everyone for all your advice! My boyfriend is feeling better now so it was probably a false alarm, and he promised he will go to the pharmacy if he's not feeling well. This topic is still relatively new to me so please excuse my question if it was too silly. Thanks again!</t>
        </is>
      </c>
      <c r="D2117" t="n">
        <v>7</v>
      </c>
      <c r="E2117" t="n">
        <v>22</v>
      </c>
      <c r="F2117">
        <f>HYPERLINK("https://www.reddit.com/r/diabetes/comments/4o1r2z/any_way_to_roughly_estimate_blood_sugar_without_a/")</f>
        <v/>
      </c>
      <c r="G2117" t="inlineStr">
        <is>
          <t>2016-06-14 07:51:38</t>
        </is>
      </c>
      <c r="H2117" t="inlineStr">
        <is>
          <t>Type 1</t>
        </is>
      </c>
    </row>
    <row r="2118">
      <c r="A2118" t="inlineStr">
        <is>
          <t>4o433d</t>
        </is>
      </c>
      <c r="B2118" t="inlineStr">
        <is>
          <t>What to do when someone is having an "episode". (Type 1)</t>
        </is>
      </c>
      <c r="C2118" t="inlineStr">
        <is>
          <t xml:space="preserve">Hi everyone.
I am a college student and had a strange experience with a professor today. At the beginning of lecture today, everything seemed fine. We had a normal class discussion as usual. However in the last 15 minutes or so in the class he started acting really weird. He was slurring his words, losing his train of thought, and was sort of wobbling and making really strange movements. He eventually just kept saying "i'm sorry" over and over. No one in the class really knew what was going on and the professor eventually explained he has type 1 diabetes. A couple of students explained to him that he didn't need to continue the lecture, but he kept trying to finish. So eventually we all got up and one student offered to walk him back to his office and eventually another faculty member came to assist him. 
So, my question is, what should I/we have done in this situation to help the professor? I don't know much about diabetes, and I didn't really know how to help. I would like to be more helpful and understanding if a situation like this ever occurs again.
</t>
        </is>
      </c>
      <c r="D2118" t="n">
        <v>3</v>
      </c>
      <c r="E2118" t="n">
        <v>12</v>
      </c>
      <c r="F2118">
        <f>HYPERLINK("https://www.reddit.com/r/diabetes/comments/4o433d/what_to_do_when_someone_is_having_an_episode_type/")</f>
        <v/>
      </c>
      <c r="G2118" t="inlineStr">
        <is>
          <t>2016-06-14 15:27:13</t>
        </is>
      </c>
      <c r="H2118" t="inlineStr">
        <is>
          <t>Type 1</t>
        </is>
      </c>
    </row>
    <row r="2119">
      <c r="A2119" t="inlineStr">
        <is>
          <t>4o49al</t>
        </is>
      </c>
      <c r="B2119" t="inlineStr">
        <is>
          <t>6g of sugar?</t>
        </is>
      </c>
      <c r="C2119" t="inlineStr">
        <is>
          <t>So, I grabbed what I thought was a bar of 90% Cocoa Chocolate, but it turns out it was 70% (Which has significantly more carbs and sugar.)
Am I going to regret this in an hour? Kinda worried. I only had two squares.
If it was a 90% bar, it would have only had 3.5g of net carbs and 3g sugar.
The two squares of the 70% bar have 7g of net carbs and 6g sugar.</t>
        </is>
      </c>
      <c r="D2119" t="n">
        <v>3</v>
      </c>
      <c r="E2119" t="n">
        <v>18</v>
      </c>
      <c r="F2119">
        <f>HYPERLINK("https://www.reddit.com/r/diabetes/comments/4o49al/6g_of_sugar/")</f>
        <v/>
      </c>
      <c r="G2119" t="inlineStr">
        <is>
          <t>2016-06-14 16:04:55</t>
        </is>
      </c>
      <c r="H2119" t="inlineStr">
        <is>
          <t>Type 2</t>
        </is>
      </c>
    </row>
    <row r="2120">
      <c r="A2120" t="inlineStr">
        <is>
          <t>4o558e</t>
        </is>
      </c>
      <c r="B2120" t="inlineStr">
        <is>
          <t>Do I have to register with the military?</t>
        </is>
      </c>
      <c r="C2120" t="inlineStr">
        <is>
          <t xml:space="preserve">Hello all, I recently turned 18 and I am aware that type 1 diabetes exempts me from military service. But do I still have to register? </t>
        </is>
      </c>
      <c r="D2120" t="n">
        <v>2</v>
      </c>
      <c r="E2120" t="n">
        <v>26</v>
      </c>
      <c r="F2120">
        <f>HYPERLINK("https://www.reddit.com/r/diabetes/comments/4o558e/do_i_have_to_register_with_the_military/")</f>
        <v/>
      </c>
      <c r="G2120" t="inlineStr">
        <is>
          <t>2016-06-14 19:32:14</t>
        </is>
      </c>
      <c r="H2120" t="inlineStr">
        <is>
          <t>Type 1</t>
        </is>
      </c>
    </row>
    <row r="2121">
      <c r="A2121" t="inlineStr">
        <is>
          <t>4o9jhx</t>
        </is>
      </c>
      <c r="B2121" t="inlineStr">
        <is>
          <t>lying about diabetes</t>
        </is>
      </c>
      <c r="C2121" t="inlineStr">
        <is>
          <t>I have a serious problem when it comes to eating. I sneak food and even when my parents find out about it, i keep lying. I don't know why. I'm always tempted to eat as i always bring home-made lunches which always consist of the exact same foods, while others buy paninis and cake. Then, when i come home, i eat ricecakes while my brother eats pancakes covered in chocolate which really doesn't help. As a result, I have a constant need to eat in secret. If i were to ask my parents they would say no. Their explanations range from "you ate cake a week ago/ you just ate/ we will have icecream later on in the week, etc" any tips on how to stop sneak eating or at least lying</t>
        </is>
      </c>
      <c r="D2121" t="n">
        <v>0</v>
      </c>
      <c r="E2121" t="n">
        <v>15</v>
      </c>
      <c r="F2121">
        <f>HYPERLINK("https://www.reddit.com/r/diabetes/comments/4o9jhx/lying_about_diabetes/")</f>
        <v/>
      </c>
      <c r="G2121" t="inlineStr">
        <is>
          <t>2016-06-15 13:41:52</t>
        </is>
      </c>
      <c r="H2121" t="inlineStr">
        <is>
          <t>Type 1</t>
        </is>
      </c>
    </row>
    <row r="2122">
      <c r="A2122" t="inlineStr">
        <is>
          <t>4o9mvs</t>
        </is>
      </c>
      <c r="B2122" t="inlineStr">
        <is>
          <t>Is the insulin pen easy or hard to use?</t>
        </is>
      </c>
      <c r="C2122" t="inlineStr">
        <is>
          <t>When I heard about it, and heard I had to count every carbohydrate every meal I thought it'd be harder to try new foods, and I just hated it.
But, I've been thinking, is it that bad? I'll suppose i'll need to get it soon, anyway. I also snack alot, but I should probably stop that and this is kinda my chance, I guess.</t>
        </is>
      </c>
      <c r="D2122" t="n">
        <v>2</v>
      </c>
      <c r="E2122" t="n">
        <v>17</v>
      </c>
      <c r="F2122">
        <f>HYPERLINK("https://www.reddit.com/r/diabetes/comments/4o9mvs/is_the_insulin_pen_easy_or_hard_to_use/")</f>
        <v/>
      </c>
      <c r="G2122" t="inlineStr">
        <is>
          <t>2016-06-15 13:59:50</t>
        </is>
      </c>
      <c r="H2122" t="inlineStr">
        <is>
          <t>Type 1</t>
        </is>
      </c>
    </row>
    <row r="2123">
      <c r="A2123" t="inlineStr">
        <is>
          <t>4ob3h0</t>
        </is>
      </c>
      <c r="B2123" t="inlineStr">
        <is>
          <t>Type One, exercising and low blood sugars</t>
        </is>
      </c>
      <c r="C2123" t="inlineStr">
        <is>
          <t>In the past, whenever I would run or walk, my blood sugars maintained a steady level if I would go after a meal. I fell of the wagon about exercising, and recently have tried taking it back up again. Unfortunately, now it seems like my blood sugars are dropping during exercising, and it is making me correct it and stop running/walking. What are some of your go-to snack to bring your blood sugar up that aren't too calorie dense? I hate feeling like I am eating all the calories I just burned off to correct the low...</t>
        </is>
      </c>
      <c r="D2123" t="n">
        <v>1</v>
      </c>
      <c r="E2123" t="n">
        <v>8</v>
      </c>
      <c r="F2123">
        <f>HYPERLINK("https://www.reddit.com/r/diabetes/comments/4ob3h0/type_one_exercising_and_low_blood_sugars/")</f>
        <v/>
      </c>
      <c r="G2123" t="inlineStr">
        <is>
          <t>2016-06-15 19:19:42</t>
        </is>
      </c>
      <c r="H2123" t="inlineStr">
        <is>
          <t>Type 1</t>
        </is>
      </c>
    </row>
    <row r="2124">
      <c r="A2124" t="inlineStr">
        <is>
          <t>4obimb</t>
        </is>
      </c>
      <c r="B2124" t="inlineStr">
        <is>
          <t>Fixed my problem of forgetting my metformin.</t>
        </is>
      </c>
      <c r="C2124" t="inlineStr">
        <is>
          <t>So I was diagnosed with Type 2 a couple of months ago. I kept forgetting to take my metformin at lunch or when I went out.
I have a 3d printer so I made a keychain pill box
https://youtu.be/evpU_dMh8x0</t>
        </is>
      </c>
      <c r="D2124" t="n">
        <v>1</v>
      </c>
      <c r="E2124" t="n">
        <v>4</v>
      </c>
      <c r="F2124">
        <f>HYPERLINK("https://www.reddit.com/r/diabetes/comments/4obimb/fixed_my_problem_of_forgetting_my_metformin/")</f>
        <v/>
      </c>
      <c r="G2124" t="inlineStr">
        <is>
          <t>2016-06-15 21:05:21</t>
        </is>
      </c>
      <c r="H2124" t="inlineStr">
        <is>
          <t>Type 2</t>
        </is>
      </c>
    </row>
    <row r="2125">
      <c r="A2125" t="inlineStr">
        <is>
          <t>4obtd7</t>
        </is>
      </c>
      <c r="B2125" t="inlineStr">
        <is>
          <t>Blood Sugar is 170 two hours after meals?</t>
        </is>
      </c>
      <c r="C2125" t="inlineStr">
        <is>
          <t>So I'm still trying to adjust to this whole diabetes thing. Is 170 two hours after meals bad or good? My doc has me on a low carb diet and I'm not sure if I should go lower or not.</t>
        </is>
      </c>
      <c r="D2125" t="n">
        <v>1</v>
      </c>
      <c r="E2125" t="n">
        <v>2</v>
      </c>
      <c r="F2125">
        <f>HYPERLINK("https://www.reddit.com/r/diabetes/comments/4obtd7/blood_sugar_is_170_two_hours_after_meals/")</f>
        <v/>
      </c>
      <c r="G2125" t="inlineStr">
        <is>
          <t>2016-06-15 22:33:28</t>
        </is>
      </c>
      <c r="H2125" t="inlineStr">
        <is>
          <t>Type 2</t>
        </is>
      </c>
    </row>
    <row r="2126">
      <c r="A2126" t="inlineStr">
        <is>
          <t>4occng</t>
        </is>
      </c>
      <c r="B2126" t="inlineStr">
        <is>
          <t>[T2D] Share your #1 pain in managing diabetes</t>
        </is>
      </c>
      <c r="C2126" t="inlineStr">
        <is>
          <t>For me it's to maintain a "normal" social life while out with friends :(</t>
        </is>
      </c>
      <c r="D2126" t="n">
        <v>7</v>
      </c>
      <c r="E2126" t="n">
        <v>32</v>
      </c>
      <c r="F2126">
        <f>HYPERLINK("https://www.reddit.com/r/diabetes/comments/4occng/t2d_share_your_1_pain_in_managing_diabetes/")</f>
        <v/>
      </c>
      <c r="G2126" t="inlineStr">
        <is>
          <t>2016-06-16 01:35:31</t>
        </is>
      </c>
      <c r="H2126" t="inlineStr">
        <is>
          <t>Type 2</t>
        </is>
      </c>
    </row>
    <row r="2127">
      <c r="A2127" t="inlineStr">
        <is>
          <t>4od1e7</t>
        </is>
      </c>
      <c r="B2127" t="inlineStr">
        <is>
          <t>How dangerous is it to use the same needle for injecting different types on insulin? Please Help!!!</t>
        </is>
      </c>
      <c r="C2127" t="inlineStr">
        <is>
          <t xml:space="preserve">So, I got to work today and realized that I left my insulin needle at home for my short-acting insulin, Novolog, and I have no spares or extras in the office. I do, however, have a needle that I have used to inject Lantus (long-acting insulin) on several occasions. How "bad" would it be to use that needle? I have been diabetic for 10 years and have always been told to never mix, but I really need to give myself some insulin after my breakfast at the office. Will there be any issues if I use the Lantus needle just this one time?
Edit:  who down voted this?  This is kind of an emergency.  
Edit #2: I went ahead and did it. Thanks for all the responses!  
</t>
        </is>
      </c>
      <c r="D2127" t="n">
        <v>13</v>
      </c>
      <c r="E2127" t="n">
        <v>7</v>
      </c>
      <c r="F2127">
        <f>HYPERLINK("https://www.reddit.com/r/diabetes/comments/4od1e7/how_dangerous_is_it_to_use_the_same_needle_for/")</f>
        <v/>
      </c>
      <c r="G2127" t="inlineStr">
        <is>
          <t>2016-06-16 05:22:19</t>
        </is>
      </c>
      <c r="H2127" t="inlineStr">
        <is>
          <t>Type 1</t>
        </is>
      </c>
    </row>
    <row r="2128">
      <c r="A2128" t="inlineStr">
        <is>
          <t>4og91g</t>
        </is>
      </c>
      <c r="B2128" t="inlineStr">
        <is>
          <t>Not spiking from 50g carbs? What?</t>
        </is>
      </c>
      <c r="C2128" t="inlineStr">
        <is>
          <t>My grandmother seems to be super human. She had two Krystal (Southern White Castle) chicks, which are (total) 50g nets carbs. Also 28g protein.
She tests an hour later and she's only 137. What the heck is going on?
I would kill over and die if I ate anywhere near that, yet she seems perfectly fine!
Am I living in crazy land? Did my Metformin get replaced with crazy pills?
Can anyone explain this?</t>
        </is>
      </c>
      <c r="D2128" t="n">
        <v>3</v>
      </c>
      <c r="E2128" t="n">
        <v>6</v>
      </c>
      <c r="F2128">
        <f>HYPERLINK("https://www.reddit.com/r/diabetes/comments/4og91g/not_spiking_from_50g_carbs_what/")</f>
        <v/>
      </c>
      <c r="G2128" t="inlineStr">
        <is>
          <t>2016-06-16 16:08:55</t>
        </is>
      </c>
      <c r="H2128" t="inlineStr">
        <is>
          <t>Type 2</t>
        </is>
      </c>
    </row>
    <row r="2129">
      <c r="A2129" t="inlineStr">
        <is>
          <t>4ombmb</t>
        </is>
      </c>
      <c r="B2129" t="inlineStr">
        <is>
          <t>Soylent?</t>
        </is>
      </c>
      <c r="C2129" t="inlineStr">
        <is>
          <t>Anyone have any experience as a diabetic on Soylent?
I really want to try it, because I REALLY like the idea of never having to eat again and worry about my blood glucose as a T2, but now I'm looking at the nutrition values and... well... ***Carbs***
Nutrition PDF:
http://files.soylent.com/pdf/soylent-nutrition-facts-2-0-en.pdf</t>
        </is>
      </c>
      <c r="D2129" t="n">
        <v>0</v>
      </c>
      <c r="E2129" t="n">
        <v>6</v>
      </c>
      <c r="F2129">
        <f>HYPERLINK("https://www.reddit.com/r/diabetes/comments/4ombmb/soylent/")</f>
        <v/>
      </c>
      <c r="G2129" t="inlineStr">
        <is>
          <t>2016-06-17 17:45:29</t>
        </is>
      </c>
      <c r="H2129" t="inlineStr">
        <is>
          <t>Type 2</t>
        </is>
      </c>
    </row>
    <row r="2130">
      <c r="A2130" t="inlineStr">
        <is>
          <t>4oo6gs</t>
        </is>
      </c>
      <c r="B2130" t="inlineStr">
        <is>
          <t>Got my insulin pump, looking any tips/features</t>
        </is>
      </c>
      <c r="C2130" t="inlineStr">
        <is>
          <t>I'm using the Animas Vibe, and I'm on mobile, sorry for the grammar</t>
        </is>
      </c>
      <c r="D2130" t="n">
        <v>3</v>
      </c>
      <c r="E2130" t="n">
        <v>14</v>
      </c>
      <c r="F2130">
        <f>HYPERLINK("https://www.reddit.com/r/diabetes/comments/4oo6gs/got_my_insulin_pump_looking_any_tipsfeatures/")</f>
        <v/>
      </c>
      <c r="G2130" t="inlineStr">
        <is>
          <t>2016-06-18 04:39:20</t>
        </is>
      </c>
      <c r="H2130" t="inlineStr">
        <is>
          <t>Type 1</t>
        </is>
      </c>
    </row>
    <row r="2131">
      <c r="A2131" t="inlineStr">
        <is>
          <t>4os2hk</t>
        </is>
      </c>
      <c r="B2131" t="inlineStr">
        <is>
          <t>F/34 Just got diagnosed with Type 2 diabetes</t>
        </is>
      </c>
      <c r="C2131" t="inlineStr">
        <is>
          <t>Hello everyone,
First off, I want to apologize if anything I say sounds stupid or ignorant, I am now realizing that I knew practically nothing about diabetes.
I went to my doctor on Thursday and she told me my bloodtests revealed I had Type 2 diabetes. Must be recent because last year's bloodtests were fine. Now I am freaking out a bit (a lot).
A little background on me: I never had any weight problems until I was put on Celexa (Citalopram) for depression and anxiety at ~20 yo. From then on, now matter how much physical activity and no matter what I ate, I would just put on the weight. They also later on added Klonopin and Seroquel which did make me hungry at night but never go-through-a-whole-sleeve-of-Oreos hungry. I am 5'2" and would balloon up to 185-195lbs, and quickly go back down to 105-125lbs when I would try getting off the meds. 
The last time I tried getting off the meds was when I went all the way down to 105lbs, which for me was pretty much skin and bones, from all the not eating and not sleeping from the anxiety so my doctor and I pretty much agreed that I needed to accept that I might have to stay on them for the rest of my life, and accept that (ironically) just like a diabetic, my body wasn't producing the chemicals I needed to function properly.
I also have hypothyroidism (just like pretty much everybody on my mother's side of the family) which isn't treated right now because my doctor had already assumed I was on Syntroid (many of my family members see the same family doctor so she confused me with someone else) and there is a possibility that I will also start on that medication. Two of my uncles also have Type 2 diabetes but my doc said I was a bit young for it.
She started me on Metformin and said I did not need a glucometer yet. I am seeing her again on the 27th for a follow up. She told me it wasn't catastrophic, but at the same time that it was serious. That my weight wasn't an issue for now but that I needed to be careful. She knows I have severe anxiety so I don't know if she was just trying to soften the blow or if it really isn't THAT BAD for now.
Now the freaking out part. Of course I understand that I'm super anxious to start so everything must be taken with a grain of salt but still. I've never had a sweet tooth except for Dr Pepper, especially while working 20hr days. Everyone always says I eat like a bird but now I am scared to eat, and to eat the wrong things. If I wake up in the morning and my hand is asleep because I lay on it all night I am freaking out and thinking I'm going to lose the hand.
If an eye gets blurry for two seconds, even if I know it's the middle of allergy season and that's happened for as long as I remember, I think I'm going blind.
And the guilt. Oh, the guilt. I feel ashamed, because I feel like I should have seen it coming and it's all my fault because of my weight. That I didn't do enough to prevent it. And now I have this chronic disease for life and I can only blame myself.
I'm not quite sure what the exact purpose of this post is. I guess I would like to hear about how other people found out and how they felt. Not looking for sympathy but for pointers on how to "take charge" of transforming my life habits? I was sent off with a little booklet telling me to do at least 30 minutes of exercise each day and to avoid refined sugars and (white) carbs, and will eventually be set up with a nutritionist but standing at the grocery store yesterday I was overwhelmed and had no idea what to buy. Like, ok, no more white bread and pasta, avoid potatoes, but do I just fill my plate with veggies and proteins?
I do keep a list of questions to ask my doctor next time I see her, but I would certainly appreciate your pointers in the meantime.
tl;dr Just got diagnosed with Type 2, freaking out, don't know where to get started, afraid I'm going to go blind and die.</t>
        </is>
      </c>
      <c r="D2131" t="n">
        <v>3</v>
      </c>
      <c r="E2131" t="n">
        <v>9</v>
      </c>
      <c r="F2131">
        <f>HYPERLINK("https://www.reddit.com/r/diabetes/comments/4os2hk/f34_just_got_diagnosed_with_type_2_diabetes/")</f>
        <v/>
      </c>
      <c r="G2131" t="inlineStr">
        <is>
          <t>2016-06-18 22:21:04</t>
        </is>
      </c>
      <c r="H2131" t="inlineStr">
        <is>
          <t>Type 2</t>
        </is>
      </c>
    </row>
    <row r="2132">
      <c r="A2132" t="inlineStr">
        <is>
          <t>4oy6zl</t>
        </is>
      </c>
      <c r="B2132" t="inlineStr">
        <is>
          <t>Vertigo?</t>
        </is>
      </c>
      <c r="C2132" t="inlineStr">
        <is>
          <t>It's weird. Before my diagnosis, I could stay up like 48 hours straight with no problem.
Now? I've been awake since 11:00AM yesterday (It's 6:55AM now) and I keep getting split seconds of vertigo. It's like my brain is moving side-to-side in my head. Happens for less that one second. Has probably happened 2-3 times so far.
This a bad sign, or completely normal?
Should probably mention that the reason I stayed up this late was due to an anxiety attack. (I have PTSD. Heart rate hit 130 this time. Felt as awesome as it sounds. Could see my chest moving.) 
Probably didn't help that I drank two cups of coffee to test and see if the caffeine was what spiked me last time I had coffee or the creamer. (Spoiler: Creamer did it. Coffee's back on the menu.)</t>
        </is>
      </c>
      <c r="D2132" t="n">
        <v>0</v>
      </c>
      <c r="E2132" t="n">
        <v>8</v>
      </c>
      <c r="F2132">
        <f>HYPERLINK("https://www.reddit.com/r/diabetes/comments/4oy6zl/vertigo/")</f>
        <v/>
      </c>
      <c r="G2132" t="inlineStr">
        <is>
          <t>2016-06-20 04:01:47</t>
        </is>
      </c>
      <c r="H2132" t="inlineStr">
        <is>
          <t>Type 2</t>
        </is>
      </c>
    </row>
    <row r="2133">
      <c r="A2133" t="inlineStr">
        <is>
          <t>4ozt7m</t>
        </is>
      </c>
      <c r="B2133" t="inlineStr">
        <is>
          <t>Meter showed 120, 152, 137 back-to-back. Is that too big a range?</t>
        </is>
      </c>
      <c r="C2133" t="inlineStr">
        <is>
          <t xml:space="preserve">It's normally some higher, so I retested the 120 and then retested the 152. The meter is a Prodigy. </t>
        </is>
      </c>
      <c r="D2133" t="n">
        <v>2</v>
      </c>
      <c r="E2133" t="n">
        <v>10</v>
      </c>
      <c r="F2133">
        <f>HYPERLINK("https://www.reddit.com/r/diabetes/comments/4ozt7m/meter_showed_120_152_137_backtoback_is_that_too/")</f>
        <v/>
      </c>
      <c r="G2133" t="inlineStr">
        <is>
          <t>2016-06-20 10:13:16</t>
        </is>
      </c>
      <c r="H2133" t="inlineStr">
        <is>
          <t>Type 2</t>
        </is>
      </c>
    </row>
    <row r="2134">
      <c r="A2134" t="inlineStr">
        <is>
          <t>4p0hqp</t>
        </is>
      </c>
      <c r="B2134" t="inlineStr">
        <is>
          <t>FINALLY getting a pump, looking into Animas or Omnipod</t>
        </is>
      </c>
      <c r="C2134" t="inlineStr">
        <is>
          <t>I'm finally ready to get a pump after 16 years of MDI. I've looked into it in the past but cost and vanity held me back. I was unsure if I wanted something attached to me 24/7, or where I would put it as a female, especially when wearing dresses.
Is anyone here on an Omnipod? I love the idea of it being tubeless, but am reading that it's more expensive.
I also see that there are three other pumps available in Canada (where I live), and am leaning towards the Animas Vibe or Ping. I like that I could add the CGM with the Vibe, but I may go with the Ping as I like that there's a separate remote.
Any thoughts people have would be most appreciated! TIA!</t>
        </is>
      </c>
      <c r="D2134" t="n">
        <v>1</v>
      </c>
      <c r="E2134" t="n">
        <v>32</v>
      </c>
      <c r="F2134">
        <f>HYPERLINK("https://www.reddit.com/r/diabetes/comments/4p0hqp/finally_getting_a_pump_looking_into_animas_or/")</f>
        <v/>
      </c>
      <c r="G2134" t="inlineStr">
        <is>
          <t>2016-06-20 12:25:01</t>
        </is>
      </c>
      <c r="H2134" t="inlineStr">
        <is>
          <t>Type 1</t>
        </is>
      </c>
    </row>
    <row r="2135">
      <c r="A2135" t="inlineStr">
        <is>
          <t>4p2eyt</t>
        </is>
      </c>
      <c r="B2135" t="inlineStr">
        <is>
          <t>Question about testing after meals [T2]</t>
        </is>
      </c>
      <c r="C2135" t="inlineStr">
        <is>
          <t>I'm familiar with the concept of testing after you eat to determine if a food or group of foods is "safe". What I don't know however is
* How extensively should testing be done after a given meal if you want to ensure that it is 100% safe? I know the general rule is to test one and two hours after eating but I wonder: doesn't this leave a lot of gaps where undetected spikes could occur? Does it make sense to test before the first hour and/or at half hour intervals (while you're getting to know how a meal affects you)?
How closely do you guys test a meal to make sure it works for you? What are your own personal guidelines?</t>
        </is>
      </c>
      <c r="D2135" t="n">
        <v>1</v>
      </c>
      <c r="E2135" t="n">
        <v>5</v>
      </c>
      <c r="F2135">
        <f>HYPERLINK("https://www.reddit.com/r/diabetes/comments/4p2eyt/question_about_testing_after_meals_t2/")</f>
        <v/>
      </c>
      <c r="G2135" t="inlineStr">
        <is>
          <t>2016-06-20 19:36:45</t>
        </is>
      </c>
      <c r="H2135" t="inlineStr">
        <is>
          <t>Type 2</t>
        </is>
      </c>
    </row>
    <row r="2136">
      <c r="A2136" t="inlineStr">
        <is>
          <t>4p35op</t>
        </is>
      </c>
      <c r="B2136" t="inlineStr">
        <is>
          <t>Took lantus and blood sugar had a severe drop... AGAIN!</t>
        </is>
      </c>
      <c r="C2136" t="inlineStr">
        <is>
          <t>EDIT:  This has gone nowhere, quickly.  I was able to get some advice and learn a new thing, so than you for those of you willing to take time to help me understand something.
[Type 1]
So this is the 4th time this year I have taken lantus and my blood sugar has dropped over 100 points in 20 minutes.  I was at 286 when I took lantus and for the next 15 minutes I had this awful feeling come over me, I kept shrugging it off as my usal  anxiety.  Finally I tested 20 minutes after lantus and I was at 158, I freaked out and drank 51g of orange juice.  I started to test every 2 minutes and it kept going down.  Roughly 20 minutes after the OJ I hit 120, so I drank another 51g of OJ.  I kept testing every 2 minutes until I noticed it went up a little, I slowed it down to testing every 5 minutes.  It took 1 hour and 30 minutes but it finally started to go up past 150.  It has now been over 4 hours and my blood sugar is now at 270 dropping 40 points every hour.  I feel awful, I hate this, I just cry constantly, and my doctors tell me every time, "Lantus does not do that, are you sure you did not mis-test?  We think you took the wrong insulin."  I hate everything about this and this god damn disease, I wish I could just die quickly and painlessly to exscape the torment, I live in constant fear.  
I'm done ranting now.  I'm not going to harm myself, I just had to type this out on a fake account to just say it, just saying it helps.  I'm calling my doctor tomorrow morning and going to see what they say this time.  Last time they did nothing for me I took to google and discovered online I can start taking half my dose in the morning and night, so I started doing that.  Trying to stay a live.</t>
        </is>
      </c>
      <c r="D2136" t="n">
        <v>2</v>
      </c>
      <c r="E2136" t="n">
        <v>25</v>
      </c>
      <c r="F2136">
        <f>HYPERLINK("https://www.reddit.com/r/diabetes/comments/4p35op/took_lantus_and_blood_sugar_had_a_severe_drop/")</f>
        <v/>
      </c>
      <c r="G2136" t="inlineStr">
        <is>
          <t>2016-06-20 22:57:54</t>
        </is>
      </c>
      <c r="H2136" t="inlineStr">
        <is>
          <t>Type 1</t>
        </is>
      </c>
    </row>
    <row r="2137">
      <c r="A2137" t="inlineStr">
        <is>
          <t>4p4j31</t>
        </is>
      </c>
      <c r="B2137" t="inlineStr">
        <is>
          <t>T1D new to Omnipod</t>
        </is>
      </c>
      <c r="C2137" t="inlineStr">
        <is>
          <t>Hey everyone, 
I've been T1D for 21 years, using injections. 
As of yesterday I started pump therapy, using the Omnipod. 
I just wondered if any Omnipod users out there had any advice or suggestions for me. There's nothing in particular I can think of, maybe there's something cool I should know about? (Like the button to turn off that god awful screaming sound when a pod dies)
Thanks :)</t>
        </is>
      </c>
      <c r="D2137" t="n">
        <v>1</v>
      </c>
      <c r="E2137" t="n">
        <v>10</v>
      </c>
      <c r="F2137">
        <f>HYPERLINK("https://www.reddit.com/r/diabetes/comments/4p4j31/t1d_new_to_omnipod/")</f>
        <v/>
      </c>
      <c r="G2137" t="inlineStr">
        <is>
          <t>2016-06-21 06:14:55</t>
        </is>
      </c>
      <c r="H2137" t="inlineStr">
        <is>
          <t>Type 1</t>
        </is>
      </c>
    </row>
    <row r="2138">
      <c r="A2138" t="inlineStr">
        <is>
          <t>4p68p9</t>
        </is>
      </c>
      <c r="B2138" t="inlineStr">
        <is>
          <t>Planning a pregnancy with Type 1</t>
        </is>
      </c>
      <c r="C2138" t="inlineStr">
        <is>
          <t xml:space="preserve">Type 1 diabetic for the last 17 years. My husband and I are planning to start trying to have a baby at the end of this year. My a1c has been right around 5.5 for the last 5 years so getting my blood sugars under control isn't something I'm worried about.
My question is more about the different doctors I will need to be seeing during the pregnancy (endo, diabetes educator, high risk OB, regular OB?) and also if anyone else who has done this has met with these doctors beforehand (specifically OB and high risk OB) to discuss pregnancy with diabetes and how that particular Doctor approaches it. I really want to make sure I mesh well with my doctors especially my OBs since I am already comfortable with my endo and diabetes educator. </t>
        </is>
      </c>
      <c r="D2138" t="n">
        <v>1</v>
      </c>
      <c r="E2138" t="n">
        <v>4</v>
      </c>
      <c r="F2138">
        <f>HYPERLINK("https://www.reddit.com/r/diabetes/comments/4p68p9/planning_a_pregnancy_with_type_1/")</f>
        <v/>
      </c>
      <c r="G2138" t="inlineStr">
        <is>
          <t>2016-06-21 11:48:36</t>
        </is>
      </c>
      <c r="H2138" t="inlineStr">
        <is>
          <t>Type 1</t>
        </is>
      </c>
    </row>
    <row r="2139">
      <c r="A2139" t="inlineStr">
        <is>
          <t>4p6hl3</t>
        </is>
      </c>
      <c r="B2139" t="inlineStr">
        <is>
          <t>Why the hell do I keep going low?</t>
        </is>
      </c>
      <c r="C2139" t="inlineStr">
        <is>
          <t>I've lost a lot of weight but that has plateaued over the last month so I figure it can't be that. 
The issue is that I haven't been taking insulin in the mornings when I go to the gym, and nothing else has changed, this is all of a sudden happening.
I eat normally, come home, eat again, wait a little bit then take some insulin if I'm still high but for the last week I've been getting lows with no insulin in me. My gym routine hasn't changed at all and quite frankly nothing else has except my weight which I've corrected my insulin intake for. 
In fact the other day I had a carb heavy day, 300 g of carbs. No insulin in me because I was going to the gym in a bit. I came back from the gym, again, normal workout routine that I've done for over a year and I felt low.. It was weight lifting, nothing super strenuous.. I check my sugar and it's 5.4 but I'm shaky and have all the symptoms. With that many carbs my body shouldn't be near low.
This is so frustrating and scary because as a t1 everyone knows the fear and feeling you get from getting low, or that you may become low. This is affecting my quality of life huge because I am a *very* active person and I am absolutely terrified of doing anything now because I'll go low. I had everything perfected to where I got a low maybe once a year but now suddenly this is happening. 
What gives?</t>
        </is>
      </c>
      <c r="D2139" t="n">
        <v>3</v>
      </c>
      <c r="E2139" t="n">
        <v>11</v>
      </c>
      <c r="F2139">
        <f>HYPERLINK("https://www.reddit.com/r/diabetes/comments/4p6hl3/why_the_hell_do_i_keep_going_low/")</f>
        <v/>
      </c>
      <c r="G2139" t="inlineStr">
        <is>
          <t>2016-06-21 12:34:52</t>
        </is>
      </c>
      <c r="H2139" t="inlineStr">
        <is>
          <t>Type 1</t>
        </is>
      </c>
    </row>
    <row r="2140">
      <c r="A2140" t="inlineStr">
        <is>
          <t>4paxvq</t>
        </is>
      </c>
      <c r="B2140" t="inlineStr">
        <is>
          <t>How can I have high blood sugar if I do not eat carbohydrates ?</t>
        </is>
      </c>
      <c r="C2140" t="inlineStr">
        <is>
          <t>Hello,
 Can someone explain me why I do have high blood sugar even if do not eat any carbohydrates whole day?
I am on pump and I did not change basal intake , I was not only taking bolus shots before meal because it did not had any carbohydrates. I tried it few days in different weeks and still same result - high blood sugar.
My meal were eggs, low fat cottage cheese, chicken meat or tuna...
I am type 1 and on Medtronic pump
EDIT: I did not have low blood sugar anytime as I can easy feel it and everytime I measured blood sugar I had rather higher blood sugar then lower</t>
        </is>
      </c>
      <c r="D2140" t="n">
        <v>3</v>
      </c>
      <c r="E2140" t="n">
        <v>8</v>
      </c>
      <c r="F2140">
        <f>HYPERLINK("https://www.reddit.com/r/diabetes/comments/4paxvq/how_can_i_have_high_blood_sugar_if_i_do_not_eat/")</f>
        <v/>
      </c>
      <c r="G2140" t="inlineStr">
        <is>
          <t>2016-06-22 07:32:21</t>
        </is>
      </c>
      <c r="H2140" t="inlineStr">
        <is>
          <t>Type 1</t>
        </is>
      </c>
    </row>
    <row r="2141">
      <c r="A2141" t="inlineStr">
        <is>
          <t>4pbcra</t>
        </is>
      </c>
      <c r="B2141" t="inlineStr">
        <is>
          <t>What do you wish you had been told when first diagnosed?</t>
        </is>
      </c>
      <c r="C2141" t="inlineStr">
        <is>
          <t xml:space="preserve">My 9yo son was diagnosed a couple of days ago. We are still adjusting, but his attitude is nothing short of amazing. He is incredibly bright and fully engaged in learning all about his condition.
My question to you, dear internet strangers, is what do you wish you had been told early? What hard lessons have you learned? What haven't the doctors, trainers, social workers, etc. told us?
Asking for perspectives as a parent (asking for myself) and as a young child (asking for my son).
</t>
        </is>
      </c>
      <c r="D2141" t="n">
        <v>5</v>
      </c>
      <c r="E2141" t="n">
        <v>44</v>
      </c>
      <c r="F2141">
        <f>HYPERLINK("https://www.reddit.com/r/diabetes/comments/4pbcra/what_do_you_wish_you_had_been_told_when_first/")</f>
        <v/>
      </c>
      <c r="G2141" t="inlineStr">
        <is>
          <t>2016-06-22 08:52:35</t>
        </is>
      </c>
      <c r="H2141" t="inlineStr">
        <is>
          <t>Type 1</t>
        </is>
      </c>
    </row>
    <row r="2142">
      <c r="A2142" t="inlineStr">
        <is>
          <t>4pbfy7</t>
        </is>
      </c>
      <c r="B2142" t="inlineStr">
        <is>
          <t>How do I know that I have high resistance to current insulin?</t>
        </is>
      </c>
      <c r="C2142" t="inlineStr">
        <is>
          <t xml:space="preserve">Hello,
 can you tell me how do I know if I have high insulin resistance to current insulin and I should change it?
I am currently on Medtronic pump, 8+8+8+4.5 units are bolus and 51 units per day is my basal. I weight 83kg. 
I do not eat lot of crabs per day , maximally 100g of rice and 100g of oats , other are mainly proteins as meat,eggs,cheese etc.. 
I go regularly to gym , every two days I do at least 20km on bike either outside or inside and every two days I do some workouts (which actually have very low effect for 4 years, my friend started working out with me and he is now huge and I gained only 10kg..)
I had some stressful periods during last 4 years , but for 10 months it is fine..
I am on Humalog for 10 years which is same period as on Medtronic pump. I have diabetes for 21 years.
I think I should change Humalog to something other as I take almost 80 units per day even while I am doing sports and not eating too much crabs..
Also I only connect my pump into legs (tights) as it will not hold and is painfull into belly.
Sorry for my english ..
</t>
        </is>
      </c>
      <c r="D2142" t="n">
        <v>2</v>
      </c>
      <c r="E2142" t="n">
        <v>3</v>
      </c>
      <c r="F2142">
        <f>HYPERLINK("https://www.reddit.com/r/diabetes/comments/4pbfy7/how_do_i_know_that_i_have_high_resistance_to/")</f>
        <v/>
      </c>
      <c r="G2142" t="inlineStr">
        <is>
          <t>2016-06-22 09:08:50</t>
        </is>
      </c>
      <c r="H2142" t="inlineStr">
        <is>
          <t>Type 1</t>
        </is>
      </c>
    </row>
    <row r="2143">
      <c r="A2143" t="inlineStr">
        <is>
          <t>4pfnmq</t>
        </is>
      </c>
      <c r="B2143" t="inlineStr">
        <is>
          <t>"Dietician" recommended fruit, wholegrains and Optifast. Yeah, right.</t>
        </is>
      </c>
      <c r="C2143" t="inlineStr">
        <is>
          <t xml:space="preserve">Ingredients (Vanilla): Whey Protein Concentrate, Milk Protein Isolate, Maltodextrin, Canola Oil (BHA/ BHT to Maintain Freshness), Fructose, Dextrose, High Oleic Sunflower Oil, and less than 2% of Potassium Citrate, Salt, Dipotassium Phosphate, Calcium Phosphate, Cellulose Gum, Magnesium Oxide, Potassium Chloride, ...
Ingredients  of Optifast.
But she has a Masters Degree in Nutrition?  </t>
        </is>
      </c>
      <c r="D2143" t="n">
        <v>0</v>
      </c>
      <c r="E2143" t="n">
        <v>40</v>
      </c>
      <c r="F2143">
        <f>HYPERLINK("https://www.reddit.com/r/diabetes/comments/4pfnmq/dietician_recommended_fruit_wholegrains_and/")</f>
        <v/>
      </c>
      <c r="G2143" t="inlineStr">
        <is>
          <t>2016-06-23 01:08:18</t>
        </is>
      </c>
      <c r="H2143" t="inlineStr">
        <is>
          <t>Type 2</t>
        </is>
      </c>
    </row>
    <row r="2144">
      <c r="A2144" t="inlineStr">
        <is>
          <t>4phlz6</t>
        </is>
      </c>
      <c r="B2144" t="inlineStr">
        <is>
          <t>Trigger Finger</t>
        </is>
      </c>
      <c r="C2144" t="inlineStr">
        <is>
          <t xml:space="preserve">I have been experiencing lack of mobility in my ring finger lately. The finger doesn't straighten out without "snapping"- researching and I see it's another "fun" aspect of the "beeties" ... anyone else have this?
</t>
        </is>
      </c>
      <c r="D2144" t="n">
        <v>1</v>
      </c>
      <c r="E2144" t="n">
        <v>2</v>
      </c>
      <c r="F2144">
        <f>HYPERLINK("https://www.reddit.com/r/diabetes/comments/4phlz6/trigger_finger/")</f>
        <v/>
      </c>
      <c r="G2144" t="inlineStr">
        <is>
          <t>2016-06-23 09:31:33</t>
        </is>
      </c>
      <c r="H2144" t="inlineStr">
        <is>
          <t>Type 2</t>
        </is>
      </c>
    </row>
    <row r="2145">
      <c r="A2145" t="inlineStr">
        <is>
          <t>4pi761</t>
        </is>
      </c>
      <c r="B2145" t="inlineStr">
        <is>
          <t>[Type 1] Accu-Check Insight or Animas Vibe?</t>
        </is>
      </c>
      <c r="C2145" t="inlineStr">
        <is>
          <t>So...I may be going to get an insulin pump soon and I'm going to have the choice between the Accu-Check Insight or the Animas Vibe.
The main points for both that I know so far are that:
Accu-Check Insight:
+ Has pre-filled cartridges...I'm a little bit scared of the air bubbles
+ Bluetooth Device. Duh
+ Been told it has much better battery life.
- Been told it's unresponsive?
- Heavier than the Vibe
Animas Vibe:
+ Waterproof, but not a big one for me honestly.
+ Much lighter than the other one, I'm a small person.
-  Been told that it can't do multiple combos (not entirely sure what combos are though)
It does seem as though the Insight has much more positives, but from my research a lot of people online like the Vibe much more. I think this is because of the responsiveness? I could be wrong.
If you fellow Diabetics can help me, that would be great :)
I'm a fairly introverted 15 year old male....just threw that in there just incase it might help, haha.</t>
        </is>
      </c>
      <c r="D2145" t="n">
        <v>2</v>
      </c>
      <c r="E2145" t="n">
        <v>8</v>
      </c>
      <c r="F2145">
        <f>HYPERLINK("https://www.reddit.com/r/diabetes/comments/4pi761/type_1_accucheck_insight_or_animas_vibe/")</f>
        <v/>
      </c>
      <c r="G2145" t="inlineStr">
        <is>
          <t>2016-06-23 11:19:20</t>
        </is>
      </c>
      <c r="H2145" t="inlineStr">
        <is>
          <t>Type 1</t>
        </is>
      </c>
    </row>
    <row r="2146">
      <c r="A2146" t="inlineStr">
        <is>
          <t>4pigj0</t>
        </is>
      </c>
      <c r="B2146" t="inlineStr">
        <is>
          <t>Small Victories</t>
        </is>
      </c>
      <c r="C2146" t="inlineStr">
        <is>
          <t>While I want my A1C to be lower, I just got it down from a 12.6 to a 10.5 since diagnosis! Back at it again for the next three months while I work to get an 8...</t>
        </is>
      </c>
      <c r="D2146" t="n">
        <v>36</v>
      </c>
      <c r="E2146" t="n">
        <v>4</v>
      </c>
      <c r="F2146">
        <f>HYPERLINK("https://www.reddit.com/r/diabetes/comments/4pigj0/small_victories/")</f>
        <v/>
      </c>
      <c r="G2146" t="inlineStr">
        <is>
          <t>2016-06-23 12:07:53</t>
        </is>
      </c>
      <c r="H2146" t="inlineStr">
        <is>
          <t>Type 1</t>
        </is>
      </c>
    </row>
    <row r="2147">
      <c r="A2147" t="inlineStr">
        <is>
          <t>4piqao</t>
        </is>
      </c>
      <c r="B2147" t="inlineStr">
        <is>
          <t>[Type 1] Did puberty effect your blood sugars?</t>
        </is>
      </c>
      <c r="C2147" t="inlineStr">
        <is>
          <t>I'm only 15 years old, but for about a month now I've been getting quite a few random high blood sugars which have been quite tough to get back down, and I've researched this because I had thought it was because I'm a teen. From one source I found that for Type 1 Diabetics insulin resistance can increase anywhere from 30 to 50% in puberty, but only one source said this.
For those of you who have already gone through puberty as a Type 1, how was your experience?
Thank you for your time :)</t>
        </is>
      </c>
      <c r="D2147" t="n">
        <v>7</v>
      </c>
      <c r="E2147" t="n">
        <v>27</v>
      </c>
      <c r="F2147">
        <f>HYPERLINK("https://www.reddit.com/r/diabetes/comments/4piqao/type_1_did_puberty_effect_your_blood_sugars/")</f>
        <v/>
      </c>
      <c r="G2147" t="inlineStr">
        <is>
          <t>2016-06-23 12:59:31</t>
        </is>
      </c>
      <c r="H2147" t="inlineStr">
        <is>
          <t>Type 1</t>
        </is>
      </c>
    </row>
    <row r="2148">
      <c r="A2148" t="inlineStr">
        <is>
          <t>4pjkd4</t>
        </is>
      </c>
      <c r="B2148" t="inlineStr">
        <is>
          <t>So... um... slight issue</t>
        </is>
      </c>
      <c r="C2148" t="inlineStr">
        <is>
          <t>I think I've been so caught up in getting my diet right I've forgotten about the other half of the equation.
I'm rearranging the furniture in this room a bit and... well...
A few examples:
1. I keep feeling like the blood's rushing to my head like I've been upside down a lot.
2. My legs are shaking like mad
3. Blood sugar's perfectly normal.
I think my little 150lb. self has hit the other end of the spectrum. I was super obese at close to 300lb, now I'm pretty sure I've hit the extreme skinny-fat stage.
How the heck do I fix this?
Also, should I worry about the blood rushing to my head thing? I'm almost done, but I'm kinda scaring myself with how weak I am.</t>
        </is>
      </c>
      <c r="D2148" t="n">
        <v>2</v>
      </c>
      <c r="E2148" t="n">
        <v>20</v>
      </c>
      <c r="F2148">
        <f>HYPERLINK("https://www.reddit.com/r/diabetes/comments/4pjkd4/so_um_slight_issue/")</f>
        <v/>
      </c>
      <c r="G2148" t="inlineStr">
        <is>
          <t>2016-06-23 15:53:39</t>
        </is>
      </c>
      <c r="H2148" t="inlineStr">
        <is>
          <t>Type 2</t>
        </is>
      </c>
    </row>
    <row r="2149">
      <c r="A2149" t="inlineStr">
        <is>
          <t>4plsnq</t>
        </is>
      </c>
      <c r="B2149" t="inlineStr">
        <is>
          <t>My Worst Experience</t>
        </is>
      </c>
      <c r="C2149" t="inlineStr">
        <is>
          <t xml:space="preserve">This is a random memory, but my least favorite one. I was visiting the college I'm going to next year with my best friend since 3rd grade and her friend. Her friend has a step brother who attends the school and we were all hanging out with him one night when Crossfit came up. I usually speak my mind so of course, I said 'I'm not a big fan of Crossfit they posted this picture of coke that said 'Open Diabetes'" This boy just starts going OFF on me. Btw, I was 17 at the time, and he is about 22. He just tells me that Coke is the reason people get Diabetes, we don't exercise enough, there is a cure, yada yada yada. I tried to defend myself and I told him that while Type 2 can be caused by lifestyle, it isn't always, and Type 1 is not caused by lifestyle at all. He wouldn't have any of it. I look to my best friend for backup and all she could say was: "Diabetes is Diabetes." As if it isn't hard to give a shot every time I eat, while some can just take a pill (I am not downplaying T2 I am just saying there is a vast difference between T1 and T2.) I just shut up. Later that night, I cried to her mom and grandma about it while they held me and yelled at her. Not the best time. </t>
        </is>
      </c>
      <c r="D2149" t="n">
        <v>15</v>
      </c>
      <c r="E2149" t="n">
        <v>27</v>
      </c>
      <c r="F2149">
        <f>HYPERLINK("https://www.reddit.com/r/diabetes/comments/4plsnq/my_worst_experience/")</f>
        <v/>
      </c>
      <c r="G2149" t="inlineStr">
        <is>
          <t>2016-06-24 01:10:47</t>
        </is>
      </c>
      <c r="H2149" t="inlineStr">
        <is>
          <t>Type 1</t>
        </is>
      </c>
    </row>
    <row r="2150">
      <c r="A2150" t="inlineStr">
        <is>
          <t>4pp8pu</t>
        </is>
      </c>
      <c r="B2150" t="inlineStr">
        <is>
          <t>Metformin And Hair Loss???</t>
        </is>
      </c>
      <c r="C2150" t="inlineStr">
        <is>
          <t>Greetings,
I am on the cusp of type 2 diabetes and my doctor just prescribed metformin as a hopeful preventative in addition to weight that I need to lose. 
So I checked online to see the side effects and while it's not listed as an official side effect like nausea/throwing up for example, I happen to come across a website where someone said that metformin caused their hair to thin out big time. 
I typed metformin and hair loss into Google and was shocked and scared at the explosion of results with people telling their horror stories. 
https://www.google.ca/?gws_rd=ssl#safe=off&amp;amp;q=metformin+hair+loss
As a 45 year old, who has been lucky to still have really great hair, I am freaked out about the idea that metformin could be the thing to change that. 
I realize that many millions of people are on meformin and any such hair loss stories might be an almost negligible side effect percentage, so I wanted to hear what people here had to say
Has anyone here had any hair thinning/hair loss due to metformin?
My doctor did say that there are alternatives to metformin that don't have any claims of hair loss, so if it was a problem - he could put me on something else. 
But again, I would like to hear what people here have to say per your experience and what you think of the responses on Google.
Thank you very much.
Adam</t>
        </is>
      </c>
      <c r="D2150" t="n">
        <v>5</v>
      </c>
      <c r="E2150" t="n">
        <v>8</v>
      </c>
      <c r="F2150">
        <f>HYPERLINK("https://www.reddit.com/r/diabetes/comments/4pp8pu/metformin_and_hair_loss/")</f>
        <v/>
      </c>
      <c r="G2150" t="inlineStr">
        <is>
          <t>2016-06-24 14:10:25</t>
        </is>
      </c>
      <c r="H2150" t="inlineStr">
        <is>
          <t>Type 2</t>
        </is>
      </c>
    </row>
    <row r="2151">
      <c r="A2151" t="inlineStr">
        <is>
          <t>4pqpea</t>
        </is>
      </c>
      <c r="B2151" t="inlineStr">
        <is>
          <t>How soon after DX did you get your CGM? My Endo just told me I wouldn't be approved for a CGM (under control and "too recent" DX)</t>
        </is>
      </c>
      <c r="C2151" t="inlineStr">
        <is>
          <t>I saw my endo for the first time since my DX back in Feb. I got a good feeling of everything about my visit. The one thing that had me scratching my head was when I requested a CGM.
She said "I'm 99% sure your insurance will say 'no' because you've just been diagnosed *and* your numbers are great; they kind of want you to have bad control to approve one."
She said a pump however, would most likely be approved but said that maybe in a few months, we can revisit my CGM request and put it through, but for now, she said she was almost certain I would be denied.
I told her I wasn't ready for a pump yet, but was interested primarily in a CGM. She did tell me that at this time, I would most likely be approved for a pump+CGM, but not a CGM alone. Thoughts?</t>
        </is>
      </c>
      <c r="D2151" t="n">
        <v>1</v>
      </c>
      <c r="E2151" t="n">
        <v>31</v>
      </c>
      <c r="F2151">
        <f>HYPERLINK("https://www.reddit.com/r/diabetes/comments/4pqpea/how_soon_after_dx_did_you_get_your_cgm_my_endo/")</f>
        <v/>
      </c>
      <c r="G2151" t="inlineStr">
        <is>
          <t>2016-06-24 20:04:19</t>
        </is>
      </c>
      <c r="H2151" t="inlineStr">
        <is>
          <t>Type 1</t>
        </is>
      </c>
    </row>
    <row r="2152">
      <c r="A2152" t="inlineStr">
        <is>
          <t>4pvref</t>
        </is>
      </c>
      <c r="B2152" t="inlineStr">
        <is>
          <t>Type 1's who run?</t>
        </is>
      </c>
      <c r="C2152" t="inlineStr">
        <is>
          <t>I have run several 5Ks in the last few years, but a couple of months ago, I started getting serious about it again.  Currently I'm running 12+ miles per week to get myself ready for a 10K next month and a half marathon in November.  If I run in the morning before I've bolused any insulin, my blood sugar stays stable for up to 4-5 miles (my long runs so far).  But as I'm starting to go longer distances, I'm wondering how to keep my blood sugar stable through longer runs.  Right now I know that my blood sugar can be stable for up to 5 miles.  At what point will I start needing to add carbs for a longer run?  Anyone run 10K's or further who would care to give advice?  Thanks!</t>
        </is>
      </c>
      <c r="D2152" t="n">
        <v>1</v>
      </c>
      <c r="E2152" t="n">
        <v>7</v>
      </c>
      <c r="F2152">
        <f>HYPERLINK("https://www.reddit.com/r/diabetes/comments/4pvref/type_1s_who_run/")</f>
        <v/>
      </c>
      <c r="G2152" t="inlineStr">
        <is>
          <t>2016-06-25 19:39:08</t>
        </is>
      </c>
      <c r="H2152" t="inlineStr">
        <is>
          <t>Type 1</t>
        </is>
      </c>
    </row>
    <row r="2153">
      <c r="A2153" t="inlineStr">
        <is>
          <t>4pw93c</t>
        </is>
      </c>
      <c r="B2153" t="inlineStr">
        <is>
          <t>How does metformin work?</t>
        </is>
      </c>
      <c r="C2153" t="inlineStr">
        <is>
          <t>I understand that metformin is one of the first lines of defense for T2's when it comes to controlling blood sugar, but I don't entirely understand what it's doing.
I've read metformin blocks carbohydrate digestion, or something to that tune but I could use some clarification on that.
Would this mean that, theoretically speaking, if metformin blocks a certain % of carbs in a meal from being broken down, that a similar/identical effect could be achieved from simply not eating those carbs? Or does metformin simply block the rise in blood sugar from carbohydrate, but the carbs are still used for energy?
Anything you know about it would be helpful.</t>
        </is>
      </c>
      <c r="D2153" t="n">
        <v>12</v>
      </c>
      <c r="E2153" t="n">
        <v>5</v>
      </c>
      <c r="F2153">
        <f>HYPERLINK("https://www.reddit.com/r/diabetes/comments/4pw93c/how_does_metformin_work/")</f>
        <v/>
      </c>
      <c r="G2153" t="inlineStr">
        <is>
          <t>2016-06-25 21:52:19</t>
        </is>
      </c>
      <c r="H2153" t="inlineStr">
        <is>
          <t>Type 2</t>
        </is>
      </c>
    </row>
    <row r="2154">
      <c r="A2154" t="inlineStr">
        <is>
          <t>4q0264</t>
        </is>
      </c>
      <c r="B2154" t="inlineStr">
        <is>
          <t>New a1c is 4.9</t>
        </is>
      </c>
      <c r="C2154" t="inlineStr">
        <is>
          <t>Suck it beatus</t>
        </is>
      </c>
      <c r="D2154" t="n">
        <v>27</v>
      </c>
      <c r="E2154" t="n">
        <v>63</v>
      </c>
      <c r="F2154">
        <f>HYPERLINK("https://www.reddit.com/r/diabetes/comments/4q0264/new_a1c_is_49/")</f>
        <v/>
      </c>
      <c r="G2154" t="inlineStr">
        <is>
          <t>2016-06-26 15:25:33</t>
        </is>
      </c>
      <c r="H2154" t="inlineStr">
        <is>
          <t>Type 1</t>
        </is>
      </c>
    </row>
    <row r="2155">
      <c r="A2155" t="inlineStr">
        <is>
          <t>4q10v2</t>
        </is>
      </c>
      <c r="B2155" t="inlineStr">
        <is>
          <t>Has anyone tried essential oils for relief of burning/tingling feet? [x-post/neuropathy]</t>
        </is>
      </c>
      <c r="C2155" t="inlineStr">
        <is>
          <t>I have used these oils with some immediate relief on application; Balance, Basil, Cypress, Marjoram, Aromatouch, Peppermint.</t>
        </is>
      </c>
      <c r="D2155" t="n">
        <v>0</v>
      </c>
      <c r="E2155" t="n">
        <v>8</v>
      </c>
      <c r="F2155">
        <f>HYPERLINK("https://www.reddit.com/r/diabetes/comments/4q10v2/has_anyone_tried_essential_oils_for_relief_of/")</f>
        <v/>
      </c>
      <c r="G2155" t="inlineStr">
        <is>
          <t>2016-06-26 19:19:51</t>
        </is>
      </c>
      <c r="H2155" t="inlineStr">
        <is>
          <t>Type 2</t>
        </is>
      </c>
    </row>
    <row r="2156">
      <c r="A2156" t="inlineStr">
        <is>
          <t>4q500b</t>
        </is>
      </c>
      <c r="B2156" t="inlineStr">
        <is>
          <t>T1 | Animas OneTouch Ping Problems</t>
        </is>
      </c>
      <c r="C2156" t="inlineStr">
        <is>
          <t>Whist on a study abroad term in Europe, I have run into a problem with my pump and cannot seem to figure out the solution. I have researched the symptoms thoroughly and cannot seem to find anybody with a similar problem. 
I was in Barcelona this past weekend and I took a brief swim in the sea with my pump connected (sub 5 minutes, not fully submerged). When I got out, my pump was still fully functioning. It continued to function until later that night, when I woke up from a short nap. It had completely stopped working and wouldn't respond. I chalked this up to a dead lithium battery at the time, but when I replaced it with a fresh alkaline, the pump activated a short sequence (described below), before returning to a useless state.
Once the battery cap is screwed on enough to secure a connection, the pump blips three times (very quickly, in rapid succession) before vibrating three long times and bliping three times again. The screen does not light up and the buttons do nothing.
I had originally thought this was a sign that the battery was too low of voltage, but after trying loads of brand new batteries, I believe it is something else. Looking through the manual did not help, as no alarm was relatively close to what is happening. Internet research didn't reveal anything either.
My main question is if anyone knows what the pump is trying to indicate through the initial sequence. I understand it is probably water damaged, but I have had one replaced due to water damage before, and it didn't give any type of response like this one is.
The pump is out of warranty, and I am getting a new one when I get back to the States in a week or so (t:slim). I'd still like to try to get this one working so I could have a backup. 
TLDR; Pump broken, giving weird blips and vibrations when plugging in new battery. Suggestions?
Edit: Decided to leave a battery inside the pump for a while. It repeats the same alarm and blip sequence every 5 minutes or so. 
Edit #2: After leaving the battery in for 30 minutes, the piercing alarm signaling a low battery is being played. I assume the salt water got into the pump and has short circuited a certain part, meaning it can't effectively recognize the battery voltage. The only thing I think I could do is wait and see if it works later on, or take it completely apart to try and clean the circuitry.</t>
        </is>
      </c>
      <c r="D2156" t="n">
        <v>1</v>
      </c>
      <c r="E2156" t="n">
        <v>3</v>
      </c>
      <c r="F2156">
        <f>HYPERLINK("https://www.reddit.com/r/diabetes/comments/4q500b/t1_animas_onetouch_ping_problems/")</f>
        <v/>
      </c>
      <c r="G2156" t="inlineStr">
        <is>
          <t>2016-06-27 11:53:27</t>
        </is>
      </c>
      <c r="H2156" t="inlineStr">
        <is>
          <t>Type 1</t>
        </is>
      </c>
    </row>
    <row r="2157">
      <c r="A2157" t="inlineStr">
        <is>
          <t>4q69h7</t>
        </is>
      </c>
      <c r="B2157" t="inlineStr">
        <is>
          <t>newly diagnosed T2 and have some questions</t>
        </is>
      </c>
      <c r="C2157" t="inlineStr">
        <is>
          <t>I'm on a medication that causes insulin resistance and just found out I have type 2 diabetes from it. Going off the medication isn't an option, unfortunately, but I also couldn't get an appointment with an endocrinologist for a month and a half. :( It'll continue to be untreated until then and I'm very concerned about doing damage to my body. 
The doctor who ran the tests says I'll likely be treated with metformin -- from preliminary research it sounds rough. I was hoping to hear some personal experiences/how to make things easier? I'll of course be making diet changes and exercising more, but am not sure where to start with monitoring myself.
Does anyone have recommendations for testing supplies? I'm not sure where to start, there are so many options. I don't have a problem with blood or needles so I'd like to start testing myself in this time before my appointment.
Thanks for reading and any advice you can give.</t>
        </is>
      </c>
      <c r="D2157" t="n">
        <v>2</v>
      </c>
      <c r="E2157" t="n">
        <v>32</v>
      </c>
      <c r="F2157">
        <f>HYPERLINK("https://www.reddit.com/r/diabetes/comments/4q69h7/newly_diagnosed_t2_and_have_some_questions/")</f>
        <v/>
      </c>
      <c r="G2157" t="inlineStr">
        <is>
          <t>2016-06-27 16:06:47</t>
        </is>
      </c>
      <c r="H2157" t="inlineStr">
        <is>
          <t>Type 2</t>
        </is>
      </c>
    </row>
    <row r="2158">
      <c r="A2158" t="inlineStr">
        <is>
          <t>4q6jr9</t>
        </is>
      </c>
      <c r="B2158" t="inlineStr">
        <is>
          <t>Been over a month since I was diagnosed T1... Am I supposed to have some form of bolus?</t>
        </is>
      </c>
      <c r="C2158" t="inlineStr">
        <is>
          <t>The only insulin I've been prescribed is a basal Lantus. I was talking to another T1 today and we started talking about food, which led to me saying I'm so pissed I don't get to eat carbs anymore (even just a few grams of carbs shoots me up for hours). He asked what I was injecting for meals and was baffled when I told him I was only prescribed basal.
Are there any other T1s who only get basal insulin?</t>
        </is>
      </c>
      <c r="D2158" t="n">
        <v>5</v>
      </c>
      <c r="E2158" t="n">
        <v>10</v>
      </c>
      <c r="F2158">
        <f>HYPERLINK("https://www.reddit.com/r/diabetes/comments/4q6jr9/been_over_a_month_since_i_was_diagnosed_t1_am_i/")</f>
        <v/>
      </c>
      <c r="G2158" t="inlineStr">
        <is>
          <t>2016-06-27 17:11:04</t>
        </is>
      </c>
      <c r="H2158" t="inlineStr">
        <is>
          <t>Type 1</t>
        </is>
      </c>
    </row>
    <row r="2159">
      <c r="A2159" t="inlineStr">
        <is>
          <t>4q7nsc</t>
        </is>
      </c>
      <c r="B2159" t="inlineStr">
        <is>
          <t>I've been experimenting with slow carbs and the results are somewhat disappointing...</t>
        </is>
      </c>
      <c r="C2159" t="inlineStr">
        <is>
          <t>I've been trying to do moderate carb with a fair amount of fiber to see if I could keep BG low and stable. Both of the meals were around 30-35g carbs, maybe 40g protein and these were the results (I took fairly meticulous measurements so bear with me!):
Time After Meal (Minutes) | Glucose (Mg/dl)
---|---
0 | ~
15 | 97
30 | 113
45 | 110
60 (1 hour) | 103
75 | 96
90 | 97
105 | 96
120 (2 hours) | 101
135 | 96
150 | 98
165 | 96
180 (3 hours) | 89
195 | 89
210 | 92
225 | 93
240 (4 hours) | 90
255 | 83
Time After Meal (Minutes) | Glucose (Mg/dl)
---|---
0 | ~
15 | 95
30 | 109
45 | 116
60 (1 hour) | 114
75 | 109
90 | 103
105 | 102
120 (2 hours) | 98
135 | 93
150 | 97
165 | 95
180 (3 hours) | 96
195 | 93
210 | 94
225 | 90
240 (4 hours) | 89
Looking at these, what really bothers me is the fact that my BG stays so consistently elevated (even if only slightly). If I ate like this, my BG would pretty much never go below 90 as I would eat my next meal before it hit that point. I know that's a much better case than having high spikes, but I'd really prefer not to have BG &amp;gt; 95 for a large portion of the day.
I often see the advice about 1/2 hour tests and seeing if you're below 120/140 etc. but what about a situation like this where my BG just doesn't quite make it back down to "normal" (low 80's). Do any of you guys experience this?</t>
        </is>
      </c>
      <c r="D2159" t="n">
        <v>3</v>
      </c>
      <c r="E2159" t="n">
        <v>14</v>
      </c>
      <c r="F2159">
        <f>HYPERLINK("https://www.reddit.com/r/diabetes/comments/4q7nsc/ive_been_experimenting_with_slow_carbs_and_the/")</f>
        <v/>
      </c>
      <c r="G2159" t="inlineStr">
        <is>
          <t>2016-06-27 21:41:05</t>
        </is>
      </c>
      <c r="H2159" t="inlineStr">
        <is>
          <t>Type 2</t>
        </is>
      </c>
    </row>
    <row r="2160">
      <c r="A2160" t="inlineStr">
        <is>
          <t>4q9gsi</t>
        </is>
      </c>
      <c r="B2160" t="inlineStr">
        <is>
          <t>New to Omnipod, a question about pumps on T1 son</t>
        </is>
      </c>
      <c r="C2160" t="inlineStr">
        <is>
          <t xml:space="preserve">We've recently started using an Omnipod Insulin Pump on our T1 son aged 7.5 who was diagnosed last August.  
Initially, when we placed the pump on his behind or arm it seemed to work well, we were able to maintain our numbers (6-7).  We're trying a rotation with his attachments  (we're also using a Dexcom CGM), so we switched the pod to his thigh.  
At first the numbers were good, over the weekend however we started noticing the numbers creeping up (12-13).  We changed the pod, thinking it might be faulty, but the numbers are still the same.  
I'm sure there are many other factors that could have affected the numbers, we use the basal/bolus rates given to us by the doctor whom we consult regularly, those factors to my knowledge haven't changed.
So I'm curious what could be causing the pump to be working differently all of a sudden, could it just be the placement?  He's a very lean and muscular boy, so our choices of locations are limited.
Perhaps it's a faulty batch of pods?
</t>
        </is>
      </c>
      <c r="D2160" t="n">
        <v>2</v>
      </c>
      <c r="E2160" t="n">
        <v>6</v>
      </c>
      <c r="F2160">
        <f>HYPERLINK("https://www.reddit.com/r/diabetes/comments/4q9gsi/new_to_omnipod_a_question_about_pumps_on_t1_son/")</f>
        <v/>
      </c>
      <c r="G2160" t="inlineStr">
        <is>
          <t>2016-06-28 06:39:32</t>
        </is>
      </c>
      <c r="H2160" t="inlineStr">
        <is>
          <t>Type 1</t>
        </is>
      </c>
    </row>
    <row r="2161">
      <c r="A2161" t="inlineStr">
        <is>
          <t>4q9n1s</t>
        </is>
      </c>
      <c r="B2161" t="inlineStr">
        <is>
          <t>Blood sugar rises after injected insulin dose</t>
        </is>
      </c>
      <c r="C2161" t="inlineStr">
        <is>
          <t xml:space="preserve">Lately my blood sugar has been spiking pretty bad after I inject my insulin dose when I eat. My doctor has me on humalog and I do 10/20/20 along with 70 of toujeo at night and I also take a dose of metformin. Just two pills, one in the morning and one in the evening. I watch what I eat, keep my portion sizes reasonable, and don't eat too many carbs, and I do exercise (probably not as much as I should however). My sugars stay pretty consistent between 100-180. 180 on the high days. My doctor will not decrease my injections or raise my metformin dose. Should I get a second opinion on my diabetes? Something seems off to me with the doctor that I see now. </t>
        </is>
      </c>
      <c r="D2161" t="n">
        <v>1</v>
      </c>
      <c r="E2161" t="n">
        <v>22</v>
      </c>
      <c r="F2161">
        <f>HYPERLINK("https://www.reddit.com/r/diabetes/comments/4q9n1s/blood_sugar_rises_after_injected_insulin_dose/")</f>
        <v/>
      </c>
      <c r="G2161" t="inlineStr">
        <is>
          <t>2016-06-28 07:16:50</t>
        </is>
      </c>
      <c r="H2161" t="inlineStr">
        <is>
          <t>Type 2</t>
        </is>
      </c>
    </row>
    <row r="2162">
      <c r="A2162" t="inlineStr">
        <is>
          <t>4qb9t0</t>
        </is>
      </c>
      <c r="B2162" t="inlineStr">
        <is>
          <t>Vertigo from metformin</t>
        </is>
      </c>
      <c r="C2162" t="inlineStr">
        <is>
          <t>I occasionally suffer from vertigo from metformin side effect. Dizziness and vomiting results. This has hurt my productivity in my business. What can I do to cope with it?</t>
        </is>
      </c>
      <c r="D2162" t="n">
        <v>1</v>
      </c>
      <c r="E2162" t="n">
        <v>7</v>
      </c>
      <c r="F2162">
        <f>HYPERLINK("https://www.reddit.com/r/diabetes/comments/4qb9t0/vertigo_from_metformin/")</f>
        <v/>
      </c>
      <c r="G2162" t="inlineStr">
        <is>
          <t>2016-06-28 12:25:40</t>
        </is>
      </c>
      <c r="H2162" t="inlineStr">
        <is>
          <t>Type 2</t>
        </is>
      </c>
    </row>
    <row r="2163">
      <c r="A2163" t="inlineStr">
        <is>
          <t>4qcoqj</t>
        </is>
      </c>
      <c r="B2163" t="inlineStr">
        <is>
          <t>Refillable Insulin Pen! Questions</t>
        </is>
      </c>
      <c r="C2163" t="inlineStr">
        <is>
          <t>I just got a refillable pen (Novopen Echo) and have a couple of questions:
1. I'm probably not going to be changing the needle after every injection; I'm going to start changing it once a day. That whole thing about checking for insulin flow by pushing 2 units out before every injection - that's because you should be using one new needle each time right? So, if I'm reusing the needle, I should be okay (because I'm thinking that with a fresh needle, some air might get in the cartridge due to insertion). I do plan on checking the flow every time I change the needle, is this all good?
2. Pharmacist says each cartridge will last 28 days at room temperature. I'm in L.A. and sometimes "room temperature" is around 80 degrees, should I keep this thing in the fridge as much as possible? I've marked the 28 days date on the cartridge with a sharpie.
Any other tips or advice is definitely welcome, thanks!!!</t>
        </is>
      </c>
      <c r="D2163" t="n">
        <v>2</v>
      </c>
      <c r="E2163" t="n">
        <v>7</v>
      </c>
      <c r="F2163">
        <f>HYPERLINK("https://www.reddit.com/r/diabetes/comments/4qcoqj/refillable_insulin_pen_questions/")</f>
        <v/>
      </c>
      <c r="G2163" t="inlineStr">
        <is>
          <t>2016-06-28 17:16:53</t>
        </is>
      </c>
      <c r="H2163" t="inlineStr">
        <is>
          <t>Type 1</t>
        </is>
      </c>
    </row>
    <row r="2164">
      <c r="A2164" t="inlineStr">
        <is>
          <t>4qf2pu</t>
        </is>
      </c>
      <c r="B2164" t="inlineStr">
        <is>
          <t>[Type 2] When to check sugar after alcohol consumption?</t>
        </is>
      </c>
      <c r="C2164" t="inlineStr">
        <is>
          <t>Hi,
quick question, I've been searching the web and reddit but I'm unable to find information for Type 2 diabetics not on Metformin or Insulin. 
When am I supposed to check my blood sugar after consuming alcohol? I had 1 beer an hour ago and may venture into vodka later. ^ ^
Thanks.</t>
        </is>
      </c>
      <c r="D2164" t="n">
        <v>3</v>
      </c>
      <c r="E2164" t="n">
        <v>6</v>
      </c>
      <c r="F2164">
        <f>HYPERLINK("https://www.reddit.com/r/diabetes/comments/4qf2pu/type_2_when_to_check_sugar_after_alcohol/")</f>
        <v/>
      </c>
      <c r="G2164" t="inlineStr">
        <is>
          <t>2016-06-29 04:47:09</t>
        </is>
      </c>
      <c r="H2164" t="inlineStr">
        <is>
          <t>Type 2</t>
        </is>
      </c>
    </row>
    <row r="2165">
      <c r="A2165" t="inlineStr">
        <is>
          <t>4qfh4y</t>
        </is>
      </c>
      <c r="B2165" t="inlineStr">
        <is>
          <t>Microvascular Disease</t>
        </is>
      </c>
      <c r="C2165" t="inlineStr">
        <is>
          <t>Was just told I've got it.  Fuck me.  Pissed off at myself.  Age 24 and have Microvascular Disease.  Great.  Guess that's where the erectile dysfunctions coming from.
I guess this is just a rant.  Anyone been in a similar boat?  What the fuck does this even mean?  Fuck.
Oh also: anyone have advice for doing fasting blood work as a Type 1?  Gotta go in tomorrow for it which means I can't eat past 7:30.  Usually have a bed time snack at around 9:30.  
Fuck</t>
        </is>
      </c>
      <c r="D2165" t="n">
        <v>4</v>
      </c>
      <c r="E2165" t="n">
        <v>9</v>
      </c>
      <c r="F2165">
        <f>HYPERLINK("https://www.reddit.com/r/diabetes/comments/4qfh4y/microvascular_disease/")</f>
        <v/>
      </c>
      <c r="G2165" t="inlineStr">
        <is>
          <t>2016-06-29 06:22:48</t>
        </is>
      </c>
      <c r="H2165" t="inlineStr">
        <is>
          <t>Type 1</t>
        </is>
      </c>
    </row>
    <row r="2166">
      <c r="A2166" t="inlineStr">
        <is>
          <t>4qfnsk</t>
        </is>
      </c>
      <c r="B2166" t="inlineStr">
        <is>
          <t>Type 1: My 15 year old daughter was just diagnosed</t>
        </is>
      </c>
      <c r="C2166" t="inlineStr">
        <is>
          <t xml:space="preserve">In hindsight, I can see all her symptoms so clearly. I just explained the sleeping so much on teenage hormones, the drinking so much on the fact that it has just become summer, etc. It was only when she said her mouth was so dry that she couldn't quench her thirst that it clicked. I took her to an Urgent care place on Sunday to have her sugar checked because she was supposed to leave for Florida on Monday with my ex MIL. I was thinking I was probably just being an anxious mom and we would have her sugar checked so I could feel better. Well the machine couldn't read it. It was too high. At the hospital we found out it was over 1000! She was admitted to the ICU. She was discharged yesterday. I am just trying to process everything still! I feel horrible for her. What can I do to help her deal with this emotionally? I learned all about how to help her physically. I'm sure there are tips and tricks that people have learned over the years to help with that as well and I would love to hear some of yours. She's always been the type to keep all of her feelings inside. 
Edit: Thank you all for your wonderful advice and just giving me an idea about your feelings. My mother actually just offered to pay for a diabetes camp for her!! We live in NJ, any recommendations!!! </t>
        </is>
      </c>
      <c r="D2166" t="n">
        <v>22</v>
      </c>
      <c r="E2166" t="n">
        <v>60</v>
      </c>
      <c r="F2166">
        <f>HYPERLINK("https://www.reddit.com/r/diabetes/comments/4qfnsk/type_1_my_15_year_old_daughter_was_just_diagnosed/")</f>
        <v/>
      </c>
      <c r="G2166" t="inlineStr">
        <is>
          <t>2016-06-29 07:02:27</t>
        </is>
      </c>
      <c r="H2166" t="inlineStr">
        <is>
          <t>Type 1</t>
        </is>
      </c>
    </row>
    <row r="2167">
      <c r="A2167" t="inlineStr">
        <is>
          <t>4qhdsv</t>
        </is>
      </c>
      <c r="B2167" t="inlineStr">
        <is>
          <t>Possibly insane question. Chewing but not swallowing.</t>
        </is>
      </c>
      <c r="C2167" t="inlineStr">
        <is>
          <t xml:space="preserve">It recently occurred to me that very often I eat something I should not simply because I am craving the taste of it. The result, of course, is spiking blood glucose levels.  
The taste and even more importantly the texture in my mouth is what I am constantly craving.    
What would happen if I chewed up, for example, 6 Oreo cookies one at a time and spit them out before I swallowed them?  
Is this even remotely a good idea?  
</t>
        </is>
      </c>
      <c r="D2167" t="n">
        <v>5</v>
      </c>
      <c r="E2167" t="n">
        <v>16</v>
      </c>
      <c r="F2167">
        <f>HYPERLINK("https://www.reddit.com/r/diabetes/comments/4qhdsv/possibly_insane_question_chewing_but_not/")</f>
        <v/>
      </c>
      <c r="G2167" t="inlineStr">
        <is>
          <t>2016-06-29 12:23:11</t>
        </is>
      </c>
      <c r="H2167" t="inlineStr">
        <is>
          <t>Type 2</t>
        </is>
      </c>
    </row>
    <row r="2168">
      <c r="A2168" t="inlineStr">
        <is>
          <t>4qig0j</t>
        </is>
      </c>
      <c r="B2168" t="inlineStr">
        <is>
          <t>Can't handle the mixed messages, consulting professionals about my diabetes is causing me extreme stress. Every time I reach out I end up completely demoralized.</t>
        </is>
      </c>
      <c r="C2168" t="inlineStr">
        <is>
          <t>I've been diagnosed with type 1 diabetes for two years now. I can't handle what is expected of me. Every time I get better, the expectations get more absurd and it's crushing me.
I haven't actually broken down and cried in years, and the closest I've come have been the last few times I've visited my endocrinologist, and today. I'm not even a bad diabetic. I don't know how to handle these things, and I already have avoidance issues and I don't want it to be the end of my health, but this is starting to feel like some kind of special hell designed just for me. 
That's enough melodrama for now, I just want to discuss my experience with some people who can empathize, and try to get some facts straight. There's a ton of contradictory information, and it's driving me up a wall.
Basically, when I was diagnosed two years ago, I was told that I should eat 60 carbs per meal max, and the less the better. I followed that for a while and it was totally unsustainable, but it got my A1C down from 12 (undiagnosed) to 5.1 over the course of some months. Which is I was told was incredible progress.
Then I switched to an endocrinologist. He basically scolds me for being a terrible diabetic, acts like I've made NO progress and generally makes me feel like a piece of shit. (At this point I would say I was at the best point in my diabetes "career." Never again will I be this in control with a system that works this well for me.) He agrees with the 60 carb thing, tells me to check my sugar 4 times a day, and sends me on my way.
I feel incredibly demoralized, and start slipping everywhere. Taking blood sugar become depressing, but I still take my shots with every meal and in the morning. Over the course of a year I can't handle going back to the endocrinologist. After my second visit, there is a six month gap. I stop checking my blood sugar, and go by habit. This lasts half a year. My A1C rises to 6.2.
More time passes, a1c remains unalarming (or not, I can't even tell what's a good range because of wildly varying reports from different representatives), despite my apathy. Then my appendix explodes (and I can't get surgery until 12 hours after rupture). And I get pneumonia while I am getting surgery. I am in the hospital for 7 days, and for months afterward my blood sugar is 300. Literally nothing I can do, checking 6 times a day, taking more insulin than I ever have in my life, 300 most of the time. After a few months I am better.
After that I started taking my sugars more often, and this summer I decide to try to get in shape and start weightlifting. I do a ton of research, start taking in 2700 calories a day, 300g carbs, .8*bodyweight g of protein every day. It is an enormous task. I used to eat once a day, probably getting half that number of calories. I feel better, am putting on weight, but my blood sugar is slightly worse. But it is getting better, and I will learn to control it better as I get used to it.
Then I get a phone call I have to make regularly for my insurance, and even though I'm doing ok it's an hour long and just about the most stressful thing I've had to deal with in awhile. Whatever, it's worth it for a medicine discount.
Today I got a call from a nutritionist (also an insurance thing, an hour long) and once again I'm demoralized by the expectations. But I don't want to go down this road again, I don't want to let this same pattern of events push me from my health goals. I'm already a healthy guy, who likes healthy food, but jesus christ.
She says I need to eat 3200 calories per day, and 1.5*bodyweight g of protein, and more carbs. This has to be the most confusing thing I've ever heard. I mean, my PCP used to say "you can eat what you feel like and cover it with insulin if you want", but even by that standard that seems excessive. I'd been stressing out all month that my endocrinologist would freak when I told him I intended to eat 2700 calories with 300 carbs! What is going on, she made it sound like I was not meeting my required carbs for basic nutrition at my height, but I've been noticeably gaining weight for two months on this diet. I have no idea what to think.
In addition, the meal plan she laid out is blatantly not something I can afford or manage. She told me I have to eat a set amount of meat every day (can't remember how much, doesn't matter because I can't afford meat regularly), along with not just the vegetables I like, but also leafy greens (the only ones I like are also expensive; spinach, brussels sprouts, etc). I was pretty shocked. I basically eat a 12 oz can of beans every day, it's like my main food group, but I can't afford the whole pyramid every day.  I tried to explain this to her, but she didn't really have an alternative.
Then there's the eating schedule. She told me I absolutely have to eat 3 more times per day than I am, or my blood sugar will not be manageable. I'm starting to wonder what people even mean by "managed". When my a1c was 5.1 I ate once a day, every day. Probably around 1700 calories or less. I wasn't tracking my diet that way back then, so I don't know. I can't reconcile how directly my experience opposes this information.
Additionally, I spend about 8 hours a day at work and school, but they are broken up so that I never end up having time to prepare anything, and I can't just eat cold shit out of tupperware all day every day so that I can get fat while not enjoying myself all in the name of controlling my blood sugar better (which I know won't be helped by this behavior from experience).
I've already given up on enjoying food anymore, I'm completely over it. I'm a functional eater, and it doesn't bother me. My macros are a math equation just like my insulin. But I just can't believe that after sacrificing this much, making this many changes, and trying to exclusively eat on a healthy schedule and plan that I'm still not up to par for any doctor's standards. Not only that, I can't afford to be. And even if I could, I feel bloated all hours of the day just from 2700 calories that I force feed myself (and this is after two months of adjustment!). I don't know what to do.
tl;dr:
* All the information I get contradicts other information, and I don't know how to be healthy
* I feel like I will never, ever be good enough for or receive encouragement from my endocrinologist
* Avoidant behavior tendencies constantly tempt me to slip into apathy instead of letting my doctors distress me
Edit: sorry I haven't monitored this thread the way I should have; a bunch of stressful things kind of coincided at once, and I have a huge test tomorrow in a difficult subject so I had to prepare for that. Thanks for the advice though, it's nice to know others have had similar experiences. I am getting better, it's just slow work</t>
        </is>
      </c>
      <c r="D2168" t="n">
        <v>14</v>
      </c>
      <c r="E2168" t="n">
        <v>31</v>
      </c>
      <c r="F2168">
        <f>HYPERLINK("https://www.reddit.com/r/diabetes/comments/4qig0j/cant_handle_the_mixed_messages_consulting/")</f>
        <v/>
      </c>
      <c r="G2168" t="inlineStr">
        <is>
          <t>2016-06-29 15:50:37</t>
        </is>
      </c>
      <c r="H2168" t="inlineStr">
        <is>
          <t>Type 1</t>
        </is>
      </c>
    </row>
    <row r="2169">
      <c r="A2169" t="inlineStr">
        <is>
          <t>4qlt12</t>
        </is>
      </c>
      <c r="B2169" t="inlineStr">
        <is>
          <t>Curious - do pump users have different basal setups when using arms instead of stomach?</t>
        </is>
      </c>
      <c r="C2169" t="inlineStr">
        <is>
          <t xml:space="preserve">I've recently swapped to Omnipod, currently doing some basal testing. 
I know there is a different absorption rate for different parts of your body but I was just curious to whether people have different basal setups for different pump placement. (As well as for sickness and periods and whatever). For example, 'Weekly Arm', 'Weekly Stomach', 'Sickness Leg', 'Sickness Stomach'... and the list continues. 
If you do, what's the difference? Is it the same time slots but with the u/hr increased for arms? Or is it the same units and you've changed the time forward/back slightly? Maybe you use the same basal and only notice a small change in your glucose? Maybe you don't notice at all and think I'm a crazy person... 
I suppose everyone is different but now I'm curious... </t>
        </is>
      </c>
      <c r="D2169" t="n">
        <v>5</v>
      </c>
      <c r="E2169" t="n">
        <v>9</v>
      </c>
      <c r="F2169">
        <f>HYPERLINK("https://www.reddit.com/r/diabetes/comments/4qlt12/curious_do_pump_users_have_different_basal_setups/")</f>
        <v/>
      </c>
      <c r="G2169" t="inlineStr">
        <is>
          <t>2016-06-30 07:00:32</t>
        </is>
      </c>
      <c r="H2169" t="inlineStr">
        <is>
          <t>Type 1</t>
        </is>
      </c>
    </row>
    <row r="2170">
      <c r="A2170" t="inlineStr">
        <is>
          <t>4qp618</t>
        </is>
      </c>
      <c r="B2170" t="inlineStr">
        <is>
          <t>Sudden unexplained hypo: 285 to 69 within half an hour, then down to 55 fifteen minutes later</t>
        </is>
      </c>
      <c r="C2170" t="inlineStr">
        <is>
          <t>My night looked a bit like this
* Dinner time: 102, took 3.5 units NovoRapid
* 1 hour later: took 4 units Lantus
* 2 hours after dinner: 285, took 2 units Novorapid correction
* Half an hour later: 69, ate about 40g carbs
* Fifteen minutes later: 55, ate about 20g carbs
* For the rest of the night, I didn't go above 170
Does anyone know what might have happened to cause such a sudden hypo? I only did a bit of walking during the day so it wasn't because of exercise. Once before I have injected Lantus into a muscle and had a similar hypo, but this time I injected into an area with more body fat so it's unlikely to have hit muscle. Is it possible that my dinnertime Novorapid got absorbed wrong and didn't start working until later? That would explain the high after dinner. 
I have no idea what happened, any suggestions are much appreciated!</t>
        </is>
      </c>
      <c r="D2170" t="n">
        <v>3</v>
      </c>
      <c r="E2170" t="n">
        <v>8</v>
      </c>
      <c r="F2170">
        <f>HYPERLINK("https://www.reddit.com/r/diabetes/comments/4qp618/sudden_unexplained_hypo_285_to_69_within_half_an/")</f>
        <v/>
      </c>
      <c r="G2170" t="inlineStr">
        <is>
          <t>2016-06-30 18:23:30</t>
        </is>
      </c>
      <c r="H2170" t="inlineStr">
        <is>
          <t>Type 1</t>
        </is>
      </c>
    </row>
    <row r="2171">
      <c r="A2171" t="inlineStr">
        <is>
          <t>4qt5a2</t>
        </is>
      </c>
      <c r="B2171" t="inlineStr">
        <is>
          <t>Personal Victory and just need to celebrate</t>
        </is>
      </c>
      <c r="C2171" t="inlineStr">
        <is>
          <t>I know I still have a ways to go.  Got my diagnosis May 7th.  a1c at 12.7.  Put on metformin.  Been watching my overall carb intake and moving more.  
Tested my a1c today and its down to 7.5.  Like I said, I know I still have work to do but I was so scared that all this would be for nothing.  I even had the person giving my test not tell me my result while I asked "Is it less than 10?  Less than 9?..."</t>
        </is>
      </c>
      <c r="D2171" t="n">
        <v>15</v>
      </c>
      <c r="E2171" t="n">
        <v>5</v>
      </c>
      <c r="F2171">
        <f>HYPERLINK("https://www.reddit.com/r/diabetes/comments/4qt5a2/personal_victory_and_just_need_to_celebrate/")</f>
        <v/>
      </c>
      <c r="G2171" t="inlineStr">
        <is>
          <t>2016-07-01 11:09:08</t>
        </is>
      </c>
      <c r="H2171" t="inlineStr">
        <is>
          <t>Type 2</t>
        </is>
      </c>
    </row>
    <row r="2172">
      <c r="A2172" t="inlineStr">
        <is>
          <t>4qytis</t>
        </is>
      </c>
      <c r="B2172" t="inlineStr">
        <is>
          <t>When does it get better?</t>
        </is>
      </c>
      <c r="C2172" t="inlineStr">
        <is>
          <t>I'm almost 17, and have had T1 for almost 11 years now, since late '05.
I often notice people who live happily, or are accustomed to their new life quickly and openly. I haven't gotten to that point yet, even after 11 years.
Instead, over time, it has only been getting worse. I have frequent bursts of feeling suicidal, around once a month, lasting 24ish hours at at time.
I'm almost completely positive I have some form of social anxiety, severe dissociation (24/7, aside the few hours I "come back" and am suicidal), and possibly something else (an unrelated personality disorder?) though I'm obviously not a professional so I'm not sure what it is. My parents won't let me see a doctor about any of this because they believe I should just "grow up" and "get over it" etc. I have only mentioned my anxiety, and with that response I'm afraid to say anything else.
Anyway, the only thing that keeps me going is the hope that maybe someday I'll get to be normal. I won't have anything to hide from everyone. I'll be happy.
I don't care about having friends anymore. I don't care what my family thinks anymore. I don't care about my "future" or education anymore. All I want is to be normal. I'd do anything for it.
There's no one I can talk to. I don't have any friends, I left to be homeschooled years ago. I don't have any family, they're all far away and I only see them once every few years. I can't call anyone, I'm never alone and it'd show up on phone records.
I wouldn't want to anyway. I've never said the D-word in my life, not once, I can't even bring myself to type it.
I'm living inside my head, it feels like my only home anymore, and it's so much better to see things through fog and from a distance than to want to die all the time. If only I could control it, I'd never come down.
It sucks, really, to be in this position. So close to accepting death yet still hanging onto the tiny little piece of hope I have left. I sort of wish it'd go away so I could be done with this.
Idk, I can feel myself start to dissociate again, I just want to know when it'll get better. If it will at all.
Like, what are the chances of not having this particular issue anymore? Not the mental stuff, the other thing.</t>
        </is>
      </c>
      <c r="D2172" t="n">
        <v>30</v>
      </c>
      <c r="E2172" t="n">
        <v>23</v>
      </c>
      <c r="F2172">
        <f>HYPERLINK("https://www.reddit.com/r/diabetes/comments/4qytis/when_does_it_get_better/")</f>
        <v/>
      </c>
      <c r="G2172" t="inlineStr">
        <is>
          <t>2016-07-02 13:14:28</t>
        </is>
      </c>
      <c r="H2172" t="inlineStr">
        <is>
          <t>Type 1</t>
        </is>
      </c>
    </row>
    <row r="2173">
      <c r="A2173" t="inlineStr">
        <is>
          <t>4qzi4t</t>
        </is>
      </c>
      <c r="B2173" t="inlineStr">
        <is>
          <t>Emotional up/downs</t>
        </is>
      </c>
      <c r="C2173" t="inlineStr">
        <is>
          <t xml:space="preserve">I have gone through a couple of posts related to this issue but couldn't find something so similar to my problem.
I met my boyfriend 3 months ago and he has type-1 diabetes. For the last month I moved to his house and we started to live together. There are many issues that I'm not so sure if it's related to his personality or it's a result of changing BG levels.
He is extremely untidy and leaves everything dirty. He doesn't care about anything and takes no responsibility. He acts like a child, never responds his text messages or calls. Well if he is in good mood, he can pick up the phone. His mood changes so much during the day. I really don't know how to approach him. His mood is so unstable. He can be so nice, patient, responsible and caring, then, within a couple of hours later he acts like the opposite. I also don't know whether having so much mood swings every hour is something normal because I haven't met anyone who has diabetes before. 
The thing is I have bulimia for 4 years and it's getting worse. I tried to get help by trying a couple of eating disorder centers but none helped. The help they offered was so superficial. So, anyways, I myself have a lot of mood swings even worse than him but he doesn't know anything about my eating disorder, and I'm not yet ready to share my problem with him. So, trying to be calm and keep my sanity under such crisis is so difficult and I really don't know how to live with a person who has diabetes. I really feel exhausted for trying to keep both my and his mood stable. It's a very heavy responsibility for me because I'm also full time working, and my job is so stressful but I need this job so I cannot quit. 
I feel like I'm stuck in the middle. I can be selfish and leave him desperately and go away but I don't want to do this. I'd be very very appreciated if any of you can give a little advice to me.  </t>
        </is>
      </c>
      <c r="D2173" t="n">
        <v>6</v>
      </c>
      <c r="E2173" t="n">
        <v>11</v>
      </c>
      <c r="F2173">
        <f>HYPERLINK("https://www.reddit.com/r/diabetes/comments/4qzi4t/emotional_updowns/")</f>
        <v/>
      </c>
      <c r="G2173" t="inlineStr">
        <is>
          <t>2016-07-02 16:05:59</t>
        </is>
      </c>
      <c r="H2173" t="inlineStr">
        <is>
          <t>Type 1</t>
        </is>
      </c>
    </row>
    <row r="2174">
      <c r="A2174" t="inlineStr">
        <is>
          <t>4r0bje</t>
        </is>
      </c>
      <c r="B2174" t="inlineStr">
        <is>
          <t>Not eating enough</t>
        </is>
      </c>
      <c r="C2174" t="inlineStr">
        <is>
          <t xml:space="preserve">So, I just became aware that there's no way I'm eating enough. I'm actually almost positive that I'm sitting on less than 1,000 calories some days.
My normal foods consist of
**Green Beans:** 40 calories for the whole bowl
**Cabbage:** 30 calories in the whole can
**Some form of meat:** calories vary
**Peanuts/peanut butter:** Probably the only high calorie food I eat, and it's probably saving my butt right now.
I noticed when I went to the doctor yesterday and noticed that I had lost weight. I was 161lb, now I'm 154lb.
Any advice? It's not like I can just start eating the watermelon, beagles, and TV dinners that are currently sitting in the freezer. I wouldn't touch that stuff with a 49½ft. insulin needle.
</t>
        </is>
      </c>
      <c r="D2174" t="n">
        <v>2</v>
      </c>
      <c r="E2174" t="n">
        <v>23</v>
      </c>
      <c r="F2174">
        <f>HYPERLINK("https://www.reddit.com/r/diabetes/comments/4r0bje/not_eating_enough/")</f>
        <v/>
      </c>
      <c r="G2174" t="inlineStr">
        <is>
          <t>2016-07-02 19:55:31</t>
        </is>
      </c>
      <c r="H2174" t="inlineStr">
        <is>
          <t>Type 2</t>
        </is>
      </c>
    </row>
    <row r="2175">
      <c r="A2175" t="inlineStr">
        <is>
          <t>4r0gag</t>
        </is>
      </c>
      <c r="B2175" t="inlineStr">
        <is>
          <t>So my girlfriend has type 1</t>
        </is>
      </c>
      <c r="C2175" t="inlineStr">
        <is>
          <t xml:space="preserve">We've been dating a few months now. She was diagnosed when she was about 9-10. I want to know everything I might need to know. What can I do to help her? What should I read that might help? Anything no matter how insignificant it might be I want to know </t>
        </is>
      </c>
      <c r="D2175" t="n">
        <v>3</v>
      </c>
      <c r="E2175" t="n">
        <v>8</v>
      </c>
      <c r="F2175">
        <f>HYPERLINK("https://www.reddit.com/r/diabetes/comments/4r0gag/so_my_girlfriend_has_type_1/")</f>
        <v/>
      </c>
      <c r="G2175" t="inlineStr">
        <is>
          <t>2016-07-02 20:35:13</t>
        </is>
      </c>
      <c r="H2175" t="inlineStr">
        <is>
          <t>Type 1</t>
        </is>
      </c>
    </row>
    <row r="2176">
      <c r="A2176" t="inlineStr">
        <is>
          <t>4r0pz8</t>
        </is>
      </c>
      <c r="B2176" t="inlineStr">
        <is>
          <t>BG 21.6, Ketones 0.2, any need for worry?</t>
        </is>
      </c>
      <c r="C2176" t="inlineStr">
        <is>
          <t>Newly diagnosed t1 diabetic. Have no idea what I'm doing at all.
My BG levels are all over the place. On 16u Lantus once daily and 5u novorapid with each meal.
Had a dose of novorapid with lunch about 3 hours ago and my BG went up to 24.4.
Got worried that 5u wasn't enough so I took another dose along with some peanuts. Monitoring for hypo currently but BG is still up.
Did I screw up? Ketones have been known to go up to 2.4 when I have high BG.
Need help pls, thought I was making the right moves eating healthier but can't get my BG to go down for any extended periods of time.</t>
        </is>
      </c>
      <c r="D2176" t="n">
        <v>5</v>
      </c>
      <c r="E2176" t="n">
        <v>6</v>
      </c>
      <c r="F2176">
        <f>HYPERLINK("https://www.reddit.com/r/diabetes/comments/4r0pz8/bg_216_ketones_02_any_need_for_worry/")</f>
        <v/>
      </c>
      <c r="G2176" t="inlineStr">
        <is>
          <t>2016-07-02 21:59:22</t>
        </is>
      </c>
      <c r="H2176" t="inlineStr">
        <is>
          <t>Type 1</t>
        </is>
      </c>
    </row>
    <row r="2177">
      <c r="A2177" t="inlineStr">
        <is>
          <t>4r2d7k</t>
        </is>
      </c>
      <c r="B2177" t="inlineStr">
        <is>
          <t>I hate diabetes</t>
        </is>
      </c>
      <c r="C2177" t="inlineStr">
        <is>
          <t>Been running high all morning even with adjustments.</t>
        </is>
      </c>
      <c r="D2177" t="n">
        <v>5</v>
      </c>
      <c r="E2177" t="n">
        <v>12</v>
      </c>
      <c r="F2177">
        <f>HYPERLINK("https://www.reddit.com/r/diabetes/comments/4r2d7k/i_hate_diabetes/")</f>
        <v/>
      </c>
      <c r="G2177" t="inlineStr">
        <is>
          <t>2016-07-03 08:12:20</t>
        </is>
      </c>
      <c r="H2177" t="inlineStr">
        <is>
          <t>Type 1</t>
        </is>
      </c>
    </row>
    <row r="2178">
      <c r="A2178" t="inlineStr">
        <is>
          <t>4r59uz</t>
        </is>
      </c>
      <c r="B2178" t="inlineStr">
        <is>
          <t>Stupid questions. Sugars at 33 (500+, I think).</t>
        </is>
      </c>
      <c r="C2178" t="inlineStr">
        <is>
          <t xml:space="preserve">Please no judgement. We have a lot on our plate, and it's been hard to take care of his BG. Husband's BG was up to 30 earlier after eating. He took some insulin (his fast-acting and long acting stuff) and somehow this BG is up to 33 (after an hour) instead of going down. He's supposedly type 2. 
He's not feeling sick or off at all, but I'm still worried. </t>
        </is>
      </c>
      <c r="D2178" t="n">
        <v>3</v>
      </c>
      <c r="E2178" t="n">
        <v>11</v>
      </c>
      <c r="F2178">
        <f>HYPERLINK("https://www.reddit.com/r/diabetes/comments/4r59uz/stupid_questions_sugars_at_33_500_i_think/")</f>
        <v/>
      </c>
      <c r="G2178" t="inlineStr">
        <is>
          <t>2016-07-03 20:15:20</t>
        </is>
      </c>
      <c r="H2178" t="inlineStr">
        <is>
          <t>Type 2</t>
        </is>
      </c>
    </row>
    <row r="2179">
      <c r="A2179" t="inlineStr">
        <is>
          <t>4r92ji</t>
        </is>
      </c>
      <c r="B2179" t="inlineStr">
        <is>
          <t>toddler sister (1 1/2yo) just diagnosed with DM type 1, any tips?</t>
        </is>
      </c>
      <c r="C2179" t="inlineStr">
        <is>
          <t>Hi all, 
im just trying to collect a bunch of tips that ill be able to give to my family who have just received the diagnosis. Her father has DM1 as well so we have some of the basics but need something specific for toddlers.
So far people have kindly recommended to look into a medical dog. I was wondering how people have found that?
EDIT: thank you so much for all the replies and PM's! I probably shouldve mentionned we're in the UK so some things may be free or difficult to get hold of</t>
        </is>
      </c>
      <c r="D2179" t="n">
        <v>7</v>
      </c>
      <c r="E2179" t="n">
        <v>19</v>
      </c>
      <c r="F2179">
        <f>HYPERLINK("https://www.reddit.com/r/diabetes/comments/4r92ji/toddler_sister_1_12yo_just_diagnosed_with_dm_type/")</f>
        <v/>
      </c>
      <c r="G2179" t="inlineStr">
        <is>
          <t>2016-07-04 13:19:50</t>
        </is>
      </c>
      <c r="H2179" t="inlineStr">
        <is>
          <t>Type 1</t>
        </is>
      </c>
    </row>
    <row r="2180">
      <c r="A2180" t="inlineStr">
        <is>
          <t>4ra135</t>
        </is>
      </c>
      <c r="B2180" t="inlineStr">
        <is>
          <t>Working out and building muscle, and working towards a generally more active and healthy lifestyle for a 53M with type II diabetes.</t>
        </is>
      </c>
      <c r="C2180" t="inlineStr">
        <is>
          <t>Hi everyone, my uncle is a 53 y/o male who was diagnosed with Type II diabetes 3~4 years ago. He's a pack-a-day smoker, drinks, and does not look to be in a mindset of quitting any time soon.
I will be visiting him in a couple weeks, and I want to do everything in my power to help him lead a better, more active, and more healthy lifestyle. I've given much thought into how I can try to frame his mentality so that he may want to quit drinking/smoking on his own. But in addition, I also want to teach him to exercise so that he can start being active on a day-to-day basis.
His current fitness level is very low. He can't even climb a few lights of stairs without panting at the end. While I'm personally an avid gym-goer and exercise almost everyday, I feel at a loss when considering his conditions and how I can get him started on taking steps towards exercising to improve his health and fitness overall.
For example, if I were to advise a friend who's more sedentary, I'd start by introducing him to a consistent schedule, maybe 3~4x of 20~30min exercises per week. I'd tell him to find a healthy balance/mix of strength and cardio. And I would go to the gym to show him how to do the former (I don't personally do as much cardio, I do flexibility instead). 
But when I consider helping my uncle, I'm very concerned that his conditions add a layer of consideration and risk while exercising. For example, what if he exercises and has low blood-sugar because he had just taken his insulin shot post-meal. Should he exercises before or after a meal? When is the best time for him to exercise? Does the type of exercise (strength vs cardio) factor into how he should preload or manage his blood-sugar before hand? These are just a few of the questions I've had, and I'm sure someone with more experience in this matter will know of a lot more pitfalls in the process.
Finally, I also want my uncle to build muscle over time, as I'm sure there are health benefits and protective effects of a higher muscle-to-body mass ratio. I wonder how he might build muscle considering his condition, and whether post-workout nutrition and protein supplements would be recommended, as well as how they should be taken, if any. 
Eventually I hope he can adopt these changes into his mentality so that even after I stop visiting him, he will continue exercising and living a healthy lifestyle. This is more of a social/inter-personal relationship/philosophical discussion, and I've put a lot of thought into this as well. If you guys have any advice along this dimension, please don't hold them back either.
I hope I was able to clarify my goals with you guys, and if you have any questions please let me know here. Thank you for your time.</t>
        </is>
      </c>
      <c r="D2180" t="n">
        <v>0</v>
      </c>
      <c r="E2180" t="n">
        <v>2</v>
      </c>
      <c r="F2180">
        <f>HYPERLINK("https://www.reddit.com/r/diabetes/comments/4ra135/working_out_and_building_muscle_and_working/")</f>
        <v/>
      </c>
      <c r="G2180" t="inlineStr">
        <is>
          <t>2016-07-04 17:10:24</t>
        </is>
      </c>
      <c r="H2180" t="inlineStr">
        <is>
          <t>Type 2</t>
        </is>
      </c>
    </row>
    <row r="2181">
      <c r="A2181" t="inlineStr">
        <is>
          <t>4ramoh</t>
        </is>
      </c>
      <c r="B2181" t="inlineStr">
        <is>
          <t>So I've just found out I'm Type 2, What have I got to look forward to?</t>
        </is>
      </c>
      <c r="C2181" t="inlineStr">
        <is>
          <t>I'm already an amputee from a road accident, I've had the symptoms for around 4 years but the peeing during the night was getting ridiculous so finally went to see the doc. I'm extremely active, I work 12 hr days, 6 days a week running two businesses, I don't sleep much,  spend my nights gambling online and smoking weed (I smoke 3 - 5 cigarettes a day too) . I'm 40 yrs old,  6“3 &amp;amp; 180lbs.</t>
        </is>
      </c>
      <c r="D2181" t="n">
        <v>2</v>
      </c>
      <c r="E2181" t="n">
        <v>9</v>
      </c>
      <c r="F2181">
        <f>HYPERLINK("https://www.reddit.com/r/diabetes/comments/4ramoh/so_ive_just_found_out_im_type_2_what_have_i_got/")</f>
        <v/>
      </c>
      <c r="G2181" t="inlineStr">
        <is>
          <t>2016-07-04 19:53:11</t>
        </is>
      </c>
      <c r="H2181" t="inlineStr">
        <is>
          <t>Type 2</t>
        </is>
      </c>
    </row>
    <row r="2182">
      <c r="A2182" t="inlineStr">
        <is>
          <t>4rax7y</t>
        </is>
      </c>
      <c r="B2182" t="inlineStr">
        <is>
          <t>Anxiety from eating?</t>
        </is>
      </c>
      <c r="C2182" t="inlineStr">
        <is>
          <t xml:space="preserve">I think I've got a bit of an issue.
Everytime I eat (Unless it's something I know won't spike me) I get this feeling that something wrong. It's like a hyper alert feeling. My heart starts pounding to the point that I can feel every beat, I get this weird feeling in my head that something close to dizzyness but not quite, and I feel the need to just breath.
Pretty sure I just described one of my panic attacks in full.
What just brought this up is that I made a root beer float. (I hear you now. "What the fuck are you doing!? You want to die?")
Relax. Diet A&amp;amp;W and 1/2 cup carbsmart icecream (10g carbs, 4g sugar)
I know for a fact it won't spike me. No one would spike from that.
But, the second I taste it, I start feeling what I described above. And, I mean it. Before I even swallow it. As in, seconds. No way for anything to happen that fast even if I ate a whole cake and a half, yet here I am with a spoon full of ice cream in my mouth with what I'm guessing is a heart rate of at least 105.
Am I actually afraid of eating now? </t>
        </is>
      </c>
      <c r="D2182" t="n">
        <v>13</v>
      </c>
      <c r="E2182" t="n">
        <v>5</v>
      </c>
      <c r="F2182">
        <f>HYPERLINK("https://www.reddit.com/r/diabetes/comments/4rax7y/anxiety_from_eating/")</f>
        <v/>
      </c>
      <c r="G2182" t="inlineStr">
        <is>
          <t>2016-07-04 21:13:35</t>
        </is>
      </c>
      <c r="H2182" t="inlineStr">
        <is>
          <t>Type 2</t>
        </is>
      </c>
    </row>
    <row r="2183">
      <c r="A2183" t="inlineStr">
        <is>
          <t>4re2f6</t>
        </is>
      </c>
      <c r="B2183" t="inlineStr">
        <is>
          <t>Monistat</t>
        </is>
      </c>
      <c r="C2183" t="inlineStr">
        <is>
          <t>Can diabetics use monistat? I know that we're prone to yeast infections and was just wondering.</t>
        </is>
      </c>
      <c r="D2183" t="n">
        <v>2</v>
      </c>
      <c r="E2183" t="n">
        <v>7</v>
      </c>
      <c r="F2183">
        <f>HYPERLINK("https://www.reddit.com/r/diabetes/comments/4re2f6/monistat/")</f>
        <v/>
      </c>
      <c r="G2183" t="inlineStr">
        <is>
          <t>2016-07-05 11:17:13</t>
        </is>
      </c>
      <c r="H2183" t="inlineStr">
        <is>
          <t>Type 1</t>
        </is>
      </c>
    </row>
    <row r="2184">
      <c r="A2184" t="inlineStr">
        <is>
          <t>4re61t</t>
        </is>
      </c>
      <c r="B2184" t="inlineStr">
        <is>
          <t>LADA Honeymoon Period: How long did yours last and when did you notice it was over?</t>
        </is>
      </c>
      <c r="C2184" t="inlineStr">
        <is>
          <t xml:space="preserve">I'd like to know about others' personal experiences with their "Honeymoon" period. How long did it last? When did you notice it ending? Was it gradual or sudden? </t>
        </is>
      </c>
      <c r="D2184" t="n">
        <v>10</v>
      </c>
      <c r="E2184" t="n">
        <v>20</v>
      </c>
      <c r="F2184">
        <f>HYPERLINK("https://www.reddit.com/r/diabetes/comments/4re61t/lada_honeymoon_period_how_long_did_yours_last_and/")</f>
        <v/>
      </c>
      <c r="G2184" t="inlineStr">
        <is>
          <t>2016-07-05 11:38:22</t>
        </is>
      </c>
      <c r="H2184" t="inlineStr">
        <is>
          <t>Type 1.5/LADA</t>
        </is>
      </c>
    </row>
    <row r="2185">
      <c r="A2185" t="inlineStr">
        <is>
          <t>4ri1nk</t>
        </is>
      </c>
      <c r="B2185" t="inlineStr">
        <is>
          <t>MDI people: How do you manage morning insulin resistance and highs?</t>
        </is>
      </c>
      <c r="C2185" t="inlineStr">
        <is>
          <t>Long story short; my BG starts rising around 5AM - 6AM every morning, and it
goes all the way up to 300s until it's 8AM. Also, my insulin resistance is so
crazy until noon, I need amounts that I take for 40-50gr carbs if I wake up at
7:30AM and try to correct.
Now, I said "every morning" but of course there are exceptions, and to make
things easier on my in those exceptional days, ideally I'd also have a CGM, so
that if I'm, for some random reason, not having my usual crazy insulin
resistance, the CGM would catch it before it's too late and I'm already in 30s
and asleep.
So I'm wondering how are people with similar crazy insulin resistance and on
MDI handling this. Any tips/tricks? Anything to do/avoid that helps with
morning insulin resistance? Waking up at 5AM every day is painful..
(and yes, I don't eat breakfast unless it's absolutely-0 carb)
Thanks.</t>
        </is>
      </c>
      <c r="D2185" t="n">
        <v>3</v>
      </c>
      <c r="E2185" t="n">
        <v>10</v>
      </c>
      <c r="F2185">
        <f>HYPERLINK("https://www.reddit.com/r/diabetes/comments/4ri1nk/mdi_people_how_do_you_manage_morning_insulin/")</f>
        <v/>
      </c>
      <c r="G2185" t="inlineStr">
        <is>
          <t>2016-07-06 04:31:28</t>
        </is>
      </c>
      <c r="H2185" t="inlineStr">
        <is>
          <t>Type 1</t>
        </is>
      </c>
    </row>
    <row r="2186">
      <c r="A2186" t="inlineStr">
        <is>
          <t>4rj3we</t>
        </is>
      </c>
      <c r="B2186" t="inlineStr">
        <is>
          <t>Type 1 My Diabetic Story</t>
        </is>
      </c>
      <c r="C2186" t="inlineStr">
        <is>
          <t xml:space="preserve">This is my first post on Reddit and I wanted to share my story with other newly diagnosed people so here goes nothing.
(Please excuse my spelling and grammar. English is not my native language, I just wanted to get my story out there)
As the summer of 2015 approached I was busy studying for my finals as it was 3 weeks ahead of me. I got hit with a pretty bad flu which had me in bed for 3 days. I decided to go to a private doctor I had occasionally visited from time to time. The doctor I usually went out to see was busy that day so I agreed to see another doctor who worked at the clinic. He looked at me and checked, whatever doctors do to check on their patients. Then he prescribed me Amoxil Antibiotic. After using Amoxil for 3 days straight. I started experiencing intense pain in my joints and an extreme itch on my body that gradually became worse. I had to inform my parents about this and as my Mum took a look at list of the medication I'm allergic to, she noticed that it can have some difficulties with G6PD (Forgot to mention that I have G6PD). My dad instantly contacted our family doctor and the doctor suggested that we rush out to the hospital. There I was injected with cortisone and was okay to go back home. A day later the itch has left me but my joint pain was still present. My parents and I rushed back to the hospital and took another shot of cortisone. With the pain still present after my 2nd shot of cortisone, the hospital decided to inject me with another dose of cortisone. That same day my joint pain has completely left my body and I went to school the next day just fine. 
As School finally ended, The Holy Month of Ramadan started in our country. Basically the idea of Ramadan is to fast from Dawn to Sunset everyday for 30 days. So this was my 2nd year fasting. I got the month pretty easily. As soon as Ramadan ended, our family decided to take a trip to London. As soon as we landed there I passed straight out on my bed and woke up the next day with the EXTREME need to urinate. I got up and rushed to the bathroom emptying myself. I did not speak to my family about it as it didn't come off to a concern to myself unfortunately. That day we got up and decided to take a visit to Harrods, I was standing there that morning watching my family shop as I suddenly got that urge to urinate myself once again. I felt I couldn't hold myself and I was suddenly a 5 year old again. I immediately asked my mum to return back to our hotel room. We went back to the hotel room and as I closed the door behind me after using the restroom, I just got hit with this massive headache and intense sweat down my body, although the room temperature was cold for me. Until this point i was too scared of what was happening to me that at the time i just didn't want to scare my family. Through out our 21 day stay at London, my personality changed from a cheerful kid that always laughed and joked around to a person so depressing and sad. I got hit with mod swings and i started beating on my siblings out of no reason. I would get very emotional and cry out of rage in public for no reason. Even my family thought there was something very strange about me because I'm not usually a person who acts like this. We got back to our home country and I started out at this new school. Once i started school I started experiencing no sleep at all in the night. I would frequently urinate and drink massive amounts of water. At this point I informed my parents and we Immediately rushed out to our Family doctor. The doctor looked at me and asked me question like how many times do i drink water per day and I informed him that i drink around 15-16 bottles each day. I also informed him that I used to drink little to no water at all and this sudden change is frightening me. The doctor just told us that its because my body is "growing" (giggity) and that this would fade off pretty soon. For the duration of the next 3 I used to come back to school and pass-out for hours and completely neglect my school homework. I drank alot of water and had no food. I used to shake a lot and i used to sweat like a big. Forgot to mention that the doctor also requested to take blood tests immediately. In  days after the blood test I had just gotten back from taking my younger brother shopping for Nerf toys. I came back as my friends were coming over i sat down with them as I had my lunch. My mum told me to rush with my food and get into the car asap. I left my friends alone at my house and went to the Emergency with my mum. As I was leaving the house my family were all sat down looking at me funny with sympathy in their eyes. I went to the hospital as they tested my sugar and it was at 400 mg/dL. The doctor over there requested an A1c test and it came in at 9.1. At that time I had no idea what was going on and i thought that my blood sugar levels were normal. I spent the next 3 days in the hospital taken care of. I was taught how to inject myself, what are carbs, how to inject myself and carb counting. I was basically taught the basics of how to take care of myself. That was September 29 of 2015. At the month of January I was introduced to the Medtronic Insulin Pump and CGM. Looking back at it i realized that being diagnosed with diabetes is the best thing that happened to me as it forced me to take a different perspective on life and the way I could benefit from this diagnosis. I will continue to share my experiences of ups and lows. I always welcome question about diabetes :)
Current level of A1c : 5.6
</t>
        </is>
      </c>
      <c r="D2186" t="n">
        <v>16</v>
      </c>
      <c r="E2186" t="n">
        <v>14</v>
      </c>
      <c r="F2186">
        <f>HYPERLINK("https://www.reddit.com/r/diabetes/comments/4rj3we/type_1_my_diabetic_story/")</f>
        <v/>
      </c>
      <c r="G2186" t="inlineStr">
        <is>
          <t>2016-07-06 08:46:32</t>
        </is>
      </c>
      <c r="H2186" t="inlineStr">
        <is>
          <t>Type 1</t>
        </is>
      </c>
    </row>
    <row r="2187">
      <c r="A2187" t="inlineStr">
        <is>
          <t>4rld5s</t>
        </is>
      </c>
      <c r="B2187" t="inlineStr">
        <is>
          <t>Pen vs. Pump?</t>
        </is>
      </c>
      <c r="C2187" t="inlineStr">
        <is>
          <t>New(ish, used a few years ago and back now) to Reddit, so I think I might be a second time poster. :)
I'm 32, female, T1 for 22 years and have never used a pump. Up until about 3 months ago, I was still using a vial and syringe. Now I'm using pens and they are so much better. BUT, I feel like I'm strange for not using a pump having been T1 for so long. 
A little background: my father (55-diagnosed T1 at age 27), brothers (30-diagnosed T1 at age 2, and 22-diagnosed T1 at age 10), uncles (43-diagnosed T1 at age 37, and 51-diagnosed T1 at age 29), and grandfather (deceased @ age 80-diagnosed at age 67 as T1). Other than my family needing to go for some crazy testing (haha), only myself and my youngest brother (22) do not use a pump. The older of my brothers (30) has a pump and has had one for years, but when he first got it (about 8-9 years ago, and the first of my family to do so), he had SO many problems with it that I think it scared me out of using one. I was, however, the first in my family to use a Dexcom and I love that. 
For anyone that's gone from pens/vials to a pump; what would you say you like most about having a pump? Like least? Thanks in advance!</t>
        </is>
      </c>
      <c r="D2187" t="n">
        <v>5</v>
      </c>
      <c r="E2187" t="n">
        <v>25</v>
      </c>
      <c r="F2187">
        <f>HYPERLINK("https://www.reddit.com/r/diabetes/comments/4rld5s/pen_vs_pump/")</f>
        <v/>
      </c>
      <c r="G2187" t="inlineStr">
        <is>
          <t>2016-07-06 16:15:35</t>
        </is>
      </c>
      <c r="H2187" t="inlineStr">
        <is>
          <t>Type 1</t>
        </is>
      </c>
    </row>
    <row r="2188">
      <c r="A2188" t="inlineStr">
        <is>
          <t>4rlp0h</t>
        </is>
      </c>
      <c r="B2188" t="inlineStr">
        <is>
          <t>Between Type 2 and ARFID, I'm at a total loss. Wall of text inside, but I need to get this out of my system.</t>
        </is>
      </c>
      <c r="C2188" t="inlineStr">
        <is>
          <t xml:space="preserve">For the uninformed (almost everyone presumably), ARFID stands for Avoidant/Restrictive Food Intake Disorder. It is a (presumably psychological) disorder that was was first recognised in the 5th revision of the DSM. People who deal with ARFID are often limited to a short list of 'safe foods' and face extreme anxiety (and accompanying physical effects) when faced with even the possibility of having to eat foods not on their safe list. It varies from person to person, but bland, carb heavy foods seem to comprise the majority of safe foods for many people. 
Personally, I seem to have an incredibly severe case of it, with my safe food list being incredibly short and consisting almost entirely of fries. Things I can eat without issue include french fries, bread and cheese or butter, cheese pizza, most cereals, nuts, some fruits and other occasional stuff. Now, I'm sure all of you can see the issue here. But, I would like to point out that I *cannot* eat other carb heavy foods like rice, any form or pasta or even any form of potato that isn't french fries. To give you an idea of just how insane this disorder is, I was entirely unable to eat a potato dish where potato chunks are seasoned and baked (despite eating baked fries, for reference). The only difference was the shape of the potato, as I learnt when I was eventually forced to eat it*. Despite knowing that (and having confirmed it), I am still unable to eat that dish without great effort on my part. So, just try to imagine how difficult it would be for me to eat something like meat or beans.
But, I was recently diagnosed** as Type 2 (not surprising, considering my diet + prevalence of diabetes on both sides of my family + my obesity). Since then, I've struggled with what to eat. I've severely cut back on my cart count, to the point where I'm getting between 100g and 125g of carbs per day, but that's not low enough and I'm at a loss. Between ARFID and diabetes, the list of things I can safely eat includes just two things: cheese and nuts. And, considering my obesity and genetic predisposition to heart disease, cheese is questionable as well. I've tried to eat more of both, but I don't think I can make both my entire diet. 
Overall, I'm just at a loss. I struggle with mental health issues in general (also hereditary....is anyone seeing a pattern?) and was experiencing really bad anxiety leading up to my diagnosis*, which was only worsened afterwards with a constant worry about my sugar and potential damage to my body. But, I've noticed something else starting to take root, and that's a total aversion to eating. I can't even think about eating without feeling sick and either feeling to harm or even kill myself. And when I do eat, I feel like I'm drowning in self-loathing over it. When I think about eating things from my list of safe foods, I feel that way because of knowing what it'll do to my sugar and when I think about eating something else, I feel like killing myself rather than deal with the crippling anxiety that comes with that. 
I've started to think that the most logical solution for me is simply to just not eat... I'm not sure what else to do. I just don't know. Today was a large (and food-focussed) holiday in my culture and I already struggle with it because of the social aspect of ARFID and the isolation I feel from not being able to eat the same things as everyone else, but this year I also felt incredibly guilty about the things that I did eat until it got to the point where I just didn't eat in the afternoon/evening and everyone was pestering me about not starving myself. I just...don't know what to do.
Don't get me wrong, I know the answer. I know that I should just cut out the carbs and replace them with meat and veggies, but, I don't think I could do that. Suicide would be preferable. Trying to do that would make my life an anxiety ridden hell, where I would spend every minute dreading my next meal. I'll end up just throwing it out rather than eating it. 
My problem seems to be that I can cut things out, but I can't replace them with anything and I can only go hungry for so long. I can do other things correctly like exercise (starting soon, now that the month of fasting for muslims has ended), but that's not enough, even with metformin and glimepiride. 
I'm just at a loss at how I can deal with this and suicide*** is starting to seem like a more and more reasonable decision with every passing day. 
\* what makes my ARFID particularly difficult was how my parents dealt with it. They only ever learnt force from their parents, so I would be forced to eat things and often beaten (once or twice violently) if I refused. As a result, I think that an additional psychological layer formed there on top of whatever causes ARFID and I will likely never be able to eat the things I was forced to eat. It includes some vegetables and beans and stuff largely, along with stuff like rice that I couldn't care to eat anyway. I may have more luck with things I was never forced to eat, but the social aspect means that I still wouldn't ever be able to eat these things around others. So until I move out and have my own place, I am limited in my ability to try expanding my diet. Or rather, it's significantly harder.
** technically speaking, I met a diagnostic criteria for Type 2 in 2012 during an unrelated hospital visit, but was later diagnosed with prediabetes/IGT after a tolerance test. Things seemed okay for a while, but in December I was alerted by my doctor that it had progressed but I was in the middle of some life changes and only recently had the chance to stop and start dealing with this.
*** by suicide, I likely mean a sort of 'fuck it, I'll just eat what I want and then kill myself once I start getting organ damage from diabetes' approach rather than a 'kill myself now' approach. I don't think I'd opt for that unless something else happened. 
----------------------------
Here's what the rational part of me has to say:
Logically speaking, I do have a plan, I just don't think it'll work out for me. I haven't been able to adjust my diet or exercise much since my diagnosis because of the restrictions placed on me by the month of fasting observed by my religion. That's over now though, and I'll be trying to see what I can do. In addition to an exercise regiment that I genuinely hope I will stick to once I get back to university in August, I have prepared a list of some foods I might be able to eat: 
* Greek Yogurt
* Oatmeal (mornings are hard on my blood sugar, so I'm not sure about this one but I hope it works out)
As well as increasing my use of nuts and cheese as snacks and just calories in general. I've been eating about ~1200 calories a day and been dropping weight quickly (good, but I'm worried I'm doing so in an unsafe fashion). I started 2 mg glimepiride and 500 mg metformin once per day and my fasting blood glucose levels are now consistently &amp;lt;100 with no exercise or major diet changes. 
My post meal spikes concern me though. At dinner (or lunch, I usually combine the two), I may eat 50g of carbs in fries and spike to ~190 and then come down to ~120 between 120 to 180 minutes post eating. I'm not satisfied by this, but if I cut out the fries from my diet I will eat less than 1000 or even less than 800 calories per day and I don't think I can function on that few calories. As I discussed above, my problem is largely replacing it with something that isn't carbs. 
Prior to medication I was seeing fastings of about ~140 and post meals of &amp;gt;300. My doctor said that I seem to mostly be insulin resistant rather than lacking insulin altogether, and I am inclined to agree. Excercise and the accompanying weight loss will help with this, and I can safely increase my daily metformin to 1000 mg since I'm resilient to the side effects. But, even if this does bring me down to manageable levels, I don't know how to approach my diet. I am searching for changes I can make, but the entire situation is just so mentally draining and depressing that I don't know if it's worth it.
Maybe suicide is the answer.
Don't bother linking me to suicidewatch or anything though, I don't have any immediate intentions nor do I believe myself to be inclined to act soon. I have enough rational thought in me yet to see why that's a bad idea. This isn't my first time dealing with these thoughts either, I haven't had them in a long time though. </t>
        </is>
      </c>
      <c r="D2188" t="n">
        <v>5</v>
      </c>
      <c r="E2188" t="n">
        <v>17</v>
      </c>
      <c r="F2188">
        <f>HYPERLINK("https://www.reddit.com/r/diabetes/comments/4rlp0h/between_type_2_and_arfid_im_at_a_total_loss_wall/")</f>
        <v/>
      </c>
      <c r="G2188" t="inlineStr">
        <is>
          <t>2016-07-06 17:29:44</t>
        </is>
      </c>
      <c r="H2188" t="inlineStr">
        <is>
          <t>Type 2</t>
        </is>
      </c>
    </row>
    <row r="2189">
      <c r="A2189" t="inlineStr">
        <is>
          <t>4romyv</t>
        </is>
      </c>
      <c r="B2189" t="inlineStr">
        <is>
          <t>Thanks!</t>
        </is>
      </c>
      <c r="C2189" t="inlineStr">
        <is>
          <t xml:space="preserve">Hey there! Frequent lurker, infrequent poster here. I just wanted to offer up a quick "thank you" to all the helpful folks on this sub. I have gotten so much insight here, especially regarding my T:Slim and Apidra (For me, it didn't work-Humalog fo lyfe!) and in terms of Dexcom longevity. 
I was doing fairly poorly with managing my diabetes since the birth of my daughter (so that 5 years of crappy management I'll cop to), but I feel like I am back on track now. My A1c is down from 8.4 to 7.3 and I KNOW my next will be better than that. So, yeah...thanks! Y'all rock!
</t>
        </is>
      </c>
      <c r="D2189" t="n">
        <v>38</v>
      </c>
      <c r="E2189" t="n">
        <v>1</v>
      </c>
      <c r="F2189">
        <f>HYPERLINK("https://www.reddit.com/r/diabetes/comments/4romyv/thanks/")</f>
        <v/>
      </c>
      <c r="G2189" t="inlineStr">
        <is>
          <t>2016-07-07 06:47:59</t>
        </is>
      </c>
      <c r="H2189" t="inlineStr">
        <is>
          <t>Type 1</t>
        </is>
      </c>
    </row>
    <row r="2190">
      <c r="A2190" t="inlineStr">
        <is>
          <t>4rpkyw</t>
        </is>
      </c>
      <c r="B2190" t="inlineStr">
        <is>
          <t>Can't Afford My Insulin Anymore.... -_-</t>
        </is>
      </c>
      <c r="C2190" t="inlineStr">
        <is>
          <t>We have insurance through my husbands work. But since beginning taking insulin this year, the prescription coverage allotted yearly amount hasn't been enough to cover the costs. I've looked into other secondary plans, but it seems to be only for those uninsured and low income. Not sure what to do or where to go from here. It's very frustrating and cause much worry to me. Any suggestions?</t>
        </is>
      </c>
      <c r="D2190" t="n">
        <v>17</v>
      </c>
      <c r="E2190" t="n">
        <v>55</v>
      </c>
      <c r="F2190">
        <f>HYPERLINK("https://www.reddit.com/r/diabetes/comments/4rpkyw/cant_afford_my_insulin_anymore/")</f>
        <v/>
      </c>
      <c r="G2190" t="inlineStr">
        <is>
          <t>2016-07-07 09:49:43</t>
        </is>
      </c>
      <c r="H2190" t="inlineStr">
        <is>
          <t>Type 2</t>
        </is>
      </c>
    </row>
    <row r="2191">
      <c r="A2191" t="inlineStr">
        <is>
          <t>4rxu8m</t>
        </is>
      </c>
      <c r="B2191" t="inlineStr">
        <is>
          <t>Going low 3-5 hours after eating</t>
        </is>
      </c>
      <c r="C2191" t="inlineStr">
        <is>
          <t>I recently got started with a MiniMed 530G and MiniLink CGM and I keep going low a while after I eat. If it was an hour or two I'd say that my carb ratio is too low, but it's happening a lot longer after that, so I assumed it was my basal. I told my endo I thought my basal was too high but they ignored that and all they did was increase my ratio by 1 unit--and guess what--it's still happening. Am I wrong in thinking it's my basal? If I'm not, should I try lowering it a little bit during the day?
Thank you!</t>
        </is>
      </c>
      <c r="D2191" t="n">
        <v>3</v>
      </c>
      <c r="E2191" t="n">
        <v>10</v>
      </c>
      <c r="F2191">
        <f>HYPERLINK("https://www.reddit.com/r/diabetes/comments/4rxu8m/going_low_35_hours_after_eating/")</f>
        <v/>
      </c>
      <c r="G2191" t="inlineStr">
        <is>
          <t>2016-07-08 17:20:27</t>
        </is>
      </c>
      <c r="H2191" t="inlineStr">
        <is>
          <t>Type 1</t>
        </is>
      </c>
    </row>
    <row r="2192">
      <c r="A2192" t="inlineStr">
        <is>
          <t>4rzzur</t>
        </is>
      </c>
      <c r="B2192" t="inlineStr">
        <is>
          <t>A few questions for T1's</t>
        </is>
      </c>
      <c r="C2192" t="inlineStr">
        <is>
          <t>So I was recently diagnosed with type 1. It's been pretty sucky, a real life changer. Went and saw a dietician a couple of days ago. She asked how long I'd been losing weight (110kg to 56kg), what I felt, blah blah. I told her it'd been 6-7 months since I started losing weight.
She was shocked. Apparently most people are hospitalized within the first few months, but for some reason I was able to go about my days (keep in mind I would drink multiple energy drinks in a day, have coffees with plenty of sugar, eat white bread and pasta without hesitation etc.) without many symptoms.
So I was first off wondering why this could be? I asked another T1 friend how she found out, and she said that she was sent to hospital with a BG lower than mine has been.
Secondly, how long did you other T1's have symptoms for before deciding to get checked out? And what symptoms made you get checked out?</t>
        </is>
      </c>
      <c r="D2192" t="n">
        <v>1</v>
      </c>
      <c r="E2192" t="n">
        <v>11</v>
      </c>
      <c r="F2192">
        <f>HYPERLINK("https://www.reddit.com/r/diabetes/comments/4rzzur/a_few_questions_for_t1s/")</f>
        <v/>
      </c>
      <c r="G2192" t="inlineStr">
        <is>
          <t>2016-07-09 04:49:09</t>
        </is>
      </c>
      <c r="H2192" t="inlineStr">
        <is>
          <t>Type 1</t>
        </is>
      </c>
    </row>
    <row r="2193">
      <c r="A2193" t="inlineStr">
        <is>
          <t>4s1i2h</t>
        </is>
      </c>
      <c r="B2193" t="inlineStr">
        <is>
          <t>Any one else????</t>
        </is>
      </c>
      <c r="C2193" t="inlineStr">
        <is>
          <t xml:space="preserve">Let me introduce my self, My name is Eric and I am a T1, going on 46 years...  Not as well controlled as I should be and it is difficult taking control of things based on my work schedule.   I know what I should be doing and how to do it,  but my job does not allow consistency when it comes to lunch hours and snacks.  My immediate bosses do not seem to be interested in providing me the time/breaks needed to address my eating times.   Is this something I should take to HR????  Or look for a new profession???  Thanks in advance for any input/comments. </t>
        </is>
      </c>
      <c r="D2193" t="n">
        <v>6</v>
      </c>
      <c r="E2193" t="n">
        <v>8</v>
      </c>
      <c r="F2193">
        <f>HYPERLINK("https://www.reddit.com/r/diabetes/comments/4s1i2h/any_one_else/")</f>
        <v/>
      </c>
      <c r="G2193" t="inlineStr">
        <is>
          <t>2016-07-09 11:17:15</t>
        </is>
      </c>
      <c r="H2193" t="inlineStr">
        <is>
          <t>Type 1</t>
        </is>
      </c>
    </row>
    <row r="2194">
      <c r="A2194" t="inlineStr">
        <is>
          <t>4s2d8q</t>
        </is>
      </c>
      <c r="B2194" t="inlineStr">
        <is>
          <t>Do you try and get your blood sugar up when it's lower but within normal range?</t>
        </is>
      </c>
      <c r="C2194" t="inlineStr">
        <is>
          <t>My blood sugar is currently 82 which is in my desired range, but I'm feeling low blood sugar symptoms. Should I try to raise it or suck it up and train my body to be used to it?</t>
        </is>
      </c>
      <c r="D2194" t="n">
        <v>3</v>
      </c>
      <c r="E2194" t="n">
        <v>5</v>
      </c>
      <c r="F2194">
        <f>HYPERLINK("https://www.reddit.com/r/diabetes/comments/4s2d8q/do_you_try_and_get_your_blood_sugar_up_when_its/")</f>
        <v/>
      </c>
      <c r="G2194" t="inlineStr">
        <is>
          <t>2016-07-09 14:29:55</t>
        </is>
      </c>
      <c r="H2194" t="inlineStr">
        <is>
          <t>Type 1</t>
        </is>
      </c>
    </row>
    <row r="2195">
      <c r="A2195" t="inlineStr">
        <is>
          <t>4s2zjy</t>
        </is>
      </c>
      <c r="B2195" t="inlineStr">
        <is>
          <t>"Micro" testing (Question about testing)</t>
        </is>
      </c>
      <c r="C2195" t="inlineStr">
        <is>
          <t>I am learning a lot about how to monitor BG and I'm trying to take careful note of my postprandial reactions to minimize/eliminate any spiking. 
Ideally, I'd never have any sort of significant spike and I'm trying to tailor my diet to meet that requirement. 
However, much of the advice about testing says to simply find your spike times and measure then. What about blood sugar rises very soon after eating, though (in the neighborhood of 10 to 40 minutes after eating)?
For example, I know even non diabetics will have moderate blood sugar spikes after meals (up to ~120ish). Should I be concerned about any spikes that occur within the first 45 minutes? What if my highest blood sugar reading is obtained sometime within the first hour or even the first 20 minutes or so? Is that value more important than the 1 hour/2 hour values (assuming they are lower)?
Sorry for the rambling, but I'm trying to figure out how to optimize the post meal testing and any help would be appreciated.</t>
        </is>
      </c>
      <c r="D2195" t="n">
        <v>8</v>
      </c>
      <c r="E2195" t="n">
        <v>4</v>
      </c>
      <c r="F2195">
        <f>HYPERLINK("https://www.reddit.com/r/diabetes/comments/4s2zjy/micro_testing_question_about_testing/")</f>
        <v/>
      </c>
      <c r="G2195" t="inlineStr">
        <is>
          <t>2016-07-09 16:55:17</t>
        </is>
      </c>
      <c r="H2195" t="inlineStr">
        <is>
          <t>Type 2</t>
        </is>
      </c>
    </row>
    <row r="2196">
      <c r="A2196" t="inlineStr">
        <is>
          <t>4s31qf</t>
        </is>
      </c>
      <c r="B2196" t="inlineStr">
        <is>
          <t>Type 2: Victoza, anyone?</t>
        </is>
      </c>
      <c r="C2196" t="inlineStr">
        <is>
          <t xml:space="preserve">I've been lurking on this this subreddit for a while and figured I'd finally post. I was diagnosed last year with type 2. I'm 32 years old and overweight. I began with 500 mg Metformin 2x/day, but it didn't control things much. I've lost 30 pounds and need to lose about 30-40 more. My doctor prescribed Victoza (in addition to increasing the Metformin to 1000 mg 2x/day) a few weeks ago. It's an injection that I take every morning. So far the only side effects I've experienced have been loss of appetite (yay!) and some upset stomach. I've lost 8 pounds in 3 weeks. Has anyone else had similar results with Victoza? If you were able to lose weight, were you able to keep it off? Were you eventually able to quit using the Victoza? My last a1c (a month ago) was 9.2 and I'm supposed to get it checked again in a couple months. Any info is appreciated. </t>
        </is>
      </c>
      <c r="D2196" t="n">
        <v>2</v>
      </c>
      <c r="E2196" t="n">
        <v>18</v>
      </c>
      <c r="F2196">
        <f>HYPERLINK("https://www.reddit.com/r/diabetes/comments/4s31qf/type_2_victoza_anyone/")</f>
        <v/>
      </c>
      <c r="G2196" t="inlineStr">
        <is>
          <t>2016-07-09 17:10:34</t>
        </is>
      </c>
      <c r="H2196" t="inlineStr">
        <is>
          <t>Type 2</t>
        </is>
      </c>
    </row>
    <row r="2197">
      <c r="A2197" t="inlineStr">
        <is>
          <t>4sa3zv</t>
        </is>
      </c>
      <c r="B2197" t="inlineStr">
        <is>
          <t>Take Metformin without food?</t>
        </is>
      </c>
      <c r="C2197" t="inlineStr">
        <is>
          <t>I'm going to be honest, I just don't feel like eating right now, and it's 5:40AM. I want sleep.
Can I just take my Metformin without food? I know it says to take it with a meal, but I'm just not hungry right now and would rather put up with the runs.</t>
        </is>
      </c>
      <c r="D2197" t="n">
        <v>2</v>
      </c>
      <c r="E2197" t="n">
        <v>6</v>
      </c>
      <c r="F2197">
        <f>HYPERLINK("https://www.reddit.com/r/diabetes/comments/4sa3zv/take_metformin_without_food/")</f>
        <v/>
      </c>
      <c r="G2197" t="inlineStr">
        <is>
          <t>2016-07-11 02:40:35</t>
        </is>
      </c>
      <c r="H2197" t="inlineStr">
        <is>
          <t>Type 2</t>
        </is>
      </c>
    </row>
    <row r="2198">
      <c r="A2198" t="inlineStr">
        <is>
          <t>4samhm</t>
        </is>
      </c>
      <c r="B2198" t="inlineStr">
        <is>
          <t>I might get an Omnipod? I need some advice from you Omnipod users.</t>
        </is>
      </c>
      <c r="C2198" t="inlineStr">
        <is>
          <t>I just came back from my second pump viewing session and the omnipod really caught my eye. I loved how it was wireless and and seemed easy to use without any hassle when compared to the other pumps.
My doctors and nurses have advised me to stay away from these pumps however...apparently only 2/6 other people who chose this pump have actually kept it, they say it made the others ill and they have to be taken off of it because the pod fell off of their skin too easily. Can this be fixed by wearing an armband over the pod or is this a big problem? I really like this pump and I feel as though this pump would be the best for me.
I've know that the Accu-Check insight and other pumps are really good for stacking boluses, but when I asked by nurse about the omnipod being able to do this she hesitated and changed the subject... Can somebody please explain how the Omnipod works when using boluses? Say I have one snack and apply a bolus and then have another after, can I add another bolus and stack these?
I really don't know why my doctors and nurses are against the Omnipod, any help from you guys will be greatly appreciated :)
Thank you!</t>
        </is>
      </c>
      <c r="D2198" t="n">
        <v>3</v>
      </c>
      <c r="E2198" t="n">
        <v>46</v>
      </c>
      <c r="F2198">
        <f>HYPERLINK("https://www.reddit.com/r/diabetes/comments/4samhm/i_might_get_an_omnipod_i_need_some_advice_from/")</f>
        <v/>
      </c>
      <c r="G2198" t="inlineStr">
        <is>
          <t>2016-07-11 05:19:08</t>
        </is>
      </c>
      <c r="H2198" t="inlineStr">
        <is>
          <t>Type 1</t>
        </is>
      </c>
    </row>
    <row r="2199">
      <c r="A2199" t="inlineStr">
        <is>
          <t>4sdroa</t>
        </is>
      </c>
      <c r="B2199" t="inlineStr">
        <is>
          <t>oooooooops, first low :(</t>
        </is>
      </c>
      <c r="C2199" t="inlineStr">
        <is>
          <t>http://imgur.com/TQp6O2F
forgot to eat after i injected lmfao, that was so fun lets do it again</t>
        </is>
      </c>
      <c r="D2199" t="n">
        <v>6</v>
      </c>
      <c r="E2199" t="n">
        <v>11</v>
      </c>
      <c r="F2199">
        <f>HYPERLINK("https://www.reddit.com/r/diabetes/comments/4sdroa/oooooooops_first_low/")</f>
        <v/>
      </c>
      <c r="G2199" t="inlineStr">
        <is>
          <t>2016-07-11 15:48:49</t>
        </is>
      </c>
      <c r="H2199" t="inlineStr">
        <is>
          <t>Type 1</t>
        </is>
      </c>
    </row>
    <row r="2200">
      <c r="A2200" t="inlineStr">
        <is>
          <t>4sejy6</t>
        </is>
      </c>
      <c r="B2200" t="inlineStr">
        <is>
          <t>Are there any small metformin pills?</t>
        </is>
      </c>
      <c r="C2200" t="inlineStr">
        <is>
          <t>I'm considering starting to take metformin, but I have a narrow esophagus and have difficulty swallowing pills (anything much larger than a 100mg pill can be problematic). I don't struggle as much with capsules, but they can be tough too. I don't believe it's simply a matter of now knowing how to swallow pills, as I will have difficulty with food very often as well.
I saw that the liquid version of metformin (other disadvantages aside) is ludicrously expensive (even with insurance), so I'd like to see what my options are as far as small or easier to swallow metformin pills.
Thanks kindly</t>
        </is>
      </c>
      <c r="D2200" t="n">
        <v>1</v>
      </c>
      <c r="E2200" t="n">
        <v>4</v>
      </c>
      <c r="F2200">
        <f>HYPERLINK("https://www.reddit.com/r/diabetes/comments/4sejy6/are_there_any_small_metformin_pills/")</f>
        <v/>
      </c>
      <c r="G2200" t="inlineStr">
        <is>
          <t>2016-07-11 18:46:09</t>
        </is>
      </c>
      <c r="H2200" t="inlineStr">
        <is>
          <t>Type 2</t>
        </is>
      </c>
    </row>
    <row r="2201">
      <c r="A2201" t="inlineStr">
        <is>
          <t>4sem3z</t>
        </is>
      </c>
      <c r="B2201" t="inlineStr">
        <is>
          <t>Any healthy ideas for treating lows?</t>
        </is>
      </c>
      <c r="C2201" t="inlineStr">
        <is>
          <t>After being a diabetic for 16 years, I'm trying to find a healthier solution for a daytime low. I usually use glucose tabs or fruit roll ups if I'm feeling it, and OJ at night since I wanna go right back to bed. Anyone have any other suggestions for treating lows blood sugar that is healthy?</t>
        </is>
      </c>
      <c r="D2201" t="n">
        <v>2</v>
      </c>
      <c r="E2201" t="n">
        <v>8</v>
      </c>
      <c r="F2201">
        <f>HYPERLINK("https://www.reddit.com/r/diabetes/comments/4sem3z/any_healthy_ideas_for_treating_lows/")</f>
        <v/>
      </c>
      <c r="G2201" t="inlineStr">
        <is>
          <t>2016-07-11 18:59:37</t>
        </is>
      </c>
      <c r="H2201" t="inlineStr">
        <is>
          <t>Type 1</t>
        </is>
      </c>
    </row>
    <row r="2202">
      <c r="A2202" t="inlineStr">
        <is>
          <t>4sfl40</t>
        </is>
      </c>
      <c r="B2202" t="inlineStr">
        <is>
          <t>Dealing with false hypos</t>
        </is>
      </c>
      <c r="C2202" t="inlineStr">
        <is>
          <t xml:space="preserve">Hey guys, I've been doing a diet that's been dropping my bloodsugar (whoot!) but been experiencing false hypoglycemia symptoms (definition linked below)
I know to just "wait it out" but I was wondering if any of you had advice on how to pass the time while your body is freaking?
Some info: http://blog.joslin.org/2012/02/a-false-sense-of-hypoglycemia/
</t>
        </is>
      </c>
      <c r="D2202" t="n">
        <v>2</v>
      </c>
      <c r="E2202" t="n">
        <v>7</v>
      </c>
      <c r="F2202">
        <f>HYPERLINK("https://www.reddit.com/r/diabetes/comments/4sfl40/dealing_with_false_hypos/")</f>
        <v/>
      </c>
      <c r="G2202" t="inlineStr">
        <is>
          <t>2016-07-11 23:18:08</t>
        </is>
      </c>
      <c r="H2202" t="inlineStr">
        <is>
          <t>Type 2</t>
        </is>
      </c>
    </row>
    <row r="2203">
      <c r="A2203" t="inlineStr">
        <is>
          <t>4sftze</t>
        </is>
      </c>
      <c r="B2203" t="inlineStr">
        <is>
          <t>New T1 - swelling after starting insulin therapy - any tips?</t>
        </is>
      </c>
      <c r="C2203" t="inlineStr">
        <is>
          <t>Two weeks ago, my SO joined the Type 1 club at the ripe old age of 26. Since then he's done intensive insulin therapy - by now we've got a good grasp of carb counting and dosing the insulin accordingly. We also received basic training at a local hospital's diabetology department on managing the disease, with more training sessions scheduled for the future. While in hospital, they ascertained that any and all wacky blood values were due to the previous months of uncontrolled diabetes only - no complications were found in any internal organs.
A few days after starting insulin therapy, he started experiencing some swelling. Now, his feet, ankles, and legs considerably swell every time he walks or stands for more than 15 minutes at a time; it worsens by sitting for prolonged periods of time. The swelling reduces a bit with massage, lying with his feet up, and alternating hot and cold water baths, but it still persists for more than a day at a time. It's very annoying to him, and impacts his ability to work and do physical activity. 
The doctors at the hospital excluded any serious underlying reasons (such as liver failure) that may cause swelling as a side effect; they told us it's a normal temporary side-effect of osmotic changes after starting insulin therapy. Indeed, googling "insulin edema" returns several case reports confirming this as an unproblematic short-term complication of insulin therapy. 
Of course it's a relief that this swelling is nothing serious, but that does not stop it from being extremely annoying. The doctors offered no treatment beyond just waiting it out or walking (which actually aggravates the symptoms in his case). I've read that diuretics help, so we've upped his coffee and tea consumption. I suppose doing exercise to allow us to reduce the insulin dose would help, but it's kinda hard to do anything with Michelin Man feet.
Did anyone else experience this? How did you deal with it? What else can we do to reduce the swelling?
**tl;dr:** *Any home remedies to reduce insulin-related swelling?*</t>
        </is>
      </c>
      <c r="D2203" t="n">
        <v>1</v>
      </c>
      <c r="E2203" t="n">
        <v>2</v>
      </c>
      <c r="F2203">
        <f>HYPERLINK("https://www.reddit.com/r/diabetes/comments/4sftze/new_t1_swelling_after_starting_insulin_therapy/")</f>
        <v/>
      </c>
      <c r="G2203" t="inlineStr">
        <is>
          <t>2016-07-12 00:37:05</t>
        </is>
      </c>
      <c r="H2203" t="inlineStr">
        <is>
          <t>Type 1</t>
        </is>
      </c>
    </row>
    <row r="2204">
      <c r="A2204" t="inlineStr">
        <is>
          <t>4sh9w7</t>
        </is>
      </c>
      <c r="B2204" t="inlineStr">
        <is>
          <t>Quick question</t>
        </is>
      </c>
      <c r="C2204" t="inlineStr">
        <is>
          <t>I've been diagnosed with type 2 for about 3 months now,  I was 311 pounds when I was diagnosed, now I'm 265, is it normal for me to lose this amount of weight?</t>
        </is>
      </c>
      <c r="D2204" t="n">
        <v>2</v>
      </c>
      <c r="E2204" t="n">
        <v>10</v>
      </c>
      <c r="F2204">
        <f>HYPERLINK("https://www.reddit.com/r/diabetes/comments/4sh9w7/quick_question/")</f>
        <v/>
      </c>
      <c r="G2204" t="inlineStr">
        <is>
          <t>2016-07-12 07:33:18</t>
        </is>
      </c>
      <c r="H2204" t="inlineStr">
        <is>
          <t>Type 2</t>
        </is>
      </c>
    </row>
    <row r="2205">
      <c r="A2205" t="inlineStr">
        <is>
          <t>4sih7g</t>
        </is>
      </c>
      <c r="B2205" t="inlineStr">
        <is>
          <t>Novorapid question TYPE 1</t>
        </is>
      </c>
      <c r="C2205" t="inlineStr">
        <is>
          <t>Sorry I don't really know how to put these words into english but I hope you understand what I mean.. 
how long does it take for it to start working and how long till it stops working?</t>
        </is>
      </c>
      <c r="D2205" t="n">
        <v>0</v>
      </c>
      <c r="E2205" t="n">
        <v>7</v>
      </c>
      <c r="F2205">
        <f>HYPERLINK("https://www.reddit.com/r/diabetes/comments/4sih7g/novorapid_question_type_1/")</f>
        <v/>
      </c>
      <c r="G2205" t="inlineStr">
        <is>
          <t>2016-07-12 11:13:52</t>
        </is>
      </c>
      <c r="H2205" t="inlineStr">
        <is>
          <t>Type 1</t>
        </is>
      </c>
    </row>
    <row r="2206">
      <c r="A2206" t="inlineStr">
        <is>
          <t>4siqwn</t>
        </is>
      </c>
      <c r="B2206" t="inlineStr">
        <is>
          <t>VIDEO: Hardest part of diabetes isn't what you think, from fellow T1D</t>
        </is>
      </c>
      <c r="C2206" t="inlineStr">
        <is>
          <t>This video is one of the most honest and raw things I've ever seen from a fellow type one diabetic.
[Kim Vlasnik - ePatient Ignite! Talk](https://www.youtube.com/watch?v=HwiIZ8TnZJw)
She's had type one for 28 years, and talks about her fears of the disease, how other people react to it, the judgement from people and health care professionals, stigmas, and how finding the T1D community really helped. I agreed with virtually everything she said (minus anything about a CGM/pump, since I don't have one), and thought you all might enjoy this too.
I have been struggling for a few months now, and wanting to find my own community, so I get what she's saying. It was a big help to find this Reddit, but I have high hopes that I can find some people to meet with in person.</t>
        </is>
      </c>
      <c r="D2206" t="n">
        <v>33</v>
      </c>
      <c r="E2206" t="n">
        <v>27</v>
      </c>
      <c r="F2206">
        <f>HYPERLINK("https://www.reddit.com/r/diabetes/comments/4siqwn/video_hardest_part_of_diabetes_isnt_what_you/")</f>
        <v/>
      </c>
      <c r="G2206" t="inlineStr">
        <is>
          <t>2016-07-12 12:04:05</t>
        </is>
      </c>
      <c r="H2206" t="inlineStr">
        <is>
          <t>Type 1</t>
        </is>
      </c>
    </row>
    <row r="2207">
      <c r="A2207" t="inlineStr">
        <is>
          <t>4skv5r</t>
        </is>
      </c>
      <c r="B2207" t="inlineStr">
        <is>
          <t>A1C from 11.2 to 6.5 in 3.5 months!</t>
        </is>
      </c>
      <c r="C2207" t="inlineStr">
        <is>
          <t>I got diagnosed on 3/29/16 and by using the tips I learned from you guys on here I managed to lower my H1C! Thank you guys! I currently am on 1000mg of Metformin and I eat a low carb diet. I just started on keto this past weekend and have lost 7lbs (probably all water weight but still something). I'm so excited I had to come out of lurking!</t>
        </is>
      </c>
      <c r="D2207" t="n">
        <v>5</v>
      </c>
      <c r="E2207" t="n">
        <v>9</v>
      </c>
      <c r="F2207">
        <f>HYPERLINK("https://www.reddit.com/r/diabetes/comments/4skv5r/a1c_from_112_to_65_in_35_months/")</f>
        <v/>
      </c>
      <c r="G2207" t="inlineStr">
        <is>
          <t>2016-07-12 19:39:35</t>
        </is>
      </c>
      <c r="H2207" t="inlineStr">
        <is>
          <t>Type 2</t>
        </is>
      </c>
    </row>
    <row r="2208">
      <c r="A2208" t="inlineStr">
        <is>
          <t>4snyna</t>
        </is>
      </c>
      <c r="B2208" t="inlineStr">
        <is>
          <t>Dawn phenomena</t>
        </is>
      </c>
      <c r="C2208" t="inlineStr">
        <is>
          <t>I'm seeing my endo next month, and don't want to wait on this issue. This was never really explained to me, and I would love to know what others do about the dawn phenomena.
For about a week now, my sugars at bedtime have been in range, and I eat a normal snack. Then my fasting sugar is super high, like 15 mmol/l or higher (today it was 17)! The other night I was sick, and woke at 3 am to do a test, worried I'd go low in the night because I wasn't eating as much. I ate a small snack, and my fasting sugar was again high. I also increased my Lantus at bedtime, and still no luck. I'm on MDI.
Can someone please explain in super simple terms what the dawn phenomena is, and how I can avoid it? Like, explain it like I'm 5, because I'm confused by what I've read online. What snacks do you guys eat at bedtime? I usually have starch + protein, like last night a few crackers and some cheese (which I've heard can help avoid dawn phenomena, because of the fat in it). Any advice, diabuddies?</t>
        </is>
      </c>
      <c r="D2208" t="n">
        <v>4</v>
      </c>
      <c r="E2208" t="n">
        <v>10</v>
      </c>
      <c r="F2208">
        <f>HYPERLINK("https://www.reddit.com/r/diabetes/comments/4snyna/dawn_phenomena/")</f>
        <v/>
      </c>
      <c r="G2208" t="inlineStr">
        <is>
          <t>2016-07-13 09:14:03</t>
        </is>
      </c>
      <c r="H2208" t="inlineStr">
        <is>
          <t>Type 1</t>
        </is>
      </c>
    </row>
    <row r="2209">
      <c r="A2209" t="inlineStr">
        <is>
          <t>4so7cb</t>
        </is>
      </c>
      <c r="B2209" t="inlineStr">
        <is>
          <t>Stressed about recent weight gain with T1 (x-post from T1D)</t>
        </is>
      </c>
      <c r="C2209" t="inlineStr">
        <is>
          <t>Hello there fellow Type 1ers!
My blood sugars have not been in the best control recently, with rapid rises and falls (from 40-210 in a few hours) in response to a change of routine and exercise. I'm hungry all the time because of this and have gained 20 lbs since January. It's starting to be more under control with less fluctuation (100-200 most days) but I'm very unhappy with the weight.
Why did the weight gain happen? 2. Is that normal? 3. What can I do to lose it and maintain better blood sugar control?</t>
        </is>
      </c>
      <c r="D2209" t="n">
        <v>3</v>
      </c>
      <c r="E2209" t="n">
        <v>15</v>
      </c>
      <c r="F2209">
        <f>HYPERLINK("https://www.reddit.com/r/diabetes/comments/4so7cb/stressed_about_recent_weight_gain_with_t1_xpost/")</f>
        <v/>
      </c>
      <c r="G2209" t="inlineStr">
        <is>
          <t>2016-07-13 10:00:32</t>
        </is>
      </c>
      <c r="H2209" t="inlineStr">
        <is>
          <t>Type 1</t>
        </is>
      </c>
    </row>
    <row r="2210">
      <c r="A2210" t="inlineStr">
        <is>
          <t>4spa90</t>
        </is>
      </c>
      <c r="B2210" t="inlineStr">
        <is>
          <t>Awesome app for all you Dexcom Mac users</t>
        </is>
      </c>
      <c r="C2210" t="inlineStr">
        <is>
          <t>I know it's a first world problem having to look at your iPhone 6 every time you want to look at your Dexcom reading but if you're like me stuck with a Mac in your face for half the work day I came across this app that shows your reading in the top bar. I'm loving being able to just peek up an see what's going on. 
[Glucogram](https://itunes.apple.com/us/app/glucogram/id1107429772?mt=12)
[Imgur](http://i.imgur.com/hPupbfd.png)</t>
        </is>
      </c>
      <c r="D2210" t="n">
        <v>9</v>
      </c>
      <c r="E2210" t="n">
        <v>6</v>
      </c>
      <c r="F2210">
        <f>HYPERLINK("https://www.reddit.com/r/diabetes/comments/4spa90/awesome_app_for_all_you_dexcom_mac_users/")</f>
        <v/>
      </c>
      <c r="G2210" t="inlineStr">
        <is>
          <t>2016-07-13 13:25:51</t>
        </is>
      </c>
      <c r="H2210" t="inlineStr">
        <is>
          <t>Type 1</t>
        </is>
      </c>
    </row>
    <row r="2211">
      <c r="A2211" t="inlineStr">
        <is>
          <t>4speme</t>
        </is>
      </c>
      <c r="B2211" t="inlineStr">
        <is>
          <t>Have Novolog and Contour test strips, need Medtronic infusion sets - anyone want to trade?</t>
        </is>
      </c>
      <c r="C2211" t="inlineStr">
        <is>
          <t xml:space="preserve">Just like the title - I have a few vials of Novolog and one vial each of 25 count and 50 count Contour test strips (not the Contour Next) that I'd like to offer to trade for Medtronic infusion sets - not picky about which kind. Want to make a deal? </t>
        </is>
      </c>
      <c r="D2211" t="n">
        <v>0</v>
      </c>
      <c r="E2211" t="n">
        <v>0</v>
      </c>
      <c r="F2211">
        <f>HYPERLINK("https://www.reddit.com/r/diabetes/comments/4speme/have_novolog_and_contour_test_strips_need/")</f>
        <v/>
      </c>
      <c r="G2211" t="inlineStr">
        <is>
          <t>2016-07-13 13:48:53</t>
        </is>
      </c>
      <c r="H2211" t="inlineStr">
        <is>
          <t>Type 1</t>
        </is>
      </c>
    </row>
    <row r="2212">
      <c r="A2212" t="inlineStr">
        <is>
          <t>4sq14s</t>
        </is>
      </c>
      <c r="B2212" t="inlineStr">
        <is>
          <t>Dexcom G5 Questions</t>
        </is>
      </c>
      <c r="C2212" t="inlineStr">
        <is>
          <t>I just got my G5 the other day and I'm not able to get into my Endo soon. What parts do you have to change and what parts can you keep in? Also how often do you change it</t>
        </is>
      </c>
      <c r="D2212" t="n">
        <v>0</v>
      </c>
      <c r="E2212" t="n">
        <v>3</v>
      </c>
      <c r="F2212">
        <f>HYPERLINK("https://www.reddit.com/r/diabetes/comments/4sq14s/dexcom_g5_questions/")</f>
        <v/>
      </c>
      <c r="G2212" t="inlineStr">
        <is>
          <t>2016-07-13 16:02:04</t>
        </is>
      </c>
      <c r="H2212" t="inlineStr">
        <is>
          <t>Type 1</t>
        </is>
      </c>
    </row>
    <row r="2213">
      <c r="A2213" t="inlineStr">
        <is>
          <t>4srb3b</t>
        </is>
      </c>
      <c r="B2213" t="inlineStr">
        <is>
          <t>PSA: Don't ware flip flops and walk 5 miles trying to get Pokemon. blisters will ensue. also help?</t>
        </is>
      </c>
      <c r="C2213" t="inlineStr">
        <is>
          <t xml:space="preserve">how can i help these blisters on my feet heal ( other than keeping them sanitized) </t>
        </is>
      </c>
      <c r="D2213" t="n">
        <v>1</v>
      </c>
      <c r="E2213" t="n">
        <v>10</v>
      </c>
      <c r="F2213">
        <f>HYPERLINK("https://www.reddit.com/r/diabetes/comments/4srb3b/psa_dont_ware_flip_flops_and_walk_5_miles_trying/")</f>
        <v/>
      </c>
      <c r="G2213" t="inlineStr">
        <is>
          <t>2016-07-13 20:57:02</t>
        </is>
      </c>
      <c r="H2213" t="inlineStr">
        <is>
          <t>Type 1</t>
        </is>
      </c>
    </row>
    <row r="2214">
      <c r="A2214" t="inlineStr">
        <is>
          <t>4srghv</t>
        </is>
      </c>
      <c r="B2214" t="inlineStr">
        <is>
          <t>What is the cause of mildly elevated BG? Would metformin help with it?</t>
        </is>
      </c>
      <c r="C2214" t="inlineStr">
        <is>
          <t xml:space="preserve">
With a lot of the meals that I eat, my blood sugar will come down to the "slightly" elevated level in a reasonable amount of time, but then it will hover there for a while (sometimes over 4 hours).
As an example, I just had a meal of a sweet potato (as a test to see if the higher GI/GL would accelerate my BG's decline) and a protein shake.
These are the results (I did exercise a little after eating):
Minutes after eating | BG(mg/dl)
---|---
20 | 111
40 | 92
60(1hr) | 91
80 | 90
100 | 89
120(2hr) | 95
140 | 89
160 | 91
180(3hr) | 89
Another example of this is a recent meal containing beans(higher fiber) where my BG at 1,2,3 and 4 hours respectively was 92,90,96,93, finally falling to 82 by the 5th hour.
I know that these numbers aren't "bad" per se, but I know that a normoglycemic individual which I am not) would fall back to the low 80's or so much more quickly. A lot of the time, I'll hover closer to 100 (upper 90's) for 3-4 hours, but I never have a big spike either.
These results are strange to me, because it seems like either my BG should be higher (suggesting that my body can't process the carbs rapidly enough and gets more overwhelmed) or that it should fall back to normal more quickly than it does. The slight elevation is just odd. 
I thought it was fiber/fat that were causing these gradual declines that I get, but this meal didn't have much of either. 
With higher carb meals, I will hover around 100 sometimes for up to 4 hours (testing every 15-20 mins) and then suddenly drop to a "normal" sub 85 reading. 
I know carb restriction would be a better option to achieve normal BG, but just out of curiosity, is Metformin something that would have an effect on this sort of thing? Is it just the fact that digestion takes a long time? Liver dump?
My apologies if this seems silly, as I'm obsessing over a very slight thing, but it does have me curious!</t>
        </is>
      </c>
      <c r="D2214" t="n">
        <v>3</v>
      </c>
      <c r="E2214" t="n">
        <v>4</v>
      </c>
      <c r="F2214">
        <f>HYPERLINK("https://www.reddit.com/r/diabetes/comments/4srghv/what_is_the_cause_of_mildly_elevated_bg_would/")</f>
        <v/>
      </c>
      <c r="G2214" t="inlineStr">
        <is>
          <t>2016-07-13 21:36:23</t>
        </is>
      </c>
      <c r="H2214" t="inlineStr">
        <is>
          <t>Type 2</t>
        </is>
      </c>
    </row>
    <row r="2215">
      <c r="A2215" t="inlineStr">
        <is>
          <t>4ssc32</t>
        </is>
      </c>
      <c r="B2215" t="inlineStr">
        <is>
          <t>HbA1c is 5.9!!!</t>
        </is>
      </c>
      <c r="C2215" t="inlineStr">
        <is>
          <t>I was diagnosed with Type 2 diabetes on the 9th of March. My doctor never ran an initial A1c because she figured that a fasting glucose of 11.7 mmol/l was indicator enough, but she estimated my A1c to be above 9%. 
I got my blood work back today after 110 days of Keto and my HbA1c is 5.9! I hoped it would be lower but I said to myself I would be happy under 6. I'm aiming at 4.9 by this time next year. My cholesterol is also low and my thyroid is functioning normally. 
according to my doctor I am one very healthy "prediabetic" (yes I know this isn't accurate, type 2 forever if I ever stop controlling)</t>
        </is>
      </c>
      <c r="D2215" t="n">
        <v>39</v>
      </c>
      <c r="E2215" t="n">
        <v>9</v>
      </c>
      <c r="F2215">
        <f>HYPERLINK("https://www.reddit.com/r/diabetes/comments/4ssc32/hba1c_is_59/")</f>
        <v/>
      </c>
      <c r="G2215" t="inlineStr">
        <is>
          <t>2016-07-14 02:04:43</t>
        </is>
      </c>
      <c r="H2215" t="inlineStr">
        <is>
          <t>Type 2</t>
        </is>
      </c>
    </row>
    <row r="2216">
      <c r="A2216" t="inlineStr">
        <is>
          <t>4ssg9i</t>
        </is>
      </c>
      <c r="B2216" t="inlineStr">
        <is>
          <t>Not going low?</t>
        </is>
      </c>
      <c r="C2216" t="inlineStr">
        <is>
          <t>I've never been low in my life. I've FELT low before, but that's usually a 70, and that's perfectly fine.
I've been scared of going low, honestly, but I think I've found that that fear is unjustified.
I've been walking (On average) 3 miles a day since I started playing Pokemon GO, and I've carried my meter with me every day due to my fear of going low.
It just hasn't happened. Like... at all.
There was a time where I felt low and had to stop at a gas station for two slim jims, but before eating I tested at a 71 (And again a few seconds before my first bite at a 72)
Can I just not go low? Am I going to be able to deal with my diabetes this easily? I almost feel like I'm cheating the system here.</t>
        </is>
      </c>
      <c r="D2216" t="n">
        <v>1</v>
      </c>
      <c r="E2216" t="n">
        <v>4</v>
      </c>
      <c r="F2216">
        <f>HYPERLINK("https://www.reddit.com/r/diabetes/comments/4ssg9i/not_going_low/")</f>
        <v/>
      </c>
      <c r="G2216" t="inlineStr">
        <is>
          <t>2016-07-14 02:42:46</t>
        </is>
      </c>
      <c r="H2216" t="inlineStr">
        <is>
          <t>Type 2</t>
        </is>
      </c>
    </row>
    <row r="2217">
      <c r="A2217" t="inlineStr">
        <is>
          <t>4stqaj</t>
        </is>
      </c>
      <c r="B2217" t="inlineStr">
        <is>
          <t>SLOWLY IMPROVING! 6.9 A1C!</t>
        </is>
      </c>
      <c r="C2217" t="inlineStr">
        <is>
          <t>Pretty stoked about this!  Just had my first appointment with an endo and apparently my bloodwork came back with a 6.9!  Down from my last A1C which was 7.4!  Hell yeah!
Had to brag about this to someone :)
oh, AND i caught a Oddish walking back to work from the docs office....good way to start the day :)</t>
        </is>
      </c>
      <c r="D2217" t="n">
        <v>62</v>
      </c>
      <c r="E2217" t="n">
        <v>14</v>
      </c>
      <c r="F2217">
        <f>HYPERLINK("https://www.reddit.com/r/diabetes/comments/4stqaj/slowly_improving_69_a1c/")</f>
        <v/>
      </c>
      <c r="G2217" t="inlineStr">
        <is>
          <t>2016-07-14 08:09:23</t>
        </is>
      </c>
      <c r="H2217" t="inlineStr">
        <is>
          <t>Type 1</t>
        </is>
      </c>
    </row>
    <row r="2218">
      <c r="A2218" t="inlineStr">
        <is>
          <t>4su5i0</t>
        </is>
      </c>
      <c r="B2218" t="inlineStr">
        <is>
          <t>Recent Diet/Routine Change has drastically changed my insulin intake. Thoughts?</t>
        </is>
      </c>
      <c r="C2218" t="inlineStr">
        <is>
          <t>So, I've been on the pump, supplemented with lantus for about 11 years (i still have a basal rate on the pump, it just isn't very high).  And I basically ate whatever i wanted and covered, and my BS and a1C would be pretty good, not great.  I was taking about 28 units lantus and 24 units of daily basal, along with a 1:6 carb ratio.  However, recently i decided to change my routine, largely in an effort to lose weight/get healthier.  
Over the last two months I've meticulously counted my calories and have essentially started living on a meal plan (i have cheat days, but I find it helps me not overeat).  The results have had a drastic effect on my insulin intake, and I'd like to get the subreddit's opinion on what is going on.
As of last week, my Lantus has gone down from 28-&amp;gt; 11 units per day, my Daily Basal is down from 24 -&amp;gt;17 units/day, my carb ratio has decreased from 1:6 -&amp;gt; 1:10, and my correction facto has gone from 1:18 -&amp;gt; 1:20 or 25 (time of day).  Essentially im taking less insulin in every conceivable instance one would take insulin.  
Before starting this process, i was only going low about once a week, usually do to exercise.  But throughout the process of coming to my new ratios, i was low A LOT (which is why i kept lowering the insulin).  My exercise regimen has stayed pretty similar, and I'm a 27 year old man, so its not likely some sort of hormonal thing (like i had when i was a teenager).  The only difference is my diet.  Has anyone else had such a drastic shift in insulin intake like this, and do you know the cause? I'm more curious than concerned - my numbers have been excellent, and i dont think ive seen my cgm flatline like this ever.</t>
        </is>
      </c>
      <c r="D2218" t="n">
        <v>1</v>
      </c>
      <c r="E2218" t="n">
        <v>3</v>
      </c>
      <c r="F2218">
        <f>HYPERLINK("https://www.reddit.com/r/diabetes/comments/4su5i0/recent_dietroutine_change_has_drastically_changed/")</f>
        <v/>
      </c>
      <c r="G2218" t="inlineStr">
        <is>
          <t>2016-07-14 09:29:16</t>
        </is>
      </c>
      <c r="H2218" t="inlineStr">
        <is>
          <t>Type 1</t>
        </is>
      </c>
    </row>
    <row r="2219">
      <c r="A2219" t="inlineStr">
        <is>
          <t>4suh1g</t>
        </is>
      </c>
      <c r="B2219" t="inlineStr">
        <is>
          <t>Hit the motherlode of awesome endo and awesome surgery center</t>
        </is>
      </c>
      <c r="C2219" t="inlineStr">
        <is>
          <t>I think I've bragged on my endocrinologist before, but in case I haven't, my god, she's awesome.  Understands that I know what I'm doing, and that I'm the sort of patient who will research the crap out of stuff and come to her for advice when needed.
Thought that it couldn't get better.  Then I went into surgery on Tuesday for carpal tunnel release.  Nurses and anesthesiologists were all "you have an insulin pump &amp;amp; cgm?  Cool. That's awesome technology.  We'll let you be in charge of your blood sugars, basal rates and insulin delivery.   All we ask is that you not go low during surgery, and that you set insulin delivery to ensure that.  Otherwise, you know your body better than we do."
Good docs _do_ exist.</t>
        </is>
      </c>
      <c r="D2219" t="n">
        <v>16</v>
      </c>
      <c r="E2219" t="n">
        <v>8</v>
      </c>
      <c r="F2219">
        <f>HYPERLINK("https://www.reddit.com/r/diabetes/comments/4suh1g/hit_the_motherlode_of_awesome_endo_and_awesome/")</f>
        <v/>
      </c>
      <c r="G2219" t="inlineStr">
        <is>
          <t>2016-07-14 10:29:40</t>
        </is>
      </c>
      <c r="H2219" t="inlineStr">
        <is>
          <t>Type 1</t>
        </is>
      </c>
    </row>
    <row r="2220">
      <c r="A2220" t="inlineStr">
        <is>
          <t>4suuoo</t>
        </is>
      </c>
      <c r="B2220" t="inlineStr">
        <is>
          <t>Diagnosed with type 2 a few months ago and I wanted to share my experience with you guys.</t>
        </is>
      </c>
      <c r="C2220" t="inlineStr">
        <is>
          <t>Lurker for a few months since diagnosed and I first wanted to say that this sub if full of lovely people and this a very nice and supportive community. I first experienced diabetes through my father, type 2 runs like the plague through his side of the family so I remember growing up with him giving himself shots every morning but I never though much of it when I was young. 
My first real, kind of smack in the face with diabetes was in 2nd grade when my best friend was diagnosed with type 1. (Let's call her Jen to make storytelling easier.)  Our teacher noticed that Jen  was asking for drinks and asking to use the restroom way more than usual and told her parents. It was a pretty tough few months after she got diagnosed because of the tough adjustments she and her family had to make. She had 6 siblings and there was a dramatic shift in planning meals and scheduling around to check blood sugar and such. Throughout the years, through her, I learned about low carb snacks and carbs to units of insulin. Almost 10 years since 2nd grade and we remain best friends.
Since type 2 runs in the family I was always at risk to get it, especially since I was overweight and still am. I had regular blood draws and was checked every few months or so. Around march I want in for a blood draw and my levels were high. I was referred to a diabetes doctor and was diagnosed with type 2. I was put on metformin and was told to check my blood sugar twice a day. This was difficult for me to come to terms with but the first person outside of my family I told was Jen. She just nodded and told me I was going to start working out with her every morning. Keep in mind she is the star player on varsity volleyball and soccer and an aspiring personal trainer. So every day to this day She picks me up and we go to the gym. She concocted this workout regime for me and I actually have fun doing it. I have started losing weight and my numbers are looking good. It is nice to have a friend that knows what you are going through and is willing to push you to do better. Sorry for the super long story but I had to share.</t>
        </is>
      </c>
      <c r="D2220" t="n">
        <v>11</v>
      </c>
      <c r="E2220" t="n">
        <v>6</v>
      </c>
      <c r="F2220">
        <f>HYPERLINK("https://www.reddit.com/r/diabetes/comments/4suuoo/diagnosed_with_type_2_a_few_months_ago_and_i/")</f>
        <v/>
      </c>
      <c r="G2220" t="inlineStr">
        <is>
          <t>2016-07-14 11:37:45</t>
        </is>
      </c>
      <c r="H2220" t="inlineStr">
        <is>
          <t>Type 2</t>
        </is>
      </c>
    </row>
    <row r="2221">
      <c r="A2221" t="inlineStr">
        <is>
          <t>4sv79t</t>
        </is>
      </c>
      <c r="B2221" t="inlineStr">
        <is>
          <t>Am I doomed to fail?</t>
        </is>
      </c>
      <c r="C2221" t="inlineStr">
        <is>
          <t>I've cut out most carbs (I've allowed some, like the 10g carb 1/2 cup of carbsmart ice cream I like as a treat) and any carbs I do eat, I'll balance out with fat or protein. (So, I'll stay away from breaded chicken, but I'll eat those buffalo wings that have 5 carbs due to the sauce.)
Am I doomed to fail here? My biggest fear is dying early. I want to see where the human race goes. I want to see the tech we come up with, space travel, what we cure, etc.
I mean, hell. I've been playing the hell out of Pokemon GO and I think that's the greatest advancement in video games we've had in years! I need more progress for humanity in my life, and I want that to be a LONG life! I don't know what happens at the end and it scares the shit out of me knowing that all it takes is a goddamned pizza to kick my ass.
Is it inevitable that my A1C goes up? Is it inevitable that I'll need stronger/better meds than just metformin? Is it inevitable that, no matter what I do, I am diabetic and I can do nothing but slow its progress? Is it inevitable that I lose the ability to just walk outside, pick a direction, and walk for hours only to return at 3:00AM with no assistance?</t>
        </is>
      </c>
      <c r="D2221" t="n">
        <v>3</v>
      </c>
      <c r="E2221" t="n">
        <v>12</v>
      </c>
      <c r="F2221">
        <f>HYPERLINK("https://www.reddit.com/r/diabetes/comments/4sv79t/am_i_doomed_to_fail/")</f>
        <v/>
      </c>
      <c r="G2221" t="inlineStr">
        <is>
          <t>2016-07-14 12:43:47</t>
        </is>
      </c>
      <c r="H2221" t="inlineStr">
        <is>
          <t>Type 2</t>
        </is>
      </c>
    </row>
    <row r="2222">
      <c r="A2222" t="inlineStr">
        <is>
          <t>4swqv5</t>
        </is>
      </c>
      <c r="B2222" t="inlineStr">
        <is>
          <t>[Type 1] Questions about United Healthcare</t>
        </is>
      </c>
      <c r="C2222" t="inlineStr">
        <is>
          <t>I'm going to be switching to United Healthcare in a few months and I had a couple of questions for anyone who is currently using it.
1) Have you seen your prices for Medtronic supplies change at all since they announced the new deal?
2) Looking at their formulary, it looks like Contour Next test strips aren't covered. Yet, that's the meter that is supposed to go with the Medtronic 530G. Am I misunderstanding something or does United really not cover the test strips that go with the meter certified for their preferred pump?
3) Does anyone use Novolog and have United? Again, their formulary looks like they don't cover it. Did you have to switch to Humalog or were you able to get United to cover it?
Thanks!</t>
        </is>
      </c>
      <c r="D2222" t="n">
        <v>1</v>
      </c>
      <c r="E2222" t="n">
        <v>2</v>
      </c>
      <c r="F2222">
        <f>HYPERLINK("https://www.reddit.com/r/diabetes/comments/4swqv5/type_1_questions_about_united_healthcare/")</f>
        <v/>
      </c>
      <c r="G2222" t="inlineStr">
        <is>
          <t>2016-07-14 18:19:36</t>
        </is>
      </c>
      <c r="H2222" t="inlineStr">
        <is>
          <t>Type 1</t>
        </is>
      </c>
    </row>
    <row r="2223">
      <c r="A2223" t="inlineStr">
        <is>
          <t>4swupc</t>
        </is>
      </c>
      <c r="B2223" t="inlineStr">
        <is>
          <t>Sharp tingling in my mouth (Metformin, T1.5?)--curious about your experiences</t>
        </is>
      </c>
      <c r="C2223" t="inlineStr">
        <is>
          <t>Disclaimer: Worry not, I'm bringing this up to my doctor at my next appointment (in about a week). Also, apologies for the wall of text.
I just had an unusual and scary experience and I'm wondering if anyone else with Diabetes or on Metformin has experienced it. 
I was preparing dinner by cutting open a lemon. Normally the sight/smell of lemons or anything sour provokes a response in my mouth, basically mouth watering and lip puckering (maybe light tingling? It's hard to remember thinking back). I started to get what I assumed was that reaction, but it became very uncomfortable and almost painful. It was stronger on one side, almost a little numb. 
I had just checked my blood about 5-10 minutes before and gotten 120 (pre-meal, and pretty normal for me at this test...maybe a little higher than my 100 the last two days, but better than the ~140 the days before). Concerned that maybe I was having a stroke, I did some tests on myself:
* smiled at myself a bunch of times in the mirror to check whether one side was drooping. Luckily, this wasn't the case.
* Called over a roommate, spoke with her a bit, asked her to check in on me in ~10 minutes, explained what I was feeling and had her verify that I was talking alright and not drooping.
So, not worried about it being a stroke. I read that it could be neuropathy, which is what I'm leaning towards. It hurt a bit swallowing but went away, though part of my cheek still feels a tiny bit numb--the same as some slight numbness I sometimes feel on the arm on the opposite side of my body.
I take 500mg of Metformin twice a day, this occurred before my dinner and dinner dose. 
Does this sound like anyone's experiences with neuropathy? I'm still very new to this and it's hard to understand what to expect. I have a good doctor but the medical descriptions always seem too vague to be useful.</t>
        </is>
      </c>
      <c r="D2223" t="n">
        <v>2</v>
      </c>
      <c r="E2223" t="n">
        <v>4</v>
      </c>
      <c r="F2223">
        <f>HYPERLINK("https://www.reddit.com/r/diabetes/comments/4swupc/sharp_tingling_in_my_mouth_metformin_t15curious/")</f>
        <v/>
      </c>
      <c r="G2223" t="inlineStr">
        <is>
          <t>2016-07-14 18:47:18</t>
        </is>
      </c>
      <c r="H2223" t="inlineStr">
        <is>
          <t>Type 1.5/LADA</t>
        </is>
      </c>
    </row>
    <row r="2224">
      <c r="A2224" t="inlineStr">
        <is>
          <t>4swyvx</t>
        </is>
      </c>
      <c r="B2224" t="inlineStr">
        <is>
          <t>How often do you change your pump cartridge?</t>
        </is>
      </c>
      <c r="C2224" t="inlineStr">
        <is>
          <t>Do you guys re-use your pump cartridges across multiple sites?
Our kid is little, so only goes through about 5 units a day total — if we were to fill a cartridge with 200 units, it'd last us easily a month (when the insulin would expire).
Just fill once, then attach a new tube every change, or fill closer to 3 days' worth and change the cart out every time too?</t>
        </is>
      </c>
      <c r="D2224" t="n">
        <v>3</v>
      </c>
      <c r="E2224" t="n">
        <v>8</v>
      </c>
      <c r="F2224">
        <f>HYPERLINK("https://www.reddit.com/r/diabetes/comments/4swyvx/how_often_do_you_change_your_pump_cartridge/")</f>
        <v/>
      </c>
      <c r="G2224" t="inlineStr">
        <is>
          <t>2016-07-14 19:15:46</t>
        </is>
      </c>
      <c r="H2224" t="inlineStr">
        <is>
          <t>Type 1</t>
        </is>
      </c>
    </row>
    <row r="2225">
      <c r="A2225" t="inlineStr">
        <is>
          <t>4syndm</t>
        </is>
      </c>
      <c r="B2225" t="inlineStr">
        <is>
          <t>Help with getting my Type I little sister to wear her Dexcom.</t>
        </is>
      </c>
      <c r="C2225" t="inlineStr">
        <is>
          <t>My sister was diagnosed with type I DM about a year ago and we have been struggling with getting her to use her Dexcom. She is a very active gymnast and has very little body fat. Because of gymnastics she can't wear it on her abdomen or back (it would hit the bars or ground while tumbling). We have tried placing it on her arm but because of pain she hasn't been able to tolerate it for more than a couple minutes the last time I tried. I think the Dexcom sensors were either irritating her fascia or less likely poking her muscles because of her small size.  She is also a little bit anxious at baseline and I don't know how much pain (or not) you have to expect with a Dexcom at baseline.  I haven't tried it because those things are expensive.
I was wondering if anybody here has had similar troubles with a Dexcom and any tips or tricks to share.  Much appreciated, thanks for reading.</t>
        </is>
      </c>
      <c r="D2225" t="n">
        <v>5</v>
      </c>
      <c r="E2225" t="n">
        <v>5</v>
      </c>
      <c r="F2225">
        <f>HYPERLINK("https://www.reddit.com/r/diabetes/comments/4syndm/help_with_getting_my_type_i_little_sister_to_wear/")</f>
        <v/>
      </c>
      <c r="G2225" t="inlineStr">
        <is>
          <t>2016-07-15 04:31:18</t>
        </is>
      </c>
      <c r="H2225" t="inlineStr">
        <is>
          <t>Type 1</t>
        </is>
      </c>
    </row>
    <row r="2226">
      <c r="A2226" t="inlineStr">
        <is>
          <t>4t0xgj</t>
        </is>
      </c>
      <c r="B2226" t="inlineStr">
        <is>
          <t>Foamy Urine</t>
        </is>
      </c>
      <c r="C2226" t="inlineStr">
        <is>
          <t>I'm a fairly new Type 1 Diabetic and I'm still learning what's normal, etc. One day my mom called me and said that she read that people with diabetes often have foamy urine and then I started to notice that my own urine is foamy now. It varies how foamy it is but it is almost always at least a little bit foamy and sometimes filled with foam. I looked up what it meant and online it says that it is a sign of kidney failure! Is this something to be worried about and to seek immediate medical attention for, something to just ask my doctor about, or just normal?</t>
        </is>
      </c>
      <c r="D2226" t="n">
        <v>2</v>
      </c>
      <c r="E2226" t="n">
        <v>7</v>
      </c>
      <c r="F2226">
        <f>HYPERLINK("https://www.reddit.com/r/diabetes/comments/4t0xgj/foamy_urine/")</f>
        <v/>
      </c>
      <c r="G2226" t="inlineStr">
        <is>
          <t>2016-07-15 12:39:11</t>
        </is>
      </c>
      <c r="H2226" t="inlineStr">
        <is>
          <t>Type 1</t>
        </is>
      </c>
    </row>
    <row r="2227">
      <c r="A2227" t="inlineStr">
        <is>
          <t>4t2je6</t>
        </is>
      </c>
      <c r="B2227" t="inlineStr">
        <is>
          <t>Started on Fast Acting today, but forgot to ask these 2 questions!</t>
        </is>
      </c>
      <c r="C2227" t="inlineStr">
        <is>
          <t>So I started on fast acting insulin today for my Type 1 diabetes after treating it with long acting for a few months, but while I did ask alot of questions, I now have a few I didn't think to ask.  
1: I know that you are supposed to take insulin to cover the carbs in your meal, but what if you are served an extra thing you want to eat as well, but you already injected your insulin? Something like when you eat your food, but then you find there's a dessert. Is it safe to stack the extra insulin on?  
2: Speaking of dessert, I know about carbs, but what about the sugar counts? When I eat something like say, a piece of cake, that I know would have 40 carbs with 60 grams of sugar in it, what do I do about the sugars?</t>
        </is>
      </c>
      <c r="D2227" t="n">
        <v>2</v>
      </c>
      <c r="E2227" t="n">
        <v>3</v>
      </c>
      <c r="F2227">
        <f>HYPERLINK("https://www.reddit.com/r/diabetes/comments/4t2je6/started_on_fast_acting_today_but_forgot_to_ask/")</f>
        <v/>
      </c>
      <c r="G2227" t="inlineStr">
        <is>
          <t>2016-07-15 18:48:02</t>
        </is>
      </c>
      <c r="H2227" t="inlineStr">
        <is>
          <t>Type 1</t>
        </is>
      </c>
    </row>
    <row r="2228">
      <c r="A2228" t="inlineStr">
        <is>
          <t>4t7z6h</t>
        </is>
      </c>
      <c r="B2228" t="inlineStr">
        <is>
          <t>Back from summer camp!</t>
        </is>
      </c>
      <c r="C2228" t="inlineStr">
        <is>
          <t xml:space="preserve">So, a followup from [my previous thread](https://www.reddit.com/r/diabetes/comments/4pbcra/what_do_you_wish_you_had_been_told_when_first/) wherin I mentioned that my newly diagnosed T1 9yo and I were heading off to summer scout camp.
I was a little apprehensive going in, but right off the bat, at check in, I learned that one of the other adult leaders was diagnosed 10 years ago. He was amazing at putting both myself and my son at ease, and through the week I kept things well under control. I think we averaged 109 for the week. With all the exercise he kept on the low side, but we also had plenty of snacks and ate pretty well, lots of cheese and eggs, protein and apples.
Also, one of the kitchen staffers was also T1, and looked out for us. So many helpful people.
I made sure to get in treats - a couple of times we got a packaged ice cream cone from the trading post - he ate the top part and I ate the cone and the ice cream inside it. 
We also made s'mores. On the night we made tin foil dinners, he had the insulin, but things weren't quite ready yet. I gave him a snack, but with the late meal and probably fewer carbs than expected, a while after dinner he went to new lows. He described feeling "like my eyes are in a different part of my head."  Our T1 leader said "yeah, I know exactly what you mean." When I checked him he was 43. 
[Nothing like a s'more to pull you back up.....](http://i.imgur.com/Ba0eSnk.jpg)
By the end of camp, I felt pretty in tune with my son, though I know it'll be much harder when he isn't being so physically active.
But the bottom line is - we can do this!
</t>
        </is>
      </c>
      <c r="D2228" t="n">
        <v>6</v>
      </c>
      <c r="E2228" t="n">
        <v>0</v>
      </c>
      <c r="F2228">
        <f>HYPERLINK("https://www.reddit.com/r/diabetes/comments/4t7z6h/back_from_summer_camp/")</f>
        <v/>
      </c>
      <c r="G2228" t="inlineStr">
        <is>
          <t>2016-07-16 20:33:04</t>
        </is>
      </c>
      <c r="H2228" t="inlineStr">
        <is>
          <t>Type 1</t>
        </is>
      </c>
    </row>
    <row r="2229">
      <c r="A2229" t="inlineStr">
        <is>
          <t>4t9z5y</t>
        </is>
      </c>
      <c r="B2229" t="inlineStr">
        <is>
          <t>Any cool foods you discovered after you were diagnosed?</t>
        </is>
      </c>
      <c r="C2229" t="inlineStr">
        <is>
          <t>I keep Greek yogurt pops in my freezer in case I really need a treat....they are about 10 carbs.</t>
        </is>
      </c>
      <c r="D2229" t="n">
        <v>15</v>
      </c>
      <c r="E2229" t="n">
        <v>30</v>
      </c>
      <c r="F2229">
        <f>HYPERLINK("https://www.reddit.com/r/diabetes/comments/4t9z5y/any_cool_foods_you_discovered_after_you_were/")</f>
        <v/>
      </c>
      <c r="G2229" t="inlineStr">
        <is>
          <t>2016-07-17 08:04:00</t>
        </is>
      </c>
      <c r="H2229" t="inlineStr">
        <is>
          <t>Type 1</t>
        </is>
      </c>
    </row>
    <row r="2230">
      <c r="A2230" t="inlineStr">
        <is>
          <t>4tatua</t>
        </is>
      </c>
      <c r="B2230" t="inlineStr">
        <is>
          <t>In UK without insurance -- any ways to get insulin? (Type 1)</t>
        </is>
      </c>
      <c r="C2230" t="inlineStr">
        <is>
          <t>I'll be staying for at least 4 more weeks and I'm about to run out of insulin. I'm working here, but for less than 6 months, and also I don't have an EU passport, so no NHS for me. I asked a pharmacist and visited 2 GPs and I'm told that I need to pay all the costs which will probably be about a couple of hundreds, which is crazy.
I know in the US we can get novolin or something like that for 20-30$ but, but the pharmacist I talked to here told me that that's not possible in the UK, but I thought T1Ds from UK might now better.
So in short, I'm wondering if it's possible for me to get insulin here with reasonable prices.
Thanks..</t>
        </is>
      </c>
      <c r="D2230" t="n">
        <v>3</v>
      </c>
      <c r="E2230" t="n">
        <v>25</v>
      </c>
      <c r="F2230">
        <f>HYPERLINK("https://www.reddit.com/r/diabetes/comments/4tatua/in_uk_without_insurance_any_ways_to_get_insulin/")</f>
        <v/>
      </c>
      <c r="G2230" t="inlineStr">
        <is>
          <t>2016-07-17 11:22:30</t>
        </is>
      </c>
      <c r="H2230" t="inlineStr">
        <is>
          <t>Type 1</t>
        </is>
      </c>
    </row>
    <row r="2231">
      <c r="A2231" t="inlineStr">
        <is>
          <t>4tc64b</t>
        </is>
      </c>
      <c r="B2231" t="inlineStr">
        <is>
          <t>Birth control and insulin resistance?</t>
        </is>
      </c>
      <c r="C2231" t="inlineStr">
        <is>
          <t>Hello folks!
28 yo female with type I.  I was diagnosed when I was 7.
A few years ago I started birth control to help regulate my periods and stabilize my moods.  I used lo-estren, a low dose hormone birth control.
Well, this year I switched health insurance providers, and they don't want to pay for the lo-estren.  Instead now I'm taking trilosprintec, which has a higher dose of hormones.
I'm fairly certain that ever since I started *this* birth control, my insulin resistance has skyrocketed and my glucose levels much harder to control.
One option would be to stop and just have irregular periods, or maybe use progesterone a few times a year, but if you remember I mentioned that taking BC stabilizes my moods.  I have dysthymia and social anxiety, and the birth control does WONDERS for my social anxiety!  I'd rather not have to choose, but it seems like this is something I have to discuss seriously with my doctor, perhaps try to muscle my health insurance (Coventry) into paying for at least part of the low dose pills, or maybe do something else.
I'm posting to see if any other women on birth control have experienced this spike in insulin resistance or had a similar experience??
Thanks!</t>
        </is>
      </c>
      <c r="D2231" t="n">
        <v>7</v>
      </c>
      <c r="E2231" t="n">
        <v>9</v>
      </c>
      <c r="F2231">
        <f>HYPERLINK("https://www.reddit.com/r/diabetes/comments/4tc64b/birth_control_and_insulin_resistance/")</f>
        <v/>
      </c>
      <c r="G2231" t="inlineStr">
        <is>
          <t>2016-07-17 16:31:32</t>
        </is>
      </c>
      <c r="H2231" t="inlineStr">
        <is>
          <t>Type 1</t>
        </is>
      </c>
    </row>
    <row r="2232">
      <c r="A2232" t="inlineStr">
        <is>
          <t>4tdjl7</t>
        </is>
      </c>
      <c r="B2232" t="inlineStr">
        <is>
          <t>Two questions for T1D keto dieters</t>
        </is>
      </c>
      <c r="C2232" t="inlineStr">
        <is>
          <t>Hi /r/diabetes,
Got two questions. I am very confused on these two points (and, quite possibly, misunderstanding ketosis somehow)!
1. How did you handle exercise while you were moving onto the diet? Is it accurate to say that my NON-keto-adapted body would require glucose to power any exercise, potentially a lot, which in turn would move me out of ketosis? I don't want to stop exercising for 8-12 weeks until I am keto-adapted.
2. 10g of glucose raises my BGL 1.0 mmol/l (18mg/dl), so I imagine if I treated a hypo the same thing would happen as with exercise: I'd pop out of ketosis?
Thank you!</t>
        </is>
      </c>
      <c r="D2232" t="n">
        <v>13</v>
      </c>
      <c r="E2232" t="n">
        <v>25</v>
      </c>
      <c r="F2232">
        <f>HYPERLINK("https://www.reddit.com/r/diabetes/comments/4tdjl7/two_questions_for_t1d_keto_dieters/")</f>
        <v/>
      </c>
      <c r="G2232" t="inlineStr">
        <is>
          <t>2016-07-17 22:10:42</t>
        </is>
      </c>
      <c r="H2232" t="inlineStr">
        <is>
          <t>Type 1</t>
        </is>
      </c>
    </row>
    <row r="2233">
      <c r="A2233" t="inlineStr">
        <is>
          <t>4tf9a8</t>
        </is>
      </c>
      <c r="B2233" t="inlineStr">
        <is>
          <t>Raise of 5 mmol/l (90mg/dl) 2.5 hours after meal?</t>
        </is>
      </c>
      <c r="C2233" t="inlineStr">
        <is>
          <t>Hey,
I just have a quick question (I think). I am a T1D/MDI, fairly recently diagnosed (late last year). I was taking 18 units of long lasting (Lantus) but have been moving it up myself by 2 units every few days. I've landed at 32u of my long lasting now and it seems to be okay, I'm not hitting lows, and my levels about 5 to 6 hours after a meal are within target (longer than I'd like to wait). I'm thinking my body was probably still making insulin initially and probably isn't anymore.
Today, I was at 6.8 mmol/l (122 mg/dl) before eating. I took 15u of my rapid acting (Apidra) and then ate 58g of carbs using an IC of about 4.5. I tested about 2.5 hours later I shot up to 11.7 mmol/l (210 mg/dl). Would this be a sign that I would need more long lasting or more rapid? I have an appointment with my dietitian but that's not until mid-August so any suggestions would be helpful!
Thanks! 
Update: about 5 hours later I'm at 6.9 mmol/L again</t>
        </is>
      </c>
      <c r="D2233" t="n">
        <v>1</v>
      </c>
      <c r="E2233" t="n">
        <v>9</v>
      </c>
      <c r="F2233">
        <f>HYPERLINK("https://www.reddit.com/r/diabetes/comments/4tf9a8/raise_of_5_mmoll_90mgdl_25_hours_after_meal/")</f>
        <v/>
      </c>
      <c r="G2233" t="inlineStr">
        <is>
          <t>2016-07-18 06:45:28</t>
        </is>
      </c>
      <c r="H2233" t="inlineStr">
        <is>
          <t>Type 1</t>
        </is>
      </c>
    </row>
    <row r="2234">
      <c r="A2234" t="inlineStr">
        <is>
          <t>4thd7g</t>
        </is>
      </c>
      <c r="B2234" t="inlineStr">
        <is>
          <t>Event for Type Ones in the Pacific Northwest, USA</t>
        </is>
      </c>
      <c r="C2234" t="inlineStr">
        <is>
          <t xml:space="preserve">This community helped me a ton when I was first diagnosed (even if I've been mostly just a lurker since then) so I'd love to meet some of you in person! They just had a great event in Austin, TX and I believe the next one with be in Philly!  (These are not my events, but I'm one of the organizers for the Portland event, as well as friends with the founder, for full clarity ;) )
The spiel:
Come join Type Ones August 20th from all around the Pacific Northwest at Bolus and Barbells! Bolus and Barbells has teamed up with Cleans for a Cure to bridge one of the gaps in support for T1Ds and host a great day of speakers, athletic activities (everyone from beginners to professional athletes is welcome), and community building.
To register, answer further questions, or order a T-shirt or tank top please visit: www.bolusandbarbells.com
[Facebook page for the event.](https://www.facebook.com/events/143878969365673/) 
Flier for event:
[Imgur](http://i.imgur.com/MdRCUb6.jpg?1)
Hopefully this isn't too spamy, but I'm pretty stoked for it so hopefully some of you decide to come to this or a future event! </t>
        </is>
      </c>
      <c r="D2234" t="n">
        <v>1</v>
      </c>
      <c r="E2234" t="n">
        <v>2</v>
      </c>
      <c r="F2234">
        <f>HYPERLINK("https://www.reddit.com/r/diabetes/comments/4thd7g/event_for_type_ones_in_the_pacific_northwest_usa/")</f>
        <v/>
      </c>
      <c r="G2234" t="inlineStr">
        <is>
          <t>2016-07-18 14:00:25</t>
        </is>
      </c>
      <c r="H2234" t="inlineStr">
        <is>
          <t>Type 1</t>
        </is>
      </c>
    </row>
    <row r="2235">
      <c r="A2235" t="inlineStr">
        <is>
          <t>4thues</t>
        </is>
      </c>
      <c r="B2235" t="inlineStr">
        <is>
          <t>Complications</t>
        </is>
      </c>
      <c r="C2235" t="inlineStr">
        <is>
          <t>I'm freaking out about complications, I have no idea how you even get them, is it random for everyone?, even if your levels are on the target range your eyes and kidneys can still fuck up? I don't want to lose my leg, someone give me a 101 on complications and what are the chances of one having them? I know good levels can "prevent" it, but I'm also being told that anyone can get them no matter what, so what the heck?</t>
        </is>
      </c>
      <c r="D2235" t="n">
        <v>2</v>
      </c>
      <c r="E2235" t="n">
        <v>4</v>
      </c>
      <c r="F2235">
        <f>HYPERLINK("https://www.reddit.com/r/diabetes/comments/4thues/complications/")</f>
        <v/>
      </c>
      <c r="G2235" t="inlineStr">
        <is>
          <t>2016-07-18 15:44:27</t>
        </is>
      </c>
      <c r="H2235" t="inlineStr">
        <is>
          <t>Type 1</t>
        </is>
      </c>
    </row>
    <row r="2236">
      <c r="A2236" t="inlineStr">
        <is>
          <t>4tiisb</t>
        </is>
      </c>
      <c r="B2236" t="inlineStr">
        <is>
          <t>Just started on fast acting insulin - Are these glucose numbers good?</t>
        </is>
      </c>
      <c r="C2236" t="inlineStr">
        <is>
          <t>So I was on Lantus for 2 months following my diagnosis, but now I'm on fast acting Novolog flexpens, and I've noticed immediate improvement of my glucose, and I've been able to be MUCH more flexible in my diet plan. It's great. But I'm not sure exactly what I should be aiming for.  
Right now, my insulin to carb ratio is 1:30, and it seems to be ok I guess?  
Before I was on fast acting, I would eat 60 carbs, and then have my glucose be at 170mg.  
Now, I eat 60 carbs, and it is 100-141mg. Is that good? Too low? Too high?  
I'm looking at my chart right now, and for the two times I've eaten a 120 carb meal, it was 150mg-160mg. Those are both the highest numbers it's been so far.  
Am I doing good? I'm really paranoid about this sorta thing. I wanna make sure I'm on top of this and in good control, and don't have to discuss adjusting the carb ratio.</t>
        </is>
      </c>
      <c r="D2236" t="n">
        <v>3</v>
      </c>
      <c r="E2236" t="n">
        <v>6</v>
      </c>
      <c r="F2236">
        <f>HYPERLINK("https://www.reddit.com/r/diabetes/comments/4tiisb/just_started_on_fast_acting_insulin_are_these/")</f>
        <v/>
      </c>
      <c r="G2236" t="inlineStr">
        <is>
          <t>2016-07-18 18:13:49</t>
        </is>
      </c>
      <c r="H2236" t="inlineStr">
        <is>
          <t>Type 1</t>
        </is>
      </c>
    </row>
    <row r="2237">
      <c r="A2237" t="inlineStr">
        <is>
          <t>4timsd</t>
        </is>
      </c>
      <c r="B2237" t="inlineStr">
        <is>
          <t>How bad is it to forget a day of Lantus?</t>
        </is>
      </c>
      <c r="C2237" t="inlineStr">
        <is>
          <t>Okay, a little backstory. This is all very new to me. I was hospitalized with pneumonia complications in March that ended in me having surgery on my pleural cavity. While I was hospitalized I was diagnosed with T2 and immediately put on metformin, lantus, and humalog. My doctor didn't tell me my A1C score when I was hospitalized. Her reasoning was that I was very sick and she thought it would discourage me. Since then I've gotten my A1C down to 6.2. 
This morning I just plumb forgot to take my lantus before I left for work. I didn't have any issues keeping my blood sugar under control though. I tested before each meal and was under 100 each time. Is this normal? Is long-acting insulin just a backup in case I can't handle it with my short-acting insulin? Or does missing long-acting insulin more of a danger when done for prolonged periods of time?</t>
        </is>
      </c>
      <c r="D2237" t="n">
        <v>3</v>
      </c>
      <c r="E2237" t="n">
        <v>11</v>
      </c>
      <c r="F2237">
        <f>HYPERLINK("https://www.reddit.com/r/diabetes/comments/4timsd/how_bad_is_it_to_forget_a_day_of_lantus/")</f>
        <v/>
      </c>
      <c r="G2237" t="inlineStr">
        <is>
          <t>2016-07-18 18:39:12</t>
        </is>
      </c>
      <c r="H2237" t="inlineStr">
        <is>
          <t>Type 2</t>
        </is>
      </c>
    </row>
    <row r="2238">
      <c r="A2238" t="inlineStr">
        <is>
          <t>4tqbfa</t>
        </is>
      </c>
      <c r="B2238" t="inlineStr">
        <is>
          <t>High heart rate?</t>
        </is>
      </c>
      <c r="C2238" t="inlineStr">
        <is>
          <t>I figure you guys are the right ones to ask about this.
My heart rate goes... fast. Like, 120 kinda fast. Always lasts for a little over a minute and then dies back down.
I'm 22 years old, 150lb. and I don't smoke/no drugs/barely have any fucking coffee (Though I do drink diet soda)
The only thing negative that I think could do it is the fact that I'm diabetic, but my blood sugars are always 80-90. They barely ever even go higher than 100. I'm just that good at controlling it. (It does hit 104-105 during activity.)
The bump in heart rate normally happens whenever I stand after sitting/laying down for a while, or after eating.
Any ideas?
Any ideas on how I could fix it?
Before anyone asks, Blood tests come back perfect, cholesterol was actually a little bit low last time (Last month) and my blood pressure has always been perfect.
Last part: Am I just freaking out again? This may be one of those times where I'm tired and don't realize my anxiety is messing with me. I'm honestly wondering if I should take my prescription for it now in case I start going into panic mode.</t>
        </is>
      </c>
      <c r="D2238" t="n">
        <v>1</v>
      </c>
      <c r="E2238" t="n">
        <v>11</v>
      </c>
      <c r="F2238">
        <f>HYPERLINK("https://www.reddit.com/r/diabetes/comments/4tqbfa/high_heart_rate/")</f>
        <v/>
      </c>
      <c r="G2238" t="inlineStr">
        <is>
          <t>2016-07-20 02:13:28</t>
        </is>
      </c>
      <c r="H2238" t="inlineStr">
        <is>
          <t>Type 2</t>
        </is>
      </c>
    </row>
    <row r="2239">
      <c r="A2239" t="inlineStr">
        <is>
          <t>4tr1xt</t>
        </is>
      </c>
      <c r="B2239" t="inlineStr">
        <is>
          <t>Making a change.</t>
        </is>
      </c>
      <c r="C2239" t="inlineStr">
        <is>
          <t>After being an Animas pumper for the past 10 years (2020, then OneTouch Ping, then upgraded to a Vibe), I've recently decided to leave the Animas fold and go to Tandem.  It's not so much the fancy touchscreen interface so much as the t:flex's 480 unit capacity.  
I've been on U-500 for the past year and a half or so and I've had terrible control.  My highs seem to stay high (pump myself full of insulin all day long but I'm above 250) and my lows are extraordinarily difficult to get up (some nights I drop below 80, eat 60+ grams of carbs with NO insulin, and within an hour it's spiked at 180 or so and is crashing back down again).  My endo feels that the U-500 may be throwing me off since it takes longer to act and stays in the body longer.  But if I went back to U-100 again I'd be changing my pump every day (on average I use the U-100 equivalent of ~140 units of insulin, some days 200).
So, I'm going with the t:flex which should allow me to wear the pump for two or three days, hoping for some better outcomes.  What makes me uncomfortable is the 5 year insurance commitment.  With artificial pancreases finally getting some steam behind them, I don't want to be missing out on the benefits of a closed loop system for years waiting for my warranty to run out if one miraculously does make it through the FDA's approval process.
I'm 36, and have been diabetic for 19 years.  I'll be nearly 42 when I'm eligible to upgrade again.  But I've decided that the opportunity for better outcomes now is worth going ahead and taking the plunge, instead of trying to make due for several more years.</t>
        </is>
      </c>
      <c r="D2239" t="n">
        <v>3</v>
      </c>
      <c r="E2239" t="n">
        <v>14</v>
      </c>
      <c r="F2239">
        <f>HYPERLINK("https://www.reddit.com/r/diabetes/comments/4tr1xt/making_a_change/")</f>
        <v/>
      </c>
      <c r="G2239" t="inlineStr">
        <is>
          <t>2016-07-20 06:10:42</t>
        </is>
      </c>
      <c r="H2239" t="inlineStr">
        <is>
          <t>Type 1</t>
        </is>
      </c>
    </row>
    <row r="2240">
      <c r="A2240" t="inlineStr">
        <is>
          <t>4ts3z5</t>
        </is>
      </c>
      <c r="B2240" t="inlineStr">
        <is>
          <t>Pumps and insurance</t>
        </is>
      </c>
      <c r="C2240" t="inlineStr">
        <is>
          <t>I know it's probably different for every insurance company, but does anyone know how often on average they make you wait before you can get a new pump/CGM? 
My endo asked me if I wanted a pump and without telling me the options just signed me up to get the MiniMed 530g/Enlite CGM, and just recently I discovered the t:slim. I know that without a doubt if I was given a choice I would have picked the t:slim and I can't help but feel screwed over by my doc. I DID know about the Dexcom but ended up getting the Enlite because of threshold suspend. When I found out that the t:slim/Dexcom work like the MiniMed/Enlite I became even more furious. I have a secondary insurance, so I'm going to try that, but in case it doesn't work I was curious how long I'm going to have to wait to upgrade.</t>
        </is>
      </c>
      <c r="D2240" t="n">
        <v>3</v>
      </c>
      <c r="E2240" t="n">
        <v>22</v>
      </c>
      <c r="F2240">
        <f>HYPERLINK("https://www.reddit.com/r/diabetes/comments/4ts3z5/pumps_and_insurance/")</f>
        <v/>
      </c>
      <c r="G2240" t="inlineStr">
        <is>
          <t>2016-07-20 09:53:32</t>
        </is>
      </c>
      <c r="H2240" t="inlineStr">
        <is>
          <t>Type 1</t>
        </is>
      </c>
    </row>
    <row r="2241">
      <c r="A2241" t="inlineStr">
        <is>
          <t>4ts73k</t>
        </is>
      </c>
      <c r="B2241" t="inlineStr">
        <is>
          <t>How soon did you get a pump?</t>
        </is>
      </c>
      <c r="C2241" t="inlineStr">
        <is>
          <t xml:space="preserve">I was diagnosed about 3 months ago.
I had a visit with my endo a few weeks ago, and had blood drawn for my next round of lab work. This will be my first round done since diagnosis (fingers crossed for ballin A1C and no more cholesterol medicine needed).
During my visit, he encouraged me to get on a pump and CGM as soon as possible, and that my insurance would cover it.
I'm definitely interested in a CGM and getting one ASAP, but right now a pump just freaks me out. I hate even having a bracelet or watch on, so I can't imagine living with all of the "accessories" of a pump. Not too mention I am a VERY active sleeper, as is my SO. We are constantly getting all twisted and wrapped up in the sheets. We also have a super stubborn 50lb dog that loves to jump into bed in the middle of the night and climb all over you trying to get under the sheets. I hear people pull their tubing out at night, or have to keep flipping it with them as they sleep. Does this really happen that often?
But I'm curious - how soon after being diagnosed did all of you T1's get a pump? Did you get a CGM at the same time? CGM first?
Do you wish you had done anything differently before getting a pump? </t>
        </is>
      </c>
      <c r="D2241" t="n">
        <v>5</v>
      </c>
      <c r="E2241" t="n">
        <v>62</v>
      </c>
      <c r="F2241">
        <f>HYPERLINK("https://www.reddit.com/r/diabetes/comments/4ts73k/how_soon_did_you_get_a_pump/")</f>
        <v/>
      </c>
      <c r="G2241" t="inlineStr">
        <is>
          <t>2016-07-20 10:10:46</t>
        </is>
      </c>
      <c r="H2241" t="inlineStr">
        <is>
          <t>Type 1</t>
        </is>
      </c>
    </row>
    <row r="2242">
      <c r="A2242" t="inlineStr">
        <is>
          <t>4tsmkg</t>
        </is>
      </c>
      <c r="B2242" t="inlineStr">
        <is>
          <t>Help Us Predict Insulin Dosage using Photos! A machine learning/vision approach to insulin dosing which could use your help.</t>
        </is>
      </c>
      <c r="C2242" t="inlineStr">
        <is>
          <t xml:space="preserve">My friends and I are starting a project whose eventual goal is to create an app where you can take a photo of what you're planning on eating, and get a response back on how much insulin you might need to dose in response to that food to maintain adequate blood glucose levels. From what we can tell, this would be most useful for people who are trying food types they've never had, i.e. you're on a trip to Asia and want to try dragonfruit. Or folks who are just starting out, trying to figure out their own specific responses to insulin. What we've found after having talked to T1Ds is that they basically can look at food and know how much insulin they might need, which to us means this is a great machine learning/vision project. And also from what we can tell, no one has done it yet. 
One of the main things we're trying to accomplish is to determine the distribution of insulin dosages, rather than the specific number. Your personal sensitivity (as a function of time of day, activity level, etc.) obviously is changing over time, but likely falls into a narrow window of the total distribution of required insulin dosages. So essentially we want to use crowd sourced data to understand the distribution for as many foods as possible, and use that to help people who are encountering foods for the first time, or just getting started understanding their own insulin responses. 
We think we can learn to predict these responses initially through some training dataset by showing experts (you all!) pictures of food and having you enter how many IUs of insulin you'd generally dose if you were to eat/drink that entire picture of food. If any of you find this idea intriguing and want to help out, the [website](http://django-env.jkm5pieqgn.us-west-2.elasticbeanstalk.com/insulin_dose/) is up here. Basically you'll be shown pictures of food and you can enter how much insulin you personally would need. You can also click around and see pictures of who we are, and what we're trying to do [here](http://www.cause.ai). If anyone has any comments/questions about how we can best serve you guys, please let us know! 
</t>
        </is>
      </c>
      <c r="D2242" t="n">
        <v>0</v>
      </c>
      <c r="E2242" t="n">
        <v>13</v>
      </c>
      <c r="F2242">
        <f>HYPERLINK("https://www.reddit.com/r/diabetes/comments/4tsmkg/help_us_predict_insulin_dosage_using_photos_a/")</f>
        <v/>
      </c>
      <c r="G2242" t="inlineStr">
        <is>
          <t>2016-07-20 11:37:06</t>
        </is>
      </c>
      <c r="H2242" t="inlineStr">
        <is>
          <t>Type 1</t>
        </is>
      </c>
    </row>
    <row r="2243">
      <c r="A2243" t="inlineStr">
        <is>
          <t>4ttvh4</t>
        </is>
      </c>
      <c r="B2243" t="inlineStr">
        <is>
          <t>Swimming/water vacation tips for new pump user?</t>
        </is>
      </c>
      <c r="C2243" t="inlineStr">
        <is>
          <t xml:space="preserve">First post on this sub so be gentle!  34 y/o, diagnosed Type 1 at 15 in 1997.  I switched from MDI to a Medtronic Revel pump in December of this year.  Love it, not going back.  I'm about to go on my first summer vacation with the pump, and could use some advice/tips/best practices for water activities and beach time.  These questions may be specific to the Medtronic pumps that are not waterproof.
Some questions:
- First things first - air travel. How many of you actually ask for a pat down at the airport? I was told not to go through the body scanner and get a manual pat down instead.  I was in JFK recently, and saw a fellow pump user go through the body scanner, no sweat, and i wondered if i was being overly cautious.  Thoughts?
- Pool time - if you disconnect for an hour or so, do you bolus? After disconnecting, do you reconnect and if so, for how long before disconnecting again?
- Hot tubs/pools - do you ever sit in the pool or tub still connected with your pump outside of it on the side or on the ledge of the pool?  
- Water sports - tubing, rafting, etc.  Any tips?  
- Bathing suits - for the ladies, do you just hook it  onto your bikini bottom? your top? What's the best site for bathing suit wear?
Is the general approach to just disconnect when in doubt, so as not to risk the pump getting wet?
Thanks in advance! i get so much out of just lurking on this sub, and I appreciate the community and support that I don't get IRL.  
</t>
        </is>
      </c>
      <c r="D2243" t="n">
        <v>3</v>
      </c>
      <c r="E2243" t="n">
        <v>6</v>
      </c>
      <c r="F2243">
        <f>HYPERLINK("https://www.reddit.com/r/diabetes/comments/4ttvh4/swimmingwater_vacation_tips_for_new_pump_user/")</f>
        <v/>
      </c>
      <c r="G2243" t="inlineStr">
        <is>
          <t>2016-07-20 15:53:18</t>
        </is>
      </c>
      <c r="H2243" t="inlineStr">
        <is>
          <t>Type 1</t>
        </is>
      </c>
    </row>
    <row r="2244">
      <c r="A2244" t="inlineStr">
        <is>
          <t>4tvnlc</t>
        </is>
      </c>
      <c r="B2244" t="inlineStr">
        <is>
          <t>Neuropathy in controlled T1D of only 3 years?</t>
        </is>
      </c>
      <c r="C2244" t="inlineStr">
        <is>
          <t>I was under the impression that Neuropathy usually occurs when you're blood sugar is consistently uncontrolled and usually appears after years and years of having the disease.
However, I get the feeling in my feet of both tingling and as if I'm wearing socks when when I'm not. I also get the feeling above my knee's as if someone set a hot plate on top of them. The latter comes and goes but usually, and especially at night, do I get the feeling in my feet.
My A1C's have always ranged from the mid 5's to low 6's. Never above 6.1 since diagnosis just 3 years ago.
Is this normal? What can I do about it?</t>
        </is>
      </c>
      <c r="D2244" t="n">
        <v>5</v>
      </c>
      <c r="E2244" t="n">
        <v>6</v>
      </c>
      <c r="F2244">
        <f>HYPERLINK("https://www.reddit.com/r/diabetes/comments/4tvnlc/neuropathy_in_controlled_t1d_of_only_3_years/")</f>
        <v/>
      </c>
      <c r="G2244" t="inlineStr">
        <is>
          <t>2016-07-20 23:27:59</t>
        </is>
      </c>
      <c r="H2244" t="inlineStr">
        <is>
          <t>Type 1</t>
        </is>
      </c>
    </row>
    <row r="2245">
      <c r="A2245" t="inlineStr">
        <is>
          <t>4txv9s</t>
        </is>
      </c>
      <c r="B2245" t="inlineStr">
        <is>
          <t>Newly Diagnosed with Type 2</t>
        </is>
      </c>
      <c r="C2245" t="inlineStr">
        <is>
          <t>Hi all, 
I was diagnosed with type-2 diabetes about 3 months ago.  My blood sugars fasting back then were in the high 300's and since then I have used a combination of diet, exercise and metformin to bring my numbers down to non-diabetic ranges. 
Now that I got the background out of the way i do have question.  Has anyone ever felt light headed and unable to focus while being newly diagnosed? I check my blood glucose regularly and it doesn't seem to be hypoglycemia.  I'll go through times where things feel fine and other times where it's to the point where I'll have to leave work early or not go in at all because of these "heady" feelings.
I just wanted to no see if anyone else has felt this way and if there was anyway to prevent this from happening. Or if this is a normal phase that I might be going through since  my blood sugars were high for so long and my body is trying to adjust. Thanks in advanced everyone.</t>
        </is>
      </c>
      <c r="D2245" t="n">
        <v>4</v>
      </c>
      <c r="E2245" t="n">
        <v>9</v>
      </c>
      <c r="F2245">
        <f>HYPERLINK("https://www.reddit.com/r/diabetes/comments/4txv9s/newly_diagnosed_with_type_2/")</f>
        <v/>
      </c>
      <c r="G2245" t="inlineStr">
        <is>
          <t>2016-07-21 09:31:47</t>
        </is>
      </c>
      <c r="H2245" t="inlineStr">
        <is>
          <t>Type 2</t>
        </is>
      </c>
    </row>
    <row r="2246">
      <c r="A2246" t="inlineStr">
        <is>
          <t>4tyj85</t>
        </is>
      </c>
      <c r="B2246" t="inlineStr">
        <is>
          <t>Another good endo appointment ... thanks Dexcom!</t>
        </is>
      </c>
      <c r="C2246" t="inlineStr">
        <is>
          <t>I just had my 3rd appointment since I got my Dexcom G5 and it was another winner!
For quick background, I have had T1D for 19 years. Majority of the years were spent in the 6's A1C-wise, but I had started to get a bit lazy the last few years. Kids, job, diabetic-fatigue all came together and I ended up in the 7's, with a pair of 8's thrown in. It was time for a change.
My last 3 A1C's prior to the Dexcom were 7.7, 7.2, 7.7 respectively. The last 3 since my Dexcom? 6.2, 6.7, 6.2.
In this same time frame, I have lost 25 lbs., reduced my basal dose from 29u/day to 22u/day, and changed my bolus ratio from 1:7 to 1:9.
Whatever entities need to get together to put a CGM on *every* diabetic need to do it ASAP. This tiny device has single-handedly changed my regimen for the better.</t>
        </is>
      </c>
      <c r="D2246" t="n">
        <v>20</v>
      </c>
      <c r="E2246" t="n">
        <v>3</v>
      </c>
      <c r="F2246">
        <f>HYPERLINK("https://www.reddit.com/r/diabetes/comments/4tyj85/another_good_endo_appointment_thanks_dexcom/")</f>
        <v/>
      </c>
      <c r="G2246" t="inlineStr">
        <is>
          <t>2016-07-21 11:44:38</t>
        </is>
      </c>
      <c r="H2246" t="inlineStr">
        <is>
          <t>Type 1</t>
        </is>
      </c>
    </row>
    <row r="2247">
      <c r="A2247" t="inlineStr">
        <is>
          <t>4u2fiu</t>
        </is>
      </c>
      <c r="B2247" t="inlineStr">
        <is>
          <t>By what criteria is Type-2 diabetes considered "reversed?"</t>
        </is>
      </c>
      <c r="C2247" t="inlineStr">
        <is>
          <t xml:space="preserve">At what point is T2 diabetes considered to be "reversed?"  Is it a specified amount of time with glucose levels and a1c in the non-diabetic range?  Does it require some additional testing?  </t>
        </is>
      </c>
      <c r="D2247" t="n">
        <v>9</v>
      </c>
      <c r="E2247" t="n">
        <v>42</v>
      </c>
      <c r="F2247">
        <f>HYPERLINK("https://www.reddit.com/r/diabetes/comments/4u2fiu/by_what_criteria_is_type2_diabetes_considered/")</f>
        <v/>
      </c>
      <c r="G2247" t="inlineStr">
        <is>
          <t>2016-07-22 05:06:03</t>
        </is>
      </c>
      <c r="H2247" t="inlineStr">
        <is>
          <t>Type 2</t>
        </is>
      </c>
    </row>
    <row r="2248">
      <c r="A2248" t="inlineStr">
        <is>
          <t>4u3l1e</t>
        </is>
      </c>
      <c r="B2248" t="inlineStr">
        <is>
          <t>Type 1 Diabetes: medical minority? Discuss</t>
        </is>
      </c>
      <c r="C2248" t="inlineStr">
        <is>
          <t xml:space="preserve">I was recently speaking to a friend, and as I talked about being a minority in healthcare, they pointed out to me that I was not a medical minority. They claimed that transgender people are a medical minority, that gay men who are HIV positive are a minority, but type 1 diabetics are not. There are 1.25 million type one diabetics in the US, 1.2 HIV positive in the US, and less than 1 million transgendered people in the US. 
What do you think? Is there a cut off point for being a medical minority? There's less of us than there are of people who have cancer, though we die more often, there are more people suffering from heart disease than us. 
I had always been told it was quite uncommon to be T1D, though that was awhile back. I'm just curious to what others opinions are. </t>
        </is>
      </c>
      <c r="D2248" t="n">
        <v>7</v>
      </c>
      <c r="E2248" t="n">
        <v>36</v>
      </c>
      <c r="F2248">
        <f>HYPERLINK("https://www.reddit.com/r/diabetes/comments/4u3l1e/type_1_diabetes_medical_minority_discuss/")</f>
        <v/>
      </c>
      <c r="G2248" t="inlineStr">
        <is>
          <t>2016-07-22 09:23:26</t>
        </is>
      </c>
      <c r="H2248" t="inlineStr">
        <is>
          <t>Type 1</t>
        </is>
      </c>
    </row>
    <row r="2249">
      <c r="A2249" t="inlineStr">
        <is>
          <t>4u66ud</t>
        </is>
      </c>
      <c r="B2249" t="inlineStr">
        <is>
          <t>Bolus again to prevent a spike?</t>
        </is>
      </c>
      <c r="C2249" t="inlineStr">
        <is>
          <t>(So, yes everyone's different, no I'm not looking for specific medical advice, etc. etc. :)
Scenario: It's about two hours after you bolused (with pump) and ate dinner, and your CGM reads 8.0 (144) with double up-arrows. Looks like your timing or carb ratio was maybe off, but whatever: What do you do right now? Do you bolus a bit more? Wait another hour for the on-board insulin to continue to work, even if you'll go high in the meantime?
I want to be able to kick down the high before it has a chance to get bad, but also don't want to be chasing a low afterward...</t>
        </is>
      </c>
      <c r="D2249" t="n">
        <v>4</v>
      </c>
      <c r="E2249" t="n">
        <v>18</v>
      </c>
      <c r="F2249">
        <f>HYPERLINK("https://www.reddit.com/r/diabetes/comments/4u66ud/bolus_again_to_prevent_a_spike/")</f>
        <v/>
      </c>
      <c r="G2249" t="inlineStr">
        <is>
          <t>2016-07-22 18:52:10</t>
        </is>
      </c>
      <c r="H2249" t="inlineStr">
        <is>
          <t>Type 1</t>
        </is>
      </c>
    </row>
    <row r="2250">
      <c r="A2250" t="inlineStr">
        <is>
          <t>4u7kde</t>
        </is>
      </c>
      <c r="B2250" t="inlineStr">
        <is>
          <t>Why am I getting high blood sugars in the late morning?</t>
        </is>
      </c>
      <c r="C2250" t="inlineStr">
        <is>
          <t xml:space="preserve">Hey everyone, I have had type 1 diabetes for 1 year and am currently on 4 units of Lantus at night and Novorapid at mealtimes. Recently, I started getting pre-lunch numbers were too high (above 180) and my blood sugars started to increase about 3 hours after my breakfast. A couple of mornings have been really bad, with mid morning results (about 9 or 10 am) of 258 and 323. I have been managing this by taking extra correction doses of Novorapid, generally between 2 and 4 units throughout the morning, which seems to give good results.
Does anyone know why I might get a sudden increase in blood sugars in the late morning? I also noticed a similar but less pronounced increase in the 1-2 hours preceding dinner, although the pre-dinner numbers (108-144) were not as high as the pre-lunch ones.
A couple of things to note:
* My Lantus dose is correct as I usually get good pre-breakfast numbers (in the 90s) and a couple of times I have gone slightly low in the night, so I am reluctant to increase the Lantus
* I eat the same breakfast every day but this problem only started 2 weeks ago, so I don't think my food is an issue
* I don't think this is dawn phenomenon since my fasting numbers are good and it only happens after I've been awake a few hours
* I have not eaten anything between breakfast and lunch to cause the spike
* My cortisol is slightly high but my doctor is not concerned
</t>
        </is>
      </c>
      <c r="D2250" t="n">
        <v>1</v>
      </c>
      <c r="E2250" t="n">
        <v>7</v>
      </c>
      <c r="F2250">
        <f>HYPERLINK("https://www.reddit.com/r/diabetes/comments/4u7kde/why_am_i_getting_high_blood_sugars_in_the_late/")</f>
        <v/>
      </c>
      <c r="G2250" t="inlineStr">
        <is>
          <t>2016-07-23 02:25:01</t>
        </is>
      </c>
      <c r="H2250" t="inlineStr">
        <is>
          <t>Type 1</t>
        </is>
      </c>
    </row>
    <row r="2251">
      <c r="A2251" t="inlineStr">
        <is>
          <t>4u81ox</t>
        </is>
      </c>
      <c r="B2251" t="inlineStr">
        <is>
          <t>Fasting blood sugar of 79?</t>
        </is>
      </c>
      <c r="C2251" t="inlineStr">
        <is>
          <t>I just tested my blood sugar as soon as I woke up. I haven't eaten anything since 11:00PM last night, so I'm pretty sure I'm in fasting mode right about now. (It's past 8:00AM.)
How the ever loving hell is my fasting a 79? Isn't that super human for us?</t>
        </is>
      </c>
      <c r="D2251" t="n">
        <v>4</v>
      </c>
      <c r="E2251" t="n">
        <v>8</v>
      </c>
      <c r="F2251">
        <f>HYPERLINK("https://www.reddit.com/r/diabetes/comments/4u81ox/fasting_blood_sugar_of_79/")</f>
        <v/>
      </c>
      <c r="G2251" t="inlineStr">
        <is>
          <t>2016-07-23 05:36:22</t>
        </is>
      </c>
      <c r="H2251" t="inlineStr">
        <is>
          <t>Type 2</t>
        </is>
      </c>
    </row>
    <row r="2252">
      <c r="A2252" t="inlineStr">
        <is>
          <t>4u9oop</t>
        </is>
      </c>
      <c r="B2252" t="inlineStr">
        <is>
          <t>Freshman soon, any tips or advice?</t>
        </is>
      </c>
      <c r="C2252" t="inlineStr">
        <is>
          <t>This will be my first year going back to regular school since 6th grade. I started going to an alternative school then, but then it turned just... bad. I'm wondering if anyone has an advice in general or anything that might help a type 1 diabetic out, thanks! I'm really really anxious and this might help. Oh yeah freshman in high school... not like college or anything.</t>
        </is>
      </c>
      <c r="D2252" t="n">
        <v>1</v>
      </c>
      <c r="E2252" t="n">
        <v>2</v>
      </c>
      <c r="F2252">
        <f>HYPERLINK("https://www.reddit.com/r/diabetes/comments/4u9oop/freshman_soon_any_tips_or_advice/")</f>
        <v/>
      </c>
      <c r="G2252" t="inlineStr">
        <is>
          <t>2016-07-23 12:31:39</t>
        </is>
      </c>
      <c r="H2252" t="inlineStr">
        <is>
          <t>Type 1</t>
        </is>
      </c>
    </row>
    <row r="2253">
      <c r="A2253" t="inlineStr">
        <is>
          <t>4uabex</t>
        </is>
      </c>
      <c r="B2253" t="inlineStr">
        <is>
          <t>How damaging are occasional spikes that last for less than an hour?</t>
        </is>
      </c>
      <c r="C2253" t="inlineStr">
        <is>
          <t>*Title should have said "last for 1-2 hours" as I realize that a spike can happen from the time I eat until I test, usually 2 hours later.*
Over the last two weeks or so, I've become a bit more experimental and have tried to "guesstimate" my insulin bolus when eating meals at restaurants. Twice over the last two weeks, my BG was at about 170 after 2 hours. I then corrected and brought my BG down to within range (under 120) an hour later.
My question is: How damaging are these kinds of spikes? I'm wondering if I should stop guessing immediately to avoid this (usually I count my carbs using a calculator, then bolus but have been "freestyling" when going out to restaurants) or is this part of the learning process and I shouldn't sweat it too much as long as I correct and get back in range right away?
Bonus question: Can an insulin pump detect highs and bolus automatically, or do you have to first see the spike, then "dial in" the bolus?</t>
        </is>
      </c>
      <c r="D2253" t="n">
        <v>1</v>
      </c>
      <c r="E2253" t="n">
        <v>5</v>
      </c>
      <c r="F2253">
        <f>HYPERLINK("https://www.reddit.com/r/diabetes/comments/4uabex/how_damaging_are_occasional_spikes_that_last_for/")</f>
        <v/>
      </c>
      <c r="G2253" t="inlineStr">
        <is>
          <t>2016-07-23 15:01:07</t>
        </is>
      </c>
      <c r="H2253" t="inlineStr">
        <is>
          <t>Type 1.5/LADA</t>
        </is>
      </c>
    </row>
    <row r="2254">
      <c r="A2254" t="inlineStr">
        <is>
          <t>4uaboi</t>
        </is>
      </c>
      <c r="B2254" t="inlineStr">
        <is>
          <t>Did anyone's sense of taste change after a diagnosis? (Type 2)</t>
        </is>
      </c>
      <c r="C2254" t="inlineStr">
        <is>
          <t>I'm not sure if it's my medication or not, but adter my diagnosis of type 2, my taste buds changed. All foods taste different, even water. Anyone experience this? I'm not sure if it's in head.</t>
        </is>
      </c>
      <c r="D2254" t="n">
        <v>6</v>
      </c>
      <c r="E2254" t="n">
        <v>9</v>
      </c>
      <c r="F2254">
        <f>HYPERLINK("https://www.reddit.com/r/diabetes/comments/4uaboi/did_anyones_sense_of_taste_change_after_a/")</f>
        <v/>
      </c>
      <c r="G2254" t="inlineStr">
        <is>
          <t>2016-07-23 15:02:57</t>
        </is>
      </c>
      <c r="H2254" t="inlineStr">
        <is>
          <t>Type 2</t>
        </is>
      </c>
    </row>
    <row r="2255">
      <c r="A2255" t="inlineStr">
        <is>
          <t>4uagnt</t>
        </is>
      </c>
      <c r="B2255" t="inlineStr">
        <is>
          <t>[T1] Adjusting blood sugars after long-term hyperglycemia is truly difficult. Could anyone who has been through this share their story?</t>
        </is>
      </c>
      <c r="C2255" t="inlineStr">
        <is>
          <t>I am a type 1 diabetic for about 11 years now who has been on insulin for the last 6 of those. Following the rather long remission period I had immediately been set up with an insulin pump of which infusion sets caused immense allergies to me. During the next years I had progressively worse glycemic control, but my endo at the time ensured me each time that there was no problem with the pump and I was somehow at fault. Advice, which I assuredly consumed for a very long time.
The country I live in requires the treating endocrinologist to sign off on *any* insulin regimen changes (backwards, I know). So when it became abundantly clear that this treatment wasn't working, I set off to register under a new doctor, which, surprise surprise, instantly got me on a pump from a different manufacturer.
Long story short - I didn't know it was ever this easy to control my blood sugars. But right now, with my HbA1c of 11%, I absolutely cannot tolerate glycaemia of a normal range. My endo set a target of 10mmol/l (180mg/dl), which I am fairly able to get by. However, whenever I approach this target, I feel overwhelmingly hypoglycaemic. And if my blood glucose falls to about 8mmol/l (140mg/dl), the symptoms become serious enough for me to feel very weak and sometimes have a seizure. My doctor says this is reasonable as of right now and my hypoglycaemia threshold would improve over time.
But this has been an incredibly taxing time. The blood glucose I am to maintain keeps me in the gutter for 20 hours a day. Sometimes I can't sleep, sometimes I can't work and my new favourite pastime is measuring BG.
I would like someone who has been through similar circumstances tell me their story. Should I keep pressing harder on or relax with the blood sugars a little bit? How long do these things take?
TL;DR - HbA1c 11% following terrible pump therapy, currently OK, but target glycaemia range makes me want to die.</t>
        </is>
      </c>
      <c r="D2255" t="n">
        <v>18</v>
      </c>
      <c r="E2255" t="n">
        <v>10</v>
      </c>
      <c r="F2255">
        <f>HYPERLINK("https://www.reddit.com/r/diabetes/comments/4uagnt/t1_adjusting_blood_sugars_after_longterm/")</f>
        <v/>
      </c>
      <c r="G2255" t="inlineStr">
        <is>
          <t>2016-07-23 15:37:33</t>
        </is>
      </c>
      <c r="H2255" t="inlineStr">
        <is>
          <t>Type 1</t>
        </is>
      </c>
    </row>
    <row r="2256">
      <c r="A2256" t="inlineStr">
        <is>
          <t>4ubt9s</t>
        </is>
      </c>
      <c r="B2256" t="inlineStr">
        <is>
          <t>Help, My son is a type 1 and has had his jaw wired shut. I can't find Carb counts on any of his meds.</t>
        </is>
      </c>
      <c r="C2256" t="inlineStr">
        <is>
          <t>My son got his jaw broken on both sides and had to get surgery. He got a bar put in and has his jaw wired shut. He was sent home with a ton of meds, all liquid, all very sweet. I have been trying to look up the carbs on them and can't seem to find anything anywhere. He was sent home with: oxyCODONE, Sennosides 8.8, acetaminophen, all sweet red liquid. Does anybody know how many carbs are in any of these?</t>
        </is>
      </c>
      <c r="D2256" t="n">
        <v>12</v>
      </c>
      <c r="E2256" t="n">
        <v>20</v>
      </c>
      <c r="F2256">
        <f>HYPERLINK("https://www.reddit.com/r/diabetes/comments/4ubt9s/help_my_son_is_a_type_1_and_has_had_his_jaw_wired/")</f>
        <v/>
      </c>
      <c r="G2256" t="inlineStr">
        <is>
          <t>2016-07-23 21:57:51</t>
        </is>
      </c>
      <c r="H2256" t="inlineStr">
        <is>
          <t>Type 1</t>
        </is>
      </c>
    </row>
    <row r="2257">
      <c r="A2257" t="inlineStr">
        <is>
          <t>4uc99f</t>
        </is>
      </c>
      <c r="B2257" t="inlineStr">
        <is>
          <t>Metformin 24hr: Duration of Side Effects?</t>
        </is>
      </c>
      <c r="C2257" t="inlineStr">
        <is>
          <t>Morning all!  I didn't see a thread in the search that discusses this in general.  There was some commentary on a previous post of mine where the 24hr type was recommended as having less gastrointestinal impact than the original, plain Metformin.
I brought it up with my endo and he agreed it's worth a shot.  I've so far taken two doses, and *that* side effect (you know the one) has already hit me in full force, along with some righteous abdominal cramps.
So my question for those of you on the 24hr formula is, how long did it take for the side effects to subside?  Metformin is the only drug that's ever had an impact on my randoms or my A1c, so I'd really like to tough it out if I can swing it.  I just may need to wait on titrating up to the prescribed dose while the gut settles itself.
Thanks!</t>
        </is>
      </c>
      <c r="D2257" t="n">
        <v>1</v>
      </c>
      <c r="E2257" t="n">
        <v>10</v>
      </c>
      <c r="F2257">
        <f>HYPERLINK("https://www.reddit.com/r/diabetes/comments/4uc99f/metformin_24hr_duration_of_side_effects/")</f>
        <v/>
      </c>
      <c r="G2257" t="inlineStr">
        <is>
          <t>2016-07-24 00:39:31</t>
        </is>
      </c>
      <c r="H2257" t="inlineStr">
        <is>
          <t>Type 2</t>
        </is>
      </c>
    </row>
    <row r="2258">
      <c r="A2258" t="inlineStr">
        <is>
          <t>4ueedm</t>
        </is>
      </c>
      <c r="B2258" t="inlineStr">
        <is>
          <t>How long do ya'll keep your CGM sensors in?</t>
        </is>
      </c>
      <c r="C2258" t="inlineStr">
        <is>
          <t>So I've started the Medtronic Enlite CGM last sunday. Today would be 7 days since I started. My site feels good and my number are still accurate. 
Before I change the whole set I wanted to ask all you wonderful people here how long you usually keep your sensors in? (whether it be Dexcom or Medtronic)
Appreciate the feedback!</t>
        </is>
      </c>
      <c r="D2258" t="n">
        <v>3</v>
      </c>
      <c r="E2258" t="n">
        <v>14</v>
      </c>
      <c r="F2258">
        <f>HYPERLINK("https://www.reddit.com/r/diabetes/comments/4ueedm/how_long_do_yall_keep_your_cgm_sensors_in/")</f>
        <v/>
      </c>
      <c r="G2258" t="inlineStr">
        <is>
          <t>2016-07-24 11:42:30</t>
        </is>
      </c>
      <c r="H2258" t="inlineStr">
        <is>
          <t>Type 1</t>
        </is>
      </c>
    </row>
    <row r="2259">
      <c r="A2259" t="inlineStr">
        <is>
          <t>4ugyuq</t>
        </is>
      </c>
      <c r="B2259" t="inlineStr">
        <is>
          <t>How do I prevent lows, or feeling low when I'm cutting weight?</t>
        </is>
      </c>
      <c r="C2259" t="inlineStr">
        <is>
          <t>Since cutting I have dropped about 20 pounds of fat. I'm sitting at 230 pounds 20% body fat right now. Since leaning down I am getting what I have to assume is pseudo hypoglycemia. 
After lifting weights (vigorous workouts) within about half an hour I start to feel very low. I don't need to describe what low feels like, you're all aware. My carb intake is about 150 grams max per day, closer to 120. It's oatmeal and rice, that's it. 
My question is **how do I prevent this?** I can't exactly eat high carb and because of me cutting I need to keep my calories strict right now. My blood sugars run from 4 - 10 right now, verrrrrrry low amount of insulin (like 1 unit of humalog max a day and I sit around 4-7. Will my body ever get used to being normal range and not getting this pseudo hypoglycemia feeling anymore?</t>
        </is>
      </c>
      <c r="D2259" t="n">
        <v>2</v>
      </c>
      <c r="E2259" t="n">
        <v>18</v>
      </c>
      <c r="F2259">
        <f>HYPERLINK("https://www.reddit.com/r/diabetes/comments/4ugyuq/how_do_i_prevent_lows_or_feeling_low_when_im/")</f>
        <v/>
      </c>
      <c r="G2259" t="inlineStr">
        <is>
          <t>2016-07-24 22:17:16</t>
        </is>
      </c>
      <c r="H2259" t="inlineStr">
        <is>
          <t>Type 1</t>
        </is>
      </c>
    </row>
    <row r="2260">
      <c r="A2260" t="inlineStr">
        <is>
          <t>4ukna1</t>
        </is>
      </c>
      <c r="B2260" t="inlineStr">
        <is>
          <t>Just diagnosed 2 months ago with type 2 diabetes</t>
        </is>
      </c>
      <c r="C2260" t="inlineStr">
        <is>
          <t xml:space="preserve">I have since been on a crash course to eat better, lose weight and get in shape. I have lost over 30 lbs. in the last two months but I still need to drop another ten to fifteen to be where I need to be. My question is whether or not it is normal to feel exhausted? I have had a few days where I get home after work and literally feel like I can't hold my eyes open. My first thought was that either my sugar was too high or too low but I checked it and it was fine (100 - 108) each time. I fell asleep one day at 6:00 pm and slept until the next morning at 6:00 am. I am currently taking Metformin 500 mg twice a day with meals. I am 6'4" and now weigh 244 lbs. any help/advice would be greatly appreciated. </t>
        </is>
      </c>
      <c r="D2260" t="n">
        <v>1</v>
      </c>
      <c r="E2260" t="n">
        <v>20</v>
      </c>
      <c r="F2260">
        <f>HYPERLINK("https://www.reddit.com/r/diabetes/comments/4ukna1/just_diagnosed_2_months_ago_with_type_2_diabetes/")</f>
        <v/>
      </c>
      <c r="G2260" t="inlineStr">
        <is>
          <t>2016-07-25 13:09:50</t>
        </is>
      </c>
      <c r="H2260" t="inlineStr">
        <is>
          <t>Type 2</t>
        </is>
      </c>
    </row>
    <row r="2261">
      <c r="A2261" t="inlineStr">
        <is>
          <t>4ul3t0</t>
        </is>
      </c>
      <c r="B2261" t="inlineStr">
        <is>
          <t>type 2 since 2008, was doing fine, but in 4 months A1C went from 6.7 to 11</t>
        </is>
      </c>
      <c r="C2261" t="inlineStr">
        <is>
          <t>I'm not looking for any advice, just need to vent.  I've been t2 for 8 years.  It's a combo of bad genetics (I have an uncle who is 52, 6'1", 185lbs and is T2, mother, aunt and grandma also have T2 and none are even considered overweight) and obesity.  When diagnosed, I gave up sugar, lost 30 lbs, and kept that weight off (I'm still obese, just less so).
I was doing fine, and had an A1C test done in March along with some other routine bloodwork for an unrelated health issue (testicular cancer monitoring - I asked to have the A1C added at the time), it came back at 6.7.  I'm on Metformin 2x500mg, and have been for a while.  
Fast forward to May, and I forget my testing meter in Vegas.  NBD, I tell myself I'll get another one, but never get around to it.  I was really only testing a few times a week anyways (yeah, I know, bad idea, but it worked fine for 6+ years).  Apparently, in Vegas I also forgot hot to not eat all the carbs, and last week, asked my Oncologist (who I see every 3-4 months) to add an A1C to my blood work being done (I hate getting stabbed, so I always ask for this, and she always does).
Well, that number came back at 11.4!  I couldn't even believe it.  Though, in hindsight I knew something wasn't right, as I was urinating all the damn time the three weeks prior.
My previous high # was 7.4, and that was at diagnosis.  Worst of all, my wife and I started working out more this summer (right after I got back from Vegas).  I was doing 30 minutes of cardio, maybe 1-2 times a week, and we upped that to 3-4, often 5.  Plus, she signed up for Blue Apron and had taken over a lot of the cooking and we both started dropping weight.
I've gone from 307 to 286 since May 15th, and was super excited to get below 300 for the first time since I was 21 (I'm 34, 5' 11").  Well, if I had to guess, it's less from working out and eating better, and probably more from DKA.  I work in sales, and often eat out with customers, and I *though* I was making good menu choices, but apparently not.
I'm seeing my Dr. on Aug 9th, but the anxiety and self-loathing are really taking their toll...  Sleep is suffering, and my guts have been doing somersaults I got the tests back.  
I've stopped consuming carbs in an effort to get my glucose down (it's been anywhere from 174-303 since I got the A1C result) ASAP, but I'm pretty confident I'll be starting insulin soon, because even consuming &amp;lt;20g of carbs yesterday, it was over 200 this morning.  I just feel like a giant failure every time I test my glucose.
I mean, shit, I have everything going for me right now.  Wife and I just bought a gorgeous new house on lake, and I was all set to start boat shopping next month.  We have vacations booked and paid for next year, and my other health issue (the Testicular Cancer) has shown no sign of return for 20 months.  My job is going great, and so is hers, and I felt like we were living life incredibly well.  turns out, that might be true, but I'm pushing myself toward death that much quicker, or at a minimum expediting the effects of a disease that is entirely in my power to control and cure.
/rant
Thanks for letting me vent.</t>
        </is>
      </c>
      <c r="D2261" t="n">
        <v>5</v>
      </c>
      <c r="E2261" t="n">
        <v>7</v>
      </c>
      <c r="F2261">
        <f>HYPERLINK("https://www.reddit.com/r/diabetes/comments/4ul3t0/type_2_since_2008_was_doing_fine_but_in_4_months/")</f>
        <v/>
      </c>
      <c r="G2261" t="inlineStr">
        <is>
          <t>2016-07-25 14:42:56</t>
        </is>
      </c>
      <c r="H2261" t="inlineStr">
        <is>
          <t>Type 2</t>
        </is>
      </c>
    </row>
    <row r="2262">
      <c r="A2262" t="inlineStr">
        <is>
          <t>4ulqot</t>
        </is>
      </c>
      <c r="B2262" t="inlineStr">
        <is>
          <t>Just diagnosed Type 2, freaking out.</t>
        </is>
      </c>
      <c r="C2262" t="inlineStr">
        <is>
          <t xml:space="preserve">Last Monday I went into the doctor for some pain I had in the knuckle of my left index finger. She said it could be gout so ordered me a blood test to see if my uric acid was out of control. According to Kaiser I'm obese (M, 35 years old, 5'10" at 215lbs) so they automatically run the HB A1C thing. It turns out I had trigger finger, a tendon issue completely unrelated to anything, and as a bonus my A1C tested at 9.8% At first my doctor didn't even mention the A1C. Just said it wasn't gout and I should go to the orthopedic. I mentioned that I noticed the A1C and was wondering if I should be worried. She said not to worry and had me redo the test 2 days later just in case there was an error, she was unsure because I am asymptomatic. The second test came back 10.1% using a different lab. So I have diabetes.
As soon as I saw the result from the first test I immediately cut out all carbs from my diet and started running I run about 2 miles a day now. After my second A1C test my heart dropped and I couldn't stop crying for hours. I just don't know what to do now.  Last Friday (so just under a week of finding out) I had my appointment to get a meter and start Metformin. They showed me how to use the meter and I tested 144mg/dl just over 2 hours after eating. I decided to wait and test myself a couple more times before starting medication. My post dinner (2 hours after my first bite) was 142mg/dl and my fasting reading was 140mg/dl (all without Metformin). At this point my heart sank and I died a little inside. My wife tested herself just so we could compare, both times, after dinner and fasting, she rocked a solid 89mg/dl.
I need support. I have friends and family that have been very sympathetic and have offered to work out with me and help me with my diet, but I really want some extra support from people with diabetes. Is this a decently active reddit community? Is there another place I should be looking? 
Am I freaking out for no good reason? Does anyone have some wisdom for me as I move forward? I've got a thousand questions running through my head and I can't google them fast enough to give me some peace. Someone tell me what your situation is and that it won't be so bad for me. I'm just lost and freaking out.
TL;DR - I just found out I have diabetes type 2. I had not idea and it hit my like a ton of bricks. I'm freaking out.
</t>
        </is>
      </c>
      <c r="D2262" t="n">
        <v>1</v>
      </c>
      <c r="E2262" t="n">
        <v>16</v>
      </c>
      <c r="F2262">
        <f>HYPERLINK("https://www.reddit.com/r/diabetes/comments/4ulqot/just_diagnosed_type_2_freaking_out/")</f>
        <v/>
      </c>
      <c r="G2262" t="inlineStr">
        <is>
          <t>2016-07-25 17:01:36</t>
        </is>
      </c>
      <c r="H2262" t="inlineStr">
        <is>
          <t>Type 2</t>
        </is>
      </c>
    </row>
    <row r="2263">
      <c r="A2263" t="inlineStr">
        <is>
          <t>4upffn</t>
        </is>
      </c>
      <c r="B2263" t="inlineStr">
        <is>
          <t>Hiking Four Mile Trail to Glacier Point in Yosemite--Help!</t>
        </is>
      </c>
      <c r="C2263" t="inlineStr">
        <is>
          <t>Hey everyone! This coming weekend (7/30-7/31) I'll be making a day hike of the strenuous Four Mile trail from the Yosemite Valley to Glacier Point and am freaking out a bit about my diabetes prep. I was dx'd with type 1 in 2014 (24/F) and just transitioned from MDI to an Omnipod this past January. My basal insulin rate is 0.65u/hr and my insulin to carb ratio is 1:30. I have a really difficult time keeping a safe blood sugar while working out (I don't feel comfortable with anything below 150 honestly) and frequently go low despite using a 'temp basal' setting of zero insulin delivery. I hiked a fairly strenuous 6-mile trail near Grant Grove at King's Canyon/Sequoia with my partner the other weekend and wound up finishing the trail with a blood sugar of 48 and was a complete mess. The Four Mile trail at Yosemite will be a 3,200' change in elevation from the valley to glacier point and a 9.6-mile round trip (I can take a shuttle from the top back to the valley if I really feel like I can't make the full trip, but I really, really want to make the full trip to make up for the other weekend and prove to myself that I can do this). I'd really appreciate any tips or tricks any diabetics might have for maintaining level blood sugars during prolonged physical activity (this trip should take me 4-5 hours round trip). Is it safe if I carb load for breakfast, turn my pump off, and keep a high blood sugar (300 is the highest number I've seen following my diagnosis)? Should I adjust my basal to be super low so that I don't risk spilling ketones OR going low? I plan to set timers on my phone every 15 minutes to remind myself to take frequent breaks, bought a new Camelbak (on sale!) that will hold 3L (will have to bring a Nalgene or something for another L), picked up trekking poles, and plan to bring plenty of Clif bars since they keep my blood sugar pretty high. I'm a newbie hiker so I really don't know what to expect! Any feedback is appreciated :)</t>
        </is>
      </c>
      <c r="D2263" t="n">
        <v>1</v>
      </c>
      <c r="E2263" t="n">
        <v>4</v>
      </c>
      <c r="F2263">
        <f>HYPERLINK("https://www.reddit.com/r/diabetes/comments/4upffn/hiking_four_mile_trail_to_glacier_point_in/")</f>
        <v/>
      </c>
      <c r="G2263" t="inlineStr">
        <is>
          <t>2016-07-26 09:14:30</t>
        </is>
      </c>
      <c r="H2263" t="inlineStr">
        <is>
          <t>Type 1</t>
        </is>
      </c>
    </row>
    <row r="2264">
      <c r="A2264" t="inlineStr">
        <is>
          <t>4upprg</t>
        </is>
      </c>
      <c r="B2264" t="inlineStr">
        <is>
          <t>Bolus in the morning?</t>
        </is>
      </c>
      <c r="C2264" t="inlineStr">
        <is>
          <t>Since I've started on my CGM, I've noticed how bad my blood sugar spikes in the morning. It'll be in normal range and then shoot straight up around the time I woke up. Would bolusing in the morning help this? I don't know if I could change my basal because I'm not on a regulated sleeping schedule.</t>
        </is>
      </c>
      <c r="D2264" t="n">
        <v>2</v>
      </c>
      <c r="E2264" t="n">
        <v>28</v>
      </c>
      <c r="F2264">
        <f>HYPERLINK("https://www.reddit.com/r/diabetes/comments/4upprg/bolus_in_the_morning/")</f>
        <v/>
      </c>
      <c r="G2264" t="inlineStr">
        <is>
          <t>2016-07-26 10:09:34</t>
        </is>
      </c>
      <c r="H2264" t="inlineStr">
        <is>
          <t>Type 1</t>
        </is>
      </c>
    </row>
    <row r="2265">
      <c r="A2265" t="inlineStr">
        <is>
          <t>4upuyn</t>
        </is>
      </c>
      <c r="B2265" t="inlineStr">
        <is>
          <t>Does Dexcom G4 connect with Micro or Mini USB</t>
        </is>
      </c>
      <c r="C2265" t="inlineStr">
        <is>
          <t>Quick question, what type of cable does the Dexcom G4 connect with? 
I'm getting mine in Friday or Monday and I'm looking to use the Nightscout shortly after getting it but I want to order the cable ahead of time. I'm potentially looking for Micro USB to USB type C or Micro USB to Micro USB depending on what phone I'm going to use.
Thanks!
Update: Fwiw it is micro on the Dexcom G4 Platinum Receiver.</t>
        </is>
      </c>
      <c r="D2265" t="n">
        <v>2</v>
      </c>
      <c r="E2265" t="n">
        <v>10</v>
      </c>
      <c r="F2265">
        <f>HYPERLINK("https://www.reddit.com/r/diabetes/comments/4upuyn/does_dexcom_g4_connect_with_micro_or_mini_usb/")</f>
        <v/>
      </c>
      <c r="G2265" t="inlineStr">
        <is>
          <t>2016-07-26 10:36:38</t>
        </is>
      </c>
      <c r="H2265" t="inlineStr">
        <is>
          <t>Type 1</t>
        </is>
      </c>
    </row>
    <row r="2266">
      <c r="A2266" t="inlineStr">
        <is>
          <t>4uq013</t>
        </is>
      </c>
      <c r="B2266" t="inlineStr">
        <is>
          <t>Can you replace your transmitter (Dexcom G5) once you have inserted your sensor?</t>
        </is>
      </c>
      <c r="C2266" t="inlineStr">
        <is>
          <t>Long story short... I put in a new sensor yesterday, only to wake up to a dead transmitter this morning. (The battery must have died or something. Perfect.) I called up Dexcom and they are sending me two new transmitters, and those arrive on Thursday. My question is, once the new transmitter arrives, can I just pop out the dead transmitter and stick the new one into my "old" sensor? The sensor won't be a week old, and I really do not want to have to re-insert a new once. Plus those things aren't too cheap either!
If I am just being a baby and need to suck it up and re-do the sensor, so be it. But ideally, I would not like to waste this sensor. Has anyone had experience doing this? Advice would be great! Thank you all!</t>
        </is>
      </c>
      <c r="D2266" t="n">
        <v>1</v>
      </c>
      <c r="E2266" t="n">
        <v>6</v>
      </c>
      <c r="F2266">
        <f>HYPERLINK("https://www.reddit.com/r/diabetes/comments/4uq013/can_you_replace_your_transmitter_dexcom_g5_once/")</f>
        <v/>
      </c>
      <c r="G2266" t="inlineStr">
        <is>
          <t>2016-07-26 11:03:25</t>
        </is>
      </c>
      <c r="H2266" t="inlineStr">
        <is>
          <t>Type 1</t>
        </is>
      </c>
    </row>
    <row r="2267">
      <c r="A2267" t="inlineStr">
        <is>
          <t>4uqd2p</t>
        </is>
      </c>
      <c r="B2267" t="inlineStr">
        <is>
          <t>Pain in one spot on left foot?</t>
        </is>
      </c>
      <c r="C2267" t="inlineStr">
        <is>
          <t>Hey guys... did anyone have neuropathy start as almost like an itch in one place on the foot?  This is right on the edge of the big toe's ball, toward the center of the foot.  It feels almost like a hot needle is being poked into my foot.</t>
        </is>
      </c>
      <c r="D2267" t="n">
        <v>2</v>
      </c>
      <c r="E2267" t="n">
        <v>4</v>
      </c>
      <c r="F2267">
        <f>HYPERLINK("https://www.reddit.com/r/diabetes/comments/4uqd2p/pain_in_one_spot_on_left_foot/")</f>
        <v/>
      </c>
      <c r="G2267" t="inlineStr">
        <is>
          <t>2016-07-26 12:10:51</t>
        </is>
      </c>
      <c r="H2267" t="inlineStr">
        <is>
          <t>Type 1</t>
        </is>
      </c>
    </row>
    <row r="2268">
      <c r="A2268" t="inlineStr">
        <is>
          <t>4usd0k</t>
        </is>
      </c>
      <c r="B2268" t="inlineStr">
        <is>
          <t>Reset basal now finally on bolus?</t>
        </is>
      </c>
      <c r="C2268" t="inlineStr">
        <is>
          <t>LADA and my endo pushing hard to get me on a bolus.  After fighting it for various reasons I am now on a few units of Humalog at dinner and I think (?) I can actually feel a difference.  I never had issues at highs, even in the high 300s I can't say I felt horrible.  I was diagnosed with A1C of 15 and was running triathlons and surviving.  I think I do feel better at lower values?  Still not sure...anyway I have heard of a 50/50 balance of bolus to basal.  
I have been taking a basal of 22 to get fasting bg down.  Since my numbers are now more like 22 basal to 4 bolus seems pretty out of whack.
Question:
Is the balance of 50/50 really for true full on type 1s?  Maybe LADA is different since some insulin is still being produced?  Or should the basal be reset now a bolus is being used?</t>
        </is>
      </c>
      <c r="D2268" t="n">
        <v>3</v>
      </c>
      <c r="E2268" t="n">
        <v>7</v>
      </c>
      <c r="F2268">
        <f>HYPERLINK("https://www.reddit.com/r/diabetes/comments/4usd0k/reset_basal_now_finally_on_bolus/")</f>
        <v/>
      </c>
      <c r="G2268" t="inlineStr">
        <is>
          <t>2016-07-26 19:20:07</t>
        </is>
      </c>
      <c r="H2268" t="inlineStr">
        <is>
          <t>Type 1.5/LADA</t>
        </is>
      </c>
    </row>
    <row r="2269">
      <c r="A2269" t="inlineStr">
        <is>
          <t>4usgpt</t>
        </is>
      </c>
      <c r="B2269" t="inlineStr">
        <is>
          <t>(X-Post) Using my Raspberry Pi to track my Blood Sugar!</t>
        </is>
      </c>
      <c r="C2269" t="inlineStr">
        <is>
          <t>http://imgur.com/a/veVoc 
I have type 1 diabetes and keeping track of my blood sugar can sometimes be difficult for me. Using a tool called nightscout I can have a webUI display my blood sugar. I decided to combine this with a Raspberry Pi in order to have a screen that I can glance at to constantly monitor my blood sugar.
Links to the projects that I used to build this. Nightscout - http://www.nightscout.info/
Instructions for using Nightscout on Raspberry Pi with monitor http://www.colorado-barrs.com/CGM/Part_2_NightScout_Display.pdf
Let me know if you all have any questions, just another cool thing to do with a Raspberry Pi!</t>
        </is>
      </c>
      <c r="D2269" t="n">
        <v>23</v>
      </c>
      <c r="E2269" t="n">
        <v>21</v>
      </c>
      <c r="F2269">
        <f>HYPERLINK("https://www.reddit.com/r/diabetes/comments/4usgpt/xpost_using_my_raspberry_pi_to_track_my_blood/")</f>
        <v/>
      </c>
      <c r="G2269" t="inlineStr">
        <is>
          <t>2016-07-26 19:46:11</t>
        </is>
      </c>
      <c r="H2269" t="inlineStr">
        <is>
          <t>Type 1</t>
        </is>
      </c>
    </row>
    <row r="2270">
      <c r="A2270" t="inlineStr">
        <is>
          <t>4uuxa4</t>
        </is>
      </c>
      <c r="B2270" t="inlineStr">
        <is>
          <t>Good "bring my sugar up a bit but not too much" snacks?</t>
        </is>
      </c>
      <c r="C2270" t="inlineStr">
        <is>
          <t>Sup guys?  Potentially stupid question, bare with me!
Does anyone know any good snacks that don't have a shitload of carbs in them but will bring my sugar up a bit without giving me a hypo?
For instance I'm at 4.1 right now.  I know if I drink a juicebox or eat a granola bar I'm gonna have a hyper by lunch time...but I'm too low to function entirely properly hahah.
Any suggestions?
Thanks! :)</t>
        </is>
      </c>
      <c r="D2270" t="n">
        <v>4</v>
      </c>
      <c r="E2270" t="n">
        <v>18</v>
      </c>
      <c r="F2270">
        <f>HYPERLINK("https://www.reddit.com/r/diabetes/comments/4uuxa4/good_bring_my_sugar_up_a_bit_but_not_too_much/")</f>
        <v/>
      </c>
      <c r="G2270" t="inlineStr">
        <is>
          <t>2016-07-27 07:38:46</t>
        </is>
      </c>
      <c r="H2270" t="inlineStr">
        <is>
          <t>Type 1</t>
        </is>
      </c>
    </row>
    <row r="2271">
      <c r="A2271" t="inlineStr">
        <is>
          <t>4uv3lt</t>
        </is>
      </c>
      <c r="B2271" t="inlineStr">
        <is>
          <t>Newly Diagnosed Type 2- My Doctor is telling me to eat carbs but I want to do Keto..</t>
        </is>
      </c>
      <c r="C2271" t="inlineStr">
        <is>
          <t>Hello!
Like the title says, I am a newly diagnosed Type 2. I was diagnosed on July 5th with and A1C of 13.1%. After reading a few posts here I can tell that that is much worse than my physician let on when she was giving the news. After being on the meds for 2 weeks, and trying to watch my diet, they had me do more blood work and my A1C has gone down to 11.9%. Not much, but it's a start.
I've been overweight for most of my life. I've tried a lot of different diets in the past and failed, but that could also have something to do with my hypothyroidism that was recently diagnosed as well. Before my diagnosis I dropped 60 pounds in about 4 months without trying and that's how I knew something was wrong and I can't believe how much better I'm feeling having only been on the meds a few weeks.
Anyway, to get to the point of my post, I saw a nutritionist on Monday. I knew she wouldn't support the keto diet and indeed, she told me it wasn't "heart healthy". I didn't have the knowledge to debate the professional on this matter but the more I read this sub the more people keep suggesting the keto diet. I've looked into keto before and I really think it's a diet I can stick to, and if it's helped so many of you...but I'm not an expert.
She told me to eat between 60-75g of carbs PER MEAL and 15-30 per snack. That seems like a helluva lotta carbs to me. 
I would appreciate any insight on this matter. I still have another 70lbs to lose on my own and I think I can manage keto but I don't want to go against the professionals instructions. 
I'm also wondering about my A1C. Should I be concerned about only going down 1.2% in a couple weeks? 
I'm so glad for this subreddit. I'm determined to get this under control and the support system is great.</t>
        </is>
      </c>
      <c r="D2271" t="n">
        <v>7</v>
      </c>
      <c r="E2271" t="n">
        <v>41</v>
      </c>
      <c r="F2271">
        <f>HYPERLINK("https://www.reddit.com/r/diabetes/comments/4uv3lt/newly_diagnosed_type_2_my_doctor_is_telling_me_to/")</f>
        <v/>
      </c>
      <c r="G2271" t="inlineStr">
        <is>
          <t>2016-07-27 08:12:07</t>
        </is>
      </c>
      <c r="H2271" t="inlineStr">
        <is>
          <t>Type 2</t>
        </is>
      </c>
    </row>
    <row r="2272">
      <c r="A2272" t="inlineStr">
        <is>
          <t>4uzumn</t>
        </is>
      </c>
      <c r="B2272" t="inlineStr">
        <is>
          <t>Has anyone done keto long term and not lost weight?</t>
        </is>
      </c>
      <c r="C2272" t="inlineStr">
        <is>
          <t>I've been doing keto for 2 years and I've lost a total of about 15lb. It sucks. I do it because if I eat carbs, my blood sugar explodes. I am wondering if other t1's has experience this. I've struggled with weight my entire adult life. I kind of thought doing this would help but I don't notice. Do other t1s have weight issues and found nothing has helped?
I even got rid of fake sugar in my diet to see if it makes a difference. I literally only drink water and unsweetened iced tea. I kind of feel like for how little carbs I eat, that I still take a lot of insulin and maybe that's whats making me still feel hungry all the time.</t>
        </is>
      </c>
      <c r="D2272" t="n">
        <v>6</v>
      </c>
      <c r="E2272" t="n">
        <v>17</v>
      </c>
      <c r="F2272">
        <f>HYPERLINK("https://www.reddit.com/r/diabetes/comments/4uzumn/has_anyone_done_keto_long_term_and_not_lost_weight/")</f>
        <v/>
      </c>
      <c r="G2272" t="inlineStr">
        <is>
          <t>2016-07-28 02:27:26</t>
        </is>
      </c>
      <c r="H2272" t="inlineStr">
        <is>
          <t>Type 1</t>
        </is>
      </c>
    </row>
    <row r="2273">
      <c r="A2273" t="inlineStr">
        <is>
          <t>4uzuxi</t>
        </is>
      </c>
      <c r="B2273" t="inlineStr">
        <is>
          <t>Calculating extended bolus, and basal rates ? + cgm</t>
        </is>
      </c>
      <c r="C2273" t="inlineStr">
        <is>
          <t>Hello guys ! I have a coupe questions.
 * If I know how many carbohydrates/proteins and fats, how should I know, how much to give as normal, and how much for extended bolus ?
* If I have cgm( currently from medtronic), how to identify mistakes from my insulin dose, and these from my basal rates ? to increase/decrease where needed, and how many minutes/hours earlier, before the incident ?
* Currently, adding even 0,2 or 0,3j of insulin(novorapid) can lower my sugar level even about 50/60, making it really tedious to calculate how much insulin do I need to take. What should I do in this kind of situation ?</t>
        </is>
      </c>
      <c r="D2273" t="n">
        <v>3</v>
      </c>
      <c r="E2273" t="n">
        <v>2</v>
      </c>
      <c r="F2273">
        <f>HYPERLINK("https://www.reddit.com/r/diabetes/comments/4uzuxi/calculating_extended_bolus_and_basal_rates_cgm/")</f>
        <v/>
      </c>
      <c r="G2273" t="inlineStr">
        <is>
          <t>2016-07-28 02:30:28</t>
        </is>
      </c>
      <c r="H2273" t="inlineStr">
        <is>
          <t>Type 1</t>
        </is>
      </c>
    </row>
    <row r="2274">
      <c r="A2274" t="inlineStr">
        <is>
          <t>4v0mi9</t>
        </is>
      </c>
      <c r="B2274" t="inlineStr">
        <is>
          <t>I want to vent. (Annoyed by insurance)</t>
        </is>
      </c>
      <c r="C2274" t="inlineStr">
        <is>
          <t>Recently, my insurance decided it didn't want to cover Humalog any longer, so I had to switch to Novolog. I did some quick research online about the difference between them because I've only ever taken Humalog, &amp;amp; found the consensus is they're basically the same, except maybe Novolog is a bit slower, or maybe Humalog is, depending on who you ask.  Your diabetes may vary, right?
For me, they're not even close to the same.
My blood sugar hasn't reliably been below 250 for the past week, and I simply cannot get a handle on how to fix it.  My correction ratio swings wildly from 1:20 to 1:200, independent of time of day, activity level, or the alignment of the planets.
I inevitably overcorrect because suddenly, instead of a 15 unit correction I need a 1.5 unit correction. To fix it, I'll binge on sugar, assuming that I'm hyper-sensitive to the insulin I just gave myself (and will need to eat the pantry to survive).  2 cups of orange juice later, I'm back to 300mg/dL and what should be 10 remaining units of insulin have disappeared for the rest of the day.  Subsequent corrections do nothing. 
Changing infusion sets?  Doesn't matter.  Changing out the pump cartridge?  Blood doesn't care.  Switching to a different vial of Novolog?  Useless. 
I'm working with my endo to re-tool literally every setting on my pump, including active time, carb ratios, basal rates, you name it.  I know this is fixable, but it's pissing me off royally in the meantime because a few months ago I FINALLY got good control over my blood sugar after a hectic schedule change.  My A1C was finally creeping downwards and now that's all out the window for the foreseeable future. 
It's embarrassing to be drawn back to a place where I have to second-guess every decision that I make, and frustrating that I have to throw out everything that I know about the therapy I've been living with for years now. 
I've felt like crap for the past week and don't have time to deal with this right now: I'm moving apartments this weekend, taking on new job responsibilities starting next weekend, have a funeral to attend early next week; and school starts back up in three weeks.  Combine all that with recent financial struggles and I'm in a seriously sour mood. At least Novolog is cheaper. 
Grr. Thanks for reading.
**EDIT** I wrote this around 5AM after a long, sleepless night of watching my correction boluses slowly simmer my BS down, so I was a little over the edge while writing it.  Happy to report I'm down to 110 and have been there since 7AM.  Small, *small* victory, but I'll take it! Also, it's great being able to make such a grumpy post and have so many people quickly offer support and advice that I hadn't considered.  Thanks everybody! :-)</t>
        </is>
      </c>
      <c r="D2274" t="n">
        <v>27</v>
      </c>
      <c r="E2274" t="n">
        <v>35</v>
      </c>
      <c r="F2274">
        <f>HYPERLINK("https://www.reddit.com/r/diabetes/comments/4v0mi9/i_want_to_vent_annoyed_by_insurance/")</f>
        <v/>
      </c>
      <c r="G2274" t="inlineStr">
        <is>
          <t>2016-07-28 06:12:29</t>
        </is>
      </c>
      <c r="H2274" t="inlineStr">
        <is>
          <t>Type 1</t>
        </is>
      </c>
    </row>
    <row r="2275">
      <c r="A2275" t="inlineStr">
        <is>
          <t>4v5ane</t>
        </is>
      </c>
      <c r="B2275" t="inlineStr">
        <is>
          <t>Questions about progression from pre-diabetes to T2, and difference between slow and normal release metformin</t>
        </is>
      </c>
      <c r="C2275" t="inlineStr">
        <is>
          <t>A year ago I came here looking for answers and got some great advice that was spot on - endo diagnosed me as pre-diabetic with reactive hypoglycaemia. I fear I'm moving into T2 territory now and am hoping that /r/diabetes can be kind enough to share some more wisdom.
I was put on metformin (1000mg was enough to stop the symptoms), changed up my diet, regained enough energy to start exercising, and lost over 10kgs. Life was great and after a couple of months I didn't need to think about testing anymore as my readings never came back over 7 (126), even after the odd carb heavy meal. 
Four months or so ago I started to feel a bit off again and my acne came back, started testing again and readings heading up to 8-9 were common so upped the metformin to 2000mg. My GP (not endo) gave me the wrong script and I was prescribed normal release instead of the extended release, but as this coincided with a change from 500mg to 1000mg tablets I didn't notice.
In the past couple of months things started to go downhill again, but I put it down to a new job. In the past few weeks I started testing again as I've had three massive lows, dropping from 10's (180) to sub 4's (70) with all the previous symptoms (goosebumps, sweaty, blurred vision, want to eat the world). I'm also noticing that my two hour readings are staying higher and lows take around 3-4 hours to come on after eating, whereas a year ago it would be just before the two hour mark. 
Today I visited the Dr to get general yearly referral to endo (visit shortly) and she realised the error in the script. She believes the symptoms and readings are due to being on normal release instead of extended and that my readings will go back to normal once I go back on 1000mg of extended release.
Should I really expect to see such a huge difference between the tablets?
Can metformin stop working, or is this my beta cell function deteriorating yet again?
Can anyone else share the story of their progression?
Thank you for anything you can share!</t>
        </is>
      </c>
      <c r="D2275" t="n">
        <v>2</v>
      </c>
      <c r="E2275" t="n">
        <v>4</v>
      </c>
      <c r="F2275">
        <f>HYPERLINK("https://www.reddit.com/r/diabetes/comments/4v5ane/questions_about_progression_from_prediabetes_to/")</f>
        <v/>
      </c>
      <c r="G2275" t="inlineStr">
        <is>
          <t>2016-07-28 23:34:21</t>
        </is>
      </c>
      <c r="H2275" t="inlineStr">
        <is>
          <t>Type 2</t>
        </is>
      </c>
    </row>
    <row r="2276">
      <c r="A2276" t="inlineStr">
        <is>
          <t>4v64ol</t>
        </is>
      </c>
      <c r="B2276" t="inlineStr">
        <is>
          <t>Just got my new A1C: 6,6%</t>
        </is>
      </c>
      <c r="C2276" t="inlineStr">
        <is>
          <t>Woo! It's been going down from 10 for the past three years and it's finally acceptable!
EDIT: Since people asked, here's how I did it (sorry I'm late!)
I used to be pretty lazy and eat unhealthy. Puberty probably didn't help too much either. I started going to the gym three times a week in February (mostly power training but some cardio too) and eating much healthier. Except for that I didn't change a whole lot in my actual routine. I measure 6-7 times a day (Getting a sensor soon, woo!) and am on a pump (Gotta say, props to my doctor for getting the settings this perfect).
Any specific questions are always welcome of course!</t>
        </is>
      </c>
      <c r="D2276" t="n">
        <v>62</v>
      </c>
      <c r="E2276" t="n">
        <v>25</v>
      </c>
      <c r="F2276">
        <f>HYPERLINK("https://www.reddit.com/r/diabetes/comments/4v64ol/just_got_my_new_a1c_66/")</f>
        <v/>
      </c>
      <c r="G2276" t="inlineStr">
        <is>
          <t>2016-07-29 04:29:16</t>
        </is>
      </c>
      <c r="H2276" t="inlineStr">
        <is>
          <t>Type 1</t>
        </is>
      </c>
    </row>
    <row r="2277">
      <c r="A2277" t="inlineStr">
        <is>
          <t>4v9cbf</t>
        </is>
      </c>
      <c r="B2277" t="inlineStr">
        <is>
          <t>Is ot possible to change Dexcom G4 to mmol?</t>
        </is>
      </c>
      <c r="C2277" t="inlineStr">
        <is>
          <t>Hi all
Looking at getting a dexcom g4 from the US (I am in the UK) 
As we use mmol over here mostly the mg/dl conversion every time will drive me nuts! 
I see in Dexcom studio I can change the units does this then reflect on the meter?
Cheers :)</t>
        </is>
      </c>
      <c r="D2277" t="n">
        <v>1</v>
      </c>
      <c r="E2277" t="n">
        <v>7</v>
      </c>
      <c r="F2277">
        <f>HYPERLINK("https://www.reddit.com/r/diabetes/comments/4v9cbf/is_ot_possible_to_change_dexcom_g4_to_mmol/")</f>
        <v/>
      </c>
      <c r="G2277" t="inlineStr">
        <is>
          <t>2016-07-29 15:59:28</t>
        </is>
      </c>
      <c r="H2277" t="inlineStr">
        <is>
          <t>Type 1</t>
        </is>
      </c>
    </row>
    <row r="2278">
      <c r="A2278" t="inlineStr">
        <is>
          <t>4vaksw</t>
        </is>
      </c>
      <c r="B2278" t="inlineStr">
        <is>
          <t>Freestyle Libre export format</t>
        </is>
      </c>
      <c r="C2278" t="inlineStr">
        <is>
          <t>Hi guys! I've been using the Freestyle libre for a couple days, and loving it. Now, I wish to import it's data into mysugr (great app. If you don't know it, go look for it now), as it accepts the Libre's .txt file. 
The problem is: My Libre is from Brazil, and the header in the TXT file (first line) is in Portuguese, and it looks like MySugr won't understand it. 
So, can anyone provide me with the first couple lines on the exported txt file from the Libre app? Thanks!</t>
        </is>
      </c>
      <c r="D2278" t="n">
        <v>1</v>
      </c>
      <c r="E2278" t="n">
        <v>6</v>
      </c>
      <c r="F2278">
        <f>HYPERLINK("https://www.reddit.com/r/diabetes/comments/4vaksw/freestyle_libre_export_format/")</f>
        <v/>
      </c>
      <c r="G2278" t="inlineStr">
        <is>
          <t>2016-07-29 21:18:44</t>
        </is>
      </c>
      <c r="H2278" t="inlineStr">
        <is>
          <t>Type 1</t>
        </is>
      </c>
    </row>
    <row r="2279">
      <c r="A2279" t="inlineStr">
        <is>
          <t>4vbuhl</t>
        </is>
      </c>
      <c r="B2279" t="inlineStr">
        <is>
          <t>Type 1 - I'm going crazy</t>
        </is>
      </c>
      <c r="C2279" t="inlineStr">
        <is>
          <t>I'm *terrified* of carbs. After every meal, I'm scared shitless that the food stuck in my teeth will continue to "poison" me with carbs during the day, and no matter what I do, I'll be high, and if I'm constantly high, I'll go blind, and my kidneys will fail, and...
I know that it's stupid, but I can't help it. Please help me, what should I do, to stop worrying about this?</t>
        </is>
      </c>
      <c r="D2279" t="n">
        <v>7</v>
      </c>
      <c r="E2279" t="n">
        <v>10</v>
      </c>
      <c r="F2279">
        <f>HYPERLINK("https://www.reddit.com/r/diabetes/comments/4vbuhl/type_1_im_going_crazy/")</f>
        <v/>
      </c>
      <c r="G2279" t="inlineStr">
        <is>
          <t>2016-07-30 05:15:42</t>
        </is>
      </c>
      <c r="H2279" t="inlineStr">
        <is>
          <t>Type 1</t>
        </is>
      </c>
    </row>
    <row r="2280">
      <c r="A2280" t="inlineStr">
        <is>
          <t>4ve83i</t>
        </is>
      </c>
      <c r="B2280" t="inlineStr">
        <is>
          <t>Question aabout diet</t>
        </is>
      </c>
      <c r="C2280" t="inlineStr">
        <is>
          <t>Hello, I would like to ask a question about my diet. I'm 16 years old type 1 diabetic. I plan to start to workout and I build some muscle. I want to ask if my macronutrients are good:
3035 Calories | 83g Fat | 400g Carbohydrates | 172.5g Protein
Am I taking too many carbohydrates or calories?
Here's the full diet:
Breakfast (7:20)
1. Rolled oats (100g) - 396 Cal | 6.2g Fat | 65.7g Carbs | 13.1g Protein
2. Dried cranberries (20g) - 64.2 Cal | 0g Fat | 15.34g Carbs | 0.64g Protein
3. Hard boiled eggs (2) - 136 Cal | 9g Fat | 1g Carbs | 11g Protein
4. Greek yogurt (200g) - 124 Cal | 4g Fat | 4.6g Carbs | 18g Protein 
5. Peanuts (25g) - 141.75 Cal | 12.25g Fat | 4g Carbs | 6.5g Protein
6. Banana (1) - 105 Cal | 0.4g Fat | 27g Carbs | 1.3g Protein 
7. Dissicated coconut (10g) - 69.5 Cal | 6g Fat | 1.46g Carbs | 1.85g Protein 8. Green tea
Total (Breakfast): 1036.45 Cal | 37.85g Fat | 119g Carbs | 52.4g Protein
Snack (11:50)
1.Apple(1) (150g) - 75 Cal | 0.15g Fat | 17.7g Carbs | 0.6g Protein
2.Cottage cheese (140g) - 134 Cal | 0.7g Fat | 4g Carbs | 28g Protein
Total (Snack): 209 Cal | 0.85g Fat | 21.7g Carbs | 28.6g Protein
Lunch (And also pre workout) (16:00)
1.Chicken breast (100g) - 118.5 Cal | 3.2g Fat | 0.25g Carbs | 22.4g Protein
2.Extra virgin olive oil (1 tbsp) - 84 Cal | 9.5g Fat | 0g Carbs | 0g Protein
3.Brown rice (120g) - 558 Cal | 3.9g Fat | 115.8g Carbs | 11.85g Protein
4.Raw vegetables
Total (Lunch): 790.5 Cal | 17.6g Fat | 123g Carbs | 35.25g Protein
Workout (17:00)
Post workout (After 30 min) (19:00)
1.Tuna in water (70g) - 79.1 Cal | 0.35g Fat | 0g Carbs | 18.9g Protein
2.Banana (1) - 105 Cal | 0.4g Fat | 27g Carbs | 1.3g Protein
3.Rice cakes (30g) - 118.5 Cal | 1g Fat | 24.7g Carbs | 2.6g Protein
Total (Post workout): 302 Cal | 1.75g Fat | 51.7g Carbs | 23g Protein
Dinner (20:00)
1.Whole wheat pasta (120g) - 430.8 Cal | 3g Fat | 86g Carbs | 15.48g Protein
2.Ground turkey (100g) - 182 Cal | 12.1g Fat | 0.4g Carbs | 17.8g Protein
3.Extra virgin olive oil (1 tbsp) - 84 Cal | 9.5g Fat | 0g Carbs | 0g Protein
Total (Dinner): 697 Cal | 25g Fat | 86g Carbs | 33.3g Protein
Total: 3035 Cal | 83g Fat | 400g Carbs | 172.5g Protein
Is this diet okay for a diabetic?
Thank you.</t>
        </is>
      </c>
      <c r="D2280" t="n">
        <v>2</v>
      </c>
      <c r="E2280" t="n">
        <v>6</v>
      </c>
      <c r="F2280">
        <f>HYPERLINK("https://www.reddit.com/r/diabetes/comments/4ve83i/question_aabout_diet/")</f>
        <v/>
      </c>
      <c r="G2280" t="inlineStr">
        <is>
          <t>2016-07-30 15:02:18</t>
        </is>
      </c>
      <c r="H2280" t="inlineStr">
        <is>
          <t>Type 1</t>
        </is>
      </c>
    </row>
    <row r="2281">
      <c r="A2281" t="inlineStr">
        <is>
          <t>4vf66y</t>
        </is>
      </c>
      <c r="B2281" t="inlineStr">
        <is>
          <t>No metformin for ~2 days?</t>
        </is>
      </c>
      <c r="C2281" t="inlineStr">
        <is>
          <t>As a result of my being new to this whole working with pharmacies/doctors/insurance companies thing, I'm stupidly out Metformin until at least my doctor's office opens on Monday--more likely Monday or Tuesday evening.
I have a pill for tomorrow morning, I take two a day (mornings and evenings). Right now my control is decent (~100 before breakfast and dinner). My plan is to drink extra water, continue taking my walks, and be extra careful with my carbs (30g per meal instead of my softer 45g).
Any advice? I'm considering taking my next pill at the time I usually would for the evening instead of tomorrow morning, so that I'll have a little metformin in my system still while I wait for my prescription to go through.</t>
        </is>
      </c>
      <c r="D2281" t="n">
        <v>4</v>
      </c>
      <c r="E2281" t="n">
        <v>17</v>
      </c>
      <c r="F2281">
        <f>HYPERLINK("https://www.reddit.com/r/diabetes/comments/4vf66y/no_metformin_for_2_days/")</f>
        <v/>
      </c>
      <c r="G2281" t="inlineStr">
        <is>
          <t>2016-07-30 19:05:14</t>
        </is>
      </c>
      <c r="H2281" t="inlineStr">
        <is>
          <t>Type 1.5/LADA</t>
        </is>
      </c>
    </row>
    <row r="2282">
      <c r="A2282" t="inlineStr">
        <is>
          <t>4vgx51</t>
        </is>
      </c>
      <c r="B2282" t="inlineStr">
        <is>
          <t>Neuropathy in 21 yo?</t>
        </is>
      </c>
      <c r="C2282" t="inlineStr">
        <is>
          <t>Hi everyone. I was diagnosed as type 1 about three years ago. My a1c has not been very good. At my lowest (highest) point, I was sitting at a 16.2.
In recent months, I have decided to get over this slump and really do what i need to be healthier. I have successfully brought my a1c down to 7.4 in about 5 months. However, with this great decrease, i have started to experience some intense pain, hypersensitivity, and burning sensations in my lower legs and tops of my feet. It has progressively gotten worse. My endo seemed confused by it and basically said to tough it out, since it should get better with tighter control. My latest bloodwork shows low vitamin d levels, so i have been taking supplements along with a b complex. My question is: is this normal? Everything I've read online seems to be about older individuals having neuropathy. Could this be something else?</t>
        </is>
      </c>
      <c r="D2282" t="n">
        <v>5</v>
      </c>
      <c r="E2282" t="n">
        <v>11</v>
      </c>
      <c r="F2282">
        <f>HYPERLINK("https://www.reddit.com/r/diabetes/comments/4vgx51/neuropathy_in_21_yo/")</f>
        <v/>
      </c>
      <c r="G2282" t="inlineStr">
        <is>
          <t>2016-07-31 05:41:53</t>
        </is>
      </c>
      <c r="H2282" t="inlineStr">
        <is>
          <t>Type 1</t>
        </is>
      </c>
    </row>
    <row r="2283">
      <c r="A2283" t="inlineStr">
        <is>
          <t>4vhp9p</t>
        </is>
      </c>
      <c r="B2283" t="inlineStr">
        <is>
          <t>Meet up groups/ group therapy NYC</t>
        </is>
      </c>
      <c r="C2283" t="inlineStr">
        <is>
          <t xml:space="preserve">Hey all.
Just a quick question.  Any fellow type 1 folks here that live in the city that know any good group sessions, meet ups, or therapy?
Cheers </t>
        </is>
      </c>
      <c r="D2283" t="n">
        <v>5</v>
      </c>
      <c r="E2283" t="n">
        <v>2</v>
      </c>
      <c r="F2283">
        <f>HYPERLINK("https://www.reddit.com/r/diabetes/comments/4vhp9p/meet_up_groups_group_therapy_nyc/")</f>
        <v/>
      </c>
      <c r="G2283" t="inlineStr">
        <is>
          <t>2016-07-31 09:11:46</t>
        </is>
      </c>
      <c r="H2283" t="inlineStr">
        <is>
          <t>Type 1</t>
        </is>
      </c>
    </row>
    <row r="2284">
      <c r="A2284" t="inlineStr">
        <is>
          <t>4vhtb7</t>
        </is>
      </c>
      <c r="B2284" t="inlineStr">
        <is>
          <t>First "real" low (49mg/dl) since diagnosis and it came out of no where!?</t>
        </is>
      </c>
      <c r="C2284" t="inlineStr">
        <is>
          <t xml:space="preserve">Hi everyone! First of all, thank you to this subreddit for being awesomely informative in my first 6 weeks being T1. I have learned so much from you!
Just a quick summary of my T1 experience: I am 27 years old, just diagnosed in May 2016 with a blood glucose of 550 mg/dl. Since then I have slowly brought my sugars into my target range, and I usually hover around 125mg/dl on any given day/time. 
Last night my BG was 175 when I tested around 10pm (a little higher than usual). I thought, great, now I don't have to eat a snack before bed! I can fall asleep without worrying. Got into bed, read my book and rested for a bit, then tried falling asleep around 10:30pm. By 10:45 I was sweating, heart pounding, etc, etc. Stumbled into the kitchen and my BG had dropped to 49mg/dl, my lowest yet. It was terrifying. I stayed up munching on snacks until BG returned to 160.
I guess I am wondering if this is typical with T1 diabetes? Can my sugars just plummet at any given time, without explanation? I am always prepared for lows, but this event has definitely scared me!
</t>
        </is>
      </c>
      <c r="D2284" t="n">
        <v>2</v>
      </c>
      <c r="E2284" t="n">
        <v>8</v>
      </c>
      <c r="F2284">
        <f>HYPERLINK("https://www.reddit.com/r/diabetes/comments/4vhtb7/first_real_low_49mgdl_since_diagnosis_and_it_came/")</f>
        <v/>
      </c>
      <c r="G2284" t="inlineStr">
        <is>
          <t>2016-07-31 09:38:18</t>
        </is>
      </c>
      <c r="H2284" t="inlineStr">
        <is>
          <t>Type 1</t>
        </is>
      </c>
    </row>
    <row r="2285">
      <c r="A2285" t="inlineStr">
        <is>
          <t>4vir6f</t>
        </is>
      </c>
      <c r="B2285" t="inlineStr">
        <is>
          <t>Question about Vision problems</t>
        </is>
      </c>
      <c r="C2285" t="inlineStr">
        <is>
          <t>I work in a place with a walk-in freezer. It's freaking cold in there, so when you go in and then step out, your glasses fog up to the point of blindness.
Today, while reorganizing all of the boxes (Heavy lifting) I stepped out of the freezer, my glasses fogged up, and then I went outside to take the empty boxes to the outside dumpster.
With my glasses fogged up as bad as they were, I could see little... I'm going to call them "Bubbles" in my vision. Like, super freaking tiny clear bubble shaped dots. They seemed to "Shift" when I took a step or moved my eyes.
Am I going blind here? I can't see them now. I could only see them because my glasses were presenting me with a completely white covering over my eyes alongside the bright sunlight.</t>
        </is>
      </c>
      <c r="D2285" t="n">
        <v>1</v>
      </c>
      <c r="E2285" t="n">
        <v>10</v>
      </c>
      <c r="F2285">
        <f>HYPERLINK("https://www.reddit.com/r/diabetes/comments/4vir6f/question_about_vision_problems/")</f>
        <v/>
      </c>
      <c r="G2285" t="inlineStr">
        <is>
          <t>2016-07-31 13:05:43</t>
        </is>
      </c>
      <c r="H2285" t="inlineStr">
        <is>
          <t>Type 2</t>
        </is>
      </c>
    </row>
    <row r="2286">
      <c r="A2286" t="inlineStr">
        <is>
          <t>4voqn4</t>
        </is>
      </c>
      <c r="B2286" t="inlineStr">
        <is>
          <t>diabetes sucks....</t>
        </is>
      </c>
      <c r="C2286" t="inlineStr">
        <is>
          <t>i am a 15 year old girl who has had diabetes for about 9 years now but i still struggle. I have a clinic appointment tomorrow and i always hate it. no matter how it goes, they always find something, my family has helped me out, my sister is the one who found this web site, i am glad i have  someone like her, the reason i am saying this is because no matter how bad it can get there is someone always there for you when they don't have to be, and i am very thankful of all the people i have but it still does not change the fact the having diabetes sucks...</t>
        </is>
      </c>
      <c r="D2286" t="n">
        <v>38</v>
      </c>
      <c r="E2286" t="n">
        <v>21</v>
      </c>
      <c r="F2286">
        <f>HYPERLINK("https://www.reddit.com/r/diabetes/comments/4voqn4/diabetes_sucks/")</f>
        <v/>
      </c>
      <c r="G2286" t="inlineStr">
        <is>
          <t>2016-08-01 13:54:51</t>
        </is>
      </c>
      <c r="H2286" t="inlineStr">
        <is>
          <t>Type 1</t>
        </is>
      </c>
    </row>
    <row r="2287">
      <c r="A2287" t="inlineStr">
        <is>
          <t>4vq44n</t>
        </is>
      </c>
      <c r="B2287" t="inlineStr">
        <is>
          <t>What do you do after taking out an infusion set?</t>
        </is>
      </c>
      <c r="C2287" t="inlineStr">
        <is>
          <t>Brand new pumper here using the Medtronic MiniMed. I was curious as to what you guys usually do to your site after taking out an infusion set. Leave it alone? Put a band aid on it? Put some Neosporin? For the last week, after removing the set I've been leaving the site alone and uncovered, but lately I've been unwittingly scratching off the scab that's formed over it. Any tips would be great, thanks!</t>
        </is>
      </c>
      <c r="D2287" t="n">
        <v>2</v>
      </c>
      <c r="E2287" t="n">
        <v>5</v>
      </c>
      <c r="F2287">
        <f>HYPERLINK("https://www.reddit.com/r/diabetes/comments/4vq44n/what_do_you_do_after_taking_out_an_infusion_set/")</f>
        <v/>
      </c>
      <c r="G2287" t="inlineStr">
        <is>
          <t>2016-08-01 18:52:44</t>
        </is>
      </c>
      <c r="H2287" t="inlineStr">
        <is>
          <t>Type 1</t>
        </is>
      </c>
    </row>
    <row r="2288">
      <c r="A2288" t="inlineStr">
        <is>
          <t>4vv9sw</t>
        </is>
      </c>
      <c r="B2288" t="inlineStr">
        <is>
          <t>[Type 1] So I'm on track to get a pump but I think I'm going to have an issue</t>
        </is>
      </c>
      <c r="C2288" t="inlineStr">
        <is>
          <t>Hey there guys. First post here. I'm a newly diagnosed T1 diabetic (was diagnosed July 5th). I've got my blood sugars mostly under control and are dropping to good levels and have a good grasp of my habits, needs, and disease. But now my endo wants me to get a pump. I'm perfectly okay with that; my step grandpa had one for 8 years and wished he had got one sooner.
Herein lies the issue; the cgm.  I had an IPro2 sensor on for a couple of days about 2 weeks ago. My diabetic educator wanted good readings overnight. I hated it. The sensor drove me crazy. I was afraid to bump/touch it, it itched on occasion, I couldn't lie/sleep on that side or my stomach, I had to retape it constantly, and I still have medical adhesive on me from it!!!! I really don't like the IPro2 and was thankful it fell out 16 hours early.
The CGM my endo is prescribing is almost identical to the IPro2. Aside from text on the sensor, it is identical. I was all pumped up (pun very much intended, thank you very much) and now I'm nervous to use the cgm. I know it helps the pump and makes everything easier, but it's making me apprehensive. I really am not looking forward to having the cgm on 24/7, or even 1 day or something out of the week.
Anyone have advice? I'm at a loss here. Idk what to do about it. My endo just wants me to try and tough it out and get used to it. Thanks guys.</t>
        </is>
      </c>
      <c r="D2288" t="n">
        <v>3</v>
      </c>
      <c r="E2288" t="n">
        <v>7</v>
      </c>
      <c r="F2288">
        <f>HYPERLINK("https://www.reddit.com/r/diabetes/comments/4vv9sw/type_1_so_im_on_track_to_get_a_pump_but_i_think/")</f>
        <v/>
      </c>
      <c r="G2288" t="inlineStr">
        <is>
          <t>2016-08-02 15:35:41</t>
        </is>
      </c>
      <c r="H2288" t="inlineStr">
        <is>
          <t>Type 1</t>
        </is>
      </c>
    </row>
    <row r="2289">
      <c r="A2289" t="inlineStr">
        <is>
          <t>4vw95x</t>
        </is>
      </c>
      <c r="B2289" t="inlineStr">
        <is>
          <t>After 3 rough months of reading all your new A1C results, I finally have my own first post-diagnosis a1c!</t>
        </is>
      </c>
      <c r="C2289" t="inlineStr">
        <is>
          <t>From 11% three months ago to...6.5%! Not as amazing as some of the other numbers you all are getting but I'm happy :)
The last 2 weeks my numbers have been "perfect" (under goals) so I am hopeful for even better numbers moving forward!</t>
        </is>
      </c>
      <c r="D2289" t="n">
        <v>14</v>
      </c>
      <c r="E2289" t="n">
        <v>11</v>
      </c>
      <c r="F2289">
        <f>HYPERLINK("https://www.reddit.com/r/diabetes/comments/4vw95x/after_3_rough_months_of_reading_all_your_new_a1c/")</f>
        <v/>
      </c>
      <c r="G2289" t="inlineStr">
        <is>
          <t>2016-08-02 19:19:22</t>
        </is>
      </c>
      <c r="H2289" t="inlineStr">
        <is>
          <t>Type 1.5/LADA</t>
        </is>
      </c>
    </row>
    <row r="2290">
      <c r="A2290" t="inlineStr">
        <is>
          <t>4vytci</t>
        </is>
      </c>
      <c r="B2290" t="inlineStr">
        <is>
          <t>Dun goofed and gaffed</t>
        </is>
      </c>
      <c r="C2290" t="inlineStr">
        <is>
          <t>Had a few choc chip bikkies after dinner. Didn't bolus because "I had a small dinner, she'll be right".
Now sitting at a casual 18.7 bolusing 9 units and eating a sandwich.
How's your day been?
Edit: I bolused my normal amount BEFORE dinner</t>
        </is>
      </c>
      <c r="D2290" t="n">
        <v>1</v>
      </c>
      <c r="E2290" t="n">
        <v>4</v>
      </c>
      <c r="F2290">
        <f>HYPERLINK("https://www.reddit.com/r/diabetes/comments/4vytci/dun_goofed_and_gaffed/")</f>
        <v/>
      </c>
      <c r="G2290" t="inlineStr">
        <is>
          <t>2016-08-03 07:40:54</t>
        </is>
      </c>
      <c r="H2290" t="inlineStr">
        <is>
          <t>Type 1</t>
        </is>
      </c>
    </row>
    <row r="2291">
      <c r="A2291" t="inlineStr">
        <is>
          <t>4w0yw8</t>
        </is>
      </c>
      <c r="B2291" t="inlineStr">
        <is>
          <t>Leaving Honeymoon</t>
        </is>
      </c>
      <c r="C2291" t="inlineStr">
        <is>
          <t>Is there anyone here that left honeymoon stage while on a pump? If so, I'm curious by how much your basal insulin requirements went up and how long it took for your requirements to completely change.
I've been having problems with going very high in the morning and tried to adjust my basal insulin but every single time I give myself more insulin I still end up going high and I can't get my numbers back to normal. It's only been like this for a couple days but it's been a really bad couple days. I just expected the change to be gradual and not this fast. Any advice any of you kind people could give me?? Thanks</t>
        </is>
      </c>
      <c r="D2291" t="n">
        <v>5</v>
      </c>
      <c r="E2291" t="n">
        <v>18</v>
      </c>
      <c r="F2291">
        <f>HYPERLINK("https://www.reddit.com/r/diabetes/comments/4w0yw8/leaving_honeymoon/")</f>
        <v/>
      </c>
      <c r="G2291" t="inlineStr">
        <is>
          <t>2016-08-03 14:27:12</t>
        </is>
      </c>
      <c r="H2291" t="inlineStr">
        <is>
          <t>Type 1</t>
        </is>
      </c>
    </row>
    <row r="2292">
      <c r="A2292" t="inlineStr">
        <is>
          <t>4w2pog</t>
        </is>
      </c>
      <c r="B2292" t="inlineStr">
        <is>
          <t>Exactly HOW High is a high HbA1C level?</t>
        </is>
      </c>
      <c r="C2292" t="inlineStr">
        <is>
          <t>I know that the target is &amp;lt;7%. Just wanted to get a general idea of what was considered a high, or dangerously high level. Made a post (Since deleted) of my HbA1C and it got downvoted in to oblivion and was told that it's really serious.</t>
        </is>
      </c>
      <c r="D2292" t="n">
        <v>4</v>
      </c>
      <c r="E2292" t="n">
        <v>14</v>
      </c>
      <c r="F2292">
        <f>HYPERLINK("https://www.reddit.com/r/diabetes/comments/4w2pog/exactly_how_high_is_a_high_hba1c_level/")</f>
        <v/>
      </c>
      <c r="G2292" t="inlineStr">
        <is>
          <t>2016-08-03 21:10:13</t>
        </is>
      </c>
      <c r="H2292" t="inlineStr">
        <is>
          <t>Type 1</t>
        </is>
      </c>
    </row>
    <row r="2293">
      <c r="A2293" t="inlineStr">
        <is>
          <t>4w4izr</t>
        </is>
      </c>
      <c r="B2293" t="inlineStr">
        <is>
          <t>What did you ask insulin pump sales people when you got your pump?</t>
        </is>
      </c>
      <c r="C2293" t="inlineStr">
        <is>
          <t>I'm a T1D for over 16 years, and am finally ready to get a pump. I'm leaning towards the Omnipod since it's tubeless, but I will be meeting with reps from Animas (my second choice) and Medtronic (third choice). I'm meeting with the Omnipod rep today at lunch.
What did you ask these reps when you got your pump? I've never had a pump, and I don't have a CGM, so something like the glucose suspend on the Medtronic pump isn't of value to me right now. And since I've never had a pump, I'm mainly going with Omnipod because it's tubeless. The idea of tubing has always been the thing that turned me off the pump. Any suggestions or questions to ask would be great. Thanks all!</t>
        </is>
      </c>
      <c r="D2293" t="n">
        <v>1</v>
      </c>
      <c r="E2293" t="n">
        <v>10</v>
      </c>
      <c r="F2293">
        <f>HYPERLINK("https://www.reddit.com/r/diabetes/comments/4w4izr/what_did_you_ask_insulin_pump_sales_people_when/")</f>
        <v/>
      </c>
      <c r="G2293" t="inlineStr">
        <is>
          <t>2016-08-04 06:35:49</t>
        </is>
      </c>
      <c r="H2293" t="inlineStr">
        <is>
          <t>Type 1</t>
        </is>
      </c>
    </row>
    <row r="2294">
      <c r="A2294" t="inlineStr">
        <is>
          <t>4w5cds</t>
        </is>
      </c>
      <c r="B2294" t="inlineStr">
        <is>
          <t>T2 Another high A1C, feeling defeated</t>
        </is>
      </c>
      <c r="C2294" t="inlineStr">
        <is>
          <t xml:space="preserve">Just getting back from my physician and A1C is up again despite losing weight and having added Victoza to my regimen 3 months ago. 
My A1C has been creeping up for the last 18 months, currently 8.8. I have never had great control but always striving for under 7%. I still have a bit of weight to lose ~50lbs, yes I am fat. I am trying. 
Last November I got a personal trainer and started hitting the gym hard, down some pounds, body changing. 3 months later- A1C up. 
Started on Victoza, continue going to the gym, today's visit- A1C up. I am now starting Lantus.  
I am just so confused as to why my numbers keep climbing. Has anyone else on Victoza have no therapeutic effect?
The good news, my lipids are in a great place, my BP has never been an issue.
At 35 I need to get this under control. I am VERY aware of all the long-term effects of non-compliance and poor control. I see it everyday at work. I need a kick in the butt. My problem is I have this victim mentality, regarding my diabetes diagnosis. Why me? Why not my 300lb "friend" that eats like garbage? When really I need to take this information and use it to empower me. 
Sorry for the venting. I know it could be worse. Just needing a little support.
</t>
        </is>
      </c>
      <c r="D2294" t="n">
        <v>4</v>
      </c>
      <c r="E2294" t="n">
        <v>19</v>
      </c>
      <c r="F2294">
        <f>HYPERLINK("https://www.reddit.com/r/diabetes/comments/4w5cds/t2_another_high_a1c_feeling_defeated/")</f>
        <v/>
      </c>
      <c r="G2294" t="inlineStr">
        <is>
          <t>2016-08-04 09:23:03</t>
        </is>
      </c>
      <c r="H2294" t="inlineStr">
        <is>
          <t>Type 2</t>
        </is>
      </c>
    </row>
    <row r="2295">
      <c r="A2295" t="inlineStr">
        <is>
          <t>4w7au9</t>
        </is>
      </c>
      <c r="B2295" t="inlineStr">
        <is>
          <t>Increased bruising and sickness</t>
        </is>
      </c>
      <c r="C2295" t="inlineStr">
        <is>
          <t>I was diagnosed type 1 last january and i've noticed some anomalies. 
Firstly i keep getting bruises everywhere and super easily. Like a couple says ago I was just helping a friend move a couch half a block away and the next day my forearm was bruised even though I don't recall hurting it in any way. It was just basic lifting.
Also i've always been very rarely sick in any form but for the past half year i've had the flu like six times and fever two times. Are any of you experiencing these issues as well?</t>
        </is>
      </c>
      <c r="D2295" t="n">
        <v>3</v>
      </c>
      <c r="E2295" t="n">
        <v>7</v>
      </c>
      <c r="F2295">
        <f>HYPERLINK("https://www.reddit.com/r/diabetes/comments/4w7au9/increased_bruising_and_sickness/")</f>
        <v/>
      </c>
      <c r="G2295" t="inlineStr">
        <is>
          <t>2016-08-04 15:48:02</t>
        </is>
      </c>
      <c r="H2295" t="inlineStr">
        <is>
          <t>Type 1</t>
        </is>
      </c>
    </row>
    <row r="2296">
      <c r="A2296" t="inlineStr">
        <is>
          <t>4w8ec9</t>
        </is>
      </c>
      <c r="B2296" t="inlineStr">
        <is>
          <t>Ok, so what don't I know?</t>
        </is>
      </c>
      <c r="C2296" t="inlineStr">
        <is>
          <t xml:space="preserve">T2 here. 8 months in to diagnosis but likely 2 or 3 years into diabetes. A1C of 10.9 at diagnosis. 5.5 four months later. I expect a similar number at next month's checkup. 
I've researched a lot. Read a ton of books, online info, even some medical studies. I've found a diet I can live with. Sure, I miss things, but I've felt no need for cheat days. My downfall is the occasional Mexican meal (no tortillas, no rice) with the refried beans that pushes my glucose level to 145. 
I've a rich family history of T2: both parents, two grandparents, multiple aunts/uncles/cousins, and one six year younger sibling who is pre-diabetic--so no shock and no big emotional roller coaster at diagnosis. 
I already had some physiological damage, like neuropathy (numbness not pain) at diagnosis, but those symptoms have partially reversed. 
I test frequently and use that as a feedback loop to adjust my diet. 
I feel like I've got it all figured out, and that scares the shit out of me because I'm certain I'm wrong. 
So, T2's who've had it for years or decades, what else should I do or be ready for?  Or, perhaps I should rephrase: long term T2's who aren't satisfied with the ADA guidelines and have targeted an A1C in the 5's or lower, what don't I know?
</t>
        </is>
      </c>
      <c r="D2296" t="n">
        <v>1</v>
      </c>
      <c r="E2296" t="n">
        <v>6</v>
      </c>
      <c r="F2296">
        <f>HYPERLINK("https://www.reddit.com/r/diabetes/comments/4w8ec9/ok_so_what_dont_i_know/")</f>
        <v/>
      </c>
      <c r="G2296" t="inlineStr">
        <is>
          <t>2016-08-04 20:11:13</t>
        </is>
      </c>
      <c r="H2296" t="inlineStr">
        <is>
          <t>Type 2</t>
        </is>
      </c>
    </row>
    <row r="2297">
      <c r="A2297" t="inlineStr">
        <is>
          <t>4w9d8a</t>
        </is>
      </c>
      <c r="B2297" t="inlineStr">
        <is>
          <t>Type 2 Numbness?</t>
        </is>
      </c>
      <c r="C2297" t="inlineStr">
        <is>
          <t xml:space="preserve">I was diagnosed last sept with Type 2. I've been working hard to get my act together and it's going well.
Unfortunatly, even though I'm getting stuff under control, I'm starting to show symptoms.
Some numbness in my feet, I got a yeast on my penis. I was getting some shooting pain in my legs a few weeks ago. I keep having a lot of pain in my hips. And my penis, although getting erections is easy, my penis feels pretty numb. It’s difficult to orgasm and peeing is kinda weird. Although I can control it, It’s almost like I can’t feel the urine flowing through the shaft of my penis. 
I’m guess I don’t really have a question here. Just looking to see if other people are having these issues. I’m scared. </t>
        </is>
      </c>
      <c r="D2297" t="n">
        <v>1</v>
      </c>
      <c r="E2297" t="n">
        <v>3</v>
      </c>
      <c r="F2297">
        <f>HYPERLINK("https://www.reddit.com/r/diabetes/comments/4w9d8a/type_2_numbness/")</f>
        <v/>
      </c>
      <c r="G2297" t="inlineStr">
        <is>
          <t>2016-08-05 01:03:47</t>
        </is>
      </c>
      <c r="H2297" t="inlineStr">
        <is>
          <t>Type 2</t>
        </is>
      </c>
    </row>
    <row r="2298">
      <c r="A2298" t="inlineStr">
        <is>
          <t>4wag4m</t>
        </is>
      </c>
      <c r="B2298" t="inlineStr">
        <is>
          <t>Having a "bad day" is worse with diabetes because you know you're doing permanent damage to your internal organs</t>
        </is>
      </c>
      <c r="C2298" t="inlineStr">
        <is>
          <t>I think I just need to vent or something so uh...sorry
Had a snack last night before bed as I do every single night.  Was 7.3 before eating, 27 grams of carbs, english muffin with peanut butter and a little jam, took 1 unit because *usually* I take 1.5-2 and that puts me low due to the peanut butter slowing down the absorption of food.  
Tested just before bed; 10.1.  Okay, high, but I can't take an insulin dose right before I sleep because I might go low and not feel it.  
Woke up this morning 10.8 at 7:40.  Okay, that's my fault.  Eating 50g carbs in a bowl of cereal.  Take 4.5 units.
Test again at 9:31.  Still 10.8.  What the fuck.
What the fuck.
Just took a 1 unit correction dose and I'm hoping it'll bring me into the normal range.  
Fuck man, I'm only 24.  I hate having to do this shit.  I hate knowing that despite my best efforts I'm doing irreversible, permanent damage to my body.  I hate feeling fucking suicidal and useless and like a burden to everybody around me.
I should be enjoying my life.  I should be travelling.  Going to school.  Doing something.  Anything.  
Days like this make me wish I were fucking dead.
Rant over</t>
        </is>
      </c>
      <c r="D2298" t="n">
        <v>73</v>
      </c>
      <c r="E2298" t="n">
        <v>56</v>
      </c>
      <c r="F2298">
        <f>HYPERLINK("https://www.reddit.com/r/diabetes/comments/4wag4m/having_a_bad_day_is_worse_with_diabetes_because/")</f>
        <v/>
      </c>
      <c r="G2298" t="inlineStr">
        <is>
          <t>2016-08-05 06:43:32</t>
        </is>
      </c>
      <c r="H2298" t="inlineStr">
        <is>
          <t>Type 1</t>
        </is>
      </c>
    </row>
    <row r="2299">
      <c r="A2299" t="inlineStr">
        <is>
          <t>4watiu</t>
        </is>
      </c>
      <c r="B2299" t="inlineStr">
        <is>
          <t>Omnipodders: When do you change your pod?</t>
        </is>
      </c>
      <c r="C2299" t="inlineStr">
        <is>
          <t>Hi guys. Looking into pumps here, after 16 years of MDI. My first choice is Omnipod, and I just met with a rep yesterday.
I'm curious when other podders change their pod? I ask because the rep suggested at dinnertime, since you're already taking a bolus of insulin for your meal, so if something goes wrong with it, you are taking extra insulin anyways. Made sense to me, as well as checking your sugar 90 minutes after a pod change. 
I work long days and often go out after work downtown, while I live about 30 minutes away. Therefore I thought it would be best to plan pod changes in the morning, before work. But then what if the pod fails? Do people keep backup pods and insulin at work? It's obviously a good idea to keep extra insulin at work (where I am over 40 hours a week), but I don't like the idea of changing a pod here. Does anyone ever change their pod early, knowing that they won't be home when it expires?
TL:DR: When do you normally change your pod at home (or wherever, if you don't do it there)?</t>
        </is>
      </c>
      <c r="D2299" t="n">
        <v>2</v>
      </c>
      <c r="E2299" t="n">
        <v>14</v>
      </c>
      <c r="F2299">
        <f>HYPERLINK("https://www.reddit.com/r/diabetes/comments/4watiu/omnipodders_when_do_you_change_your_pod/")</f>
        <v/>
      </c>
      <c r="G2299" t="inlineStr">
        <is>
          <t>2016-08-05 08:04:09</t>
        </is>
      </c>
      <c r="H2299" t="inlineStr">
        <is>
          <t>Type 1</t>
        </is>
      </c>
    </row>
    <row r="2300">
      <c r="A2300" t="inlineStr">
        <is>
          <t>4wbj2w</t>
        </is>
      </c>
      <c r="B2300" t="inlineStr">
        <is>
          <t>Carb loading for Exercise</t>
        </is>
      </c>
      <c r="C2300" t="inlineStr">
        <is>
          <t xml:space="preserve">I exercise ~1hr/day.  Swim/Bike/Run, that's time underway with hr&amp;gt;150.  I was diagnosed as a LADA and am now on MDI, although I usually only shoot at dinner because I keep carbs really low during the day and then at dinner 2-4 units of Humalog will usually handle most of the dinners I eat at 50g to 100g carb max.  I take 15u of Lantus in the mornings.
Really frustrated, I have been going through periods where my legs are just totally shot.  I should rephrase that, my legs are just shot all the time.  Maybe 1 day a week do I feel fresh.   I can tell getting out of bed in the morning they are shot and it really causes performance to suffer and just feel bad. Same thing on the swims and runs.  Some days its like a light switch is on and I have energy and can drop minutes off my times and some days its all I have to just move at all.  
Looking for an answer I have been reading around, including this sub.  I came across this article mentioned in another post a while back regarding carbs, diabetes and exercise:
http://www.runsweet.com/DietAndNutrition.html
It has a table where it shows the following:
Moderate intensity exercise for 1 hour per day
5-7 g.kg-1.day-1
Now I weigh ~100kg (yes, 220lb, I am 6' and not a slim person but low-ish abdominal fat) so if I am doing my math right it calls for between 5 and 7 g of carbs per kg body weight per day.  That equals for me between 500 and 700g of carb a day!  Holy cow, can this be right?  I am under 100g/day now, just amazed.  I would really have to start using my Humalog if that's the case.
Are any other age group triathletes or people who exercise a lot out there comment on this?  To keep up a 5-8 hr/week training volume what you have to eat carb wise to keep you moving?  Does the low carb thing just not work for people who exercise a lot or something else causing my leg exhaustion?  
</t>
        </is>
      </c>
      <c r="D2300" t="n">
        <v>7</v>
      </c>
      <c r="E2300" t="n">
        <v>4</v>
      </c>
      <c r="F2300">
        <f>HYPERLINK("https://www.reddit.com/r/diabetes/comments/4wbj2w/carb_loading_for_exercise/")</f>
        <v/>
      </c>
      <c r="G2300" t="inlineStr">
        <is>
          <t>2016-08-05 10:25:21</t>
        </is>
      </c>
      <c r="H2300" t="inlineStr">
        <is>
          <t>Type 1.5/LADA</t>
        </is>
      </c>
    </row>
    <row r="2301">
      <c r="A2301" t="inlineStr">
        <is>
          <t>4wcpzm</t>
        </is>
      </c>
      <c r="B2301" t="inlineStr">
        <is>
          <t>Sleeping with a pump.</t>
        </is>
      </c>
      <c r="C2301" t="inlineStr">
        <is>
          <t>Hi guys T1 here, 20 years. I've had an animas pump about 2 months now and I'm really struggling sleeping with it. Every position i try is uncomfortable. Has anyone else had this problem, if so what was your solution.
Thanks guys</t>
        </is>
      </c>
      <c r="D2301" t="n">
        <v>7</v>
      </c>
      <c r="E2301" t="n">
        <v>13</v>
      </c>
      <c r="F2301">
        <f>HYPERLINK("https://www.reddit.com/r/diabetes/comments/4wcpzm/sleeping_with_a_pump/")</f>
        <v/>
      </c>
      <c r="G2301" t="inlineStr">
        <is>
          <t>2016-08-05 14:20:49</t>
        </is>
      </c>
      <c r="H2301" t="inlineStr">
        <is>
          <t>Type 1</t>
        </is>
      </c>
    </row>
    <row r="2302">
      <c r="A2302" t="inlineStr">
        <is>
          <t>4wemj4</t>
        </is>
      </c>
      <c r="B2302" t="inlineStr">
        <is>
          <t>Higher BG with Coke Freestyle Light Lemonade</t>
        </is>
      </c>
      <c r="C2302" t="inlineStr">
        <is>
          <t xml:space="preserve">I regularly have higher BGs with Minute Maid Lemonade Light from the Freestyle. I've tested the theory four times now...identical food all day, except dinner drink...sparkling water lime from a can twice, Lemonade Light from the Freestyle twice.  Bedtime BG 140 and 171 with the sparkling water, 270 and 281 with the Lemonade Light.  Go figure? </t>
        </is>
      </c>
      <c r="D2302" t="n">
        <v>1</v>
      </c>
      <c r="E2302" t="n">
        <v>3</v>
      </c>
      <c r="F2302">
        <f>HYPERLINK("https://www.reddit.com/r/diabetes/comments/4wemj4/higher_bg_with_coke_freestyle_light_lemonade/")</f>
        <v/>
      </c>
      <c r="G2302" t="inlineStr">
        <is>
          <t>2016-08-05 22:40:19</t>
        </is>
      </c>
      <c r="H2302" t="inlineStr">
        <is>
          <t>Type 2</t>
        </is>
      </c>
    </row>
    <row r="2303">
      <c r="A2303" t="inlineStr">
        <is>
          <t>4whi3p</t>
        </is>
      </c>
      <c r="B2303" t="inlineStr">
        <is>
          <t>T1 finally taking things seriously, few questions</t>
        </is>
      </c>
      <c r="C2303" t="inlineStr">
        <is>
          <t>I recently bought freestyle libre starter kit, I've got my basal to the point where I get a flat profile all day but am having a problem with morning bolus.
I find that even if I inject 15-20 mins before breakfast my blood sugar is spiking significantly after breakfast, sometimes up to 15 before coming back down to normal levels by lunchtime, usually really quickly and sometimes ending with a hypo. How can I stop this spike? Clearly I'm giving myself enough insulin if it's then causing me to go hypo. My breakfast is porridge with sunflower seeds and raisins, with a glass of orange juice. I know the juice is high GI but surely this can be accounted for? My other meals I don't get these crazy spikes, just around breakfast. Any advice would be appreciated!</t>
        </is>
      </c>
      <c r="D2303" t="n">
        <v>9</v>
      </c>
      <c r="E2303" t="n">
        <v>8</v>
      </c>
      <c r="F2303">
        <f>HYPERLINK("https://www.reddit.com/r/diabetes/comments/4whi3p/t1_finally_taking_things_seriously_few_questions/")</f>
        <v/>
      </c>
      <c r="G2303" t="inlineStr">
        <is>
          <t>2016-08-06 13:05:22</t>
        </is>
      </c>
      <c r="H2303" t="inlineStr">
        <is>
          <t>Type 1</t>
        </is>
      </c>
    </row>
    <row r="2304">
      <c r="A2304" t="inlineStr">
        <is>
          <t>4whlt2</t>
        </is>
      </c>
      <c r="B2304" t="inlineStr">
        <is>
          <t>I have type 1 diabetes and am struggling to cope with my job due to the heat intensity</t>
        </is>
      </c>
      <c r="C2304" t="inlineStr">
        <is>
          <t>The was originally posted to r/mcdonalds, but it may also be suitable here.
Basically I started at my store around 2 months ago, and was diagnosed with type 1 diabetes around 3 months prior - so it's all very new to me. I have done batch, line, oat, drinks and til (so everything basically). And my diabetes has been a bit out of control, with bloodsugar levels typically from 16 - 26, maybe once in a blue moon I will have levels of 12 (which still isn't great). With this said, I've been finding it extremely difficult to do line and batch as it makes me very sensitive to the heat and I end up ill after about 20 minutes and am usually bedridden the following day.
After this happening a few times, and with me being ill a lot and being sent home, they trained me on the tils and it's great, I enjoy it and I'm not as ill. However, they've started putting me in the kitchen again, which I understand from their point of view is right, because everyone has to change around.
I'm just wondering what to do, I've spoke with managers and when I tell them I'm ill they usually swap me and put me on tils, the only problem is I usually have to ask and feel rude and needy, but the only alternative is me just going home. Is it appropriate for me to get a doctor's note and speaking to the general manager. I've already explained the situation but they often put me on batch still. Thanks for any replies</t>
        </is>
      </c>
      <c r="D2304" t="n">
        <v>12</v>
      </c>
      <c r="E2304" t="n">
        <v>19</v>
      </c>
      <c r="F2304">
        <f>HYPERLINK("https://www.reddit.com/r/diabetes/comments/4whlt2/i_have_type_1_diabetes_and_am_struggling_to_cope/")</f>
        <v/>
      </c>
      <c r="G2304" t="inlineStr">
        <is>
          <t>2016-08-06 13:27:04</t>
        </is>
      </c>
      <c r="H2304" t="inlineStr">
        <is>
          <t>Type 1</t>
        </is>
      </c>
    </row>
    <row r="2305">
      <c r="A2305" t="inlineStr">
        <is>
          <t>4whr2c</t>
        </is>
      </c>
      <c r="B2305" t="inlineStr">
        <is>
          <t>This can not be right.</t>
        </is>
      </c>
      <c r="C2305" t="inlineStr">
        <is>
          <t>A little back ground:
I'm 22 years old. Upon diagnosis, I was COMPLETELY sedentary. My day consisted of waking up, going to the bathroom, eating, and sitting at my computer. That was it.
My A1C was 14-point-something upon diagnosis. My fasting blood sugar was over four hundred.
It has been two years. I now have a fairly active job, sing, and dance. I have basiclly been eating no-to-super-low carbs for months on end.
Today, a coworker (Who is my Type 1 Diabetes brother from another mother.) convinced me that due to my weight loss, new lifestyle, and diet changes, I could probably handle way more carbs that I allowed myself to eat. 
His exact words were: "Yeah, OK. You were 300lb. and you fucked up. You got da Beetus. But, you fixed that fuck up. Sure, you're not cured, but you damn well could handle carbs now."
So, I bet him a 2 liter of diet root beer that if I had carbs, I'd spike.
Here's what I ate. Three Grilled Steak Soft Tacos from Taco Bell:
http://imgur.com/a/LUGIj
You read that right. Almost 60g of carbs.
Here's the hour-after test:
http://imgur.com/a/RJELT
That can't be right. Is this a fucking dream?</t>
        </is>
      </c>
      <c r="D2305" t="n">
        <v>6</v>
      </c>
      <c r="E2305" t="n">
        <v>28</v>
      </c>
      <c r="F2305">
        <f>HYPERLINK("https://www.reddit.com/r/diabetes/comments/4whr2c/this_can_not_be_right/")</f>
        <v/>
      </c>
      <c r="G2305" t="inlineStr">
        <is>
          <t>2016-08-06 14:01:56</t>
        </is>
      </c>
      <c r="H2305" t="inlineStr">
        <is>
          <t>Type 2</t>
        </is>
      </c>
    </row>
    <row r="2306">
      <c r="A2306" t="inlineStr">
        <is>
          <t>4whrly</t>
        </is>
      </c>
      <c r="B2306" t="inlineStr">
        <is>
          <t>Paging the T1s with a &amp;lt;5.7 A1C . . .</t>
        </is>
      </c>
      <c r="C2306" t="inlineStr">
        <is>
          <t>Based on flair, I know there are quite a few of you here!  This year I've been focusing more and more on trying to keep my BS in the range of a non-diabetic and I'm curious what your routines are.  Most people in this range seem to be eating very low-carb and using a pump, but I'd love to hear what everyone is doing.</t>
        </is>
      </c>
      <c r="D2306" t="n">
        <v>6</v>
      </c>
      <c r="E2306" t="n">
        <v>28</v>
      </c>
      <c r="F2306">
        <f>HYPERLINK("https://www.reddit.com/r/diabetes/comments/4whrly/paging_the_t1s_with_a_57_a1c/")</f>
        <v/>
      </c>
      <c r="G2306" t="inlineStr">
        <is>
          <t>2016-08-06 14:05:45</t>
        </is>
      </c>
      <c r="H2306" t="inlineStr">
        <is>
          <t>Type 1</t>
        </is>
      </c>
    </row>
    <row r="2307">
      <c r="A2307" t="inlineStr">
        <is>
          <t>4whxm2</t>
        </is>
      </c>
      <c r="B2307" t="inlineStr">
        <is>
          <t>For those with T2 who eventually had to start using insulin, how long did you go before making the switch, and any tips for staying off as long as possible?</t>
        </is>
      </c>
      <c r="C2307" t="inlineStr">
        <is>
          <t>It's been a year since I was diagnosed with T2, and right now I'm still on a regiment of Metformin with Diet &amp;amp; Exercise. However, as I've been doing more research, I've learned that about 70% of T2 wind up on insulin three years after diagnosis. I figured that while I can do what I can to try and stay either on pills or without pills for as long as possible, it's probably healthy to take a dose of reality and make plans accordingly. (Just in case).
So therein lie the questions, if anyone's willing to answer. Those with T2 who have gone on to use insulin, how much time passed before you made the switch? Any recommendations to generate some "extra time", so to speak? What recommendations do you have for when/if that time comes? Is it possible to go back off insulin? What other recommendations might you have?
If anyone answers, I really appreciate it. Diabetes isn't too bad right now, but I'd like to stay ahead of it as much as possible. 
Thanks again. I hope everybody else is staying as healthy as they can.</t>
        </is>
      </c>
      <c r="D2307" t="n">
        <v>4</v>
      </c>
      <c r="E2307" t="n">
        <v>25</v>
      </c>
      <c r="F2307">
        <f>HYPERLINK("https://www.reddit.com/r/diabetes/comments/4whxm2/for_those_with_t2_who_eventually_had_to_start/")</f>
        <v/>
      </c>
      <c r="G2307" t="inlineStr">
        <is>
          <t>2016-08-06 14:46:11</t>
        </is>
      </c>
      <c r="H2307" t="inlineStr">
        <is>
          <t>Type 2</t>
        </is>
      </c>
    </row>
    <row r="2308">
      <c r="A2308" t="inlineStr">
        <is>
          <t>4wo6fa</t>
        </is>
      </c>
      <c r="B2308" t="inlineStr">
        <is>
          <t>Issues with erectile dysfunction? (nsfw?)</t>
        </is>
      </c>
      <c r="C2308" t="inlineStr">
        <is>
          <t>So, I've been a T1D for 12 years. I did not even bother to take care of myself for much of that time and only started on an Omnipod a few years ago. Maybe, 6 years ago, I noticed I would have a hard time getting an erection which in the future (more than likely) caused anxiety which makes it even worse and happen consistently.
I suffer from severe depression and had a psychologist actually tell me about possible hormone problems based on some blood work about 5 months ago. I can get an erection while masturbating and often with some physical stimulation and as long as I can really get into it with a partner.
I already developed retrograde ejaculation so I know I do have some complications with neuropathy for sure. The past couple of months, I'm starting to really want to fix things with my blood sugars. I'm trying to keep them around 100-150 when they used to easily be 300+ consistently when I didn't care.
I'm wondering if it's already too late or is this just a case of a ton of different factors all playing a role in this. I've been trying to eat more healthy and have lost 10+ pounds recently due to watching what I eat. I'm not obese (5'9, 180lbs) but put on a bit of weight which I started to take care of. I'm going to assume exercise, better blood sugar control, and attending to my mental problems will show improvement. Has anyone had success with pills for the ED and also come from a background of really poor blood sugar control?
Does anyone have any kind of similar stories or can share what maybe helped them through this kind of stuff?</t>
        </is>
      </c>
      <c r="D2308" t="n">
        <v>6</v>
      </c>
      <c r="E2308" t="n">
        <v>24</v>
      </c>
      <c r="F2308">
        <f>HYPERLINK("https://www.reddit.com/r/diabetes/comments/4wo6fa/issues_with_erectile_dysfunction_nsfw/")</f>
        <v/>
      </c>
      <c r="G2308" t="inlineStr">
        <is>
          <t>2016-08-07 20:10:30</t>
        </is>
      </c>
      <c r="H2308" t="inlineStr">
        <is>
          <t>Type 1</t>
        </is>
      </c>
    </row>
    <row r="2309">
      <c r="A2309" t="inlineStr">
        <is>
          <t>4worg8</t>
        </is>
      </c>
      <c r="B2309" t="inlineStr">
        <is>
          <t>Red splotches/acne on chest and high blood sugars?</t>
        </is>
      </c>
      <c r="C2309" t="inlineStr">
        <is>
          <t>After being hospitalized and subsequently diagnosed with T1 in January due to DKA, I had large whiteheads break out on my forehead/hairline area and red acne-like splotches erupt on my chest. Over a few weeks the "break outs" went away.
Fast forward to now - after a week of pretty high blood sugars and one small instance of almost going into DKA due to problems with my new pump, the small red splotches on my chest have come back again. They span my entire chest, are unsightly, and some of them are pustules. For some reason I feel like my body's trying to respond to me being hyperglycemic by "purging" something out. A lot of the splotches look acne-like, but some also look like psoriasis, and some have faded into raised hypertrophic scars. Has anyone ever noticed if going into DKA or being chronically hyperglycemic has produced a similar skin reaction?</t>
        </is>
      </c>
      <c r="D2309" t="n">
        <v>5</v>
      </c>
      <c r="E2309" t="n">
        <v>7</v>
      </c>
      <c r="F2309">
        <f>HYPERLINK("https://www.reddit.com/r/diabetes/comments/4worg8/red_splotchesacne_on_chest_and_high_blood_sugars/")</f>
        <v/>
      </c>
      <c r="G2309" t="inlineStr">
        <is>
          <t>2016-08-07 23:11:30</t>
        </is>
      </c>
      <c r="H2309" t="inlineStr">
        <is>
          <t>Type 1</t>
        </is>
      </c>
    </row>
    <row r="2310">
      <c r="A2310" t="inlineStr">
        <is>
          <t>4wpfnj</t>
        </is>
      </c>
      <c r="B2310" t="inlineStr">
        <is>
          <t>Can I take levemir 1 hour earlier?</t>
        </is>
      </c>
      <c r="C2310" t="inlineStr">
        <is>
          <t xml:space="preserve">Im supposed to take it every 12 hours but I need to start fixing the schedule, is it safe to take it every 11 hours? </t>
        </is>
      </c>
      <c r="D2310" t="n">
        <v>2</v>
      </c>
      <c r="E2310" t="n">
        <v>3</v>
      </c>
      <c r="F2310">
        <f>HYPERLINK("https://www.reddit.com/r/diabetes/comments/4wpfnj/can_i_take_levemir_1_hour_earlier/")</f>
        <v/>
      </c>
      <c r="G2310" t="inlineStr">
        <is>
          <t>2016-08-08 03:09:55</t>
        </is>
      </c>
      <c r="H2310" t="inlineStr">
        <is>
          <t>Type 1</t>
        </is>
      </c>
    </row>
    <row r="2311">
      <c r="A2311" t="inlineStr">
        <is>
          <t>4wpghr</t>
        </is>
      </c>
      <c r="B2311" t="inlineStr">
        <is>
          <t>how strict are you guys with carb counting?</t>
        </is>
      </c>
      <c r="C2311" t="inlineStr">
        <is>
          <t xml:space="preserve">what are you methods? hows rigid are you with counting perfect amounts? do you record it?
</t>
        </is>
      </c>
      <c r="D2311" t="n">
        <v>11</v>
      </c>
      <c r="E2311" t="n">
        <v>32</v>
      </c>
      <c r="F2311">
        <f>HYPERLINK("https://www.reddit.com/r/diabetes/comments/4wpghr/how_strict_are_you_guys_with_carb_counting/")</f>
        <v/>
      </c>
      <c r="G2311" t="inlineStr">
        <is>
          <t>2016-08-08 03:18:01</t>
        </is>
      </c>
      <c r="H2311" t="inlineStr">
        <is>
          <t>Type 1</t>
        </is>
      </c>
    </row>
    <row r="2312">
      <c r="A2312" t="inlineStr">
        <is>
          <t>4wqi15</t>
        </is>
      </c>
      <c r="B2312" t="inlineStr">
        <is>
          <t>Dawn Phenomenon Basal Settings</t>
        </is>
      </c>
      <c r="C2312" t="inlineStr">
        <is>
          <t>Hola Muchachos / Muchachas,
First, I know we are not doctors. I'm not asking for a prescription. Also, yes, consult with your endo. Also, I know this changes person by person. Just looking for general best practices so I can hopefully aggregate and find commonalities. 
I started on the omnipod a couple months back and still trying to get the dawn phenomenon figured out. At first I questioned whether to bolus or basal to help cover for the dawn phenomenon, and quickly found that basal was probably the best answer. 
I ended up setting my basal up as follows:
12:00am - 4:30am:  0.65 u/hr
4:30am - 6:30am:    0.70 u/hr
6:30am - 9:30am:    0.95 u/hr
9:30am - 12:00am:  0.65 u/hr
Just wondering how this type of setup compares to others. Compared to others, is my dawn phenomenon coverage shorter than average? Longer than average? % Increase higher, lower than average?
The thought I am questioning now is would a shorter, more sizeable increase in basal be more/less helpful than a longer, more drawn out, less sizeable increase in basal...
Thanks in advance for your thoughts!</t>
        </is>
      </c>
      <c r="D2312" t="n">
        <v>2</v>
      </c>
      <c r="E2312" t="n">
        <v>5</v>
      </c>
      <c r="F2312">
        <f>HYPERLINK("https://www.reddit.com/r/diabetes/comments/4wqi15/dawn_phenomenon_basal_settings/")</f>
        <v/>
      </c>
      <c r="G2312" t="inlineStr">
        <is>
          <t>2016-08-08 07:49:18</t>
        </is>
      </c>
      <c r="H2312" t="inlineStr">
        <is>
          <t>Type 1</t>
        </is>
      </c>
    </row>
    <row r="2313">
      <c r="A2313" t="inlineStr">
        <is>
          <t>4wr5di</t>
        </is>
      </c>
      <c r="B2313" t="inlineStr">
        <is>
          <t>[Humble Brag] Fasting glucose of 76!</t>
        </is>
      </c>
      <c r="C2313" t="inlineStr">
        <is>
          <t>Proof: http://i.imgur.com/8rWYaIF.jpg
Woot! Woot!</t>
        </is>
      </c>
      <c r="D2313" t="n">
        <v>6</v>
      </c>
      <c r="E2313" t="n">
        <v>7</v>
      </c>
      <c r="F2313">
        <f>HYPERLINK("https://www.reddit.com/r/diabetes/comments/4wr5di/humble_brag_fasting_glucose_of_76/")</f>
        <v/>
      </c>
      <c r="G2313" t="inlineStr">
        <is>
          <t>2016-08-08 09:57:38</t>
        </is>
      </c>
      <c r="H2313" t="inlineStr">
        <is>
          <t>Type 2</t>
        </is>
      </c>
    </row>
    <row r="2314">
      <c r="A2314" t="inlineStr">
        <is>
          <t>4wrsi0</t>
        </is>
      </c>
      <c r="B2314" t="inlineStr">
        <is>
          <t>Dexcom G5 + iPhone 4s = which smartwatches?</t>
        </is>
      </c>
      <c r="C2314" t="inlineStr">
        <is>
          <t>Does anyone have experience with this combination?  I know the 4s is old, but it works perfectly well and I've seen posts where people confirm that Android Wear works with it.  If I get a smartwatch, will my readings still register on my phone as well, or is it one or the other? Thanks!</t>
        </is>
      </c>
      <c r="D2314" t="n">
        <v>1</v>
      </c>
      <c r="E2314" t="n">
        <v>9</v>
      </c>
      <c r="F2314">
        <f>HYPERLINK("https://www.reddit.com/r/diabetes/comments/4wrsi0/dexcom_g5_iphone_4s_which_smartwatches/")</f>
        <v/>
      </c>
      <c r="G2314" t="inlineStr">
        <is>
          <t>2016-08-08 11:52:22</t>
        </is>
      </c>
      <c r="H2314" t="inlineStr">
        <is>
          <t>Type 1</t>
        </is>
      </c>
    </row>
    <row r="2315">
      <c r="A2315" t="inlineStr">
        <is>
          <t>4wu27b</t>
        </is>
      </c>
      <c r="B2315" t="inlineStr">
        <is>
          <t>I need help</t>
        </is>
      </c>
      <c r="C2315" t="inlineStr">
        <is>
          <t>So, I've been a diabetic for 8 years now. I was diagnosed when I was 13 and am now 21. I've been on a pump for roughly 5-6 years. Throughout my entire high school years, into my adult life I'm growing into I've stayed roughly the same weight (I should mention that I'm 6'0" and am overweight). Granted as I hit puberty I lost some of the weight as I grew taller, filled out more, etc. But I have never, ever been happy or comfortable in my own skin and it really takes its toll mentally. I've dealt with severe depression and anxiety since before I had diabetes, and the whole not liking my body and dealing with not being able to lose weight &amp;amp; diabetes as well has never helped my mental health.  Several times throughout the past 8 years I've tried eating better and exercising but I never see any results and that just added on to my mental health sickness. I never really eat "bad" per say. Like I pretty much never eat fast food, I'm conscious of my carbs and calories, I try to stick to all natural and organic food, I eat plenty of fruits &amp;amp; veggies, I drink only water &amp;amp; diet pop/tea/powerade on occasion, I eat sweets in small-controlled portions, etc. But no matter what I cannot lose weight and it's really taking it's toll. I've considered going into ketoacidosis a few times just so I can shed some weight, regardless of the risks. Unfortunately myself and my family are pretty poor so I can't afford to get a gym membership, get a personal trainer. Hell, I can't even tell you how many times I've considered trying to save up for years so I can go get some sort of surgery on my body just so I can be happy in my own body for once. I guess the reason for posting this is because I need some severe help. Whether that be some sort of dietician/personal trainer online, or some insight on how to lose weight, someone who can help me with a meal and workout plan, something. I hate existing day after day not being comfortable with myself, but I've tried to do the best I can for years and I really just need some help. Anything would be greatly appreciated.</t>
        </is>
      </c>
      <c r="D2315" t="n">
        <v>8</v>
      </c>
      <c r="E2315" t="n">
        <v>12</v>
      </c>
      <c r="F2315">
        <f>HYPERLINK("https://www.reddit.com/r/diabetes/comments/4wu27b/i_need_help/")</f>
        <v/>
      </c>
      <c r="G2315" t="inlineStr">
        <is>
          <t>2016-08-08 20:14:51</t>
        </is>
      </c>
      <c r="H2315" t="inlineStr">
        <is>
          <t>Type 1</t>
        </is>
      </c>
    </row>
    <row r="2316">
      <c r="A2316" t="inlineStr">
        <is>
          <t>4wxis5</t>
        </is>
      </c>
      <c r="B2316" t="inlineStr">
        <is>
          <t>What is my blood glucose supposed to be before working out so I don't risk DKA.</t>
        </is>
      </c>
      <c r="C2316" t="inlineStr">
        <is>
          <t>Google won't give me any answers, it's full of "Eat these foods to heal your diabetes" bull shit fuckery. under 14 mmo/L is acceptable? We're talking about lifting here.. What usually puts me up to 16 mmoL or even higher and I'm not even sure if im that high during the workout or if the high sugars happen after I have stopped, any other lifters here? bro tips?</t>
        </is>
      </c>
      <c r="D2316" t="n">
        <v>5</v>
      </c>
      <c r="E2316" t="n">
        <v>19</v>
      </c>
      <c r="F2316">
        <f>HYPERLINK("https://www.reddit.com/r/diabetes/comments/4wxis5/what_is_my_blood_glucose_supposed_to_be_before/")</f>
        <v/>
      </c>
      <c r="G2316" t="inlineStr">
        <is>
          <t>2016-08-09 10:56:00</t>
        </is>
      </c>
      <c r="H2316" t="inlineStr">
        <is>
          <t>Type 1</t>
        </is>
      </c>
    </row>
    <row r="2317">
      <c r="A2317" t="inlineStr">
        <is>
          <t>4wz2pd</t>
        </is>
      </c>
      <c r="B2317" t="inlineStr">
        <is>
          <t>A1C is 5.4!</t>
        </is>
      </c>
      <c r="C2317" t="inlineStr">
        <is>
          <t xml:space="preserve">Hey ya'll, I'm a 24F (5'8.5" and 162lbs) and I'm very excited because my latest A1C came back at 5.4! I am a T2 diabetic (according to my doctor my diabetes is purely genetic since I have 5+ blood relatives with T2 diabetes) but I wanted to post my A1C since you guys are very supportive :) I'm newly diagnosed and in the process of finding an endocrinologist. </t>
        </is>
      </c>
      <c r="D2317" t="n">
        <v>35</v>
      </c>
      <c r="E2317" t="n">
        <v>12</v>
      </c>
      <c r="F2317">
        <f>HYPERLINK("https://www.reddit.com/r/diabetes/comments/4wz2pd/a1c_is_54/")</f>
        <v/>
      </c>
      <c r="G2317" t="inlineStr">
        <is>
          <t>2016-08-09 16:01:55</t>
        </is>
      </c>
      <c r="H2317" t="inlineStr">
        <is>
          <t>Type 2</t>
        </is>
      </c>
    </row>
    <row r="2318">
      <c r="A2318" t="inlineStr">
        <is>
          <t>4x3e8b</t>
        </is>
      </c>
      <c r="B2318" t="inlineStr">
        <is>
          <t>Just Diagnosed</t>
        </is>
      </c>
      <c r="C2318" t="inlineStr">
        <is>
          <t>Hello, /r/diabetes!
My brother (34y) was released yesterday from the hospital after a T1 diagnosis. He admitted himself Friday because of rapid weight loss (~40lbs in 5 weeks), vomiting, fatigue, nausea, frequent urination and unquenchable thirst. At the time, he thought this was due to his hyperthyroidism (which we have learned is actually [Graves' disease](https://en.wikipedia.org/wiki/Graves'_disease)). He was scheduled to meet with his GP sometime this week to figure it out, but his symptoms became too severe and he made the wise choice to check himself into the emergency clinic. Triage staff initially thought his assessment was correct until one astute nurse noticed the smell of his breath and ordered a glucose test - which came back at ~45mmol/L. He now feels able to manage it at least initially, has seen a diabetes educator and his new endocrinologist several times, and has more "Welcome To The World Of Diabetes" appointments tomorrow at a major diabetes centre here in town. It's a lot to take in very quickly, and I'm doing everything I can to help him. He also lives with his girlfriend of ~5 years or so, so that's a huge help as well.
Does anyone have any advice for somebody newly diagnosed with T1? Things like, what to expect in the first few months, common mistakes made by new T1s, advice on monitoring or injections, advice on diet, good questions to ask his healthcare team, things like that? If anyone has comorbid hyperthyroidism, advice in that area would be much appreciated as well.
One question doctors haven't answered very well yet for which experience would be helpful is the use of marijuana - he asked his endo, and she seems more concerned about the accompanying munchies than the weed itself, but anyone here have experience with that?
One more question - what are some good ways to carry his "kit" with him? Hopefully he won't be offended when he reads this, but he is forgetful. Forgetting your meter or insulin is going to be hella worse than forgetting a cellphone at a friend's place. I'm bad with leaving my wallet around myself, so I use a chain wallet - but I'm not sure if that would work for a kit. You can't sit on it.
Generally, any advice for someone with a brand new T1 diagnosis would be helpful. There's no family history of it (that we are aware of) so he doesn't have a lot of resources when it comes to asking people about their experiences. Any and all insight or experiences  anyone could share would be very much appreciated.
tl;dr Brother was diagnosed with T1 on Saturday - what can he expect for the next few months?
edit: typos</t>
        </is>
      </c>
      <c r="D2318" t="n">
        <v>9</v>
      </c>
      <c r="E2318" t="n">
        <v>25</v>
      </c>
      <c r="F2318">
        <f>HYPERLINK("https://www.reddit.com/r/diabetes/comments/4x3e8b/just_diagnosed/")</f>
        <v/>
      </c>
      <c r="G2318" t="inlineStr">
        <is>
          <t>2016-08-10 10:49:18</t>
        </is>
      </c>
      <c r="H2318" t="inlineStr">
        <is>
          <t>Type 1</t>
        </is>
      </c>
    </row>
    <row r="2319">
      <c r="A2319" t="inlineStr">
        <is>
          <t>4xabv7</t>
        </is>
      </c>
      <c r="B2319" t="inlineStr">
        <is>
          <t>Mystery solved!</t>
        </is>
      </c>
      <c r="C2319" t="inlineStr">
        <is>
          <t>A week or so ago, I was having some unexpected BG readings, especially after lunch. Well, my husband makes our lunches, and he had picked up the bread. I assumed it was the smae stuff we'd been getting. It was the same brand, I just didn't look close.
Ends up, it's the same brand, but a different kind! I guess I should have looked more closely. I couldn't figure out why I was spiking. Lesson learned; I'll double check everything from now on.
What's caught you off guard?</t>
        </is>
      </c>
      <c r="D2319" t="n">
        <v>3</v>
      </c>
      <c r="E2319" t="n">
        <v>17</v>
      </c>
      <c r="F2319">
        <f>HYPERLINK("https://www.reddit.com/r/diabetes/comments/4xabv7/mystery_solved/")</f>
        <v/>
      </c>
      <c r="G2319" t="inlineStr">
        <is>
          <t>2016-08-11 14:11:46</t>
        </is>
      </c>
      <c r="H2319" t="inlineStr">
        <is>
          <t>Type 2</t>
        </is>
      </c>
    </row>
    <row r="2320">
      <c r="A2320" t="inlineStr">
        <is>
          <t>4xaqvi</t>
        </is>
      </c>
      <c r="B2320" t="inlineStr">
        <is>
          <t>Is sugar worse than other carbs?</t>
        </is>
      </c>
      <c r="C2320" t="inlineStr">
        <is>
          <t>For example, If I eat a piece of bread with 11g carbs in it, is that better or worse than just straight up eating 11g of sugar?
Is it all the same, but non-sugar carbs just take more time to get to the blood? If yes, does that make the spike smaller?</t>
        </is>
      </c>
      <c r="D2320" t="n">
        <v>4</v>
      </c>
      <c r="E2320" t="n">
        <v>16</v>
      </c>
      <c r="F2320">
        <f>HYPERLINK("https://www.reddit.com/r/diabetes/comments/4xaqvi/is_sugar_worse_than_other_carbs/")</f>
        <v/>
      </c>
      <c r="G2320" t="inlineStr">
        <is>
          <t>2016-08-11 17:18:19</t>
        </is>
      </c>
      <c r="H2320" t="inlineStr">
        <is>
          <t>Type 2</t>
        </is>
      </c>
    </row>
    <row r="2321">
      <c r="A2321" t="inlineStr">
        <is>
          <t>4xe7sp</t>
        </is>
      </c>
      <c r="B2321" t="inlineStr">
        <is>
          <t>Scared to sleep</t>
        </is>
      </c>
      <c r="C2321" t="inlineStr">
        <is>
          <t>I was diagnosed Type 2 about a month ago. Still getting used to everything. I'm on Metformin, Gliclazide and Lantus Solostar. 
It's nearly 2am here in Australia. I was lying in bed listening to music and started feeling strange. Immediately checked my blood sugar and was low. 3.1 on my meter. I crammed some jelly beans down and got up to eat something more substantial. Had some breakfast cereal because it was easiest to make.
I still feel shaky but I don't know if that's nerves or my blood sugar levels. I'm kind of freaking out about what might have happened if I'd already fallen asleep and now I'm scared to sleep at all. 
What do you do to calm down after a low?</t>
        </is>
      </c>
      <c r="D2321" t="n">
        <v>12</v>
      </c>
      <c r="E2321" t="n">
        <v>22</v>
      </c>
      <c r="F2321">
        <f>HYPERLINK("https://www.reddit.com/r/diabetes/comments/4xe7sp/scared_to_sleep/")</f>
        <v/>
      </c>
      <c r="G2321" t="inlineStr">
        <is>
          <t>2016-08-12 08:56:03</t>
        </is>
      </c>
      <c r="H2321" t="inlineStr">
        <is>
          <t>Type 2</t>
        </is>
      </c>
    </row>
    <row r="2322">
      <c r="A2322" t="inlineStr">
        <is>
          <t>4xgtn6</t>
        </is>
      </c>
      <c r="B2322" t="inlineStr">
        <is>
          <t>Trying to bring my I:C ratio down, need some help</t>
        </is>
      </c>
      <c r="C2322" t="inlineStr">
        <is>
          <t>So I've been playing around with my Lantus to try to bring my I:C ratio to a somewhat 'normal' level. 
For awhile I was at 1:2, which was crazy. 
Now I'm doing 15U Lantus at night and 25U in the mornings, but my I:C ratio is only at 1:3. What am I doing wrong? I feel like I'm taking a ton of insulin and not seeing much result. I'm increasing the Lantus 5U at a time - which might seem crazy, but it's because it doesn't seem to be having too much of an effect on me. 
Is anyone on a high dosage of Lantus? Like maybe above 50U? Is this normal?</t>
        </is>
      </c>
      <c r="D2322" t="n">
        <v>5</v>
      </c>
      <c r="E2322" t="n">
        <v>27</v>
      </c>
      <c r="F2322">
        <f>HYPERLINK("https://www.reddit.com/r/diabetes/comments/4xgtn6/trying_to_bring_my_ic_ratio_down_need_some_help/")</f>
        <v/>
      </c>
      <c r="G2322" t="inlineStr">
        <is>
          <t>2016-08-12 17:52:28</t>
        </is>
      </c>
      <c r="H2322" t="inlineStr">
        <is>
          <t>Type 1</t>
        </is>
      </c>
    </row>
    <row r="2323">
      <c r="A2323" t="inlineStr">
        <is>
          <t>4xhii9</t>
        </is>
      </c>
      <c r="B2323" t="inlineStr">
        <is>
          <t>Any Type 1's on Metformin?</t>
        </is>
      </c>
      <c r="C2323" t="inlineStr">
        <is>
          <t>I'm very insulin resistant--currently on a 1:2 carb ratio, and my diabetes team is quite baffled by it. I'm 19 and was diagnosed in Jan of this year. Prior to diagnosis I was always around 125 lbs (I'm 5'2 and petite) but ever since I started on insulin my weight has crept up to 152. I've also been on keto for about a month and so far my body has been quite resistant to weight loss despite the fact that I often eat around 1200 calories daily (this has been the usual for me). Have any of you fellow T1s with insulin resistance seen any changes since taking Metformin? I'm planning to ask my endo about this more but I would like to hear some other opinions.
Tldr; T1s on Metformin for insulin resistance, what has been your experience so far?</t>
        </is>
      </c>
      <c r="D2323" t="n">
        <v>3</v>
      </c>
      <c r="E2323" t="n">
        <v>6</v>
      </c>
      <c r="F2323">
        <f>HYPERLINK("https://www.reddit.com/r/diabetes/comments/4xhii9/any_type_1s_on_metformin/")</f>
        <v/>
      </c>
      <c r="G2323" t="inlineStr">
        <is>
          <t>2016-08-12 20:57:08</t>
        </is>
      </c>
      <c r="H2323" t="inlineStr">
        <is>
          <t>Type 1</t>
        </is>
      </c>
    </row>
    <row r="2324">
      <c r="A2324" t="inlineStr">
        <is>
          <t>4xhu6q</t>
        </is>
      </c>
      <c r="B2324" t="inlineStr">
        <is>
          <t>I've never really gone low.</t>
        </is>
      </c>
      <c r="C2324" t="inlineStr">
        <is>
          <t>Hey all. Dx'd a month ago, and I picked up my glucagon kit a few days ago. I realized, I have never really had a serious low.
The lowest I've ever been was 3.6. I felt a little shaky and was starting to feel dizzy but I ate a museli bar and was completely fine after that. I work long hours, on my feet constantly and my BG tends to drop a fair bit while working, but once I reach 4.5-5.0, it tends to hover around there, even if I'm not eating.
Is it bad that I kind of want to intentionally go low just to see how it feels, so I know what to look for? And is it weird that I don't really go low? I've been below 4.0 twice in a month.</t>
        </is>
      </c>
      <c r="D2324" t="n">
        <v>3</v>
      </c>
      <c r="E2324" t="n">
        <v>7</v>
      </c>
      <c r="F2324">
        <f>HYPERLINK("https://www.reddit.com/r/diabetes/comments/4xhu6q/ive_never_really_gone_low/")</f>
        <v/>
      </c>
      <c r="G2324" t="inlineStr">
        <is>
          <t>2016-08-12 22:45:55</t>
        </is>
      </c>
      <c r="H2324" t="inlineStr">
        <is>
          <t>Type 1</t>
        </is>
      </c>
    </row>
    <row r="2325">
      <c r="A2325" t="inlineStr">
        <is>
          <t>4xizp0</t>
        </is>
      </c>
      <c r="B2325" t="inlineStr">
        <is>
          <t>Exercising, losing weight, but fasting blood glucose going up. Help!</t>
        </is>
      </c>
      <c r="C2325" t="inlineStr">
        <is>
          <t>Hi, I'm 40 years old, type 2, on 1000mg Metformin 2x/day.  My fasting blood glucose has been normally 100-120 in the mornings for the longest time.  But about a month ago, my morning glucose readings were hovering around 130-140.  I started to exercise about 3 weeks ago, and have made some progress.  My wife is noticing weight loss, I'm feeling more energetic, etc.  All good things.  However, now my morning blood glucose is around 150-170.  Can someone shed some light as to what might be going on.  We eat very healthy, and I don't cheat at work etc.  
It's very confusing, please help!</t>
        </is>
      </c>
      <c r="D2325" t="n">
        <v>11</v>
      </c>
      <c r="E2325" t="n">
        <v>20</v>
      </c>
      <c r="F2325">
        <f>HYPERLINK("https://www.reddit.com/r/diabetes/comments/4xizp0/exercising_losing_weight_but_fasting_blood/")</f>
        <v/>
      </c>
      <c r="G2325" t="inlineStr">
        <is>
          <t>2016-08-13 06:06:27</t>
        </is>
      </c>
      <c r="H2325" t="inlineStr">
        <is>
          <t>Type 2</t>
        </is>
      </c>
    </row>
    <row r="2326">
      <c r="A2326" t="inlineStr">
        <is>
          <t>4xl2rt</t>
        </is>
      </c>
      <c r="B2326" t="inlineStr">
        <is>
          <t>Pump sites</t>
        </is>
      </c>
      <c r="C2326" t="inlineStr">
        <is>
          <t>Hi all! I'm new to pumping, and so far I've only attached my site to my stomach. I've found that my lower left side is pretty bad for blood vessels and nerves, so I'm running out of places I feel comfortable attaching my cannula to. Where do you guys put yours? One thing - I horse ride, so anything buttock related will have to be pretty high up/ not likely to be sat on.</t>
        </is>
      </c>
      <c r="D2326" t="n">
        <v>1</v>
      </c>
      <c r="E2326" t="n">
        <v>11</v>
      </c>
      <c r="F2326">
        <f>HYPERLINK("https://www.reddit.com/r/diabetes/comments/4xl2rt/pump_sites/")</f>
        <v/>
      </c>
      <c r="G2326" t="inlineStr">
        <is>
          <t>2016-08-13 14:23:06</t>
        </is>
      </c>
      <c r="H2326" t="inlineStr">
        <is>
          <t>Type 1</t>
        </is>
      </c>
    </row>
    <row r="2327">
      <c r="A2327" t="inlineStr">
        <is>
          <t>4xo8od</t>
        </is>
      </c>
      <c r="B2327" t="inlineStr">
        <is>
          <t>Is it acceptable for t1's to not have a schedule?</t>
        </is>
      </c>
      <c r="C2327" t="inlineStr">
        <is>
          <t>For example falling asleep at 5:00 and waking up at 14:00 and before that not eating anything.  The first meal of the day would be dinner at 16:00 followed by physical activity 2 hours later. Do t1's really need to have a very strict schedule on eating and sleeping?</t>
        </is>
      </c>
      <c r="D2327" t="n">
        <v>2</v>
      </c>
      <c r="E2327" t="n">
        <v>10</v>
      </c>
      <c r="F2327">
        <f>HYPERLINK("https://www.reddit.com/r/diabetes/comments/4xo8od/is_it_acceptable_for_t1s_to_not_have_a_schedule/")</f>
        <v/>
      </c>
      <c r="G2327" t="inlineStr">
        <is>
          <t>2016-08-14 07:10:10</t>
        </is>
      </c>
      <c r="H2327" t="inlineStr">
        <is>
          <t>Type 1</t>
        </is>
      </c>
    </row>
    <row r="2328">
      <c r="A2328" t="inlineStr">
        <is>
          <t>4xorvc</t>
        </is>
      </c>
      <c r="B2328" t="inlineStr">
        <is>
          <t>would u guys use an implantable sensor?</t>
        </is>
      </c>
      <c r="C2328" t="inlineStr">
        <is>
          <t>hey guys, been lurking around here awhile thought id join the fun
friend showd me this couple days ago. its super accurate already! havent heard any1 talk about this senseonics company, i think it may be a ways away still
http://www.senseonics.com/investor-relations/news-releases/2016/08-09-2016-210522550</t>
        </is>
      </c>
      <c r="D2328" t="n">
        <v>2</v>
      </c>
      <c r="E2328" t="n">
        <v>8</v>
      </c>
      <c r="F2328">
        <f>HYPERLINK("https://www.reddit.com/r/diabetes/comments/4xorvc/would_u_guys_use_an_implantable_sensor/")</f>
        <v/>
      </c>
      <c r="G2328" t="inlineStr">
        <is>
          <t>2016-08-14 09:22:30</t>
        </is>
      </c>
      <c r="H2328" t="inlineStr">
        <is>
          <t>Type 1</t>
        </is>
      </c>
    </row>
    <row r="2329">
      <c r="A2329" t="inlineStr">
        <is>
          <t>4xrzxk</t>
        </is>
      </c>
      <c r="B2329" t="inlineStr">
        <is>
          <t>Well then... my meter may be broken, or I'm not reacting to carbs.</t>
        </is>
      </c>
      <c r="C2329" t="inlineStr">
        <is>
          <t>First off: There is no "Before meal" test for this.
I ate a Fiber One brownie. 13g net carbs. (7 of those being pure sugar)
Wanted to track how my body reacted to it after I ate it, so I tested ten minutes after I ate it, 20 minutes after, and then did the hour after test.
10 minute test: http://imgur.com/TmNemaW
20 minute test: http://imgur.com/aEePKut
60 minute test (Which is honestly only about 50 minutes, but still:) http://imgur.com/bdWNwkS
So, either my body reacts to carbs in reverse, or my blood sugar went up to 96 as soon as I ate the brownie then gradually made its way to 72.
Will update this post in a few minutes and give you guys another test. Kinda wondering if I go lower than 70. Feeling fine, by the way. Showing no low symptoms. (Which makes sense. My fasting is normally around 75.)
Edit: Update.
Tested again. Perfectly normal. Seems like my Glycogen response works.
Proof: http://imgur.com/F5nwmLm</t>
        </is>
      </c>
      <c r="D2329" t="n">
        <v>3</v>
      </c>
      <c r="E2329" t="n">
        <v>8</v>
      </c>
      <c r="F2329">
        <f>HYPERLINK("https://www.reddit.com/r/diabetes/comments/4xrzxk/well_then_my_meter_may_be_broken_or_im_not/")</f>
        <v/>
      </c>
      <c r="G2329" t="inlineStr">
        <is>
          <t>2016-08-14 21:45:00</t>
        </is>
      </c>
      <c r="H2329" t="inlineStr">
        <is>
          <t>Type 2</t>
        </is>
      </c>
    </row>
    <row r="2330">
      <c r="A2330" t="inlineStr">
        <is>
          <t>4xt1zo</t>
        </is>
      </c>
      <c r="B2330" t="inlineStr">
        <is>
          <t>Waking up and feeling awful.</t>
        </is>
      </c>
      <c r="C2330" t="inlineStr">
        <is>
          <t>I woke up today took a shower and when I got out I felt the room feel like it tilted on me (A feeling of lose of balance.)  I started to panic a bit and test my blood sugar and it was fine.  Now that I have woken up a bit more and feel more of my body I realize I am very shaky.  Last night I knew my blood sugar was acting funny so I took a nice sized snack before bed and now I am wondering if I dropped really low in my sleep and my body recovered from it, and I am just feeling the after effect?  Anyone else ever get this way?</t>
        </is>
      </c>
      <c r="D2330" t="n">
        <v>2</v>
      </c>
      <c r="E2330" t="n">
        <v>3</v>
      </c>
      <c r="F2330">
        <f>HYPERLINK("https://www.reddit.com/r/diabetes/comments/4xt1zo/waking_up_and_feeling_awful/")</f>
        <v/>
      </c>
      <c r="G2330" t="inlineStr">
        <is>
          <t>2016-08-15 04:04:18</t>
        </is>
      </c>
      <c r="H2330" t="inlineStr">
        <is>
          <t>Type 1</t>
        </is>
      </c>
    </row>
    <row r="2331">
      <c r="A2331" t="inlineStr">
        <is>
          <t>4xtpg3</t>
        </is>
      </c>
      <c r="B2331" t="inlineStr">
        <is>
          <t>New nurse told me that taking too much bolus insulin is making me hungry, hence my weight gain</t>
        </is>
      </c>
      <c r="C2331" t="inlineStr">
        <is>
          <t>Finally saw a proper nurse at a diabetes clinic, after only seeing my regular doctor for several years.
The nurse said that my insulin ratios are way off. I’m taking not enough basal, and too much bolus with each meal, and that is what is making me hungry all the time, and then making me gain weight.
Why is this the first I’m hearing of this?! Anyone else ever had problems with this?
She’s already switched my basal Lantus dose to the morning, and I’ve been lowering my bolus doses. I can already feel a difference after only 4 days of doing this. Usually I would be sitting at work and starting to feel hungry around this time, but that urge is beginning to subside.
Would love to know if anyone else has struggled with always feeling hungry and taking too much insulin.</t>
        </is>
      </c>
      <c r="D2331" t="n">
        <v>12</v>
      </c>
      <c r="E2331" t="n">
        <v>12</v>
      </c>
      <c r="F2331">
        <f>HYPERLINK("https://www.reddit.com/r/diabetes/comments/4xtpg3/new_nurse_told_me_that_taking_too_much_bolus/")</f>
        <v/>
      </c>
      <c r="G2331" t="inlineStr">
        <is>
          <t>2016-08-15 07:07:28</t>
        </is>
      </c>
      <c r="H2331" t="inlineStr">
        <is>
          <t>Type 1</t>
        </is>
      </c>
    </row>
    <row r="2332">
      <c r="A2332" t="inlineStr">
        <is>
          <t>4xtrd2</t>
        </is>
      </c>
      <c r="B2332" t="inlineStr">
        <is>
          <t>Tip. Met forming increases your sensitivity to the sun</t>
        </is>
      </c>
      <c r="C2332" t="inlineStr">
        <is>
          <t xml:space="preserve">So I found this out the hard way. I was out in the sun (used sun screen) but did not reapply as soon as I should. I went from white to red quite fast. 
I read that metformin increases your sensitivity to the sun. 
So use some protection </t>
        </is>
      </c>
      <c r="D2332" t="n">
        <v>2</v>
      </c>
      <c r="E2332" t="n">
        <v>5</v>
      </c>
      <c r="F2332">
        <f>HYPERLINK("https://www.reddit.com/r/diabetes/comments/4xtrd2/tip_met_forming_increases_your_sensitivity_to_the/")</f>
        <v/>
      </c>
      <c r="G2332" t="inlineStr">
        <is>
          <t>2016-08-15 07:19:15</t>
        </is>
      </c>
      <c r="H2332" t="inlineStr">
        <is>
          <t>Type 2</t>
        </is>
      </c>
    </row>
    <row r="2333">
      <c r="A2333" t="inlineStr">
        <is>
          <t>4xva7t</t>
        </is>
      </c>
      <c r="B2333" t="inlineStr">
        <is>
          <t>Need advice &amp;amp; suggestions about a balanced diabetic diet to lower my Mother's blood sugar. Thanks!</t>
        </is>
      </c>
      <c r="C2333" t="inlineStr">
        <is>
          <t>Hello! I'm no stranger to type 2 diabetes, I have it, my mother has it and my father died from it and most of my extended family has it, basically we're all unhealthy. 
My mother however also has dementia and I'm her caregiver. She's recently started seeing a new geriatric/dementia specialist and their main concern was her high sugar levels. She averages anywhere between 180 and 300 on a daily basis, so it's always super high!
I've been trying to have healthier food in the house but it's hard to know what's what. Plus, my Mom is super picky about what she eats, so it's not easy. Can anyone give me some suggestions for what she (and I) should be eating in order to lower her sugar numbers. 
I'm not much of a cook and I'm not looking to be, I need simple, healthy ideas for breakfast, lunches, dinners &amp;amp; snacks. The healthier and more natural the better. Can anyone help a guy out? Thanks so much!</t>
        </is>
      </c>
      <c r="D2333" t="n">
        <v>2</v>
      </c>
      <c r="E2333" t="n">
        <v>4</v>
      </c>
      <c r="F2333">
        <f>HYPERLINK("https://www.reddit.com/r/diabetes/comments/4xva7t/need_advice_suggestions_about_a_balanced_diabetic/")</f>
        <v/>
      </c>
      <c r="G2333" t="inlineStr">
        <is>
          <t>2016-08-15 12:19:44</t>
        </is>
      </c>
      <c r="H2333" t="inlineStr">
        <is>
          <t>Type 2</t>
        </is>
      </c>
    </row>
    <row r="2334">
      <c r="A2334" t="inlineStr">
        <is>
          <t>4xwd5e</t>
        </is>
      </c>
      <c r="B2334" t="inlineStr">
        <is>
          <t>Waking up feeling HIGH</t>
        </is>
      </c>
      <c r="C2334" t="inlineStr">
        <is>
          <t>Hey, so I was dx'd a few months ago at the beginning of June and my numbers have been great. About a week ago though, I've started waking up feeling as if I'm super super high. The feeling usually lasts a few hours, even though my numbers in the morning are generally between 80-100. Dexcom is showing the flattest line possible over night. Does anybody else get this?
Also, I take my lantus in the morning if that would play any part in this.</t>
        </is>
      </c>
      <c r="D2334" t="n">
        <v>2</v>
      </c>
      <c r="E2334" t="n">
        <v>5</v>
      </c>
      <c r="F2334">
        <f>HYPERLINK("https://www.reddit.com/r/diabetes/comments/4xwd5e/waking_up_feeling_high/")</f>
        <v/>
      </c>
      <c r="G2334" t="inlineStr">
        <is>
          <t>2016-08-15 16:00:48</t>
        </is>
      </c>
      <c r="H2334" t="inlineStr">
        <is>
          <t>Type 1</t>
        </is>
      </c>
    </row>
    <row r="2335">
      <c r="A2335" t="inlineStr">
        <is>
          <t>4xwlt7</t>
        </is>
      </c>
      <c r="B2335" t="inlineStr">
        <is>
          <t>Safe to use?</t>
        </is>
      </c>
      <c r="C2335" t="inlineStr">
        <is>
          <t>A few weeks ago I was at someone else's house and left my Lantus pen there. It was fairly new, so I asked to remove the needle and put it on the fridge, until next time we met. Well, everyone forgot about that and the insuline stayed on the fridge.
Circumstances led me to spend the night here again and fairly unprepared. There was an accident with the Lantus I carried with me so I was planning to use this one I left here.
I did notice something, the piston was far from the insuline, like 20 units appart or so. This is a disposable pen so the piston should not retract.
Is it possible that somehow the insuline compressed itself?
Edit: Going out to get a new box of Lantus. Still curious though.</t>
        </is>
      </c>
      <c r="D2335" t="n">
        <v>2</v>
      </c>
      <c r="E2335" t="n">
        <v>4</v>
      </c>
      <c r="F2335">
        <f>HYPERLINK("https://www.reddit.com/r/diabetes/comments/4xwlt7/safe_to_use/")</f>
        <v/>
      </c>
      <c r="G2335" t="inlineStr">
        <is>
          <t>2016-08-15 16:57:12</t>
        </is>
      </c>
      <c r="H2335" t="inlineStr">
        <is>
          <t>Type 1</t>
        </is>
      </c>
    </row>
    <row r="2336">
      <c r="A2336" t="inlineStr">
        <is>
          <t>4y0b8l</t>
        </is>
      </c>
      <c r="B2336" t="inlineStr">
        <is>
          <t>Dexcom users, what percentage of time do you spend in the high/low range?</t>
        </is>
      </c>
      <c r="C2336" t="inlineStr">
        <is>
          <t xml:space="preserve">What are your high and low settings for your Dexcom and what percentage of time are you spending high/low? My high is set at 140 and I am high 19.8% of the time over the last 14 days, my low is set at 70 and I've been low 5.7% of the time over the last 14 days. 
I have an endo appointment at the end of the month and at my last appointment she told me she wanted me to decease the number of lows I was having. I'm trying to get ready to get pregnant at the end of the year so keeping my control tight is important right now. This is currently the lowest my low percentage has been but my high percentage is up about 2-5% over previous time periods which kind of bothers me but not sure if it's something I should be worried about yet. 
Just wanted to get an idea of what any other Dexcom people were seeing and where I fell in relation. Any insights from people currently/previously pregnant would also be super helpful. </t>
        </is>
      </c>
      <c r="D2336" t="n">
        <v>1</v>
      </c>
      <c r="E2336" t="n">
        <v>10</v>
      </c>
      <c r="F2336">
        <f>HYPERLINK("https://www.reddit.com/r/diabetes/comments/4y0b8l/dexcom_users_what_percentage_of_time_do_you_spend/")</f>
        <v/>
      </c>
      <c r="G2336" t="inlineStr">
        <is>
          <t>2016-08-16 09:15:12</t>
        </is>
      </c>
      <c r="H2336" t="inlineStr">
        <is>
          <t>Type 1</t>
        </is>
      </c>
    </row>
    <row r="2337">
      <c r="A2337" t="inlineStr">
        <is>
          <t>4y14jb</t>
        </is>
      </c>
      <c r="B2337" t="inlineStr">
        <is>
          <t>Questions about Metformin</t>
        </is>
      </c>
      <c r="C2337" t="inlineStr">
        <is>
          <t>I'm currently managing my type2 dm with diet and exercise, but my doctor was quick to state that it might not always be possible to do so.  My assumption is that I'd end up needing to take Metformin or one of its analogues.  So I have a couple of questions:  
1. Will I be able to eat carbs?  Right now, I'm on a limited-carb diet.  If I have a carb-heavy meal, my bs tends to run higher and stay higher longer.  Will Metformin allow me to be less strict with carb intake?  
2. Is Metformin "forever?"  As in "will I need to take it every day for the rest of my life?"  
3. Does the dosage typically remain the same or will I need increasing levels as my type2 dm progresses?  
4. Is there a point past which Metformin is no longer effective?  And if so, how long does it typically take to reach that point?  Years?  Decades?  
5. Is there a minimum bs level for taking Metformin?  I am getting fasting (if you count waking up in the morning as having fasted) levels of 100-120 mg/dL and rarely see anything over 150 at the 2hr postprandial mark.  I've even had a couple of weeks where I've been UNDER 90 at wake-up and never over 120 postprandial.  Would it even be worth (or safe) to take Metformin with bs at those readings?  About the only thing it would do is maybe let me up my carb intake (assuming the answer to #1 is "yes").</t>
        </is>
      </c>
      <c r="D2337" t="n">
        <v>2</v>
      </c>
      <c r="E2337" t="n">
        <v>6</v>
      </c>
      <c r="F2337">
        <f>HYPERLINK("https://www.reddit.com/r/diabetes/comments/4y14jb/questions_about_metformin/")</f>
        <v/>
      </c>
      <c r="G2337" t="inlineStr">
        <is>
          <t>2016-08-16 11:46:42</t>
        </is>
      </c>
      <c r="H2337" t="inlineStr">
        <is>
          <t>Type 2</t>
        </is>
      </c>
    </row>
    <row r="2338">
      <c r="A2338" t="inlineStr">
        <is>
          <t>4y59il</t>
        </is>
      </c>
      <c r="B2338" t="inlineStr">
        <is>
          <t>Type 1 Here. Randomly high BS with nothing working.</t>
        </is>
      </c>
      <c r="C2338" t="inlineStr">
        <is>
          <t>So, i have been having extremely high BS for the last 3 days with no idea why. 230 - 300 And no amount of insulin is bringing it down, Only thing that has changed is going down a MM for pen needle size. but i even tired with the old length and new novolog pen. Any ideas?</t>
        </is>
      </c>
      <c r="D2338" t="n">
        <v>1</v>
      </c>
      <c r="E2338" t="n">
        <v>8</v>
      </c>
      <c r="F2338">
        <f>HYPERLINK("https://www.reddit.com/r/diabetes/comments/4y59il/type_1_here_randomly_high_bs_with_nothing_working/")</f>
        <v/>
      </c>
      <c r="G2338" t="inlineStr">
        <is>
          <t>2016-08-17 05:25:11</t>
        </is>
      </c>
      <c r="H2338" t="inlineStr">
        <is>
          <t>Type 1</t>
        </is>
      </c>
    </row>
    <row r="2339">
      <c r="A2339" t="inlineStr">
        <is>
          <t>4y64jv</t>
        </is>
      </c>
      <c r="B2339" t="inlineStr">
        <is>
          <t>Periodontal problems</t>
        </is>
      </c>
      <c r="C2339" t="inlineStr">
        <is>
          <t>So I just went to the dentist and found out that in just six months, I developed several more pockets in my gums (it used to just be one) and now have 'perio 1.' My control has been poor and my dentist thinks that things have been made worse by using an e-cigarette, which I had been using to stop smoking (I picked it up briefly when my dad was dying.)  I have been aggressively working on better control but the damage to my gums is done and all I can do is prevent further damage.    
I have had awful breath lately and this is obviously the cause.  I have an infection on one side of my mouth, and they can't do anything about it for 6 weeks because they need pre-approval from my insurance company.  So I'm stuck with this infection until then.  I'm getting married next weekend and I am so upset that this is happening now.
I have to get scaling and root planing done.  Has anyone had this done or is fighting periodontal issues?  I'm so nervous about this.  Thanks for listening and for any advice/shared experience.</t>
        </is>
      </c>
      <c r="D2339" t="n">
        <v>1</v>
      </c>
      <c r="E2339" t="n">
        <v>6</v>
      </c>
      <c r="F2339">
        <f>HYPERLINK("https://www.reddit.com/r/diabetes/comments/4y64jv/periodontal_problems/")</f>
        <v/>
      </c>
      <c r="G2339" t="inlineStr">
        <is>
          <t>2016-08-17 08:12:33</t>
        </is>
      </c>
      <c r="H2339" t="inlineStr">
        <is>
          <t>Type 1</t>
        </is>
      </c>
    </row>
    <row r="2340">
      <c r="A2340" t="inlineStr">
        <is>
          <t>4y65y0</t>
        </is>
      </c>
      <c r="B2340" t="inlineStr">
        <is>
          <t>How Frequently do people change their basal rates/lantus dose?</t>
        </is>
      </c>
      <c r="C2340" t="inlineStr">
        <is>
          <t xml:space="preserve">I've been waking up high for the last two weeks or so.  Seems to be a rise from around 1 am to 6 am (maybe later, but i've corrected by then).  I've increased my own basal rate, but i'm always a little loath to do so - I dont want to adjust my basal to correct for external causes.  So I'm just asking to get a feel of how the rest of the community goes about these changes.  </t>
        </is>
      </c>
      <c r="D2340" t="n">
        <v>6</v>
      </c>
      <c r="E2340" t="n">
        <v>13</v>
      </c>
      <c r="F2340">
        <f>HYPERLINK("https://www.reddit.com/r/diabetes/comments/4y65y0/how_frequently_do_people_change_their_basal/")</f>
        <v/>
      </c>
      <c r="G2340" t="inlineStr">
        <is>
          <t>2016-08-17 08:18:58</t>
        </is>
      </c>
      <c r="H2340" t="inlineStr">
        <is>
          <t>Type 1</t>
        </is>
      </c>
    </row>
    <row r="2341">
      <c r="A2341" t="inlineStr">
        <is>
          <t>4y6j5b</t>
        </is>
      </c>
      <c r="B2341" t="inlineStr">
        <is>
          <t>High Blood Sugar In The Morning</t>
        </is>
      </c>
      <c r="C2341" t="inlineStr">
        <is>
          <t>Hey guys, so I need some advice here. I wake up with good readings pretty consistently, typically 90-120 mg/dl. 
But without fail, my BS shoots way up over the next couple of hours and it seems impossible to control. 
For example; this morning i woke up and tested at 117, had a banana and went for my morning workout. I tested again when I got to work at about 7:45 and my BS was at 286... Crap! My correction factor is 40:1 (which works fine throughout the day) so I took 5 units of Humalog which should have brought me to ~86 right? Wrong! I tested again at a little after 9:00 at 189....
I know about the whole dawn phenomenon thing, but how do you combat it? Do I just have to deal with it and continue correcting?
Any advice would be great!</t>
        </is>
      </c>
      <c r="D2341" t="n">
        <v>3</v>
      </c>
      <c r="E2341" t="n">
        <v>15</v>
      </c>
      <c r="F2341">
        <f>HYPERLINK("https://www.reddit.com/r/diabetes/comments/4y6j5b/high_blood_sugar_in_the_morning/")</f>
        <v/>
      </c>
      <c r="G2341" t="inlineStr">
        <is>
          <t>2016-08-17 09:22:10</t>
        </is>
      </c>
      <c r="H2341" t="inlineStr">
        <is>
          <t>Type 1</t>
        </is>
      </c>
    </row>
    <row r="2342">
      <c r="A2342" t="inlineStr">
        <is>
          <t>4y6rl1</t>
        </is>
      </c>
      <c r="B2342" t="inlineStr">
        <is>
          <t>Problems with nighttime lows?</t>
        </is>
      </c>
      <c r="C2342" t="inlineStr">
        <is>
          <t>So lately I've been going low during the night and I can't figure out what it is. For example around 10:00 I take ten units basel and a snack with a normal or even high blood sugar level, but despite constantly trying changing that bedtime snack ratio (right now it's at 1:60) will still go low at around 1:00 - 1:30. Last night I finally managed not to go low by eating 83 grams of carbs with no insulin but I don't want to always have to eat something every night. Does anyone have any experience or advice with something like this?</t>
        </is>
      </c>
      <c r="D2342" t="n">
        <v>2</v>
      </c>
      <c r="E2342" t="n">
        <v>10</v>
      </c>
      <c r="F2342">
        <f>HYPERLINK("https://www.reddit.com/r/diabetes/comments/4y6rl1/problems_with_nighttime_lows/")</f>
        <v/>
      </c>
      <c r="G2342" t="inlineStr">
        <is>
          <t>2016-08-17 10:02:25</t>
        </is>
      </c>
      <c r="H2342" t="inlineStr">
        <is>
          <t>Type 1</t>
        </is>
      </c>
    </row>
    <row r="2343">
      <c r="A2343" t="inlineStr">
        <is>
          <t>4y6ve7</t>
        </is>
      </c>
      <c r="B2343" t="inlineStr">
        <is>
          <t>What's the most effective otc potassium supplement?</t>
        </is>
      </c>
      <c r="C2343" t="inlineStr">
        <is>
          <t xml:space="preserve">I've been sick for a few days and my bg has been high and hard to control. I have a feeling my K^+ levels are low as well. Is there a certain type of potassium I should take and should I pair it with another supplement? </t>
        </is>
      </c>
      <c r="D2343" t="n">
        <v>2</v>
      </c>
      <c r="E2343" t="n">
        <v>8</v>
      </c>
      <c r="F2343">
        <f>HYPERLINK("https://www.reddit.com/r/diabetes/comments/4y6ve7/whats_the_most_effective_otc_potassium_supplement/")</f>
        <v/>
      </c>
      <c r="G2343" t="inlineStr">
        <is>
          <t>2016-08-17 10:20:16</t>
        </is>
      </c>
      <c r="H2343" t="inlineStr">
        <is>
          <t>Type 1</t>
        </is>
      </c>
    </row>
    <row r="2344">
      <c r="A2344" t="inlineStr">
        <is>
          <t>4yfmv9</t>
        </is>
      </c>
      <c r="B2344" t="inlineStr">
        <is>
          <t>Followup post to my 1 month old question: "Type 1 diabetes drinking advice."</t>
        </is>
      </c>
      <c r="C2344" t="inlineStr">
        <is>
          <t>Hi guys!
[This is my old post](https://www.reddit.com/r/diabetes/comments/4puebc/type_1_diabetes_drinking_advice/) where I asked some questions (and got really nice help, thanks guys &amp;lt;3 )
I'm back after living with diabetes for 1.5 months.
Life is weird. I mean, having to stab myself 4 times a day, and taking care of what I eat is not that bad; what causes a really weird feeling, is that I'll have to keep on doing this for the rest of my life, and being 19, that sounds pretty.... scary? I guess.
Anyways, just wanted to give some insight after 1.5 months:
- I'm on 180g CH diet, with 30-20-50-20-40-20g CH every 2,5 hours from 8:00 to 20:30
- I am taking Actrapid before meals, and Insulatard as basal.
- My insulin for now is set to 10 IU (International Unit) of Actrapid before breakfast (+10 IU Insulatard as daytime basal). 8 IU Actrapid before lunch, and another 8 before dinner. Finally 16 IU of Insulatard for the night.
- My average BG is around 6.7 mmol/l based on 250 tests. I frequently have hypos before lunch, dropping to around 2.3-2.5 mmol/L
We keep lowering my pre-breakfast insuling, and my daytime basal (Yea, gotta take it at daytime too for now...), trying to find that sweet spot.
- I did not touch alcohol ever since I got diagnosed. Now I don't know how accepted it is in this subreddit, but I just smoked weed at parties instead.
- I could say my BG is pretty solid under 8, no swings, so I guess my honeymoon is over.
So after 1,5 months of playing around with the situation:
- Skipping morning Actrapid **AND** breakfast + snack afterwards, so I could sleep more (apparently this is okay if I don't do it too frequently according to my doc)
- Eating in the middle of the night cause I was STARVING, even though I shouldn't (Surprisingly, the fasting BG didn't get too high)
- Trying out whether I really need the daytime basal (leaving it out, it caused a bit higher BG-s, still under 10 mmol/L though.
- Eating more as last snack because going to a concert for the night and jumping around all night (heavy exercise)
- I actually made it through a whole festival (1 week), living in a tent! Sometimes I was 20-30 mins late with my insulin cause of crowd and concerts and stuff, but managed pretty well I have to say. No unusual highs, just sometimes the classic pre-lunch lows. It was a nice experience, learning selfcontrol.
I feel like I could start exploring the things mentioned in the previous post.
So not being a person with zero knowledge anymore, I feel like this is how I should start experimenting with alcohol:
- First of all, totally at home or at a friend's place.
- Eating a bit more long lasting carbs for snack (~35-40 instead of 20 should work I guess)
- Trying 0 carb drinks first (vodka + zero coke | whiskey + zero coke | rum + zero coke (plus a bit of lime)), and checking their effects on me. Of course, one for the night, don't want to mess around with mixing yet.  *(Actually all the drinks I like are carb-free, except Jägermeister, it has 11g carbs per shot, so I'll be careful with that)*
A question I have though; a friend who's bf has Type 1 Diabetes told me, the way her BF is drinking, is that he basically skips the night basal completely, eats a bit more for the last snack to raise the BG a bit higher, and then watches the whole night to only drink 0 carb alcohol. It works out for him, never had night hypo, heavy drinker.
Anyone has any experience with this kind of solution?
I guess that's it for my rant for now, just wanted to share my experience, and how I'm planning to move forward to live a complete life, and to hear your guys' opinions and tips with everything mentioned before.
Eagerly waiting for what you guys have to say :)</t>
        </is>
      </c>
      <c r="D2344" t="n">
        <v>1</v>
      </c>
      <c r="E2344" t="n">
        <v>6</v>
      </c>
      <c r="F2344">
        <f>HYPERLINK("https://www.reddit.com/r/diabetes/comments/4yfmv9/followup_post_to_my_1_month_old_question_type_1/")</f>
        <v/>
      </c>
      <c r="G2344" t="inlineStr">
        <is>
          <t>2016-08-18 16:50:52</t>
        </is>
      </c>
      <c r="H2344" t="inlineStr">
        <is>
          <t>Type 1</t>
        </is>
      </c>
    </row>
    <row r="2345">
      <c r="A2345" t="inlineStr">
        <is>
          <t>4ygrpx</t>
        </is>
      </c>
      <c r="B2345" t="inlineStr">
        <is>
          <t>College students with diabetes: do you use any accommodations?</t>
        </is>
      </c>
      <c r="C2345" t="inlineStr">
        <is>
          <t xml:space="preserve">Type 1 here, diagnosed last January. Now that a new semester is approaching, I wanted to ask my fellow college T1s (or anyone with past experience for that matter) what special accommodations you've requested from your university's disabilities office, if any. This will be my first time registering for special accommodations with my school, so I wanted to see if any of you have any tips or unique accommodations that you have asked for. 
So far I've requested for permission to reschedule an exam from high/low blood glucose, permission to eat/drink/self-care during class, and permission to take breaks during exams. I've also heard that early class registration to ensure a specific schedule could be considered as a special accommodation for someone with T1. Any reason why that is? Thanks! </t>
        </is>
      </c>
      <c r="D2345" t="n">
        <v>3</v>
      </c>
      <c r="E2345" t="n">
        <v>11</v>
      </c>
      <c r="F2345">
        <f>HYPERLINK("https://www.reddit.com/r/diabetes/comments/4ygrpx/college_students_with_diabetes_do_you_use_any/")</f>
        <v/>
      </c>
      <c r="G2345" t="inlineStr">
        <is>
          <t>2016-08-18 20:54:33</t>
        </is>
      </c>
      <c r="H2345" t="inlineStr">
        <is>
          <t>Type 1</t>
        </is>
      </c>
    </row>
    <row r="2346">
      <c r="A2346" t="inlineStr">
        <is>
          <t>4ygt1y</t>
        </is>
      </c>
      <c r="B2346" t="inlineStr">
        <is>
          <t>Keep having episodes of insulin resistance and I'm not sure what is wrong.</t>
        </is>
      </c>
      <c r="C2346" t="inlineStr">
        <is>
          <t>So I'm booked to go to my doc next week and I'm not sure if I should tell him this or my diabetes team. I'll probably tell both and just get bloodwork done.  
Basically, I keep having these random episodes where suddenly, for days at a time, my insulin just stops working. I'll run high after eating food and feel like shit all damn day. I'll feel exhausted, mentally fatigued, and I'll have a hollow hungry feeling in my stomach. Then suddenly it'll all be fine again.  
I've thought of it being my new medications I'm on(Depakote and Zoloft)but I remember this happening before that when I ate out at a burger place, leading me to think it might have something to do with Celiac's disease, but wouldn't I be seeing symptoms every single day and not like this?  
Has this ever happened to anyone else?</t>
        </is>
      </c>
      <c r="D2346" t="n">
        <v>3</v>
      </c>
      <c r="E2346" t="n">
        <v>18</v>
      </c>
      <c r="F2346">
        <f>HYPERLINK("https://www.reddit.com/r/diabetes/comments/4ygt1y/keep_having_episodes_of_insulin_resistance_and_im/")</f>
        <v/>
      </c>
      <c r="G2346" t="inlineStr">
        <is>
          <t>2016-08-18 21:03:08</t>
        </is>
      </c>
      <c r="H2346" t="inlineStr">
        <is>
          <t>Type 1</t>
        </is>
      </c>
    </row>
    <row r="2347">
      <c r="A2347" t="inlineStr">
        <is>
          <t>4yifce</t>
        </is>
      </c>
      <c r="B2347" t="inlineStr">
        <is>
          <t>How's this for confusing numbers...</t>
        </is>
      </c>
      <c r="C2347" t="inlineStr">
        <is>
          <t>I don't have a pretty CGM graph sorry, but would love some ideas as I'm stumped.
Out to dinner with my wife and her family. We are getting Japanese. A minefield for mixed-in carbs. I want to play it safe so order salted chicken wings and a large sashimi dish. Not exactly a square meal but should at least be trouble free. I'm 6.9 (124) before dinner, which is high pre-meal but not to worry since I'm not having carbs. I take a small correction dose and dig in to my chicken and raw fish. Being careful, I set my alarm to test in two hours. We head home and my alarm reminds me to get sticking... 6.1 (110), a little more than I expected, but perhaps the soy or wasabi bumped me a fraction. Nothing major, I'll bounce my baby around for a bit. I'm thirsty from all the salt and have two small glasses of Pepsi Max, and around 6 almonds for some fibre.
A couple of hours pass and I'm ready for bed. I have a test and I'm at 9.0 (162). What the hell. Immediately I think it must be the Pepsi Max. I don't drink it very often, I know there's caffeine, but a bump of 4 (72)? Whenever I drink coffee I don't see that kind of activity. Could it have been late metabolised protein? It was a protein heavy meal, but the jump was big and happened after the two hour mark. I'm so confused. Nothing else had carbs. The Almonds wouldn't have done that.
I know the numbers aren't extreme. It's just that I have no clue what happened. Especially since I played it safe. Now I've tested again to verify and just had a big old bolus,  everyone's gone to bed and I'm sitting around waiting for that to do something. Guess it's a late one.</t>
        </is>
      </c>
      <c r="D2347" t="n">
        <v>1</v>
      </c>
      <c r="E2347" t="n">
        <v>6</v>
      </c>
      <c r="F2347">
        <f>HYPERLINK("https://www.reddit.com/r/diabetes/comments/4yifce/hows_this_for_confusing_numbers/")</f>
        <v/>
      </c>
      <c r="G2347" t="inlineStr">
        <is>
          <t>2016-08-19 04:40:46</t>
        </is>
      </c>
      <c r="H2347" t="inlineStr">
        <is>
          <t>Type 1</t>
        </is>
      </c>
    </row>
    <row r="2348">
      <c r="A2348" t="inlineStr">
        <is>
          <t>4yrwiz</t>
        </is>
      </c>
      <c r="B2348" t="inlineStr">
        <is>
          <t>Have any of you with T1D also been diagnosed with Cyclic Vomiting Syndrome?</t>
        </is>
      </c>
      <c r="C2348" t="inlineStr">
        <is>
          <t xml:space="preserve">I've been a T1D for 33 years. Control has been good, A1C steady. Was diagnosed w CVS a few years back, and am really struggling with it getting worse. Anybody else here suffer from that? Any helpful tips you could give this Diabetic old-timer? </t>
        </is>
      </c>
      <c r="D2348" t="n">
        <v>2</v>
      </c>
      <c r="E2348" t="n">
        <v>6</v>
      </c>
      <c r="F2348">
        <f>HYPERLINK("https://www.reddit.com/r/diabetes/comments/4yrwiz/have_any_of_you_with_t1d_also_been_diagnosed_with/")</f>
        <v/>
      </c>
      <c r="G2348" t="inlineStr">
        <is>
          <t>2016-08-20 16:34:03</t>
        </is>
      </c>
      <c r="H2348" t="inlineStr">
        <is>
          <t>Type 1</t>
        </is>
      </c>
    </row>
    <row r="2349">
      <c r="A2349" t="inlineStr">
        <is>
          <t>4ys45a</t>
        </is>
      </c>
      <c r="B2349" t="inlineStr">
        <is>
          <t>No insulin for a day, perfect readings?!</t>
        </is>
      </c>
      <c r="C2349" t="inlineStr">
        <is>
          <t>Been at my parents all day today, helping with some landscaping. Eaten fairly normally (well, I started with a pecan pastry, was good). Realised I forgot to take my box of needles, so not had any Basal all day.
Readings:
8.2 (150)
9.7 (175)
5.9 (105)
6.4 (115)
Go figure that one out!!</t>
        </is>
      </c>
      <c r="D2349" t="n">
        <v>4</v>
      </c>
      <c r="E2349" t="n">
        <v>7</v>
      </c>
      <c r="F2349">
        <f>HYPERLINK("https://www.reddit.com/r/diabetes/comments/4ys45a/no_insulin_for_a_day_perfect_readings/")</f>
        <v/>
      </c>
      <c r="G2349" t="inlineStr">
        <is>
          <t>2016-08-20 17:21:20</t>
        </is>
      </c>
      <c r="H2349" t="inlineStr">
        <is>
          <t>Type 1</t>
        </is>
      </c>
    </row>
    <row r="2350">
      <c r="A2350" t="inlineStr">
        <is>
          <t>4z0709</t>
        </is>
      </c>
      <c r="B2350" t="inlineStr">
        <is>
          <t>Laser Treatment for Retinopathy</t>
        </is>
      </c>
      <c r="C2350" t="inlineStr">
        <is>
          <t>Hi guys, so it looks like I'll be getting some laser treatment for retinopathy. It seems some areas around the periphery of my eyes are at risk of progressing to proliferative retinopathy so I'll be getting laser treatment on them. I guess I'm wondering if anyone's had a similar experience and how it's gone. Maybe we can get a bit of discussion going here. I'm a little bit anxious.
Also, feeling a bit discouraged as my recent control's been good. Maybe it's my teenage years catching up with me.</t>
        </is>
      </c>
      <c r="D2350" t="n">
        <v>19</v>
      </c>
      <c r="E2350" t="n">
        <v>7</v>
      </c>
      <c r="F2350">
        <f>HYPERLINK("https://www.reddit.com/r/diabetes/comments/4z0709/laser_treatment_for_retinopathy/")</f>
        <v/>
      </c>
      <c r="G2350" t="inlineStr">
        <is>
          <t>2016-08-22 05:02:03</t>
        </is>
      </c>
      <c r="H2350" t="inlineStr">
        <is>
          <t>Type 1</t>
        </is>
      </c>
    </row>
    <row r="2351">
      <c r="A2351" t="inlineStr">
        <is>
          <t>4z26io</t>
        </is>
      </c>
      <c r="B2351" t="inlineStr">
        <is>
          <t>first time pump user having trouble: am I supposed to feel the needle / get uncomfortable?</t>
        </is>
      </c>
      <c r="C2351" t="inlineStr">
        <is>
          <t>Hi all,
I recently started trying a medtronic pump, as I mentioned before
[here](https://www.reddit.com/r/diabetes/comments/4yjmny/just_got_a_minimed_pump_for_testing_2_hours_later/).
Since then I tried one more standard ("quick", or "90-degree") infusion set,
which again failed with the same problem ("no delivery"), and felt horrible
during the test (a couple of hours). Right now I'm on "silhouette" infusion
set. This one works fine, finally I get insulin from the pump. However I'm
still having a lot of trouble getting used to this thing. I constantly "feel"
the needle under my skin, which is very annoying and effects my behavior, e.g.
I can't move around as comfortable because of the feeling that I have a needle
under my skin. It sometimes hurts too.
So my new question is, is this expected? Do pump users just get used to this
feeling or do you just not feel anything? The nurse I talk to here (who is
using exactly the same pump, with "standard" infusion set) is saying that I
should basically forget where my infusion set is. This can't be further from
how I'm feeling right now.
PS. I'm a 185cm (6'1"), 67kg (147 pound) guy without much fat in my body.</t>
        </is>
      </c>
      <c r="D2351" t="n">
        <v>3</v>
      </c>
      <c r="E2351" t="n">
        <v>10</v>
      </c>
      <c r="F2351">
        <f>HYPERLINK("https://www.reddit.com/r/diabetes/comments/4z26io/first_time_pump_user_having_trouble_am_i_supposed/")</f>
        <v/>
      </c>
      <c r="G2351" t="inlineStr">
        <is>
          <t>2016-08-22 12:05:34</t>
        </is>
      </c>
      <c r="H2351" t="inlineStr">
        <is>
          <t>Type 1</t>
        </is>
      </c>
    </row>
    <row r="2352">
      <c r="A2352" t="inlineStr">
        <is>
          <t>4z51xs</t>
        </is>
      </c>
      <c r="B2352" t="inlineStr">
        <is>
          <t>Anyone else gained muscle on insulin?</t>
        </is>
      </c>
      <c r="C2352" t="inlineStr">
        <is>
          <t>So, some of my mates try to buy insulin off me to dope. Of course, I say no. However, since starting injections and doing light-moderate exercise, I've definitely gained muscle mass. Anyone else experience this?</t>
        </is>
      </c>
      <c r="D2352" t="n">
        <v>2</v>
      </c>
      <c r="E2352" t="n">
        <v>5</v>
      </c>
      <c r="F2352">
        <f>HYPERLINK("https://www.reddit.com/r/diabetes/comments/4z51xs/anyone_else_gained_muscle_on_insulin/")</f>
        <v/>
      </c>
      <c r="G2352" t="inlineStr">
        <is>
          <t>2016-08-22 23:05:07</t>
        </is>
      </c>
      <c r="H2352" t="inlineStr">
        <is>
          <t>Type 1</t>
        </is>
      </c>
    </row>
    <row r="2353">
      <c r="A2353" t="inlineStr">
        <is>
          <t>4z7png</t>
        </is>
      </c>
      <c r="B2353" t="inlineStr">
        <is>
          <t>any type I diabetics taking metformin here?</t>
        </is>
      </c>
      <c r="C2353" t="inlineStr">
        <is>
          <t>I've been having quite the spikes from working out and seem to occasionally experience the dawn phenomenon and I'm pretty sure that metformin is designed to prevent the liver from dumping glycogen or maybe stop it from storing it? if that's the case, taking metformin should help with that... it should also provide one less thing that can unpredictably effect my sugar so i should be able to control much better and likely use less insulin.
I'm going to ask my endo, but i don't see him again until October so i'm curious if anyone else is doing this.</t>
        </is>
      </c>
      <c r="D2353" t="n">
        <v>2</v>
      </c>
      <c r="E2353" t="n">
        <v>16</v>
      </c>
      <c r="F2353">
        <f>HYPERLINK("https://www.reddit.com/r/diabetes/comments/4z7png/any_type_i_diabetics_taking_metformin_here/")</f>
        <v/>
      </c>
      <c r="G2353" t="inlineStr">
        <is>
          <t>2016-08-23 10:38:49</t>
        </is>
      </c>
      <c r="H2353" t="inlineStr">
        <is>
          <t>Type 1</t>
        </is>
      </c>
    </row>
    <row r="2354">
      <c r="A2354" t="inlineStr">
        <is>
          <t>4z8oh0</t>
        </is>
      </c>
      <c r="B2354" t="inlineStr">
        <is>
          <t>Going to the endo today</t>
        </is>
      </c>
      <c r="C2354" t="inlineStr">
        <is>
          <t>And I realized a few days ago that my lack of care is a burnout. This is my first appointment upon realizing I have a problem and I'm kinda nervous to bring it up. I have a plan in place, and it's working, and has been for a few days. But I'm nervous still. Here's to hoping it all goes well.</t>
        </is>
      </c>
      <c r="D2354" t="n">
        <v>6</v>
      </c>
      <c r="E2354" t="n">
        <v>3</v>
      </c>
      <c r="F2354">
        <f>HYPERLINK("https://www.reddit.com/r/diabetes/comments/4z8oh0/going_to_the_endo_today/")</f>
        <v/>
      </c>
      <c r="G2354" t="inlineStr">
        <is>
          <t>2016-08-23 13:47:02</t>
        </is>
      </c>
      <c r="H2354" t="inlineStr">
        <is>
          <t>Type 1</t>
        </is>
      </c>
    </row>
    <row r="2355">
      <c r="A2355" t="inlineStr">
        <is>
          <t>4z936y</t>
        </is>
      </c>
      <c r="B2355" t="inlineStr">
        <is>
          <t>CVS Minute Clinic Discriminates against T1D</t>
        </is>
      </c>
      <c r="C2355" t="inlineStr">
        <is>
          <t>Long story short, my kid needed a release to go to diabetes camp (!).  Our General doc was on vacation so the endo recommended Minute Clinic.  After waiting 2 hours, the NP refused to look at my kid because they do not take T1 Diabetics.  We called our endo and she was floored.  WTF?  We left with my kid crying because she though she couldn't go to cam anymore.
Luckily we called a friend that is a GP and she filled it out.
There is not wording in any of the literature where they say this.  
If you need to see someone in a hurry, don't waste your time at CVS.</t>
        </is>
      </c>
      <c r="D2355" t="n">
        <v>13</v>
      </c>
      <c r="E2355" t="n">
        <v>17</v>
      </c>
      <c r="F2355">
        <f>HYPERLINK("https://www.reddit.com/r/diabetes/comments/4z936y/cvs_minute_clinic_discriminates_against_t1d/")</f>
        <v/>
      </c>
      <c r="G2355" t="inlineStr">
        <is>
          <t>2016-08-23 15:09:45</t>
        </is>
      </c>
      <c r="H2355" t="inlineStr">
        <is>
          <t>Type 1</t>
        </is>
      </c>
    </row>
    <row r="2356">
      <c r="A2356" t="inlineStr">
        <is>
          <t>4z9upf</t>
        </is>
      </c>
      <c r="B2356" t="inlineStr">
        <is>
          <t>Hi all, just want to say hi.</t>
        </is>
      </c>
      <c r="C2356" t="inlineStr">
        <is>
          <t>And that I'm here to stay, got diagnosed in January, I'm pretty much still 'honeymooning' but my standard BG levels are starting to rise. Aside from that, I had to deal with a burnout recently but thankfully my endocrinologist is such an angel and made me see things straight.
Well, there's that, hope you all have a good day. ^^</t>
        </is>
      </c>
      <c r="D2356" t="n">
        <v>14</v>
      </c>
      <c r="E2356" t="n">
        <v>8</v>
      </c>
      <c r="F2356">
        <f>HYPERLINK("https://www.reddit.com/r/diabetes/comments/4z9upf/hi_all_just_want_to_say_hi/")</f>
        <v/>
      </c>
      <c r="G2356" t="inlineStr">
        <is>
          <t>2016-08-23 17:53:58</t>
        </is>
      </c>
      <c r="H2356" t="inlineStr">
        <is>
          <t>Type 1</t>
        </is>
      </c>
    </row>
    <row r="2357">
      <c r="A2357" t="inlineStr">
        <is>
          <t>4z9wlt</t>
        </is>
      </c>
      <c r="B2357" t="inlineStr">
        <is>
          <t>eye scare</t>
        </is>
      </c>
      <c r="C2357" t="inlineStr">
        <is>
          <t>A month and half or two ago I had a scare, my eyesight became blurrier and my eyes started hurting back again. 
3 years ago those very symptoms (back then it was high intraocular pressure) led to my diabetes diagnosis, so I was very, VERY scared, I was also very broke, so I had to stew on my despair and wait a few weeks to actually go to the doctor (no health insurance here, or, rather, a pretty limited one, that I am not elegible for). 
Anyway, I went to the doctor, got a good look at my eyes and all and told me that those symptoms were dry eye, lack of sleep and some mild conjunctivitis, and no sign of diabetes related damage. after a few days on the drops I see noticeably better -not perfect, but it's something- and the pain is coming less frequently and less intense, well, yay me!.
now, my question is,  the symptoms for dry eye and conjunctivitis can overlap with the high pressure ones? can't afford a second opinion, not in a few weeks, but the doubt is really bugging me.</t>
        </is>
      </c>
      <c r="D2357" t="n">
        <v>1</v>
      </c>
      <c r="E2357" t="n">
        <v>0</v>
      </c>
      <c r="F2357">
        <f>HYPERLINK("https://www.reddit.com/r/diabetes/comments/4z9wlt/eye_scare/")</f>
        <v/>
      </c>
      <c r="G2357" t="inlineStr">
        <is>
          <t>2016-08-23 18:05:48</t>
        </is>
      </c>
      <c r="H2357" t="inlineStr">
        <is>
          <t>Type 2</t>
        </is>
      </c>
    </row>
    <row r="2358">
      <c r="A2358" t="inlineStr">
        <is>
          <t>4zcra4</t>
        </is>
      </c>
      <c r="B2358" t="inlineStr">
        <is>
          <t>Looking into pumps and Medtronic won't leave me alone! What's your experience with pump companies?</t>
        </is>
      </c>
      <c r="C2358" t="inlineStr">
        <is>
          <t>I'm currently researching pumps, hoping to get one in the New Year, after I see my new endo in November. I'm 90% sure I'm going with the Omnipod, because I love the idea of it being tubeless. I had a great meeting with a rep from Animas yesterday, who's been T1D for 32 years, and wears the Animas Vibe and Dexcom CGM. I will probably get a CGM soon as well, before the pump.
I have a meeting with Medtronic set up (these are basically the 3 best options available in Canada), but man, are they pissing me off with how much they're on my back! They contact me about once a week to "follow up" and "check in," while they're my absolute last choice because I find their pump so antiquated when compared with Animas and Omnipod. Has anyone else had a bad experience with Medtronic? Or another pump company? I welcome any stories, good and bad, because I'm super curious! I'm thinking of cancelling this meeting, because I feel like they really won't leave me alone if I meet with their rep!</t>
        </is>
      </c>
      <c r="D2358" t="n">
        <v>6</v>
      </c>
      <c r="E2358" t="n">
        <v>27</v>
      </c>
      <c r="F2358">
        <f>HYPERLINK("https://www.reddit.com/r/diabetes/comments/4zcra4/looking_into_pumps_and_medtronic_wont_leave_me/")</f>
        <v/>
      </c>
      <c r="G2358" t="inlineStr">
        <is>
          <t>2016-08-24 07:11:48</t>
        </is>
      </c>
      <c r="H2358" t="inlineStr">
        <is>
          <t>Type 1</t>
        </is>
      </c>
    </row>
    <row r="2359">
      <c r="A2359" t="inlineStr">
        <is>
          <t>4zha0e</t>
        </is>
      </c>
      <c r="B2359" t="inlineStr">
        <is>
          <t>Type 1 needs help</t>
        </is>
      </c>
      <c r="C2359" t="inlineStr">
        <is>
          <t>I've been insulin dependent since I was 12, I've learned a lot as I am 24 now, living in Tampa, Florida and have fallen on some really rough times. My insurance that I had through my job ( job was lost as I was hospitalized for DKA multiple times) has just ran out. I have started applying for low/ no cost insurance because as you know, the price of insulin and testing supplies is outrageous without insurance, however, I do not have the funds to afford the insulin I need to survive, which is humalog and lantus, while I wait to be approved or denied. I started a funding account to try and help with this, but I'm not really trying to get money, just my insulin and medical supplies.  However, If anyone could help it would be a literal lifesaver for me and very much appreciated.  Or if anyone is near Thonotosassa / Tampa area and could spare either lantus or humalog, or knows of a cheaper way to get insulin I'd love to hear it. 
[http://www.plumfund.com/medical-fund/diabetic-medical-emergency]()</t>
        </is>
      </c>
      <c r="D2359" t="n">
        <v>6</v>
      </c>
      <c r="E2359" t="n">
        <v>12</v>
      </c>
      <c r="F2359">
        <f>HYPERLINK("https://www.reddit.com/r/diabetes/comments/4zha0e/type_1_needs_help/")</f>
        <v/>
      </c>
      <c r="G2359" t="inlineStr">
        <is>
          <t>2016-08-25 00:02:59</t>
        </is>
      </c>
      <c r="H2359" t="inlineStr">
        <is>
          <t>Type 1</t>
        </is>
      </c>
    </row>
    <row r="2360">
      <c r="A2360" t="inlineStr">
        <is>
          <t>4zkptl</t>
        </is>
      </c>
      <c r="B2360" t="inlineStr">
        <is>
          <t>Book recommendations?</t>
        </is>
      </c>
      <c r="C2360" t="inlineStr">
        <is>
          <t>Howdy,
Type 1 diabetic for 13 years here. I'm interested in reading some up- to- date and user- friendly books on diabetes and the body. I'm interested in learning in more detail about how food, hormones, etc., affect blood sugar and what exactly is going on in our bodies. Do you guys have any recommendations? I know I'm not being super specific, but I'm not even sure if these types of books exist.
Thanks!</t>
        </is>
      </c>
      <c r="D2360" t="n">
        <v>2</v>
      </c>
      <c r="E2360" t="n">
        <v>15</v>
      </c>
      <c r="F2360">
        <f>HYPERLINK("https://www.reddit.com/r/diabetes/comments/4zkptl/book_recommendations/")</f>
        <v/>
      </c>
      <c r="G2360" t="inlineStr">
        <is>
          <t>2016-08-25 13:37:48</t>
        </is>
      </c>
      <c r="H2360" t="inlineStr">
        <is>
          <t>Type 1</t>
        </is>
      </c>
    </row>
    <row r="2361">
      <c r="A2361" t="inlineStr">
        <is>
          <t>4zngaz</t>
        </is>
      </c>
      <c r="B2361" t="inlineStr">
        <is>
          <t>Vomiting at least once a week</t>
        </is>
      </c>
      <c r="C2361" t="inlineStr">
        <is>
          <t xml:space="preserve">I have an appointment to see a doctor on Saturday the 27th.
History: Recently(4 months) diagnosed T2 (A1C was 10 is now 7)
Doctor currently has me taking Jentadueto 1250 mg twice a day, here is the thing every week for the last month at least one night I end up puking my guts out right down to emptying my stomach of the acid.
It seems to happen between 1:30 am and 3:30 am and almost always a Thursday or Friday.
My question is  anyone else run into anything similar is the just my reaction to the Metformin portion of the medication, is this caused by a high or a low? I have started having a midnight snack before bed something small and safe I had a small bowl of plain cereal tonight and still ended up praying to the porcelain god. Might this be MEtformin build up? I am soo new to this I really don't have a clue.
Checked my blood sugar last time this happened and it was a really good level.
Thanks in advance for any feed back.
</t>
        </is>
      </c>
      <c r="D2361" t="n">
        <v>1</v>
      </c>
      <c r="E2361" t="n">
        <v>7</v>
      </c>
      <c r="F2361">
        <f>HYPERLINK("https://www.reddit.com/r/diabetes/comments/4zngaz/vomiting_at_least_once_a_week/")</f>
        <v/>
      </c>
      <c r="G2361" t="inlineStr">
        <is>
          <t>2016-08-26 00:40:58</t>
        </is>
      </c>
      <c r="H2361" t="inlineStr">
        <is>
          <t>Type 2</t>
        </is>
      </c>
    </row>
    <row r="2362">
      <c r="A2362" t="inlineStr">
        <is>
          <t>4znupx</t>
        </is>
      </c>
      <c r="B2362" t="inlineStr">
        <is>
          <t>Is protein intake different if you have diabetes?</t>
        </is>
      </c>
      <c r="C2362" t="inlineStr">
        <is>
          <t>Hello!
I would like to ask if protein intake is any different if you have type 1 diabetes? Do I need to eat less of it? 
Is it fine if I eat 170g protein if I workout and I'm 17 years old (My weight is 168lbs and height is 6.1 feet)?</t>
        </is>
      </c>
      <c r="D2362" t="n">
        <v>5</v>
      </c>
      <c r="E2362" t="n">
        <v>15</v>
      </c>
      <c r="F2362">
        <f>HYPERLINK("https://www.reddit.com/r/diabetes/comments/4znupx/is_protein_intake_different_if_you_have_diabetes/")</f>
        <v/>
      </c>
      <c r="G2362" t="inlineStr">
        <is>
          <t>2016-08-26 03:02:34</t>
        </is>
      </c>
      <c r="H2362" t="inlineStr">
        <is>
          <t>Type 1</t>
        </is>
      </c>
    </row>
    <row r="2363">
      <c r="A2363" t="inlineStr">
        <is>
          <t>4zo2sp</t>
        </is>
      </c>
      <c r="B2363" t="inlineStr">
        <is>
          <t>Heatwave hypos</t>
        </is>
      </c>
      <c r="C2363" t="inlineStr">
        <is>
          <t>It's been stupidly hot here for a while now and I keep going hypo despite reducing my insulin significantly. Yesterday I ate a Kitkat Chunky to ward off low blood glucose as it would have been risky due to what I was doing, and I had completely normal blood glucose afterwards. That should have shot me waaaaay up.
So how do y'all deal with hot weather and hypos? I've not experienced this before and it's getting pretty annoying.</t>
        </is>
      </c>
      <c r="D2363" t="n">
        <v>2</v>
      </c>
      <c r="E2363" t="n">
        <v>7</v>
      </c>
      <c r="F2363">
        <f>HYPERLINK("https://www.reddit.com/r/diabetes/comments/4zo2sp/heatwave_hypos/")</f>
        <v/>
      </c>
      <c r="G2363" t="inlineStr">
        <is>
          <t>2016-08-26 04:17:56</t>
        </is>
      </c>
      <c r="H2363" t="inlineStr">
        <is>
          <t>Type 1</t>
        </is>
      </c>
    </row>
    <row r="2364">
      <c r="A2364" t="inlineStr">
        <is>
          <t>4zomhy</t>
        </is>
      </c>
      <c r="B2364" t="inlineStr">
        <is>
          <t>I'm 18, just about to head off to uni, and have been diagnosed with type 1 diabetes. Tips?</t>
        </is>
      </c>
      <c r="C2364" t="inlineStr">
        <is>
          <t>I was just having a general checkup, and now I'm here. I have no symptoms of diabetes apart from that I am underweight. Is there anything you wish you knew when you were first faced with diabetes?</t>
        </is>
      </c>
      <c r="D2364" t="n">
        <v>15</v>
      </c>
      <c r="E2364" t="n">
        <v>50</v>
      </c>
      <c r="F2364">
        <f>HYPERLINK("https://www.reddit.com/r/diabetes/comments/4zomhy/im_18_just_about_to_head_off_to_uni_and_have_been/")</f>
        <v/>
      </c>
      <c r="G2364" t="inlineStr">
        <is>
          <t>2016-08-26 06:35:40</t>
        </is>
      </c>
      <c r="H2364" t="inlineStr">
        <is>
          <t>Type 1</t>
        </is>
      </c>
    </row>
    <row r="2365">
      <c r="A2365" t="inlineStr">
        <is>
          <t>4zs0qm</t>
        </is>
      </c>
      <c r="B2365" t="inlineStr">
        <is>
          <t>Bar Method fitness classes and perfect ga damn blood sugars</t>
        </is>
      </c>
      <c r="C2365" t="inlineStr">
        <is>
          <t xml:space="preserve">I've often struggled with working out because my blood sugars spike during anaerobic workouts and plummet during lazy walks around the neighborhood. I've only ever been able to do it before when working with personal trainers who are familiar with adjusting workouts as my sugars rise and fall throughout the hour.  I just started taking classes at Bar Method, which has something like 80-ish locations around the country. The mix of aerobic and anaerobic activity has made this the first damn time I could take a fitness class without any modifications needed. I don't even need to adjust my basals.  And it's kicking my ass. If you're T1 and struggling with safe exercise and too cheap for a trainer and too clueless to work out solo at the gym I HIGHLY RECCOMMEND! </t>
        </is>
      </c>
      <c r="D2365" t="n">
        <v>6</v>
      </c>
      <c r="E2365" t="n">
        <v>1</v>
      </c>
      <c r="F2365">
        <f>HYPERLINK("https://www.reddit.com/r/diabetes/comments/4zs0qm/bar_method_fitness_classes_and_perfect_ga_damn/")</f>
        <v/>
      </c>
      <c r="G2365" t="inlineStr">
        <is>
          <t>2016-08-26 18:27:16</t>
        </is>
      </c>
      <c r="H2365" t="inlineStr">
        <is>
          <t>Type 1</t>
        </is>
      </c>
    </row>
    <row r="2366">
      <c r="A2366" t="inlineStr">
        <is>
          <t>4zsgoj</t>
        </is>
      </c>
      <c r="B2366" t="inlineStr">
        <is>
          <t>Injecting for drinks with carbs?</t>
        </is>
      </c>
      <c r="C2366" t="inlineStr">
        <is>
          <t>So I've been on insulin for about 2 months now, and I have yet to do anything like drink a soda yet or some sweet tea because I'm not sure how to go through with it.  
If I inject units for a soda, would I have to just scarf down that soda immediately in order to have the insulin work as expected? What if I want to drink it over time?</t>
        </is>
      </c>
      <c r="D2366" t="n">
        <v>5</v>
      </c>
      <c r="E2366" t="n">
        <v>19</v>
      </c>
      <c r="F2366">
        <f>HYPERLINK("https://www.reddit.com/r/diabetes/comments/4zsgoj/injecting_for_drinks_with_carbs/")</f>
        <v/>
      </c>
      <c r="G2366" t="inlineStr">
        <is>
          <t>2016-08-26 20:24:20</t>
        </is>
      </c>
      <c r="H2366" t="inlineStr">
        <is>
          <t>Type 1</t>
        </is>
      </c>
    </row>
    <row r="2367">
      <c r="A2367" t="inlineStr">
        <is>
          <t>4zuyhc</t>
        </is>
      </c>
      <c r="B2367" t="inlineStr">
        <is>
          <t>[Maybe NSFW] T1D Menstrual Cycle Related Yeast Infections?</t>
        </is>
      </c>
      <c r="C2367" t="inlineStr">
        <is>
          <t xml:space="preserve">NSFW in case discussing genitalia isn't kosher.
So here's my problem. For the past several menstrual cycles, I have been getting yeast infections immediately following the end of my period. I think it's been 5 out of 8 months this year that this has happened. I know that as a T1D I'm more susceptible to yeast infections, but this is getting ridiculous. My doctor said that I could go on hormonal birth control so I'd only get a period once every 3 months, but I put enough hormones in my body already and I worry that would make controlling my BG even more difficult, not to mention my anxiety. 
Has anyone else experienced this? What helped, if anything? </t>
        </is>
      </c>
      <c r="D2367" t="n">
        <v>3</v>
      </c>
      <c r="E2367" t="n">
        <v>15</v>
      </c>
      <c r="F2367">
        <f>HYPERLINK("https://www.reddit.com/r/diabetes/comments/4zuyhc/maybe_nsfw_t1d_menstrual_cycle_related_yeast/")</f>
        <v/>
      </c>
      <c r="G2367" t="inlineStr">
        <is>
          <t>2016-08-27 09:30:51</t>
        </is>
      </c>
      <c r="H2367" t="inlineStr">
        <is>
          <t>Type 1</t>
        </is>
      </c>
    </row>
    <row r="2368">
      <c r="A2368" t="inlineStr">
        <is>
          <t>4zxy1b</t>
        </is>
      </c>
      <c r="B2368" t="inlineStr">
        <is>
          <t>My experience with valproate and naltrexone (T2)</t>
        </is>
      </c>
      <c r="C2368" t="inlineStr">
        <is>
          <t>This is a report of my experience using naltrexone and valproate to treat T2D.  These drugs are not FDA-approved for treating diabetes, so this is considered 'off-label use'.
tl;dr - It worked fairly well for me, but valproate does have some unpleasant side effects.
Naltrexone is an opioid receptor antagonist, it blocks the effects of endorphins and drugs like morphine.  The theory behind this is that there appears to be some cross-tolerance between opioids and insulin, that is tolerance to opioids also results in insulin resistance.
Valproate (epilim, depakote) is a histone deactelayse inhibitor.  It increases expression of many genes, and increases insulin.  Animal studies also show that this drug increases the number of pancreatic beta cells.
I am 40 years old, and over the past few years I gained a lot of weight and became pre-diabetic.  My blood sugar was still in the normal range most of the time, but the insulin resistance was really getting to me and I felt lethargic, my muscles ached, and I was always hungry.
I went to an endocrinologist who really wasn't any good.  The doctor said
my blood sugar was fine and I just needed to lose weight.  Well, dieting did not work.  Due to my lack of glucose metabolism, cutting calories just resulted in protein loss and edema.  Despite being overweight, I was on the brink of starvation, and still felt tired all the time.
I eventually convinced the reluctant doctor to give me a script for metformin despite my glucose being 'normal'.  Metformin worked somewhat for the tiredness as it increased my metabolism. Oddly, taking metformin actually made me smell of acetone since it increased my fat metabolism.
I lost a little bit of weight on metformin, but it was really hard to dose properly and even the 'slow-release' pills only seemed to last a few hours.
I was getting annoyed with this uncooperative doctor, and metformin wasn't working all that well.  I needed an alternative, so I went online and ordered naltrexone and sodium valproate.
First thing I took was naltrexone.  Of course, I was self-medicating and really didn't know what I was doing, and I took way too much. The naltrexone that I got came in 50 mg tablets.  I took half of one and immediately went into DKA.  I felt weird and smelled bad. Luckily nothing really bad happened, and after a few hours and a few metformin pills I felt better.
I started cutting the 50 mg pills into 12 pieces, and taking this much lower dose.  Over the next few weeks I went through opioid withdrawal, with lots of weird dreams and diarrhea.  Eventually things stabilized and I felt better.  My glucose metabolism was better, but not better enough.
So then I started taking sodium valproate, 500 mg a day.  At first, nothing happened.  After a week or two, I started to notice some effects. My muscles and joints were achy, and I slept a lot more.  Then I started to feel sick, like I had a cold or flu.  After about 4 weeks, I was really sick of it.  I was missing work because I was so sick.
I quit taking valproate and started to feel better.  I kept taking the low-dose naltrexone, as it wasn't causing any problems.  I got over the 'flu' after a week or two.  I also quit taking metformin.  I just did not need it.  Over the next 6 months, I lost 25 pounds.  I wasn't hungry all the time.
Unfortunately the effect wasn't permanent and after about 6 months, I started having some return of symptoms.  I stopped losing weight and felt like I needed metformin again.  So I did another 30 days of valproate.  I didn't get quite as tired the second time around, but I got the flu-like symptoms.  It again fixed my glucose problem, as before.
I'm not sure whether this can really cure diabetes permanently or if I'm going to have to repeat the valproate treatment periodically, but it does work, and the effect lasts for a few months, at least.</t>
        </is>
      </c>
      <c r="D2368" t="n">
        <v>0</v>
      </c>
      <c r="E2368" t="n">
        <v>11</v>
      </c>
      <c r="F2368">
        <f>HYPERLINK("https://www.reddit.com/r/diabetes/comments/4zxy1b/my_experience_with_valproate_and_naltrexone_t2/")</f>
        <v/>
      </c>
      <c r="G2368" t="inlineStr">
        <is>
          <t>2016-08-27 21:31:37</t>
        </is>
      </c>
      <c r="H2368" t="inlineStr">
        <is>
          <t>Type 2</t>
        </is>
      </c>
    </row>
    <row r="2369">
      <c r="A2369" t="inlineStr">
        <is>
          <t>50172o</t>
        </is>
      </c>
      <c r="B2369" t="inlineStr">
        <is>
          <t>Insulin pump supplies in England?</t>
        </is>
      </c>
      <c r="C2369" t="inlineStr">
        <is>
          <t>Hi all,
Obviously I'll be doing more in-depth research on this, but I thought I'd ask here too. Does anyone have experience with getting insulin pump supplies in England? I am a US citizen, but my husband is being considered for a job in London. I've been on a pump for the last 19 years (did MDI for 8 years before that, but I was a little kid so my parents mostly dealt with that). I don't really want to go back to MDI.
Is it difficult getting pump supplies through the NHS? I'm reading a criteria list, and it says you are eligible if:
1) hypos occur frequently or without warning, causing anxiety about recurrence and a negative impact on your quality of life 
2) your HbA1c is still 8.5% or above despite carefully trying to manage your diabetes, including the use of Lantus or Levemir 
Neither of these things are true, because I've been on a pump for a long time and my diabetes is well managed. Can I still continue on my pump anyway?
Also, I seem to remember people complaining about it taking awhile to get doctor's appointments in England (don't know if that's true or not). If I leave from here with, say, 6 months of supplies, will that be enough time to get hooked with a doc over there?
Apologies if any of this is way off. This is happening very suddenly, so I'm trying to take care of a million things at once. Thanks everyone!</t>
        </is>
      </c>
      <c r="D2369" t="n">
        <v>7</v>
      </c>
      <c r="E2369" t="n">
        <v>5</v>
      </c>
      <c r="F2369">
        <f>HYPERLINK("https://www.reddit.com/r/diabetes/comments/50172o/insulin_pump_supplies_in_england/")</f>
        <v/>
      </c>
      <c r="G2369" t="inlineStr">
        <is>
          <t>2016-08-28 13:18:50</t>
        </is>
      </c>
      <c r="H2369" t="inlineStr">
        <is>
          <t>Type 1</t>
        </is>
      </c>
    </row>
    <row r="2370">
      <c r="A2370" t="inlineStr">
        <is>
          <t>502bb5</t>
        </is>
      </c>
      <c r="B2370" t="inlineStr">
        <is>
          <t>what do u guys think is the most popular pump for ppl switching/new pumpers in the last yr?</t>
        </is>
      </c>
      <c r="C2370" t="inlineStr">
        <is>
          <t xml:space="preserve">do you guys think its a fair split ? </t>
        </is>
      </c>
      <c r="D2370" t="n">
        <v>2</v>
      </c>
      <c r="E2370" t="n">
        <v>4</v>
      </c>
      <c r="F2370">
        <f>HYPERLINK("https://www.reddit.com/r/diabetes/comments/502bb5/what_do_u_guys_think_is_the_most_popular_pump_for/")</f>
        <v/>
      </c>
      <c r="G2370" t="inlineStr">
        <is>
          <t>2016-08-28 17:29:55</t>
        </is>
      </c>
      <c r="H2370" t="inlineStr">
        <is>
          <t>Type 1</t>
        </is>
      </c>
    </row>
    <row r="2371">
      <c r="A2371" t="inlineStr">
        <is>
          <t>505f17</t>
        </is>
      </c>
      <c r="B2371" t="inlineStr">
        <is>
          <t>Does anyone know a good Retina Specialist in Illinois?</t>
        </is>
      </c>
      <c r="C2371" t="inlineStr">
        <is>
          <t>I just got dx'd with a DME and my eye guy was an asshole, who rolled his eyes when I said I thought I might have one and I turned out to be correct. He recommended someone, but I'm not keen on following his suggestions, so I'm wondering if any of you know anyone. Thansk!</t>
        </is>
      </c>
      <c r="D2371" t="n">
        <v>1</v>
      </c>
      <c r="E2371" t="n">
        <v>0</v>
      </c>
      <c r="F2371">
        <f>HYPERLINK("https://www.reddit.com/r/diabetes/comments/505f17/does_anyone_know_a_good_retina_specialist_in/")</f>
        <v/>
      </c>
      <c r="G2371" t="inlineStr">
        <is>
          <t>2016-08-29 07:59:25</t>
        </is>
      </c>
      <c r="H2371" t="inlineStr">
        <is>
          <t>Type 1</t>
        </is>
      </c>
    </row>
    <row r="2372">
      <c r="A2372" t="inlineStr">
        <is>
          <t>505mm3</t>
        </is>
      </c>
      <c r="B2372" t="inlineStr">
        <is>
          <t>Losing weight and blood sugar.</t>
        </is>
      </c>
      <c r="C2372" t="inlineStr">
        <is>
          <t>So it's been a little over a month and I'm doing pretty good with the weight loss thing. I'm down about 24lbs as of this morning and my average readings have been under 100mg/dl fasting and post meal (1 hr and 2hrs usually under 90mg/dl). I probably consume about 3-5g carbs per meal (everything has carbs! dangit. Most of my carbs come from the mustard and balsamic I use for dressing my salads.). This weekend I took some time to chart of my blood sugar readings in excel and I noticed that when I started the low/no carb thing and exercising my blood sugar dropped pretty dang fast. But the more weight I lost the higher my blood sugar became. Nothing alarming, but on average about 1 - 2mg/dl on average per pound. I am very strict on my diet and I haven't changed anything except for more exercise. 
Thinking about it, though, if I weigh less then I have less mass, less blood?, but I'm consuming the same food (even lower carb), then the amount of sugar to blood ratio in my body will be higher right? But how do I reduce my carb load when it's already so low? I'm already exercising my butt off and I don't know how to find more time to work out, but also working out = more weightloss for me. Do I just need to be eating way way more protein? I eat about 1500cal a day right now and I always feel full at this point. Any insights? 
Also unrelated, I hate the dawn phenomenon. I go to bed with 85mg/dl and wake up 108mg/dl what the crap!?! (just a slight vent).
TL;DR : If I weigh less and have less mass and less blood (right?) but continue to eat the same low carb meals, does that mean my sugar in blood concentration will go up? My data says yes, what gives?</t>
        </is>
      </c>
      <c r="D2372" t="n">
        <v>1</v>
      </c>
      <c r="E2372" t="n">
        <v>1</v>
      </c>
      <c r="F2372">
        <f>HYPERLINK("https://www.reddit.com/r/diabetes/comments/505mm3/losing_weight_and_blood_sugar/")</f>
        <v/>
      </c>
      <c r="G2372" t="inlineStr">
        <is>
          <t>2016-08-29 08:43:44</t>
        </is>
      </c>
      <c r="H2372" t="inlineStr">
        <is>
          <t>Type 2</t>
        </is>
      </c>
    </row>
    <row r="2373">
      <c r="A2373" t="inlineStr">
        <is>
          <t>509dx3</t>
        </is>
      </c>
      <c r="B2373" t="inlineStr">
        <is>
          <t>Is a medical tattoo right for me?</t>
        </is>
      </c>
      <c r="C2373" t="inlineStr">
        <is>
          <t>Do many people have these?  I'm a T1 and I go to the hospital a few times a year for DKA.  I'd like to get a tattoo on my arm to indicate I'm diabetic in case I need help.</t>
        </is>
      </c>
      <c r="D2373" t="n">
        <v>2</v>
      </c>
      <c r="E2373" t="n">
        <v>9</v>
      </c>
      <c r="F2373">
        <f>HYPERLINK("https://www.reddit.com/r/diabetes/comments/509dx3/is_a_medical_tattoo_right_for_me/")</f>
        <v/>
      </c>
      <c r="G2373" t="inlineStr">
        <is>
          <t>2016-08-29 21:45:47</t>
        </is>
      </c>
      <c r="H2373" t="inlineStr">
        <is>
          <t>Type 1.5/LADA</t>
        </is>
      </c>
    </row>
    <row r="2374">
      <c r="A2374" t="inlineStr">
        <is>
          <t>50b6kw</t>
        </is>
      </c>
      <c r="B2374" t="inlineStr">
        <is>
          <t>New to Dexcom, question about dropping blood sugar.</t>
        </is>
      </c>
      <c r="C2374" t="inlineStr">
        <is>
          <t xml:space="preserve">Been T1 for about 12 years now, used a pump for most of that time but am now on MDI (Tresiba and Humalog). Just got the dexcom g5 a few weeks ago, and I've been noticing that my blood sugar levels seem to be MUCH more sensitive to insulin than I had previously thought. I think my long-acting insulin dose is too high, but it could also be my correction ratio or insulin:carb ratio. 
I've had a number of really scary lows the past week, so I've been scared to let my sugars drop below 90. This unfortunately means that I panic-eat a ton of sugar whenever I see the dexcom double-arrow down, which means I've recently been spiking up really, really high. Example: Last night I was 110 before dinner, pre-bolused, and then had my food. The next 2 hours I rose up to 150, but then started falling. Seeing as it was almost bedtime, I ate a rather large snack and went to bed (only giving my Tresiba, no humalog for the snack). Overnight my sugars climbed to 340 (yikes), but fell down to 190 by the time I woke up. I ate no food, took no insulin, my dexcom suddenly showed double arrows down, and fell rapidly down to 100, with those dreaded down arrows still present. That's when I decided to have some juice until it leveled out. 
Second event: Yesterday was a bad day at work - a combination of a sudden, intense false low feeling and snacking caused my sugars to be in the 300's before lunch. I grabbed my lunch (pasta, about 40g carbs) and bolused only 2u. My usual correction ratio is 1:50 and carb ratio is about 1:10 - So these 2u shouldn't have been nearly enough (I had no insulin in my system other than my Tresiba from the night before). And yet somehow my blood sugar made it's way steadily down to 110 by dinner (no other boluses, no other snacks, no exercise). 
Also: Since starting the dexcom I've already lowered my tresiba dose from 27u down to 22u, because I was experiencing multiple nightly lows when I went to bed under 180. This is also weird because I previously had no pattern of going low before the Dexcom, even thought I was taking 27u of Tresiba. 
Any thoughts?? I'm seeing my endo this week so I'll definitely ask her advice as well. </t>
        </is>
      </c>
      <c r="D2374" t="n">
        <v>6</v>
      </c>
      <c r="E2374" t="n">
        <v>4</v>
      </c>
      <c r="F2374">
        <f>HYPERLINK("https://www.reddit.com/r/diabetes/comments/50b6kw/new_to_dexcom_question_about_dropping_blood_sugar/")</f>
        <v/>
      </c>
      <c r="G2374" t="inlineStr">
        <is>
          <t>2016-08-30 06:44:35</t>
        </is>
      </c>
      <c r="H2374" t="inlineStr">
        <is>
          <t>Type 1</t>
        </is>
      </c>
    </row>
    <row r="2375">
      <c r="A2375" t="inlineStr">
        <is>
          <t>50dz0f</t>
        </is>
      </c>
      <c r="B2375" t="inlineStr">
        <is>
          <t>New T2 Diabetes diagnosis - I don't know how to understand Glycemic Load and Glycemic Index</t>
        </is>
      </c>
      <c r="C2375" t="inlineStr">
        <is>
          <t>Hi!
Just got diagnosed, and I had been looking at trying Soylent for weight loss (The 2,000 calories/day it would provide, plus exercise, should help me shed a lot of weight as I eat higher than that right now).  Their liquid version has a GI of 49 and a GL of 17 (and the GL doubles for their powder).
If I'm living off of 5 of those a day, spaced evenly, what does that mean for my blood sugar?  Do I need to experiment?</t>
        </is>
      </c>
      <c r="D2375" t="n">
        <v>4</v>
      </c>
      <c r="E2375" t="n">
        <v>10</v>
      </c>
      <c r="F2375">
        <f>HYPERLINK("https://www.reddit.com/r/diabetes/comments/50dz0f/new_t2_diabetes_diagnosis_i_dont_know_how_to/")</f>
        <v/>
      </c>
      <c r="G2375" t="inlineStr">
        <is>
          <t>2016-08-30 15:56:42</t>
        </is>
      </c>
      <c r="H2375" t="inlineStr">
        <is>
          <t>Type 2</t>
        </is>
      </c>
    </row>
    <row r="2376">
      <c r="A2376" t="inlineStr">
        <is>
          <t>50g4oa</t>
        </is>
      </c>
      <c r="B2376" t="inlineStr">
        <is>
          <t>Question about carbohydrate intake.</t>
        </is>
      </c>
      <c r="C2376" t="inlineStr">
        <is>
          <t xml:space="preserve">Hello,
I'm 17 years old type 1 diabetic. My weight is 168lbs and height is 6.1 feet. 
I want to ask if eating 370g of carbohydrates if I workout is too much for me? Should I consume less? </t>
        </is>
      </c>
      <c r="D2376" t="n">
        <v>2</v>
      </c>
      <c r="E2376" t="n">
        <v>13</v>
      </c>
      <c r="F2376">
        <f>HYPERLINK("https://www.reddit.com/r/diabetes/comments/50g4oa/question_about_carbohydrate_intake/")</f>
        <v/>
      </c>
      <c r="G2376" t="inlineStr">
        <is>
          <t>2016-08-31 01:18:31</t>
        </is>
      </c>
      <c r="H2376" t="inlineStr">
        <is>
          <t>Type 1</t>
        </is>
      </c>
    </row>
    <row r="2377">
      <c r="A2377" t="inlineStr">
        <is>
          <t>50j2gv</t>
        </is>
      </c>
      <c r="B2377" t="inlineStr">
        <is>
          <t>Male Type 2, A1C Down to 5.3, it was 7.1 about 13 months ago.</t>
        </is>
      </c>
      <c r="C2377" t="inlineStr">
        <is>
          <t xml:space="preserve">Just happy to share progress. Just watching my carbs and taking 500mg of Metforman a day. Down 70lbs too. But still got a long way to go for a healthy weight. </t>
        </is>
      </c>
      <c r="D2377" t="n">
        <v>44</v>
      </c>
      <c r="E2377" t="n">
        <v>9</v>
      </c>
      <c r="F2377">
        <f>HYPERLINK("https://www.reddit.com/r/diabetes/comments/50j2gv/male_type_2_a1c_down_to_53_it_was_71_about_13/")</f>
        <v/>
      </c>
      <c r="G2377" t="inlineStr">
        <is>
          <t>2016-08-31 12:38:28</t>
        </is>
      </c>
      <c r="H2377" t="inlineStr">
        <is>
          <t>Type 2</t>
        </is>
      </c>
    </row>
    <row r="2378">
      <c r="A2378" t="inlineStr">
        <is>
          <t>50jwjz</t>
        </is>
      </c>
      <c r="B2378" t="inlineStr">
        <is>
          <t>A1C Results: 5.6</t>
        </is>
      </c>
      <c r="C2378" t="inlineStr">
        <is>
          <t>Last week I went in for my yearly check up with my general physician, who drew blood. Today, I had my quarterly meeting with my endocrinologist. After about 8 months of getting a pump, I've finally dipped below the 6.0 mark!
Here's hoping the Chinese buffet I'm celebrating what screw with it too much!</t>
        </is>
      </c>
      <c r="D2378" t="n">
        <v>72</v>
      </c>
      <c r="E2378" t="n">
        <v>33</v>
      </c>
      <c r="F2378">
        <f>HYPERLINK("https://www.reddit.com/r/diabetes/comments/50jwjz/a1c_results_56/")</f>
        <v/>
      </c>
      <c r="G2378" t="inlineStr">
        <is>
          <t>2016-08-31 15:22:48</t>
        </is>
      </c>
      <c r="H2378" t="inlineStr">
        <is>
          <t>Type 1</t>
        </is>
      </c>
    </row>
    <row r="2379">
      <c r="A2379" t="inlineStr">
        <is>
          <t>50lez9</t>
        </is>
      </c>
      <c r="B2379" t="inlineStr">
        <is>
          <t>I thought I was feeling fake lows. Turns out it may be my thyroid medicine.</t>
        </is>
      </c>
      <c r="C2379" t="inlineStr">
        <is>
          <t xml:space="preserve">I was diagnosed as T2 about 7 years ago, was mostly uncontrolled (A1C around 10) for most of that time, then found this subreddit and started keto last November. My most recent A1C is 5.9.
At any rate, lately I started feeling shaky and similar to the lows I felt when I was taking glipizide. However, my blood sugar would be around 100 when I check. I wondered why I would feel this way.
Saw my GP yesterday, brought it up, and she suggested it may be the levothyroxine I'm taking because of my hypothyroidism. She said that me losing weight probably decreased my need for levothyroxine. So she reduced the dose. Will have to see if this is really true, but I felt so much better to have an explanation for it other than feeling fake lows. </t>
        </is>
      </c>
      <c r="D2379" t="n">
        <v>3</v>
      </c>
      <c r="E2379" t="n">
        <v>5</v>
      </c>
      <c r="F2379">
        <f>HYPERLINK("https://www.reddit.com/r/diabetes/comments/50lez9/i_thought_i_was_feeling_fake_lows_turns_out_it/")</f>
        <v/>
      </c>
      <c r="G2379" t="inlineStr">
        <is>
          <t>2016-08-31 21:10:35</t>
        </is>
      </c>
      <c r="H2379" t="inlineStr">
        <is>
          <t>Type 2</t>
        </is>
      </c>
    </row>
    <row r="2380">
      <c r="A2380" t="inlineStr">
        <is>
          <t>50pb2s</t>
        </is>
      </c>
      <c r="B2380" t="inlineStr">
        <is>
          <t>Bydureon questions...</t>
        </is>
      </c>
      <c r="C2380" t="inlineStr">
        <is>
          <t>I've been taking Bydureon for about 5 months now.  Lately, probably my last 3 shots, I've bled a lot after taking them and I miss a good chunk of the medication.  I've been injecting into my stomach.  I did get the side effect with the itchy bumps at the injection site, but I haven't gotten them lately and I'm worried that I'm not taking the entire dosage.
Also, it's been painful taking the shots now.  I take Lantus every night and I don't have any issues with that, so I'm just curious if I'm just doing something wrong.  Should I maybe change the injection site?
Thanks for your help.</t>
        </is>
      </c>
      <c r="D2380" t="n">
        <v>1</v>
      </c>
      <c r="E2380" t="n">
        <v>6</v>
      </c>
      <c r="F2380">
        <f>HYPERLINK("https://www.reddit.com/r/diabetes/comments/50pb2s/bydureon_questions/")</f>
        <v/>
      </c>
      <c r="G2380" t="inlineStr">
        <is>
          <t>2016-09-01 13:18:18</t>
        </is>
      </c>
      <c r="H2380" t="inlineStr">
        <is>
          <t>Type 2</t>
        </is>
      </c>
    </row>
    <row r="2381">
      <c r="A2381" t="inlineStr">
        <is>
          <t>50qiwd</t>
        </is>
      </c>
      <c r="B2381" t="inlineStr">
        <is>
          <t>Just got the Dexcom 5G!! Any Tips?</t>
        </is>
      </c>
      <c r="C2381" t="inlineStr">
        <is>
          <t xml:space="preserve">Hey guys! So I've had type 1 for about 5 years now and just got the  Dexcom G5* cgm. I just finished setting it up and am in the 2 hour warm-up period.
 I was wondering if any of y'all who have it for some time have and good tips for using/living with it. </t>
        </is>
      </c>
      <c r="D2381" t="n">
        <v>8</v>
      </c>
      <c r="E2381" t="n">
        <v>28</v>
      </c>
      <c r="F2381">
        <f>HYPERLINK("https://www.reddit.com/r/diabetes/comments/50qiwd/just_got_the_dexcom_5g_any_tips/")</f>
        <v/>
      </c>
      <c r="G2381" t="inlineStr">
        <is>
          <t>2016-09-01 17:34:21</t>
        </is>
      </c>
      <c r="H2381" t="inlineStr">
        <is>
          <t>Type 1</t>
        </is>
      </c>
    </row>
    <row r="2382">
      <c r="A2382" t="inlineStr">
        <is>
          <t>50sth2</t>
        </is>
      </c>
      <c r="B2382" t="inlineStr">
        <is>
          <t>Enlite sensors not accepting callibrations</t>
        </is>
      </c>
      <c r="C2382" t="inlineStr">
        <is>
          <t xml:space="preserve">If you have a Medtronic CGM (Enlite) this is for you. Sometimes the readings might be very far from what your meter says (for example meter says 98, CGM says 165). If you try to calibrate the sensor with those readings and it gives you a "Calibration not accepted" error, you might discover that by the second time you calibrate your pump will discard your sensor without asking you. I've wasted at least a dozen sensors like this since I got my CGM.
I recently found that if you turn the sensor off, massage it a bit to rehydrate it just in case, and then turn it on again after 3-5 minutes, the sensor will start reading the accurate values again. </t>
        </is>
      </c>
      <c r="D2382" t="n">
        <v>2</v>
      </c>
      <c r="E2382" t="n">
        <v>1</v>
      </c>
      <c r="F2382">
        <f>HYPERLINK("https://www.reddit.com/r/diabetes/comments/50sth2/enlite_sensors_not_accepting_callibrations/")</f>
        <v/>
      </c>
      <c r="G2382" t="inlineStr">
        <is>
          <t>2016-09-02 04:48:38</t>
        </is>
      </c>
      <c r="H2382" t="inlineStr">
        <is>
          <t>Type 1</t>
        </is>
      </c>
    </row>
    <row r="2383">
      <c r="A2383" t="inlineStr">
        <is>
          <t>50tm2h</t>
        </is>
      </c>
      <c r="B2383" t="inlineStr">
        <is>
          <t>First diaversary: diabetes makes me stronger</t>
        </is>
      </c>
      <c r="C2383" t="inlineStr">
        <is>
          <t xml:space="preserve">A year ago today I got a phone call about recent lab work. Fasting blood glucose: 236 mg/dl.
She said: *I'm afraid it looks like you have diabetes. Are you sure you didn't eat anything before the test?*
A few days later the doctor was blunt. He said: *You have diabetes, and you'll have it for the rest of your life.*
Panic, anger, self-loathing, overwhelming fear, bordering on despair. 
I don't know why, but later that same hour I began to feel resolve and determination: *I'm going to fix this, no matter what it takes.*
If I hadn't just started a new job, if I hadn't been full of hope for my future, if I hadn't had a good support network at the time, I may have just as likely said: *Why should I even bother trying to help myself?* 
With some naivete, I googled "diabetes cure," and you know how many sites there are to take advantage of desperate but hopeful people.
I found my way to some real research, though, and read all about Prof. Roy Taylor at Newcastle. 
His 600-kcal/day diet did not appeal to me, but I was willing to try it if it would actually help. In looking for other 'diabetes diets' I stumbled across r/keto. This was a diet I could follow!
Long story short, with keto and IF I lost 50 lbs in six months, and have maintained that weight loss for six more months. My BMI dropped from 33 to just over 25. 
Within a week of starting keto my fasting blood glucose was under 100, and it has stayed there. It's usually in the 70's upon waking up. 
My first A1c, taken six months after diagnosis, was 4.9%.
My second A1c, taken three months later, after upping my carbs, was 5.1%.
Experimenting with more carbs, eating 70g of quick carbs gives me a peak of about 120 mg/dl at 1 hour, and back to 80 mg/dl at two hours. But if I eat lots of carbs several days in a row, the postprandial and fasting blood glucose creeps up. Back to low carb. 
There are so many other markers that have improved: I have more energy, I am more aware of my body instead of living always in my head, I am confident I can overcome anything life throws at me. 
But most importantly, after one year, I can finally say: Thank God. 
Thank God for the diagnosis at 35-years-old, instead of finding out later. Thank God for finding a treatment regimen that works for me. Thank God I had enough fear and determination to make drastic lifestyle changes and make them stick. 
Thank God I developed Type 2 Diabetes AND learned to manage it; I believe I am a stronger and smarter person because of this ongoing ordeal than if I had been blessed with a perfect metabolism. 
Thank you for reading; I wanted to share my happiness, because I didn't expect to feel this way today. Thank you r/diabetes, from a lurker, you have been a great help!
**tl;dr** Diabetes saved my life, but only because I was so shocked by the diagnosis that I had the motivation to make drastic and lasting lifestyle changes. </t>
        </is>
      </c>
      <c r="D2383" t="n">
        <v>16</v>
      </c>
      <c r="E2383" t="n">
        <v>23</v>
      </c>
      <c r="F2383">
        <f>HYPERLINK("https://www.reddit.com/r/diabetes/comments/50tm2h/first_diaversary_diabetes_makes_me_stronger/")</f>
        <v/>
      </c>
      <c r="G2383" t="inlineStr">
        <is>
          <t>2016-09-02 07:54:20</t>
        </is>
      </c>
      <c r="H2383" t="inlineStr">
        <is>
          <t>Type 2</t>
        </is>
      </c>
    </row>
    <row r="2384">
      <c r="A2384" t="inlineStr">
        <is>
          <t>50v7ru</t>
        </is>
      </c>
      <c r="B2384" t="inlineStr">
        <is>
          <t>15 Year Diaversary</t>
        </is>
      </c>
      <c r="C2384" t="inlineStr">
        <is>
          <t>Fifteen years today, and almost to the point where I will have lived half my life without it and half my life with (17 when diagnosed). My last a1c was 5.9% and I haven't seen over 7% in five years, after a burnout phase in my early 20s. 
I tried keto at the beginning of this year to try and get off the rollercoaster, but it was super stressful for me and my a1c actually INCREASED I think from the stress. So basically I just try to eat low carb, and walk 30ish minutes a day with my puppy, and that walk sets me up to be pretty sensitive to insulin for the rest of the day. I am stricter with my carb counting and diet and I feel like it's working well for me, at least for now.
Anyway, just wanted to check-in here with people that get it and say I am kicking diabetes ass at fifteen years in!</t>
        </is>
      </c>
      <c r="D2384" t="n">
        <v>16</v>
      </c>
      <c r="E2384" t="n">
        <v>9</v>
      </c>
      <c r="F2384">
        <f>HYPERLINK("https://www.reddit.com/r/diabetes/comments/50v7ru/15_year_diaversary/")</f>
        <v/>
      </c>
      <c r="G2384" t="inlineStr">
        <is>
          <t>2016-09-02 13:08:37</t>
        </is>
      </c>
      <c r="H2384" t="inlineStr">
        <is>
          <t>Type 1</t>
        </is>
      </c>
    </row>
    <row r="2385">
      <c r="A2385" t="inlineStr">
        <is>
          <t>50zqhc</t>
        </is>
      </c>
      <c r="B2385" t="inlineStr">
        <is>
          <t>Sugar just smells really bad anymore.</t>
        </is>
      </c>
      <c r="C2385" t="inlineStr">
        <is>
          <t>One of the first things I did after I was diagnosed was drop sugar out of my diet. No more sugar in my coffee, very few processed foods,  and no sweet snacks. I stopped in the convenience store today. It's smallish, and sells lots of snacks, including baked goods. I could smell it from the sidewalk. It's pretty unpleasant, But this was the first time it actually made me a little queasy. 
It's such a huge change. I don't think I ever noticed the smell before this diet change. /random musing</t>
        </is>
      </c>
      <c r="D2385" t="n">
        <v>4</v>
      </c>
      <c r="E2385" t="n">
        <v>13</v>
      </c>
      <c r="F2385">
        <f>HYPERLINK("https://www.reddit.com/r/diabetes/comments/50zqhc/sugar_just_smells_really_bad_anymore/")</f>
        <v/>
      </c>
      <c r="G2385" t="inlineStr">
        <is>
          <t>2016-09-03 10:13:54</t>
        </is>
      </c>
      <c r="H2385" t="inlineStr">
        <is>
          <t>Type 2</t>
        </is>
      </c>
    </row>
    <row r="2386">
      <c r="A2386" t="inlineStr">
        <is>
          <t>511nik</t>
        </is>
      </c>
      <c r="B2386" t="inlineStr">
        <is>
          <t>Can A1C test be completely wrong?</t>
        </is>
      </c>
      <c r="C2386" t="inlineStr">
        <is>
          <t>Last month my doctor gave me a diabetes scare.
On July 31 my doctor told me my blood sugar was horrible and my A1c test score was 7, which puts me into the realm of diabetes. I admit my diet was really bad. Coffee with plenty of sugar, tons of carbs, rice, pasta. No thought at all about diet. I'm a little chubby but not obese. I'm 190lbs and 5'8". I'm not a big dessert eater but I eat whatever I want. You could call me a foodie, I eat weird stuff that most people won't touch. Brains, organ meats, hand-pulled noodles, all that stuff.
So for the last month I've been fanatic. Total cut-off of sugar and anything sweet. No bread, no noodles, no pasta, no rice. I went to Japan for three weeks where I usually have ramen every day. This time I had Ramen only once in Japan which was very depressing. No rice in Japan, which was almost impossible. Sashimi instead of sushi. Lean meat, the a sort of keto-ish diet.
A few days ago I got one of those blood testing machines and a 100 test strips.
My readings are rock bottom. Fasting, one hour after eating, two hours after eating. My blood sugar is LOW. Today I even transgressed and had dim-sum and ate everything. Noodles, shu-mai, fried rice, pork bun, etc. I ran home to test myself. One hour after eating, blood sugar 94. Two hours later, blood sugar 111. A little while ago, about 6 hours after eating, 83.
These are not diabetic readings. I can't figure out what is happening. Would stopping the crappy eating for a month create such a huge change?</t>
        </is>
      </c>
      <c r="D2386" t="n">
        <v>3</v>
      </c>
      <c r="E2386" t="n">
        <v>5</v>
      </c>
      <c r="F2386">
        <f>HYPERLINK("https://www.reddit.com/r/diabetes/comments/511nik/can_a1c_test_be_completely_wrong/")</f>
        <v/>
      </c>
      <c r="G2386" t="inlineStr">
        <is>
          <t>2016-09-03 17:33:20</t>
        </is>
      </c>
      <c r="H2386" t="inlineStr">
        <is>
          <t>Type 2</t>
        </is>
      </c>
    </row>
    <row r="2387">
      <c r="A2387" t="inlineStr">
        <is>
          <t>5144jd</t>
        </is>
      </c>
      <c r="B2387" t="inlineStr">
        <is>
          <t>Type 1-Autoantibodies</t>
        </is>
      </c>
      <c r="C2387" t="inlineStr">
        <is>
          <t xml:space="preserve">Type 1 here, wondering if anyone one has had their auto-antibodies tested/retested since diagnosis.  Simply wondering what the results were or if any numbers changed for you.  For me, my IA-2 auto-antibodies went from 2.6 U/ml (at diagnosis) to &amp;lt;1 (negative per ranges given on test, about a month ago).  GAD and Zinc transporter still negative.  I've been dx'd T1 for about 3 years.  That is all, cheers.  </t>
        </is>
      </c>
      <c r="D2387" t="n">
        <v>2</v>
      </c>
      <c r="E2387" t="n">
        <v>9</v>
      </c>
      <c r="F2387">
        <f>HYPERLINK("https://www.reddit.com/r/diabetes/comments/5144jd/type_1autoantibodies/")</f>
        <v/>
      </c>
      <c r="G2387" t="inlineStr">
        <is>
          <t>2016-09-04 07:11:47</t>
        </is>
      </c>
      <c r="H2387" t="inlineStr">
        <is>
          <t>Type 1</t>
        </is>
      </c>
    </row>
    <row r="2388">
      <c r="A2388" t="inlineStr">
        <is>
          <t>517bng</t>
        </is>
      </c>
      <c r="B2388" t="inlineStr">
        <is>
          <t>Looking at New Pump options. Also considering doing a CGM for First time.</t>
        </is>
      </c>
      <c r="C2388" t="inlineStr">
        <is>
          <t>Like title says.  I am pretty active, exercise regularly, ride bike to work, etc... I check BG before meals and 2-3 hrs after, so around 6 times daily. 
Never done a CGM, was and kinds still am under the impression it may be a bit too much effort in calibration..etc...  Dexcom has great reviews... at any rate I'm curious but if its finicky, I am not gonna like it...
Also know that medtronics thing is to come out soon but not yet, so maybe or probably worth waiting?...
Omni pod looks interesting, my only concern is the pod looks like it sticks out farther than I may appreciate...
I am just curious of other peoples devices and why they chose them and then good and bad things in hindsight...  Thanks to all.</t>
        </is>
      </c>
      <c r="D2388" t="n">
        <v>6</v>
      </c>
      <c r="E2388" t="n">
        <v>14</v>
      </c>
      <c r="F2388">
        <f>HYPERLINK("https://www.reddit.com/r/diabetes/comments/517bng/looking_at_new_pump_options_also_considering/")</f>
        <v/>
      </c>
      <c r="G2388" t="inlineStr">
        <is>
          <t>2016-09-04 19:30:50</t>
        </is>
      </c>
      <c r="H2388" t="inlineStr">
        <is>
          <t>Type 1</t>
        </is>
      </c>
    </row>
    <row r="2389">
      <c r="A2389" t="inlineStr">
        <is>
          <t>51epte</t>
        </is>
      </c>
      <c r="B2389" t="inlineStr">
        <is>
          <t>How long should I fast for?</t>
        </is>
      </c>
      <c r="C2389" t="inlineStr">
        <is>
          <t>Yeah, I don't really know how long am I supposed to do this before it gets unhealthy, it's good for my sugars though. pro tips?</t>
        </is>
      </c>
      <c r="D2389" t="n">
        <v>12</v>
      </c>
      <c r="E2389" t="n">
        <v>66</v>
      </c>
      <c r="F2389">
        <f>HYPERLINK("https://www.reddit.com/r/diabetes/comments/51epte/how_long_should_i_fast_for/")</f>
        <v/>
      </c>
      <c r="G2389" t="inlineStr">
        <is>
          <t>2016-09-06 04:23:03</t>
        </is>
      </c>
      <c r="H2389" t="inlineStr">
        <is>
          <t>Type 1</t>
        </is>
      </c>
    </row>
    <row r="2390">
      <c r="A2390" t="inlineStr">
        <is>
          <t>51eswp</t>
        </is>
      </c>
      <c r="B2390" t="inlineStr">
        <is>
          <t>Where are examples of how to keep blood glucose fingerstick results' in ASCII plain text format?</t>
        </is>
      </c>
      <c r="C2390" t="inlineStr">
        <is>
          <t xml:space="preserve">Where are examples of blood glucose fingerstick results' forms for keeping a log in ASCII plain text format? </t>
        </is>
      </c>
      <c r="D2390" t="n">
        <v>2</v>
      </c>
      <c r="E2390" t="n">
        <v>1</v>
      </c>
      <c r="F2390">
        <f>HYPERLINK("https://www.reddit.com/r/diabetes/comments/51eswp/where_are_examples_of_how_to_keep_blood_glucose/")</f>
        <v/>
      </c>
      <c r="G2390" t="inlineStr">
        <is>
          <t>2016-09-06 04:49:42</t>
        </is>
      </c>
      <c r="H2390" t="inlineStr">
        <is>
          <t>Type 2</t>
        </is>
      </c>
    </row>
    <row r="2391">
      <c r="A2391" t="inlineStr">
        <is>
          <t>51fbw0</t>
        </is>
      </c>
      <c r="B2391" t="inlineStr">
        <is>
          <t>Does anybody here row for exercise?</t>
        </is>
      </c>
      <c r="C2391" t="inlineStr">
        <is>
          <t>T2 here, and I typically walk 2-3 miles a day with a 30 pound pack for glucose control.  I'm from Arkansas and the middle of summer and winter aren't enjoyable times to be outdoors for exercise.  I've been considering trying out rowing.  I'm located in a rural area, so a home machine would be the route.  
Does anyone have an experience rowing for glucose control? Did you find it effective/ineffective?  Thanks for any comments!
edit: of course I missed a few words</t>
        </is>
      </c>
      <c r="D2391" t="n">
        <v>2</v>
      </c>
      <c r="E2391" t="n">
        <v>8</v>
      </c>
      <c r="F2391">
        <f>HYPERLINK("https://www.reddit.com/r/diabetes/comments/51fbw0/does_anybody_here_row_for_exercise/")</f>
        <v/>
      </c>
      <c r="G2391" t="inlineStr">
        <is>
          <t>2016-09-06 07:01:25</t>
        </is>
      </c>
      <c r="H2391" t="inlineStr">
        <is>
          <t>Type 2</t>
        </is>
      </c>
    </row>
    <row r="2392">
      <c r="A2392" t="inlineStr">
        <is>
          <t>51gtub</t>
        </is>
      </c>
      <c r="B2392" t="inlineStr">
        <is>
          <t>This week is my 9th diaversary.</t>
        </is>
      </c>
      <c r="C2392" t="inlineStr">
        <is>
          <t>I felt like I should do something, so I posted this up on my Facebook wall a little while ago:
&amp;gt;This week marks my 9th year of having type 1 diabetes. It's fundamentally changed the way I live my life, and it's really difficult to believe that there was a time before, a time when I didn't have to manually replace the function of one of my organs. It's still a daily struggle to get by, and knowing that I will have to administer a daily regimen of insulin therapy until I die is a burden. It's even weird to think that in 6 years, I will have lived more of my life as a diabetic than not.
&amp;gt;I thought about having a day tomorrow where I would live-blog my diabetes; every hypo, every meal, every carb counting exercise, every injection... but I feel now that that might alienate people. For me, though, diabetes has always been an alienating experience, where I understand that nobody, not even the medical professionals I so often see will ever understand my diabetes as well as I do. My management of the condition is always self-driven; I read self-help books, I purchase additional equipment (out of pocket), I keep meticulous logs. I even sought out and implemented a very strict diet (I eat under 20g of carbohydrate daily) in order to gain more control over my diabetes. There are good days and bad days, and even with all these tools and the medicine I am so gratefully afforded by the NHS, my blood sugars can still become out of control. Diabetes is considered by many charities a progressive condition, and it's not so much a matter of if I'll develop the conditions associated with diabetes (nerve damage, eye damage), but when.
&amp;gt;I know this reads as a very depressing piece, but I honestly feel so alienated about the diabetes because I know most people won't know the ins and outs of what I go through day after day. Many won't realise how much of my life is governed by numbers; how much carbohydrate to eat to raise my blood glucose just the right amount; how much protein and carbohydrate there is in a meal; how much insulin I must calculate to match it, as well as reduce the +3mmol/l rise I got because the fire alarm went off and my blood sugar rose from stress. It affects my ability to concentrate, my levels of energy, and my mood; I have grown used the the blind panic of feeling as though I am going to die (which is how it feels when you have a dangerous low blood sugar episode, as well as being ready to projectile vomit), and I am able to resist the ravenous hunger it triggers. Every single day is surrounded with a baseline of blood sugars: if it is in the correct range, and how I can manipulate my food input, medication and physical activity in order to keep it correct. It is constant. There is no rest, and there will be no end.
&amp;gt;Despite everything I live a really great life and everything is cool. I just felt like I hadn't written anything out like this before and, with it being an anniversary, I thought I'd share. I do feel like diabetes isn't taken seriously by a lot of people and that's why I always feel somewhat reluctant to talk about it. I never hide my condition, but equally I never broadcast it loudly.
&amp;gt;Diabetes is a huge deal and even if you can manage it with medication, that isn't a magic bullet, it very seldom works perfectly and there is a huge amount of work 'behind the scenes' in every diabetic's life to be able to function like a regular human being.
At times it felt like I was writing a suicide note, but I'm glad I got it all out there. It's nice to have a place to put this where people will understand how I feel. I'm not doing anything special to celebrate (I did think about calling into one of the radio shows I listen to for a song request, but meh).</t>
        </is>
      </c>
      <c r="D2392" t="n">
        <v>31</v>
      </c>
      <c r="E2392" t="n">
        <v>5</v>
      </c>
      <c r="F2392">
        <f>HYPERLINK("https://www.reddit.com/r/diabetes/comments/51gtub/this_week_is_my_9th_diaversary/")</f>
        <v/>
      </c>
      <c r="G2392" t="inlineStr">
        <is>
          <t>2016-09-06 12:08:06</t>
        </is>
      </c>
      <c r="H2392" t="inlineStr">
        <is>
          <t>Type 1</t>
        </is>
      </c>
    </row>
    <row r="2393">
      <c r="A2393" t="inlineStr">
        <is>
          <t>51hf65</t>
        </is>
      </c>
      <c r="B2393" t="inlineStr">
        <is>
          <t>Newly diagnosed T2, medications having little effect</t>
        </is>
      </c>
      <c r="C2393" t="inlineStr">
        <is>
          <t>**EDIT**
I was able to see my doctor today. I've been put on Toujeo 20U 1x daily and my bloodwork is going to be done tomorrow at 11 (earliest appointment I could get...). She's looking for markers that I might be T1 instead of T2, or I guess T1.5 as they call it. I bought a new meter last night and ever since then my sugars have been in the low to mid 300s. Still awful, but improved I guess. The insulin scares the shit out of me cause I don't do well with needles and blood, so this is going to be very, very, very difficult for me.
Thanks everyone for the advice and concern. This post became very hard to read after the first few replies and I fell far, far behind on my work yesterday because of the concern I had for my well being. It seemed like everybody but you guys was downplaying it and not very concerned, and you guys truly made me demand the attention that I wasn't getting. I'll likely be seeking out a different doctor soon and maybe even explore seeing an Endocrinologist.  I won't have health insurance for a few months though (self employed and Cigna terminated all policies in my state this year due to opiate abuse at pain clinics... guess what state I live in?) so the latter may be cost prohibitive for a little bit until my fiancee and I go down to the courthouse and get married for health insurance... yay America!
Oh, and for those of you who said I must be feeling awful or drained with my sugars that high... nope. I feel fantastic, full of energy and focus ever since starting Janumet 7 days ago. On Metformin, yes, I had no energy. I felt a little better than I had for the entire month of June which prompted me to see the doctor in the first place and subsequently get diagnosed. Weird.
----------------------------
Apologies if this is a common question. I did search and found some related threads but nothing like what my question is.
I was diagnosed T2 back in July after visiting the doctor since I had been feeling like total crap for about a month. My fasting glucose was in the mid-350's then.  The previous year it was in the 80's so I have not been living with this undiagnosed for long.
Since then I've lost a lot of weight, am exercising and eating differently and have been on Metformin for 1 1/2 months (1000mg 2x daily). Daily sugars are consistently in the 400-480 range, no matter what or when I check them (early morning, mid morning, 1 hour after eating, 2 hours after eating, etc). Once they were in the high 300's but that was the only time. 
For the last 7 days my doctor switched me to Janumet (50/1000) and my sugars are still the same. When do I get worried and what can I do differently? Am I likely going to need to start insulin? Is this normal? How long is too long to wait for a medication to work and am I in danger of DKA or something similarly dangerous?
The shock of getting diagnosed was one thing and I'm slowly starting to deal with that, but having the medication do absolutely nothing for me is getting to be very frustrating.
One thing I should note, is that I am a software developer and I tend to work late, sometimes past midnight as I take a break in the early evening to hang out with my fiancee, and then work a little bit more before bed. Is it possible simply staying up late is affecting my sugars?</t>
        </is>
      </c>
      <c r="D2393" t="n">
        <v>4</v>
      </c>
      <c r="E2393" t="n">
        <v>15</v>
      </c>
      <c r="F2393">
        <f>HYPERLINK("https://www.reddit.com/r/diabetes/comments/51hf65/newly_diagnosed_t2_medications_having_little/")</f>
        <v/>
      </c>
      <c r="G2393" t="inlineStr">
        <is>
          <t>2016-09-06 13:56:48</t>
        </is>
      </c>
      <c r="H2393" t="inlineStr">
        <is>
          <t>Type 2</t>
        </is>
      </c>
    </row>
    <row r="2394">
      <c r="A2394" t="inlineStr">
        <is>
          <t>51j13m</t>
        </is>
      </c>
      <c r="B2394" t="inlineStr">
        <is>
          <t>T1 trying to transition from Lantus to Toujeo</t>
        </is>
      </c>
      <c r="C2394" t="inlineStr">
        <is>
          <t>I am a t1 diabetic for 29 years, and my numbers are typically fairly controlled.  Due to changes in insurange policies at the end of the year, and a few other logical reasons - my doctor and I decided it may be time to try to transition to a different long-acting insulin.  Unfortunately, 4 days in, the transition is less smooth than I would have hoped and I have been suffering from high blood sugars since I begin the change.  Does anyone have any experience with this transition? Any tips to help me get through this and regulate properly as quickly as possible?  It's so hard to function with the highs....</t>
        </is>
      </c>
      <c r="D2394" t="n">
        <v>1</v>
      </c>
      <c r="E2394" t="n">
        <v>14</v>
      </c>
      <c r="F2394">
        <f>HYPERLINK("https://www.reddit.com/r/diabetes/comments/51j13m/t1_trying_to_transition_from_lantus_to_toujeo/")</f>
        <v/>
      </c>
      <c r="G2394" t="inlineStr">
        <is>
          <t>2016-09-06 19:35:00</t>
        </is>
      </c>
      <c r="H2394" t="inlineStr">
        <is>
          <t>Type 1</t>
        </is>
      </c>
    </row>
    <row r="2395">
      <c r="A2395" t="inlineStr">
        <is>
          <t>51jbyn</t>
        </is>
      </c>
      <c r="B2395" t="inlineStr">
        <is>
          <t>Fighting a cold, giving insane amounts of insulin?!</t>
        </is>
      </c>
      <c r="C2395" t="inlineStr">
        <is>
          <t>I've been a T1 Diabetic since 2001, so i've had experience with this. But, it's NEVER been this bad. I usually don't have to adjust insulin amounts when i'm sick, but i'm at college and I got a cold. Numbers are CONSTANTLY running high, i've been injecting myself NONSTOP with more fast acting insulin than i'd see in 2 or 3 days and it's barely seeming to work. Is this normal? I know when you've got a cold your hormones are out of whack, but THIS badly?!</t>
        </is>
      </c>
      <c r="D2395" t="n">
        <v>1</v>
      </c>
      <c r="E2395" t="n">
        <v>3</v>
      </c>
      <c r="F2395">
        <f>HYPERLINK("https://www.reddit.com/r/diabetes/comments/51jbyn/fighting_a_cold_giving_insane_amounts_of_insulin/")</f>
        <v/>
      </c>
      <c r="G2395" t="inlineStr">
        <is>
          <t>2016-09-06 20:44:18</t>
        </is>
      </c>
      <c r="H2395" t="inlineStr">
        <is>
          <t>Type 1</t>
        </is>
      </c>
    </row>
    <row r="2396">
      <c r="A2396" t="inlineStr">
        <is>
          <t>51kcp9</t>
        </is>
      </c>
      <c r="B2396" t="inlineStr">
        <is>
          <t>S.O is looking for a diet.</t>
        </is>
      </c>
      <c r="C2396" t="inlineStr">
        <is>
          <t xml:space="preserve">Hey everyone, my wife is currently looking for a diet to start to lose about 20 pounds, we are already exercising a fair amount and just need to lock down the nutrition aspect. What type(s) of diets would you all recommend for her? She is T1 also. Thank you in advance! </t>
        </is>
      </c>
      <c r="D2396" t="n">
        <v>2</v>
      </c>
      <c r="E2396" t="n">
        <v>5</v>
      </c>
      <c r="F2396">
        <f>HYPERLINK("https://www.reddit.com/r/diabetes/comments/51kcp9/so_is_looking_for_a_diet/")</f>
        <v/>
      </c>
      <c r="G2396" t="inlineStr">
        <is>
          <t>2016-09-07 02:02:35</t>
        </is>
      </c>
      <c r="H2396" t="inlineStr">
        <is>
          <t>Type 1</t>
        </is>
      </c>
    </row>
    <row r="2397">
      <c r="A2397" t="inlineStr">
        <is>
          <t>51ljdu</t>
        </is>
      </c>
      <c r="B2397" t="inlineStr">
        <is>
          <t>Going to NYC need insulin.</t>
        </is>
      </c>
      <c r="C2397" t="inlineStr">
        <is>
          <t>Going to new York city for the first time and my bottle of insulin broke. I've got enough to last me until tomorrow. Is there a way I can buy some insulin or borrow some or something? I just turned 18 and am clueless on how to buy it. Anything helps. I'm a type 1 diabetic and I would need novolog insulin. 
Thanks, 
Eric</t>
        </is>
      </c>
      <c r="D2397" t="n">
        <v>5</v>
      </c>
      <c r="E2397" t="n">
        <v>9</v>
      </c>
      <c r="F2397">
        <f>HYPERLINK("https://www.reddit.com/r/diabetes/comments/51ljdu/going_to_nyc_need_insulin/")</f>
        <v/>
      </c>
      <c r="G2397" t="inlineStr">
        <is>
          <t>2016-09-07 07:33:28</t>
        </is>
      </c>
      <c r="H2397" t="inlineStr">
        <is>
          <t>Type 1</t>
        </is>
      </c>
    </row>
    <row r="2398">
      <c r="A2398" t="inlineStr">
        <is>
          <t>51ltws</t>
        </is>
      </c>
      <c r="B2398" t="inlineStr">
        <is>
          <t>Switching between Humalog/Novolog?</t>
        </is>
      </c>
      <c r="C2398" t="inlineStr">
        <is>
          <t>Has anyone switched between the two? I went from Novolog to Humalog back in 2013 and I had some physical effects... hair loss, lows and the feelings associated with them. It took a few weeks for me to get accustomed to it. My insurance decided to no longer cover Humalog and my doctor says they can't authorize a prescription for Humalog unless there's a major difference documented. Unfortunately I was at another endocrinologist back when I made the switch the first time so my current doctor doesn't know what I'm talking about with the physical effects.
I'm hesitant to make the switch because it took me a while to get adjusted and I have a lot going on right now and don't want to risk having sudden, or frequent, lows/highs as I adjust. My endo says that most people can switch just fine so I'm wondering if my experience was a one-off.
For reference, I'm on a pump so it'd be in vial form.
Thanks in advance!</t>
        </is>
      </c>
      <c r="D2398" t="n">
        <v>1</v>
      </c>
      <c r="E2398" t="n">
        <v>10</v>
      </c>
      <c r="F2398">
        <f>HYPERLINK("https://www.reddit.com/r/diabetes/comments/51ltws/switching_between_humalognovolog/")</f>
        <v/>
      </c>
      <c r="G2398" t="inlineStr">
        <is>
          <t>2016-09-07 08:31:12</t>
        </is>
      </c>
      <c r="H2398" t="inlineStr">
        <is>
          <t>Type 1</t>
        </is>
      </c>
    </row>
    <row r="2399">
      <c r="A2399" t="inlineStr">
        <is>
          <t>51lx3j</t>
        </is>
      </c>
      <c r="B2399" t="inlineStr">
        <is>
          <t>Anyone using mySugr app and able to graph activity data into the logbook with an android phone?</t>
        </is>
      </c>
      <c r="C2399" t="inlineStr">
        <is>
          <t>The iPhone does a really good job of graphing activity data into the mySugr logbook. I wondering if anybody is using an android phone and is able to do the same thing.</t>
        </is>
      </c>
      <c r="D2399" t="n">
        <v>1</v>
      </c>
      <c r="E2399" t="n">
        <v>2</v>
      </c>
      <c r="F2399">
        <f>HYPERLINK("https://www.reddit.com/r/diabetes/comments/51lx3j/anyone_using_mysugr_app_and_able_to_graph/")</f>
        <v/>
      </c>
      <c r="G2399" t="inlineStr">
        <is>
          <t>2016-09-07 08:49:00</t>
        </is>
      </c>
      <c r="H2399" t="inlineStr">
        <is>
          <t>Type 1</t>
        </is>
      </c>
    </row>
    <row r="2400">
      <c r="A2400" t="inlineStr">
        <is>
          <t>51mfhx</t>
        </is>
      </c>
      <c r="B2400" t="inlineStr">
        <is>
          <t>Attended a CGM training session &amp;amp; a T2D there said something really dumb</t>
        </is>
      </c>
      <c r="C2400" t="inlineStr">
        <is>
          <t>I just ordered my first Dexcom CGM, and the rep told me about an awesome training session where you can trial a Dexcom. If you purchase one sensor, the Dexcom rep will lend you a transmitter and receiver for 7 days, so you can try it all out before you buy. Since the CGM is covered by my insurance, I just went ahead and ordered it. I went to the training session to learn more about the CGM, and to have the nurse show me how to put it on. It was really great and informative! Plus I met a woman around my age, who was diagnosed around the same age as I was as a kid. Hopefully she'll be a new dia-buddy! Have had the CGM now since 7 pm last night, and I'm already in love. It woke me up last night for a low, and I had another when I got to work this morning.
All of that said, there was something super frustrating that a man at the session said. He's a T2D, and I'm guessing newly diagnosed, because he had a lot of questions, about treatment and the CGM in general. I'm guessing his doctor told him to go get a CGM, so he did it, without really understanding what it's for.
So the nurse (who's also a T1D, and wears a CGM and pump) is showing us examples of trend graphs. She shows one where the person keeps going high after dinner, and asks us what the person should do to treat. I say take more insulin, someone else says exercise, a third person says eat less, or eat less carbs. The nurse goes to move on, but the T2D guy is confused. He says, "Should I take a Metformin?"
Nurse: "No, you would take more fast-acting insulin. Do you take fast-acting insulin?"
T2D guy: "No, I only take Metformin and long-acting."
Nurse: "Maybe you should talk to your doctor about that. We can discuss it more after the session..."
T2D guy: "Oh, I don't have time for that!!"
(As in, 'I don't have time to take insulin... like the other 9 type one diabetics in the room!!!!!!!!!!!!')
I was so freaking mad, I wanted to scream. When someone who has T2D doesn't even understand what it's like to be T1D and what it means, what hope do we have in the world?!?! When I left the session, I was fuming, and really wanted to vent to someone. You guys are really the only ones who would truly understand. I'm not trying to rag on T2D, or pit one kind against the other, I just wish the dude had thought before he spoke, or read the room a little better. It makes me sad that someone who has T2D is a bit ignorant, and then it doesn't surprise me when society constantly confuses T1 and T2, who says dumb stuff. Sorry for how long this is, I just had to share and hope some people will understand my rage.
TL:DR: A type 2 diabetic at a training session basically said, "I don't have time to take insulin!" while in a room full of type 1 diabetics. It was a really stupid thing to say.</t>
        </is>
      </c>
      <c r="D2400" t="n">
        <v>0</v>
      </c>
      <c r="E2400" t="n">
        <v>16</v>
      </c>
      <c r="F2400">
        <f>HYPERLINK("https://www.reddit.com/r/diabetes/comments/51mfhx/attended_a_cgm_training_session_a_t2d_there_said/")</f>
        <v/>
      </c>
      <c r="G2400" t="inlineStr">
        <is>
          <t>2016-09-07 10:27:27</t>
        </is>
      </c>
      <c r="H2400" t="inlineStr">
        <is>
          <t>Type 1</t>
        </is>
      </c>
    </row>
    <row r="2401">
      <c r="A2401" t="inlineStr">
        <is>
          <t>51mmuc</t>
        </is>
      </c>
      <c r="B2401" t="inlineStr">
        <is>
          <t>How do you deal with stress?</t>
        </is>
      </c>
      <c r="C2401" t="inlineStr">
        <is>
          <t xml:space="preserve">I have been diabetic for a few years.  I've been trying to fix my diet recently, going less carb  and dropping sugar soda.   I found a replacement for the soda (un sweet tea), but when I'm stressed, I stress eat.  I know I do it, but can't seem to stop when I'm stressed.  I'm very overweight, even though I've lost 100 lbs in the last few years.  Exercise is painful, at least walking and stuff.  I have an Endo appt in the next few weeks and that is stressing me too, since I can't seem to get control of myself.  </t>
        </is>
      </c>
      <c r="D2401" t="n">
        <v>1</v>
      </c>
      <c r="E2401" t="n">
        <v>6</v>
      </c>
      <c r="F2401">
        <f>HYPERLINK("https://www.reddit.com/r/diabetes/comments/51mmuc/how_do_you_deal_with_stress/")</f>
        <v/>
      </c>
      <c r="G2401" t="inlineStr">
        <is>
          <t>2016-09-07 11:07:07</t>
        </is>
      </c>
      <c r="H2401" t="inlineStr">
        <is>
          <t>Type 2</t>
        </is>
      </c>
    </row>
    <row r="2402">
      <c r="A2402" t="inlineStr">
        <is>
          <t>51nt1r</t>
        </is>
      </c>
      <c r="B2402" t="inlineStr">
        <is>
          <t>Have you dealt with fungus?</t>
        </is>
      </c>
      <c r="C2402" t="inlineStr">
        <is>
          <t xml:space="preserve">My T1 SO is covered in fungus, and he was told that this was common in diabetics. We put the cream that his doctor recommended on him daily **BUT WE CAN NEVER GET RID OF IT.**  He's been dealing with it for years, and we've been really vigilant with the cream for months. 
Have you successfully battled fungus? What did you do? </t>
        </is>
      </c>
      <c r="D2402" t="n">
        <v>1</v>
      </c>
      <c r="E2402" t="n">
        <v>20</v>
      </c>
      <c r="F2402">
        <f>HYPERLINK("https://www.reddit.com/r/diabetes/comments/51nt1r/have_you_dealt_with_fungus/")</f>
        <v/>
      </c>
      <c r="G2402" t="inlineStr">
        <is>
          <t>2016-09-07 14:50:39</t>
        </is>
      </c>
      <c r="H2402" t="inlineStr">
        <is>
          <t>Type 1</t>
        </is>
      </c>
    </row>
    <row r="2403">
      <c r="A2403" t="inlineStr">
        <is>
          <t>51pv6k</t>
        </is>
      </c>
      <c r="B2403" t="inlineStr">
        <is>
          <t>Anyone with lipodystrophy?</t>
        </is>
      </c>
      <c r="C2403" t="inlineStr">
        <is>
          <t>So I had pretty bad lipohypertrophy in my belly after 20 years of shots.  A year ago I switched to a pump and havent touched my stomach since.  Some of the scars and lumps were receding. All good.  Today I was changing for bed and noticed that between this morning and this evening I got a dent in my belly.  I'm not thin, and besides the scars have a layer of ol fashioned fat all around so this random dent with no fat at all is super pronounced and odd.  Has anyone experienced pitting or lipodystrophy after excluding a badly affected area where you took shots before? I haven't touched my stomach in a year and never had pitting before... I'm going to see a doctor but... Anyone ever have this before?</t>
        </is>
      </c>
      <c r="D2403" t="n">
        <v>3</v>
      </c>
      <c r="E2403" t="n">
        <v>3</v>
      </c>
      <c r="F2403">
        <f>HYPERLINK("https://www.reddit.com/r/diabetes/comments/51pv6k/anyone_with_lipodystrophy/")</f>
        <v/>
      </c>
      <c r="G2403" t="inlineStr">
        <is>
          <t>2016-09-07 22:53:30</t>
        </is>
      </c>
      <c r="H2403" t="inlineStr">
        <is>
          <t>Type 1</t>
        </is>
      </c>
    </row>
    <row r="2404">
      <c r="A2404" t="inlineStr">
        <is>
          <t>51re4f</t>
        </is>
      </c>
      <c r="B2404" t="inlineStr">
        <is>
          <t>Are there any negative side-effects of using Fast acting insulin to counter sugar intake?</t>
        </is>
      </c>
      <c r="C2404" t="inlineStr">
        <is>
          <t>I've been off NovoRapid for about 6 years after many many ridiculous conversations with my let down doctors who took it off on my request because they were prescribing too much and it was going to waste, I've finally been able to get it prescribed again.
I've tried searching the net and using my own common sense to find out whether using a fast acting insulin just after say, a chocolate bar, Popcorn, an energy drink would have negative side effects?
What I mean by that is. If I'm automatically counter acting a high influx of sugar into my body (I have a very high tolerance for sugar as it is, and I've been T1 for 13 years) am I encouraging complications despite removing the sugar?
I'm wondering whether it would be similar to getting drunk and drinking two pints of water before bed to counter the hangover, taking sleeping tablets to cope with insomnia or having an energy drink to stay awake. Although it sorts out your immediate issue it can have some irritating side effects and I'm curious as to whether that's the same case with fast acting insulin.
Any advice appreciated, thanks!</t>
        </is>
      </c>
      <c r="D2404" t="n">
        <v>0</v>
      </c>
      <c r="E2404" t="n">
        <v>13</v>
      </c>
      <c r="F2404">
        <f>HYPERLINK("https://www.reddit.com/r/diabetes/comments/51re4f/are_there_any_negative_sideeffects_of_using_fast/")</f>
        <v/>
      </c>
      <c r="G2404" t="inlineStr">
        <is>
          <t>2016-09-08 06:51:48</t>
        </is>
      </c>
      <c r="H2404" t="inlineStr">
        <is>
          <t>Type 1</t>
        </is>
      </c>
    </row>
    <row r="2405">
      <c r="A2405" t="inlineStr">
        <is>
          <t>51rpmw</t>
        </is>
      </c>
      <c r="B2405" t="inlineStr">
        <is>
          <t>Heading off for fresher's week in a few days, any advice?</t>
        </is>
      </c>
      <c r="C2405" t="inlineStr">
        <is>
          <t>Obviously I have been told to be careful with drinking and make sure I eat afterwards. I have been recently diagnosed so don't know my limits with alcohol and diabetes. I really want to have a good time, but understand I'm putting myself at risk by getting drunk.</t>
        </is>
      </c>
      <c r="D2405" t="n">
        <v>1</v>
      </c>
      <c r="E2405" t="n">
        <v>11</v>
      </c>
      <c r="F2405">
        <f>HYPERLINK("https://www.reddit.com/r/diabetes/comments/51rpmw/heading_off_for_freshers_week_in_a_few_days_any/")</f>
        <v/>
      </c>
      <c r="G2405" t="inlineStr">
        <is>
          <t>2016-09-08 07:59:06</t>
        </is>
      </c>
      <c r="H2405" t="inlineStr">
        <is>
          <t>Type 1</t>
        </is>
      </c>
    </row>
    <row r="2406">
      <c r="A2406" t="inlineStr">
        <is>
          <t>51th5m</t>
        </is>
      </c>
      <c r="B2406" t="inlineStr">
        <is>
          <t>Appalachian Trail Next week as a type 2</t>
        </is>
      </c>
      <c r="C2406" t="inlineStr">
        <is>
          <t>Hey gents, so im a type 2 diabetic and im going to go and hike the Appalachian Trail next week, not taking any medication at all and going to see how things go. Super stoked, this is kind of my final Test to being healthy and trying to live a good lifestyle.
Going to start in Front Royal Virginia and hike North to Maine then take a bus back to Front Royal and then hike the south half during the colder months.
I dont plan on taking anything with me, and im going to Keto it the entire way. I dont test my blood sugar often anymore maybe once every other week and ive been debating weather or not to take a meter and pen with me but haven't quite decided yet. In civilization its not a big deal because 1 phone call and I can go to a hospital but this is a little bit different. 
Anyways, I wanted to tell everyone and I think im going to write about it and do video posts along the way for the community and kinda just talk to people. 
Before I go though, I would love any advice people have to offer that is contructive, such as easy thing to pack and eat ideas of where to go, things to bring etc etc. Ive got exactly 7 days before my journy begins and flew out from Seattle to DC yesterday. 
I am super excited though and this is one of the top things on my bucket list \o/
Anyways, much love gents advice/support/friendly comments are all greatly appreciated, I want to prove to myself that I can live a good life and not let sickness beat me and I know its kinda crazy but this is my ultimate test/joy lol. 
TTFN.
Ps, I have a medical emergency EPIRB in my bag just in case.</t>
        </is>
      </c>
      <c r="D2406" t="n">
        <v>3</v>
      </c>
      <c r="E2406" t="n">
        <v>11</v>
      </c>
      <c r="F2406">
        <f>HYPERLINK("https://www.reddit.com/r/diabetes/comments/51th5m/appalachian_trail_next_week_as_a_type_2/")</f>
        <v/>
      </c>
      <c r="G2406" t="inlineStr">
        <is>
          <t>2016-09-08 13:37:56</t>
        </is>
      </c>
      <c r="H2406" t="inlineStr">
        <is>
          <t>Type 2</t>
        </is>
      </c>
    </row>
    <row r="2407">
      <c r="A2407" t="inlineStr">
        <is>
          <t>51ui8a</t>
        </is>
      </c>
      <c r="B2407" t="inlineStr">
        <is>
          <t>Low blood unsure which type Diabetes</t>
        </is>
      </c>
      <c r="C2407" t="inlineStr">
        <is>
          <t>Hey, guys, I'll just get to it. From the UK, so thankfully all out stuff is free but with the strain on the NHS, I can't have that peptide test to see if I got Type 1 or 2 but my doctor is certain that is 2. Maybe I should ask now since it's been a while I guess.
Q1) I rarely ever get high, A1C is at 6 now due to extreme adjustment to a much much healthier diet, however, I now get hypos pretty frequently. Why would I get hypos? I take metformin 500g but only when I am eating more sugary stuff like lots of bread etc... It seems I'm producing too much insulin all the time nearly. But it does stabilise if I wait out low sugar symptoms. I didn't think this was a symptom of any type of diabetes.
Q2) When I go to even like 6 or 7, I need to pee a lot, even though happens like 1 time a fortnight is it destructive to my kidneys? I know overall my control is pretty good but when I pee like this I know its a bit higher but is the damage really bad?</t>
        </is>
      </c>
      <c r="D2407" t="n">
        <v>2</v>
      </c>
      <c r="E2407" t="n">
        <v>4</v>
      </c>
      <c r="F2407">
        <f>HYPERLINK("https://www.reddit.com/r/diabetes/comments/51ui8a/low_blood_unsure_which_type_diabetes/")</f>
        <v/>
      </c>
      <c r="G2407" t="inlineStr">
        <is>
          <t>2016-09-08 17:10:00</t>
        </is>
      </c>
      <c r="H2407" t="inlineStr">
        <is>
          <t>Type 2</t>
        </is>
      </c>
    </row>
    <row r="2408">
      <c r="A2408" t="inlineStr">
        <is>
          <t>51xe4a</t>
        </is>
      </c>
      <c r="B2408" t="inlineStr">
        <is>
          <t>My mother's blood sugar is always jumping to 150-190 and I don't know why... (Type 2)</t>
        </is>
      </c>
      <c r="C2408" t="inlineStr">
        <is>
          <t xml:space="preserve">My mother has Type 2 diabetes. She didn't manage it well and eventually had 3 consecutive strokes within 2 weeks. She's out of the hospital now. 
We're currently checking her blood sugar every day before a big meal. She is taking Metformin 850mg twice daily, one at 9am and one at 5pm. In the mornings, her blood sugar is between 90-110. But then before lunch and before dinner, her blood sugar gets elevated to alarming levels. 
Take yesterday for an example. At 9am, her sugar was 107. Before lunch was 140. Before dinner was 187. 
My doctor told me to call him if her blood sugar is 200 or higher and nearing 190 is too high for my comfort level. But I just don't know why her blood sugar is spiking so damn fast. She's not eating a lot of rice (we're Asian so we can eat a lot of rice), more veggies and just a tad bit of protein. Honestly, I'm running out of ideas of what to feed her. 
Can anyone help or clarify some things for me? Thanks!
</t>
        </is>
      </c>
      <c r="D2408" t="n">
        <v>4</v>
      </c>
      <c r="E2408" t="n">
        <v>13</v>
      </c>
      <c r="F2408">
        <f>HYPERLINK("https://www.reddit.com/r/diabetes/comments/51xe4a/my_mothers_blood_sugar_is_always_jumping_to/")</f>
        <v/>
      </c>
      <c r="G2408" t="inlineStr">
        <is>
          <t>2016-09-09 06:31:21</t>
        </is>
      </c>
      <c r="H2408" t="inlineStr">
        <is>
          <t>Type 2</t>
        </is>
      </c>
    </row>
    <row r="2409">
      <c r="A2409" t="inlineStr">
        <is>
          <t>51xkpd</t>
        </is>
      </c>
      <c r="B2409" t="inlineStr">
        <is>
          <t>Can we give blood?</t>
        </is>
      </c>
      <c r="C2409" t="inlineStr">
        <is>
          <t>This might be a dumb question, but my company is having a blood drive next week and seeing as I am no longer afraid of blood or needles I would like to donate.</t>
        </is>
      </c>
      <c r="D2409" t="n">
        <v>5</v>
      </c>
      <c r="E2409" t="n">
        <v>20</v>
      </c>
      <c r="F2409">
        <f>HYPERLINK("https://www.reddit.com/r/diabetes/comments/51xkpd/can_we_give_blood/")</f>
        <v/>
      </c>
      <c r="G2409" t="inlineStr">
        <is>
          <t>2016-09-09 07:09:31</t>
        </is>
      </c>
      <c r="H2409" t="inlineStr">
        <is>
          <t>Type 1</t>
        </is>
      </c>
    </row>
    <row r="2410">
      <c r="A2410" t="inlineStr">
        <is>
          <t>52bu57</t>
        </is>
      </c>
      <c r="B2410" t="inlineStr">
        <is>
          <t>G5 to switch to 670G? poll on beyondtype1 if you are interested</t>
        </is>
      </c>
      <c r="C2410" t="inlineStr">
        <is>
          <t xml:space="preserve">https://community.beyondtype1.org/posts/905592
</t>
        </is>
      </c>
      <c r="D2410" t="n">
        <v>0</v>
      </c>
      <c r="E2410" t="n">
        <v>0</v>
      </c>
      <c r="F2410">
        <f>HYPERLINK("https://www.reddit.com/r/diabetes/comments/52bu57/g5_to_switch_to_670g_poll_on_beyondtype1_if_you/")</f>
        <v/>
      </c>
      <c r="G2410" t="inlineStr">
        <is>
          <t>2016-09-11 18:16:30</t>
        </is>
      </c>
      <c r="H2410" t="inlineStr">
        <is>
          <t>Type 1</t>
        </is>
      </c>
    </row>
    <row r="2411">
      <c r="A2411" t="inlineStr">
        <is>
          <t>52cqq4</t>
        </is>
      </c>
      <c r="B2411" t="inlineStr">
        <is>
          <t>Feel like giving up</t>
        </is>
      </c>
      <c r="C2411" t="inlineStr">
        <is>
          <t>I was diagnosed Type I three months ago and have been trying in vain to control my sugars. I am so discouraged because I frequently have sugars in excess of 150-200 and I know I'm doing permanent damage. I try to increase my insulin and end up with hypos of 40 or 50. All I can think about is neuropathy, blindness, kidney failure, etc etc. I came very close to intentionally overdosing on my Novolog today. I hate this shit and I'm ready to end it.</t>
        </is>
      </c>
      <c r="D2411" t="n">
        <v>15</v>
      </c>
      <c r="E2411" t="n">
        <v>19</v>
      </c>
      <c r="F2411">
        <f>HYPERLINK("https://www.reddit.com/r/diabetes/comments/52cqq4/feel_like_giving_up/")</f>
        <v/>
      </c>
      <c r="G2411" t="inlineStr">
        <is>
          <t>2016-09-11 22:01:48</t>
        </is>
      </c>
      <c r="H2411" t="inlineStr">
        <is>
          <t>Type 1</t>
        </is>
      </c>
    </row>
    <row r="2412">
      <c r="A2412" t="inlineStr">
        <is>
          <t>52f5kq</t>
        </is>
      </c>
      <c r="B2412" t="inlineStr">
        <is>
          <t>Tips for Omnipod Scars?</t>
        </is>
      </c>
      <c r="C2412" t="inlineStr">
        <is>
          <t>Hey everyone! 24 y/o female dx'd with type 1 diabetes/Hashimoto's in 2014 who recently (January 2016) switched from MDI to an Omnipod insulin pump. I've been wearing my pods on the backs of my arms, making sure to rotate sites, but have amassed quite an unsightly collection of scars from my pump sites. I know they'll fade within half of a year/a full year, but I'm a light-skinned black woman so scarring from acne or cuts is pretty noticeable with my skin tone. I really dislike wearing my pump anywhere other than my arms and as horrible as it sounds, am too vein to start building up a bunch of scars on my stomach and thighs. Any tips are seriously appreciated!</t>
        </is>
      </c>
      <c r="D2412" t="n">
        <v>4</v>
      </c>
      <c r="E2412" t="n">
        <v>13</v>
      </c>
      <c r="F2412">
        <f>HYPERLINK("https://www.reddit.com/r/diabetes/comments/52f5kq/tips_for_omnipod_scars/")</f>
        <v/>
      </c>
      <c r="G2412" t="inlineStr">
        <is>
          <t>2016-09-12 09:19:13</t>
        </is>
      </c>
      <c r="H2412" t="inlineStr">
        <is>
          <t>Type 1</t>
        </is>
      </c>
    </row>
    <row r="2413">
      <c r="A2413" t="inlineStr">
        <is>
          <t>52jmcr</t>
        </is>
      </c>
      <c r="B2413" t="inlineStr">
        <is>
          <t>So..I just got diagnosed with Type 1 and my parents are freaking out -.-</t>
        </is>
      </c>
      <c r="C2413" t="inlineStr">
        <is>
          <t xml:space="preserve">Made a new account for this so certain people don't find it...
I'm 13 and last week I got diagnosed with Type 1 and I'm basically ok with it like testing my blood and doing injections but my parents are being really obsessive about it like asking me about my blood sugar literally every half an hour, bringing up loads of depressing facts about it. 
My mum went into school and told all my teachers about it and shes even telling my friends parents about it -.-
I know they are trying to care about me and stuff but at the moment they are just making me feel bad about being diabetic because it's all they are talking to me about and I feel kinda guilty that it's making them stressed...I keep telling them to calm down and that I'm fine but they keep going on about it, My mum even said the other day that shes scared to leave me alone when she goes out now.
Sorry for the big long rant, I just wanted to see if this happened to anyone else and I want to know how to make them understand.
**EDIT** Thanks for the replys and advice from everyone it helps a lot, I'm going to talk to my parents later and maybe show them this thread </t>
        </is>
      </c>
      <c r="D2413" t="n">
        <v>62</v>
      </c>
      <c r="E2413" t="n">
        <v>88</v>
      </c>
      <c r="F2413">
        <f>HYPERLINK("https://www.reddit.com/r/diabetes/comments/52jmcr/soi_just_got_diagnosed_with_type_1_and_my_parents/")</f>
        <v/>
      </c>
      <c r="G2413" t="inlineStr">
        <is>
          <t>2016-09-13 02:39:09</t>
        </is>
      </c>
      <c r="H2413" t="inlineStr">
        <is>
          <t>Type 1</t>
        </is>
      </c>
    </row>
    <row r="2414">
      <c r="A2414" t="inlineStr">
        <is>
          <t>52mj70</t>
        </is>
      </c>
      <c r="B2414" t="inlineStr">
        <is>
          <t>Finding a New Endocrinologist/Doctor Toronto?</t>
        </is>
      </c>
      <c r="C2414" t="inlineStr">
        <is>
          <t>I'm a type 1 diabetic in Toronto. I'm wondering if anyone knows the process for finding a new doctor/endo.
My current one is great however I'm stuck going to these clinic days at the hospital with no flexible times and I can only see him a few times a year (not enough in my opinion). 
Does anyone know if there's an alternative, either by finding a different endo or doctor?</t>
        </is>
      </c>
      <c r="D2414" t="n">
        <v>5</v>
      </c>
      <c r="E2414" t="n">
        <v>4</v>
      </c>
      <c r="F2414">
        <f>HYPERLINK("https://www.reddit.com/r/diabetes/comments/52mj70/finding_a_new_endocrinologistdoctor_toronto/")</f>
        <v/>
      </c>
      <c r="G2414" t="inlineStr">
        <is>
          <t>2016-09-13 12:56:12</t>
        </is>
      </c>
      <c r="H2414" t="inlineStr">
        <is>
          <t>Type 1</t>
        </is>
      </c>
    </row>
    <row r="2415">
      <c r="A2415" t="inlineStr">
        <is>
          <t>52rgt1</t>
        </is>
      </c>
      <c r="B2415" t="inlineStr">
        <is>
          <t>Just venting over a bad couple days</t>
        </is>
      </c>
      <c r="C2415" t="inlineStr">
        <is>
          <t>Every few weeks it seems my dawn phenomenon changes up and I have to recalibrate my overnight basals. After the latest round of "why am I at 170 in the middle of the night again?" and finally solving for THAT, I've started spiking to 250 with my first meal of the day. Doesn't matter if I eat at 9 AM, or 11 AM, or if I eat a piece of cheese, or a loaf of bread, if I take no insulin or all the insulin, I'm gonna hit 250 and I'm going to stay there until about 5 in the evening.  Then dinner. Then, somewhere an hour after dinner I hit 40 and stay there for a while. Doesn't matter if dinner was cucumbers, or pasta, or a bun-less burger or half a jug of juice; doesn't even matter if I turn off my pump for an hour, which I tried last night when I saw it starting to fall. I'm going to stay at 40 for a couple hours. Then back up to 250.  Then back to normal some time around 1 AM where I remain flat and wonderful, and normal....until I decide to eat again the next day. Three days of this. Last night I didn't actually come down from the evening spike, but my CGMS crapped out while I was asleep so didn't realize I was high all night. Woke up at 280, it fell down to 170, so I thought it was heading back on track but now I'm at 223, I've taken a TON of insulin...I give up.  Tonight I'm taking a xanax because when my sugars are this insulin resistant it's usually stress related and xanax stops the madness, but I hate that that's the solution.  Why can't shit be normal?!</t>
        </is>
      </c>
      <c r="D2415" t="n">
        <v>1</v>
      </c>
      <c r="E2415" t="n">
        <v>10</v>
      </c>
      <c r="F2415">
        <f>HYPERLINK("https://www.reddit.com/r/diabetes/comments/52rgt1/just_venting_over_a_bad_couple_days/")</f>
        <v/>
      </c>
      <c r="G2415" t="inlineStr">
        <is>
          <t>2016-09-14 09:56:54</t>
        </is>
      </c>
      <c r="H2415" t="inlineStr">
        <is>
          <t>Type 1</t>
        </is>
      </c>
    </row>
    <row r="2416">
      <c r="A2416" t="inlineStr">
        <is>
          <t>52tfyu</t>
        </is>
      </c>
      <c r="B2416" t="inlineStr">
        <is>
          <t>Anyone with T1 without antibodies</t>
        </is>
      </c>
      <c r="C2416" t="inlineStr">
        <is>
          <t>My son was diagnosed as T1 when he fell into a DKA induced coma 2 years ago. They tested him at the time and found no antibodies, subsequent testing still has shown no antibodies. He was also tested for MODY, which also came back negative.
The doctors have assured us that he definitely is type 1 and that he is just one of the small number that don't have antibodies.
We saw a new endo at his last appointment. The new doctor said that he believes that my son is still honeymooning (a1c 5.9, average blood sugar 126), his last endo believes that he was done with his honeymoon period. This doctor said that, in his experience, the patients with no antibodies tend to honeymoon much longer and maybe never stop.
I was curious as to the experience of other patients with no antibodies. Is this something that others have noticed?</t>
        </is>
      </c>
      <c r="D2416" t="n">
        <v>8</v>
      </c>
      <c r="E2416" t="n">
        <v>19</v>
      </c>
      <c r="F2416">
        <f>HYPERLINK("https://www.reddit.com/r/diabetes/comments/52tfyu/anyone_with_t1_without_antibodies/")</f>
        <v/>
      </c>
      <c r="G2416" t="inlineStr">
        <is>
          <t>2016-09-14 16:41:01</t>
        </is>
      </c>
      <c r="H2416" t="inlineStr">
        <is>
          <t>Type 1</t>
        </is>
      </c>
    </row>
    <row r="2417">
      <c r="A2417" t="inlineStr">
        <is>
          <t>52tovo</t>
        </is>
      </c>
      <c r="B2417" t="inlineStr">
        <is>
          <t>Professional soccer player, Taylor Twellman, talking about being diabetic and his tattoo.</t>
        </is>
      </c>
      <c r="C2417" t="inlineStr">
        <is>
          <t>Source: JDRF Facebook
http://espnfc.com/video/espnfc/video?id=2939577</t>
        </is>
      </c>
      <c r="D2417" t="n">
        <v>20</v>
      </c>
      <c r="E2417" t="n">
        <v>7</v>
      </c>
      <c r="F2417">
        <f>HYPERLINK("https://www.reddit.com/r/diabetes/comments/52tovo/professional_soccer_player_taylor_twellman/")</f>
        <v/>
      </c>
      <c r="G2417" t="inlineStr">
        <is>
          <t>2016-09-14 17:40:49</t>
        </is>
      </c>
      <c r="H2417" t="inlineStr">
        <is>
          <t>Type 1</t>
        </is>
      </c>
    </row>
    <row r="2418">
      <c r="A2418" t="inlineStr">
        <is>
          <t>52zakb</t>
        </is>
      </c>
      <c r="B2418" t="inlineStr">
        <is>
          <t>anyone using tanzeum?</t>
        </is>
      </c>
      <c r="C2418" t="inlineStr">
        <is>
          <t>What if one has been taking tandem for, say, 3 months, but 3 weeks ago he/she started getting reactions at the shot site. At first a few dots, and next a red rash the size of a quarter, and last, a big red spot, dark, slightly itchy and slightly bumpy. After 2 weeks it may be fading, but that might be seen as weird, yes? (re-edited to attempt to be in line with rule 2--a generic rule for all reddits, but perhaps in some reddits it should be allowed)</t>
        </is>
      </c>
      <c r="D2418" t="n">
        <v>3</v>
      </c>
      <c r="E2418" t="n">
        <v>4</v>
      </c>
      <c r="F2418">
        <f>HYPERLINK("https://www.reddit.com/r/diabetes/comments/52zakb/anyone_using_tanzeum/")</f>
        <v/>
      </c>
      <c r="G2418" t="inlineStr">
        <is>
          <t>2016-09-15 17:17:54</t>
        </is>
      </c>
      <c r="H2418" t="inlineStr">
        <is>
          <t>Type 2</t>
        </is>
      </c>
    </row>
    <row r="2419">
      <c r="A2419" t="inlineStr">
        <is>
          <t>531y8b</t>
        </is>
      </c>
      <c r="B2419" t="inlineStr">
        <is>
          <t>Omnipod expiration vs. Humalog expiration</t>
        </is>
      </c>
      <c r="C2419" t="inlineStr">
        <is>
          <t>Can anyone explain to me how my Humalog, when refrigerated, can stay good until 1/2019, but my Omnipods, which require no refrigeration ;), expires in only months?
What is it about the Omnipod that 'expires'...and do I really need to worry?</t>
        </is>
      </c>
      <c r="D2419" t="n">
        <v>2</v>
      </c>
      <c r="E2419" t="n">
        <v>8</v>
      </c>
      <c r="F2419">
        <f>HYPERLINK("https://www.reddit.com/r/diabetes/comments/531y8b/omnipod_expiration_vs_humalog_expiration/")</f>
        <v/>
      </c>
      <c r="G2419" t="inlineStr">
        <is>
          <t>2016-09-16 06:44:21</t>
        </is>
      </c>
      <c r="H2419" t="inlineStr">
        <is>
          <t>Type 1</t>
        </is>
      </c>
    </row>
    <row r="2420">
      <c r="A2420" t="inlineStr">
        <is>
          <t>535cln</t>
        </is>
      </c>
      <c r="B2420" t="inlineStr">
        <is>
          <t>Visit to Endo this afternoon - A1C down to 5.7%!!</t>
        </is>
      </c>
      <c r="C2420" t="inlineStr">
        <is>
          <t>12.8% at diagnosis in February (after DKA and 2 inches away from a coma). 7.2% in June, first follow up. Today, I was *hoping* I could get down to like a 6.5 but she walks into the room saying "EXCELLENT! You've gotten this down to 5.7%!!"
I'm not the type of person who can take a good bit of news without skepticism so I say "Thanks! But...I know I'm in my honeymoon period so this is likely to start getting harder, right?"
She then said something like "Listen, there's research that shows that if you maintain a healthy level of activity and exercise, you watch your diet AND test often, you can continue your honeymoon period for years. Also, don't think that one day you're going to wake up and all of a sudden will need 40 units of insulin for one cookie, the change happens gradually - be proud of your accomplishment and keep doing what you're doing!"
This made me feel excellent. I have learned so much by reading this sub. A sincere thanks to all of you who have answered my questions and contributed to some very insightful conversations here!
Now I'm off to doing my evening cardio exercises, but after that, I'm going to celebrate with 2 fingers of Whiskey and a couple of cookies!</t>
        </is>
      </c>
      <c r="D2420" t="n">
        <v>53</v>
      </c>
      <c r="E2420" t="n">
        <v>18</v>
      </c>
      <c r="F2420">
        <f>HYPERLINK("https://www.reddit.com/r/diabetes/comments/535cln/visit_to_endo_this_afternoon_a1c_down_to_57/")</f>
        <v/>
      </c>
      <c r="G2420" t="inlineStr">
        <is>
          <t>2016-09-16 19:06:12</t>
        </is>
      </c>
      <c r="H2420" t="inlineStr">
        <is>
          <t>Type 1.5/LADA</t>
        </is>
      </c>
    </row>
    <row r="2421">
      <c r="A2421" t="inlineStr">
        <is>
          <t>536xot</t>
        </is>
      </c>
      <c r="B2421" t="inlineStr">
        <is>
          <t>G5 Mobile Alerts on Apple Watch Won't Dismiss</t>
        </is>
      </c>
      <c r="C2421" t="inlineStr">
        <is>
          <t xml:space="preserve">My daughter has an original Apple Watch with an issue we were hoping would be fixed with the updates to iOS 10 and WatchOS3, but it wasn't.  Her watch is set to mirror the notifications on her iPhone.  When she gets an alert on her watch, she dismisses it.  However, it alerts again every five minutes even though we have the "snooze" set to 30 minutes for her low alerts and 45 minutes for her high alerts.
Unfortunately, Dexcom tech support has not been very helpful at all when it comes to the Apple Watch so far.  Has anyone here had this issue and/or recognize something we might be doing wrong?
ETA: We actually have ended up using the Follow app instead, and that works how you'd expect it to, truly mirroring the way the alerts work on the phone itself.  </t>
        </is>
      </c>
      <c r="D2421" t="n">
        <v>5</v>
      </c>
      <c r="E2421" t="n">
        <v>12</v>
      </c>
      <c r="F2421">
        <f>HYPERLINK("https://www.reddit.com/r/diabetes/comments/536xot/g5_mobile_alerts_on_apple_watch_wont_dismiss/")</f>
        <v/>
      </c>
      <c r="G2421" t="inlineStr">
        <is>
          <t>2016-09-17 04:59:30</t>
        </is>
      </c>
      <c r="H2421" t="inlineStr">
        <is>
          <t>Type 1</t>
        </is>
      </c>
    </row>
    <row r="2422">
      <c r="A2422" t="inlineStr">
        <is>
          <t>53jezv</t>
        </is>
      </c>
      <c r="B2422" t="inlineStr">
        <is>
          <t>New to Dexcom, and I'm consistently going high after lunch</t>
        </is>
      </c>
      <c r="C2422" t="inlineStr">
        <is>
          <t>I'm new to Dexcom and am worried about the big rise in my blood sugar I'm seeing, mostly after lunch (which is usually my most carb-filled meal of the day). I suspected that my sugars would swing up and down a lot during the day, but the Dexcom is now confirming it. I've now tried taking my insulin earlier and earlier, yet I still go high after meals.
Today at lunch, I waited almost one hour between testing, taking insulin, and then eating, and I still immediately went high. My CGM said I was about 6.0 mmol/L as I was eating, with an arrow pointed down, and now, two hours after my meal, I'm about 14.3, with an arrow to the right. Am I still not taking enough insulin? Is this normal to immediately go up after a meal? This thing is great for the information it gives, but I'm getting so frustrated by these swings in my blood sugar.</t>
        </is>
      </c>
      <c r="D2422" t="n">
        <v>1</v>
      </c>
      <c r="E2422" t="n">
        <v>12</v>
      </c>
      <c r="F2422">
        <f>HYPERLINK("https://www.reddit.com/r/diabetes/comments/53jezv/new_to_dexcom_and_im_consistently_going_high/")</f>
        <v/>
      </c>
      <c r="G2422" t="inlineStr">
        <is>
          <t>2016-09-19 12:47:11</t>
        </is>
      </c>
      <c r="H2422" t="inlineStr">
        <is>
          <t>Type 1</t>
        </is>
      </c>
    </row>
    <row r="2423">
      <c r="A2423" t="inlineStr">
        <is>
          <t>53klhn</t>
        </is>
      </c>
      <c r="B2423" t="inlineStr">
        <is>
          <t>Has anyone had experience with Humana covering 100% of Durable Medical equipment i.e., the Dexcom and/or omnipod?</t>
        </is>
      </c>
      <c r="C2423" t="inlineStr">
        <is>
          <t xml:space="preserve">I'm getting new insurance and thinking of choosing Humana. I've called twice now and they say it covers 100% of DME including Dex and pod. I feel like it just sounds too good to be true! Is this the Twilight zone? But I double checked and they say it is. Has anyone experienced this with Humana? </t>
        </is>
      </c>
      <c r="D2423" t="n">
        <v>4</v>
      </c>
      <c r="E2423" t="n">
        <v>10</v>
      </c>
      <c r="F2423">
        <f>HYPERLINK("https://www.reddit.com/r/diabetes/comments/53klhn/has_anyone_had_experience_with_humana_covering/")</f>
        <v/>
      </c>
      <c r="G2423" t="inlineStr">
        <is>
          <t>2016-09-19 16:52:51</t>
        </is>
      </c>
      <c r="H2423" t="inlineStr">
        <is>
          <t>Type 1</t>
        </is>
      </c>
    </row>
    <row r="2424">
      <c r="A2424" t="inlineStr">
        <is>
          <t>53nf3e</t>
        </is>
      </c>
      <c r="B2424" t="inlineStr">
        <is>
          <t>Any Diabetic Vegans?</t>
        </is>
      </c>
      <c r="C2424" t="inlineStr">
        <is>
          <t>Are there any diabetic vegas out there who do not take medication to control their bloodsugar? I went down from 410 to 240 and im still loosing but im doing it primarily by following a zero carb lifestyle, my concern is the foods that I eat are infinity better then before but I definitely need to shift my diet further to avoid future health complications. 
What I want to know is how the numbers look on a vegan lifestyle of someone who doesnt medicate. (no insulin or metformin etc etc)  and if its possible to control blood  sugar levels through diet and exercise when eating a diverse and healthy vegan diet. 
Any advice or information would be lovely.
-Q</t>
        </is>
      </c>
      <c r="D2424" t="n">
        <v>2</v>
      </c>
      <c r="E2424" t="n">
        <v>27</v>
      </c>
      <c r="F2424">
        <f>HYPERLINK("https://www.reddit.com/r/diabetes/comments/53nf3e/any_diabetic_vegans/")</f>
        <v/>
      </c>
      <c r="G2424" t="inlineStr">
        <is>
          <t>2016-09-20 06:46:24</t>
        </is>
      </c>
      <c r="H2424" t="inlineStr">
        <is>
          <t>Type 2</t>
        </is>
      </c>
    </row>
    <row r="2425">
      <c r="A2425" t="inlineStr">
        <is>
          <t>53p0ki</t>
        </is>
      </c>
      <c r="B2425" t="inlineStr">
        <is>
          <t>Medical ID Bracelet that doesn't look like a Dog Tag?</t>
        </is>
      </c>
      <c r="C2425" t="inlineStr">
        <is>
          <t>I thought this was interesting, especially if you're like me or my partner, and have had to wear an ID your entire life (context: i'm epileptic; she's T1D). I have the "The Star of Life" wallpaper on my Apple Watch because I don't want to be seen wearing a clunky ID in business related settings. Hopefully there's a men's line soon.
https://www.kickstarter.com/projects/1078964287/poppy-medical-id-bracelets</t>
        </is>
      </c>
      <c r="D2425" t="n">
        <v>7</v>
      </c>
      <c r="E2425" t="n">
        <v>5</v>
      </c>
      <c r="F2425">
        <f>HYPERLINK("https://www.reddit.com/r/diabetes/comments/53p0ki/medical_id_bracelet_that_doesnt_look_like_a_dog/")</f>
        <v/>
      </c>
      <c r="G2425" t="inlineStr">
        <is>
          <t>2016-09-20 12:04:41</t>
        </is>
      </c>
      <c r="H2425" t="inlineStr">
        <is>
          <t>Type 1</t>
        </is>
      </c>
    </row>
    <row r="2426">
      <c r="A2426" t="inlineStr">
        <is>
          <t>53qsih</t>
        </is>
      </c>
      <c r="B2426" t="inlineStr">
        <is>
          <t>New and Confused</t>
        </is>
      </c>
      <c r="C2426" t="inlineStr">
        <is>
          <t>Hey everyone, I am newly diagnosed T2, a1c 8, hypothyroid. For years when I complained to my dr. of tiredness, rotten sleep, inability to lose weight I got back, well, exercise more with looks that clearly said they did not believe I was even trying. Finally in 2012, after further symptoms I got diagnosed Hypothyroid. All well and good but still didn't solve the problems and they would only raise my Levo slowly because I was just inside the low-normal range. Still getting looks that said "I think you are in denial about how much you eat". 
In Feb this year I went on a strict 1200 cal a day diet, logged every bloody thing I put in my mouth (even my 85% dark chocolate cheats) and the afternoon coffee. Stayed on it three months, lost 1, yes that is right ONE, pound. So I quit being so zealous about it. In June, I got my usual bloodwork done and it came back as prediabetic, he said, you have got to lose some weight and my cholesterol levels were way out so go low fat. Grrr, I had done that for three bloody months already with no results.
August bloodwork came back with yet more wonky cholesterol levels, low normal thyroid and you guessed it, a1c of 8, putting me firmly in the diabetic club.  Dr added metformin (500 2xday) and B12(1000 mcg 1xday) to my 15 other daily pills. 
I spent the next week not eating much of anything, and reading reading reading (thanks alan_s for the sites). I think I have the gist of it now and it seems I have pretty sincere dawn phenomenon (up to 162 a couple of hours after I get up with no intake) that I need to learn to deal with.  I have gone LCHF but really worry about the cholesterol connections because mine are high in the wrong things and low in the right things and there is a pretty nasty family history of cvd.  How do I reconcile the two?
Thanks for all of the help y'all have given me already and I am sincerely impressed with the level of interaction on this sub. Everyone seems to try their best to be as helpful and supportive as they can be. I hope to become one of you!!
TL/DR Sorry quihgon, new to this, my very first post ever.  Long and tall:  Diabetic (a1c of 8), hypothryroid (low normal even with treatment), overweight despite sincere dieting, bad lipid numbers, family history of heart disease, dawn phenomenon, want to try lchf diet.</t>
        </is>
      </c>
      <c r="D2426" t="n">
        <v>3</v>
      </c>
      <c r="E2426" t="n">
        <v>7</v>
      </c>
      <c r="F2426">
        <f>HYPERLINK("https://www.reddit.com/r/diabetes/comments/53qsih/new_and_confused/")</f>
        <v/>
      </c>
      <c r="G2426" t="inlineStr">
        <is>
          <t>2016-09-20 18:25:18</t>
        </is>
      </c>
      <c r="H2426" t="inlineStr">
        <is>
          <t>Type 2</t>
        </is>
      </c>
    </row>
    <row r="2427">
      <c r="A2427" t="inlineStr">
        <is>
          <t>53rx7t</t>
        </is>
      </c>
      <c r="B2427" t="inlineStr">
        <is>
          <t>Why do Endos Suck?</t>
        </is>
      </c>
      <c r="C2427" t="inlineStr">
        <is>
          <t>So I've been a T1 diabetic for 24 years, ever sine I was 2. My childhood endo was a sweet little old woman who was sympathetic and kind and always well informed. Unfortunately, I grew up and had to move on. Now I've been through 8 endos and they all suck. 5 couldn't remember if I was T1 o T2. All of them have expected me to change my schedule when I literally can't afford to. They all are pushing an insulin pump even when I can't afford one. Visiting one of these joy vampires is stressful enough to put me out for the  rest of the day. If there was any way to avoid having to deal with these useless jerks, I'd take it, but no, they hold your life saving medicine hostage like an angry grandma if you don't visit them.
Has ANYONE had an endo that they liked? Or at least one that just let them do their thing instead of going full My Fair Lady on your regiment?</t>
        </is>
      </c>
      <c r="D2427" t="n">
        <v>35</v>
      </c>
      <c r="E2427" t="n">
        <v>62</v>
      </c>
      <c r="F2427">
        <f>HYPERLINK("https://www.reddit.com/r/diabetes/comments/53rx7t/why_do_endos_suck/")</f>
        <v/>
      </c>
      <c r="G2427" t="inlineStr">
        <is>
          <t>2016-09-20 23:43:04</t>
        </is>
      </c>
      <c r="H2427" t="inlineStr">
        <is>
          <t>Type 1</t>
        </is>
      </c>
    </row>
    <row r="2428">
      <c r="A2428" t="inlineStr">
        <is>
          <t>53wnvf</t>
        </is>
      </c>
      <c r="B2428" t="inlineStr">
        <is>
          <t>Diabetes blows dogs for quarters.</t>
        </is>
      </c>
      <c r="C2428" t="inlineStr">
        <is>
          <t>I want to warn you all ahead of time that this is just a rant about how much this disease sucks. My 8 year old son is a T1. Diagnosed at age 2. Today, he had the worst day he's ever had. Woke up at 398. I was like, wtf? Gave him some insulin. He ate a light breakfast, and gave him another shot. (With a little extra to help out the other shot) he gets to school and is at 580 and testing positive for moderate keytones. I'm like WTF??? So the nurse gives him another shot. Retest at the appropriate time, and he's at 520 and testing positive for moderate to high keytones. I was really like WTF??? We finally get him "down" to 422 and he's now in the high keytones range. He had to be picked up from school, (after having a total of 14 units in 5 hours) and has had 6 shots since he left. We finally got him down to 171 with trace amounts of keytones, but the poor thing is exhausted. He's been through such a hard time. He's cried, slept, and cried some more. I now have to watch him all night to make sure he stays under control, and keep in touch with his doctor. She and I both have absolutely no idea why this happened. Fuck this stupid disease. 
Thanks for listening guys.</t>
        </is>
      </c>
      <c r="D2428" t="n">
        <v>23</v>
      </c>
      <c r="E2428" t="n">
        <v>34</v>
      </c>
      <c r="F2428">
        <f>HYPERLINK("https://www.reddit.com/r/diabetes/comments/53wnvf/diabetes_blows_dogs_for_quarters/")</f>
        <v/>
      </c>
      <c r="G2428" t="inlineStr">
        <is>
          <t>2016-09-21 18:38:16</t>
        </is>
      </c>
      <c r="H2428" t="inlineStr">
        <is>
          <t>Type 1</t>
        </is>
      </c>
    </row>
    <row r="2429">
      <c r="A2429" t="inlineStr">
        <is>
          <t>53xm86</t>
        </is>
      </c>
      <c r="B2429" t="inlineStr">
        <is>
          <t>What is Apidra's (or any insulin) actual shelf life?</t>
        </is>
      </c>
      <c r="C2429" t="inlineStr">
        <is>
          <t>So, the label says 28 days.  My son's doctor said that 28 refrigerated, but up to 40 days if I place it back in the fridge after each use.
My son only uses about 15 or so units per day, so we have quite a bit left over. And I kept all of his bottles. I'm glad I did because one day, I accidentally dropped and broke a vial. I had to wait a few hours to get authorization for a new one from my doctor. But, the apidra (which was about 60 days old, I think) still seemed to work.
I was talking to the school nurse about how its shame that we have to throw away so much. My son only uses about half a bottle. Then, she agreed and went to tell me how she sends medication to her home (Jamaica, I think) and how medicine is so expensive. 
**TL;DR** It got me thinking, how long does insulin really last after you open and start using it, if kept cold, use clean hands and alcohol on the vial and use only sterile syringes. 
For some reason, I seem to remember reading somewhere that it was more about bacteria build up. But, I may be confusing things.
I have these old bottles that I kept for whatever reason. But, I still follow the doc's order and swap out on time because I **value my son's life over trying to save a few dollars**. But parts of me feels like it should last longer.</t>
        </is>
      </c>
      <c r="D2429" t="n">
        <v>1</v>
      </c>
      <c r="E2429" t="n">
        <v>4</v>
      </c>
      <c r="F2429">
        <f>HYPERLINK("https://www.reddit.com/r/diabetes/comments/53xm86/what_is_apidras_or_any_insulin_actual_shelf_life/")</f>
        <v/>
      </c>
      <c r="G2429" t="inlineStr">
        <is>
          <t>2016-09-21 22:58:07</t>
        </is>
      </c>
      <c r="H2429" t="inlineStr">
        <is>
          <t>Type 1</t>
        </is>
      </c>
    </row>
    <row r="2430">
      <c r="A2430" t="inlineStr">
        <is>
          <t>53zyks</t>
        </is>
      </c>
      <c r="B2430" t="inlineStr">
        <is>
          <t>Minor Help with eating all proteins, no carbs in the morning.</t>
        </is>
      </c>
      <c r="C2430" t="inlineStr">
        <is>
          <t>I have been keeping my carbs down to a minimum over the past 2 months to try and eat healthier, more vegetables, protein, and less sugar and carbs.  I have been eating eggs pretty much every morning, or at least staying away from carbs, but my blood sugar still jumps up to the low 200s and such.  Does anyone else have any experience with this and (besides obviously correcting for it) found a way to remedy this so your bg stays in a normal range?</t>
        </is>
      </c>
      <c r="D2430" t="n">
        <v>2</v>
      </c>
      <c r="E2430" t="n">
        <v>8</v>
      </c>
      <c r="F2430">
        <f>HYPERLINK("https://www.reddit.com/r/diabetes/comments/53zyks/minor_help_with_eating_all_proteins_no_carbs_in/")</f>
        <v/>
      </c>
      <c r="G2430" t="inlineStr">
        <is>
          <t>2016-09-22 10:00:24</t>
        </is>
      </c>
      <c r="H2430" t="inlineStr">
        <is>
          <t>Type 1</t>
        </is>
      </c>
    </row>
    <row r="2431">
      <c r="A2431" t="inlineStr">
        <is>
          <t>540ejl</t>
        </is>
      </c>
      <c r="B2431" t="inlineStr">
        <is>
          <t>I think I've left my honeymoon</t>
        </is>
      </c>
      <c r="C2431" t="inlineStr">
        <is>
          <t>Just curious if this is how it went down for others.
I was diagnosed like 4 or 5 months ago. For pretty much the entire time, I've been eating very low carb (no grains, no sugar), and typically have some sort of veggies/meat/salad thing. The highest carb item I will eat is a sweet potato.
Anyway, I've been taking 16u Lantus (now Toujeo) every night, and would typically take 2-3u Humalog for small/salad-esque meals, and 4u, maybe 5u for dinner where maybe I had a low carb torilla with my food.
Doing this, my BG was always relatively stable, and always seemed to hover in the 80-120 range, with occasional movements up to 150-180 but they were brief.
Over the past few weeks I noticed it was way harder to keep my BG down under 120. No matter what I ate, an hour or two later I would still be at 120. I've slowly been inching my Toujeo up, and now I am taking 22u every night, and probably going to move up to 24u in the next day or two. I'm also taking nearly double the amount of bolus that I was before. 
I'm definitely a little more adventurous with my diet now that I have a CGM, but before if I wasn't eating my BG always seemed to be around 90-100. Now when I don't eat and aren't paying attention, I'll look at my CGM and I'm at 120, and this is after changing my basal from 16 to 22.
Does this sound like other people's experiences? My next Endo and blood work isn't until early november. I'm assuming that a C-peptide (was like .1 before?) will tell me if my pancreas is officially done-zo?
Thanks everyone, hope you are having a good healthy day :)</t>
        </is>
      </c>
      <c r="D2431" t="n">
        <v>1</v>
      </c>
      <c r="E2431" t="n">
        <v>6</v>
      </c>
      <c r="F2431">
        <f>HYPERLINK("https://www.reddit.com/r/diabetes/comments/540ejl/i_think_ive_left_my_honeymoon/")</f>
        <v/>
      </c>
      <c r="G2431" t="inlineStr">
        <is>
          <t>2016-09-22 11:24:54</t>
        </is>
      </c>
      <c r="H2431" t="inlineStr">
        <is>
          <t>Type 1</t>
        </is>
      </c>
    </row>
    <row r="2432">
      <c r="A2432" t="inlineStr">
        <is>
          <t>540i8w</t>
        </is>
      </c>
      <c r="B2432" t="inlineStr">
        <is>
          <t>Insurance coverage on pump for type 2 planning pregnancy?</t>
        </is>
      </c>
      <c r="C2432" t="inlineStr">
        <is>
          <t xml:space="preserve">Hi all. A little background: I am nearly 32, type 2 dm since 2003. I have been on oral meds and insulin on and off over the last 10 years have lost a ton of weight, but have gone through two miscarriages that we'll of course never know the reason for but suspicions were the medications I was on at the time and the lack of glucose control. We are getting married in 9 days (holy shit) and are now looking to go about planning a pregnancy from the top down with the help of multiple providers. I will be seeing a high-risk OB and am also now seeing a new diabetes specialist. She wants to set me up on a pump with hopes it will give me better control during my pregnancy quest. 
My question is this: Has anyone else been in this situation and had kickback from your insurance company? I spoke with the Animas folks today (wonderful representative) who said as long as my Dr. is willing to sign the proper medical necessity paperwork I shouldn't have a problem with Aetna covering a pump (+/- CGM, my provider hasn't decided if that would benefit me or be an extra unneeded expense for sensors). He said the usual criteria (MDL x6+ mos, testing 3 or more times a day, etc.) could be suspended in the setting of pregnancy or pre-pregnancy with enough hoop jumping. I'm just trying to figure out how to get through said hoops with the least resistance as possible.
Any advice? 
UPDATE:
I've had the pleasure of speaking with a couple of extremely helpful reps from both Omnipod and Animas. The Omnipod is unfortunately quite cost prohibitive to think about purchasing and maintaining supplies for, even with my insurance. The good news, however, is that the Animas Ping and all related supply orders for the length of use are covered at 100%! If I were to decide on the Vibe with CGM instead, there would be an additional cost on the sensors. I'm waiting for more info on that. </t>
        </is>
      </c>
      <c r="D2432" t="n">
        <v>1</v>
      </c>
      <c r="E2432" t="n">
        <v>8</v>
      </c>
      <c r="F2432">
        <f>HYPERLINK("https://www.reddit.com/r/diabetes/comments/540i8w/insurance_coverage_on_pump_for_type_2_planning/")</f>
        <v/>
      </c>
      <c r="G2432" t="inlineStr">
        <is>
          <t>2016-09-22 11:44:12</t>
        </is>
      </c>
      <c r="H2432" t="inlineStr">
        <is>
          <t>Type 2</t>
        </is>
      </c>
    </row>
    <row r="2433">
      <c r="A2433" t="inlineStr">
        <is>
          <t>5424rm</t>
        </is>
      </c>
      <c r="B2433" t="inlineStr">
        <is>
          <t>Hypo symptoms when I'm not low</t>
        </is>
      </c>
      <c r="C2433" t="inlineStr">
        <is>
          <t>Recently I've started feeling dizzy/lightheaded fairly often. I check my blood sugar whenever this happens, and it's always been normal (&amp;gt;100), so I know I'm not having a hypo. Sometimes it's even a bit high e.g. 180. The dizziness is sometimes accompanied by sweating, shaking and/or hunger.
Has this happened to anyone else, and do you know why it could be happening? I've recently had blood tests done and everything came back perfect. This is not a "false" hypo as I generally have good control. I have postural hypotension but took my blood pressure once when this happened and it was 98/62, so nothing wrong there. It also lasts a long time and happens when I am just sitting/resting, so I don't think it could be my blood pressure.</t>
        </is>
      </c>
      <c r="D2433" t="n">
        <v>1</v>
      </c>
      <c r="E2433" t="n">
        <v>8</v>
      </c>
      <c r="F2433">
        <f>HYPERLINK("https://www.reddit.com/r/diabetes/comments/5424rm/hypo_symptoms_when_im_not_low/")</f>
        <v/>
      </c>
      <c r="G2433" t="inlineStr">
        <is>
          <t>2016-09-22 17:28:42</t>
        </is>
      </c>
      <c r="H2433" t="inlineStr">
        <is>
          <t>Type 1</t>
        </is>
      </c>
    </row>
    <row r="2434">
      <c r="A2434" t="inlineStr">
        <is>
          <t>542e30</t>
        </is>
      </c>
      <c r="B2434" t="inlineStr">
        <is>
          <t>Initial notes from switching to Tresiba and low carb induced (?) insulin resistance</t>
        </is>
      </c>
      <c r="C2434" t="inlineStr">
        <is>
          <t xml:space="preserve">TL;DR T1 last 3 years, mostly laughable control, got serious with low carb, worked wonders, hit a bump with insulin resistance, especially in the mornings. Switched to Tresiba last week. I have never seen such good numbers. Fingers crossed, will be monitoring but I am very excited. What I learned: If you switch to Tresiba, give it a few days (2-3) to even out in your system.
-----
Heya sweetbloods, 
Background: When my T-cells went pew pew on my pancreas 3 years ago, I started on Lantus/Apidra (later switched to Humalog, same difference AFAIC). Control since then had been abysmal to bad (A1C hovering from 8,7 to  to 9 at times) until, before the summer, I decided to try full-on low carb and saw the light, a couple of months into it A1C dropped to 7 already. But lately (think middle of third month) I encountered big-time insulin resistance that my endo attributed to the low carb. There are references here and there even in very keto-friendly diabetic fora and articles, but no real solution. Decided to push on and at the same time got the endo last week to switch me to Tresiba.
Enter Tresiba: The touted 42 hours of action basically mean that it doesn't run out on you while you sleep. Before that I was on a morning/evening split of Lantus and was lately, even with Low Carb, waking up to a FBG of 150-180mg/dl. Decided to push on though. Now, when I started Tresiba last week, endo told me to expect to see results (if any) after 3-4 days. Kept the same protocol, splitting dose between morning and evening. I changed ABSOLUTELY NOTHING ELSE about my eating/sleeping/workout habits. Just like clockwork, on the morning of day 4 I woke up to a FBG of 85. With the tiny amounts of mealtime Humalog I need to cover the low carb, my line was flat throughout the day with tiny bumps to 100-105 an hour after meals. Then it would go back to 85. This has kept on going for the last three days. It went to the point that I thought my meter was stuck so I checked with second one. Bam, 83-85. I almost cried. I don't want to jinx it, but I think they're onto something with this med.
Note: I cringe even at the thought that I should say this, but I'm not selling Tresiba (lol), god knows I hope I could produce all the insulin I need by myself (through, you know, my pancreas). I just thought I'd share this exciting moment. I will be monitoring it closely because, as we diabetics know, friggin' everything can go wrong just when you think you've nailed it. </t>
        </is>
      </c>
      <c r="D2434" t="n">
        <v>2</v>
      </c>
      <c r="E2434" t="n">
        <v>5</v>
      </c>
      <c r="F2434">
        <f>HYPERLINK("https://www.reddit.com/r/diabetes/comments/542e30/initial_notes_from_switching_to_tresiba_and_low/")</f>
        <v/>
      </c>
      <c r="G2434" t="inlineStr">
        <is>
          <t>2016-09-22 18:31:00</t>
        </is>
      </c>
      <c r="H2434" t="inlineStr">
        <is>
          <t>Type 1</t>
        </is>
      </c>
    </row>
    <row r="2435">
      <c r="A2435" t="inlineStr">
        <is>
          <t>5432gf</t>
        </is>
      </c>
      <c r="B2435" t="inlineStr">
        <is>
          <t>Need advice/help</t>
        </is>
      </c>
      <c r="C2435" t="inlineStr">
        <is>
          <t>Just started my type 2 journey. Taking 500mg metformin. Took first dose 4 hours ago.. long terrible story short I need to buy a new mop for my restroom. When does this stop my god this is horrible. Don't know what to do. 
Sorry if gross but freaked me out. It's terrible</t>
        </is>
      </c>
      <c r="D2435" t="n">
        <v>5</v>
      </c>
      <c r="E2435" t="n">
        <v>7</v>
      </c>
      <c r="F2435">
        <f>HYPERLINK("https://www.reddit.com/r/diabetes/comments/5432gf/need_advicehelp/")</f>
        <v/>
      </c>
      <c r="G2435" t="inlineStr">
        <is>
          <t>2016-09-22 21:25:39</t>
        </is>
      </c>
      <c r="H2435" t="inlineStr">
        <is>
          <t>Type 2</t>
        </is>
      </c>
    </row>
    <row r="2436">
      <c r="A2436" t="inlineStr">
        <is>
          <t>543uj8</t>
        </is>
      </c>
      <c r="B2436" t="inlineStr">
        <is>
          <t>Lowest HbA1c in years! Thank you guys!</t>
        </is>
      </c>
      <c r="C2436" t="inlineStr">
        <is>
          <t>Thanks to advice from this sub, I've improved my management of my Type 1 diabetes massively. You're all fantastic and I just wanted to say your advice makes a real difference to other people's lives. My previous HbA1c readings hovered around 7-7.5%. I went to see my team of doctors yesterday and they were all incredibly proud to tell me my HbA1c was 6%! Also down about 30 lbs.</t>
        </is>
      </c>
      <c r="D2436" t="n">
        <v>34</v>
      </c>
      <c r="E2436" t="n">
        <v>9</v>
      </c>
      <c r="F2436">
        <f>HYPERLINK("https://www.reddit.com/r/diabetes/comments/543uj8/lowest_hba1c_in_years_thank_you_guys/")</f>
        <v/>
      </c>
      <c r="G2436" t="inlineStr">
        <is>
          <t>2016-09-23 02:06:57</t>
        </is>
      </c>
      <c r="H2436" t="inlineStr">
        <is>
          <t>Type 1</t>
        </is>
      </c>
    </row>
    <row r="2437">
      <c r="A2437" t="inlineStr">
        <is>
          <t>544axk</t>
        </is>
      </c>
      <c r="B2437" t="inlineStr">
        <is>
          <t>I've had low blood sugar during the night almost every night this week</t>
        </is>
      </c>
      <c r="C2437" t="inlineStr">
        <is>
          <t>I've made some changes in my insulin regime (I'm on shots), and now I'm going low almost every single night, and my Dexcom wakes me up. I take Lantus in the morning and Humalog with meals. Does this mean I should cut back on my Lantus? I'm always at least 10 mmol/L before bed, eating a snack, and have been taking less Humalog with dinner. I thought the Lantus wouldn't affect me almost 20 hours after taking it, but I guess it is? I also seem to be high all day at work, and I think it's because of stress. What would you guys do?</t>
        </is>
      </c>
      <c r="D2437" t="n">
        <v>4</v>
      </c>
      <c r="E2437" t="n">
        <v>17</v>
      </c>
      <c r="F2437">
        <f>HYPERLINK("https://www.reddit.com/r/diabetes/comments/544axk/ive_had_low_blood_sugar_during_the_night_almost/")</f>
        <v/>
      </c>
      <c r="G2437" t="inlineStr">
        <is>
          <t>2016-09-23 04:50:26</t>
        </is>
      </c>
      <c r="H2437" t="inlineStr">
        <is>
          <t>Type 1</t>
        </is>
      </c>
    </row>
    <row r="2438">
      <c r="A2438" t="inlineStr">
        <is>
          <t>544dtt</t>
        </is>
      </c>
      <c r="B2438" t="inlineStr">
        <is>
          <t>I did it!</t>
        </is>
      </c>
      <c r="C2438" t="inlineStr">
        <is>
          <t xml:space="preserve">Baby steps... Took my glucose level myself for the first time. So much easier and less painful than I expected. And it was 115 fasting. I know that's still high but it was 135 24 hours ago at the doctor's office. Maybe this won't be so bad.  </t>
        </is>
      </c>
      <c r="D2438" t="n">
        <v>18</v>
      </c>
      <c r="E2438" t="n">
        <v>10</v>
      </c>
      <c r="F2438">
        <f>HYPERLINK("https://www.reddit.com/r/diabetes/comments/544dtt/i_did_it/")</f>
        <v/>
      </c>
      <c r="G2438" t="inlineStr">
        <is>
          <t>2016-09-23 05:13:12</t>
        </is>
      </c>
      <c r="H2438" t="inlineStr">
        <is>
          <t>Type 2</t>
        </is>
      </c>
    </row>
    <row r="2439">
      <c r="A2439" t="inlineStr">
        <is>
          <t>547ogi</t>
        </is>
      </c>
      <c r="B2439" t="inlineStr">
        <is>
          <t>Question about my finger twitching</t>
        </is>
      </c>
      <c r="C2439" t="inlineStr">
        <is>
          <t xml:space="preserve">Hello, first off, I am going to be mentioning this to my doctor in about 2 weeks when I see her but wanted to get some early advice from Reddit.
To answer some obvious questions:
- I'm 19 years old, pretty healthy, aside from T1 Diabetes
- My vision is perfect, nothing wrong there.
- My feet and legs are perfect, nothing wrong there.
- Managing my blood sugars
- No significant lows or highs recently, mostly steady numbers
Now, lately I've noticed that my arm is falling asleep easier than it used to. I have to move my arms around more. The arms are very minor. My fingers though, I've noticed are twitching all on their own now and they never did that before. First it was just a tiny bit and now it's noticeable (only to me). No one else has noticed and it doesn't affect my ability to hold things. I'm the only one that knows but my fear is that it could get worse in time. It's usually on my rings fingers(one next to my pinky finger) and thumbs, although occasionally my other fingers. It usually comes and goes in short little bursts of tiny twitching. 
Is there any type of stretching or movement I can do to ease this?
Again, it's nothing major, I'm in no pain whatsoever, doesn't affect my legs or feet. My fingers are twitching though about every 20 to 30 minutes and it's been doing this for a week or two straight now.
I'm guessing it has something to do with Diabetic neuropathy? 
I'm basically assuming the worst will happen and I will one day have no arms or fingers. It's currently just a mild annoyance and fear aggravation. 
</t>
        </is>
      </c>
      <c r="D2439" t="n">
        <v>7</v>
      </c>
      <c r="E2439" t="n">
        <v>4</v>
      </c>
      <c r="F2439">
        <f>HYPERLINK("https://www.reddit.com/r/diabetes/comments/547ogi/question_about_my_finger_twitching/")</f>
        <v/>
      </c>
      <c r="G2439" t="inlineStr">
        <is>
          <t>2016-09-23 16:40:08</t>
        </is>
      </c>
      <c r="H2439" t="inlineStr">
        <is>
          <t>Type 1</t>
        </is>
      </c>
    </row>
    <row r="2440">
      <c r="A2440" t="inlineStr">
        <is>
          <t>548hzx</t>
        </is>
      </c>
      <c r="B2440" t="inlineStr">
        <is>
          <t>OpenAPS pumps and firmware clarification</t>
        </is>
      </c>
      <c r="C2440" t="inlineStr">
        <is>
          <t>Hi all!
So I am looking at trying out the OpenAPS project, and have been shopping for MiniMed pumps. My question is this: does the firmware version issue only apply to the -23 models, or is it something I need to look out for on the 522 and 722 as well? I am just trying to avoid buyer's remorse at such a high cost. It seems that they make it clear in the documentation, but I just want to make sure with people here that have implemented the system themselves. Thanks in advance!</t>
        </is>
      </c>
      <c r="D2440" t="n">
        <v>1</v>
      </c>
      <c r="E2440" t="n">
        <v>3</v>
      </c>
      <c r="F2440">
        <f>HYPERLINK("https://www.reddit.com/r/diabetes/comments/548hzx/openaps_pumps_and_firmware_clarification/")</f>
        <v/>
      </c>
      <c r="G2440" t="inlineStr">
        <is>
          <t>2016-09-23 20:21:57</t>
        </is>
      </c>
      <c r="H2440" t="inlineStr">
        <is>
          <t>Type 1</t>
        </is>
      </c>
    </row>
    <row r="2441">
      <c r="A2441" t="inlineStr">
        <is>
          <t>548ntc</t>
        </is>
      </c>
      <c r="B2441" t="inlineStr">
        <is>
          <t>I just had the best Doctor's Appointment</t>
        </is>
      </c>
      <c r="C2441" t="inlineStr">
        <is>
          <t>I was a little apprehensive going in because I got my lab work done and my cholesterol was high, and I just learned from my mom that she and my grandmother have thyroid issues.
Get to the doctor and:
* My A1C was 5.6!
* My cholesterol is high yes, but I'd brought it down by like 20 points. I'm getting put on a Statin but she's really happy about my progress on my own.
* No signs of nerve damage in my feet. She's excited for me that I'm actually really ticklish.
She had tested my thyroid at my last appointment and it was normal though she agreed to test again and make it part of my normal labs from now on.
Despite me not losing anymore weight she's super proud that I was able to maintain my loss despite the past three months being stressful as hell.
I'm really excited that my appointment went so well. I STILL cannot believe my a1c, it's the lowest it's been since I was diagnosed.</t>
        </is>
      </c>
      <c r="D2441" t="n">
        <v>8</v>
      </c>
      <c r="E2441" t="n">
        <v>3</v>
      </c>
      <c r="F2441">
        <f>HYPERLINK("https://www.reddit.com/r/diabetes/comments/548ntc/i_just_had_the_best_doctors_appointment/")</f>
        <v/>
      </c>
      <c r="G2441" t="inlineStr">
        <is>
          <t>2016-09-23 21:09:47</t>
        </is>
      </c>
      <c r="H2441" t="inlineStr">
        <is>
          <t>Type 2</t>
        </is>
      </c>
    </row>
    <row r="2442">
      <c r="A2442" t="inlineStr">
        <is>
          <t>54amii</t>
        </is>
      </c>
      <c r="B2442" t="inlineStr">
        <is>
          <t>Questions for Dexcom Users</t>
        </is>
      </c>
      <c r="C2442" t="inlineStr">
        <is>
          <t>I'm Newly diagnosed. I received my G5 yesterday and I have a few questions.
* I want to be as strict and disciplined as possible with my highs and lows. I was told to keep them between 70 and 180. Is this a conservative range or something they tell every newly diagnosed person to aim for?
* For now, I still want to test with my glucometer throughout the day (before meals and working out). Since I'm doing this, should I recalibrate each time for more accurate levels? Also, would I still have to test twice for an accurate recalibration?
* What BG do you go into a workout with? I've been aiming for around 170 for my 40-60min lifting sessions.
Thanks!</t>
        </is>
      </c>
      <c r="D2442" t="n">
        <v>2</v>
      </c>
      <c r="E2442" t="n">
        <v>13</v>
      </c>
      <c r="F2442">
        <f>HYPERLINK("https://www.reddit.com/r/diabetes/comments/54amii/questions_for_dexcom_users/")</f>
        <v/>
      </c>
      <c r="G2442" t="inlineStr">
        <is>
          <t>2016-09-24 08:41:30</t>
        </is>
      </c>
      <c r="H2442" t="inlineStr">
        <is>
          <t>Type 1</t>
        </is>
      </c>
    </row>
    <row r="2443">
      <c r="A2443" t="inlineStr">
        <is>
          <t>54bsio</t>
        </is>
      </c>
      <c r="B2443" t="inlineStr">
        <is>
          <t>Type 1 | Like 3D Printing?</t>
        </is>
      </c>
      <c r="C2443" t="inlineStr">
        <is>
          <t xml:space="preserve">I just created a group on thingiverse dedicated to making diabetes a bit easier. Lost a pump clip? Well there is a file for that. Want a cool case for your dexcom? We've got you covered. Come check it out! http://www.thingiverse.com/groups/diabetic-hackers </t>
        </is>
      </c>
      <c r="D2443" t="n">
        <v>31</v>
      </c>
      <c r="E2443" t="n">
        <v>3</v>
      </c>
      <c r="F2443">
        <f>HYPERLINK("https://www.reddit.com/r/diabetes/comments/54bsio/type_1_like_3d_printing/")</f>
        <v/>
      </c>
      <c r="G2443" t="inlineStr">
        <is>
          <t>2016-09-24 13:03:09</t>
        </is>
      </c>
      <c r="H2443" t="inlineStr">
        <is>
          <t>Type 1</t>
        </is>
      </c>
    </row>
    <row r="2444">
      <c r="A2444" t="inlineStr">
        <is>
          <t>54bwyv</t>
        </is>
      </c>
      <c r="B2444" t="inlineStr">
        <is>
          <t>Medtronic Mini-Med 530G w/ Enlite Sensor (CGM) Review</t>
        </is>
      </c>
      <c r="C2444" t="inlineStr">
        <is>
          <t>I've had diabetes since 2006. From then to now, I've had three insulin pumps, and two CGMs. All from Medtronic. The pumps have been amazing. The first one broke after six years, and several water accidents. The second one, I only had for a year, because then I got the one I currently have now. Still, no problems. I had the One Touch meter that communicated with the pump, and now have the Bayer Contour Link. The pumps have been fine. The CGMs? Not so much. They are **horrible**. 
The first one;
*Had a huge needle (hurt like hell)
*Fell out if you even breathed wrong
*Had a short battery life
*Needed countless layers of huge stickers
The second one (The revel)
*adhesive was horrible
Medtronic did a wonderful job redesigning the CGM, execept for **one** huge thing. The adhesive.  If you look [here](http://www.healthline.com/hlcmsresource/images/diabetesmine/wp-content/uploads/2014/06/Minimed-Duo-with-Transmitter.jpg), you can look at the adhesive. The large round part of the transmitter sits facing down, leaving a thin piece of adhesive to hold on to your skin. So as you moved, the large piece started to flap against your skin, which a) annoyed you and b) made it fall out within 1,2 hours, tops. But I am getting a Dexcom Monday, and will write a review in a month for that. Cheers.</t>
        </is>
      </c>
      <c r="D2444" t="n">
        <v>6</v>
      </c>
      <c r="E2444" t="n">
        <v>9</v>
      </c>
      <c r="F2444">
        <f>HYPERLINK("https://www.reddit.com/r/diabetes/comments/54bwyv/medtronic_minimed_530g_w_enlite_sensor_cgm_review/")</f>
        <v/>
      </c>
      <c r="G2444" t="inlineStr">
        <is>
          <t>2016-09-24 13:30:42</t>
        </is>
      </c>
      <c r="H2444" t="inlineStr">
        <is>
          <t>Type 1</t>
        </is>
      </c>
    </row>
    <row r="2445">
      <c r="A2445" t="inlineStr">
        <is>
          <t>54c2tj</t>
        </is>
      </c>
      <c r="B2445" t="inlineStr">
        <is>
          <t>Type 1 diabetic on keto needs help</t>
        </is>
      </c>
      <c r="C2445" t="inlineStr">
        <is>
          <t>Back a year ago I tried keto full time. Went all out on bacon, avocado, fatty meats, nuts, cheese and loved it. My sugar levels were fantastic and there were stretches of time where diabetes wasn't on my mind for hours—it was beautiful. I use an insulin pump and would only take doses for protein (~1 unit per 30g of protein) and ran a slightly lower basal rate than normal. Best sugar levels I've had since being diagnosed with diabetes with a range from 80 - 160mg/dl typically and A1c's from 5-6%.
The problem was there were two times where I went into diabetic ketoacidosis and have been scared away from the diet since then. I haven't completely pinpointed what root cause was, but I had been in ketosis for a couple weeks and seemingly out of nowhere my sugar levels would rise uncontrollably, and I became nauseous, and dehydrated. The only way I could bring my sugar levels down was take large doses of insulin. The first time it happened I had eaten a big fatty meal which may have caused the rise in ketones in the evening. At the time I didn't have the best portion control so I thought I learned my lesson; but it happened again a couple months later in the morning after what I thought was a reasonably sized meal. That time my sugar levels weren't even above 150mg/dl. I couldn't figure out why so I stopped keto diet completely.
There are a number of threads where people say that ketosis and DKA are unrelated, but that has not been my personal experience as there is a direct correlation between the two for me. In fact the only times I went into DKA in my life was on keto diet—I was both taking the regular basal insulin, and boluses for ~20g of carbs a day. I've been meaning to post on this forum for some time now and would love to hear from people who have a good understanding of the science behind keto and type one diabetes.
My endocrinologist has not been helpful so I'm looking for support here. I would really like to understand what exactly happened, how to prevent it, and whether or not I can go back into ketosis.</t>
        </is>
      </c>
      <c r="D2445" t="n">
        <v>7</v>
      </c>
      <c r="E2445" t="n">
        <v>32</v>
      </c>
      <c r="F2445">
        <f>HYPERLINK("https://www.reddit.com/r/diabetes/comments/54c2tj/type_1_diabetic_on_keto_needs_help/")</f>
        <v/>
      </c>
      <c r="G2445" t="inlineStr">
        <is>
          <t>2016-09-24 14:07:40</t>
        </is>
      </c>
      <c r="H2445" t="inlineStr">
        <is>
          <t>Type 1</t>
        </is>
      </c>
    </row>
    <row r="2446">
      <c r="A2446" t="inlineStr">
        <is>
          <t>54ccso</t>
        </is>
      </c>
      <c r="B2446" t="inlineStr">
        <is>
          <t>upgrade path from 630g to 670g?</t>
        </is>
      </c>
      <c r="C2446" t="inlineStr">
        <is>
          <t>does anyone know? Thanks!</t>
        </is>
      </c>
      <c r="D2446" t="n">
        <v>0</v>
      </c>
      <c r="E2446" t="n">
        <v>5</v>
      </c>
      <c r="F2446">
        <f>HYPERLINK("https://www.reddit.com/r/diabetes/comments/54ccso/upgrade_path_from_630g_to_670g/")</f>
        <v/>
      </c>
      <c r="G2446" t="inlineStr">
        <is>
          <t>2016-09-24 15:13:47</t>
        </is>
      </c>
      <c r="H2446" t="inlineStr">
        <is>
          <t>Type 1</t>
        </is>
      </c>
    </row>
    <row r="2447">
      <c r="A2447" t="inlineStr">
        <is>
          <t>54cm9u</t>
        </is>
      </c>
      <c r="B2447" t="inlineStr">
        <is>
          <t>Help! Uncontrollable numbers with pump, and out of Lantus, what do?</t>
        </is>
      </c>
      <c r="C2447" t="inlineStr">
        <is>
          <t>Hey all! Sorry if this turns into a novel, but this has been an on-going, convoluted issue. I need advice, and Lantus, if you have any to share.
tl;dr: I want to buy Lantus from you. Also tell me what's wrong.
When I last saw my endo at the end of July, my a1C was 6.0, hurray! Shortly thereafter, things started to unravel. I noticed my blood sugars becoming increasingly difficult to manage in early August. It was as though I wasn't receiving any insulin through my pump at all (Medtronic, use the Quickset infusion sets). I changed my infusion set more times than I can remember, changed boxes of infusion sets and reservoirs, changed batteries, changed vials of insulin, sites, the whole shebang. No improvement. I was working outside at the time, and it was horribly hot (like in the 110s), so I thought maybe being outside and dehydrated for days at a time was the issue. I was also preparing for a big cross-country move, so I thought maybe the emotional stress was the issue. Turns  out neither were the culprit.
As I was preparing to move, I stocked up on all of my insulin (Novolog and Lantus pens, for emergencies). Conveniently, in the mad rush of catching my flight across the country, I forgot my Lantus stash in the fridge. Thank God the Novolog made it! I scrounged up one expired Lantus pen hiding in my supplies, and I used that for as long as could, and everything seemed to be fine! Two nights ago, I finished the last of my Lantus and had to switch back to the pump. It seemed to be working! Until yesterday afternoon. All of a sudden, my sugars jumped up to the mid-high 200s out of nowhere. I've changed my infusion set three times already but to no avail. The pump has also intermittently given me "no delivery" messages throughout this debacle.
Here's the real kicker. I moved from Massachusetts, where I was on state-provided health insurance. Because I stocked up on Lantus, I no longer have refills available and my health insurance expires on the 31st. I do not know when I will be able to get health insurance in my new home. I do not have a doctor or an endo here yet to prescribe me anything (moreover, I live three hours away from the nearest endo). I'm going to call my endo in Massachusetts on Monday when her clinic is open, but I have no idea what to do in the meantime, and I doubt she can do anything to get me more Lantus, because it's an issue with my insurance, not her.
SO. Do you have any extra Lantus pens or bottles you could part with? I would be happy to pay you, I just can't afford the "shelf price" without insurance. I can SquareCash you, Venmo, or mail you a check. Also, has anyone experienced anything like this? I usually have pretty good control over my diabetes, so this is throwing me for a loop, and the issue with insurance and moving and not having a doctor or access to one has me wanting to cry. Not to mention my blood sugar has been hovering around 250 for the past 24hrs, so I obviously feel like crap. Please help!</t>
        </is>
      </c>
      <c r="D2447" t="n">
        <v>1</v>
      </c>
      <c r="E2447" t="n">
        <v>13</v>
      </c>
      <c r="F2447">
        <f>HYPERLINK("https://www.reddit.com/r/diabetes/comments/54cm9u/help_uncontrollable_numbers_with_pump_and_out_of/")</f>
        <v/>
      </c>
      <c r="G2447" t="inlineStr">
        <is>
          <t>2016-09-24 16:18:34</t>
        </is>
      </c>
      <c r="H2447" t="inlineStr">
        <is>
          <t>Type 1</t>
        </is>
      </c>
    </row>
    <row r="2448">
      <c r="A2448" t="inlineStr">
        <is>
          <t>54g85j</t>
        </is>
      </c>
      <c r="B2448" t="inlineStr">
        <is>
          <t>Nutrition advice for a T2 with 40% less colon and a colostomy bag</t>
        </is>
      </c>
      <c r="C2448" t="inlineStr">
        <is>
          <t xml:space="preserve">My mother's never heard of reddit, so I'm posting here looking for some advice and maybe direction towards resources I could share with her.
She's a type 2 diabetic on metformin and glimepiride. Morning blood sugars of around 200 due to glucose dumps in the night are the bad numbers. She's also fought off cancer a few times (she's such a bad-ass), including colon cancer which required the removal of about 40% of her lower intestine. But that means she's going to have a colostomy bag for the rest of her life.
Lately, she's been trying to find a balance between foods that can be digested easily and not cause blow-outs or diarrhea, which is a real problem with a colostomy bag. And foods that don't adversely affect her blood sugar. She's been seeking out a nutritionist or any sort of resource for help with this particular combination.
I was hoping someone might have experience in identifying foods or with a nutritionist familiar with this sort of situation. I don't know enough to even guess at what sort of digestive differences there would be with only 60% of a digestive tract. And she's tried contacting all the doctors and hospitals in her area with no luck.
Any help, advice, or recommended nutritionists would be greatly appreciated. Thanks. </t>
        </is>
      </c>
      <c r="D2448" t="n">
        <v>5</v>
      </c>
      <c r="E2448" t="n">
        <v>4</v>
      </c>
      <c r="F2448">
        <f>HYPERLINK("https://www.reddit.com/r/diabetes/comments/54g85j/nutrition_advice_for_a_t2_with_40_less_colon_and/")</f>
        <v/>
      </c>
      <c r="G2448" t="inlineStr">
        <is>
          <t>2016-09-25 10:53:50</t>
        </is>
      </c>
      <c r="H2448" t="inlineStr">
        <is>
          <t>Type 2</t>
        </is>
      </c>
    </row>
    <row r="2449">
      <c r="A2449" t="inlineStr">
        <is>
          <t>54hxxc</t>
        </is>
      </c>
      <c r="B2449" t="inlineStr">
        <is>
          <t>I accidentally ended up eating a whole pint of ice cream and now I'm scared</t>
        </is>
      </c>
      <c r="C2449" t="inlineStr">
        <is>
          <t>I'm a newly diagnosed type 2, no insulin or meds, no daily testing. A1C of 5.9, 5'2" and 105 pounds, moderate daily exercise (so not the normal t2 profile).
I haven't binged at all since I got diagnosed three months ago, and I figured since I've been feeling pretty down lately, I'll eat a half cup of ice cream to feel better. I usually eat around 20 grams of sugar in a full day, so I figured if I had the 25 grams of sugar, I'd be fine. 
I had the half cup and, a few hours later, I was absent-mindedly eating and grabbed the cup. Completely forgetting I am now diabetic (I mean, I've lived 25 years without being diabetic and this is now new to me). I ended up eating the whole pint, which is 100 grams of sugar.
I'm now terrified I'm going to get really sick and end up in the hospital or something from this. I already am feeling a little sick because I am lactose intolerant. Am I being paranoid? Should I go to CVS and check my glucose in an hour?</t>
        </is>
      </c>
      <c r="D2449" t="n">
        <v>1</v>
      </c>
      <c r="E2449" t="n">
        <v>8</v>
      </c>
      <c r="F2449">
        <f>HYPERLINK("https://www.reddit.com/r/diabetes/comments/54hxxc/i_accidentally_ended_up_eating_a_whole_pint_of/")</f>
        <v/>
      </c>
      <c r="G2449" t="inlineStr">
        <is>
          <t>2016-09-25 17:09:37</t>
        </is>
      </c>
      <c r="H2449" t="inlineStr">
        <is>
          <t>Type 2</t>
        </is>
      </c>
    </row>
    <row r="2450">
      <c r="A2450" t="inlineStr">
        <is>
          <t>54j09a</t>
        </is>
      </c>
      <c r="B2450" t="inlineStr">
        <is>
          <t>Diabetic bladder?</t>
        </is>
      </c>
      <c r="C2450" t="inlineStr">
        <is>
          <t>It has happen to me before, but last few days is getting ridiculous.
My levels have been doing fine. I should have checked my A1C last week but had to postpone due to work, however meter values have been fairly ok.
Nonetheless, for the last few nights I can hardly getting any sleep, as I'm in constant need of urinating, like every 40 min or so. It is 5:30 am, i just checked (122 mg/dl = 6.77778 mmol/l), there is no reason for this...
I plan on going to the doctor today, or as soon as I get an appointment, but could this be what they call a 'diabetic bladder'?
Edit: spoke with my endocrinologist, says hardly anything to do with diabetes, and doesn't seem like a UTI as well. Gonna have to do some exams, it seems.</t>
        </is>
      </c>
      <c r="D2450" t="n">
        <v>6</v>
      </c>
      <c r="E2450" t="n">
        <v>10</v>
      </c>
      <c r="F2450">
        <f>HYPERLINK("https://www.reddit.com/r/diabetes/comments/54j09a/diabetic_bladder/")</f>
        <v/>
      </c>
      <c r="G2450" t="inlineStr">
        <is>
          <t>2016-09-25 21:37:06</t>
        </is>
      </c>
      <c r="H2450" t="inlineStr">
        <is>
          <t>Type 1</t>
        </is>
      </c>
    </row>
    <row r="2451">
      <c r="A2451" t="inlineStr">
        <is>
          <t>54l905</t>
        </is>
      </c>
      <c r="B2451" t="inlineStr">
        <is>
          <t>Why don't more people opt for islet cell transplant?</t>
        </is>
      </c>
      <c r="C2451" t="inlineStr">
        <is>
          <t>So like a lot of you guys / gals, I get a lot of well-meaning family / friends sending me "diabetes cures." I usually say thanks and read to find its about type 2, or is just some quackery. But I was sent this youtube video about Gina Marchini and her successful islet cell transplant. According to clinicaltrials.gov, the trial at LA's City of Hope is ongoing until 2021:
https://clinicaltrials.gov/ct2/show/NCT01909245
So how come more people don't try it? Has she relapsed to insulin dependence and no one is reporting on it? If this is working and working well why aren't we all doing this? I know that's a simplistic view, and I'm hoping you all can share some clarity.</t>
        </is>
      </c>
      <c r="D2451" t="n">
        <v>2</v>
      </c>
      <c r="E2451" t="n">
        <v>12</v>
      </c>
      <c r="F2451">
        <f>HYPERLINK("https://www.reddit.com/r/diabetes/comments/54l905/why_dont_more_people_opt_for_islet_cell_transplant/")</f>
        <v/>
      </c>
      <c r="G2451" t="inlineStr">
        <is>
          <t>2016-09-26 08:51:15</t>
        </is>
      </c>
      <c r="H2451" t="inlineStr">
        <is>
          <t>Type 1</t>
        </is>
      </c>
    </row>
    <row r="2452">
      <c r="A2452" t="inlineStr">
        <is>
          <t>54m0c3</t>
        </is>
      </c>
      <c r="B2452" t="inlineStr">
        <is>
          <t>Type 1's and experience with keto diet</t>
        </is>
      </c>
      <c r="C2452" t="inlineStr">
        <is>
          <t xml:space="preserve">Hi all - I'm trying to start the keto diet. I've done low carb before so I'm familiar with the concept, but this was before I was diagnosed with T1D - previously I was just doing it to lose weight. It hasn't even been a full year since I was diagnosed, but I've been struggling to lose weight with my normal calorie counting method so I'm transition to low carb (still mindful of total calories). Anyway, the main reason for this post is due to a few articles I've read about how keto might make a T1D more likely to go into DKA. I guess the main reason being that the individual is now producing ketones and most likely taking less insulin. Is there any truth to this? have other types 1s had issues on keto or no someone who has had issues? thanks for all your help/input!
EDIT: also - any negative health consequences associated with keto would be appreciated. just want to know as much as possible about a diet like this. </t>
        </is>
      </c>
      <c r="D2452" t="n">
        <v>2</v>
      </c>
      <c r="E2452" t="n">
        <v>13</v>
      </c>
      <c r="F2452">
        <f>HYPERLINK("https://www.reddit.com/r/diabetes/comments/54m0c3/type_1s_and_experience_with_keto_diet/")</f>
        <v/>
      </c>
      <c r="G2452" t="inlineStr">
        <is>
          <t>2016-09-26 11:14:18</t>
        </is>
      </c>
      <c r="H2452" t="inlineStr">
        <is>
          <t>Type 1</t>
        </is>
      </c>
    </row>
    <row r="2453">
      <c r="A2453" t="inlineStr">
        <is>
          <t>54m894</t>
        </is>
      </c>
      <c r="B2453" t="inlineStr">
        <is>
          <t>I'm a new Type 1 and looking to help research anyway I can</t>
        </is>
      </c>
      <c r="C2453" t="inlineStr">
        <is>
          <t>Hey guys, I found out 9 months ago that I have type 1 at 28 years old and while I know I am not completely unique I am on the rarer side of it. I'm wondering if there is anything I can do to help research in some way, if not for myself then for the next generation. So if anyone has any tips on credible surveys or trials or studies going on I would love to hear about them. As far as a physical study I am based in Chicago, but I am willing to travel a reasonable distance. Thanks in advance</t>
        </is>
      </c>
      <c r="D2453" t="n">
        <v>9</v>
      </c>
      <c r="E2453" t="n">
        <v>19</v>
      </c>
      <c r="F2453">
        <f>HYPERLINK("https://www.reddit.com/r/diabetes/comments/54m894/im_a_new_type_1_and_looking_to_help_research/")</f>
        <v/>
      </c>
      <c r="G2453" t="inlineStr">
        <is>
          <t>2016-09-26 11:55:50</t>
        </is>
      </c>
      <c r="H2453" t="inlineStr">
        <is>
          <t>Type 1.5/LADA</t>
        </is>
      </c>
    </row>
    <row r="2454">
      <c r="A2454" t="inlineStr">
        <is>
          <t>54o0kx</t>
        </is>
      </c>
      <c r="B2454" t="inlineStr">
        <is>
          <t>Insulin To Carb Ratio.</t>
        </is>
      </c>
      <c r="C2454" t="inlineStr">
        <is>
          <t>First time posting here, but i've been diabetic for like 2 years now i think. When i was first diagnosed i was giving 1 unit of insulin to 10 carbs. But now 2 years later i'm giving 1 unit for ever 4 carbs. I really don't enjoy giving that much insulin. Is there anyway that i can make my ratio bette,. Or at least get it to something like 1:6? I like to eat rice, and i can only eat it once a day at most or i'll be giving a lot of insulin per day.
TL:DR want to raise my insulin to carb ratio to something higher than 1:4 is this possible or am i just going to have to deal with it?</t>
        </is>
      </c>
      <c r="D2454" t="n">
        <v>10</v>
      </c>
      <c r="E2454" t="n">
        <v>22</v>
      </c>
      <c r="F2454">
        <f>HYPERLINK("https://www.reddit.com/r/diabetes/comments/54o0kx/insulin_to_carb_ratio/")</f>
        <v/>
      </c>
      <c r="G2454" t="inlineStr">
        <is>
          <t>2016-09-26 17:56:05</t>
        </is>
      </c>
      <c r="H2454" t="inlineStr">
        <is>
          <t>Type 1</t>
        </is>
      </c>
    </row>
    <row r="2455">
      <c r="A2455" t="inlineStr">
        <is>
          <t>54u2dv</t>
        </is>
      </c>
      <c r="B2455" t="inlineStr">
        <is>
          <t>Getting red bumps and irritation where Dexcom wire is inserted</t>
        </is>
      </c>
      <c r="C2455" t="inlineStr">
        <is>
          <t>New Dexcom user, since the beginning of September, and have done 6 site changes so far. I've been doing so many because my sites are getting super itchy, and once I remove the Dexcom, I'm getting a big red, irritated bump where the wire goes into my skin. 
Is this something other users went through when they started? I don't know if this is normal and simply my body getting used to a foreign object being in it for 5 days in a row. I've done 3 arm sites, one on my back, and one on my stomach. I've started using Skin Tac and Tegaderm to help it stick better, and with today's new site, I used a skin prep cream and a Tough Pad on the bottom. Any other tricks you Dexcom users have? Or some kind of cream I can put on these bumps other than hydrocortisone cream, which I'm using now?</t>
        </is>
      </c>
      <c r="D2455" t="n">
        <v>2</v>
      </c>
      <c r="E2455" t="n">
        <v>5</v>
      </c>
      <c r="F2455">
        <f>HYPERLINK("https://www.reddit.com/r/diabetes/comments/54u2dv/getting_red_bumps_and_irritation_where_dexcom/")</f>
        <v/>
      </c>
      <c r="G2455" t="inlineStr">
        <is>
          <t>2016-09-27 18:43:04</t>
        </is>
      </c>
      <c r="H2455" t="inlineStr">
        <is>
          <t>Type 1</t>
        </is>
      </c>
    </row>
    <row r="2456">
      <c r="A2456" t="inlineStr">
        <is>
          <t>54xblb</t>
        </is>
      </c>
      <c r="B2456" t="inlineStr">
        <is>
          <t>Large ketones with "normal" blood sugars. Diet causing this?</t>
        </is>
      </c>
      <c r="C2456" t="inlineStr">
        <is>
          <t xml:space="preserve">For about the past 5 days I've been eating a very low carb, high protein diet. I wake up and eat an egg or two, some sausage, and maybe a piece of toast. I've been chugging about a gallon of water a day and last night by bedtime my ketones were around trace to small. This morning I woke up with small ketones, ate my breakfast with toast and did the usual bolus. About 2 hours after eating I checked my ketones and they are now at large. 
My BG has been around 130 when waking up and is currently sitting at 162. My father told me to give 1 unit to try to clear the ketones and I'm currently chugging water. 
My question is, are these ketones diabetes related or are they being caused by my diet? I don't really feel sick or anything but I might be getting a cold. 
What should I do?
Update 1:
It's been about an hour or so since getting a large result, chugging water, and taking a unit. I'm now down to small ketones which with my diet is about where I would expect to be. I think the reason they were so large earlier is due to the fact that I barely drank anything up to the point of testing. I'm fairly comfortable with trace to small but anything larger and I start to get a bit concerned. </t>
        </is>
      </c>
      <c r="D2456" t="n">
        <v>5</v>
      </c>
      <c r="E2456" t="n">
        <v>22</v>
      </c>
      <c r="F2456">
        <f>HYPERLINK("https://www.reddit.com/r/diabetes/comments/54xblb/large_ketones_with_normal_blood_sugars_diet/")</f>
        <v/>
      </c>
      <c r="G2456" t="inlineStr">
        <is>
          <t>2016-09-28 09:53:35</t>
        </is>
      </c>
      <c r="H2456" t="inlineStr">
        <is>
          <t>Type 1</t>
        </is>
      </c>
    </row>
    <row r="2457">
      <c r="A2457" t="inlineStr">
        <is>
          <t>54xp6w</t>
        </is>
      </c>
      <c r="B2457" t="inlineStr">
        <is>
          <t>Just got my A1C and it is at 5.8</t>
        </is>
      </c>
      <c r="C2457" t="inlineStr">
        <is>
          <t xml:space="preserve">So I just went in to talk to the doctor after my most recent round of blood work and I was nervous but I honestly couldn't believe it when she said it was at 5.8.  I'm a newly diagnosed type 2 and when I was at the hospital in May my a1c was 11. I feel like I've been working hard but I haven't been perfect so this encourages me and makes me feel less defeated.  </t>
        </is>
      </c>
      <c r="D2457" t="n">
        <v>38</v>
      </c>
      <c r="E2457" t="n">
        <v>14</v>
      </c>
      <c r="F2457">
        <f>HYPERLINK("https://www.reddit.com/r/diabetes/comments/54xp6w/just_got_my_a1c_and_it_is_at_58/")</f>
        <v/>
      </c>
      <c r="G2457" t="inlineStr">
        <is>
          <t>2016-09-28 11:06:02</t>
        </is>
      </c>
      <c r="H2457" t="inlineStr">
        <is>
          <t>Type 2</t>
        </is>
      </c>
    </row>
    <row r="2458">
      <c r="A2458" t="inlineStr">
        <is>
          <t>54ywa1</t>
        </is>
      </c>
      <c r="B2458" t="inlineStr">
        <is>
          <t>New(ish) Type 2</t>
        </is>
      </c>
      <c r="C2458" t="inlineStr">
        <is>
          <t>Hello r/Diabetes I was diagnosed in May as a type 2 diabetic at 25 years of age. It looks like my years of horrible eating habits, NO exercise program, and constantly gaining weight have caught up to me. My doctor (PCP) says that it is possible to reverse my diagnoses if I really buckle down and lose weight, eat healthy, and make diabetic friendly choices at all times. So far I have quit drinking Coke's (any soda, I'm a Texan), quit smoking (I smoked for 8 years and now Vape), and lost 60 lbs. (436lbs to 376lbs) and 6'3". My Mother, Father, and Step-Mother are my biggest supporters and have helped guide me to eat healthily while not being overly in my face about it. I was able to lose the 60 lbs in a relatively short period of time (Maybe 2 months or 3 at the very max), by eating chicken vegetables and drinking a ton of water, but since then I have kind of plateaued.  I was starting to feel down since I showed my self how easy it is to lose weight and then stopped doing it. I have had a few positive things happen recently. One is that I quit smoking three or four weeks ago, I am on my last day of week three at the gym (5 days a week), and I was finally accepted to the college I want to attend. All of these positive things have made me feel great about life and about myself. My hard work is finally starting to pay off in these areas. The only thing to do now is to do my best on my diet and keeping my blood sugar in the normal range. Thanks for reading my story. Expect more as I transform myself even more!</t>
        </is>
      </c>
      <c r="D2458" t="n">
        <v>3</v>
      </c>
      <c r="E2458" t="n">
        <v>10</v>
      </c>
      <c r="F2458">
        <f>HYPERLINK("https://www.reddit.com/r/diabetes/comments/54ywa1/newish_type_2/")</f>
        <v/>
      </c>
      <c r="G2458" t="inlineStr">
        <is>
          <t>2016-09-28 14:56:18</t>
        </is>
      </c>
      <c r="H2458" t="inlineStr">
        <is>
          <t>Type 2</t>
        </is>
      </c>
    </row>
    <row r="2459">
      <c r="A2459" t="inlineStr">
        <is>
          <t>552i8d</t>
        </is>
      </c>
      <c r="B2459" t="inlineStr">
        <is>
          <t>Preaching to the Low GI Choir</t>
        </is>
      </c>
      <c r="C2459" t="inlineStr">
        <is>
          <t>I've been type1 for 10 years and I've always took 'diabetics can eat anything' thing to heart, especially when I went on to a pump. I've now decided for personal reasons that I don't want to be on the pump anymore so I've gone back to pens, and since monday my levels have been all over the place due to starting from scratch with my Levimir/correction ratios/meal ratios. 
I've seen loads about this whole 'Low GI' thing that my nurses are always mentioning so thought I'd try it now while I'm spiking constantly. 
And I stand corrected. I had a big ham and egg salad, only needed 1u of insulin (3 with correction due to my unnecessarily low levimir levels that my nurse is hesitant to change??) and I've had NO spike and my blood sugar has finally dropped below 11! 
tl;dr - I'm a silly headstrong diabetic who should probably listen to other diabetics</t>
        </is>
      </c>
      <c r="D2459" t="n">
        <v>11</v>
      </c>
      <c r="E2459" t="n">
        <v>12</v>
      </c>
      <c r="F2459">
        <f>HYPERLINK("https://www.reddit.com/r/diabetes/comments/552i8d/preaching_to_the_low_gi_choir/")</f>
        <v/>
      </c>
      <c r="G2459" t="inlineStr">
        <is>
          <t>2016-09-29 07:46:05</t>
        </is>
      </c>
      <c r="H2459" t="inlineStr">
        <is>
          <t>Type 1</t>
        </is>
      </c>
    </row>
    <row r="2460">
      <c r="A2460" t="inlineStr">
        <is>
          <t>554nr3</t>
        </is>
      </c>
      <c r="B2460" t="inlineStr">
        <is>
          <t>Short acting insulin sensitivity.</t>
        </is>
      </c>
      <c r="C2460" t="inlineStr">
        <is>
          <t>Just wondering if anyone else out there is really sensetive to short acting insulin?  I just started taking Novalog (been on nightly shot of Levimir for past 2 years.  Started out on 36 unit and now down to 19)  and I seem to be really sensitive to it.  My doctor has me taking 2 units for every 50mg/dl over 150, with a 1 unit to 15 carb ratio.  This seems to be way to much as I have been getting a bunch of lows around 30 minutes after taking a dose.  Ill get the shakes and start sweating bad and test in the 45-55 range.  Yesterday, i testing late morning 2 hours after waking up low and having a bunch of cereal with no short acting.  I was at 240, so I took 3 untis.  30 minutes later, down to 48.  For lunch today, i tested at 120, took 2 units, and ate a huge plate of lasagna, salad, garlic bread, and fruit cup.  Tested 2 hours later at 78.  Estimated this at around 100 carbs, so that would be more like a 50 to 1 carb ratio.  Anyone else have sensitivity like this?  I should also add, that I am not technically type 1, since my diabetes is due to physical pancreas damage, not autoimmune issues.</t>
        </is>
      </c>
      <c r="D2460" t="n">
        <v>2</v>
      </c>
      <c r="E2460" t="n">
        <v>6</v>
      </c>
      <c r="F2460">
        <f>HYPERLINK("https://www.reddit.com/r/diabetes/comments/554nr3/short_acting_insulin_sensitivity/")</f>
        <v/>
      </c>
      <c r="G2460" t="inlineStr">
        <is>
          <t>2016-09-29 14:49:34</t>
        </is>
      </c>
      <c r="H2460" t="inlineStr">
        <is>
          <t>Type 1</t>
        </is>
      </c>
    </row>
    <row r="2461">
      <c r="A2461" t="inlineStr">
        <is>
          <t>556xth</t>
        </is>
      </c>
      <c r="B2461" t="inlineStr">
        <is>
          <t>Little bit of a panic</t>
        </is>
      </c>
      <c r="C2461" t="inlineStr">
        <is>
          <t>So because I have LADA, which is very slowly progressing to full insulin dependence, and I try to eat the same things so my BG is some kind of predictable, I am not very used to number above 15 (270).
This morning I ate something different  (for me, its 10 o clock now, I ate at 9), and because I ate this meal a few days ago on an afternoon, which is a time that my body is more able to produce or more sensitive to insulin, I though I didn't need any insulin. Well I was wrong, because now I am at 16 (190) and rising. As I am not used to this kind of situations/numbers, I am a little in panic mode.
- I used 4 units of insulin, which is a lot for me, usually dont take more than 2.5.
- I hate myself for not thinking about the amount of carbs in this meal. That I just thought, oh well it went fine in the afternoon so lets go.
- I hate that I didn't take good care of myself. I could have just baked some eggs, which I actually wanted to but didn't do because the kitchen was a mess. So, because of that  laziness I ate a lot of carbs, so because of laziness I am now in this situation.
- Bleh.
Edit:
- I even changed my lancets. Twice.</t>
        </is>
      </c>
      <c r="D2461" t="n">
        <v>2</v>
      </c>
      <c r="E2461" t="n">
        <v>5</v>
      </c>
      <c r="F2461">
        <f>HYPERLINK("https://www.reddit.com/r/diabetes/comments/556xth/little_bit_of_a_panic/")</f>
        <v/>
      </c>
      <c r="G2461" t="inlineStr">
        <is>
          <t>2016-09-30 01:12:00</t>
        </is>
      </c>
      <c r="H2461" t="inlineStr">
        <is>
          <t>Type 1</t>
        </is>
      </c>
    </row>
    <row r="2462">
      <c r="A2462" t="inlineStr">
        <is>
          <t>55cdlx</t>
        </is>
      </c>
      <c r="B2462" t="inlineStr">
        <is>
          <t>4 Months On The T:Slim G4</t>
        </is>
      </c>
      <c r="C2462" t="inlineStr">
        <is>
          <t xml:space="preserve">Okay, first thing, I'm still a tad salty over Tandem announcing their next gen pump only a month after I got on the G4. 
With that out of the way, now I can get into the bulk of this post. 
So as the title says, I've been on the T:Slim G4 for 4 months now. In that 4 months, I've been playing around with my pump and learning the ins and outs of how to try and better control my BGs. I have to say that it's nice to have the option to cut my basal down of  temporarily stop it, in order to treat an oncoming low BG. Being able to bolus on the fly is also very nice. Gosh, I've been missing out on soooo much awesome. 
I do really like having to only change a cartridge and my infusion sets every 2 days or so. No more stabbing myself several times throughout the day, each day. Also being able to see how my BG is trending with the Dexcom G4 is very nice (would be nice if the adhesive lasted longer than it did for me, it starts to go the day after insertion, slowly working itself off and that's with Skin Tac). 
So far I haven't had too many problems with pumping. I've bruised myself once at one of my infusion sites cause I scrapped it across a door frame. Oh and I've also sent my pump swinging on my back. As for serious problems, I've had some. The first pump had a touchscreen issue. It would stop taking touch inputs at times when I'd go to turn the screen on and try to do the 1-2-3 unlock. I had to meet with local rep to have them verify the issue and start the replacement process. The other big problem I had was that I had an infusion set go off before I was ready to insert it. I thought it had inserted fine as I saw no issues with the adhesive and it felt fine. Well I go to get dinner for me and my family at a local diner and while there I started my bolus. I got the food and was driving home when I started to smell something funny. I wasn't sure what it was (my town is a mill town, so sometimes it smells pretty horrible). I eventually realize that the smell was insulin and saw that my shirt was wet around where the infusion set was. When I got home and checked, sure enough the cannula was in half and pointing up. Let's just say that my pump freaked out on me when I went to redo my bolus (after getting another infusion set going), I mean I got absolutely nothing the first time around. The pump told me I had exceeded my max hourly bolus limit. XD So after getting my bolus the second time, the pump said I had 40+ units of IOB. May that be the only time that I have "40+ units IOB". XD
I've also found that I wish I could delete things from my pumps history. Oh the times I've accidentally put my carbs into the BG only to realize what I did after hitting that "Done" button. I've also put in incorrect numbers for my BG (I have a false 400 something number in there where my highest since being on the pump is like 320-ish). Yeah, it'd be nice to be able to get rid of those after bolusing. It'd also be nice to be able to seen exactly when I preformed my last cartridge and infusion set change, within the Current Status section. 
So now for the difference it's made for my a1c. So I had an a1c done back in May, which came out at 8.9% (which was down from 9.8% from September 2015). My a1c for September 2016? 7.8%, down another whole point (it's probably been years and I mean YEARS since I was in the 7s). I'm also using a bit less insulin than I was when doing MDI. On MDI, I was averaging about 125 to 130 units, now I'm down to about 105 units. So to hopefully further drop my insulin requirements, I asked the diabetic educator I saw last month about going on something like metformin, to which she thought that my endo would be okay with that. So she gave me a list of drugs that I could look into (like Victoza and Byetta, as well as metformin). Also over the last few days, I've found that with some exercise (duh) my insulin need goes down (again duh). So with a combo of met and exercise hopefully I can get that 105 down even further, which in turn will help with weight lose. The educator also recommended reading *Pumping Insulin* and *Think Like A Pancreas*. I wish I had the money for both (especially the 6th edition of *Pumping Insulin*, luckily my local library has the 3rd edition from 2000). 
Here's to another year with T1! </t>
        </is>
      </c>
      <c r="D2462" t="n">
        <v>5</v>
      </c>
      <c r="E2462" t="n">
        <v>6</v>
      </c>
      <c r="F2462">
        <f>HYPERLINK("https://www.reddit.com/r/diabetes/comments/55cdlx/4_months_on_the_tslim_g4/")</f>
        <v/>
      </c>
      <c r="G2462" t="inlineStr">
        <is>
          <t>2016-10-01 01:12:58</t>
        </is>
      </c>
      <c r="H2462" t="inlineStr">
        <is>
          <t>Type 1</t>
        </is>
      </c>
    </row>
    <row r="2463">
      <c r="A2463" t="inlineStr">
        <is>
          <t>55e2ij</t>
        </is>
      </c>
      <c r="B2463" t="inlineStr">
        <is>
          <t>Help! My girlfriend won't take her insulin. (Type 1)</t>
        </is>
      </c>
      <c r="C2463" t="inlineStr">
        <is>
          <t xml:space="preserve">My girlfriend has type 1 diabetes and I don't know how to get her to take her insulin. She wears a pump on her arm but she purposefully lowers the dosage and sometimes waters it down. Her parents don't know that she does this (they're convinced that she doesn't know how to use her pump properly) but her doctor does.
She frequently has to go to the hospital because she refuses to take her insulin and she won't tell me why. Her doctor says that if she keeps this up they may force her to go to a clinic (kind of like an eating-disorder clinic, but for insulin). 
I don't know what to do. She won't talk to me about it and it's almost like she can't see that she's hurting me by not taking it.
I don't have diabetes so I can't relate to her on what it's like to have it. I don't want to lose the woman I love. Should I convince her that maybe the clinic will actually help her? 
We are both grown-ass adults and she only has about two semesters left of university before she graduates.
**UPDATE: Thank you to everyone who offered advice, I sincerely appreciate it. I talked to her and I am slowly convincing her to see a professional about it. She admitted that she has an eating disorder, took a lot to get her to say it, but progress is progress.** </t>
        </is>
      </c>
      <c r="D2463" t="n">
        <v>52</v>
      </c>
      <c r="E2463" t="n">
        <v>30</v>
      </c>
      <c r="F2463">
        <f>HYPERLINK("https://www.reddit.com/r/diabetes/comments/55e2ij/help_my_girlfriend_wont_take_her_insulin_type_1/")</f>
        <v/>
      </c>
      <c r="G2463" t="inlineStr">
        <is>
          <t>2016-10-01 10:01:36</t>
        </is>
      </c>
      <c r="H2463" t="inlineStr">
        <is>
          <t>Type 1</t>
        </is>
      </c>
    </row>
    <row r="2464">
      <c r="A2464" t="inlineStr">
        <is>
          <t>55e3yn</t>
        </is>
      </c>
      <c r="B2464" t="inlineStr">
        <is>
          <t>Life Expectancy and [T2] Diabetes - Actuarial Tables?</t>
        </is>
      </c>
      <c r="C2464" t="inlineStr">
        <is>
          <t>I'm sure I'm not the only one here who has this question and I genuinely hope this isn't too much of a downer.
I've googled around and I'm having difficulty finding out average life expectancy for someone diagnosed Type-2 at my age.
Does anyone know where I can find a good actuarial table (or similar) that includes age of diagnosis as a factor?
Per usual: I'm interested in maintaining control of my blood sugar. 
Due to early-middle age dx and previously being *hypo*glycemic, I'd like to have realistic expectations and maybe even help the kids - decades in advance - understand my thoughts.
Facts will help. Can anyone point me in the right direction?</t>
        </is>
      </c>
      <c r="D2464" t="n">
        <v>8</v>
      </c>
      <c r="E2464" t="n">
        <v>9</v>
      </c>
      <c r="F2464">
        <f>HYPERLINK("https://www.reddit.com/r/diabetes/comments/55e3yn/life_expectancy_and_t2_diabetes_actuarial_tables/")</f>
        <v/>
      </c>
      <c r="G2464" t="inlineStr">
        <is>
          <t>2016-10-01 10:09:42</t>
        </is>
      </c>
      <c r="H2464" t="inlineStr">
        <is>
          <t>Type 2</t>
        </is>
      </c>
    </row>
    <row r="2465">
      <c r="A2465" t="inlineStr">
        <is>
          <t>55ewt3</t>
        </is>
      </c>
      <c r="B2465" t="inlineStr">
        <is>
          <t>I'm weak...</t>
        </is>
      </c>
      <c r="C2465" t="inlineStr">
        <is>
          <t>I caved.
I've been craving bread for like the past week and a half.
I figured it wouldn't go well, but I had to know, right?
I made a sandwich.
Tested just now (Hour after.)
I'm at 158. Fuck my life. Just ruined three months straight of no highs.</t>
        </is>
      </c>
      <c r="D2465" t="n">
        <v>2</v>
      </c>
      <c r="E2465" t="n">
        <v>30</v>
      </c>
      <c r="F2465">
        <f>HYPERLINK("https://www.reddit.com/r/diabetes/comments/55ewt3/im_weak/")</f>
        <v/>
      </c>
      <c r="G2465" t="inlineStr">
        <is>
          <t>2016-10-01 13:05:24</t>
        </is>
      </c>
      <c r="H2465" t="inlineStr">
        <is>
          <t>Type 2</t>
        </is>
      </c>
    </row>
    <row r="2466">
      <c r="A2466" t="inlineStr">
        <is>
          <t>55gagh</t>
        </is>
      </c>
      <c r="B2466" t="inlineStr">
        <is>
          <t>How do you fucking live with this.</t>
        </is>
      </c>
      <c r="C2466" t="inlineStr">
        <is>
          <t>Diagnosed with Type 2 at 29. Not really a surprise given both sides of the family tree are lousy with it, or the fact I medicated myself with food for fifteen years to help control severe depression and anxiety. At 230 I'm already down five pounds just trying to control my blood sugar with metformin which has resulted in basically a starvation diet. For example I had 20 shelled peanuts for breakfast. 3 oz. of ham provided dinner and I've been trying to keep hunger pains away with water, which does nothing for the acid reflux. 
Despite my numbers being better I'm constantly feeling weak and lethargic with horrific headaches every time I eat. Looking at diabetic cookbooks has been a depressing experience. I'm not convinced my sense of taste is entirely right given I don't like comfort food staples like mashed potatoes, beans have the taste and texture of a bowl of mud, cheeses taste uncannily like vomit, eggs simply feel like rubber in my mouth and taste only of sulfur, most vegatables are bitter....Anyways looking at recipes is a exercise in despair as portion sizes are tauntingly tiny and even then nothing is food. Hate to put it like that in this sub, but that's honestly how I feel. My family's traditional pastas, gone. Good breads, gone.  Honestly the most promising avenue for feeding myself is buying a bagging attachment for the lawnmower. It'll at least be cheap. 
Given my current situations it's a difficult balance between considering a longer life with little pay off (I'm unlikely to ever see retirement) and little joy, or a shorter one with still little payoff where I can at least enjoy meals.</t>
        </is>
      </c>
      <c r="D2466" t="n">
        <v>19</v>
      </c>
      <c r="E2466" t="n">
        <v>69</v>
      </c>
      <c r="F2466">
        <f>HYPERLINK("https://www.reddit.com/r/diabetes/comments/55gagh/how_do_you_fucking_live_with_this/")</f>
        <v/>
      </c>
      <c r="G2466" t="inlineStr">
        <is>
          <t>2016-10-01 18:42:37</t>
        </is>
      </c>
      <c r="H2466" t="inlineStr">
        <is>
          <t>Type 2</t>
        </is>
      </c>
    </row>
    <row r="2467">
      <c r="A2467" t="inlineStr">
        <is>
          <t>55k5k0</t>
        </is>
      </c>
      <c r="B2467" t="inlineStr">
        <is>
          <t>Possible neuropathy, thoughts?</t>
        </is>
      </c>
      <c r="C2467" t="inlineStr">
        <is>
          <t>Hi, I'm a Type 1 who was diagnosed about 6 months ago. I've recently started getting worried about possible neuropathy.
From when I was diagnosed I noticed a numbness in my thighs and a swelling in my feet and ankles. However, since my body was all kinds of fucked up at the time I brushed it off. 
The thing is that those symptoms haven't gone away.
More recently I've noticed that my legs start to itch or burn when my blood sugar is too high.
From what research I've done, these sound like symptoms of neuropathy, but I've only had the disease for 6 months, which makes it seem kinda unlikely.
Does anyone have any experience which could help put my mind at ease?</t>
        </is>
      </c>
      <c r="D2467" t="n">
        <v>4</v>
      </c>
      <c r="E2467" t="n">
        <v>5</v>
      </c>
      <c r="F2467">
        <f>HYPERLINK("https://www.reddit.com/r/diabetes/comments/55k5k0/possible_neuropathy_thoughts/")</f>
        <v/>
      </c>
      <c r="G2467" t="inlineStr">
        <is>
          <t>2016-10-02 13:43:36</t>
        </is>
      </c>
      <c r="H2467" t="inlineStr">
        <is>
          <t>Type 1</t>
        </is>
      </c>
    </row>
    <row r="2468">
      <c r="A2468" t="inlineStr">
        <is>
          <t>55l8bi</t>
        </is>
      </c>
      <c r="B2468" t="inlineStr">
        <is>
          <t>IV3000 tape?</t>
        </is>
      </c>
      <c r="C2468" t="inlineStr">
        <is>
          <t xml:space="preserve">I have the minimed 530g from Medtronic, and they sent me some of this tape called IV3000 after I told them I was having an allergic reaction to the Mio infusion sets. I went to see my diabetic educator who had no idea how to use the tape. She guessed (oh boy) and told me that you apply it to the skin first, and then put the infusion set over that. I've been nervous about doing it since she seemed to have no clue what she was doing. Is that how the tape works? I've tried looking it up online, but haven't found anything about it. Thanks! </t>
        </is>
      </c>
      <c r="D2468" t="n">
        <v>2</v>
      </c>
      <c r="E2468" t="n">
        <v>5</v>
      </c>
      <c r="F2468">
        <f>HYPERLINK("https://www.reddit.com/r/diabetes/comments/55l8bi/iv3000_tape/")</f>
        <v/>
      </c>
      <c r="G2468" t="inlineStr">
        <is>
          <t>2016-10-02 17:48:01</t>
        </is>
      </c>
      <c r="H2468" t="inlineStr">
        <is>
          <t>Type 1</t>
        </is>
      </c>
    </row>
    <row r="2469">
      <c r="A2469" t="inlineStr">
        <is>
          <t>55nuxj</t>
        </is>
      </c>
      <c r="B2469" t="inlineStr">
        <is>
          <t>Seeking advice to interpret a very weird low</t>
        </is>
      </c>
      <c r="C2469" t="inlineStr">
        <is>
          <t xml:space="preserve">Hello all. As the title says, I need some advice. This is my first post here so I guess an introduction is better first.
I am a type 1 diabetic almost 5 years now. The last three years I use a variety of techniques (ketogenic/zero carb diet, Bernstein's regimen, constant meals etcr) to control my blood sugar and I generally get very good results. Today I had an incident that I am trying to understand and I really need advice.
I was preparing for lunch at 12:00. Did a blood sugar checking, it was 95 mg/dl, and then bolused my usual 5 units of regular for my lunch. I eat the same meal every day at the same time the last three years so I know that this is the exact amount I need. I ate at the 20 mimute hallmark, and then at the 30 minute hallmark I was not feeling very well. I checked my blood sugar and it was 25 mg/dl. Checked again at 26 mg/dl. I drank a ton of juice out of panic and saved the low. I really panicked because this has never happened to me, not once in the almost 3 years now that I practice the Bernstein method, zero carb and standard meals.
- I did not change anything in my usual schedule. No weird exercise, alcohol consumption, other medication etcr. 
-No bolus insulin stacking, last injection was more than 5 hours ago.
- the only thing I can imagine is that the regular insulin started working sooner, but then again, why would this happen? it does not make any sense. Regular is supposed to begin working at the 30 min hallmark, and I was already at 25 mg/dl at that time.
- Many people in other forums suggested that I accidentally injected into muscle/vein. I injected on my belly fat, but some people insisted that even the blood vessels there, if hit, could transport the insulin much quicker than usual.
- the other thing I can think of is insulinoma (cancer of the pancreas), where you may get low blood sugars out of the blue (diabetic or not).
Does anyone have any other idea of what may have happened?
Thank you all, I am trying to figure this out so any ideas are welcomed!
</t>
        </is>
      </c>
      <c r="D2469" t="n">
        <v>6</v>
      </c>
      <c r="E2469" t="n">
        <v>12</v>
      </c>
      <c r="F2469">
        <f>HYPERLINK("https://www.reddit.com/r/diabetes/comments/55nuxj/seeking_advice_to_interpret_a_very_weird_low/")</f>
        <v/>
      </c>
      <c r="G2469" t="inlineStr">
        <is>
          <t>2016-10-03 07:20:19</t>
        </is>
      </c>
      <c r="H2469" t="inlineStr">
        <is>
          <t>Type 1</t>
        </is>
      </c>
    </row>
    <row r="2470">
      <c r="A2470" t="inlineStr">
        <is>
          <t>55p75n</t>
        </is>
      </c>
      <c r="B2470" t="inlineStr">
        <is>
          <t>Equate Blood Test strips in a 2015 One Touch Ultra 2, is it accurate?</t>
        </is>
      </c>
      <c r="C2470" t="inlineStr">
        <is>
          <t>I got diagnosed a year and a half ago as a T2. I went straight to Keto and brought my A1C from 8.9 to 5.0, and lost 65 pounds. This happened a year and a half ago. It has now been 6 months sense I last tested my glucose, and a year sense my last A1C. 6 Months ago my fasting tested at 70 to 80 range, and 2 hours after a meal tested at 80 to 100 range. 
I decided to buy some more test stips to make sure nothing funny is happening with my glucose. Walgreens no longer sells the generic walgreen test strips I was using 6 months ago, and I did not want to spend a bunch of money on their new meter. I have a One Touch Ultra 2, so I got Equate Test strips from walmart.
I tested and my fasting level came back as 108, and after eating breakfast it came back as 122. I then noticed that the equate bottle said it was for meters before October of 2012, but my meter is from 2015. I checked reviews online and their is only one review, and it said it tests 30 points higher then their old meter.
I was wondering if anyone knows how accurate these test strips are, and if me using a newer meter messes up the reading. I know I will have to go buy main brand test strips to know for sure.
Also I did Code the meter correctly, and I am still doing Keto.</t>
        </is>
      </c>
      <c r="D2470" t="n">
        <v>2</v>
      </c>
      <c r="E2470" t="n">
        <v>3</v>
      </c>
      <c r="F2470">
        <f>HYPERLINK("https://www.reddit.com/r/diabetes/comments/55p75n/equate_blood_test_strips_in_a_2015_one_touch/")</f>
        <v/>
      </c>
      <c r="G2470" t="inlineStr">
        <is>
          <t>2016-10-03 11:43:46</t>
        </is>
      </c>
      <c r="H2470" t="inlineStr">
        <is>
          <t>Type 2</t>
        </is>
      </c>
    </row>
    <row r="2471">
      <c r="A2471" t="inlineStr">
        <is>
          <t>55rghv</t>
        </is>
      </c>
      <c r="B2471" t="inlineStr">
        <is>
          <t>A day's worth of data, courtesy of five very holey fingers</t>
        </is>
      </c>
      <c r="C2471" t="inlineStr">
        <is>
          <t>I got a wild hair somewhere and decided I'd take blood sugar readings every half hour all day today.  The data is pasted below.  
First impressions: ouch.  How T1s did this (and still do this) quite literally astounds me.  As an empathy-generation exercise, it's about as effective as I've ever encountered.  I think my pinkies took the worst of it- I don't use them for typing much, and I need my hunt-and-peck fingers for work.  
Meals were LCHF, calorie restricted to about 800kcal for the whole day, roughly 25%/25%/50% in terms of relative sizes for breakfast, lunch and dinner.  I exercised vigorously (light cardio warm-up, multiple sets on weight machines, sit-ups) at the gym for about an hour.  
I was diagnosed T2 with bs at 350mg/dL back in June.  I can't really tell if these numbers mean I'm managing well, or just managing.  I have my follow-up a1c in a few weeks.  I have a feeling I'm going to be put on a daily medication of some sort.  Not looking forward to that.  
Anyway, here's the data, brought to you courtesy of a LOT of holes in my fingers:  
    Time |            Type|BG(mg/dL)|    
    04:30|         Fasting|      115|    
    05:00|         General|      109|    
    05:30|         General|      112|    
    06:00|         General|      112|    
    06:30|         General|      107|    
    07:00|     Preprandial|       94|    
    07:30|    Postprandial|      120|    
    08:00|    Postprandial|      120|    
    08:30|    Postprandial|      124|    
    09:00|         General|      120|    
    09:30|         General|      124|    
    10:00|         General|      110|    
    10:30|         General|      107|    
    11:00|         General|      109|    
    11:30|         General|      106|    
    12:00|     Preprandial|      108|    
    12:30|    Postprandial|      113|    
    13:00|    Postprandial|      112|    
    13:30|    Postprandial|      111|    
    14:00|         General|      104|    
    14:30|         General|      106|    
    15:00|         General|       99|    
    15:30|         General|       98|    
    16:00|         General|       99|    
    16:30|         General|       98|    
    17:00|        Exercise|       96|    
    17:30|        Exercise|       84|    
    18:00|        Exercise|       93|    
    18:30|         General|       94|    
    19:00|         General|       95|    
    19:30|     Preprandial|      101|    
    20:00|    Postprandial|      101|    
    20:30|    Postprandial|      114|    
    21:00|    Postprandial|      111|    
    21:30|         General|      109|  
    22:00|         General|      104|  
    22:30|         Bedtime|      105|  
Comments welcome.  Data is beautiful (and painful).</t>
        </is>
      </c>
      <c r="D2471" t="n">
        <v>5</v>
      </c>
      <c r="E2471" t="n">
        <v>10</v>
      </c>
      <c r="F2471">
        <f>HYPERLINK("https://www.reddit.com/r/diabetes/comments/55rghv/a_days_worth_of_data_courtesy_of_five_very_holey/")</f>
        <v/>
      </c>
      <c r="G2471" t="inlineStr">
        <is>
          <t>2016-10-03 19:45:12</t>
        </is>
      </c>
      <c r="H2471" t="inlineStr">
        <is>
          <t>Type 2</t>
        </is>
      </c>
    </row>
    <row r="2472">
      <c r="A2472" t="inlineStr">
        <is>
          <t>55rl2d</t>
        </is>
      </c>
      <c r="B2472" t="inlineStr">
        <is>
          <t>Supplements/Pills to gain weight?</t>
        </is>
      </c>
      <c r="C2472" t="inlineStr">
        <is>
          <t xml:space="preserve">Been running high numbers consistently for a little while now and have lost some weight. I'm a skinny person in general and I'm losing weight I really don't want to lose. 
I know the first step is to get my sugar under control which is what I'm doing, my question is simply are there any supplements or pills I can take to help gain weight faster? I really don't eat much to begin with, but I've been trying to eat more. 
The last time I had an issue with high blood sugars/weight loss was probably 7 or 8 years ago. I ended up getting my sugar under control and ate high carb meals consistently 
I'm older now and I don't eat as much as I did when I was younger, I'm trying to eat meals regularly but it's difficult with work, busy life, etc. Is there any supplements or pills I can take to stimulate appetite or help aid with weight gain? Any suggestions would be great.  </t>
        </is>
      </c>
      <c r="D2472" t="n">
        <v>3</v>
      </c>
      <c r="E2472" t="n">
        <v>3</v>
      </c>
      <c r="F2472">
        <f>HYPERLINK("https://www.reddit.com/r/diabetes/comments/55rl2d/supplementspills_to_gain_weight/")</f>
        <v/>
      </c>
      <c r="G2472" t="inlineStr">
        <is>
          <t>2016-10-03 20:16:05</t>
        </is>
      </c>
      <c r="H2472" t="inlineStr">
        <is>
          <t>Type 1</t>
        </is>
      </c>
    </row>
    <row r="2473">
      <c r="A2473" t="inlineStr">
        <is>
          <t>55s6zs</t>
        </is>
      </c>
      <c r="B2473" t="inlineStr">
        <is>
          <t>I'm afraid of needles but must inject insulin. I'm a T2 looking for help.</t>
        </is>
      </c>
      <c r="C2473" t="inlineStr">
        <is>
          <t>I'm a T2 diabetic who requires insulin. I'm afraid of needles and have been unsuccessful in injecting myself, so far. My SO used to do it but she's not in my life anymore. I've set up my pen on more than a few occasions, put on a needle, held it up to my stomach and then freeze, and can't bring myself to go through with it. I'm afraid my diabetes is just going to get more and more out of control.
Is a pump even an option for me? Being T2, I don't think an insurance company would cover it under any circumstances. Are there less expensive pumps I could consider? Are needles more involved with a pump than I know about?
I've finally pulled myself out of a deep state of depression, it's taken 6+ years to get to the happy place I currently find myself. My life is looking so much better but this whole needle business is killing me, literally and figuratively. 
Does anybody have this same fear of needles? Any advice would be appreciated. I'm at a loss.</t>
        </is>
      </c>
      <c r="D2473" t="n">
        <v>3</v>
      </c>
      <c r="E2473" t="n">
        <v>28</v>
      </c>
      <c r="F2473">
        <f>HYPERLINK("https://www.reddit.com/r/diabetes/comments/55s6zs/im_afraid_of_needles_but_must_inject_insulin_im_a/")</f>
        <v/>
      </c>
      <c r="G2473" t="inlineStr">
        <is>
          <t>2016-10-03 23:17:10</t>
        </is>
      </c>
      <c r="H2473" t="inlineStr">
        <is>
          <t>Type 2</t>
        </is>
      </c>
    </row>
    <row r="2474">
      <c r="A2474" t="inlineStr">
        <is>
          <t>55sn1j</t>
        </is>
      </c>
      <c r="B2474" t="inlineStr">
        <is>
          <t>Tips for injecting in fat while avoiding possible veins</t>
        </is>
      </c>
      <c r="C2474" t="inlineStr">
        <is>
          <t>Hello all! A question especially for those that are on MDI. Yesterday I had a severe low out of the blue. After lots of searching it finally came out that I acccidentally injected into a vein in my belly fat. I did not know that this could happen, but belly fat has small veins and if you are vey lean like I am it is a possibility (although very rare). Does any of you have any kind of advice or tips about injecting and avoiding possible veins? (I use pens with the smaller length possible (4mm) and I usually inject only on my belly, sometimes in the butt also). I searched in Dr. Bernstein's book and also in all of his teleseminars and did not find any advice about that. Thank you all, any advice is welcomed!</t>
        </is>
      </c>
      <c r="D2474" t="n">
        <v>3</v>
      </c>
      <c r="E2474" t="n">
        <v>10</v>
      </c>
      <c r="F2474">
        <f>HYPERLINK("https://www.reddit.com/r/diabetes/comments/55sn1j/tips_for_injecting_in_fat_while_avoiding_possible/")</f>
        <v/>
      </c>
      <c r="G2474" t="inlineStr">
        <is>
          <t>2016-10-04 02:11:44</t>
        </is>
      </c>
      <c r="H2474" t="inlineStr">
        <is>
          <t>Type 1</t>
        </is>
      </c>
    </row>
    <row r="2475">
      <c r="A2475" t="inlineStr">
        <is>
          <t>55tzpf</t>
        </is>
      </c>
      <c r="B2475" t="inlineStr">
        <is>
          <t>Lumps when injecting?</t>
        </is>
      </c>
      <c r="C2475" t="inlineStr">
        <is>
          <t>I'm quite new to diabetes and sometimes when I inject insulin i get a kind of white lump under my skin and sometimes its like some of the insulin is coming back out. what causes this? It usually happens when I do my lantus at night and it does sting quite a lot as well I just don't really know if this is normal or im doing something wrong.</t>
        </is>
      </c>
      <c r="D2475" t="n">
        <v>16</v>
      </c>
      <c r="E2475" t="n">
        <v>24</v>
      </c>
      <c r="F2475">
        <f>HYPERLINK("https://www.reddit.com/r/diabetes/comments/55tzpf/lumps_when_injecting/")</f>
        <v/>
      </c>
      <c r="G2475" t="inlineStr">
        <is>
          <t>2016-10-04 08:21:10</t>
        </is>
      </c>
      <c r="H2475" t="inlineStr">
        <is>
          <t>Type 1</t>
        </is>
      </c>
    </row>
    <row r="2476">
      <c r="A2476" t="inlineStr">
        <is>
          <t>55uwy0</t>
        </is>
      </c>
      <c r="B2476" t="inlineStr">
        <is>
          <t>Ratio decrease as carbs increase?</t>
        </is>
      </c>
      <c r="C2476" t="inlineStr">
        <is>
          <t>I'm wondering if anyone else changes their ratio for larger meals?
I have done this with good success and I'm wondering if there is something to the "amount" of insulin being related to how much it works.
For instance, I usually run a 1:9 carb ratio for lunch &amp;amp; dinner. However, today, I had a turkey sub with some chips. This is a lot more carbs than I am used to, so when I calculated it out, my IOB calculator wanted me to take about 8 units. I just didn't fell comfortable doing that since I was sitting around 81 at the time. I decided to back off to 6.5u (figuring I could adjust later).
Now I'm sitting 2 hours later with a steady line at 98. Had I taken the 8 units based on my normal ratio, I would have probably plunged into the 50's or lower.
I have noticed this a few times now, where a tend to have to back off larger doses, and they always end up fine. Whereas, if I back off a dose for a lower carb meal I end up high.
Just another diabetic oddity, or is there something else at work here?</t>
        </is>
      </c>
      <c r="D2476" t="n">
        <v>4</v>
      </c>
      <c r="E2476" t="n">
        <v>8</v>
      </c>
      <c r="F2476">
        <f>HYPERLINK("https://www.reddit.com/r/diabetes/comments/55uwy0/ratio_decrease_as_carbs_increase/")</f>
        <v/>
      </c>
      <c r="G2476" t="inlineStr">
        <is>
          <t>2016-10-04 11:18:29</t>
        </is>
      </c>
      <c r="H2476" t="inlineStr">
        <is>
          <t>Type 1</t>
        </is>
      </c>
    </row>
    <row r="2477">
      <c r="A2477" t="inlineStr">
        <is>
          <t>55v63c</t>
        </is>
      </c>
      <c r="B2477" t="inlineStr">
        <is>
          <t>Starting with the G5 CGM</t>
        </is>
      </c>
      <c r="C2477" t="inlineStr">
        <is>
          <t>I have a G5 sitting in a box in my house because I was put off by the absence of training and was also struggling with getting used to my new pump.  Can anyone recommend a source to help get started with the CGM? I feel so overwhelmed and would feel bad if I constantly bombed this sub with questions that have already been answered.  TIA</t>
        </is>
      </c>
      <c r="D2477" t="n">
        <v>3</v>
      </c>
      <c r="E2477" t="n">
        <v>18</v>
      </c>
      <c r="F2477">
        <f>HYPERLINK("https://www.reddit.com/r/diabetes/comments/55v63c/starting_with_the_g5_cgm/")</f>
        <v/>
      </c>
      <c r="G2477" t="inlineStr">
        <is>
          <t>2016-10-04 12:05:51</t>
        </is>
      </c>
      <c r="H2477" t="inlineStr">
        <is>
          <t>Type 1</t>
        </is>
      </c>
    </row>
    <row r="2478">
      <c r="A2478" t="inlineStr">
        <is>
          <t>55vuu3</t>
        </is>
      </c>
      <c r="B2478" t="inlineStr">
        <is>
          <t>Feeling down</t>
        </is>
      </c>
      <c r="C2478" t="inlineStr">
        <is>
          <t xml:space="preserve">I have an apointment Thursday to get a temporary CGM from my doc, he wants me to wear it for 5 days so he can get some baseline numers. This is just starting to feel too real.  Scared, depressed, angry terrified. I dont know how all of you stay so strong. I just feel like life as I knew it is over. Sorry if a rant like this is against rules, and if it is MODS feel free to delete, but I just needed to vent and was hoping to hear from some of you pros how you get through all this. Man I miss rice and pasta and bread and ice cream but I like living so i guess its a fair trade off but it sucks to miss out on all the foods i used to love.
TL;DR
Scared of CGM, T2 , all of this, just looking for some hope and inspiration.
</t>
        </is>
      </c>
      <c r="D2478" t="n">
        <v>8</v>
      </c>
      <c r="E2478" t="n">
        <v>16</v>
      </c>
      <c r="F2478">
        <f>HYPERLINK("https://www.reddit.com/r/diabetes/comments/55vuu3/feeling_down/")</f>
        <v/>
      </c>
      <c r="G2478" t="inlineStr">
        <is>
          <t>2016-10-04 14:14:09</t>
        </is>
      </c>
      <c r="H2478" t="inlineStr">
        <is>
          <t>Type 2</t>
        </is>
      </c>
    </row>
    <row r="2479">
      <c r="A2479" t="inlineStr">
        <is>
          <t>55ztp0</t>
        </is>
      </c>
      <c r="B2479" t="inlineStr">
        <is>
          <t>I did it guys!!!!</t>
        </is>
      </c>
      <c r="C2479" t="inlineStr">
        <is>
          <t>I did it!! My a1c was 6.5 at my appointment! I have been working so hard to get it down and I did it!! I love you guys, this is such a supportive community! &amp;lt;3</t>
        </is>
      </c>
      <c r="D2479" t="n">
        <v>91</v>
      </c>
      <c r="E2479" t="n">
        <v>13</v>
      </c>
      <c r="F2479">
        <f>HYPERLINK("https://www.reddit.com/r/diabetes/comments/55ztp0/i_did_it_guys/")</f>
        <v/>
      </c>
      <c r="G2479" t="inlineStr">
        <is>
          <t>2016-10-05 07:48:48</t>
        </is>
      </c>
      <c r="H2479" t="inlineStr">
        <is>
          <t>Type 2</t>
        </is>
      </c>
    </row>
    <row r="2480">
      <c r="A2480" t="inlineStr">
        <is>
          <t>55zvnm</t>
        </is>
      </c>
      <c r="B2480" t="inlineStr">
        <is>
          <t>SO got super low last night &amp;amp; now I'm totally freaked out</t>
        </is>
      </c>
      <c r="C2480" t="inlineStr">
        <is>
          <t xml:space="preserve">ETA: I still feel fairly new to this disease and all the terminology and knowledge that goes along with it, so please forgive me if I misspeak or don't use the appropriate lingo (and please correct me so I don't do it again!). 
I am the SO (30F) of a person (40M) with Type 1 diabetes (as is probably abundantly apparent based on my flair). He was diagnosed when he was 21, so obviously he's been dealing with this for quite some time. 
We've been together for about a year &amp;amp; a half, and have been living together since June. I've obviously been with him before when he's gotten low, having to acquire sugar quickly is not something that's new or foreign to me. 
In the past couple of weeks, he's started refereeing soccer games, so he's been running around a lot. I would say that prior to this, he was a fairly active person, but obviously the difference between hitting the elliptical for thirty minutes a few times a week or going for a walk after dinner and running around continuously for upwards of ninety minutes would be significant for anyone.
I know he's been trying to get the blood sugar thing right now that he's working out more, and it's been going okay. He had one night early last week when his blood sugars seemed to be plunging quickly, but it was around 6 PM and I was home and awake, and he was able to correct in fairly short order. 
Last night he came home later than usual because he went out after his game, waited longer to eat dinner than usual, and probably did not eat enough/wait long enough after eating before going to bed. He's cognizant of all these factors, so hopefully an incident like this won't happen again...
Anyway, at around 11:45 PM, I heard him get up and beeline to the kitchen. I heard him chugging something, which I assumed was Gatorade or Mountain Dew (turned out to be Gatorade), so I knew he was low. Then I heard a really loud groan/sigh type noise, so I started to get up out of bed to see if he needed anything else, and he was straight up just on the floor with an empty Gatorade bottle next to him - conscious, but he had his head down on the rug. I grabbed him and he was able to roll over and prop himself against the cabinets with my assistance. I got a bunch of glucose packets from his gym bag - he was with it enough to indicate that's what he wanted - and also grabbed one of our emergency kits from his bag and started to try to get that going while he was sucking down the glucose packets. Of course, I was trying to do too many things at once, so I hit the needle on the side of the little vial thing and bent it and was briefly at a complete loss as to where our one hundred other emergency kits were located in the house. Meanwhile, he was sort of waving me off the emergency kit and managed to get out that he thought he was coming back. He did seem to be regaining some semblance of normalcy, so I sat with him for a few minutes and made sure that was the case, then went rummaging through the bathroom once I had regained my mental footing and found another emergency kit. By the time I got back, he was markedly better, waved me off the emergency kit again, and after a few minutes, was able to speak and hold his head up and seemed to be improving exponentially.
He ended up being fine, but I don't think either of us got much sleep for the rest of the night...and now I'm totally freaked out. I'm grateful that we are always well stocked with sugary items and other things we needed, and although I'm pissed at myself for messing up the needle on the first emergency kit, I know that if I had taken a second to regroup, I could have found the other one much more quickly than I did. I was just so goddamn scared...even after we were able to get him propped up against the cabinets and get some sugar in him, his face was just totally white and he was dripping sweat and having trouble keeping his eyes open and holding his head up. Maybe it's overreacting, but I've never seen anyone like that, especially not someone this close to me. I'm not super emotional or a crier really, but I can't think about it without bursting into tears. 
I guess I'm not really sure why I'm posting this, except maybe someone has some words of wisdom or support to offer. I don't have any friends or acquaintances who either have diabetes or have a partner who has it. As I mentioned above, we discussed some of the factors that could have led to this, and hopefully it won't happen again if those things are taken into account. I also made him turn the alarm settings on his pump back on, which he had off because apparently they kept going off at work (as if I give a shit if they're going off at work if it saves his life). Is there anything else I should have done (short of calling 911, which, trust me, my phone was within reach for that purpose at all times)? I'm a very very light sleeper, so I don't doubt that if I'm there, I will wake up, but I'm terrified that I won't be able to help in time, and I'm doubly terrified to leave him alone for the night. Clearly I can't be by his side EVERY SECOND OF THE DAY AND NIGHT ALWAYS, so I'll have to get over that. He also has a four year old son, who, THANK GOD wasn't there, but we have him half the time, so he very well could have been. In addition to this, I don't want him to worry too much about me being scared or upset. He knows I was scared, but I'm reluctant to go too in-depth about it with him, because I truly want him to take care of himself right now and think of me as someone he can count on if a situation like that arises again.
I don't really know what I'm asking here, but it feels right to reach out to a group who might understand and have some insight about something like this. </t>
        </is>
      </c>
      <c r="D2480" t="n">
        <v>12</v>
      </c>
      <c r="E2480" t="n">
        <v>24</v>
      </c>
      <c r="F2480">
        <f>HYPERLINK("https://www.reddit.com/r/diabetes/comments/55zvnm/so_got_super_low_last_night_now_im_totally/")</f>
        <v/>
      </c>
      <c r="G2480" t="inlineStr">
        <is>
          <t>2016-10-05 08:00:09</t>
        </is>
      </c>
      <c r="H2480" t="inlineStr">
        <is>
          <t>Type 1</t>
        </is>
      </c>
    </row>
    <row r="2481">
      <c r="A2481" t="inlineStr">
        <is>
          <t>5600ob</t>
        </is>
      </c>
      <c r="B2481" t="inlineStr">
        <is>
          <t>Thank You!</t>
        </is>
      </c>
      <c r="C2481" t="inlineStr">
        <is>
          <t>So I had an endo appointment yesterday for the first time since I decided to start taking my diabetes seriously. Back in May my a1c was nearly 12% and I had been uncontrolled essentially since I was diagnosed in 2012. Since then, I decided that I needed to get this under control, I started doing a lot of research. I joined Beyond Type 1 and have been semi-active on this sub. I cannot tell you how much these two communities have helped me in my success. 
I'm happy to say my a1c is at 6.7% now and while I still have some work to do (I'd like to be in the 5's) I am so glad to see all my hard work paying off. 
To anyone out there struggling with control or burn out, please know you are not alone and there are a ton of great people always willing to help! You guys are the best!</t>
        </is>
      </c>
      <c r="D2481" t="n">
        <v>13</v>
      </c>
      <c r="E2481" t="n">
        <v>4</v>
      </c>
      <c r="F2481">
        <f>HYPERLINK("https://www.reddit.com/r/diabetes/comments/5600ob/thank_you/")</f>
        <v/>
      </c>
      <c r="G2481" t="inlineStr">
        <is>
          <t>2016-10-05 08:27:38</t>
        </is>
      </c>
      <c r="H2481" t="inlineStr">
        <is>
          <t>Type 1</t>
        </is>
      </c>
    </row>
    <row r="2482">
      <c r="A2482" t="inlineStr">
        <is>
          <t>560nn8</t>
        </is>
      </c>
      <c r="B2482" t="inlineStr">
        <is>
          <t>Sister is in the hospital, need to vent.</t>
        </is>
      </c>
      <c r="C2482" t="inlineStr">
        <is>
          <t>Just need to vent a bit.
My sister is in the hospital for an abscess in her foot. She's also diabetic, but was diagnosed around 20 years ago (T2). I went to visit her last night, and got there as she was eating dinner. 
Her dinner consisted of some kind of breaded meat, with pasta and marinara sauce poured over the whole plate. She had a small side salad, couldn't have been a half cup, mostly iceberg lettuce, one slice of cucumber and a cherry tomato. Dessert was a cherry crumble, with whipped cream. FWIW, she wasn't given any choices. They're correcting her BG levels with insulin!
She doesn't self test, but she knows her levels while in hospital. She's running over 200! One of the IV drips that she had ended up having glucose in it.
I am astounded by the error with the IV and how they're caring for a T2. I don't know how common this is, I've never had but outpatient care for any of the procedures I've undergone.
EDIT: Some spelling typos.</t>
        </is>
      </c>
      <c r="D2482" t="n">
        <v>18</v>
      </c>
      <c r="E2482" t="n">
        <v>32</v>
      </c>
      <c r="F2482">
        <f>HYPERLINK("https://www.reddit.com/r/diabetes/comments/560nn8/sister_is_in_the_hospital_need_to_vent/")</f>
        <v/>
      </c>
      <c r="G2482" t="inlineStr">
        <is>
          <t>2016-10-05 10:28:22</t>
        </is>
      </c>
      <c r="H2482" t="inlineStr">
        <is>
          <t>Type 2</t>
        </is>
      </c>
    </row>
    <row r="2483">
      <c r="A2483" t="inlineStr">
        <is>
          <t>56172q</t>
        </is>
      </c>
      <c r="B2483" t="inlineStr">
        <is>
          <t>Type1- Is my girlfriend going to lose her toe?</t>
        </is>
      </c>
      <c r="C2483" t="inlineStr">
        <is>
          <t>Previously she cut her toenail (Big toe) too short and it became ingrown and infected, but they cut away the sides of the nail and sorted that out.  
But she stupidly cut her nail too short on her other Toe and her blood has been a little crazy (Jumping up to 33+) and she's had to spend a couple of nights in the hospital and her toe infection is not healing, they told her the other day she has a 'diabetic ulcer' in her toe and she has an appointment with a foot Doctor this Friday. How dangerous is this, can she lose her toe? She's 18</t>
        </is>
      </c>
      <c r="D2483" t="n">
        <v>4</v>
      </c>
      <c r="E2483" t="n">
        <v>2</v>
      </c>
      <c r="F2483">
        <f>HYPERLINK("https://www.reddit.com/r/diabetes/comments/56172q/type1_is_my_girlfriend_going_to_lose_her_toe/")</f>
        <v/>
      </c>
      <c r="G2483" t="inlineStr">
        <is>
          <t>2016-10-05 12:09:33</t>
        </is>
      </c>
      <c r="H2483" t="inlineStr">
        <is>
          <t>Type 1</t>
        </is>
      </c>
    </row>
    <row r="2484">
      <c r="A2484" t="inlineStr">
        <is>
          <t>561dl6</t>
        </is>
      </c>
      <c r="B2484" t="inlineStr">
        <is>
          <t>A1C in non-diabetic range!!!!</t>
        </is>
      </c>
      <c r="C2484" t="inlineStr">
        <is>
          <t>Upon diagnosis, my A1C was 14.7.
Today, I am proud to say that I just got the results of my latest blood test.
A1C: 5.3
I'm currently eating a relatively large bowl of carbsmart ice cream to celebrate.</t>
        </is>
      </c>
      <c r="D2484" t="n">
        <v>30</v>
      </c>
      <c r="E2484" t="n">
        <v>4</v>
      </c>
      <c r="F2484">
        <f>HYPERLINK("https://www.reddit.com/r/diabetes/comments/561dl6/a1c_in_nondiabetic_range/")</f>
        <v/>
      </c>
      <c r="G2484" t="inlineStr">
        <is>
          <t>2016-10-05 12:43:29</t>
        </is>
      </c>
      <c r="H2484" t="inlineStr">
        <is>
          <t>Type 2</t>
        </is>
      </c>
    </row>
    <row r="2485">
      <c r="A2485" t="inlineStr">
        <is>
          <t>561ecu</t>
        </is>
      </c>
      <c r="B2485" t="inlineStr">
        <is>
          <t>How worried should Type 2's be about hypos?</t>
        </is>
      </c>
      <c r="C2485" t="inlineStr">
        <is>
          <t>I saw my doctor today, and the diabetic nurse they have on staff. I treat her a bit like a free therapist lol. But anyway, I once asked my doctor how much was too low and I was told my range should be 3.9 (70) - 5.5 (100) and that 3.9 was totally fine. However today the nurse was scolding me because i've seen a few 4.2's lately. I do keto and don't really know how i would prevent hypos other than just by snacking when I'm low. Please educate the noob. 
edit: non insulin dependent diabetic.</t>
        </is>
      </c>
      <c r="D2485" t="n">
        <v>3</v>
      </c>
      <c r="E2485" t="n">
        <v>24</v>
      </c>
      <c r="F2485">
        <f>HYPERLINK("https://www.reddit.com/r/diabetes/comments/561ecu/how_worried_should_type_2s_be_about_hypos/")</f>
        <v/>
      </c>
      <c r="G2485" t="inlineStr">
        <is>
          <t>2016-10-05 12:47:30</t>
        </is>
      </c>
      <c r="H2485" t="inlineStr">
        <is>
          <t>Type 2</t>
        </is>
      </c>
    </row>
    <row r="2486">
      <c r="A2486" t="inlineStr">
        <is>
          <t>5621ym</t>
        </is>
      </c>
      <c r="B2486" t="inlineStr">
        <is>
          <t>How did you find out?</t>
        </is>
      </c>
      <c r="C2486" t="inlineStr">
        <is>
          <t xml:space="preserve">I'm experiencing a slight numbness on the outside of both my big toes and it's been persisting for over a month.  It's starting to freak me out and I'm worried that I might have developed type 2. 
I'm also waking up in the middle of the night to urinate often and often my pee smells kind of like honey smacks or oats. 
I've booked a doctors appointment and I hope to get an answer soon.
How was your diagnosis discovered?
</t>
        </is>
      </c>
      <c r="D2486" t="n">
        <v>7</v>
      </c>
      <c r="E2486" t="n">
        <v>20</v>
      </c>
      <c r="F2486">
        <f>HYPERLINK("https://www.reddit.com/r/diabetes/comments/5621ym/how_did_you_find_out/")</f>
        <v/>
      </c>
      <c r="G2486" t="inlineStr">
        <is>
          <t>2016-10-05 14:54:51</t>
        </is>
      </c>
      <c r="H2486" t="inlineStr">
        <is>
          <t>Type 2</t>
        </is>
      </c>
    </row>
    <row r="2487">
      <c r="A2487" t="inlineStr">
        <is>
          <t>565ecp</t>
        </is>
      </c>
      <c r="B2487" t="inlineStr">
        <is>
          <t>I feel like a cyborg...Thank you</t>
        </is>
      </c>
      <c r="C2487" t="inlineStr">
        <is>
          <t xml:space="preserve">Just got out of the doctor's office. He put on a cgms iPro2.
Still need to do my regular glucose metering but this will help get him more data right?
I couldn't have gotten through this alone. While I was laying on the exam table I was reading the sub and thinking about how awesome you all are. Your support has been amazing. Thank you all.
</t>
        </is>
      </c>
      <c r="D2487" t="n">
        <v>11</v>
      </c>
      <c r="E2487" t="n">
        <v>8</v>
      </c>
      <c r="F2487">
        <f>HYPERLINK("https://www.reddit.com/r/diabetes/comments/565ecp/i_feel_like_a_cyborgthank_you/")</f>
        <v/>
      </c>
      <c r="G2487" t="inlineStr">
        <is>
          <t>2016-10-06 06:35:56</t>
        </is>
      </c>
      <c r="H2487" t="inlineStr">
        <is>
          <t>Type 2</t>
        </is>
      </c>
    </row>
    <row r="2488">
      <c r="A2488" t="inlineStr">
        <is>
          <t>56634s</t>
        </is>
      </c>
      <c r="B2488" t="inlineStr">
        <is>
          <t>New Diabetic Seeking Advice</t>
        </is>
      </c>
      <c r="C2488" t="inlineStr">
        <is>
          <t>Hi everybody. Three years ago I got contradictory results on two diabetes tests (a1c and blood glucose) so I just ignored it. Today I got back an A1C of 10.8, so we're officially not ignoring it any more. 
I'm going on metformin, and my doctor mentioned an autoinjector of Victoza I'm very leery of. 
Any advice for getting started on diet and lifestyle changes? Pro tips for eating at places like Qdoba and not killing myself? Apps I should use?
Thank you all!</t>
        </is>
      </c>
      <c r="D2488" t="n">
        <v>3</v>
      </c>
      <c r="E2488" t="n">
        <v>7</v>
      </c>
      <c r="F2488">
        <f>HYPERLINK("https://www.reddit.com/r/diabetes/comments/56634s/new_diabetic_seeking_advice/")</f>
        <v/>
      </c>
      <c r="G2488" t="inlineStr">
        <is>
          <t>2016-10-06 08:59:05</t>
        </is>
      </c>
      <c r="H2488" t="inlineStr">
        <is>
          <t>Type 2</t>
        </is>
      </c>
    </row>
    <row r="2489">
      <c r="A2489" t="inlineStr">
        <is>
          <t>56641s</t>
        </is>
      </c>
      <c r="B2489" t="inlineStr">
        <is>
          <t>Feeling low while blood sugar is 'normal'</t>
        </is>
      </c>
      <c r="C2489" t="inlineStr">
        <is>
          <t>I'm pretty ashamed to admit this but here it goes.  I've been in a spell of having really bad, high numbers (there's a back story to this but it's complicated.)  Now that I'm back on track, I'm experiencing the feeling of being low when I'm actually within range.  Is there something in particular that I should be doing or should I just suck it up and things will normalize?  My biggest concern is... is it just the FEELING of being low or is it relative?  Meaning, I'm not actually in the kind of danger I would be if I WAS actually low (below target.)  It's a little scary for me because I commute to work and do a lot of walking.  The last thing I want to do is eat to get rid of the low feelings if I don't have to.  I hope this makes sense.  I put a call in to my doctor but it's likely that she won't be able to get back to me for a few hours.  Thanks for any advice. I've never had to deal with this before because my numbers have never been so out of control before.</t>
        </is>
      </c>
      <c r="D2489" t="n">
        <v>5</v>
      </c>
      <c r="E2489" t="n">
        <v>16</v>
      </c>
      <c r="F2489">
        <f>HYPERLINK("https://www.reddit.com/r/diabetes/comments/56641s/feeling_low_while_blood_sugar_is_normal/")</f>
        <v/>
      </c>
      <c r="G2489" t="inlineStr">
        <is>
          <t>2016-10-06 09:03:35</t>
        </is>
      </c>
      <c r="H2489" t="inlineStr">
        <is>
          <t>Type 1</t>
        </is>
      </c>
    </row>
    <row r="2490">
      <c r="A2490" t="inlineStr">
        <is>
          <t>5670p6</t>
        </is>
      </c>
      <c r="B2490" t="inlineStr">
        <is>
          <t>Recently Diagnosed, Still Working Through Some Emotions</t>
        </is>
      </c>
      <c r="C2490" t="inlineStr">
        <is>
          <t>I'm a 23 year old male from Arkansas and I was diagnosed with diabetes last Saturday. It really wasn't a shock. A few weeks back my doctor had run some blood tests and I discovered my A1C was at 8.0 which led him to diagnose me as pre-diabetic. How I found out that I had graduated to full blown diabetes was unique, if not embarrassing. 
Fast forward a few weeks and I started to notice that my penis and foreskin (not circumcised) was starting to become very swollen, tight, and painful. I went to a walk-in clinic this past Saturday to find out what was going on. They ran a urine test and found glucose in my urine. They then ran a blood test and found that my glucose level was over 250. Apparently, the glucose in my urine had caused a fungal infection to form on my genitals which had led to my uncomfortable symptoms. 
Like I said, it was not exactly a shock but I did feel like a failure for allowing my condition to escalate so quickly. I also had to deal with feelings of shame and guilt. My father has diabetes and my parents had been fat shaming me warning me that I would end up with diabetes if I didn't lose weight. In the end their assertions were right, but I don't know if I can take their continued shaming once I tell them. 
I've been able to work through some of these feelings, but continue to be apprehensive about the future. I had a visit with my doctor yesterday and he prescribed Metformin and Lisinopril to get my glucose and blood pressure under control. I've also signed up for a diabetes education class later this month at his practice. In addition, I will be picking up a glucose monitor and test strips today to monitor my glucose levels. My apprehensions aside, my immediate concern is learning to test my glucose correctly. I am very worried that I will not take accurate readings or something. I'm hoping some of the resources on here will be able to help me out. 
I also hope to get to the point where my medication no longer makes me feel nauseous or dizzy anymore and can get my blood glucose down to normal levels again. Thanks for reading through my story. I hope my participation here will help me in my journey to successfully manage my diabetes.</t>
        </is>
      </c>
      <c r="D2490" t="n">
        <v>14</v>
      </c>
      <c r="E2490" t="n">
        <v>41</v>
      </c>
      <c r="F2490">
        <f>HYPERLINK("https://www.reddit.com/r/diabetes/comments/5670p6/recently_diagnosed_still_working_through_some/")</f>
        <v/>
      </c>
      <c r="G2490" t="inlineStr">
        <is>
          <t>2016-10-06 11:53:21</t>
        </is>
      </c>
      <c r="H2490" t="inlineStr">
        <is>
          <t>Type 2</t>
        </is>
      </c>
    </row>
    <row r="2491">
      <c r="A2491" t="inlineStr">
        <is>
          <t>567jcn</t>
        </is>
      </c>
      <c r="B2491" t="inlineStr">
        <is>
          <t>Type 1 Diagnosis in late 30's</t>
        </is>
      </c>
      <c r="C2491" t="inlineStr">
        <is>
          <t>Hi everyone.
I'm a recently diagnosed T1 diabetic ; It has been just about a year now since my diagnosis.
I am in my late 30's. For the longest time ( maybe 2 years ) i would wake up in the middle of the night completely drenched in sweat to the point i would have to dry off with a towel. Around this time i would often also attack a box of cakes eating the whole thing. Things progressed , frequent urination.. ( every 30 minutes at least. ) Dehydrated to the point i would drink a 2 litre bottle of coke in a sitting , along with all the juice in the house etc.  I would go buy 5 chicken burgers and still be hungry etc...
Now that I am indeed diagnosed as a T1 which as i understand is an autoimmune disease.. I am having other complications. Diabetic neuropathy of the feet... which has somewhat alleviated itself since i have been undergoing B12 ( or was it B1 ) injections. Another thing I have is Knee pain. This pain at times can be so painful i literally cannot bend my knee. After x-rays were taken of my Knees the Doctor said i have arthritis and the cartilage in the knees is worn down. I also have some issues with my back , and the inability to maintain correct posture.
Since i have an autoimmune disease would it not be so far fetched to think that my body may be infected with another autoimmune disease which would or could explain the erosion in my knees and the constant pain i feel?
I'm trying so hard to get my life back on track.
I also often wonder if the constant act of going hypoglycemic without knowing over the past 2 years may have caused some type of cognitive decline with my brain? I don't feel as sharp as i used to.
I had a great career and around the time everything fell apart is when i started experiencing these systems.
Years ago i was diagnosed as a pre-diabetic... is it possible at that point i was already diabetic and another test would have been needed to confirm it? I'm thinking i was most probably a type 2 before migrating to the type 1?
I'm still trying to figure this all out... 3am this morning my BG level hit 3.2 ... woke up drenched and stumbled to the fridge to get some orange juice... took 200 ml... went back to lay down for 15 minutes waiting to take my 15grams of carbs and ended up falling asleep.
The lowest i have hit yet is 2.4mmol... I asked the Doctor from a 4.0mmol - Zero mmol at which point will i go unconscious.. she says long before you hit ZERO... this has me quite scared since I've already hit 2.4 and I am unaware for the most part when i am low right now... until i hit the lower 3mmol range.
Jesus. I'm not sure what answers I'm looking for. I just want to be myself again but I am really thinking a year or two of experiencing hypoglycemia on a daily basis multiple times ( i just thought i was starving and didn;t eat enough ) has effected my cognitive ability. Is that possible? 
thanks everyone for all your input.
-Edit
I went from having a great career where the sky was the limit... and losing it to refusing an 80K a year job because i was so sick and refused medical attention... to losing my fiance whom i had been with for over 13 years to where I am now.. trying to pick myself back up And i'm not sure I will ever be the same person i was. The passion i once had , the attention span the ability to focus on one subject and excel at it has faded away.</t>
        </is>
      </c>
      <c r="D2491" t="n">
        <v>4</v>
      </c>
      <c r="E2491" t="n">
        <v>14</v>
      </c>
      <c r="F2491">
        <f>HYPERLINK("https://www.reddit.com/r/diabetes/comments/567jcn/type_1_diagnosis_in_late_30s/")</f>
        <v/>
      </c>
      <c r="G2491" t="inlineStr">
        <is>
          <t>2016-10-06 13:27:58</t>
        </is>
      </c>
      <c r="H2491" t="inlineStr">
        <is>
          <t>Type 1</t>
        </is>
      </c>
    </row>
    <row r="2492">
      <c r="A2492" t="inlineStr">
        <is>
          <t>567qh4</t>
        </is>
      </c>
      <c r="B2492" t="inlineStr">
        <is>
          <t>Ingesting Alcohol before supper.... Question</t>
        </is>
      </c>
      <c r="C2492" t="inlineStr">
        <is>
          <t>The dieticians told me to eat some foods ( fatty? ) while drinking alcohol and NOT to use insulin. 
My question is , If i have had one or two beers right before supper... do i do as suggested and avoid injecting the insulin dosage i usually calculate for carb intake?
I'd imagine if i Drink then eat a supper ; without injecting my BG levels will be through the roof?</t>
        </is>
      </c>
      <c r="D2492" t="n">
        <v>8</v>
      </c>
      <c r="E2492" t="n">
        <v>11</v>
      </c>
      <c r="F2492">
        <f>HYPERLINK("https://www.reddit.com/r/diabetes/comments/567qh4/ingesting_alcohol_before_supper_question/")</f>
        <v/>
      </c>
      <c r="G2492" t="inlineStr">
        <is>
          <t>2016-10-06 14:04:33</t>
        </is>
      </c>
      <c r="H2492" t="inlineStr">
        <is>
          <t>Type 1</t>
        </is>
      </c>
    </row>
    <row r="2493">
      <c r="A2493" t="inlineStr">
        <is>
          <t>568bh9</t>
        </is>
      </c>
      <c r="B2493" t="inlineStr">
        <is>
          <t>Can I drink?</t>
        </is>
      </c>
      <c r="C2493" t="inlineStr">
        <is>
          <t>I'm 22 years old. I've... never had my first drink.
Yeah.
Between not ever knowing my bio-dad to becoming Type 2 at the age of 20, it just never happened.
So, yeah. Now that my A1C is 5.3, I had a sandwich for the first time in years. (Relax. Whole Wheat, 20g total carbs)
So, can I drink now? (Thinking low-carb beer.) I'm honestly not sure how to handle this. I've never had a low in my life, and I don't take insulin. So, should I just go for it?</t>
        </is>
      </c>
      <c r="D2493" t="n">
        <v>2</v>
      </c>
      <c r="E2493" t="n">
        <v>7</v>
      </c>
      <c r="F2493">
        <f>HYPERLINK("https://www.reddit.com/r/diabetes/comments/568bh9/can_i_drink/")</f>
        <v/>
      </c>
      <c r="G2493" t="inlineStr">
        <is>
          <t>2016-10-06 16:08:45</t>
        </is>
      </c>
      <c r="H2493" t="inlineStr">
        <is>
          <t>Type 2</t>
        </is>
      </c>
    </row>
    <row r="2494">
      <c r="A2494" t="inlineStr">
        <is>
          <t>568e6s</t>
        </is>
      </c>
      <c r="B2494" t="inlineStr">
        <is>
          <t>Type 1: Blood pooling under Dexcom 4 sensor?</t>
        </is>
      </c>
      <c r="C2494" t="inlineStr">
        <is>
          <t>I just inserted a new Dexcom 4 sensor on my stomach and noticed a lot of blood pooling underneath. It doesn't hurt at all. Do I need to put in a new sensor? Should I just wait to see if it's accurate before I do anything?
Thanks for your help!</t>
        </is>
      </c>
      <c r="D2494" t="n">
        <v>2</v>
      </c>
      <c r="E2494" t="n">
        <v>5</v>
      </c>
      <c r="F2494">
        <f>HYPERLINK("https://www.reddit.com/r/diabetes/comments/568e6s/type_1_blood_pooling_under_dexcom_4_sensor/")</f>
        <v/>
      </c>
      <c r="G2494" t="inlineStr">
        <is>
          <t>2016-10-06 16:24:21</t>
        </is>
      </c>
      <c r="H2494" t="inlineStr">
        <is>
          <t>Type 1</t>
        </is>
      </c>
    </row>
    <row r="2495">
      <c r="A2495" t="inlineStr">
        <is>
          <t>56i10f</t>
        </is>
      </c>
      <c r="B2495" t="inlineStr">
        <is>
          <t>Can Metformin lead to reactive hypos?</t>
        </is>
      </c>
      <c r="C2495" t="inlineStr">
        <is>
          <t xml:space="preserve">While I know that Metformin won't cause hypos in and of itself, is it possible for it to trigger a reactive hypo after eating a carb-y meal? 
I jump up to the mid- to upper- 100s within an hour after eating (which I expect, considering the carb load) but then drop to the 60s or 70s at the 2 hour mark (lower than prior to the meal).  It seems like my body dumps a bunch of insulin to cover the carbs post meal, my cells react, but I overshoot the target range. Is it possible to up your insulin sensitivity too much via taking more Metformin than necessary?  
Background:
I'm a Type 2 diabetic, diagnosed w/ A1C of 12.1 a year ago. Currently taking 1500mg Metformin ER and have my A1C down to 6.0 as of a few months ago via the Met and a carb restricted diet.
</t>
        </is>
      </c>
      <c r="D2495" t="n">
        <v>2</v>
      </c>
      <c r="E2495" t="n">
        <v>2</v>
      </c>
      <c r="F2495">
        <f>HYPERLINK("https://www.reddit.com/r/diabetes/comments/56i10f/can_metformin_lead_to_reactive_hypos/")</f>
        <v/>
      </c>
      <c r="G2495" t="inlineStr">
        <is>
          <t>2016-10-08 10:38:26</t>
        </is>
      </c>
      <c r="H2495" t="inlineStr">
        <is>
          <t>Type 2</t>
        </is>
      </c>
    </row>
    <row r="2496">
      <c r="A2496" t="inlineStr">
        <is>
          <t>56jh6v</t>
        </is>
      </c>
      <c r="B2496" t="inlineStr">
        <is>
          <t>2 hours after meal BG level at 12mmol. Do i correct?</t>
        </is>
      </c>
      <c r="C2496" t="inlineStr">
        <is>
          <t>SO i ate some home made shepherds pie. One of the things I am having difficulty with is calculating the carbs in 'combined' foods. 
I went online and obviously could not find a carb count for a homemade pie so i went with the readings of a frozen brand.
2 hours later my BG levels are at 12mmol.
I had also missed my Lantus dose last night.
Should i correct this and if so how? I will be seeing the diabetic team next month.. but in the meantime?
I am finding it to be very difficult to eat 'properly' and consistently. I am pretty much under the assumption i can eat whatever i please as long as i dose the proper amount of insulin. Perhaps i need to re educate myself.
I really need healthy meal ideas that are for the most part simple to prepare. If someone can direct me to a sub which covers nutrition for T1's i would appreciate it.
thank you.</t>
        </is>
      </c>
      <c r="D2496" t="n">
        <v>2</v>
      </c>
      <c r="E2496" t="n">
        <v>7</v>
      </c>
      <c r="F2496">
        <f>HYPERLINK("https://www.reddit.com/r/diabetes/comments/56jh6v/2_hours_after_meal_bg_level_at_12mmol_do_i_correct/")</f>
        <v/>
      </c>
      <c r="G2496" t="inlineStr">
        <is>
          <t>2016-10-08 15:51:41</t>
        </is>
      </c>
      <c r="H2496" t="inlineStr">
        <is>
          <t>Type 1</t>
        </is>
      </c>
    </row>
    <row r="2497">
      <c r="A2497" t="inlineStr">
        <is>
          <t>56m261</t>
        </is>
      </c>
      <c r="B2497" t="inlineStr">
        <is>
          <t>So I am moving and kind of need advice.</t>
        </is>
      </c>
      <c r="C2497" t="inlineStr">
        <is>
          <t xml:space="preserve">Hey there. Long time lurker, first time poster. 
A few days ago I was offered a position in Luxembourg for around 2 years. Everything is happening rather quickly and it looks like I would need to leave at the beginning of next year. I contacted my doctor and was informed I would need to come down back home (Malta) every three or so months to get my insulin. I was informed that I would also need to seek a specialist while I am up there. Communication I assume would also be of an issue. I may also be living alone (which in itself may be dangerous if the worst should happen). I still currently live with my parents so the change is going to be rather harsh for me. 
I was wondering if any of you have any advice for me. 
Thanks! </t>
        </is>
      </c>
      <c r="D2497" t="n">
        <v>1</v>
      </c>
      <c r="E2497" t="n">
        <v>7</v>
      </c>
      <c r="F2497">
        <f>HYPERLINK("https://www.reddit.com/r/diabetes/comments/56m261/so_i_am_moving_and_kind_of_need_advice/")</f>
        <v/>
      </c>
      <c r="G2497" t="inlineStr">
        <is>
          <t>2016-10-09 05:56:03</t>
        </is>
      </c>
      <c r="H2497" t="inlineStr">
        <is>
          <t>Type 1</t>
        </is>
      </c>
    </row>
    <row r="2498">
      <c r="A2498" t="inlineStr">
        <is>
          <t>56p0fr</t>
        </is>
      </c>
      <c r="B2498" t="inlineStr">
        <is>
          <t>Ate a lot of sugar free candy... You guys are literally the only ones I know to ask about this.</t>
        </is>
      </c>
      <c r="C2498" t="inlineStr">
        <is>
          <t>I'm on the toilet posting this from my phone right now. Sorry is formating isn't the best.
So, I made a post a few weeks ago asking if I should buy a bunch of sugar free candy and if it would raise my blood sugar. You guys said it can affect it a bit, but not as much as normal sugar. So, I put it back. Wasn't going to get it if I could spike off of it.
Well, now that I got the news that my A1C was at a 5.3, I thought "Alright, should be good to relax my diet a little and eat more." (I'm 145lb and dropping due to not really eating that much.)
Dear god. I shouldn't have done that.
The day where I ate the Baconator from Wendy's? Perfect. No trouble. Tested at a 103 after.
The day where I ate nothing but sandwiches? (Total of three) No trouble! Highest I went was 120!
Now? Blood sugar is sitting hard at an 80.
Stomach is sitting hard on my lower intestine.
This hurts. I will never know the feeling of solid stool again.
Please save me, /r/diabetes. You're my only hope.</t>
        </is>
      </c>
      <c r="D2498" t="n">
        <v>32</v>
      </c>
      <c r="E2498" t="n">
        <v>33</v>
      </c>
      <c r="F2498">
        <f>HYPERLINK("https://www.reddit.com/r/diabetes/comments/56p0fr/ate_a_lot_of_sugar_free_candy_you_guys_are/")</f>
        <v/>
      </c>
      <c r="G2498" t="inlineStr">
        <is>
          <t>2016-10-09 16:45:32</t>
        </is>
      </c>
      <c r="H2498" t="inlineStr">
        <is>
          <t>Type 2</t>
        </is>
      </c>
    </row>
    <row r="2499">
      <c r="A2499" t="inlineStr">
        <is>
          <t>56qb2w</t>
        </is>
      </c>
      <c r="B2499" t="inlineStr">
        <is>
          <t>Newly diagnosed T2. Could use a kick in the ass or the wisdom of the elders here.</t>
        </is>
      </c>
      <c r="C2499" t="inlineStr">
        <is>
          <t>I've eaten so much chicken, so much peanut butter.  I'm fucking sick of it.  I watch people eating pizza and enjoying pie, ice cream and beer.  
I just don't know what to do.  I don't know what to eat.  Carbs make my BG go up, so I avoid them, by and large.  
How do people do this?
What the fuck do disciplined diabetics eat that gives them enough variety?
**edit: I went to bed last night feeling pretty desperate.  I woke up today to some really sound advice from people that have been there.  I really, really needed that. From the bottom of my heart, THANK YOU. For the record, I have an A1c of 7 and don't take any medications at this point beyond a blood pressure and cholesterol pill.  My goal is to kick this thing's ass every time it gets up. I know there is no cure, but I am afraid and motivated to change everything I can.  I really need to expand my diet.  A really, really big thank you to Alan with the link to his blog.  I'm sure some of you know this, but he has fought with leukemia and diabetes. ....Kinda puts my own problems in perspective.  I will go over *all* replies later on today.  Happy Thanksgiving and may you all discover something delicious and healthy in the near future**</t>
        </is>
      </c>
      <c r="D2499" t="n">
        <v>5</v>
      </c>
      <c r="E2499" t="n">
        <v>26</v>
      </c>
      <c r="F2499">
        <f>HYPERLINK("https://www.reddit.com/r/diabetes/comments/56qb2w/newly_diagnosed_t2_could_use_a_kick_in_the_ass_or/")</f>
        <v/>
      </c>
      <c r="G2499" t="inlineStr">
        <is>
          <t>2016-10-09 21:32:30</t>
        </is>
      </c>
      <c r="H2499" t="inlineStr">
        <is>
          <t>Type 2</t>
        </is>
      </c>
    </row>
    <row r="2500">
      <c r="A2500" t="inlineStr">
        <is>
          <t>56qmmy</t>
        </is>
      </c>
      <c r="B2500" t="inlineStr">
        <is>
          <t>Lows during sex [NSFW]ish</t>
        </is>
      </c>
      <c r="C2500" t="inlineStr">
        <is>
          <t>I just need to share this with some people who will get it. I'm a male for contextual clarification.
10:00 pm: eat dinner. It's got a good amount of pasta so I know that I will hit mid 200's on the main spike and gradually work my way back down. 
11:00 pm: lounging on the couch l, watching tv. No physical activity going on, BG hitting 200 from the pasta with a gentle upward trend. 
12:00 am: initiate foreplay. BG at 256 and evened out. All equipment working as it should.
12:30 am: initiate sexytime. BG at 195 with a slight downward trend. Equipment still working, but showing slight lack of commitment. 
12:45 am: BG at 113 with double down arrows, equipment stops working. At this point sexytime is over due to non-functioning equipment. I go down a glass of cider and return to bed to cuddle and apologize. After a bit my friend heads home.
2:00 am: BG steady at 125. 
My friend handled it very well. She told me not to apologize and said she still had fun and enjoyed our time together. I'm a little bummed we didn't get to wrap things up, but mostly I feel disappointed I failed to perform. I'm not sure why I'm being a bit harsh on myself as I know shit happens, but maybe that's an issue with my personality. 
So folks, anybody have similar experiances? How did you handle it? Ladies, does a low kill your libido too?</t>
        </is>
      </c>
      <c r="D2500" t="n">
        <v>10</v>
      </c>
      <c r="E2500" t="n">
        <v>10</v>
      </c>
      <c r="F2500">
        <f>HYPERLINK("https://www.reddit.com/r/diabetes/comments/56qmmy/lows_during_sex_nsfwish/")</f>
        <v/>
      </c>
      <c r="G2500" t="inlineStr">
        <is>
          <t>2016-10-09 23:01:38</t>
        </is>
      </c>
      <c r="H2500" t="inlineStr">
        <is>
          <t>Type 1</t>
        </is>
      </c>
    </row>
    <row r="2501">
      <c r="A2501" t="inlineStr">
        <is>
          <t>56r1ak</t>
        </is>
      </c>
      <c r="B2501" t="inlineStr">
        <is>
          <t>Still amazes me...</t>
        </is>
      </c>
      <c r="C2501" t="inlineStr">
        <is>
          <t>after 13 years of being a type 1, how unpredictable diabetes is.
Woke up with unexplainable 20.2 mmol, bolused correctly for all my food the night before, no stress whatsoever.
Took my correction bolus, and went to work. After about a hour at work I started to feel weak, so I measured my BG.
1.4, so in about a hour and a half it plummed down almost 19 points.
And you still have a full work day ahead of you...</t>
        </is>
      </c>
      <c r="D2501" t="n">
        <v>5</v>
      </c>
      <c r="E2501" t="n">
        <v>10</v>
      </c>
      <c r="F2501">
        <f>HYPERLINK("https://www.reddit.com/r/diabetes/comments/56r1ak/still_amazes_me/")</f>
        <v/>
      </c>
      <c r="G2501" t="inlineStr">
        <is>
          <t>2016-10-10 01:25:26</t>
        </is>
      </c>
      <c r="H2501" t="inlineStr">
        <is>
          <t>Type 1</t>
        </is>
      </c>
    </row>
    <row r="2502">
      <c r="A2502" t="inlineStr">
        <is>
          <t>56znna</t>
        </is>
      </c>
      <c r="B2502" t="inlineStr">
        <is>
          <t>(Newly diagnosed T2. This is my second post here.) Just began running 30 min a day. Need insight into how many carbs I should consume.</t>
        </is>
      </c>
      <c r="C2502" t="inlineStr">
        <is>
          <t>Here's the skinny.  Woke up today with a BG of 8.7.  Blood seems great during the day once I get food in my system (numbers like 6.5, 5.7, 5.4, 6.0, etc).  
Wife suggested I begin exercising for better BG control.  Great idea, except the last time I exercised regularly, I got BG dips (about a decade ago) when I didn't consume enough carbs.  At the time I didn't know that I was diabetic or prediabetic, so I would just consume a chocolate bar when I felt 'low'.  
But now I'm thinking that's not the wisest course of action.
**I'd like to hear from some active diabetics about what works for you.  I really don't want to put any strain on my pancreas if I can help it.**
Much thanks to any and all.  This is a really supportive community.</t>
        </is>
      </c>
      <c r="D2502" t="n">
        <v>4</v>
      </c>
      <c r="E2502" t="n">
        <v>10</v>
      </c>
      <c r="F2502">
        <f>HYPERLINK("https://www.reddit.com/r/diabetes/comments/56znna/newly_diagnosed_t2_this_is_my_second_post_here/")</f>
        <v/>
      </c>
      <c r="G2502" t="inlineStr">
        <is>
          <t>2016-10-11 11:51:01</t>
        </is>
      </c>
      <c r="H2502" t="inlineStr">
        <is>
          <t>Type 2</t>
        </is>
      </c>
    </row>
    <row r="2503">
      <c r="A2503" t="inlineStr">
        <is>
          <t>570k6w</t>
        </is>
      </c>
      <c r="B2503" t="inlineStr">
        <is>
          <t>My BF [25M T1 2000 MDI] was just diagnosed with having diabetic neuropathy. I am having a hard time being a good GF and keeping the relationship going.</t>
        </is>
      </c>
      <c r="C2503" t="inlineStr">
        <is>
          <t xml:space="preserve">As stated in the title my boyfriend was diagnosed with Type 1 Diabetes when he was 14 (in 2000) and has multiple insulin injections a day. We have been together for **7.5 years**. About a week ago he was finally officially diagnosed with having Diabetic Neuropathy from a neurophysiologist despite my suspicions that it may be something not entirely diabetes related such as Metarsalgia since he doesn't fit the typical mould of a diabetic neuropathy sufferer. 
3 months ago he started having pain in his feet. At the time he was working for a landscaping company, walking around on rocks and uneven surfaces in very poor quality work boots. His pain seems to get worse the more he uses his feet. He's been very limited with his activity for about 2 1/2 of the 3 months now - basically just sitting around at home, not going out or doing and walking of long distances. At first he was prescribed anti-inflammatories which didn't do much. He was then prescribed *Gabapentin* and it just made everything so much worse. His mood and depression/anxiety spiralled out of control. He started complaining about his whole body being in pain, particularly his chest and arm on one side and his neck (along with his feet). He also couldn't sleep at night and would call me at 3 or 4am crying and being absolutely unreasonable.
One evening he was in so much distress we finally took him to the ER. This doctor prescribed him a new medication that is an *Amitriptyline* and this seems to be working much better. He is still taking Gabapentin along with the Amitriptyline but is slowly weaning off the Gabapentin and now his mood changes are not as severe. Good that he is getting better finally - BUT it seems like he's fallen into this vat of helplessness. He does nothing but sleep all day and watch TV. He says his feet feel good but because there is still a bit a swelling he is afraid to even try to take our dog for a short walk. I have to remind him that he is capable of driving but he sometimes feels like he can't anymore. Yesterday, he said he wasn't even sure if he could stay in his current career path of carpentry - that he would probably have to opt for something less physical. Majority of the time he won't even come to my house anymore which is literally a 5 minute drive - I always have to go over there. **Note**: from his initial test with the diabetes doctor he had said that he could still feel everything and therefore didn't think it was diabetic neuropathy... or if it was that it hadn't progressed too much.
I am at my wits end. I had just started my healing of my PTSD and severe anxiety when this shit hit the fan and now I just can't stand it. It sounds absolutely awful but I don't think I can handle looking after him right now in my life. I have gone through so much and honestly just need someone to take care of me and I've always been the one in the relationship to take care of things. I feel like I have to push and shove him to do anything or get anything done and I just can't anymore. I need to take care of me and I think he needs to learn to stand up for himself. There seems to always be something that is the matter. First he was in a dead end job, then he couldn't keep a job, then I had to rescue him from a bad job situation, then he had to get surgery (unrelated), then he still can't get a job and when he finally gets one he gets sidelined by this. I've been constantly saying to myself "things will get better once this is over" during each situation but then something else happens. 
He's going through hell and I know that. I feel like a horrible person for even wanting out of this relationship during this situation but that doesn't help me. A huge problem with my own mental illness is this horrible feeling of guilt - and I know that isn't healthy for a relationship. 
Am I the worst person in the world for feeling this way? Does diabetic neuropathy prevent people from living their lives normally again? I think I just need to be slapped in the face with someone calling me a bitch for feeling these things and to "man up". I don't know. I just don't see the light at the end of the tunnel.
TL;DR: BF diagnosed with diabetic neuropathy and I am feeling overwhelmed and feel I no longer want to be in the relationship we've had for 7+ years. </t>
        </is>
      </c>
      <c r="D2503" t="n">
        <v>2</v>
      </c>
      <c r="E2503" t="n">
        <v>20</v>
      </c>
      <c r="F2503">
        <f>HYPERLINK("https://www.reddit.com/r/diabetes/comments/570k6w/my_bf_25m_t1_2000_mdi_was_just_diagnosed_with/")</f>
        <v/>
      </c>
      <c r="G2503" t="inlineStr">
        <is>
          <t>2016-10-11 14:37:50</t>
        </is>
      </c>
      <c r="H2503" t="inlineStr">
        <is>
          <t>Type 1</t>
        </is>
      </c>
    </row>
    <row r="2504">
      <c r="A2504" t="inlineStr">
        <is>
          <t>57129c</t>
        </is>
      </c>
      <c r="B2504" t="inlineStr">
        <is>
          <t>CGM fail</t>
        </is>
      </c>
      <c r="C2504" t="inlineStr">
        <is>
          <t xml:space="preserve">Been wearing a doctor provided (cgm ipro v2)for the past week so he can get a better idea of treatment plan for my t2. Went in today to have it removed and... The probe was no longer in me. How could you make a device with no alert if it fails. It was hard for me to deal with wearing, it really made me think about my condition even more than using my meter. Just having a hard time dealing with my new realities in life.  I know you all deal with this stuff on a daily basis and I am sure your meters have alerts I'm just frustrated. Thought I was doing so well emotionally with this but not now. Ugggggggg. Sorry for the ranting just need to vent and no one home to talk to for a few more hours. </t>
        </is>
      </c>
      <c r="D2504" t="n">
        <v>4</v>
      </c>
      <c r="E2504" t="n">
        <v>3</v>
      </c>
      <c r="F2504">
        <f>HYPERLINK("https://www.reddit.com/r/diabetes/comments/57129c/cgm_fail/")</f>
        <v/>
      </c>
      <c r="G2504" t="inlineStr">
        <is>
          <t>2016-10-11 16:21:00</t>
        </is>
      </c>
      <c r="H2504" t="inlineStr">
        <is>
          <t>Type 2</t>
        </is>
      </c>
    </row>
    <row r="2505">
      <c r="A2505" t="inlineStr">
        <is>
          <t>572t3r</t>
        </is>
      </c>
      <c r="B2505" t="inlineStr">
        <is>
          <t>Supplements Type 1</t>
        </is>
      </c>
      <c r="C2505" t="inlineStr">
        <is>
          <t>Hello everyone,
I'm curious what kind of supplements you as a type 1 take. Be it for general health, energy or BG control.
I myself take potato starch, creatine, taurine, vitamine d3, apple cider vinegar, cinnamon, psyllium husk and gymneste sylvestra.
My BG control is fine overall, I just have some issues with fatigue, not sure if there is a supplement that combats that.
My eating is good otherwise, and I also do weightlifting, which helps enermous!</t>
        </is>
      </c>
      <c r="D2505" t="n">
        <v>0</v>
      </c>
      <c r="E2505" t="n">
        <v>10</v>
      </c>
      <c r="F2505">
        <f>HYPERLINK("https://www.reddit.com/r/diabetes/comments/572t3r/supplements_type_1/")</f>
        <v/>
      </c>
      <c r="G2505" t="inlineStr">
        <is>
          <t>2016-10-11 23:39:05</t>
        </is>
      </c>
      <c r="H2505" t="inlineStr">
        <is>
          <t>Type 1</t>
        </is>
      </c>
    </row>
    <row r="2506">
      <c r="A2506" t="inlineStr">
        <is>
          <t>573q42</t>
        </is>
      </c>
      <c r="B2506" t="inlineStr">
        <is>
          <t>(T2) Project looking for Real People with Diabetes</t>
        </is>
      </c>
      <c r="C2506" t="inlineStr">
        <is>
          <t>Hello all-
I was given permission from the subreddit moderator to post.
I am a casting director at a company called House Casting in NYC. We are currently casting people who have Type 2 diabetes for an internet commercial.
There are often times when we are interested in telling the stories of real people, rather than using actors for re-representations. I've included a link to a recent commercial at the bottom of this, so you can get a feel for why that is.
For this particular commercial, we are looking for men and women ages 28-45 who have type 2 Diabetes. We are looking for people that are funny and charming. It's a bonus if you have a background in comedy or improv (for this particular project actors &amp;amp; non-actors are both welcome, but you must really have T2 Diabetes).
Please email us at Nef@HouseProd.com with 'REDDIT' in the subject line, and we will send along some follow up questions as well as additional information about the project.
Thanks for reading!
Phillips Breathless Choir Commercial we recently cast: https://www.youtube.com/watch?v=3WOJJ7NMJ80
Our Company Website with other commercials: http://www.houseprod.com</t>
        </is>
      </c>
      <c r="D2506" t="n">
        <v>1</v>
      </c>
      <c r="E2506" t="n">
        <v>6</v>
      </c>
      <c r="F2506">
        <f>HYPERLINK("https://www.reddit.com/r/diabetes/comments/573q42/t2_project_looking_for_real_people_with_diabetes/")</f>
        <v/>
      </c>
      <c r="G2506" t="inlineStr">
        <is>
          <t>2016-10-12 05:11:27</t>
        </is>
      </c>
      <c r="H2506" t="inlineStr">
        <is>
          <t>Type 2</t>
        </is>
      </c>
    </row>
    <row r="2507">
      <c r="A2507" t="inlineStr">
        <is>
          <t>5747gb</t>
        </is>
      </c>
      <c r="B2507" t="inlineStr">
        <is>
          <t>(T2) Dutch students looking for input on an app for diabetics.</t>
        </is>
      </c>
      <c r="C2507" t="inlineStr">
        <is>
          <t>We are a group of students from the Netherlands studying a college minor called "The Next Web". We’ve dedicated this entire semester to work on a project in which we are going to develop an application that supports people with diabetes type II. We are working together with dieticians, psychologists and diabetes nurses. 
&amp;amp;nbsp;
It would be awesome if you could help us gather some ideas on which we can build this app! This application is most likely going to be run on a smartphone. We are looking for features that would help to support you in your everyday life so we can incorporate these in our project.
&amp;amp;nbsp;
The features could be anything ranging from notifications about your day to a full overview of the things you ate during the day. 
&amp;amp;nbsp;
Features we have in mind:
&amp;amp;nbsp;
* Notifications on your smartphone which help remind you to check your blood sugar.
* A personal assistant that interacts with you, answers any questions you might have and asks you how your day is going.
* A scanner for groceries informing you about nutritional values and healthier alternatives.
&amp;amp;nbsp;
Any suggestions would be greatly appreciated and we would like to keep you informed about our progress if there is an interest.</t>
        </is>
      </c>
      <c r="D2507" t="n">
        <v>6</v>
      </c>
      <c r="E2507" t="n">
        <v>12</v>
      </c>
      <c r="F2507">
        <f>HYPERLINK("https://www.reddit.com/r/diabetes/comments/5747gb/t2_dutch_students_looking_for_input_on_an_app_for/")</f>
        <v/>
      </c>
      <c r="G2507" t="inlineStr">
        <is>
          <t>2016-10-12 07:02:50</t>
        </is>
      </c>
      <c r="H2507" t="inlineStr">
        <is>
          <t>Type 2</t>
        </is>
      </c>
    </row>
    <row r="2508">
      <c r="A2508" t="inlineStr">
        <is>
          <t>5747rp</t>
        </is>
      </c>
      <c r="B2508" t="inlineStr">
        <is>
          <t>Diagnosed August 16 with a 10.3 A1C, first followup blood work 6.3 A1C October 16. Not bad for two months work</t>
        </is>
      </c>
      <c r="C2508" t="inlineStr">
        <is>
          <t>Got my weight down from 210 to 195 as well.  MMM Braggy</t>
        </is>
      </c>
      <c r="D2508" t="n">
        <v>20</v>
      </c>
      <c r="E2508" t="n">
        <v>11</v>
      </c>
      <c r="F2508">
        <f>HYPERLINK("https://www.reddit.com/r/diabetes/comments/5747rp/diagnosed_august_16_with_a_103_a1c_first_followup/")</f>
        <v/>
      </c>
      <c r="G2508" t="inlineStr">
        <is>
          <t>2016-10-12 07:04:31</t>
        </is>
      </c>
      <c r="H2508" t="inlineStr">
        <is>
          <t>Type 2</t>
        </is>
      </c>
    </row>
    <row r="2509">
      <c r="A2509" t="inlineStr">
        <is>
          <t>574xd9</t>
        </is>
      </c>
      <c r="B2509" t="inlineStr">
        <is>
          <t>Spike after intense exercise</t>
        </is>
      </c>
      <c r="C2509" t="inlineStr">
        <is>
          <t>Hey guys.
So this morning I woke up a lot higher than i'd like (14, must have underestimated before bed) But instead of correcting, I went into my HIIT workout anyways. Testing afterwards after about 45/Hour after my first number of 14, I'm 23. Now I understand there's going to be a spike, because of my handy liver, But because it's from exercise that's going to be affecting my blood sugars in like another hour or so, should I correct for the spike? Or base the insulin on my first number?</t>
        </is>
      </c>
      <c r="D2509" t="n">
        <v>1</v>
      </c>
      <c r="E2509" t="n">
        <v>2</v>
      </c>
      <c r="F2509">
        <f>HYPERLINK("https://www.reddit.com/r/diabetes/comments/574xd9/spike_after_intense_exercise/")</f>
        <v/>
      </c>
      <c r="G2509" t="inlineStr">
        <is>
          <t>2016-10-12 09:19:33</t>
        </is>
      </c>
      <c r="H2509" t="inlineStr">
        <is>
          <t>Type 1</t>
        </is>
      </c>
    </row>
    <row r="2510">
      <c r="A2510" t="inlineStr">
        <is>
          <t>575iy8</t>
        </is>
      </c>
      <c r="B2510" t="inlineStr">
        <is>
          <t>Got a 5.9% HA1C from latest blood test, but low testosterone levels</t>
        </is>
      </c>
      <c r="C2510" t="inlineStr">
        <is>
          <t>hi, this is my first post on reddit and i wanted to get some feedback on what to do with my latest test results
I was diagnosed exactly a year ago with a 10.5% HA1C level, 26 years old, 5'7, and 180 pounds. medication 500mg metaformin and 25/15 oseni
Fast forward to a year later, im now at 5.9% and just a few pounds lighter.  ive felt great throughout the year but recently ive been experiencing  lower libido and unable to maintain an erection during sex.  i got my test results back this week and it showed that my testosterone levels is at 287.   i compared my test results from half a year ago in May and it was 355 at that time.
Doctor told me that those are low numbers for someone my age and that i will be evaluated again in 3 months before we consider any type of testosterone therapy treatment.
ive been doing a bit of research and it seems that getting more sleep, lifting weights and doing more intense form of excerise may help improve my testosterone levels.  i would love to avoid doing testosterone therapy replacement since i know it would become a life-time treatment.  
has anyone here gone through low-T and do you guys have any advice on what i can do?  is it even possible to raise my levels back to normal NATURALLY?  
thank you!
here are my test results if anyone wants to take a look
https://www.dropbox.com/s/cjl7cso32g7es2d/FullSizeRender%20%281%29.jpg?dl=0
https://www.dropbox.com/s/4fm2cs3x5844w6c/FullSizeRender%20%282%29.jpg?dl=0
https://www.dropbox.com/s/u76dzcwyqy36cy4/FullSizeRender%20%283%29.jpg?dl=0</t>
        </is>
      </c>
      <c r="D2510" t="n">
        <v>25</v>
      </c>
      <c r="E2510" t="n">
        <v>14</v>
      </c>
      <c r="F2510">
        <f>HYPERLINK("https://www.reddit.com/r/diabetes/comments/575iy8/got_a_59_ha1c_from_latest_blood_test_but_low/")</f>
        <v/>
      </c>
      <c r="G2510" t="inlineStr">
        <is>
          <t>2016-10-12 11:05:43</t>
        </is>
      </c>
      <c r="H2510" t="inlineStr">
        <is>
          <t>Type 2</t>
        </is>
      </c>
    </row>
    <row r="2511">
      <c r="A2511" t="inlineStr">
        <is>
          <t>575t7o</t>
        </is>
      </c>
      <c r="B2511" t="inlineStr">
        <is>
          <t>How to be more supportive for my partner with diabetes?</t>
        </is>
      </c>
      <c r="C2511" t="inlineStr">
        <is>
          <t>Hey folks,
My partner was diagnosed with diabetes about a month and a half ago.  They have had some serious issues adjusting - they started strong with a food log and changed their habits but they absolutely hate it.  I did a food log with them for the first week and a half but fell off the wagon.  They fell off the food log wagon after 3 weeks but are really good about checking their BS and at this point they've learned enough from the food log that it isn't super useful.
We found a low carb tasty recipe this past weekend and cooked a bunch so they (and I) have leftovers and this has brightened their spirits some, and I've found some new recipes to try that have them excited for next weekend (we mostly see each other on weekends due to schedule and distance).
They're losing weight and I've been losing a bit as well but not that much.  I want to ramp up my weight loss as well and help in this regard more, although it is difficult to get on the wagon here (I've done it before but given my schedule it can be a pain in the ass and my meds don't help).
I would love to hear anything big or small that your partner has done to help make things easier.  I think the meal prep stuff is going to be huge as about the only diabetes friendly quick meals tend to be salads, as my partner and I are vegetarian, but pulling something out of the freezer that is low carb that we've cooked previously is pretty quick.</t>
        </is>
      </c>
      <c r="D2511" t="n">
        <v>5</v>
      </c>
      <c r="E2511" t="n">
        <v>4</v>
      </c>
      <c r="F2511">
        <f>HYPERLINK("https://www.reddit.com/r/diabetes/comments/575t7o/how_to_be_more_supportive_for_my_partner_with/")</f>
        <v/>
      </c>
      <c r="G2511" t="inlineStr">
        <is>
          <t>2016-10-12 11:56:39</t>
        </is>
      </c>
      <c r="H2511" t="inlineStr">
        <is>
          <t>Type 2</t>
        </is>
      </c>
    </row>
    <row r="2512">
      <c r="A2512" t="inlineStr">
        <is>
          <t>5771ie</t>
        </is>
      </c>
      <c r="B2512" t="inlineStr">
        <is>
          <t>Correct dosage of insulin, can someone explain this..</t>
        </is>
      </c>
      <c r="C2512" t="inlineStr">
        <is>
          <t xml:space="preserve">A relative who was in the ER for a non diabetic reason was given insulin during her stay in the morning that was humalog 70/30 24mg. At home she usually does humalog 75/25 15mg in the morning and 35mg at night. So today in the morning she had insulin done in the hospital but now that she is home she has to do her original insulin and isn't sure how many mg to do so that she doesn't over do it or under do it. Any advice on how to figure this out? (There is no Dr to contact today) Really appreciate any advice. </t>
        </is>
      </c>
      <c r="D2512" t="n">
        <v>3</v>
      </c>
      <c r="E2512" t="n">
        <v>4</v>
      </c>
      <c r="F2512">
        <f>HYPERLINK("https://www.reddit.com/r/diabetes/comments/5771ie/correct_dosage_of_insulin_can_someone_explain_this/")</f>
        <v/>
      </c>
      <c r="G2512" t="inlineStr">
        <is>
          <t>2016-10-12 15:48:42</t>
        </is>
      </c>
      <c r="H2512" t="inlineStr">
        <is>
          <t>Type 2</t>
        </is>
      </c>
    </row>
    <row r="2513">
      <c r="A2513" t="inlineStr">
        <is>
          <t>577cr0</t>
        </is>
      </c>
      <c r="B2513" t="inlineStr">
        <is>
          <t>3 Months After Diagnosis</t>
        </is>
      </c>
      <c r="C2513" t="inlineStr">
        <is>
          <t>I was diagnosed with type 2 diabetes controllable via diet without medication.
I was informed that with proper diet and exercise I would be able to control and maybe reverse my condition.
I went to the doctor originally for a check up, wasn't feeling well, hurting etc. I was 339 pounds, low energy and just bleh, so I was given blood work, tested etc.
I had a fasting level of 189, and an A1C of 6.9.
My doctor put me in touch with a nurse for diet advise, and I took it seriously.
On Oct 7 I went back to the doctor for a check up and exam on something else, and he was happy to see I had made progress on my weight. So to test he took more blood tests just to see how I was.
My A1C is now 5.0% and my fasting numbers were 81 this morning. 
He has told me I am now officially not diabetic and have to maintain what I am doing. On the 7th I was 297 and today I was 295. I am steadily losing weight by watching my food, watching my carbs and light exercise. I feel better, but am happy to report that I have successfully entered the first stages of remission.</t>
        </is>
      </c>
      <c r="D2513" t="n">
        <v>23</v>
      </c>
      <c r="E2513" t="n">
        <v>11</v>
      </c>
      <c r="F2513">
        <f>HYPERLINK("https://www.reddit.com/r/diabetes/comments/577cr0/3_months_after_diagnosis/")</f>
        <v/>
      </c>
      <c r="G2513" t="inlineStr">
        <is>
          <t>2016-10-12 16:55:52</t>
        </is>
      </c>
      <c r="H2513" t="inlineStr">
        <is>
          <t>Type 2</t>
        </is>
      </c>
    </row>
    <row r="2514">
      <c r="A2514" t="inlineStr">
        <is>
          <t>577u3p</t>
        </is>
      </c>
      <c r="B2514" t="inlineStr">
        <is>
          <t>How do you choose which foods to eat/cook?</t>
        </is>
      </c>
      <c r="C2514" t="inlineStr">
        <is>
          <t>I am struggling with learning to eat right. I cut out all sugar like sodas, cakes, candy, ice cream, etc. I joined a gym I walk on the treadmill every other day. I drink more than 8 bottles of water a day. I dont eat bread I was told bread is sugar. along with pasta, tomato sauce.
I eat salmon, catfish, tilapia and shrimp. I cut out red meats, beef, sausage. my glucose fasting last time I checked 220. I have type 2 diabetes. Oral meds. The metformin Im prescribed leaves me nauseated. what more can I do?</t>
        </is>
      </c>
      <c r="D2514" t="n">
        <v>2</v>
      </c>
      <c r="E2514" t="n">
        <v>10</v>
      </c>
      <c r="F2514">
        <f>HYPERLINK("https://www.reddit.com/r/diabetes/comments/577u3p/how_do_you_choose_which_foods_to_eatcook/")</f>
        <v/>
      </c>
      <c r="G2514" t="inlineStr">
        <is>
          <t>2016-10-12 18:43:17</t>
        </is>
      </c>
      <c r="H2514" t="inlineStr">
        <is>
          <t>Type 2</t>
        </is>
      </c>
    </row>
    <row r="2515">
      <c r="A2515" t="inlineStr">
        <is>
          <t>579z6k</t>
        </is>
      </c>
      <c r="B2515" t="inlineStr">
        <is>
          <t>Help with that 'time' of the month?</t>
        </is>
      </c>
      <c r="C2515" t="inlineStr">
        <is>
          <t xml:space="preserve">I recently went back to MDI so my levels are a little up and down right now anyway but I woke up this morning and my blood was 5.3 so I thought I'd finally cracked the right levemir dose. An hour later I got to work (I'd not eaten anything yet) and went to test and bolus for breakfast and I was at 12? I was confused but kinda thought maybe it was a fluke, took some correction and carried on. 
Went to test at dinner and it was 15! It was only when my stomach started cramping that I thought maybe this could be something to do with it? My Endo and nurses have always said that I might need more insulin when I'm on but they've never really explained what I can do </t>
        </is>
      </c>
      <c r="D2515" t="n">
        <v>2</v>
      </c>
      <c r="E2515" t="n">
        <v>8</v>
      </c>
      <c r="F2515">
        <f>HYPERLINK("https://www.reddit.com/r/diabetes/comments/579z6k/help_with_that_time_of_the_month/")</f>
        <v/>
      </c>
      <c r="G2515" t="inlineStr">
        <is>
          <t>2016-10-13 05:26:17</t>
        </is>
      </c>
      <c r="H2515" t="inlineStr">
        <is>
          <t>Type 1</t>
        </is>
      </c>
    </row>
    <row r="2516">
      <c r="A2516" t="inlineStr">
        <is>
          <t>57a663</t>
        </is>
      </c>
      <c r="B2516" t="inlineStr">
        <is>
          <t>Finger tip pain from testing.</t>
        </is>
      </c>
      <c r="C2516" t="inlineStr">
        <is>
          <t>I test 5-8 times per day, and only draw from my left hand (ring, middle, pointer). It has been a few weeks now, and I am starting to have tenderness in my finger tips from all the pokes. Is this something you just get used to, am I setting the lancet too deep? Does the pain go away, do you get used to it? Any tips/tricks.</t>
        </is>
      </c>
      <c r="D2516" t="n">
        <v>4</v>
      </c>
      <c r="E2516" t="n">
        <v>27</v>
      </c>
      <c r="F2516">
        <f>HYPERLINK("https://www.reddit.com/r/diabetes/comments/57a663/finger_tip_pain_from_testing/")</f>
        <v/>
      </c>
      <c r="G2516" t="inlineStr">
        <is>
          <t>2016-10-13 06:12:27</t>
        </is>
      </c>
      <c r="H2516" t="inlineStr">
        <is>
          <t>Type 2</t>
        </is>
      </c>
    </row>
    <row r="2517">
      <c r="A2517" t="inlineStr">
        <is>
          <t>57bg3p</t>
        </is>
      </c>
      <c r="B2517" t="inlineStr">
        <is>
          <t>T2 - Just got my 3mo followup tests back: 106mg/dL and A1C 5.6%!</t>
        </is>
      </c>
      <c r="C2517" t="inlineStr">
        <is>
          <t>6/29 -  blood glucose = 360mg/dL (19.8mmol/L) and A1C = 11.4%   
10/13 - blood glucose = 106mg/dL (5.883mmol/L) and A1C = 5.6%  
No medications!  
Which actually kills me because it means a LIFETIME of not eating carbs at all.  Even a sandwich with two slices of bread will make my blood sugar soar.  I was hoping I'd be prescribed something that would have allowed me to have at least SOME grains and sugars occasionally.</t>
        </is>
      </c>
      <c r="D2517" t="n">
        <v>19</v>
      </c>
      <c r="E2517" t="n">
        <v>11</v>
      </c>
      <c r="F2517">
        <f>HYPERLINK("https://www.reddit.com/r/diabetes/comments/57bg3p/t2_just_got_my_3mo_followup_tests_back_106mgdl/")</f>
        <v/>
      </c>
      <c r="G2517" t="inlineStr">
        <is>
          <t>2016-10-13 10:21:00</t>
        </is>
      </c>
      <c r="H2517" t="inlineStr">
        <is>
          <t>Type 2</t>
        </is>
      </c>
    </row>
    <row r="2518">
      <c r="A2518" t="inlineStr">
        <is>
          <t>57cdrz</t>
        </is>
      </c>
      <c r="B2518" t="inlineStr">
        <is>
          <t>SSRIs &amp;amp; Diabetes</t>
        </is>
      </c>
      <c r="C2518" t="inlineStr">
        <is>
          <t>Hi all! I've recently been diagnosed with anxiety, &amp;amp; am taking Citalopram, an SSRI. I've noticed that my bg has been way more erratic lately though, &amp;amp; wondered if there was any connection. Has anyone had similar experiences?</t>
        </is>
      </c>
      <c r="D2518" t="n">
        <v>2</v>
      </c>
      <c r="E2518" t="n">
        <v>5</v>
      </c>
      <c r="F2518">
        <f>HYPERLINK("https://www.reddit.com/r/diabetes/comments/57cdrz/ssris_diabetes/")</f>
        <v/>
      </c>
      <c r="G2518" t="inlineStr">
        <is>
          <t>2016-10-13 13:12:55</t>
        </is>
      </c>
      <c r="H2518" t="inlineStr">
        <is>
          <t>Type 1</t>
        </is>
      </c>
    </row>
    <row r="2519">
      <c r="A2519" t="inlineStr">
        <is>
          <t>57e275</t>
        </is>
      </c>
      <c r="B2519" t="inlineStr">
        <is>
          <t>Walking small distances</t>
        </is>
      </c>
      <c r="C2519" t="inlineStr">
        <is>
          <t>Can come in handy when youre blood sugar is high. I'm sure most people here know this but i figured i just vent about what happened. 
I ordered out for dinner today. I had 10 hot wings and a small piece of corn bread. Mind you I have had this before from the same place and my blood sugar wouldn't go past 110. Not today however. I checked 1 hour after and I was at 160. (I didn't really have anything before I should have been in normal range but who knows. I suppose I should have checked before I ate)
So I decided to take a 10 - 15 min walk. I live in NYC so I walked about 3 avenues back and forth. I checked my sugar again and i was down to 85. Sometimes you gotta fight against you're own body.</t>
        </is>
      </c>
      <c r="D2519" t="n">
        <v>2</v>
      </c>
      <c r="E2519" t="n">
        <v>10</v>
      </c>
      <c r="F2519">
        <f>HYPERLINK("https://www.reddit.com/r/diabetes/comments/57e275/walking_small_distances/")</f>
        <v/>
      </c>
      <c r="G2519" t="inlineStr">
        <is>
          <t>2016-10-13 19:00:56</t>
        </is>
      </c>
      <c r="H2519" t="inlineStr">
        <is>
          <t>Type 2</t>
        </is>
      </c>
    </row>
    <row r="2520">
      <c r="A2520" t="inlineStr">
        <is>
          <t>57f3w6</t>
        </is>
      </c>
      <c r="B2520" t="inlineStr">
        <is>
          <t>My boyfriend is nauseous with a fever of 102.8 after testing for high blood sugar??</t>
        </is>
      </c>
      <c r="C2520" t="inlineStr">
        <is>
          <t>Hi all,
Boyfriend has type 1 diabetes. Texted me at like 3pm today saying he felt weird. Tested himself and was hyperglycemic by idk how much. Took the rest of the day off (he works construction) and sat in his car resting.
When he finally came home I realized how bad it was - puking every half hour, fever is 102.8, disoriented, miserable, can barely make eye contact, etc. I'm super worried about him.
Is this just normal flu symptoms and the high blood sugar is a coincidence?? Or are they related?? I'm not well versed enough in diabetes to know. Any help is much appreciated!</t>
        </is>
      </c>
      <c r="D2520" t="n">
        <v>10</v>
      </c>
      <c r="E2520" t="n">
        <v>30</v>
      </c>
      <c r="F2520">
        <f>HYPERLINK("https://www.reddit.com/r/diabetes/comments/57f3w6/my_boyfriend_is_nauseous_with_a_fever_of_1028/")</f>
        <v/>
      </c>
      <c r="G2520" t="inlineStr">
        <is>
          <t>2016-10-13 23:50:12</t>
        </is>
      </c>
      <c r="H2520" t="inlineStr">
        <is>
          <t>Type 1</t>
        </is>
      </c>
    </row>
    <row r="2521">
      <c r="A2521" t="inlineStr">
        <is>
          <t>57gjq5</t>
        </is>
      </c>
      <c r="B2521" t="inlineStr">
        <is>
          <t>Correcting insulin doses?</t>
        </is>
      </c>
      <c r="C2521" t="inlineStr">
        <is>
          <t>Apologies as probably a bit of a silly question but....
Am fairly new T1 diabetic and although im getting there with my blood sugar levels, albeit slower than i'd like. I find that i can get down to almost normal figures sometimes in the evening. Have my meal and normal insulin dose but then decide to have something else to eat that i know is going to increase my sugar levels beyond the insulin i've already taken. 
My nurse/doctor etc have kind of avoided the question at the moment as i think they're concerned i'd take too much insulin and go too low but when i know that my blood sugar is going to spike up is it ok to take a couple of extra doses of insulin a bit later after my meal time one? Is this something you'd regularly do and anything i should know/be aware of? Sorry i know its probably silly to ask but the way was described to me when i left hospital was three meals a day with a fast acting insulin dose before each meal, assumedly to keep it simple for me for the moment  but life is never that simple!</t>
        </is>
      </c>
      <c r="D2521" t="n">
        <v>4</v>
      </c>
      <c r="E2521" t="n">
        <v>22</v>
      </c>
      <c r="F2521">
        <f>HYPERLINK("https://www.reddit.com/r/diabetes/comments/57gjq5/correcting_insulin_doses/")</f>
        <v/>
      </c>
      <c r="G2521" t="inlineStr">
        <is>
          <t>2016-10-14 07:13:33</t>
        </is>
      </c>
      <c r="H2521" t="inlineStr">
        <is>
          <t>Type 1</t>
        </is>
      </c>
    </row>
    <row r="2522">
      <c r="A2522" t="inlineStr">
        <is>
          <t>57vmh1</t>
        </is>
      </c>
      <c r="B2522" t="inlineStr">
        <is>
          <t>Type 2 diabetics with insulin: What are your sugar numbers like?</t>
        </is>
      </c>
      <c r="C2522" t="inlineStr">
        <is>
          <t xml:space="preserve">I am trying to figure out my mom's diabetes situation. Her diabetes seems to be uncontrolled even though she's on insulin and metformin (and a good diet). For those that have good control over their type 2.. what kind of numbers do you aim for at what time of the day? What should it be before eating, after eating, before bed, in the morning? And what kind of insulin or diabetic medication regimen are you on? Also what is your diet like? Thank you so much. </t>
        </is>
      </c>
      <c r="D2522" t="n">
        <v>6</v>
      </c>
      <c r="E2522" t="n">
        <v>4</v>
      </c>
      <c r="F2522">
        <f>HYPERLINK("https://www.reddit.com/r/diabetes/comments/57vmh1/type_2_diabetics_with_insulin_what_are_your_sugar/")</f>
        <v/>
      </c>
      <c r="G2522" t="inlineStr">
        <is>
          <t>2016-10-16 21:43:21</t>
        </is>
      </c>
      <c r="H2522" t="inlineStr">
        <is>
          <t>Type 2</t>
        </is>
      </c>
    </row>
    <row r="2523">
      <c r="A2523" t="inlineStr">
        <is>
          <t>57vohq</t>
        </is>
      </c>
      <c r="B2523" t="inlineStr">
        <is>
          <t>Type 2: Uncontrolled diabetes- what to do ?</t>
        </is>
      </c>
      <c r="C2523" t="inlineStr">
        <is>
          <t>What should someone do in this kind of situation? This is for my mom who is on insulin + metformin but sugar is poorly controlled even with a good diet. Next step will be to look for a new Dr, but has anyone been in this situation and how did you fix it?</t>
        </is>
      </c>
      <c r="D2523" t="n">
        <v>5</v>
      </c>
      <c r="E2523" t="n">
        <v>29</v>
      </c>
      <c r="F2523">
        <f>HYPERLINK("https://www.reddit.com/r/diabetes/comments/57vohq/type_2_uncontrolled_diabetes_what_to_do/")</f>
        <v/>
      </c>
      <c r="G2523" t="inlineStr">
        <is>
          <t>2016-10-16 21:59:52</t>
        </is>
      </c>
      <c r="H2523" t="inlineStr">
        <is>
          <t>Type 2</t>
        </is>
      </c>
    </row>
    <row r="2524">
      <c r="A2524" t="inlineStr">
        <is>
          <t>57ygfq</t>
        </is>
      </c>
      <c r="B2524" t="inlineStr">
        <is>
          <t>The great pizza riddle</t>
        </is>
      </c>
      <c r="C2524" t="inlineStr">
        <is>
          <t>Ok, I need to be let in on the secret!  How does everyone bolus for pizza?  I can't get it right.  Now that I'm on the omnipod and have the ability to suspend a dose, does anyone have any tips or advice? I'd like to be able to indulge.  I'm generally at a loss on how to properly dose for the 'difficult' foods, such as those high in fat.  TIA!</t>
        </is>
      </c>
      <c r="D2524" t="n">
        <v>12</v>
      </c>
      <c r="E2524" t="n">
        <v>59</v>
      </c>
      <c r="F2524">
        <f>HYPERLINK("https://www.reddit.com/r/diabetes/comments/57ygfq/the_great_pizza_riddle/")</f>
        <v/>
      </c>
      <c r="G2524" t="inlineStr">
        <is>
          <t>2016-10-17 10:04:37</t>
        </is>
      </c>
      <c r="H2524" t="inlineStr">
        <is>
          <t>Type 1</t>
        </is>
      </c>
    </row>
    <row r="2525">
      <c r="A2525" t="inlineStr">
        <is>
          <t>57z8do</t>
        </is>
      </c>
      <c r="B2525" t="inlineStr">
        <is>
          <t>Started Omnipod today &amp;amp; looking for funny pump stories!</t>
        </is>
      </c>
      <c r="C2525" t="inlineStr">
        <is>
          <t>Hello all!
I'm SO happy to say that I started Omnipod today, in addition to getting my CGM over a month ago. My transformation to bionic woman is now complete!
Funny story during my training today: I filled the first pod, and insulin started leaking out of the canula hole. Luckily I brought another pod, so we restarted with that one. Everything went fine, put the pod on, and we were discussing paperwork when we heard the pod beeping. The nurse and I had no idea why is was beeping because there was no alarm on the PDM, so after it beeping continuously for 30 more minutes, we called the pump rep. She had no idea either. Finally, the nurse and I realized it was the first pod we filled, and discarded! Glad we figured it out, because I was worried that I got another lemon pod or PDM!
Do any of you have funny pump stories? Since putting it on, I keep absentmindedly rubbing the pod underneath my shirt (it's on my stomach), and I know that's probably going to become a thing.</t>
        </is>
      </c>
      <c r="D2525" t="n">
        <v>1</v>
      </c>
      <c r="E2525" t="n">
        <v>5</v>
      </c>
      <c r="F2525">
        <f>HYPERLINK("https://www.reddit.com/r/diabetes/comments/57z8do/started_omnipod_today_looking_for_funny_pump/")</f>
        <v/>
      </c>
      <c r="G2525" t="inlineStr">
        <is>
          <t>2016-10-17 12:18:26</t>
        </is>
      </c>
      <c r="H2525" t="inlineStr">
        <is>
          <t>Type 1</t>
        </is>
      </c>
    </row>
    <row r="2526">
      <c r="A2526" t="inlineStr">
        <is>
          <t>57zkyi</t>
        </is>
      </c>
      <c r="B2526" t="inlineStr">
        <is>
          <t>Best/Cheapest Juice?</t>
        </is>
      </c>
      <c r="C2526" t="inlineStr">
        <is>
          <t>Hey guys, I recently got hired at a new job that is very demanding in regards to staying level. The only solution I found was to constantly carry around a gatorade/water bottle with juice. Just wondering if any of you do the same and what kind of juice/sports drink you use! :)</t>
        </is>
      </c>
      <c r="D2526" t="n">
        <v>1</v>
      </c>
      <c r="E2526" t="n">
        <v>4</v>
      </c>
      <c r="F2526">
        <f>HYPERLINK("https://www.reddit.com/r/diabetes/comments/57zkyi/bestcheapest_juice/")</f>
        <v/>
      </c>
      <c r="G2526" t="inlineStr">
        <is>
          <t>2016-10-17 13:19:45</t>
        </is>
      </c>
      <c r="H2526" t="inlineStr">
        <is>
          <t>Type 1</t>
        </is>
      </c>
    </row>
    <row r="2527">
      <c r="A2527" t="inlineStr">
        <is>
          <t>57zvjh</t>
        </is>
      </c>
      <c r="B2527" t="inlineStr">
        <is>
          <t>Looking into the t:slim G4 insulin pump and I have a few questions about the automatic glucose monitoring system.</t>
        </is>
      </c>
      <c r="C2527" t="inlineStr">
        <is>
          <t>So I've been using a Medtronic Paradigm for the past 6 years or so until recently when I got the dreaded A33 error. I didn't even know how archaic my pump is until now. I started looking into the t:slim line of pumps and their current main three models. The t:slim X2, the t:slim G4 and the t:flex. 
I have narrowed it down to either the new fancy X2 or the G4 with integrated "Dexcom G4® PLATINUM CGM". I am really torn between the two. I like the idea of the continuous updates with the X2 but the CGM with the G4 could be helpful.
My question is does the integrated CGM system in the G4 require a second prick? That would greatly help my decision for a new pump. Thanks.</t>
        </is>
      </c>
      <c r="D2527" t="n">
        <v>1</v>
      </c>
      <c r="E2527" t="n">
        <v>16</v>
      </c>
      <c r="F2527">
        <f>HYPERLINK("https://www.reddit.com/r/diabetes/comments/57zvjh/looking_into_the_tslim_g4_insulin_pump_and_i_have/")</f>
        <v/>
      </c>
      <c r="G2527" t="inlineStr">
        <is>
          <t>2016-10-17 14:11:43</t>
        </is>
      </c>
      <c r="H2527" t="inlineStr">
        <is>
          <t>Type 1</t>
        </is>
      </c>
    </row>
    <row r="2528">
      <c r="A2528" t="inlineStr">
        <is>
          <t>583wa3</t>
        </is>
      </c>
      <c r="B2528" t="inlineStr">
        <is>
          <t>Omnipods on Manufacturer Backorder???</t>
        </is>
      </c>
      <c r="C2528" t="inlineStr">
        <is>
          <t>So I've been waiting since 10/13 for my monthly order of pods to ship from my supply company (CCS Medical, they're garbage, but I'll save that for later). I've called three times and no one was able to tell me why my shipment hadn't gone out. Finally this morning, I called again and was told the pods are on backorder from the manufacturer with no idea when the order would be received. So I then called Insulet who said they weren't aware of any backorder, and they offered to send me 3 pods overnight.
Has anyone else had issues like this with Omnipod? How can the one product/supply you need to make the Omnipod system functional not be available? This is beyond frustrating!</t>
        </is>
      </c>
      <c r="D2528" t="n">
        <v>1</v>
      </c>
      <c r="E2528" t="n">
        <v>11</v>
      </c>
      <c r="F2528">
        <f>HYPERLINK("https://www.reddit.com/r/diabetes/comments/583wa3/omnipods_on_manufacturer_backorder/")</f>
        <v/>
      </c>
      <c r="G2528" t="inlineStr">
        <is>
          <t>2016-10-18 06:54:27</t>
        </is>
      </c>
      <c r="H2528" t="inlineStr">
        <is>
          <t>Type 1</t>
        </is>
      </c>
    </row>
    <row r="2529">
      <c r="A2529" t="inlineStr">
        <is>
          <t>585j63</t>
        </is>
      </c>
      <c r="B2529" t="inlineStr">
        <is>
          <t>Newly diagnosed Type 2. Trying to figure my diet out.</t>
        </is>
      </c>
      <c r="C2529" t="inlineStr">
        <is>
          <t>Hello, /r/diabetes. I was diagnosed about a week ago with Type 2 diabetes. My A1C came back at 10%, and I was put on Metformin and encouraged to diet and exercise. I've lost about 45 pounds in the last six months, mostly due to my diabetes, which has put me down to around 210 lbs. A great head start on my weight loss plan.
I'm hoping for any suggestions as to what I should be eating. There's a lot of conflicting information out there. Obviously sugar is out, but carbs are a weird grey area where I'm either only eating certain types of carbs, or not having any carbs at all. I've gone with a sort of Atkins-style diet - high protien, low-to-no carbs, no sugar. More raw foods and vegetables, more nuts, no processed flours or grains (going for flax and almond flour, maybe). Any advice or resources would be hugely appreciated. I checked out /r/Diabeats for food advice, but the subreddit seems pretty quiet/dead. I have a diabetes education class scheduled, but the soonest I could be seen was December. I'm hoping to get some things figured out a bit sooner than that! Thanks in advance, reddit!</t>
        </is>
      </c>
      <c r="D2529" t="n">
        <v>7</v>
      </c>
      <c r="E2529" t="n">
        <v>27</v>
      </c>
      <c r="F2529">
        <f>HYPERLINK("https://www.reddit.com/r/diabetes/comments/585j63/newly_diagnosed_type_2_trying_to_figure_my_diet/")</f>
        <v/>
      </c>
      <c r="G2529" t="inlineStr">
        <is>
          <t>2016-10-18 11:43:58</t>
        </is>
      </c>
      <c r="H2529" t="inlineStr">
        <is>
          <t>Type 2</t>
        </is>
      </c>
    </row>
    <row r="2530">
      <c r="A2530" t="inlineStr">
        <is>
          <t>585yq3</t>
        </is>
      </c>
      <c r="B2530" t="inlineStr">
        <is>
          <t>Chemotherapy with Type II</t>
        </is>
      </c>
      <c r="C2530" t="inlineStr">
        <is>
          <t xml:space="preserve">Hi folks - I'm a type II (30 year old male) diagnosed in december 2015 with an AIC of 12.3. My last endo visit was in august and my A1C is 5.9. I am on 50/1000 Janumet 2x/daily. 
I have to start chemotherapy for cancer treatment on 10/31, and it will be a 9 week course (3 3-week cycles). I have so far heard 3 different things from my team of doctors about what to do in regards to my diabetes during this treatment:
* My main oncologist that i am under the care of said not to worry too much about it and continue taking my Janument as prescribed by my endocrinologist (except when doing CT scans). He said blood sugars will rise during Chemo, especially when given steroid shots, but that I should just keep an eye on it. 
* My second oncologist (my aunt) who I am using as a second opinion/consulting oncologist says I should just get on insulin for the duration of the treatment, and when my sugars spike to just control them with a titrated insulin shot to keep my sugars in the 100-120 range. This scares me a little as during chemo there is absolutely no appetite and getting proper nutrition is difficult. Needless to say the risk for having a hypo episode is greatly increased when using insulin during chemo. 
* My endocrinologist says to go through the first cycle of treatment and record blood sugars and report back to have my oral medication dosage adjusted. 
Obviously, I am confused. Have any of the diabetics here gone through chemo and what was your actual experience regarding your sugars? Obviously I am not really seeking medical advice here, just looking for anecdotal experience to help understand what I may be able to expect. All said and done I'll probably just call the endo with my sugar levels during treatment and just get advice from them. Just hate that the endo nurse is super rude. </t>
        </is>
      </c>
      <c r="D2530" t="n">
        <v>5</v>
      </c>
      <c r="E2530" t="n">
        <v>2</v>
      </c>
      <c r="F2530">
        <f>HYPERLINK("https://www.reddit.com/r/diabetes/comments/585yq3/chemotherapy_with_type_ii/")</f>
        <v/>
      </c>
      <c r="G2530" t="inlineStr">
        <is>
          <t>2016-10-18 12:57:15</t>
        </is>
      </c>
      <c r="H2530" t="inlineStr">
        <is>
          <t>Type 2</t>
        </is>
      </c>
    </row>
    <row r="2531">
      <c r="A2531" t="inlineStr">
        <is>
          <t>587t6a</t>
        </is>
      </c>
      <c r="B2531" t="inlineStr">
        <is>
          <t>T1 - Small victory</t>
        </is>
      </c>
      <c r="C2531" t="inlineStr">
        <is>
          <t>So, I was diagnosed T1 just over 2 months ago with a a1c of 12.2%. Met with a new educator today and they ran my a1c off a finger prick and ended up with a 6.8%. I asked her the variance and she said it was about a .5%. So I'm pretty stoked in 2 months I've almost halved it.</t>
        </is>
      </c>
      <c r="D2531" t="n">
        <v>13</v>
      </c>
      <c r="E2531" t="n">
        <v>8</v>
      </c>
      <c r="F2531">
        <f>HYPERLINK("https://www.reddit.com/r/diabetes/comments/587t6a/t1_small_victory/")</f>
        <v/>
      </c>
      <c r="G2531" t="inlineStr">
        <is>
          <t>2016-10-18 18:51:05</t>
        </is>
      </c>
      <c r="H2531" t="inlineStr">
        <is>
          <t>Type 1</t>
        </is>
      </c>
    </row>
    <row r="2532">
      <c r="A2532" t="inlineStr">
        <is>
          <t>58cqpn</t>
        </is>
      </c>
      <c r="B2532" t="inlineStr">
        <is>
          <t>New Type 1 blog - journey with T1</t>
        </is>
      </c>
      <c r="C2532" t="inlineStr">
        <is>
          <t>Hey all, I’m starting a blog telling my journey with Type-1 diabetes.
I was diagnosed as a young adult 2 years ago and I’m hoping people can learn from my story (and my many, many mistakes along the way!). If you’re interested in checking it out, please get in touch.
My main goal is to show people that living with Type-1 can be completely enjoyable, and I want to share how I have managed to reach this mindset.  I am happier now than I have ever been, but it wasn't always like that when I first got diagnosed.  I want to help people realise they can/will get to this point too.
I’m mainly looking for Type-1’s who were diagnosed from the ages between 16 - 35, but anyone is welcome!  Cheers, Josh</t>
        </is>
      </c>
      <c r="D2532" t="n">
        <v>3</v>
      </c>
      <c r="E2532" t="n">
        <v>5</v>
      </c>
      <c r="F2532">
        <f>HYPERLINK("https://www.reddit.com/r/diabetes/comments/58cqpn/new_type_1_blog_journey_with_t1/")</f>
        <v/>
      </c>
      <c r="G2532" t="inlineStr">
        <is>
          <t>2016-10-19 13:53:13</t>
        </is>
      </c>
      <c r="H2532" t="inlineStr">
        <is>
          <t>Type 1</t>
        </is>
      </c>
    </row>
    <row r="2533">
      <c r="A2533" t="inlineStr">
        <is>
          <t>58ffiu</t>
        </is>
      </c>
      <c r="B2533" t="inlineStr">
        <is>
          <t>How long does Insulin Humalog last?</t>
        </is>
      </c>
      <c r="C2533" t="inlineStr">
        <is>
          <t xml:space="preserve">After I got diagnoised with T1 diabetes the nurse told me the Insulin Humalog will only last for 28 days after I puncture it with the syringe. But the Insulin I've been using has lasted me for about a little over 2 months and according to my glucometer it's doing it's job.
So why did the nurse and also the pharmacist tell me to use another batch of Insulin Humalog after 28 days? Are they just trying to get me to purchase more Insulin to make money? Is it for legal concerns for the pharmaceutical company to cover their own ass. </t>
        </is>
      </c>
      <c r="D2533" t="n">
        <v>5</v>
      </c>
      <c r="E2533" t="n">
        <v>14</v>
      </c>
      <c r="F2533">
        <f>HYPERLINK("https://www.reddit.com/r/diabetes/comments/58ffiu/how_long_does_insulin_humalog_last/")</f>
        <v/>
      </c>
      <c r="G2533" t="inlineStr">
        <is>
          <t>2016-10-19 23:23:27</t>
        </is>
      </c>
      <c r="H2533" t="inlineStr">
        <is>
          <t>Type 1</t>
        </is>
      </c>
    </row>
    <row r="2534">
      <c r="A2534" t="inlineStr">
        <is>
          <t>58fnmv</t>
        </is>
      </c>
      <c r="B2534" t="inlineStr">
        <is>
          <t>As a T1, I am absolutely terrified of having children for fear of passing on my disease</t>
        </is>
      </c>
      <c r="C2534" t="inlineStr">
        <is>
          <t>As a T1, I am absolutely terrified of having children for fear of passing on my disease. Any T1's out there with kids? I'd love to hear what you have to say</t>
        </is>
      </c>
      <c r="D2534" t="n">
        <v>40</v>
      </c>
      <c r="E2534" t="n">
        <v>49</v>
      </c>
      <c r="F2534">
        <f>HYPERLINK("https://www.reddit.com/r/diabetes/comments/58fnmv/as_a_t1_i_am_absolutely_terrified_of_having/")</f>
        <v/>
      </c>
      <c r="G2534" t="inlineStr">
        <is>
          <t>2016-10-20 00:37:18</t>
        </is>
      </c>
      <c r="H2534" t="inlineStr">
        <is>
          <t>Type 1</t>
        </is>
      </c>
    </row>
    <row r="2535">
      <c r="A2535" t="inlineStr">
        <is>
          <t>58fq8d</t>
        </is>
      </c>
      <c r="B2535" t="inlineStr">
        <is>
          <t>Is it hard to conceive children with T1?</t>
        </is>
      </c>
      <c r="C2535" t="inlineStr">
        <is>
          <t xml:space="preserve">I'm 31 and petrified that I may not be able to have children because of T1. </t>
        </is>
      </c>
      <c r="D2535" t="n">
        <v>9</v>
      </c>
      <c r="E2535" t="n">
        <v>21</v>
      </c>
      <c r="F2535">
        <f>HYPERLINK("https://www.reddit.com/r/diabetes/comments/58fq8d/is_it_hard_to_conceive_children_with_t1/")</f>
        <v/>
      </c>
      <c r="G2535" t="inlineStr">
        <is>
          <t>2016-10-20 01:03:51</t>
        </is>
      </c>
      <c r="H2535" t="inlineStr">
        <is>
          <t>Type 1</t>
        </is>
      </c>
    </row>
    <row r="2536">
      <c r="A2536" t="inlineStr">
        <is>
          <t>58jmr2</t>
        </is>
      </c>
      <c r="B2536" t="inlineStr">
        <is>
          <t>Is a resting level of 100 good/normal?</t>
        </is>
      </c>
      <c r="C2536" t="inlineStr">
        <is>
          <t xml:space="preserve">4 months into this fun journey of being T1, seem to have more or less leveled out at 100 after meals when I calculate fast acting insulin correctly. 
I read something on here about how that's still too high over time. Is that accurate? Should I be aiming for 80-90? I start to feel weird at 70, so I get nervous doing too much that might drop it below there. Thanks!
</t>
        </is>
      </c>
      <c r="D2536" t="n">
        <v>7</v>
      </c>
      <c r="E2536" t="n">
        <v>6</v>
      </c>
      <c r="F2536">
        <f>HYPERLINK("https://www.reddit.com/r/diabetes/comments/58jmr2/is_a_resting_level_of_100_goodnormal/")</f>
        <v/>
      </c>
      <c r="G2536" t="inlineStr">
        <is>
          <t>2016-10-20 14:53:20</t>
        </is>
      </c>
      <c r="H2536" t="inlineStr">
        <is>
          <t>Type 1</t>
        </is>
      </c>
    </row>
    <row r="2537">
      <c r="A2537" t="inlineStr">
        <is>
          <t>58msv0</t>
        </is>
      </c>
      <c r="B2537" t="inlineStr">
        <is>
          <t>Diagnosed T1 1.5 years ago, suddenly getting very high glucose levels an unsure why. Any help?</t>
        </is>
      </c>
      <c r="C2537" t="inlineStr">
        <is>
          <t>I'm a 24 year old male that was diagnosed as type 1 about a year and a half ago. Every thing has been fine so far, as I've never had a problem checking my glucose levels and staying under an acceptable level.
Recently (about the past 2 - 3 months or so) my numbers have been much higher than they were previously. I'll wake up around 200, and sometimes be around there for the whole day. 
Not much has changed though in the past few months. My diet is mostly the same, I regularly check my glucose levels, and I take the right amount of insulin at every meal. Is this a common problem among (relatively) type 1s? Any idea what could be causing this?</t>
        </is>
      </c>
      <c r="D2537" t="n">
        <v>2</v>
      </c>
      <c r="E2537" t="n">
        <v>9</v>
      </c>
      <c r="F2537">
        <f>HYPERLINK("https://www.reddit.com/r/diabetes/comments/58msv0/diagnosed_t1_15_years_ago_suddenly_getting_very/")</f>
        <v/>
      </c>
      <c r="G2537" t="inlineStr">
        <is>
          <t>2016-10-21 04:54:51</t>
        </is>
      </c>
      <c r="H2537" t="inlineStr">
        <is>
          <t>Type 1</t>
        </is>
      </c>
    </row>
    <row r="2538">
      <c r="A2538" t="inlineStr">
        <is>
          <t>58qgnn</t>
        </is>
      </c>
      <c r="B2538" t="inlineStr">
        <is>
          <t>Insulin-carb ratio changed on me overnight</t>
        </is>
      </c>
      <c r="C2538" t="inlineStr">
        <is>
          <t>My 12:1 ratio has been perfect since my diagnoses at the beginning of September. Three days ago after eating breakfast my blood sugar shot over 200. I thought I miscalculated my insulin dose. Same thing happened with lunch. There has been no change in diet, lifestyle, medication, health or anything that I can think of. It's still like this. A meal that required 10 units of insulin calls for 16-20 units now. Is this normal? This sucks.</t>
        </is>
      </c>
      <c r="D2538" t="n">
        <v>8</v>
      </c>
      <c r="E2538" t="n">
        <v>18</v>
      </c>
      <c r="F2538">
        <f>HYPERLINK("https://www.reddit.com/r/diabetes/comments/58qgnn/insulincarb_ratio_changed_on_me_overnight/")</f>
        <v/>
      </c>
      <c r="G2538" t="inlineStr">
        <is>
          <t>2016-10-21 16:53:39</t>
        </is>
      </c>
      <c r="H2538" t="inlineStr">
        <is>
          <t>Type 1</t>
        </is>
      </c>
    </row>
    <row r="2539">
      <c r="A2539" t="inlineStr">
        <is>
          <t>58sazj</t>
        </is>
      </c>
      <c r="B2539" t="inlineStr">
        <is>
          <t>Apps to control Aviva Combo pump</t>
        </is>
      </c>
      <c r="C2539" t="inlineStr">
        <is>
          <t>Has anyone developed an app to control the Accu-Chek Aviva Combo pump? Just so I might not need to carry around the handset/tester anymore (I now test using a Freestyle Libre instead). Thanks!</t>
        </is>
      </c>
      <c r="D2539" t="n">
        <v>1</v>
      </c>
      <c r="E2539" t="n">
        <v>0</v>
      </c>
      <c r="F2539">
        <f>HYPERLINK("https://www.reddit.com/r/diabetes/comments/58sazj/apps_to_control_aviva_combo_pump/")</f>
        <v/>
      </c>
      <c r="G2539" t="inlineStr">
        <is>
          <t>2016-10-22 01:48:29</t>
        </is>
      </c>
      <c r="H2539" t="inlineStr">
        <is>
          <t>Type 1</t>
        </is>
      </c>
    </row>
    <row r="2540">
      <c r="A2540" t="inlineStr">
        <is>
          <t>58t15k</t>
        </is>
      </c>
      <c r="B2540" t="inlineStr">
        <is>
          <t>Freestyle Libre first impressions</t>
        </is>
      </c>
      <c r="C2540" t="inlineStr">
        <is>
          <t xml:space="preserve">I am a US-based Type II and have done tight blood sugar control the last 15 years. I started and continue on the Dr. Bernstein diet, and have added elements of paleo, keto/LCHF and intermittent fasting along the way towards better control. The main thing I find difficult to control is "dawn phenomenon" higher sugars.
I've wanted to get a continuous glucose monitor for a while, especially to understand what is happening overnight, but the price is daunting and I don't think I can get it covered by insurance. With the Freestyle Libre finally offered in the US, but only through a Doctor, I got frustrated and bought a sensor from Europe and used Tor to get the Android app.
After one day, here are some observations and questions:
* I thought the sensor  had continuous readings that the reader/app would download every 8 hours, but the app is only doing discrete readings. This won't give me the overnight tracking I want. Does the sensor record 8 hours, but I need the Reader instead of the app?
* The app has no download feature, which is just stupid (I guess it forces you to buy the Reader)
* Numbers are not tracking well with finger sticks - the levels and direction are OKish, but the Libre is much more volatile than my Freestyle Freedom Lite meter. In one hour with no food or medication, the Libre showed a drop from 6.0 to 3.6 mmol/L, while the FFL went from 89 to 76 mg/dl (the Libre app does not allow you to change units and bases it on your registered country)
For those that have used the Libre for a while, are there any workarounds? Does it actually measure continuously and I need the Reader? Has anyone converted screenshots of the log in the app into a spreadsheet? Any other tips or things to try?
</t>
        </is>
      </c>
      <c r="D2540" t="n">
        <v>3</v>
      </c>
      <c r="E2540" t="n">
        <v>6</v>
      </c>
      <c r="F2540">
        <f>HYPERLINK("https://www.reddit.com/r/diabetes/comments/58t15k/freestyle_libre_first_impressions/")</f>
        <v/>
      </c>
      <c r="G2540" t="inlineStr">
        <is>
          <t>2016-10-22 06:03:12</t>
        </is>
      </c>
      <c r="H2540" t="inlineStr">
        <is>
          <t>Type 2</t>
        </is>
      </c>
    </row>
    <row r="2541">
      <c r="A2541" t="inlineStr">
        <is>
          <t>58tmny</t>
        </is>
      </c>
      <c r="B2541" t="inlineStr">
        <is>
          <t>Very long vent - My T1 SO’s levels are constantly high, relationship/engagement on hold bc of it.</t>
        </is>
      </c>
      <c r="C2541" t="inlineStr">
        <is>
          <t xml:space="preserve">EDIT: Thank you /r/diabetes for your overwhelming positive support and advice. I am truly grateful for this community. I will be sure to check out and share with my SO the resources, diet plans, routine changes, etc. because I want more than anything to be with this man forever. For those who think I'm a nag and am not supportive, I'm sorry you feel that way. Your opinions are still appreciated and welcomed. 
(Forgive me if I misspeak on certain diabetes terms/jargon). I have been with my T1 boyfriend for a year and a half now. He has been T1 since he was 12 (we’re both 24). We love each other very much, are each other’s best friends, and plan on getting officially engaged when I finish grad school next fall. Unfortunately his poor management of his T1 diabetes is throwing a wrench in our plans. 
His blood glucose levels are constantly high. There will be some days where he stays within the 100-150 range but it is RARE. Apparently, he is sensitive to insulin and he is deathly afraid of going low (I know that he takes Humalog for meals and Lantus at night). Honestly, he’s so up and down, it’s hard to keep track of where his blood sugar levels usually stay…if I had to estimate, at any given time, he is most likely to be between 150-350. He actually does have a Dexcom reader (?) but he NEVER uses it. 
Unfortunately, another major problem with his situation is his depression; this obviously causes issues with motivation and staying on top of his health (I struggle with depression myself, but I obviously don’t have to deal with diabetes). Lexapro and counseling have helped him get back on his feet in the past, but I still see the huge lack of motivation, especially with his diabetes care :( I also understand that depression and diabetes often go hand-in-hand, unfortunately. 
Last April, I went with him to his endocrinologist appt. He brought his a1c levels down from 12 to 9. This is a great accomplishment, and I always try to let him know how proud I am of him when he’s been doing well with his management. However, he went again in August (I couldn’t go) and it went back up to 11. His endo will not give him a pump until he brings it down to a 7. 
Every time I try to talk to him about how upset it makes me to see him (and essentially enable him) to make poor choices with his diabetes management, he gives me a laundry list of excuses like, “You’re overreacting,” “I’m actually a lot better than other T1s,” “You only focus on my bad days,” etc.  
Yesterday morning, he was at 350 and threw up (tell-tale sign of DKA for him, which has already happened 3 times in his life, 2 of which occurring in the past year). Once we realized it was not DKA, I broke down and ended our relationship indefinitely. I told him that there is literally nothing else I can think of to do to make him realize how serious I am about him making an effort to improve his health. I have every intention of picking up where we left off, IF he just can prove to me I am not headed towards a life of heartache. I love him, but I can’t live like this, in constant fear of losing him, for the rest of my life. I really don’t know what else to do. 
TL;DR: My T1 boyfriend is constantly high which is ruining our otherwise great relationship. I don’t want a life of constant stress and heartache.
</t>
        </is>
      </c>
      <c r="D2541" t="n">
        <v>14</v>
      </c>
      <c r="E2541" t="n">
        <v>18</v>
      </c>
      <c r="F2541">
        <f>HYPERLINK("https://www.reddit.com/r/diabetes/comments/58tmny/very_long_vent_my_t1_sos_levels_are_constantly/")</f>
        <v/>
      </c>
      <c r="G2541" t="inlineStr">
        <is>
          <t>2016-10-22 08:38:51</t>
        </is>
      </c>
      <c r="H2541" t="inlineStr">
        <is>
          <t>Type 1</t>
        </is>
      </c>
    </row>
    <row r="2542">
      <c r="A2542" t="inlineStr">
        <is>
          <t>58v2mk</t>
        </is>
      </c>
      <c r="B2542" t="inlineStr">
        <is>
          <t>A1C of 9, New Medication, and Sensitivity to Light</t>
        </is>
      </c>
      <c r="C2542" t="inlineStr">
        <is>
          <t>The past two weeks have been a whirlwind for me. While my job continues to build on the stress, I've also had to deal with a life-changing diagnosis. So far it's not going so well. I had to see my doctor on Mon due to some nasty side effects from Metfomin and Lisinopril. In the end we decided that the Metformin side effects had mellowed out, but he switched me over to Losartan due to the nasty cough Lisinopril was giving me. I also described some other things I had experience. 
For instance how sometimes when I would drive down the highway in the afternoon my eyes would become very sensitive to light to the point where I have to squint to keep them up open. My doctor decided to run some blood tests. Well come to find out that my diabetes is actually getting worse and my A1C had come back measuring at 9. I have an appointment with my doctor this next Monday to discuss the worsening of my disease and I feel I have a scolding lecture about my diet and about exercise heading my way. 
I printed off a list of ingredients for a diabetic meal plan, but when I went to the grocery store I couldn't bring myself to buy anything. I just couldn't stop thinking about all the kitchen equipment I don't have and also how unconfident I was in my cooking abilities. Have any of you ever had sensitivity with your eyes while driving? Have any of you ever taken Losartan? If so what was your experience with them the first few days? Lastly, what would you recommend about my cooking hangups?
Thanks guys. Nice to know I have a community like to come and explain my woes to.</t>
        </is>
      </c>
      <c r="D2542" t="n">
        <v>6</v>
      </c>
      <c r="E2542" t="n">
        <v>10</v>
      </c>
      <c r="F2542">
        <f>HYPERLINK("https://www.reddit.com/r/diabetes/comments/58v2mk/a1c_of_9_new_medication_and_sensitivity_to_light/")</f>
        <v/>
      </c>
      <c r="G2542" t="inlineStr">
        <is>
          <t>2016-10-22 13:34:31</t>
        </is>
      </c>
      <c r="H2542" t="inlineStr">
        <is>
          <t>Type 2</t>
        </is>
      </c>
    </row>
    <row r="2543">
      <c r="A2543" t="inlineStr">
        <is>
          <t>58vzty</t>
        </is>
      </c>
      <c r="B2543" t="inlineStr">
        <is>
          <t>Anyone helped foot neuropathy with good innersoles?</t>
        </is>
      </c>
      <c r="C2543" t="inlineStr">
        <is>
          <t xml:space="preserve">I guess I might have to buy bigger shoes to accommodate them but it seems like they would have to help. I'd like to get some encouragement before I invest the money. </t>
        </is>
      </c>
      <c r="D2543" t="n">
        <v>1</v>
      </c>
      <c r="E2543" t="n">
        <v>5</v>
      </c>
      <c r="F2543">
        <f>HYPERLINK("https://www.reddit.com/r/diabetes/comments/58vzty/anyone_helped_foot_neuropathy_with_good_innersoles/")</f>
        <v/>
      </c>
      <c r="G2543" t="inlineStr">
        <is>
          <t>2016-10-22 16:57:49</t>
        </is>
      </c>
      <c r="H2543" t="inlineStr">
        <is>
          <t>Type 2</t>
        </is>
      </c>
    </row>
    <row r="2544">
      <c r="A2544" t="inlineStr">
        <is>
          <t>58xh9j</t>
        </is>
      </c>
      <c r="B2544" t="inlineStr">
        <is>
          <t>Camping and nighttime lows</t>
        </is>
      </c>
      <c r="C2544" t="inlineStr">
        <is>
          <t>What do you do when camping?
Just off a nighttime low with my 9yo camping and I fed him some glucose tablets and a carton of no-refrigeration-needed milk. 
It's cold, and rousing a low 9yo from a warm down sleeping bag into 45 degree weather at 2am is no fun... 
No desire to become bear food, but we compromised with food just outside the tent and him still in his bag.
I don't keep food in the tent, save the glucose tabs in my 1st aid kit. 
So, what do you do? Note that we are into scouts, and backpacking, etc. My older boy is heading off to Philmont next summer - any of you ever do a serious backpacking trip? How do you deal with the strict no-food in tents requirements in similar situations?
(Clearly car camping situations are a little different and more forgiving)
\* edit: I love this subreddit. Thank you all for your incredibly detailed and thoughtful replies! Keep 'em coming, I love to hear how we each solve problems like this.</t>
        </is>
      </c>
      <c r="D2544" t="n">
        <v>6</v>
      </c>
      <c r="E2544" t="n">
        <v>18</v>
      </c>
      <c r="F2544">
        <f>HYPERLINK("https://www.reddit.com/r/diabetes/comments/58xh9j/camping_and_nighttime_lows/")</f>
        <v/>
      </c>
      <c r="G2544" t="inlineStr">
        <is>
          <t>2016-10-22 23:44:11</t>
        </is>
      </c>
      <c r="H2544" t="inlineStr">
        <is>
          <t>Type 1</t>
        </is>
      </c>
    </row>
    <row r="2545">
      <c r="A2545" t="inlineStr">
        <is>
          <t>5969tt</t>
        </is>
      </c>
      <c r="B2545" t="inlineStr">
        <is>
          <t>Dizzy and Sleepy at Work, Help!</t>
        </is>
      </c>
      <c r="C2545" t="inlineStr">
        <is>
          <t xml:space="preserve">I've only been diagnosed for a few weeks, but I've become keenly aware that my bouts of dizziness and sleepiness at work are closely tied to my BG levels. I've begun testing my BG 8 times a day. Despite my best efforts (and those of Meloxicam) my BG has consistently remained at or around the 250 mark. I'm tired of feeling like I need a nap in the middle of the day at work. I have an appointment with my doctor later today so hopefully he will have some suggestions. Very irritating to say the least. </t>
        </is>
      </c>
      <c r="D2545" t="n">
        <v>3</v>
      </c>
      <c r="E2545" t="n">
        <v>20</v>
      </c>
      <c r="F2545">
        <f>HYPERLINK("https://www.reddit.com/r/diabetes/comments/5969tt/dizzy_and_sleepy_at_work_help/")</f>
        <v/>
      </c>
      <c r="G2545" t="inlineStr">
        <is>
          <t>2016-10-24 11:46:19</t>
        </is>
      </c>
      <c r="H2545" t="inlineStr">
        <is>
          <t>Type 2</t>
        </is>
      </c>
    </row>
    <row r="2546">
      <c r="A2546" t="inlineStr">
        <is>
          <t>59bwtr</t>
        </is>
      </c>
      <c r="B2546" t="inlineStr">
        <is>
          <t>update metformin for type 1</t>
        </is>
      </c>
      <c r="C2546" t="inlineStr">
        <is>
          <t>i [posted](https://www.reddit.com/r/diabetes/comments/4z7png/any_type_i_diabetics_taking_metformin_here/) a month ago asking if anyone was type 1 using metformin to control liver dumps better.
i talked to my endo on the 18th about it and he said that it has worked better in his experiance for type 1's who are starting to get insulin resistance than what i was expecting it to do; however, the side effects aren't that bad and it could help so he prescribed me 500 mg er twice a day and said if i'm tolerating it well and it's helping, he will up that in 3 months. 
i have been on it a week as of today and its doing exactly what i expect... no dawn phenomena (that i seemed to get sporadically) and no more rise after working out. i did not get any of the GI issues as possible side effects, but i did get a strong metallic taste the first day taking it. i wonder if i did have some level of insulin resistance because my basil and bolus rates have needed to be decreased a little and my post meal spikes are less... so all and all i'd call it success. something odd is i have had 2 lows and have not had the normal ravishing hunger i traditionally associate with it. its actually a good thing i have a CGM, because 1 of them i didn't actually feel at all. 
my a1c was 6.8... i'll post another update when i go back in 3 months</t>
        </is>
      </c>
      <c r="D2546" t="n">
        <v>3</v>
      </c>
      <c r="E2546" t="n">
        <v>13</v>
      </c>
      <c r="F2546">
        <f>HYPERLINK("https://www.reddit.com/r/diabetes/comments/59bwtr/update_metformin_for_type_1/")</f>
        <v/>
      </c>
      <c r="G2546" t="inlineStr">
        <is>
          <t>2016-10-25 09:17:25</t>
        </is>
      </c>
      <c r="H2546" t="inlineStr">
        <is>
          <t>Type 1</t>
        </is>
      </c>
    </row>
    <row r="2547">
      <c r="A2547" t="inlineStr">
        <is>
          <t>59dc4k</t>
        </is>
      </c>
      <c r="B2547" t="inlineStr">
        <is>
          <t>T1D needing a wake-up call</t>
        </is>
      </c>
      <c r="C2547" t="inlineStr">
        <is>
          <t xml:space="preserve">I'm still a fairly new T1 Diabetic. Diagnosed at 24 and now 28. Fortunately, I was diagnosed while serving in the US military so there were plenty of classes and resources available to help me learn about the disease. 4 years later and after a medical discharge, I am letting my self slip too often. Almost daily I climb to at least 300 if not sometimes 400+. Right now it is too easy for me to overlook the long term effects and only focus on the yuck feeling and frequent urination of high spike.
So I guess I'm looking for a wake-up call from other Diabetics instead of doctors. What will happen if I keep allowing these daily BGL spikes to happen? How many years until I start seeing dire effects? Why do I need to control it now and accept it as part of my every day life?  Any other tips or advice you may have would be greatly appreciated. </t>
        </is>
      </c>
      <c r="D2547" t="n">
        <v>5</v>
      </c>
      <c r="E2547" t="n">
        <v>19</v>
      </c>
      <c r="F2547">
        <f>HYPERLINK("https://www.reddit.com/r/diabetes/comments/59dc4k/t1d_needing_a_wakeup_call/")</f>
        <v/>
      </c>
      <c r="G2547" t="inlineStr">
        <is>
          <t>2016-10-25 13:25:21</t>
        </is>
      </c>
      <c r="H2547" t="inlineStr">
        <is>
          <t>Type 1</t>
        </is>
      </c>
    </row>
    <row r="2548">
      <c r="A2548" t="inlineStr">
        <is>
          <t>59h1is</t>
        </is>
      </c>
      <c r="B2548" t="inlineStr">
        <is>
          <t>Almost 2 years as T2, latest bloodworks</t>
        </is>
      </c>
      <c r="C2548" t="inlineStr">
        <is>
          <t>I received my T2 dx in Dec 2014 and promptly went on a ketogenic diet to control my blood sugar level, with good success.
I also lost 85 lbs within the first six months and have kept it off, as well as normed my blood pressure and my lipids (off meds for both within six months).
I've broken keto occasionally to have a craft beer or two, but had to watch that due to reactive hypos after the carb bump.
I thought I'd share my latest bloodworks:
Hours After Meal - 2 Hours
Triglyceride 1.19  TARGET &amp;lt;1.71 mmol/L
Cholesterol 5.11 TARGET&amp;lt;5.20 mmol/L
HDL Cholesterol 1.58 TARGET&amp;gt;1.29 mmol/L
Non HDL Cholesterol 3.53 TARGET &amp;lt;3.4 mmol/L mmol/L
Hemoglobin A1C/Total Hemoglobin 5.5 TARGET 	 &amp;lt;6.0
All in all, not too shabby for a 56 year old guy.
+edit - forgot to add that my exercise is a minimum 5km walk per day, plus moderate daily bodyweights twice daily.</t>
        </is>
      </c>
      <c r="D2548" t="n">
        <v>5</v>
      </c>
      <c r="E2548" t="n">
        <v>4</v>
      </c>
      <c r="F2548">
        <f>HYPERLINK("https://www.reddit.com/r/diabetes/comments/59h1is/almost_2_years_as_t2_latest_bloodworks/")</f>
        <v/>
      </c>
      <c r="G2548" t="inlineStr">
        <is>
          <t>2016-10-26 04:39:46</t>
        </is>
      </c>
      <c r="H2548" t="inlineStr">
        <is>
          <t>Type 2</t>
        </is>
      </c>
    </row>
    <row r="2549">
      <c r="A2549" t="inlineStr">
        <is>
          <t>59kxn5</t>
        </is>
      </c>
      <c r="B2549" t="inlineStr">
        <is>
          <t>Sugar Free Halls drops..</t>
        </is>
      </c>
      <c r="C2549" t="inlineStr">
        <is>
          <t xml:space="preserve">Hi,
I am trying to be better with my blood sugars. I am pretty sick, so I bought sugar free Halls menthol drops. I've been eating them like candy (probably 15-20 per day). 
But, I've also been really really flatulent... more than normal, for sure. Is this related? It's the only dietary change I have made. </t>
        </is>
      </c>
      <c r="D2549" t="n">
        <v>3</v>
      </c>
      <c r="E2549" t="n">
        <v>9</v>
      </c>
      <c r="F2549">
        <f>HYPERLINK("https://www.reddit.com/r/diabetes/comments/59kxn5/sugar_free_halls_drops/")</f>
        <v/>
      </c>
      <c r="G2549" t="inlineStr">
        <is>
          <t>2016-10-26 16:51:22</t>
        </is>
      </c>
      <c r="H2549" t="inlineStr">
        <is>
          <t>Type 2</t>
        </is>
      </c>
    </row>
    <row r="2550">
      <c r="A2550" t="inlineStr">
        <is>
          <t>59m9f2</t>
        </is>
      </c>
      <c r="B2550" t="inlineStr">
        <is>
          <t>Where's everyone from (type1s)?</t>
        </is>
      </c>
      <c r="C2550" t="inlineStr">
        <is>
          <t>Curious where everyone is from and how old they are?
I've only ever come across a few type 1s in around 13 years of this problem.
I'm 27 and in Chicago.</t>
        </is>
      </c>
      <c r="D2550" t="n">
        <v>6</v>
      </c>
      <c r="E2550" t="n">
        <v>61</v>
      </c>
      <c r="F2550">
        <f>HYPERLINK("https://www.reddit.com/r/diabetes/comments/59m9f2/wheres_everyone_from_type1s/")</f>
        <v/>
      </c>
      <c r="G2550" t="inlineStr">
        <is>
          <t>2016-10-26 21:53:07</t>
        </is>
      </c>
      <c r="H2550" t="inlineStr">
        <is>
          <t>Type 1</t>
        </is>
      </c>
    </row>
    <row r="2551">
      <c r="A2551" t="inlineStr">
        <is>
          <t>59pz7c</t>
        </is>
      </c>
      <c r="B2551" t="inlineStr">
        <is>
          <t>T2 Question about blood sugar and medicine</t>
        </is>
      </c>
      <c r="C2551" t="inlineStr">
        <is>
          <t>I was diagnosed as Type 2 back in May so this is my first time being sick since finding out. About 3 weeks ago I started getting a cough but my blood sugar stayed the same. I usually range from 82-100. The past week the cough and other symptoms have gotten worse but yet my numbers were good. Even this morning my fasting number was 91. I went to the doctor today and she prescribed me Amox/k Clav 875-125MG and an inhaler to help. I've only taken one of the pills and one puff off of the inhaler and my number is already up to 123. I know that isn't a dangerous high number BUT it is a high number for me. Is it the medicine or inhaler causing the raise? Thanks in advance! :)</t>
        </is>
      </c>
      <c r="D2551" t="n">
        <v>3</v>
      </c>
      <c r="E2551" t="n">
        <v>12</v>
      </c>
      <c r="F2551">
        <f>HYPERLINK("https://www.reddit.com/r/diabetes/comments/59pz7c/t2_question_about_blood_sugar_and_medicine/")</f>
        <v/>
      </c>
      <c r="G2551" t="inlineStr">
        <is>
          <t>2016-10-27 12:30:41</t>
        </is>
      </c>
      <c r="H2551" t="inlineStr">
        <is>
          <t>Type 2</t>
        </is>
      </c>
    </row>
    <row r="2552">
      <c r="A2552" t="inlineStr">
        <is>
          <t>59wsgx</t>
        </is>
      </c>
      <c r="B2552" t="inlineStr">
        <is>
          <t>T1: How early do you bolus to avoid a post-meal spike?</t>
        </is>
      </c>
      <c r="C2552" t="inlineStr">
        <is>
          <t xml:space="preserve">I've been trying to bolus 15 minutes before I eat to avoid huge spikes, but I'm still struggling. Just wondering what works for other people. T1 for 13 years. </t>
        </is>
      </c>
      <c r="D2552" t="n">
        <v>4</v>
      </c>
      <c r="E2552" t="n">
        <v>10</v>
      </c>
      <c r="F2552">
        <f>HYPERLINK("https://www.reddit.com/r/diabetes/comments/59wsgx/t1_how_early_do_you_bolus_to_avoid_a_postmeal/")</f>
        <v/>
      </c>
      <c r="G2552" t="inlineStr">
        <is>
          <t>2016-10-28 13:35:05</t>
        </is>
      </c>
      <c r="H2552" t="inlineStr">
        <is>
          <t>Type 1</t>
        </is>
      </c>
    </row>
    <row r="2553">
      <c r="A2553" t="inlineStr">
        <is>
          <t>59z88f</t>
        </is>
      </c>
      <c r="B2553" t="inlineStr">
        <is>
          <t>Someone adamantly told me my T1 diabetes is in my head</t>
        </is>
      </c>
      <c r="C2553" t="inlineStr">
        <is>
          <t>They are crazy and don't know anything but I'm still livid.  Anyone else had this experience?</t>
        </is>
      </c>
      <c r="D2553" t="n">
        <v>44</v>
      </c>
      <c r="E2553" t="n">
        <v>55</v>
      </c>
      <c r="F2553">
        <f>HYPERLINK("https://www.reddit.com/r/diabetes/comments/59z88f/someone_adamantly_told_me_my_t1_diabetes_is_in_my/")</f>
        <v/>
      </c>
      <c r="G2553" t="inlineStr">
        <is>
          <t>2016-10-28 23:08:45</t>
        </is>
      </c>
      <c r="H2553" t="inlineStr">
        <is>
          <t>Type 1</t>
        </is>
      </c>
    </row>
    <row r="2554">
      <c r="A2554" t="inlineStr">
        <is>
          <t>5a07mc</t>
        </is>
      </c>
      <c r="B2554" t="inlineStr">
        <is>
          <t>Type 2 and honey</t>
        </is>
      </c>
      <c r="C2554" t="inlineStr">
        <is>
          <t xml:space="preserve">Hey! Just diagnosed with type 2 a little over a year ago (Oct 25).  A lot has changed, but some things have stayed the same. My love of honey has been unwavering!  I don't eat it every day, and I really just use as little as possible to get my fix, per se. 
I'm interested in trying new things. I use it in my tea (sometimes I use Splenda), and sometimes I'll put some on a piece of bread for a snack.  I'd like to try something else, mainly for bread or crackers. Any ideas?  </t>
        </is>
      </c>
      <c r="D2554" t="n">
        <v>4</v>
      </c>
      <c r="E2554" t="n">
        <v>25</v>
      </c>
      <c r="F2554">
        <f>HYPERLINK("https://www.reddit.com/r/diabetes/comments/5a07mc/type_2_and_honey/")</f>
        <v/>
      </c>
      <c r="G2554" t="inlineStr">
        <is>
          <t>2016-10-29 05:24:08</t>
        </is>
      </c>
      <c r="H2554" t="inlineStr">
        <is>
          <t>Type 2</t>
        </is>
      </c>
    </row>
    <row r="2555">
      <c r="A2555" t="inlineStr">
        <is>
          <t>5a3bjg</t>
        </is>
      </c>
      <c r="B2555" t="inlineStr">
        <is>
          <t>Lantus pen and T2</t>
        </is>
      </c>
      <c r="C2555" t="inlineStr">
        <is>
          <t xml:space="preserve">A friend who is T2 recently mentioned to me that he has been on Metformin for a while, but also recently started using a Lantus pen to inject insulin. When I searched on posts here, it seems as though most people who mention Lantus pens are T1. Is it commonly used by T2 people as well? This friend said his A1c had been coming down and is now at 6.4%.
</t>
        </is>
      </c>
      <c r="D2555" t="n">
        <v>1</v>
      </c>
      <c r="E2555" t="n">
        <v>1</v>
      </c>
      <c r="F2555">
        <f>HYPERLINK("https://www.reddit.com/r/diabetes/comments/5a3bjg/lantus_pen_and_t2/")</f>
        <v/>
      </c>
      <c r="G2555" t="inlineStr">
        <is>
          <t>2016-10-29 16:34:10</t>
        </is>
      </c>
      <c r="H2555" t="inlineStr">
        <is>
          <t>Type 2</t>
        </is>
      </c>
    </row>
    <row r="2556">
      <c r="A2556" t="inlineStr">
        <is>
          <t>5a3csc</t>
        </is>
      </c>
      <c r="B2556" t="inlineStr">
        <is>
          <t>How does fasting help blood glucose control?</t>
        </is>
      </c>
      <c r="C2556" t="inlineStr">
        <is>
          <t xml:space="preserve">A couple of weeks ago I posted ([here](https://www.reddit.com/r/diabetes/comments/57h6nm/smaller_more_frequent_meals/)) asking if it was common among T2 diabetics to spread out their carb intake by eating smaller, more frequent meals throughout the day. The answer seemed to be that it can help some people, but not others.
I certainly understand the idea that all our mileages may vary. But I'm still unclear on this: If you've decided in advance that you're going to be eating X grams of carb today, how does it help to eat more of it at a time, rather than spreading it out? (Or when people fast, are they often also deciding to reduce their total carb intake for the day?)
Just curious because I've been having luck recently smoothing off spikes by eating smaller amounts more frequently. Not sure why the reverse would help.
</t>
        </is>
      </c>
      <c r="D2556" t="n">
        <v>6</v>
      </c>
      <c r="E2556" t="n">
        <v>3</v>
      </c>
      <c r="F2556">
        <f>HYPERLINK("https://www.reddit.com/r/diabetes/comments/5a3csc/how_does_fasting_help_blood_glucose_control/")</f>
        <v/>
      </c>
      <c r="G2556" t="inlineStr">
        <is>
          <t>2016-10-29 16:42:11</t>
        </is>
      </c>
      <c r="H2556" t="inlineStr">
        <is>
          <t>Type 2</t>
        </is>
      </c>
    </row>
    <row r="2557">
      <c r="A2557" t="inlineStr">
        <is>
          <t>5aevtp</t>
        </is>
      </c>
      <c r="B2557" t="inlineStr">
        <is>
          <t>Anything that I can buy that constantly monitors blood sugar levels? Like in real time or as close to it as possible? Also how to combat dawn phenomena.</t>
        </is>
      </c>
      <c r="C2557" t="inlineStr">
        <is>
          <t>I always wake up high blood sugar and it just rises from there, or its normal but then gets high immediately. Also really insulin resistant in morning too. How do I prevent this?
As for constant monitoring of blood sugar 
I havent had a bad low blood sugar in decades but have a sudden one the other day and it freaked me the hell out and I have gone full paranoid constantly checking my sugar levels and hesitating to give insulin (forcing me to go basically low/no carb diet)
I am freaking out about another sudden low even though I know why it happened. (woke with high, gave insulin, didnt go down in like 2 hours, gave more, massive drop in blood sugar, didnt give first set on insulin enough time to work)
But still...</t>
        </is>
      </c>
      <c r="D2557" t="n">
        <v>1</v>
      </c>
      <c r="E2557" t="n">
        <v>7</v>
      </c>
      <c r="F2557">
        <f>HYPERLINK("https://www.reddit.com/r/diabetes/comments/5aevtp/anything_that_i_can_buy_that_constantly_monitors/")</f>
        <v/>
      </c>
      <c r="G2557" t="inlineStr">
        <is>
          <t>2016-10-31 13:49:12</t>
        </is>
      </c>
      <c r="H2557" t="inlineStr">
        <is>
          <t>Type 1</t>
        </is>
      </c>
    </row>
    <row r="2558">
      <c r="A2558" t="inlineStr">
        <is>
          <t>5aia81</t>
        </is>
      </c>
      <c r="B2558" t="inlineStr">
        <is>
          <t>My "underage" (18), diabetic sister-in-law asked me to buy her alcohol.</t>
        </is>
      </c>
      <c r="C2558" t="inlineStr">
        <is>
          <t>Throwaway because obviously. SIL and her roommate have asked me to buy them some Malibu Rum. She's away at university (first semester) and I am conveniently finishing my degree at the same university. I'm 25 now, but remember what it was like being underage. There were many, many times that my upper-classmen friends bought alcohol for me and I attended many a great party. Here's the kicker though: she's type 1 diabetic (diagnosed around 14-15 if that matters). I don't know any specifics like what her insulin to carb ratio is or other things that I don't even know I don't know. What I do know is that she takes a once daily shot of long-lasting insulin and then insulin shots throughout the day to regulate her blood sugar.  I have been really struggling with this. On the one hand, I want her to have a great freshman experience like I had (like her own sister had) and I certainly don't want to say, "Sorry, but here's yet another example of why diabetes sucks." I want to make clear that this is not a moral issue of providing for "underage" persons. If we lived in any number of other civilized countries this wouldn't be an issue as she would be able to purchase her own liquor. I'm also not here to argue this point and will ignore any comments regarding the legality of providing for "minors". She is an adult in the eyes of the law. This is purely a fear that I'm going to do this and kill her or I'm going to tell her that I can't do it and then five years from now find out I was over-reacting. Malibu has roughly 5 carbs per ounce and while I don't imagine she is going to drink a large amount of it, I also know how quickly being drunk can sneak up on you when you're inexperienced. I don't want her to have a few drinks and fall asleep and then have her blood sugar drop while she's asleep. So men and women of r/diabetes, what do you think? Do I do this or say no? Any and all information you can give me would be greatly appreciated!</t>
        </is>
      </c>
      <c r="D2558" t="n">
        <v>5</v>
      </c>
      <c r="E2558" t="n">
        <v>28</v>
      </c>
      <c r="F2558">
        <f>HYPERLINK("https://www.reddit.com/r/diabetes/comments/5aia81/my_underage_18_diabetic_sisterinlaw_asked_me_to/")</f>
        <v/>
      </c>
      <c r="G2558" t="inlineStr">
        <is>
          <t>2016-11-01 03:14:17</t>
        </is>
      </c>
      <c r="H2558" t="inlineStr">
        <is>
          <t>Type 1</t>
        </is>
      </c>
    </row>
    <row r="2559">
      <c r="A2559" t="inlineStr">
        <is>
          <t>5ajw3j</t>
        </is>
      </c>
      <c r="B2559" t="inlineStr">
        <is>
          <t>Recently diagnosed, not sure where to go from here</t>
        </is>
      </c>
      <c r="C2559" t="inlineStr">
        <is>
          <t>Well, I guess I should have seen it coming (my family has a history of type 1), but I never thought I'd get diabetes. Couple this with my inherent distrust of the medical system in the US, and, well, I'm pretty upset about it (*especially* because they tried to eke over 2k from me on the way out of the hospital). Nothing I can do but live with it, though, so I'm here to see what options there are for me. I'm still a bit shaken about the whole thing, but I'm trying to get my life in order again. Mostly, I'm trying to figure out how to make this not kill my bank account, so I have some questions:
First - insurance. I live in Wisconsin, and my insurance currently does not cover anything (I just got a random one just in case, because I guess it's illegal to not have one). I'm trying to figure out what's best for me (ie, makes insulin the cheapest). So far, I've been made aware of (by my grandmothers diabetes specialist):
* Arise
* Blue Cross Blue Shield
* Network Prestige
* United HealthCare Compass
Insurance providers seem to make it very damn impossible to grok all of their information about specific things like this. Right now, I use insulin pens (lantus and humalog). I don't have a proper prescription yet (I haven't even seen a specialist yet, I've been trying to change insurance first so it's not so expensive).
Does anyone have experience with any of these? What are your costs? Aside from insulin, I'm fairly healthy and eat well enough, so my only need for insurance is insulin.
Second (and actually how I found this community) - [I found this thread via google](https://www.reddit.com/r/diabetes/comments/2d8k2l/where_to_buy_refillable_insulin_pens/) about refillable insulin pens. I'm sure this is still a thing, but I can't find anything about it. Is it cheaper? Can they just be gotten from CVS like that thread suggests?
Any help, advice or more resources would be fantastic. Thanks in advance.</t>
        </is>
      </c>
      <c r="D2559" t="n">
        <v>14</v>
      </c>
      <c r="E2559" t="n">
        <v>32</v>
      </c>
      <c r="F2559">
        <f>HYPERLINK("https://www.reddit.com/r/diabetes/comments/5ajw3j/recently_diagnosed_not_sure_where_to_go_from_here/")</f>
        <v/>
      </c>
      <c r="G2559" t="inlineStr">
        <is>
          <t>2016-11-01 09:02:24</t>
        </is>
      </c>
      <c r="H2559" t="inlineStr">
        <is>
          <t>Type 1</t>
        </is>
      </c>
    </row>
    <row r="2560">
      <c r="A2560" t="inlineStr">
        <is>
          <t>5amisr</t>
        </is>
      </c>
      <c r="B2560" t="inlineStr">
        <is>
          <t>Liquid Diet to Kick Start?</t>
        </is>
      </c>
      <c r="C2560" t="inlineStr">
        <is>
          <t xml:space="preserve">Diagnosis for Type 2 a while back but have been .. bad is the best word for things. I have adjusted my diet and lost a few inches and pounds here and there but have not been 100% true to weight loss and better eating. I just joined a gym and they want me to do a 30 day cleanse. Of course the one that is being 'recommended' is through the gym and has a ton of sugars and carbs. Does anyone know of a good liquid diet that is somewhat affordable for a cleanse? Even a book that can point me somewhere that has better focus than an over worked lady and a gym rat? 
Thanks! </t>
        </is>
      </c>
      <c r="D2560" t="n">
        <v>1</v>
      </c>
      <c r="E2560" t="n">
        <v>5</v>
      </c>
      <c r="F2560">
        <f>HYPERLINK("https://www.reddit.com/r/diabetes/comments/5amisr/liquid_diet_to_kick_start/")</f>
        <v/>
      </c>
      <c r="G2560" t="inlineStr">
        <is>
          <t>2016-11-01 16:25:12</t>
        </is>
      </c>
      <c r="H2560" t="inlineStr">
        <is>
          <t>Type 2</t>
        </is>
      </c>
    </row>
    <row r="2561">
      <c r="A2561" t="inlineStr">
        <is>
          <t>5anci3</t>
        </is>
      </c>
      <c r="B2561" t="inlineStr">
        <is>
          <t>Type 1 Diabetic, don't need Lantus</t>
        </is>
      </c>
      <c r="C2561" t="inlineStr">
        <is>
          <t>I was diagnosed with Type 1 Diabetes about 4 years ago, and when I was first diagnosed I was on maybe 16-18 units of Lantus, and slowly kept having to lower my units down to 2-1 units due to it causing me to go low. It has now been roughly 3 years, and I don't need any type of long lasting insulin. I was wondering if there is anyone else with this situation.</t>
        </is>
      </c>
      <c r="D2561" t="n">
        <v>4</v>
      </c>
      <c r="E2561" t="n">
        <v>9</v>
      </c>
      <c r="F2561">
        <f>HYPERLINK("https://www.reddit.com/r/diabetes/comments/5anci3/type_1_diabetic_dont_need_lantus/")</f>
        <v/>
      </c>
      <c r="G2561" t="inlineStr">
        <is>
          <t>2016-11-01 19:03:20</t>
        </is>
      </c>
      <c r="H2561" t="inlineStr">
        <is>
          <t>Type 1</t>
        </is>
      </c>
    </row>
    <row r="2562">
      <c r="A2562" t="inlineStr">
        <is>
          <t>5aqkvg</t>
        </is>
      </c>
      <c r="B2562" t="inlineStr">
        <is>
          <t>Large ketones for the last three days... I'm a little worried.</t>
        </is>
      </c>
      <c r="C2562" t="inlineStr">
        <is>
          <t>about two or three days ago I was REALLY sick. Like throwing up every 45 minutes to an hour. Couldn't eat anything, whenever I drank something I'd throw it up. Now that I'm feeling better I've been drinking constantly.... But I still have Large ketones.. My stomach hurts. life is a mess right now. What do I do? I'm also shamed to admit that I also experimented with pot a week ago so I'm scared to go to any doctors or anything for fear of a drug test. Should I try to continue chugging water? :/</t>
        </is>
      </c>
      <c r="D2562" t="n">
        <v>1</v>
      </c>
      <c r="E2562" t="n">
        <v>5</v>
      </c>
      <c r="F2562">
        <f>HYPERLINK("https://www.reddit.com/r/diabetes/comments/5aqkvg/large_ketones_for_the_last_three_days_im_a_little/")</f>
        <v/>
      </c>
      <c r="G2562" t="inlineStr">
        <is>
          <t>2016-11-02 08:38:43</t>
        </is>
      </c>
      <c r="H2562" t="inlineStr">
        <is>
          <t>Type 1</t>
        </is>
      </c>
    </row>
    <row r="2563">
      <c r="A2563" t="inlineStr">
        <is>
          <t>5aql2h</t>
        </is>
      </c>
      <c r="B2563" t="inlineStr">
        <is>
          <t>T:Slim and Dexcom questions: basal rate differences from Medtronic? Dexcom needle length?</t>
        </is>
      </c>
      <c r="C2563" t="inlineStr">
        <is>
          <t>Hi everyone, sorry for grouping so many topics together, but my Medtronic pump warranty runs out soon, and I have so many questions. 
I've used Medtronic pumps since 2010, and I'm not a huge fan of the display or the OS in general, plus I really need a better CGM (the Medtronic one I tried in 2010 was horribly inaccurate, and the Enlite one doesn't seem to be much better based on reviews). I test 12 times a day, sometimes more, and I'm hoping to cut down on costs by using the CGM (I know it's still expensive, but it can't possibly be any worse than the number of strips I'm using now). So questions about the Dexcom:
1. How long are the needles? I'm pretty thin and muscular, and I've recently had to switch to stainless-steel-needle infusion sites since I lost more weight after my pregnancy, and I have a hard time finding places to put those already.
2. So the needles from the Dexcom sensors stay in for at least a week, possibly two or more? How is this possible, since I have to change my needled infusion site every two days because it gets so irritated?
3. Browsing through just the first few pages of this subreddit, I've seen complaints about the Dexcom 5. Is the best option to go with the t:slim G4 and the Dexcom 4? Does the Dexcom 5 even pair with any t:slim pumps?
4. Do CGM readings generally become more accurate after a day? (I read a review that said this.) My blood sugar is always fluctuating, so I could never get it stable for long enough for my old Medtronic CGM. How long is one's blood sugar supposed to be "stable" for a Dexcom to calibrate---is this an issue?
And about the t:slim:
5. How many basal rates can it hold? Is there a limit? I thought I read 10 or 12 somewhere, but that was a while back and I might be wrong. I have 20 or so currently programmed on my Medtronic Paradigm.
6. Does this relate to the different profiles available for basal rates? That is, how many separate basal rates can each profile hold? I'd love to be able to have different profiles to help me out with varying hormonal levels over the course of the month, something I've never been able to do with Medtronic. 
Thanks for any help! This seems like such a great source of information!
Edit: list formatting</t>
        </is>
      </c>
      <c r="D2563" t="n">
        <v>3</v>
      </c>
      <c r="E2563" t="n">
        <v>13</v>
      </c>
      <c r="F2563">
        <f>HYPERLINK("https://www.reddit.com/r/diabetes/comments/5aql2h/tslim_and_dexcom_questions_basal_rate_differences/")</f>
        <v/>
      </c>
      <c r="G2563" t="inlineStr">
        <is>
          <t>2016-11-02 08:39:44</t>
        </is>
      </c>
      <c r="H2563" t="inlineStr">
        <is>
          <t>Type 1</t>
        </is>
      </c>
    </row>
    <row r="2564">
      <c r="A2564" t="inlineStr">
        <is>
          <t>5aruym</t>
        </is>
      </c>
      <c r="B2564" t="inlineStr">
        <is>
          <t>Coming up on my first year as a Type 1 and thought I'd share a few quick things I've learned with those newly diagnosed</t>
        </is>
      </c>
      <c r="C2564" t="inlineStr">
        <is>
          <t>Hey guys, I was dx'd type 1 at 28 years old in December last year, it's been quite the rough road, here's just a few important things I've learned so far. 
1. Do your own research. It's insanely overwhelming at first, so much to learn about the disease, diet, lifestyle, treating yourself, history, medical terms, insurance and so on, so take it slow and just get the basics down at first, but don't stop learning. In the hospital I was told everything is normal, to eat 250-300 carbs a day and they put me on two heart medications. Eventually I did my own research, got off the meds, started eating low carb and things got much easier for me. This sub has been a tremendous asset to me and helped me much better understand the disease, but keep in mind that we still are just strangers online, mostly good ones, but try to diversify where you get your information from.
2.Reuse needles and Lancets as much as you want, despite what a nurse may tell you. Don't use the alcohol pads they just dry your skin out.
3.Stop giving a fuck what people think. One of the hardest parts for me was going from a "normal" person to this new lifestyle and it was only amplified every time I'd go out to eat and then have to go hide in the a dirty bathroom stall to take a shot or being coy about asking a waiter to accommodate my diet. Within reason, do the things that make this disease easier for you before you worry about how other people will feel.
4.Your body might act very strangely at first. I know I had it awhile before I went in and actually got Dx'd, so my body was used to high sugars, as soon as I got things under control, my vision blurred, I sweat buckets every night, I felt like i was going to pass out a lot, my feet fucking hurt to where I couldn't sleep at night. So for the first six months I was sure I was going to go blind and lose a foot before the end of the year, it wasn't until I saw my endo six months in that he said "oh yeah, that's pretty normal, no one told you?" 
5(lastly). It. Gets. Easier. Don't get me wrong, this fucking sucks, I hate this and I would give almost anything to go back to how things were, but it has slowly gotten easier to accept and manage with each passing day. The first month I constantly had the thought "I cannot do this" I literally could not see myself being able to keep myself alive. The shots get easier, the pricks get less painful, the worry becomes less constant, things begin to align back into place and while it is still on my mind a lot of the day and still a huge part of my life overall, it is slowly becoming more background noise and an annoyance than a death sentence.
Stay healthy, stay strong, you got this</t>
        </is>
      </c>
      <c r="D2564" t="n">
        <v>17</v>
      </c>
      <c r="E2564" t="n">
        <v>25</v>
      </c>
      <c r="F2564">
        <f>HYPERLINK("https://www.reddit.com/r/diabetes/comments/5aruym/coming_up_on_my_first_year_as_a_type_1_and/")</f>
        <v/>
      </c>
      <c r="G2564" t="inlineStr">
        <is>
          <t>2016-11-02 12:08:41</t>
        </is>
      </c>
      <c r="H2564" t="inlineStr">
        <is>
          <t>Type 1</t>
        </is>
      </c>
    </row>
    <row r="2565">
      <c r="A2565" t="inlineStr">
        <is>
          <t>5as3ts</t>
        </is>
      </c>
      <c r="B2565" t="inlineStr">
        <is>
          <t>So I'm a week into taking a pump vacation...</t>
        </is>
      </c>
      <c r="C2565" t="inlineStr">
        <is>
          <t xml:space="preserve">and I have to say, I'm loving it. I was getting so tired of infusion sets. They hurt to apply, they hurt to lay on. The tubing hanging out and snagging on things. Just tired of it.
So for the past week, I've been back on MDI. My BG is actually smoother, and I *feel* so much more free. 
Highly recommend it. 
Edit: Just to clarify, I'm not really advocating permanently giving up the pump. I think both MDI and pump treatments have pros and cons. It's just nice to enjoy the "pros" from the other column for a while, until the "cons" get too annoying. </t>
        </is>
      </c>
      <c r="D2565" t="n">
        <v>5</v>
      </c>
      <c r="E2565" t="n">
        <v>20</v>
      </c>
      <c r="F2565">
        <f>HYPERLINK("https://www.reddit.com/r/diabetes/comments/5as3ts/so_im_a_week_into_taking_a_pump_vacation/")</f>
        <v/>
      </c>
      <c r="G2565" t="inlineStr">
        <is>
          <t>2016-11-02 12:49:27</t>
        </is>
      </c>
      <c r="H2565" t="inlineStr">
        <is>
          <t>Type 1</t>
        </is>
      </c>
    </row>
    <row r="2566">
      <c r="A2566" t="inlineStr">
        <is>
          <t>5assbd</t>
        </is>
      </c>
      <c r="B2566" t="inlineStr">
        <is>
          <t>Just ordered my t:slim X2 upgrade!</t>
        </is>
      </c>
      <c r="C2566" t="inlineStr">
        <is>
          <t>Hey y'all!
Just got the email from Tandem notifying me that I was eligible. Click link, fill out info, and BOOM! Got the confirmation that it's been processed and will ship soon.
I know the base pump isn't any different, but I'm looking forward to being able to integrate Dex G5 data with the pump in ~6 months or so!</t>
        </is>
      </c>
      <c r="D2566" t="n">
        <v>7</v>
      </c>
      <c r="E2566" t="n">
        <v>3</v>
      </c>
      <c r="F2566">
        <f>HYPERLINK("https://www.reddit.com/r/diabetes/comments/5assbd/just_ordered_my_tslim_x2_upgrade/")</f>
        <v/>
      </c>
      <c r="G2566" t="inlineStr">
        <is>
          <t>2016-11-02 14:45:34</t>
        </is>
      </c>
      <c r="H2566" t="inlineStr">
        <is>
          <t>Type 1</t>
        </is>
      </c>
    </row>
    <row r="2567">
      <c r="A2567" t="inlineStr">
        <is>
          <t>5auoj0</t>
        </is>
      </c>
      <c r="B2567" t="inlineStr">
        <is>
          <t>how long does it take to get rid of large ketones?</t>
        </is>
      </c>
      <c r="C2567" t="inlineStr">
        <is>
          <t>I've had Large Ketones for about 4 days now... straight. I'm drinking a lot of water but I called my endo and she said I didn't need to go to the Er since I wasn't throwing up with ketones. She said to continue drinking water, a cup every two hours. I don't think it's helping :/ I've lost 17 pounds in the last 4 days. How much longer of this hell? Have I mentioned I hate being diabetic. I hate it. No one understands.</t>
        </is>
      </c>
      <c r="D2567" t="n">
        <v>2</v>
      </c>
      <c r="E2567" t="n">
        <v>9</v>
      </c>
      <c r="F2567">
        <f>HYPERLINK("https://www.reddit.com/r/diabetes/comments/5auoj0/how_long_does_it_take_to_get_rid_of_large_ketones/")</f>
        <v/>
      </c>
      <c r="G2567" t="inlineStr">
        <is>
          <t>2016-11-02 21:00:36</t>
        </is>
      </c>
      <c r="H2567" t="inlineStr">
        <is>
          <t>Type 1</t>
        </is>
      </c>
    </row>
    <row r="2568">
      <c r="A2568" t="inlineStr">
        <is>
          <t>5ax1ct</t>
        </is>
      </c>
      <c r="B2568" t="inlineStr">
        <is>
          <t>Questions to ask new OBGYN relating to future pregnancy and diabetes? X post from r/babybumps</t>
        </is>
      </c>
      <c r="C2568" t="inlineStr">
        <is>
          <t xml:space="preserve">So husband and I are planning on starting trying to conceive next month. We moved to a new city a few months ago so I'm searching for a new obgyn who will hopefully be my doctor through pregnancy as well. I'm also a type 1 diabetic, I've already found my new Endo and got the sign off to get pregnant at my last appointment (a1c 5.8 with pump and cgm). She gave me a few recommendations on obgyns that she has worked with on other pregnant patients. I made an appt with one of them and it's on Monday.
I have some ideas of questions I should ask her about how my care will be handled, do they leave diabetes related decisions to me and my Endo (hopefully!) and how they work with the high risk OB. I was wondering if anyone who's been through it or is going through it now had any tips on good questions they asked or things they wish they would have figured out beforehand? Also, is there any value in getting a pre conception appointment with a high risk OB? I've heard both sides and I'll speak with my doctor about it but figured I'd ask. </t>
        </is>
      </c>
      <c r="D2568" t="n">
        <v>8</v>
      </c>
      <c r="E2568" t="n">
        <v>9</v>
      </c>
      <c r="F2568">
        <f>HYPERLINK("https://www.reddit.com/r/diabetes/comments/5ax1ct/questions_to_ask_new_obgyn_relating_to_future/")</f>
        <v/>
      </c>
      <c r="G2568" t="inlineStr">
        <is>
          <t>2016-11-03 07:33:51</t>
        </is>
      </c>
      <c r="H2568" t="inlineStr">
        <is>
          <t>Type 1</t>
        </is>
      </c>
    </row>
    <row r="2569">
      <c r="A2569" t="inlineStr">
        <is>
          <t>5ay016</t>
        </is>
      </c>
      <c r="B2569" t="inlineStr">
        <is>
          <t>I feel like I’m starving myself to death</t>
        </is>
      </c>
      <c r="C2569" t="inlineStr">
        <is>
          <t>Around nine months ago, I started waking in the middle of the night. I’d wake up starving every single time, make myself a snack, and try to go back to sleep.
Three months ago, an endocrinologist said I have T2 and told me to change up my diet to have fewer carbs. I immediately started tracking and counting my carbs using MyFitnessPal. I asked for her advice about what to set as my goals, and she said to never eat more than 100 grams of carbs a day and no more than 1,200 calories in total (note: I was never overweight. That’s just what I needed to “maintain” my weight).
For the first two months, I was fine. I wouldn’t wake up in the middle of the night anymore. But once I started somehow losing weight (about 2 pounds a week), the nightmares and pain in the middle of the night started again.
Now, I’ve been even going over on carbs and calories every single day just because I’m in so much pain from hunger pains, and I’m around 95 pounds now. I feel like I’m starving myself to death. 
Three days this past week, I’ve woken up at 4 AM to vomit because I was in so much pain from the hunger pains. The pain subsided immediately after I ate crackers.
I don’t know what I’m doing wrong. I don’t want to lose weight. I am trying to eat what my goal is but if I do, I’m always hungry all the time to the point I am miserable. I am spacing out my meals and snacks every 4 hours, with no more than 300 calories at a time, and no more than 25 carbs max each time. I’ve tried fasting before bed and eating before bed, and there’s no difference.
I feel completely out of control of my life now and like there’s nothing I can do. I was doing exactly what I was supposed to, but I became so hungry and have started wasting away. And now that I’m just trying to stop being in constant pain, I’m blowing all my maxs. And that makes me hate myself and feel like I am killing myself at the same time.
Edit: Since Google brings this up as a possibility for starving at night, I can't be pregnant.
Edit 2: For those responding, is there anything in particular that makes you think this might be T1 instead?
Edit 3: For more info, I'm 22. Every blood test I've taken in the past decade has had elevated WBC, I don't know if that's related to T1 or maybe I had unrelated infections at the time.
Edit 4: I kinda binged and had a bunch of carbs last night (hit 140g) and I've never felt better?
Edit 5: I finally got the endo to send me over my the paperwork by saying I was moving and couldn't go there anymore (a total lie). It says my A1C is only 5.6. What the hell?</t>
        </is>
      </c>
      <c r="D2569" t="n">
        <v>9</v>
      </c>
      <c r="E2569" t="n">
        <v>29</v>
      </c>
      <c r="F2569">
        <f>HYPERLINK("https://www.reddit.com/r/diabetes/comments/5ay016/i_feel_like_im_starving_myself_to_death/")</f>
        <v/>
      </c>
      <c r="G2569" t="inlineStr">
        <is>
          <t>2016-11-03 10:15:17</t>
        </is>
      </c>
      <c r="H2569" t="inlineStr">
        <is>
          <t>Type 2</t>
        </is>
      </c>
    </row>
    <row r="2570">
      <c r="A2570" t="inlineStr">
        <is>
          <t>5b076t</t>
        </is>
      </c>
      <c r="B2570" t="inlineStr">
        <is>
          <t>Does anyone have a good T1 Tattoo to show off?</t>
        </is>
      </c>
      <c r="C2570" t="inlineStr">
        <is>
          <t>I am looking at getting a type 1 diabetic tattoo on either my wrist or forearm. I would love to see if any of you guys have a type 1 diabetic themed tattoo, for inspiration for what I should get.</t>
        </is>
      </c>
      <c r="D2570" t="n">
        <v>15</v>
      </c>
      <c r="E2570" t="n">
        <v>7</v>
      </c>
      <c r="F2570">
        <f>HYPERLINK("https://www.reddit.com/r/diabetes/comments/5b076t/does_anyone_have_a_good_t1_tattoo_to_show_off/")</f>
        <v/>
      </c>
      <c r="G2570" t="inlineStr">
        <is>
          <t>2016-11-03 16:22:04</t>
        </is>
      </c>
      <c r="H2570" t="inlineStr">
        <is>
          <t>Type 1</t>
        </is>
      </c>
    </row>
    <row r="2571">
      <c r="A2571" t="inlineStr">
        <is>
          <t>5b0wc4</t>
        </is>
      </c>
      <c r="B2571" t="inlineStr">
        <is>
          <t>Stress and trying to stay on target BG</t>
        </is>
      </c>
      <c r="C2571" t="inlineStr">
        <is>
          <t>I've been having a couple of really stressful days recently. I haven't noticed my BG changing much except for slightly higher numbers due to my lack of physical activity (because I'm dealing with issues sitting down/on a computer/on the phone and waiting for these things to be resolved).
I increased my basal 2 units yesterday and my BG is similar to a typical day where I'm active and sticking to my routine.
I unfortunately had to get some fast food because stress/waiting on something that killed my otherwise healthier meal plan, so I bolused correctly but felt like utter shit later (fast food, if I don't have it for months makes me feel awful hours later).
One thing I am noticing is that I'm getting stronger urges to snack on something (I would snack often under stress prior to Dx). This sucks. Coping by sipping on water and chewing sugar free gum. Even though my BG is on target, I feel like crap and am trying to keep an eye out on my #'s in case things change by doing more testing, more often.
I work in a legit food desert. I am kicking myself because I knew I should have packed a healthy lunch and snacks for me to have while here at work, but last night I went home too tired to prepare anything. Sorry for the rant, I guess this is the first time I've been hit with a wave of stressful events since being diagnosed as a fucking diabetic.
EDIT: Oh, and it also doesn't help that my wife isn't speaking to me because I'm being a dick about the other stressful things happening throughout my day. I think I might be having mood swings or something, I'm noticing I'm being a bit more irritable (although checking my BG shows I'm within range). F***ing Diabetes!</t>
        </is>
      </c>
      <c r="D2571" t="n">
        <v>1</v>
      </c>
      <c r="E2571" t="n">
        <v>2</v>
      </c>
      <c r="F2571">
        <f>HYPERLINK("https://www.reddit.com/r/diabetes/comments/5b0wc4/stress_and_trying_to_stay_on_target_bg/")</f>
        <v/>
      </c>
      <c r="G2571" t="inlineStr">
        <is>
          <t>2016-11-03 18:38:44</t>
        </is>
      </c>
      <c r="H2571" t="inlineStr">
        <is>
          <t>Type 1.5/LADA</t>
        </is>
      </c>
    </row>
    <row r="2572">
      <c r="A2572" t="inlineStr">
        <is>
          <t>5b2z7x</t>
        </is>
      </c>
      <c r="B2572" t="inlineStr">
        <is>
          <t>Low last night - first truly scary one</t>
        </is>
      </c>
      <c r="C2572" t="inlineStr">
        <is>
          <t>So I was still able to function, I am sure there is a worse experience waiting for me someday but whew, this was a good one.
It was scary because I didn't even recognize what it was, and I can't even really define my thoughts during the moment.  I woke up around 3am, suuuppper hungry, wasn't thinking low, also didn't think it was weird that I was so hungry at 3am.  I basically rolled down the stairs and got crackers out of the pantry - This part I assume because I know I got up, and I know I had crackers in my mouth a second later.  At one point I did check my phone for my sugar levels, all good there because the step tracker app said 79 for the day.  
It wasn't until 15 min or so later when the crackers...and the granola bar,,,and whatever made the crumbs on the counter, started to take effect that I realized I was having a low.  At this point, I was drenched in sweat, like dripping just ran 17 miles sweat.  I checked my pedometer one more time for my blood sugar levels, still good, what gives...
When my head started to clear I finally got a true reading, which at this point (20 min in) was about 50.  I have no idea how low I was at the start, but I'm thinking it might have broken my record which is somewhere in the high twenties.</t>
        </is>
      </c>
      <c r="D2572" t="n">
        <v>14</v>
      </c>
      <c r="E2572" t="n">
        <v>23</v>
      </c>
      <c r="F2572">
        <f>HYPERLINK("https://www.reddit.com/r/diabetes/comments/5b2z7x/low_last_night_first_truly_scary_one/")</f>
        <v/>
      </c>
      <c r="G2572" t="inlineStr">
        <is>
          <t>2016-11-04 04:19:33</t>
        </is>
      </c>
      <c r="H2572" t="inlineStr">
        <is>
          <t>Type 1</t>
        </is>
      </c>
    </row>
    <row r="2573">
      <c r="A2573" t="inlineStr">
        <is>
          <t>5b7h0a</t>
        </is>
      </c>
      <c r="B2573" t="inlineStr">
        <is>
          <t>High Fasting Glucose, but I may have screwed up.</t>
        </is>
      </c>
      <c r="C2573" t="inlineStr">
        <is>
          <t>Hey everyone- I had a question about blood glucose levels and thought you would be the best person to ask.
So I completely forgot I had a Dr apt yesterday and that i was supposed to be fasting. I was up very late and after I got off work at 2am I had 2 glasses of wine and half a bagel. Then in the morning at 8:00 I drank a little bit of juice (about 10-15g of sugar worth) but didn't eat anything. At this point I said crap, I'm supposed to be fasting. My "fasting glucose" at 9:00am was at 126 which apparently is the cut off for being diabetic. 
I read online that 1g can increase your BG from 2-5 points. I'm wondering if that scale is simply for diabetics or is it for non diabetics too. My BMI is 25 (195lb) and I'm 29, so I don't think that I would have DM2 but I'm just be being paranoid. Could the juice have increased my BG 20-30 points?</t>
        </is>
      </c>
      <c r="D2573" t="n">
        <v>4</v>
      </c>
      <c r="E2573" t="n">
        <v>3</v>
      </c>
      <c r="F2573">
        <f>HYPERLINK("https://www.reddit.com/r/diabetes/comments/5b7h0a/high_fasting_glucose_but_i_may_have_screwed_up/")</f>
        <v/>
      </c>
      <c r="G2573" t="inlineStr">
        <is>
          <t>2016-11-04 18:09:29</t>
        </is>
      </c>
      <c r="H2573" t="inlineStr">
        <is>
          <t>Type 2</t>
        </is>
      </c>
    </row>
    <row r="2574">
      <c r="A2574" t="inlineStr">
        <is>
          <t>5bdub2</t>
        </is>
      </c>
      <c r="B2574" t="inlineStr">
        <is>
          <t>Any of you guys get this weird sensation or is it just me..something serious?</t>
        </is>
      </c>
      <c r="C2574" t="inlineStr">
        <is>
          <t>Base of head in the back, near the top of the neck, gets like a weird pressure or sensation I guess, like its trying to move and move my head. But my head is still, its the sensation that its TRYING to move, rather than the sensation that is IS moving. Also general weirdness with the back and/or top of the head.
Typically I get this with high blood suger like 180++ and the higher the worse it is (though its never too severe even when pretty high) A1C was probably around 9-10 for this amount of time too.
But I get it when my numbers are fine too like in the 90-120 range, just not as often.
Just to add, I had bad blood sugar control the past 10 years, no doctor visits, etc with an average blood sugar in the 190-230 range with many highs..only recently have I been getting a lot more serious with diet and blood sugar control.</t>
        </is>
      </c>
      <c r="D2574" t="n">
        <v>3</v>
      </c>
      <c r="E2574" t="n">
        <v>7</v>
      </c>
      <c r="F2574">
        <f>HYPERLINK("https://www.reddit.com/r/diabetes/comments/5bdub2/any_of_you_guys_get_this_weird_sensation_or_is_it/")</f>
        <v/>
      </c>
      <c r="G2574" t="inlineStr">
        <is>
          <t>2016-11-05 20:05:43</t>
        </is>
      </c>
      <c r="H2574" t="inlineStr">
        <is>
          <t>Type 1</t>
        </is>
      </c>
    </row>
    <row r="2575">
      <c r="A2575" t="inlineStr">
        <is>
          <t>5bfkwl</t>
        </is>
      </c>
      <c r="B2575" t="inlineStr">
        <is>
          <t>Fellow pump-ers, how do you deal with the calendar time changes?</t>
        </is>
      </c>
      <c r="C2575" t="inlineStr">
        <is>
          <t>Is there a method you use for changing basal rates with the time change? Is this less complicated than I am perceiving it??</t>
        </is>
      </c>
      <c r="D2575" t="n">
        <v>3</v>
      </c>
      <c r="E2575" t="n">
        <v>8</v>
      </c>
      <c r="F2575">
        <f>HYPERLINK("https://www.reddit.com/r/diabetes/comments/5bfkwl/fellow_pumpers_how_do_you_deal_with_the_calendar/")</f>
        <v/>
      </c>
      <c r="G2575" t="inlineStr">
        <is>
          <t>2016-11-06 04:54:49</t>
        </is>
      </c>
      <c r="H2575" t="inlineStr">
        <is>
          <t>Type 1</t>
        </is>
      </c>
    </row>
    <row r="2576">
      <c r="A2576" t="inlineStr">
        <is>
          <t>5bh50b</t>
        </is>
      </c>
      <c r="B2576" t="inlineStr">
        <is>
          <t>shaking when low</t>
        </is>
      </c>
      <c r="C2576" t="inlineStr">
        <is>
          <t>Sometimes when I get low, I begin to shake, legs, hands, my torso. Right now I'm shaking uncontrollably, any tips on how to calm your body down?</t>
        </is>
      </c>
      <c r="D2576" t="n">
        <v>2</v>
      </c>
      <c r="E2576" t="n">
        <v>10</v>
      </c>
      <c r="F2576">
        <f>HYPERLINK("https://www.reddit.com/r/diabetes/comments/5bh50b/shaking_when_low/")</f>
        <v/>
      </c>
      <c r="G2576" t="inlineStr">
        <is>
          <t>2016-11-06 10:19:13</t>
        </is>
      </c>
      <c r="H2576" t="inlineStr">
        <is>
          <t>Type 1</t>
        </is>
      </c>
    </row>
    <row r="2577">
      <c r="A2577" t="inlineStr">
        <is>
          <t>5bhi6t</t>
        </is>
      </c>
      <c r="B2577" t="inlineStr">
        <is>
          <t>Euglycemic Ketoacidosis and measuring ketones</t>
        </is>
      </c>
      <c r="C2577" t="inlineStr">
        <is>
          <t>Hey guys, T1 diabetic here; every time I've gotten sick for the past year (mostly stomach flu or virus, but even a cold), my sugars have been normal but my ketones have been on the rise. My endo has said this just happens to be my body's pattern when I'm ill. When they reach high, I've had to stay in the hospital to get the anion gap down and ketones to negative. The docs often don't understand why I have normal blood sugars but high ketones. I've had some weird virus this past week that seems mild, low grade fever, headache, and dizziness are the only symptoms, but I've been having ketones up to small amounts. I just tested them in my urine, they were at moderate. Yikes. Then I tested them on my ketone meter in my blood - they were at .3 mmol/L, which counts as negative. I'm still going to flush fluids like crazy no matter what, but should I just assume the blood number is more accurate? Thanks!
Update: Followed up with the doctor, she confirmed what you guys said below. I have some sort of infection and not a virus, she's running tests and I'll have results by the end of the day. Thanks again for all of your help and education!</t>
        </is>
      </c>
      <c r="D2577" t="n">
        <v>1</v>
      </c>
      <c r="E2577" t="n">
        <v>8</v>
      </c>
      <c r="F2577">
        <f>HYPERLINK("https://www.reddit.com/r/diabetes/comments/5bhi6t/euglycemic_ketoacidosis_and_measuring_ketones/")</f>
        <v/>
      </c>
      <c r="G2577" t="inlineStr">
        <is>
          <t>2016-11-06 11:26:56</t>
        </is>
      </c>
      <c r="H2577" t="inlineStr">
        <is>
          <t>Type 1</t>
        </is>
      </c>
    </row>
    <row r="2578">
      <c r="A2578" t="inlineStr">
        <is>
          <t>5bi0do</t>
        </is>
      </c>
      <c r="B2578" t="inlineStr">
        <is>
          <t>I killed my rowing machine!</t>
        </is>
      </c>
      <c r="C2578" t="inlineStr">
        <is>
          <t>So, I have been rowing for 30 minutes/day for a little over a year. I contacted the company that made the rower, and they sent me some replacement parts. 
While I have been waiting for the parts to arrive, I have had to resort to *walking* for exercise. 
OMG! *huge* difference for control between rowing and walking! I have to do more walking for the same amount of control than I did rowing! 
What has surprised you about the association between exercise and BG control?</t>
        </is>
      </c>
      <c r="D2578" t="n">
        <v>4</v>
      </c>
      <c r="E2578" t="n">
        <v>23</v>
      </c>
      <c r="F2578">
        <f>HYPERLINK("https://www.reddit.com/r/diabetes/comments/5bi0do/i_killed_my_rowing_machine/")</f>
        <v/>
      </c>
      <c r="G2578" t="inlineStr">
        <is>
          <t>2016-11-06 12:57:02</t>
        </is>
      </c>
      <c r="H2578" t="inlineStr">
        <is>
          <t>Type 2</t>
        </is>
      </c>
    </row>
    <row r="2579">
      <c r="A2579" t="inlineStr">
        <is>
          <t>5bjn55</t>
        </is>
      </c>
      <c r="B2579" t="inlineStr">
        <is>
          <t>Weird (good... then bad) meter readings after cake &amp;amp; ice cream followed by exercise</t>
        </is>
      </c>
      <c r="C2579" t="inlineStr">
        <is>
          <t xml:space="preserve">So last night, we had a cake day for a family member.  I've been doing really well with just diet and exercise since being diagnosed as T2 back in July.  No metformin or anything, just LCHF "keto" diet and an hour of vigorous exercise is (for now) keeping my T2 DM managed.  
So I had some cake and ice cream, figuring I would stave off any bs spikes by following it up with a long walk.  And so I did.  I took my meter with me and about 2mi gave my fingers a poke.  I was dreading a sky-high reading, but was at an almost all-time low of 85mg/dL!  As with other unexpected readings, I confirmed with a second stick, which was aligned with the first.  
I finished the next two miles of the walk and sat my ass down in front of the TV.  Which in retrospect probably wasn't such a good idea.  
At 2hrs after eating, I thought "well let's see if the walk's still keeping me in good shape" and gave my fingers another stick.  
This time it was up at 165mg/dL!  Again, a second reading confirmed it.  
I'm confused- how could my bs have gone up if the walk (and it was a pretty darn vigorous one) had been keeping it in great shape just a short time before?  I ate nothing else after the cake and ice cream.  
</t>
        </is>
      </c>
      <c r="D2579" t="n">
        <v>1</v>
      </c>
      <c r="E2579" t="n">
        <v>7</v>
      </c>
      <c r="F2579">
        <f>HYPERLINK("https://www.reddit.com/r/diabetes/comments/5bjn55/weird_good_then_bad_meter_readings_after_cake_ice/")</f>
        <v/>
      </c>
      <c r="G2579" t="inlineStr">
        <is>
          <t>2016-11-06 18:10:05</t>
        </is>
      </c>
      <c r="H2579" t="inlineStr">
        <is>
          <t>Type 2</t>
        </is>
      </c>
    </row>
    <row r="2580">
      <c r="A2580" t="inlineStr">
        <is>
          <t>5bp32w</t>
        </is>
      </c>
      <c r="B2580" t="inlineStr">
        <is>
          <t>Misdiagnosis of Type 1 Diabetes</t>
        </is>
      </c>
      <c r="C2580" t="inlineStr">
        <is>
          <t>Hey Everyone,
My fiance was diagnosed with type 1 diabetes when she was 10 years old. That year she held her first fundraiser on her driveway which began Dancing For Diabetes. This past weekend was her 16th annual show performed by 14 dance groups consisting of over 350 dancers to a sold out audience of 850 guests. Every year she creates an awareness video that is shown halfway through the show and our focus this year was the misdiagnosis of type 1. With the help of the Terry family and the story of their daughter Kycie (known from their Facebook page Kisses For Kycie) we created what I believe to be an incredibly powerful video that needs to be shared. 
Please check out our video on youtube (https://www.youtube.com/watch?v=RT2hQkzN3jU) and share the video from our Facebook page (https://www.facebook.com/dance4diabetes) and help us educated as many people as possible. Every parent should know to ask their doctors to test 1 drop of blood and rule out type 1 diabetes. 
Thanks!</t>
        </is>
      </c>
      <c r="D2580" t="n">
        <v>9</v>
      </c>
      <c r="E2580" t="n">
        <v>7</v>
      </c>
      <c r="F2580">
        <f>HYPERLINK("https://www.reddit.com/r/diabetes/comments/5bp32w/misdiagnosis_of_type_1_diabetes/")</f>
        <v/>
      </c>
      <c r="G2580" t="inlineStr">
        <is>
          <t>2016-11-07 13:45:05</t>
        </is>
      </c>
      <c r="H2580" t="inlineStr">
        <is>
          <t>Type 1</t>
        </is>
      </c>
    </row>
    <row r="2581">
      <c r="A2581" t="inlineStr">
        <is>
          <t>5bpios</t>
        </is>
      </c>
      <c r="B2581" t="inlineStr">
        <is>
          <t>Bodybuilding for 1 year as a T1D (before and after pictures)</t>
        </is>
      </c>
      <c r="C2581" t="inlineStr">
        <is>
          <t xml:space="preserve">I'm new to Reddit, heres my story!
Currently I'm 26 years old, 5'8, was diagnosed in 2001. I have had a insulin pump since 2007. 
I started to workout last year with a starting weight of about 170. 
http://imgur.com/d9PYmRY - my back
http://imgur.com/rivbF8G - my front
I honestly don't ever do cardio, maybe 7 times in the last year? I always just workout one muscle group a day, sometimes hitting 2 of the same muscle groups in 1 week. I do chest, back, shoulders, arms, and legs (not in that order), making me workout 5 - 6 days a week. 
I honestly never count my calories, I'm always eating out, in n out, chipotle, the habit, just random things. I always just try and hit 2500 calories or less, I just play things by ear and what I feel like eating. Im always trying to hit 150 grams of protein a day though, if I can't hit it with food, I drink a protein shake. 
My current physic is: 164 pounds with 19% body fat.
http://imgur.com/7sjSNqh - my front
http://imgur.com/zyr08ni - my back
I also noticed in the last couple months I went on a very low carb diet, I only gained about 2 pounds of muscle and lost 1% of fat, which I'm not satisfied at all, so a lot of people told me that I'm not eating enough meals and should utilize the fact that I have insulin at my disposal, and eat carbs. With insulin, if I eat a lot of carbs post workout, it would all go into the muscles (is what people tell me). So now I'm eating carbs again and trying to do a slow bulk to about 175 pounds.
Ive also read that the best way to really gain muscle, I would need to have my blood sugars regulated, which tbh is very difficult because sometimes my blood sugar would drop after a workout, and sometimes it doesn't. I don't have insurance for a CGM. I live in Los Angeles and was wondering if anybody here recommends a good (non expensive) insurance that they have been using. 
So my one year transformation i went from being about 170 pounds, about 24% body fat to 164 pounds with 19% body fat. Some people tell me I should just do a cut and get to about 12% body fat, then start bulking. Also for the body fat measurements, I use a machine at Nutrishop that does a full body scan. The handheld body fat machine tells me that I'm 12%, which I know is inaccurate. </t>
        </is>
      </c>
      <c r="D2581" t="n">
        <v>28</v>
      </c>
      <c r="E2581" t="n">
        <v>23</v>
      </c>
      <c r="F2581">
        <f>HYPERLINK("https://www.reddit.com/r/diabetes/comments/5bpios/bodybuilding_for_1_year_as_a_t1d_before_and_after/")</f>
        <v/>
      </c>
      <c r="G2581" t="inlineStr">
        <is>
          <t>2016-11-07 14:57:33</t>
        </is>
      </c>
      <c r="H2581" t="inlineStr">
        <is>
          <t>Type 1</t>
        </is>
      </c>
    </row>
    <row r="2582">
      <c r="A2582" t="inlineStr">
        <is>
          <t>5bxen5</t>
        </is>
      </c>
      <c r="B2582" t="inlineStr">
        <is>
          <t>I keep going over my carb limits and I hate myself for it</t>
        </is>
      </c>
      <c r="C2582" t="inlineStr">
        <is>
          <t>I am very new to diabetes, diagnosed T2 about a year ago. I've been carb counting since day one. For the first six months, I was very strict on it and never ate more than 100 g of carbs a day and no more than 10 g of sugar. But I started getting hungrier all the time so I slowly upped it to 120g of carbs and 24 g of sugar. Now I find I am still hungry allllll the time, and I am easily downing about 140g of carbs a day and close to 40g of sugar.
The problem is, I absolutely hate myself whenever I input that I ate into MyFitnessPal and realize how much of an absolute complete failure I am. I feel like I am killing myself slowly each time I eat 140g of carbs a day, or binge on a cupcake or two,  and I hate myself for it. I've spent so much time crying over how I can't even manage to keep my carbs down that I've had to leave work to cry for a half hour in the car. I really feel like I am a horrible human being and like I have no self-control.
I don't know if it's a chicken or the egg situation, but now when I try to go back down to 100g of carbs and 10 g of sugar, I find myself constantly in pain with my stomach growling. So then, even though I've committed to getting back down to my goals, I have to keep eating. And then I hate myself all over again. Every single day, the cycle repeats.
I don't know what to do. I'm either hungry, or hating myself.
Is this normal? Does anyone else feel this way? Sorry, I'm just depressed all of the time now and I can never stop crying.</t>
        </is>
      </c>
      <c r="D2582" t="n">
        <v>10</v>
      </c>
      <c r="E2582" t="n">
        <v>14</v>
      </c>
      <c r="F2582">
        <f>HYPERLINK("https://www.reddit.com/r/diabetes/comments/5bxen5/i_keep_going_over_my_carb_limits_and_i_hate/")</f>
        <v/>
      </c>
      <c r="G2582" t="inlineStr">
        <is>
          <t>2016-11-08 17:22:58</t>
        </is>
      </c>
      <c r="H2582" t="inlineStr">
        <is>
          <t>Type 2</t>
        </is>
      </c>
    </row>
    <row r="2583">
      <c r="A2583" t="inlineStr">
        <is>
          <t>5c914q</t>
        </is>
      </c>
      <c r="B2583" t="inlineStr">
        <is>
          <t>Newly diagnosed T1 here: anyone else do judo or other high-intensity martial arts with T1D?</t>
        </is>
      </c>
      <c r="C2583" t="inlineStr">
        <is>
          <t>40 year-old male here, I just got a confirmed diagnosis of T1D after visiting an endocrinologist yesterday, and the blood test confirmed the presence of antibodies showing my immune system has been attacking the cells in my pancreas.
Up until 1 month ago, my primary exercise was going to a judo club 3x/week: it's a very high intensity workout that involves throwing, falling, grappling, etc.  I haven't gone since I started feeling bad, and right now I'm just focusing on adjusting to my new lifestyle of blood glucose monitoring, carb counting, and bolus dosing before meals.
Eventually I'd like to get back on the mat and train again, but I don't know how realistic it is.  It's so high intensity that it may be necessary for me to stop every 15-20 minutes to check my blood glucose, with some apple juice or other fact-acting carbs at hand in case I get too low.
For the long term though, I just can't see training in judo being compatible with a continuous glucose monitor or insulin pump: too much danger of it getting ripped out or damaged.  Any thoughts/suggestions from this group?  Anyone else with T1 train in judo, Brazilian ju jutsu, or some other high-intensity martial art with some advice?</t>
        </is>
      </c>
      <c r="D2583" t="n">
        <v>7</v>
      </c>
      <c r="E2583" t="n">
        <v>12</v>
      </c>
      <c r="F2583">
        <f>HYPERLINK("https://www.reddit.com/r/diabetes/comments/5c914q/newly_diagnosed_t1_here_anyone_else_do_judo_or/")</f>
        <v/>
      </c>
      <c r="G2583" t="inlineStr">
        <is>
          <t>2016-11-10 09:21:07</t>
        </is>
      </c>
      <c r="H2583" t="inlineStr">
        <is>
          <t>Type 1</t>
        </is>
      </c>
    </row>
    <row r="2584">
      <c r="A2584" t="inlineStr">
        <is>
          <t>5c9ys7</t>
        </is>
      </c>
      <c r="B2584" t="inlineStr">
        <is>
          <t>Some inspiration: Real Madrid player Nacho Fernandez on his diabetes + playing</t>
        </is>
      </c>
      <c r="C2584" t="inlineStr">
        <is>
          <t>First time poster, been t1D since i was 26... i found this on r/soccer and HAD to share.
http://www.marca.com/en/football/real-madrid/2016/11/10/582478e4e2704ec67d8b45fe.html</t>
        </is>
      </c>
      <c r="D2584" t="n">
        <v>23</v>
      </c>
      <c r="E2584" t="n">
        <v>1</v>
      </c>
      <c r="F2584">
        <f>HYPERLINK("https://www.reddit.com/r/diabetes/comments/5c9ys7/some_inspiration_real_madrid_player_nacho/")</f>
        <v/>
      </c>
      <c r="G2584" t="inlineStr">
        <is>
          <t>2016-11-10 11:59:16</t>
        </is>
      </c>
      <c r="H2584" t="inlineStr">
        <is>
          <t>Type 1</t>
        </is>
      </c>
    </row>
    <row r="2585">
      <c r="A2585" t="inlineStr">
        <is>
          <t>5caedu</t>
        </is>
      </c>
      <c r="B2585" t="inlineStr">
        <is>
          <t>Has anyone tried model their insulin pump data and predict more accurate correction doses?</t>
        </is>
      </c>
      <c r="C2585" t="inlineStr">
        <is>
          <t>I've been thinking about tinkering with my pump data for a while and eventually creating a model that also includes food dictionaries and so on.
My pump (animas) has an "Insulin on Board" (IOB) or "Bolus on Board" function that seems a little unsophisticated. It calculates IOB based on a IOB time which is typically around 4 hours for fast acting insulins.
From what I've learned, [peak insulin absorption (or however you want to describe it) occurs roughly 45 minutes after the bolus, following by a receding limb lasting about 3 hours.](http://www.diabetesnet.com/images/frombook/KinvsDyn.jpg)
With that assumption, the native linear IOB model would calculate incorrect correction factors.
Moreover this line of thinking would also influence pump functions such as combo boluses, which in my experience severely dampen the pump recommended correction dose based on an elevated IOB.
Have any fellow type 1 nerds ever explored the idea of modelling results, or seen anything of this nature? Such a model seems like it could be useful in deciding pump settings.</t>
        </is>
      </c>
      <c r="D2585" t="n">
        <v>1</v>
      </c>
      <c r="E2585" t="n">
        <v>1</v>
      </c>
      <c r="F2585">
        <f>HYPERLINK("https://www.reddit.com/r/diabetes/comments/5caedu/has_anyone_tried_model_their_insulin_pump_data/")</f>
        <v/>
      </c>
      <c r="G2585" t="inlineStr">
        <is>
          <t>2016-11-10 13:13:46</t>
        </is>
      </c>
      <c r="H2585" t="inlineStr">
        <is>
          <t>Type 1</t>
        </is>
      </c>
    </row>
    <row r="2586">
      <c r="A2586" t="inlineStr">
        <is>
          <t>5cckox</t>
        </is>
      </c>
      <c r="B2586" t="inlineStr">
        <is>
          <t>Moving from US to Germany, anything I should know?</t>
        </is>
      </c>
      <c r="C2586" t="inlineStr">
        <is>
          <t>So, I had always kind of been planning this, as a vague "it would be great if I could..." So, don't think this is a spontaneous knee-jerk "omg, the democrats lost, I'M GOING TO CANADA!" Sort of thing.
It's just that I've been a democratic socialist nearly my whole adult life, and have been studying and learning German for even longer. So, I've never really fit in here in the USA anyways (even the Democrats tend to be right of my views), and these recent events seem like as good of an arbitrary reason to take the leap.
I would like this to not to devolve into a political flamewar (a girl can wish), but rather treat this more like I am planning on moving to Germany at any other time not around any election anyways. This choice of mine is NOT a result of the elections, they were merely an arbitrary factor in a choice that I was always already pondering.
(Oh yeah, it weren't obvious from the subreddit this is in, I'm really only looking for diabetes related details I should be aware of. I got the other stuff covered.)</t>
        </is>
      </c>
      <c r="D2586" t="n">
        <v>6</v>
      </c>
      <c r="E2586" t="n">
        <v>33</v>
      </c>
      <c r="F2586">
        <f>HYPERLINK("https://www.reddit.com/r/diabetes/comments/5cckox/moving_from_us_to_germany_anything_i_should_know/")</f>
        <v/>
      </c>
      <c r="G2586" t="inlineStr">
        <is>
          <t>2016-11-10 20:21:15</t>
        </is>
      </c>
      <c r="H2586" t="inlineStr">
        <is>
          <t>Type 1</t>
        </is>
      </c>
    </row>
    <row r="2587">
      <c r="A2587" t="inlineStr">
        <is>
          <t>5cihyv</t>
        </is>
      </c>
      <c r="B2587" t="inlineStr">
        <is>
          <t>Type 1 People, talk to me about metformin and other things you take like ALA to help lower your insulin resistance and get you giving less insulin for food and reduce your dawn phenomenon. What is your experience?</t>
        </is>
      </c>
      <c r="C2587" t="inlineStr">
        <is>
          <t xml:space="preserve">I take about 1 unit per gram of carb, and dump up to 30u in the morning because of dawn phenomena. I take about 80-100 units a day.
Hoping that after getting my doctors approval to get on metformin and ALA supplements (alpha lypoic acid) I can reduce the amount of insulin I take.
I read metformin also reduces the amount of glucose the liver makes while you sleep (dawn phenomena) </t>
        </is>
      </c>
      <c r="D2587" t="n">
        <v>1</v>
      </c>
      <c r="E2587" t="n">
        <v>18</v>
      </c>
      <c r="F2587">
        <f>HYPERLINK("https://www.reddit.com/r/diabetes/comments/5cihyv/type_1_people_talk_to_me_about_metformin_and/")</f>
        <v/>
      </c>
      <c r="G2587" t="inlineStr">
        <is>
          <t>2016-11-11 18:50:46</t>
        </is>
      </c>
      <c r="H2587" t="inlineStr">
        <is>
          <t>Type 1</t>
        </is>
      </c>
    </row>
    <row r="2588">
      <c r="A2588" t="inlineStr">
        <is>
          <t>5cn2m2</t>
        </is>
      </c>
      <c r="B2588" t="inlineStr">
        <is>
          <t>Dry mouth all day. How do you guys deal with this?</t>
        </is>
      </c>
      <c r="C2588" t="inlineStr">
        <is>
          <t>Blood sugar has been kinda high too. Not over 200 or anything but high hundreds.</t>
        </is>
      </c>
      <c r="D2588" t="n">
        <v>1</v>
      </c>
      <c r="E2588" t="n">
        <v>5</v>
      </c>
      <c r="F2588">
        <f>HYPERLINK("https://www.reddit.com/r/diabetes/comments/5cn2m2/dry_mouth_all_day_how_do_you_guys_deal_with_this/")</f>
        <v/>
      </c>
      <c r="G2588" t="inlineStr">
        <is>
          <t>2016-11-12 15:16:37</t>
        </is>
      </c>
      <c r="H2588" t="inlineStr">
        <is>
          <t>Type 1</t>
        </is>
      </c>
    </row>
    <row r="2589">
      <c r="A2589" t="inlineStr">
        <is>
          <t>5co3hm</t>
        </is>
      </c>
      <c r="B2589" t="inlineStr">
        <is>
          <t>Unusual increase in blood sugar</t>
        </is>
      </c>
      <c r="C2589" t="inlineStr">
        <is>
          <t xml:space="preserve">My dad has been diagnosed with type 1 diabetes since 16 years. Currently, He's been having high blood glucose ranging around 180-240 mg/dL before meals which should be around 90–130 mg/dL. The scary thing is that it is happening on daily basis for last 4-5 months. He's gone through all possible medications prescribed by the doctors (in local diabetes community) but no significant result has been achieved so far. 
Currently, he is taking Insulatard 10ml &amp;amp; Actrapid 10ml (20ml mixing of insulin in total). His breakfast, lunch &amp;amp; dinner have calories of 300, 800 &amp;amp; 600 unit (In total 2000 cal around), a possible 50gram of sugar intake in all foods. (He doesn't smoke and take alcohol)
I am posting this here, as i believe people may have gone through similar case may help me by giving some info or suggestion which i can do to mitigate this high blood glucose.     </t>
        </is>
      </c>
      <c r="D2589" t="n">
        <v>1</v>
      </c>
      <c r="E2589" t="n">
        <v>3</v>
      </c>
      <c r="F2589">
        <f>HYPERLINK("https://www.reddit.com/r/diabetes/comments/5co3hm/unusual_increase_in_blood_sugar/")</f>
        <v/>
      </c>
      <c r="G2589" t="inlineStr">
        <is>
          <t>2016-11-12 19:14:56</t>
        </is>
      </c>
      <c r="H2589" t="inlineStr">
        <is>
          <t>Type 1</t>
        </is>
      </c>
    </row>
    <row r="2590">
      <c r="A2590" t="inlineStr">
        <is>
          <t>5co5l0</t>
        </is>
      </c>
      <c r="B2590" t="inlineStr">
        <is>
          <t>Need assistance on a marketing class assignment</t>
        </is>
      </c>
      <c r="C2590" t="inlineStr">
        <is>
          <t>Not too sure where else to go for this, so if any of you know somewhere better, feel free to let me know. 
I need to interview two separate people with type two diabetes. Age, gender, ethnicity, etc.,  does not matter. **However, you must be 18 or older in order to participate.** There are two portions to this, and it is estimated to take ~30-40 minutes. Skype, discord, or some other form of vocal communication will be used.
The interview will be recorded due to a transcript being required as part of the assignment.
At the end of it all, I will need the interviewee's name, and some from of contact as my professor intends to get in touch with those interviewed to check the validity. Aside from this, no other personal information is asked for.
If anyone is able to help me out with this I'd greatly appreciate it. 
**Edited: There was an age requirement i missed when making this before, added it now**</t>
        </is>
      </c>
      <c r="D2590" t="n">
        <v>1</v>
      </c>
      <c r="E2590" t="n">
        <v>4</v>
      </c>
      <c r="F2590">
        <f>HYPERLINK("https://www.reddit.com/r/diabetes/comments/5co5l0/need_assistance_on_a_marketing_class_assignment/")</f>
        <v/>
      </c>
      <c r="G2590" t="inlineStr">
        <is>
          <t>2016-11-12 19:29:32</t>
        </is>
      </c>
      <c r="H2590" t="inlineStr">
        <is>
          <t>Type 2</t>
        </is>
      </c>
    </row>
    <row r="2591">
      <c r="A2591" t="inlineStr">
        <is>
          <t>5ctasg</t>
        </is>
      </c>
      <c r="B2591" t="inlineStr">
        <is>
          <t>Type 1 any suggestions on how to control blood sugars dieting</t>
        </is>
      </c>
      <c r="C2591" t="inlineStr">
        <is>
          <t>Hello, 
Hope this is the right place to post this.
I have had type 1 diabetes since i was 16 never had a problem controlling my sugar levels etc..
The only problem i have is i have been boxing for around 2 years im wanting to shed some weight to get a tad more speed with my hands and footwork. 
Everytime i throw myself on a diet i find myself stuck in a cycle when i am eating healthy sticking to the diet but then due to my blood sugars dropping rapidly needing to eat and drink sugary foods to keep me stable.
When eating clean i would usually drop my insulin intake but in saying that i feel like i need to keep testing it because my sugars will still always drop not to long after eating lunch and dinner etc..
Anyone have any suggestions on i can go around limiting my sugary intake after i do eat my meals?
Thanks</t>
        </is>
      </c>
      <c r="D2591" t="n">
        <v>1</v>
      </c>
      <c r="E2591" t="n">
        <v>3</v>
      </c>
      <c r="F2591">
        <f>HYPERLINK("https://www.reddit.com/r/diabetes/comments/5ctasg/type_1_any_suggestions_on_how_to_control_blood/")</f>
        <v/>
      </c>
      <c r="G2591" t="inlineStr">
        <is>
          <t>2016-11-13 17:14:39</t>
        </is>
      </c>
      <c r="H2591" t="inlineStr">
        <is>
          <t>Type 1</t>
        </is>
      </c>
    </row>
    <row r="2592">
      <c r="A2592" t="inlineStr">
        <is>
          <t>5ctyxt</t>
        </is>
      </c>
      <c r="B2592" t="inlineStr">
        <is>
          <t>A1C confusion?</t>
        </is>
      </c>
      <c r="C2592" t="inlineStr">
        <is>
          <t>T1 diabetic. Sometimes my blood sugars are all over the place, I get my A1C and it still is around 6.8 which is good. How does this happen when I'm expecting around 8-9??</t>
        </is>
      </c>
      <c r="D2592" t="n">
        <v>1</v>
      </c>
      <c r="E2592" t="n">
        <v>2</v>
      </c>
      <c r="F2592">
        <f>HYPERLINK("https://www.reddit.com/r/diabetes/comments/5ctyxt/a1c_confusion/")</f>
        <v/>
      </c>
      <c r="G2592" t="inlineStr">
        <is>
          <t>2016-11-13 19:45:10</t>
        </is>
      </c>
      <c r="H2592" t="inlineStr">
        <is>
          <t>Type 1</t>
        </is>
      </c>
    </row>
    <row r="2593">
      <c r="A2593" t="inlineStr">
        <is>
          <t>5cuwns</t>
        </is>
      </c>
      <c r="B2593" t="inlineStr">
        <is>
          <t>Having a hard time motivating myself to care about bloodsugars</t>
        </is>
      </c>
      <c r="C2593" t="inlineStr">
        <is>
          <t xml:space="preserve">I'm a type 1 diabetic (just discovered this sub) and lately I've been caring less and less about my health (relating to diabetes). I have had between 6.8 to 7.4 as my A1C's over the last 3 years. I find myself not wanting to be left out when my friends want to drink, smoke, or eat junk food. It's very hard for me to accurately predict my blood sugar when alcohol is involved, and being stoned makes me less attentive to my body (I easily can because anxious and assume I'm low, and if I'm away from my checker I will eat as a precaution, plus munchies). I also feel social pressures of not wanting to be stigmatized or defined by my illness, so I'm hesitant to be overly attentive to my blood sugar or pump. I still do what I consider to be the bare minimum, but not what I would imagine other people with well-controlled diabetes would consider healthy. On top of all of this, it's hard to feel motivation toward managing it even when I'm alone. I feel like I have a quantifiable amount of willpower to expend on any given day, and I typically will put that towards course work, errands, exercising or socializing. To have 'good' control over my blood sugar feels like I need to invest a fair amount of effort, every day, consistently - or limit my behavior so I can't live a normal live. I've been struggling with this feeling of allowing my health to deteriorate versus fully accepting the seriousness of being diabetic for a while now. I prefer my current system of casually turning to the side to take insulin, discretely checking my blood sugar, and never doing either as a spectacle unless it's an emergency. 
I'm sorry for rambling. I've never spoken to anyone with type 1 (or had an in-depth discussion about diabetes I could relate to with a type 2), and was just wondering if any of you also experience these feelings and how you deal with them. 
Side note: Is it horrible if a couple times a week I will have spikes to 250-400mg/dl? Like, either will feel off and check, see that I am high and correct, or I will wake up that way. I only check ketones during my 6 month checkup with my doctor. I just assume after having high blood sugar I have them, and I just need to drink a lot of water and avoid having another spike for a while. 
Side note 2: A nurse I spoke to a few months back told me it is unhealthy to ever take any correction insulin without food. For example, if I'm at 300 and correct to reach 110, I should also eat some kind of carb + protein (I'm aware of the benefits on this) snack to make the decline steadier rather then a downward spike. I've been correcting without snacks for years now. Am I just fucked? What could this affect? I've been hearing that lows cause memory problems long term, highs cause tons of shit long term, and I'm just feeling stressed, sad and hopeless. 
for reference: i was diagnosed at 16 with the highest blood sugar the hospital had ever seen (I think 580? or 680? not sure), had severe ketoacidosis. I'm a 21 year old college student now. </t>
        </is>
      </c>
      <c r="D2593" t="n">
        <v>5</v>
      </c>
      <c r="E2593" t="n">
        <v>9</v>
      </c>
      <c r="F2593">
        <f>HYPERLINK("https://www.reddit.com/r/diabetes/comments/5cuwns/having_a_hard_time_motivating_myself_to_care/")</f>
        <v/>
      </c>
      <c r="G2593" t="inlineStr">
        <is>
          <t>2016-11-14 00:06:23</t>
        </is>
      </c>
      <c r="H2593" t="inlineStr">
        <is>
          <t>Type 1</t>
        </is>
      </c>
    </row>
    <row r="2594">
      <c r="A2594" t="inlineStr">
        <is>
          <t>5d0axy</t>
        </is>
      </c>
      <c r="B2594" t="inlineStr">
        <is>
          <t>Went to the endocrinologist for the first time in like..8 years...Does all this sound right? Too bad there is no Yelp for doctors.</t>
        </is>
      </c>
      <c r="C2594" t="inlineStr">
        <is>
          <t>Boy was I nervous. I am doing some comprehensive blood work in a couple weeks. Doctors name was Dr. William R. Litchfield. Awards out the butt all over the wall from like 2006 to last year.
He changed my insulin treatment because over the years I ditched long acting insulin outright and was guessing on how much short acting insulin to give for food.
Checked my feet, they are dry but ok. 
Offered to put me on a clinical trial for Jaridance or something. Guess they are testing it on Type 1 people now. It makes you pee out excessive blood sugars, even in ranged of like 120+ blood sugar. Said I should look into it first though. Wants me on Metformin but wants me to do the current insulin treatment for a few weeks first to see.
Got put on 65 units of U-200 Tresiba once a day at night and 1 unit of Novolog for every 3g of carbs I eat and 1 unit for every 15 points I am over my target blood sugar, which is set at 150 since I am so used to being 200+ for years..
Going to schedule the eye doctor soon. Did really get answers about potential neuropathy or restless leg syndrome or anything like that. Wants me on the new insulin treatment first and to do blood work.</t>
        </is>
      </c>
      <c r="D2594" t="n">
        <v>2</v>
      </c>
      <c r="E2594" t="n">
        <v>2</v>
      </c>
      <c r="F2594">
        <f>HYPERLINK("https://www.reddit.com/r/diabetes/comments/5d0axy/went_to_the_endocrinologist_for_the_first_time_in/")</f>
        <v/>
      </c>
      <c r="G2594" t="inlineStr">
        <is>
          <t>2016-11-14 19:11:23</t>
        </is>
      </c>
      <c r="H2594" t="inlineStr">
        <is>
          <t>Type 1</t>
        </is>
      </c>
    </row>
    <row r="2595">
      <c r="A2595" t="inlineStr">
        <is>
          <t>5d0kfs</t>
        </is>
      </c>
      <c r="B2595" t="inlineStr">
        <is>
          <t>About to start Tresiba. Making the switch from Levemir. Kind of concerned. What are your thoughts if you use it?</t>
        </is>
      </c>
      <c r="C2595" t="inlineStr">
        <is>
          <t>What are your experiences? I have to 66u every night of U-200 tresiba. How much do you take? How much do you weigh?
What is the difference between this, Levemir, and Toujeo?</t>
        </is>
      </c>
      <c r="D2595" t="n">
        <v>1</v>
      </c>
      <c r="E2595" t="n">
        <v>3</v>
      </c>
      <c r="F2595">
        <f>HYPERLINK("https://www.reddit.com/r/diabetes/comments/5d0kfs/about_to_start_tresiba_making_the_switch_from/")</f>
        <v/>
      </c>
      <c r="G2595" t="inlineStr">
        <is>
          <t>2016-11-14 20:08:16</t>
        </is>
      </c>
      <c r="H2595" t="inlineStr">
        <is>
          <t>Type 1</t>
        </is>
      </c>
    </row>
    <row r="2596">
      <c r="A2596" t="inlineStr">
        <is>
          <t>5d2ltb</t>
        </is>
      </c>
      <c r="B2596" t="inlineStr">
        <is>
          <t>Worst day in a while.</t>
        </is>
      </c>
      <c r="C2596" t="inlineStr">
        <is>
          <t>[Hi there](http://i65.tinypic.com/27x1gg4.jpg)
Woke up a bit high in the morning. Breakfast and a walk. Misdosed apparently and dipped. And then, sometime around lunch I'm guessing, my pump got disconnected. I've really no idea how it happened...
Stupid me is out of ketone testing strips but I'm only feeling the thirst and no other DKA signs so I'm hoping I'll be okay in a couple of hours. Don't worry, I'll keep an eye on myself and I texted my sister who lives 5 mins away just in case.
Anyone wanna share a funny/interesting/weird diabetes-related anedcote to help me feel better?
edit: an hour later my blood sugar is going down steadily, I still feel alright besides the thirst.
edit 2: 2 hours later, finally below 20! Still feeling alright, not as thirsty, no other symptoms.
edit 3: time for the dip, I guess... today, I made mountains and valleys. still feel alright.</t>
        </is>
      </c>
      <c r="D2596" t="n">
        <v>19</v>
      </c>
      <c r="E2596" t="n">
        <v>19</v>
      </c>
      <c r="F2596">
        <f>HYPERLINK("https://www.reddit.com/r/diabetes/comments/5d2ltb/worst_day_in_a_while/")</f>
        <v/>
      </c>
      <c r="G2596" t="inlineStr">
        <is>
          <t>2016-11-15 05:54:22</t>
        </is>
      </c>
      <c r="H2596" t="inlineStr">
        <is>
          <t>Type 1</t>
        </is>
      </c>
    </row>
    <row r="2597">
      <c r="A2597" t="inlineStr">
        <is>
          <t>5d3l41</t>
        </is>
      </c>
      <c r="B2597" t="inlineStr">
        <is>
          <t>Anyone do intramuscular insulin shots to bring down high blood sugar? What was your experience?</t>
        </is>
      </c>
      <c r="C2597" t="inlineStr">
        <is>
          <t>Did you take less or more insulin than normal for your correction? How fast was it?</t>
        </is>
      </c>
      <c r="D2597" t="n">
        <v>1</v>
      </c>
      <c r="E2597" t="n">
        <v>12</v>
      </c>
      <c r="F2597">
        <f>HYPERLINK("https://www.reddit.com/r/diabetes/comments/5d3l41/anyone_do_intramuscular_insulin_shots_to_bring/")</f>
        <v/>
      </c>
      <c r="G2597" t="inlineStr">
        <is>
          <t>2016-11-15 08:59:31</t>
        </is>
      </c>
      <c r="H2597" t="inlineStr">
        <is>
          <t>Type 1</t>
        </is>
      </c>
    </row>
    <row r="2598">
      <c r="A2598" t="inlineStr">
        <is>
          <t>5d3ogz</t>
        </is>
      </c>
      <c r="B2598" t="inlineStr">
        <is>
          <t>Best A1C yet</t>
        </is>
      </c>
      <c r="C2598" t="inlineStr">
        <is>
          <t xml:space="preserve">I am super happy to say my A1c is 6.2 that is the lowest it has ever been in the last 21 years. It has been a long road to get here, but i feel great. i want to start running and see if i can take less insulin i am averaging 70 units per a day. my goal is to get below 6 by the end of next year. </t>
        </is>
      </c>
      <c r="D2598" t="n">
        <v>82</v>
      </c>
      <c r="E2598" t="n">
        <v>17</v>
      </c>
      <c r="F2598">
        <f>HYPERLINK("https://www.reddit.com/r/diabetes/comments/5d3ogz/best_a1c_yet/")</f>
        <v/>
      </c>
      <c r="G2598" t="inlineStr">
        <is>
          <t>2016-11-15 09:14:53</t>
        </is>
      </c>
      <c r="H2598" t="inlineStr">
        <is>
          <t>Type 1</t>
        </is>
      </c>
    </row>
    <row r="2599">
      <c r="A2599" t="inlineStr">
        <is>
          <t>5d58cf</t>
        </is>
      </c>
      <c r="B2599" t="inlineStr">
        <is>
          <t>Hypoglycemia symptoms, but blood sugar levels normal</t>
        </is>
      </c>
      <c r="C2599" t="inlineStr">
        <is>
          <t>I am experiencing several symptoms of hypoglycemia, but upon checking my blood sugar it was at 108 mg/do. 2 hours earlier it was 98 (doing an after lunch test), and before lunch it was 130.
I have shakiness/clumsiness, tightness in my chest, a bit of a head ache, and feel weak.
Is it normal to have hypoglycemia symptoms without low blood sugar levels?</t>
        </is>
      </c>
      <c r="D2599" t="n">
        <v>2</v>
      </c>
      <c r="E2599" t="n">
        <v>4</v>
      </c>
      <c r="F2599">
        <f>HYPERLINK("https://www.reddit.com/r/diabetes/comments/5d58cf/hypoglycemia_symptoms_but_blood_sugar_levels/")</f>
        <v/>
      </c>
      <c r="G2599" t="inlineStr">
        <is>
          <t>2016-11-15 13:35:07</t>
        </is>
      </c>
      <c r="H2599" t="inlineStr">
        <is>
          <t>Type 1</t>
        </is>
      </c>
    </row>
    <row r="2600">
      <c r="A2600" t="inlineStr">
        <is>
          <t>5d778n</t>
        </is>
      </c>
      <c r="B2600" t="inlineStr">
        <is>
          <t>hot flashes? (T1)</t>
        </is>
      </c>
      <c r="C2600" t="inlineStr">
        <is>
          <t>Does anyone have experience with hot flashes? I've been diabetic 5 years and over the past few months I've developed these horrific hot flashes. It usually begins with intense prickling and itching in my hands/feet and progresses on my arms/chest/back/legs. I will get goosebumps all up and down my arm, and finally will get a rash all over my chest and arms when this happens. It is triggered by a stress response (like if I'm driving and someone pulls out in front of me and I have to break) and by heat (obviously).
I asked my endo about it and she didnt have anything to say. I went to see my regular doctor and he told me to take an allergy medicine with antihistamine which hasnt done anything. I don't know if this has anything to do with diabetes--but wanted to see if anyone had a similar experience.
edit: i am male</t>
        </is>
      </c>
      <c r="D2600" t="n">
        <v>2</v>
      </c>
      <c r="E2600" t="n">
        <v>4</v>
      </c>
      <c r="F2600">
        <f>HYPERLINK("https://www.reddit.com/r/diabetes/comments/5d778n/hot_flashes_t1/")</f>
        <v/>
      </c>
      <c r="G2600" t="inlineStr">
        <is>
          <t>2016-11-15 20:02:15</t>
        </is>
      </c>
      <c r="H2600" t="inlineStr">
        <is>
          <t>Type 1</t>
        </is>
      </c>
    </row>
    <row r="2601">
      <c r="A2601" t="inlineStr">
        <is>
          <t>5d785e</t>
        </is>
      </c>
      <c r="B2601" t="inlineStr">
        <is>
          <t>A question for the low-carbing T2s</t>
        </is>
      </c>
      <c r="C2601" t="inlineStr">
        <is>
          <t>My husband's A1C came back at 6.0% a few months ago making him apparently prediabetic, and he immediately joined me (a T1) on a keto diet.  Initially he did a lot of meter testing and got rid of any foods that were spiking him into the 130+ range. He was testing upon waking up, and either 1 or 2 hours after eating.  His diet is pretty much the same every day - Quest bars, lunch at a few consistent places, meat/veggies/cheese for dinner. A "cheat" about once or twice a month.  He's lost 20 pounds making him borderline overweight, and is reasonably active.  After three months of keto, his A1C came back at 5.9%.  I know that A1C has some major inaccuracy, but that still seems high.  He's started testing again, and noticed that while his blood sugar rarely goes above 120, it also rarely goes below 100, and in fact seems to cruise along at about 100-110 most of the time. His lowest numbers are always a bit after eating, not fasting. 
Any thoughts on these numbers? As a T1 they seem not immediately dangerous, but I'm confused as to why they're not getting better, or even if they should be better. I've heard some people on keto develop a higher "resting" blood sugar but I don't know what that means for a prediabetic. And should he be testing at other points of the day as well?</t>
        </is>
      </c>
      <c r="D2601" t="n">
        <v>2</v>
      </c>
      <c r="E2601" t="n">
        <v>5</v>
      </c>
      <c r="F2601">
        <f>HYPERLINK("https://www.reddit.com/r/diabetes/comments/5d785e/a_question_for_the_lowcarbing_t2s/")</f>
        <v/>
      </c>
      <c r="G2601" t="inlineStr">
        <is>
          <t>2016-11-15 20:07:56</t>
        </is>
      </c>
      <c r="H2601" t="inlineStr">
        <is>
          <t>Type 2</t>
        </is>
      </c>
    </row>
    <row r="2602">
      <c r="A2602" t="inlineStr">
        <is>
          <t>5d8glw</t>
        </is>
      </c>
      <c r="B2602" t="inlineStr">
        <is>
          <t>It sucks to be anxious and diabetic at the same time</t>
        </is>
      </c>
      <c r="C2602" t="inlineStr">
        <is>
          <t>Sometimes i cannot decide right away if it's an anxiety attack, or a low. They kinda feel the same to me.</t>
        </is>
      </c>
      <c r="D2602" t="n">
        <v>89</v>
      </c>
      <c r="E2602" t="n">
        <v>50</v>
      </c>
      <c r="F2602">
        <f>HYPERLINK("https://www.reddit.com/r/diabetes/comments/5d8glw/it_sucks_to_be_anxious_and_diabetic_at_the_same/")</f>
        <v/>
      </c>
      <c r="G2602" t="inlineStr">
        <is>
          <t>2016-11-16 02:05:34</t>
        </is>
      </c>
      <c r="H2602" t="inlineStr">
        <is>
          <t>Type 1</t>
        </is>
      </c>
    </row>
    <row r="2603">
      <c r="A2603" t="inlineStr">
        <is>
          <t>5dak1e</t>
        </is>
      </c>
      <c r="B2603" t="inlineStr">
        <is>
          <t>25 Year Old Male, Type 1 Diabetes. 8.4 A1C, work out everyday, cant control my blood sugar in the morning</t>
        </is>
      </c>
      <c r="C2603" t="inlineStr">
        <is>
          <t>Hi everyone,
I am writing today because a very disturbing trend of high blood sugar in the morning is leaving me feeling depressed, anxious and worried about what the future holds for me due to my inability to control my blood sugar. 
This morning I woke up with blood sugar at 222. The morning before I woke up and it was 396. 
I would be lying to you if I didnt say that I get very hungry at night and tend to eat late night snacks. 
However, these snacks usually include nuts, cheese, yogurt or low carb protein bars. 
I can not figure out for the life of me why I give myself insulin to cover these snacks, but I am waking up every morning with elevated blood sugar. 
I work out every single day, and after every workout my blood sugar is perfect, but in the morning it is almost never in good range. 
This is scaring me immensely. I feel that I need to make a drastic change to improve my A1C and blood sugar levels, but even when i try to eat healthy, I still have trouble controlling it. When I was first diagnosed at 18 years old, for the first few years I never had trouble managing blood sugar. Now, I am scared that I am on a fast track to complications at 30 years old if I dont do something to fix this. It seems like no matter what I do, even low carb meals are pushing my blood sugar over 200. I feel like I need to cut out carbs entirely. 
I would like to know about any diets, nutritional philosophies, tips or tricks on ways I can improve my current situation, and lead myself to top-notch health with type 1 diabetes. I am scared as hell of what will happen over the long term if I cant fix this problem. I also use an insulin pump and I have a CGM (Medtronic CGM/Pump combo).
Thank you, I need to fix this asap</t>
        </is>
      </c>
      <c r="D2603" t="n">
        <v>4</v>
      </c>
      <c r="E2603" t="n">
        <v>7</v>
      </c>
      <c r="F2603">
        <f>HYPERLINK("https://www.reddit.com/r/diabetes/comments/5dak1e/25_year_old_male_type_1_diabetes_84_a1c_work_out/")</f>
        <v/>
      </c>
      <c r="G2603" t="inlineStr">
        <is>
          <t>2016-11-16 09:46:36</t>
        </is>
      </c>
      <c r="H2603" t="inlineStr">
        <is>
          <t>Type 1</t>
        </is>
      </c>
    </row>
    <row r="2604">
      <c r="A2604" t="inlineStr">
        <is>
          <t>5db9z1</t>
        </is>
      </c>
      <c r="B2604" t="inlineStr">
        <is>
          <t>First A1C Since Diagnoses!</t>
        </is>
      </c>
      <c r="C2604" t="inlineStr">
        <is>
          <t>Diagnosed with an A1C of 15.7 and 3 months later i'm at 5.9</t>
        </is>
      </c>
      <c r="D2604" t="n">
        <v>9</v>
      </c>
      <c r="E2604" t="n">
        <v>10</v>
      </c>
      <c r="F2604">
        <f>HYPERLINK("https://www.reddit.com/r/diabetes/comments/5db9z1/first_a1c_since_diagnoses/")</f>
        <v/>
      </c>
      <c r="G2604" t="inlineStr">
        <is>
          <t>2016-11-16 11:50:15</t>
        </is>
      </c>
      <c r="H2604" t="inlineStr">
        <is>
          <t>Type 1</t>
        </is>
      </c>
    </row>
    <row r="2605">
      <c r="A2605" t="inlineStr">
        <is>
          <t>5dcgwe</t>
        </is>
      </c>
      <c r="B2605" t="inlineStr">
        <is>
          <t>Just started using my Dexcom G4, I fly tomorrow and wondering what to do about security/x-rays, body scanners??</t>
        </is>
      </c>
      <c r="C2605" t="inlineStr">
        <is>
          <t>What will happen if I put my receiver in the bin, and get too far from my transmitter? Can I walk through x-ray? Will I get hassled if I say I can't go through the scanner? Just nervous because I travel a lot!!!</t>
        </is>
      </c>
      <c r="D2605" t="n">
        <v>1</v>
      </c>
      <c r="E2605" t="n">
        <v>6</v>
      </c>
      <c r="F2605">
        <f>HYPERLINK("https://www.reddit.com/r/diabetes/comments/5dcgwe/just_started_using_my_dexcom_g4_i_fly_tomorrow/")</f>
        <v/>
      </c>
      <c r="G2605" t="inlineStr">
        <is>
          <t>2016-11-16 15:19:58</t>
        </is>
      </c>
      <c r="H2605" t="inlineStr">
        <is>
          <t>Type 1</t>
        </is>
      </c>
    </row>
    <row r="2606">
      <c r="A2606" t="inlineStr">
        <is>
          <t>5dg383</t>
        </is>
      </c>
      <c r="B2606" t="inlineStr">
        <is>
          <t>Type1 - Just switched to toujeo - what, if anything, should I watch out for?</t>
        </is>
      </c>
      <c r="C2606" t="inlineStr">
        <is>
          <t>So, I'm on a pump, but I've supplemented with lantus since i was 15 (I like not having to worry about the tube kinking or site falling out).  However, recently my AM blood sugars have been going higher and higher, despite my overnight basal being twice that of my daytime basal.  My Dr. gave me a toujeo pen to try instead of the lantus, in the hope that the insulin will last throughout the night (we are hypothesizing that my lantus dose isn't lasting the full 24 hours).  
Anything i should look out for tomorrow (when I make that switch)?</t>
        </is>
      </c>
      <c r="D2606" t="n">
        <v>4</v>
      </c>
      <c r="E2606" t="n">
        <v>11</v>
      </c>
      <c r="F2606">
        <f>HYPERLINK("https://www.reddit.com/r/diabetes/comments/5dg383/type1_just_switched_to_toujeo_what_if_anything/")</f>
        <v/>
      </c>
      <c r="G2606" t="inlineStr">
        <is>
          <t>2016-11-17 06:33:51</t>
        </is>
      </c>
      <c r="H2606" t="inlineStr">
        <is>
          <t>Type 1</t>
        </is>
      </c>
    </row>
    <row r="2607">
      <c r="A2607" t="inlineStr">
        <is>
          <t>5dg87o</t>
        </is>
      </c>
      <c r="B2607" t="inlineStr">
        <is>
          <t>How did you know you needed to switch insulin?</t>
        </is>
      </c>
      <c r="C2607" t="inlineStr">
        <is>
          <t>For those of you who have switched off one insulin and onto a different one, how did you know it was time to make a switch. 
I'm currently on novolog and a few months back i took my normal dose which dropped my sugar from the mid 200s to low 100s in a matter of 10-15 minutes. I had about 4 units still in my system and was fighting to keep myself from bottoming out for 4+ hours. 
It just seems like it was a very sudden change to being super sensitive to the novolog which I've never experienced before. 
I'm just looking for stories about peoples experience changing to a different insulin.</t>
        </is>
      </c>
      <c r="D2607" t="n">
        <v>7</v>
      </c>
      <c r="E2607" t="n">
        <v>17</v>
      </c>
      <c r="F2607">
        <f>HYPERLINK("https://www.reddit.com/r/diabetes/comments/5dg87o/how_did_you_know_you_needed_to_switch_insulin/")</f>
        <v/>
      </c>
      <c r="G2607" t="inlineStr">
        <is>
          <t>2016-11-17 07:01:36</t>
        </is>
      </c>
      <c r="H2607" t="inlineStr">
        <is>
          <t>Type 1</t>
        </is>
      </c>
    </row>
    <row r="2608">
      <c r="A2608" t="inlineStr">
        <is>
          <t>5dh8mz</t>
        </is>
      </c>
      <c r="B2608" t="inlineStr">
        <is>
          <t>Diabetic techies, I need to rant</t>
        </is>
      </c>
      <c r="C2608" t="inlineStr">
        <is>
          <t>Hello all!
I am a Type 1, and I work in the tech industry. I recently got my first pump (Medtronics 630g) and will be starting on insulin in it tonight. Through this process I have been very frustrated with how insecure my doctor is treating my data. Most diabetics I am sure won't care, but those in the tech industry I think will.
* My doctors access CareLink by using my password, which they want me to set up as my medical record number. I hate that this is their policy. It means anyone who steals my wallet has complete access to my diabetic information, something I am uncomfortable with. 
* I am also frustrated with how behind in technology they are. I have to sign an agreement for my pump and I have to do it in person or over fax. Can they not send me the agreement over email?
* I cannot directly email my doctor, instead I have to go through the website, meaning any attachments I have can't be directly sent and I have to log in through a website on a computer (the mobile versions are garbage). 
I've talked to my doctor about my security concerns and they don't seem to understand. I really want to work with them but it's sad to me that they don't seem to care or get that I don't want to work in an inherently insecure system. They claim it is secure but don't understand that a MR# is not a secret, and is printed on my card.
Am I being to "paranoid" about my data?
Thanks for the ranting space!</t>
        </is>
      </c>
      <c r="D2608" t="n">
        <v>23</v>
      </c>
      <c r="E2608" t="n">
        <v>59</v>
      </c>
      <c r="F2608">
        <f>HYPERLINK("https://www.reddit.com/r/diabetes/comments/5dh8mz/diabetic_techies_i_need_to_rant/")</f>
        <v/>
      </c>
      <c r="G2608" t="inlineStr">
        <is>
          <t>2016-11-17 09:59:49</t>
        </is>
      </c>
      <c r="H2608" t="inlineStr">
        <is>
          <t>Type 1</t>
        </is>
      </c>
    </row>
    <row r="2609">
      <c r="A2609" t="inlineStr">
        <is>
          <t>5dhc30</t>
        </is>
      </c>
      <c r="B2609" t="inlineStr">
        <is>
          <t>Wisdom teeth extraction?</t>
        </is>
      </c>
      <c r="C2609" t="inlineStr">
        <is>
          <t>I'm supposed to get my wisdom teeth extracted in December and I have the option of having it done at the oral surgery clinic using sedation or having it done at the hospital using general anaesthesia.
If you're a T1 and have gotten your wisdom teeth extracted what was it like?
What effect does sedation or general anaesthia have on blood sugars? None? Do they have different effects?
Should I get it done at the hospital so that there are more people there that understand what diabetes is? (I have had bad experiences with dental hygienists that didn't know the difference between T1 and T2). 
How do I avoid a low if my surgery is in the morning and I can't eat six hours prior? (I take my Lantus the night before around 7pm).
How do you deal with lows post-surgery when you can't eat solid food? Juice all around?
Many thanks in advance!!</t>
        </is>
      </c>
      <c r="D2609" t="n">
        <v>3</v>
      </c>
      <c r="E2609" t="n">
        <v>10</v>
      </c>
      <c r="F2609">
        <f>HYPERLINK("https://www.reddit.com/r/diabetes/comments/5dhc30/wisdom_teeth_extraction/")</f>
        <v/>
      </c>
      <c r="G2609" t="inlineStr">
        <is>
          <t>2016-11-17 10:16:29</t>
        </is>
      </c>
      <c r="H2609" t="inlineStr">
        <is>
          <t>Type 1</t>
        </is>
      </c>
    </row>
    <row r="2610">
      <c r="A2610" t="inlineStr">
        <is>
          <t>5dide9</t>
        </is>
      </c>
      <c r="B2610" t="inlineStr">
        <is>
          <t>Girlfriend just diagnosed with Type 2 Diabetes. Just looking for things to keep in mind to help make her dealing with it easier.</t>
        </is>
      </c>
      <c r="C2610" t="inlineStr">
        <is>
          <t>Both things that she can do that's not well known, as well as things I can do and keep in mind to help.</t>
        </is>
      </c>
      <c r="D2610" t="n">
        <v>2</v>
      </c>
      <c r="E2610" t="n">
        <v>15</v>
      </c>
      <c r="F2610">
        <f>HYPERLINK("https://www.reddit.com/r/diabetes/comments/5dide9/girlfriend_just_diagnosed_with_type_2_diabetes/")</f>
        <v/>
      </c>
      <c r="G2610" t="inlineStr">
        <is>
          <t>2016-11-17 13:12:52</t>
        </is>
      </c>
      <c r="H2610" t="inlineStr">
        <is>
          <t>Type 2</t>
        </is>
      </c>
    </row>
    <row r="2611">
      <c r="A2611" t="inlineStr">
        <is>
          <t>5dj2ie</t>
        </is>
      </c>
      <c r="B2611" t="inlineStr">
        <is>
          <t>Sorry if this type of post is forbidden or even possibly illegal, but I was switched to an oral and have a box of 5 lantus pens that I was told to dispose of</t>
        </is>
      </c>
      <c r="C2611" t="inlineStr">
        <is>
          <t>They are in the sealed plastic envelope, sealed box, have been refrigerated, expiration of 2019 I'm guessing (still sealed in shipping envelope).  I have the styro ship box and ice packs. Is there any way to sell at a deep discount to offset my copay?  I'd rather that than destroy, maybe help some out of pocket person out...</t>
        </is>
      </c>
      <c r="D2611" t="n">
        <v>10</v>
      </c>
      <c r="E2611" t="n">
        <v>8</v>
      </c>
      <c r="F2611">
        <f>HYPERLINK("https://www.reddit.com/r/diabetes/comments/5dj2ie/sorry_if_this_type_of_post_is_forbidden_or_even/")</f>
        <v/>
      </c>
      <c r="G2611" t="inlineStr">
        <is>
          <t>2016-11-17 15:17:08</t>
        </is>
      </c>
      <c r="H2611" t="inlineStr">
        <is>
          <t>Type 2</t>
        </is>
      </c>
    </row>
    <row r="2612">
      <c r="A2612" t="inlineStr">
        <is>
          <t>5djux6</t>
        </is>
      </c>
      <c r="B2612" t="inlineStr">
        <is>
          <t>Spilling Ketones for first time ever what do I do</t>
        </is>
      </c>
      <c r="C2612" t="inlineStr">
        <is>
          <t>I have never spilt ketones. I'm only at 300. I'm not vomiting or anything I just feel lethargic and achey (and, well, panic-y). What do I do besides chug water?
EDIt: Sorry, and I also took a bucket load of insulin.</t>
        </is>
      </c>
      <c r="D2612" t="n">
        <v>1</v>
      </c>
      <c r="E2612" t="n">
        <v>9</v>
      </c>
      <c r="F2612">
        <f>HYPERLINK("https://www.reddit.com/r/diabetes/comments/5djux6/spilling_ketones_for_first_time_ever_what_do_i_do/")</f>
        <v/>
      </c>
      <c r="G2612" t="inlineStr">
        <is>
          <t>2016-11-17 17:52:48</t>
        </is>
      </c>
      <c r="H2612" t="inlineStr">
        <is>
          <t>Type 1</t>
        </is>
      </c>
    </row>
    <row r="2613">
      <c r="A2613" t="inlineStr">
        <is>
          <t>5dksrs</t>
        </is>
      </c>
      <c r="B2613" t="inlineStr">
        <is>
          <t>When I decided to just say "F*ck it."</t>
        </is>
      </c>
      <c r="C2613" t="inlineStr">
        <is>
          <t>I'm a 30 year old man. I have diabetes (type 1) and gastroparesis. I was diagnosed with Diabetes about a month before my 18th birthday. Y'know, If I had to get diabetes, I would rather have been diagnosed when I was an infant. At least then I would have grown up with managing it.
When I was about 21, I had a pretty bad "Fuck it" moment. I completely stopped managing my diabetes. I stopped checking my blood sugar, I stopped taking my insulin, and I stopped watching what I ate. I was just so done with it. I wanted a break.
For the first day, nothing really happened. The next day, I woke up with this weird nerve-crawling sensation. It's not something I can really describe, but it's a feeling I get when my blood sugar gets too high. If you have diabetes, maybe you know what I'm talking about. As my blood sugar rose higher and higher I got worse and worse. Over the course of about 4 days my symptoms got worse and worse. I got headaches, and then my vision started going in and out of focus. This whole time I'm getting weaker and weaker. Getting more and more lethargic.
It all came to a head on the 5th day. I woke up around 2pm, and it was hard to breathe. It felt like someone was standing on my chest. I sat up and my heart was going crazy. Fast and irregular. I knew I needed to go to the hospital. I picked up my cell phone to call my mom. (I'm kind of a momma's boy.) But it was deactivated. I never paid the bill. (I would later realize that you can call 911 from a cell phone, even if the service has been shut off.) The closest phone was the pay phone 3 blocks away. I started putting my clothes on. Never before, or since has getting dressed been so difficult. I was barely able to get dressed. It wasn't even much. Sweat pants, sweat shirt, and slippers. I stood up and immediately got really dizzy and had to sit back down. At this point my breathing was shallow and raged, my heart was going completely crazy and I was having chest pains. I slowly stood up and started walking.
(It's all a matter of willpower...)
I found a shopping cart in the ditch near my house and started pushing it to give myself something to lean on. Then I just looked down and started walking.
(Left...right...left...right...)
It was only 3 blocks, but it was the longest walk of my life. I finally made it to the pay phone...
Shit. 
Pay phone. 
I forgot to bring any money. I asked a nice-looking lady nearby "Excuse me, do you have 50 cents?" She looks at me and says "Are you okay? You don't look so good..." Man, if I looked half as bad as I felt, she probably thought I was about to die. I could smell myself. I smelled like a locker room from all the sweat. At this point I was leaning against the pay phone, with sweat running down my body, and having trouble staying conscious. Gasping and swaying, I replied "No, I'm not feeling so great. I really need to make a phone call." She said "Yeah sure." handing me 50 cents. I thanked her and proceeded to call my mom... I couldn't read the phone's keypad. My vision was blurry. I knew where the numbers were though. It was ringing...
(Pick up, pick up, pick up...)
She answered "Hello?" When I heard her voice, I couldn't hold it back anymore. I just started bawling. Between my sobs I was able to get out "Mom... come get me... it's an emergency." "Son? Is that you? What's going on? Where are you? What's wrong?" "I'm at the store... It's hard to breathe. Please hurry." She could sense the urgency in my voice, so she said "I'll be right there."
I sat down on the sidewalk and leaned against the pay phone. I was so tired. My clothes were soaked in sweat, and I was cold. I live in the pacific northwest, and it was late fall/early winter. Around November. It was probably about 60 degrees. I remember sitting there leaning against the pay phone... my heart was still going crazy. My heartbeat felt very fast, and very irregular. I was sweating profusely. All of my clothes were soaked with sweat. I could smell myself. I smelled foul. Leaning my head against the pay phone. My eyes were closed, and I could feel the drizzle against my cheek. I was freezing, and shivering hard, but I was too weak to even care, much less get up again. My mom only lived about 2 miles from where I was, so I knew she would be there soon.
“Son!? Are you okay?” I opened my eyes and there she was. I never heard her pull up. I hadn’t seen her in a little over a week and I was fine last time she saw me. I must have looked like death, because she didn’t even wait for me to answer. She just helped me get into the car. I didn’t say anything, I just leaned into her and cried. There we are, my mom’s car parked against the curb, with me sitting in the passenger seat leaning against my mom sobbing while she stands next to me in the drizzle. “Shh, shh... everythings going to be okay.” She says as she leans me back in the seat and puts my seat belt on. As she closes my door and walks around to her side, I turn on the heater.
(The heat feels nice.)
My mom gets in the driver seat and puts the car in gear. As the car starts moving, and I start drifting off to sleep, she starts singing a song that I remember from childhood...
&amp;gt; "You are my sunshine,    
&amp;gt; my only sunshine.    
&amp;gt; You make my happy,    
&amp;gt; when skies are grey.    
&amp;gt; You never know dear,    
&amp;gt; how much I love you.    
&amp;gt; Please don’t take my sunshine away..."    
My mom wakes me up. She’s standing outside of my car door with a wheel chair. “C’mon son, we’re at the hospital. Let’s go get you fixed up. She wheels me into the ER and we go up to the admittance desk. The nurse looks at me and says “Hello. Do you have an ID with you?” I shook my head. “What’s your name and date of birth?” My mom answered for me. Which was good because I felt really weak and didn’t really want to talk. “So what are you feeling?” the nurse asked me. I was having trouble breathing, but managed to get out between breaths “Heart too fast... can’t breathe... dizzy... weak...” The nurse could tell it was serious. She said “We better get you checked in right away.” The nurse wheeled me into an exam room with my mom close behind.
The nurse started checking my vitals. When he got to my heart, he said “Wow, your hearts going crazy. We’d better get you in there.” Everything that happened after that is kinda blurry. Everything started happening so fast. Next thing I knew, I was on a stretcher and the doctor was talking to my mom and I... “We can’t let your heart keep going like this or it’s going to burn out. I want to give you a shot of [Adenosine](https://en.wikipedia.org/wiki/Adenosine#Antiarrhythmic_agent). It will momentarily stop your heart. Allowing it to... reset, so to speak.” I asked him “Could I die?” The doctor looked at my mom, and then back to me. “Yes. There is a chance. However, at this rate you will go into cardiac arrest. A heart attack.” I looked at him and said “Do it.”
Three more nurses came in, with some machines, and other little tools. One of the nurses brought a gown, which my mom helped me into, while another nurse started hooking up the machine. I think it was an EKG machine. Another nurse put an IV in my arm. With the EKG machine hooked up, I could see my hearts activity on the screen. It was going so crazy, I was actually suprised it was still going. The doctor walked up to me with a small syringe in his hand. “Okay, here we go.” he said and he injected the syringe into the IV. I was looking at my mom, and suddenly, I was falling. I felt my heart stop. I felt my blood stop moving. It was the scariest moment of my life. Time seemed to hang for a moment, and then everything went black.
(Am I dying? I thought there was supposed to be light...)
I woke up. I didn’t open my eyes at first. I could feel my heart beating again. Normally now, and I could hear the machine beeping in time with my heart. My throat was dry. I was alive. I opened my eyes and saw my mom sitting next to me, reading a book. She looked over and saw that I was awake and smiled.
“How do you feel?” she asked. “Like shit, I’m thirsty.” My mom pressed the nurse button, and a voice came over the intercom. “Nurses station.” My mom replied “He’s awake.” “Great. I’ll send the doctor in.” “He wants some water too, please.” “No problem.” A few minutes later the doctor came in with a bottle of water. “Here ya go.” The doc said as he handed me the bottle of water. I took a drink, and it was the best drink of water ever. I felt refreshed as the cool liquid flowed down my throat into my stomach. “How do you feel?” He asked. “Better.” I replied. “What exactly happened?”
“You came in with DKA. That is, [diabetic ketoacidosis](http://www.diabetes.org/living-with-diabetes/complications/ketoacidosis-dka.html), and﻿ [supraventricular tachycardia](https://en.wikipedia.org/wiki/Supraventricular_tachycardia). The DKA was caused by your blood sugar being too high for too long. The DKA, in turn caused the tachycardia. When you came in your blood sugar was higher than our equipment could register, and your heart rate was around 240 bpm. We gave you [Adenosine](https://en.wikipedia.org/wiki/Adenosine#Antiarrhythmic_agent) to stop the tachycardia. The first dose wasn’t enough. You have a really strong heart, so we had to give you a second stronger dose. After that was successful, we gave you some insulin to bring your blood sugar down. As long as you keep your blood sugar under control, you should be feeling better in no time.”
“Thank you doctor. I will.”
“Well, we're going to keep you under observation for a couple days, and make sure everything gets back to normal. I'm glad you're ok.” And with that, the doctor left. I never saw that doctor again, and I can’t remember his name.
My mom looked at me “So, you wanna tell me what happened?” 
**tl;dr** Stopped taking care of my diabetes and had a near death experience.</t>
        </is>
      </c>
      <c r="D2613" t="n">
        <v>34</v>
      </c>
      <c r="E2613" t="n">
        <v>30</v>
      </c>
      <c r="F2613">
        <f>HYPERLINK("https://www.reddit.com/r/diabetes/comments/5dksrs/when_i_decided_to_just_say_fck_it/")</f>
        <v/>
      </c>
      <c r="G2613" t="inlineStr">
        <is>
          <t>2016-11-17 21:29:53</t>
        </is>
      </c>
      <c r="H2613" t="inlineStr">
        <is>
          <t>Type 1</t>
        </is>
      </c>
    </row>
    <row r="2614">
      <c r="A2614" t="inlineStr">
        <is>
          <t>5dl2c7</t>
        </is>
      </c>
      <c r="B2614" t="inlineStr">
        <is>
          <t>Woke up with no energy</t>
        </is>
      </c>
      <c r="C2614" t="inlineStr">
        <is>
          <t>Hi all, I'm a newly diagnosed T1 (23M) since June/July this year.
Some background: I started on NovoRapid/Lantus half way through July and after the initial adjustment period I've been fine. Still on very small doses, initially only took 4u basal, 1-2u bolus with meals, now up to 6u basal with around 4-6u bolus per meal. My first a1c after diagnoses was 6.7% mid October, so no trouble there.
However, today when I woke up, I had barely enough energy to walk. Had to call in sick because I didn't want to risk driving. It lasted from around 7:30am when I woke up till just now (~2pm Western Australian time). I also had some inconsistent stomach cramps and struggled to concentrate on anything. I attempted to work from home but could not stay focus more than 5 minutes.
My BG was 5.4mmol/l when I woke up. I had my usual cereal for breakfast and 4u NovoRapid but went back to bed and fell asleep again due to severe lack of energy. When I woke up and tested myself again at around 11:30am I was 5.6mmol/l, so BG has been fine.
I feel mostly fine now, still low on energy but at least able to function. 
Have any of you guys every experienced something similar or could this be something completely unrelated to diabetes? I've had similar days before when I've felt very low on energy despite normal BG levels, but never to the extent I felt today where I could barely walk.
Any input is appreciated :)
EDIT: just checked keytones just to be sure and its only 0.2mmol/l</t>
        </is>
      </c>
      <c r="D2614" t="n">
        <v>1</v>
      </c>
      <c r="E2614" t="n">
        <v>1</v>
      </c>
      <c r="F2614">
        <f>HYPERLINK("https://www.reddit.com/r/diabetes/comments/5dl2c7/woke_up_with_no_energy/")</f>
        <v/>
      </c>
      <c r="G2614" t="inlineStr">
        <is>
          <t>2016-11-17 22:42:37</t>
        </is>
      </c>
      <c r="H2614" t="inlineStr">
        <is>
          <t>Type 1</t>
        </is>
      </c>
    </row>
    <row r="2615">
      <c r="A2615" t="inlineStr">
        <is>
          <t>5dl35f</t>
        </is>
      </c>
      <c r="B2615" t="inlineStr">
        <is>
          <t>Type 1, drinking (alcohol)</t>
        </is>
      </c>
      <c r="C2615" t="inlineStr">
        <is>
          <t>Tips! I need tips. 
Today, we'll yesterday it's past midnight where I am, was my 21st birthday, and so of course I had a couple beers (Not your father's root beer). I only had 2 and I drank them slower than molasses. I kept an eye on things and then slowly kinda let it go. So before I plan to start taking it easy for the night (bedding down, watching TV, scrolling reddit, the likes) I check and I've spiked. So I correct, like I normally would, and 2 hours later I've plummeted to 88. Which isn't normal. The other day I was like 350 and corrected and it took *Hours* to come back down, and that's how it usually is, slower than slow to come down. So now I ask what are some tips?
Sidenotes, I'm on Humalog and Lantus pens. I chose not to get a pump, I prefer the shots. I'm kinda uncontrolled, recovering from a burnout, and I don't plan on drinking often because of that. Also, frim what I hear and what's going on now, drinking is a Hassel.</t>
        </is>
      </c>
      <c r="D2615" t="n">
        <v>3</v>
      </c>
      <c r="E2615" t="n">
        <v>21</v>
      </c>
      <c r="F2615">
        <f>HYPERLINK("https://www.reddit.com/r/diabetes/comments/5dl35f/type_1_drinking_alcohol/")</f>
        <v/>
      </c>
      <c r="G2615" t="inlineStr">
        <is>
          <t>2016-11-17 22:49:10</t>
        </is>
      </c>
      <c r="H2615" t="inlineStr">
        <is>
          <t>Type 1</t>
        </is>
      </c>
    </row>
    <row r="2616">
      <c r="A2616" t="inlineStr">
        <is>
          <t>5dmwhg</t>
        </is>
      </c>
      <c r="B2616" t="inlineStr">
        <is>
          <t>T1 Toe pain</t>
        </is>
      </c>
      <c r="C2616" t="inlineStr">
        <is>
          <t>I was diagnosed as a T1 diabetic this summer. I've had a pretty good handle on my sugars until this past week. I went on vacation and my sugars were out of control for about a week. Today I went for a run and afterwards my big toe on one of my feet felt numb and was more red than the other. It's been like this for a few hours and it's pretty painful. I assume this is related to the recent high blood sugars. Is this an emergency or should I expect it to stabilise once I get my sugars in order?</t>
        </is>
      </c>
      <c r="D2616" t="n">
        <v>4</v>
      </c>
      <c r="E2616" t="n">
        <v>4</v>
      </c>
      <c r="F2616">
        <f>HYPERLINK("https://www.reddit.com/r/diabetes/comments/5dmwhg/t1_toe_pain/")</f>
        <v/>
      </c>
      <c r="G2616" t="inlineStr">
        <is>
          <t>2016-11-18 07:16:27</t>
        </is>
      </c>
      <c r="H2616" t="inlineStr">
        <is>
          <t>Type 1</t>
        </is>
      </c>
    </row>
    <row r="2617">
      <c r="A2617" t="inlineStr">
        <is>
          <t>5dpl45</t>
        </is>
      </c>
      <c r="B2617" t="inlineStr">
        <is>
          <t>Realising how lucky I am</t>
        </is>
      </c>
      <c r="C2617" t="inlineStr">
        <is>
          <t>Sorry, this is rather lengthy and mostly just ranting. Feel free to ask questions or comment with your experiences if any of this speaks to you! 
An introduction: I was diagnosed in June 2016 with Type 1 diabetes while home from university for summer break. I’m a college student majoring in music performance (and now biology) at Carnegie Mellon University, and I’m currently working on an open-source insulin pump project which we hope to integrate with the Dexcom G5 CGM for a modern open-source APS solution. My diagnosis story follows...
__________________________________
I diagnosed myself in June with a cheap meter from CVS and ended up in the pediatric emergency room on a saline IV (BG 529, A1C 12.6%, no ketones). Everyone was surprised I'd figured it out myself, but I figured when you're drinking a gallon of water in the middle of the night and urinating every half hour, how could you not know something was wrong? 
Anyway, they insisted on keeping me in the hospital for 2 nights, pushed basic diabetes education on me, sent me to a powerpoint presentation which they later billed my insurance over $500 for (after insurance it was still over $200). The hospital bills required additional approval from insurance and were rather expensive as well. 
Out of the hospital, I was put on syringes with vial insulin (NovoLog and Lantus) and told "we can't put you on pens for a month because it's our policy to teach syringe injections first". (Has anyone else had this experience?)
It took two weeks and persistent phone calls to get my antibody results back from the hospital: *all antibodies NEGATIVE*. The doctor finally called me back and told me I was Type 2 (which didn't make much sense given my weight and lack of insulin resistance), and I was put on Metformin at my next appointment. Needless to say, Metformin did nothing but induce negative side-effects. 
Eventually, I got pen prescriptions, but they prescribed HumaLog, which gave me an allergic reaction. Thankfully, my insurance covers both, so I was able to switch back to NovoLog. 
When I returned to college (outside my home state) I got a new endocrinologist; since I didn’t have any antibodies, she switched between tentative diagnoses of Type I, MODY, LADA, etc. It is strange having been diagnosed at various points with all known types of diabetes. Eventually, we found one antibody present at low levels, leading us to believe there was an autoimmune response at some point. I’m now officially a Type I diabetic. 
For a while, as an engineer, I was skeptical about pump technology, but after seeing the insides of a few different models, I decided to pull the trigger. After a lot of hassle with the hospital and various pharmacies (apparently having a pharmacy benefit for pumps and CGM is unusual), I am now on an OmniPod with Dexcom G5 CGM running through xDrip. My family’s insurance premiums will be increasing substantially next year, but it’s still a lot cheaper than fending for myself (thanks, Obamacare!). 
This semester I began working on an open-source pump project, and while it is moving slowly at the moment, I’m confident we can get it off the ground. I was fortunate enough to get in touch with a number of engineers who were willing to help, and I'm doing this with a former professor who did some work on the OpenAPS system. It's worth noting that the open-source diabetes community has really pushed the envelope on the capabilities of current technology (compare xDrip+ to the Dexcom mobile apps, for example) and I’m excited to see how our system will compare to new commercial solutions like the MiniMed 670G. 
After all of this, it feels like I’ve been immersed in the diabetic experience for much longer than I have. It’s been 5 months, my A1C is down to 6.4%. I’m no longer sticking myself with a needle 6 times a day, and all I have to do to manage my condition is press a few buttons and glue some tech to my skin once every few days. I have good insurance and a good endo, access to two of the nation's best hospitals at home and at school, And to top it off, I might actually be able to give something back to the community. What a crazy journey this has been.  
____________________________________ 
Some of my more interesting observations so far: 
- As a musician, MDI was horrible because I need ZERO basal during rehearsals. When I was on Lantus/Tresiba, my BG would drop by 85 points in an hour just from sitting and playing in the orchestra. That’s more of a drop than I usually experience when I work out at the gym. 
- Getting through TSA with a pump (and a cello) is an interesting experience. I was already used to “random” screenings and funny looks, but now I get to pat myself down and have my hands swabbed for explosives every time I take a flight! 
- Diabetics can register with the disabilities office at university. It doesn’t really do much. 
- Being low (or high) has kept me up many a time at night. Lows feel like panic attacks. 
- Mood, neurotransmitters/hormones, and BG are linked in ways no one understands yet. 
- I have a histamine reaction to the cannula on my OmniPod which forces me to replace it after 48 hours even though I’m using very little insulin per day (honeymoon). The cannula is supposedly teflon, which shouldn’t cause a reaction, and I haven’t figured out what’s going on yet but it seems to be a fairly common issue.  
____________________________________
**Tl;dr: I've had diabetes for 5 months, and I was quite frustrated by my experience until reading some of the stories on here made me realise just how fortunate I am. Now I’m trying to build an open-source insulin pump with APS integration.**</t>
        </is>
      </c>
      <c r="D2617" t="n">
        <v>9</v>
      </c>
      <c r="E2617" t="n">
        <v>26</v>
      </c>
      <c r="F2617">
        <f>HYPERLINK("https://www.reddit.com/r/diabetes/comments/5dpl45/realising_how_lucky_i_am/")</f>
        <v/>
      </c>
      <c r="G2617" t="inlineStr">
        <is>
          <t>2016-11-18 15:28:10</t>
        </is>
      </c>
      <c r="H2617" t="inlineStr">
        <is>
          <t>Type 1</t>
        </is>
      </c>
    </row>
    <row r="2618">
      <c r="A2618" t="inlineStr">
        <is>
          <t>5dyaql</t>
        </is>
      </c>
      <c r="B2618" t="inlineStr">
        <is>
          <t>My insurance will cost me $10,000 next year to stay alive</t>
        </is>
      </c>
      <c r="C2618" t="inlineStr">
        <is>
          <t>I just bought insurance for the first time as a type 1 diabetic and it makes me want to rip a toddler in half</t>
        </is>
      </c>
      <c r="D2618" t="n">
        <v>81</v>
      </c>
      <c r="E2618" t="n">
        <v>95</v>
      </c>
      <c r="F2618">
        <f>HYPERLINK("https://www.reddit.com/r/diabetes/comments/5dyaql/my_insurance_will_cost_me_10000_next_year_to_stay/")</f>
        <v/>
      </c>
      <c r="G2618" t="inlineStr">
        <is>
          <t>2016-11-20 06:46:29</t>
        </is>
      </c>
      <c r="H2618" t="inlineStr">
        <is>
          <t>Type 1</t>
        </is>
      </c>
    </row>
    <row r="2619">
      <c r="A2619" t="inlineStr">
        <is>
          <t>5e4p19</t>
        </is>
      </c>
      <c r="B2619" t="inlineStr">
        <is>
          <t>Going high two hours after changing Omnipod</t>
        </is>
      </c>
      <c r="C2619" t="inlineStr">
        <is>
          <t>People routinely post in here about how to avoid highs after a pod change, but my issue with them is a bit odd. I'm only a month into Omnipod, and it seems like every time I do a pod change, I go high about 2 hours AFTER the change. I already change before a meal (usually breakfast, a few times before dinner), and take at least 1 extra unit of bolus, sometimes up to 2 extra units. But with today's pod change, I went up to 17 two hours after the change. Any advice on what I should do? Run a temp basal for a few hours after the pod change? For how much? Thanks guys!</t>
        </is>
      </c>
      <c r="D2619" t="n">
        <v>1</v>
      </c>
      <c r="E2619" t="n">
        <v>9</v>
      </c>
      <c r="F2619">
        <f>HYPERLINK("https://www.reddit.com/r/diabetes/comments/5e4p19/going_high_two_hours_after_changing_omnipod/")</f>
        <v/>
      </c>
      <c r="G2619" t="inlineStr">
        <is>
          <t>2016-11-21 07:52:04</t>
        </is>
      </c>
      <c r="H2619" t="inlineStr">
        <is>
          <t>Type 1</t>
        </is>
      </c>
    </row>
    <row r="2620">
      <c r="A2620" t="inlineStr">
        <is>
          <t>5edgr0</t>
        </is>
      </c>
      <c r="B2620" t="inlineStr">
        <is>
          <t>Google is conducting a survey of T2 diabetics</t>
        </is>
      </c>
      <c r="C2620" t="inlineStr">
        <is>
          <t>I received an email from Google asking if I was interesting in taking a 1 on 1 Hangouts survey for $75. I clicked and the first question was if I was ever diagnosed T2. After filling out the questionaire they called and picked me to do the full video survey. During the call she said if I know anyone with Type 2 diabetes to forward the link on to them. (She said forums or blogs, so I assume Google would like this audience).
[Here is the link to follow](https://docs.google.com/a/google.com/forms/d/e/1FAIpQLSfPecLkIpiZIR2Ddozlb8qK5res4oGcsZf1xTsSGskdJIQpgg/viewform)
The $75 comes as a voucher for [Perks](http://www.google.com/usability/research/perks/index1.html) (so make sure you can use one of those before going through the effort).
Mods, let me know if you need any proof this is a legit link. I can forward the email (or something else?).</t>
        </is>
      </c>
      <c r="D2620" t="n">
        <v>3</v>
      </c>
      <c r="E2620" t="n">
        <v>4</v>
      </c>
      <c r="F2620">
        <f>HYPERLINK("https://www.reddit.com/r/diabetes/comments/5edgr0/google_is_conducting_a_survey_of_t2_diabetics/")</f>
        <v/>
      </c>
      <c r="G2620" t="inlineStr">
        <is>
          <t>2016-11-22 13:51:57</t>
        </is>
      </c>
      <c r="H2620" t="inlineStr">
        <is>
          <t>Type 2</t>
        </is>
      </c>
    </row>
    <row r="2621">
      <c r="A2621" t="inlineStr">
        <is>
          <t>5eefjn</t>
        </is>
      </c>
      <c r="B2621" t="inlineStr">
        <is>
          <t>Sick, blood sugars all over the place.</t>
        </is>
      </c>
      <c r="C2621" t="inlineStr">
        <is>
          <t>I've been sick a little over a week now, thought it was just a cold but I am going to go to the doctor tomorrow just in case. I cannot for the life of me keep my blood sugars stable. They've been running REALLY high lately, even though I haven't been eating much of anything except broths and water. According to an app I use, my average this week is 210 mg/dL. I am either hypo or hyper, no in between. My last a1c was 6.6, and I am worried this next test is going to be bad :( So far I've tried: checking my blood sugars every hour, I've changed infusion sets just in case it was a bad one, I've played around with my pump settings, and I'm taking sugar free medicines/cough drops. I am hoping my endo can see me soon, but anyone have any idea's on how to do more to keep them stable?</t>
        </is>
      </c>
      <c r="D2621" t="n">
        <v>2</v>
      </c>
      <c r="E2621" t="n">
        <v>4</v>
      </c>
      <c r="F2621">
        <f>HYPERLINK("https://www.reddit.com/r/diabetes/comments/5eefjn/sick_blood_sugars_all_over_the_place/")</f>
        <v/>
      </c>
      <c r="G2621" t="inlineStr">
        <is>
          <t>2016-11-22 16:53:26</t>
        </is>
      </c>
      <c r="H2621" t="inlineStr">
        <is>
          <t>Type 1</t>
        </is>
      </c>
    </row>
    <row r="2622">
      <c r="A2622" t="inlineStr">
        <is>
          <t>5esl1v</t>
        </is>
      </c>
      <c r="B2622" t="inlineStr">
        <is>
          <t>How long should I wait between dinner and sleep?</t>
        </is>
      </c>
      <c r="C2622" t="inlineStr">
        <is>
          <t>I eat dinner really late because I work nights. Is it safe for me to go to bed within an hour of finishing eating or should I allow more time? I'm going to need to switch shifts because of my recent diagnosis and I'm not sure what's optimal.
Also I don't like waking up in the middle of the night with my stomach too empty.</t>
        </is>
      </c>
      <c r="D2622" t="n">
        <v>1</v>
      </c>
      <c r="E2622" t="n">
        <v>11</v>
      </c>
      <c r="F2622">
        <f>HYPERLINK("https://www.reddit.com/r/diabetes/comments/5esl1v/how_long_should_i_wait_between_dinner_and_sleep/")</f>
        <v/>
      </c>
      <c r="G2622" t="inlineStr">
        <is>
          <t>2016-11-25 00:23:29</t>
        </is>
      </c>
      <c r="H2622" t="inlineStr">
        <is>
          <t>Type 1</t>
        </is>
      </c>
    </row>
    <row r="2623">
      <c r="A2623" t="inlineStr">
        <is>
          <t>5ew2v6</t>
        </is>
      </c>
      <c r="B2623" t="inlineStr">
        <is>
          <t>Anyone know if Medicare/Medicaid will pay for 4 A1C tests per year?</t>
        </is>
      </c>
      <c r="C2623" t="inlineStr">
        <is>
          <t xml:space="preserve">I'm only getting one right now. I feel like I need more information. My last 2 years were 6.9 and then 6.3. </t>
        </is>
      </c>
      <c r="D2623" t="n">
        <v>1</v>
      </c>
      <c r="E2623" t="n">
        <v>2</v>
      </c>
      <c r="F2623">
        <f>HYPERLINK("https://www.reddit.com/r/diabetes/comments/5ew2v6/anyone_know_if_medicaremedicaid_will_pay_for_4/")</f>
        <v/>
      </c>
      <c r="G2623" t="inlineStr">
        <is>
          <t>2016-11-25 14:02:53</t>
        </is>
      </c>
      <c r="H2623" t="inlineStr">
        <is>
          <t>Type 2</t>
        </is>
      </c>
    </row>
    <row r="2624">
      <c r="A2624" t="inlineStr">
        <is>
          <t>5exyl9</t>
        </is>
      </c>
      <c r="B2624" t="inlineStr">
        <is>
          <t>How do you deal with false lows?</t>
        </is>
      </c>
      <c r="C2624" t="inlineStr">
        <is>
          <t>Been having trouble with false lows. Was used to constant high blood sugar but for the past month have been trying to manage them under 200 and a few times I got real shaky but blood sugar was 140 today. Took carbs anyway and after a few hours its now over 200. Its weird it took so long to go up while staying around 130-140 and that I had to take like 25g of carbs too. 
Also having trouble fighting the urge to give insulin to correct highs, before waiting for the first set of insulin to have its affect. I end up staking but if I dont I get real high. Obvious choice is to give more insulin or give it sooner but I am just worried of dropping fast or going low and giving too much insulin. But Am afraid of highs because it takes soo long to come down and takes so much insulin and I feel like shit.
This shit sucks.</t>
        </is>
      </c>
      <c r="D2624" t="n">
        <v>5</v>
      </c>
      <c r="E2624" t="n">
        <v>22</v>
      </c>
      <c r="F2624">
        <f>HYPERLINK("https://www.reddit.com/r/diabetes/comments/5exyl9/how_do_you_deal_with_false_lows/")</f>
        <v/>
      </c>
      <c r="G2624" t="inlineStr">
        <is>
          <t>2016-11-25 21:22:05</t>
        </is>
      </c>
      <c r="H2624" t="inlineStr">
        <is>
          <t>Type 1</t>
        </is>
      </c>
    </row>
    <row r="2625">
      <c r="A2625" t="inlineStr">
        <is>
          <t>5ey9bh</t>
        </is>
      </c>
      <c r="B2625" t="inlineStr">
        <is>
          <t>Why am I tired after eating? (T1)</t>
        </is>
      </c>
      <c r="C2625" t="inlineStr">
        <is>
          <t xml:space="preserve">I was 95 right before eating, prebolused 6 units of Novolog for 66 carbs and waited 10 minutes. Ate 66g of carbs and about 1050 cal total: 
Grapes
California veggie mix (carrot broccoli cauli)
Raw wheat berries
Peanut butter and celery
Mixed nuts
Chicken breast
Pepper jack and Mozzarella cheese sticks
Black olives
Time to eat ~ 30 min
Immediately after I was 89, eventually went low an hour later but felt tired almost right away. Why is this happening?
</t>
        </is>
      </c>
      <c r="D2625" t="n">
        <v>2</v>
      </c>
      <c r="E2625" t="n">
        <v>1</v>
      </c>
      <c r="F2625">
        <f>HYPERLINK("https://www.reddit.com/r/diabetes/comments/5ey9bh/why_am_i_tired_after_eating_t1/")</f>
        <v/>
      </c>
      <c r="G2625" t="inlineStr">
        <is>
          <t>2016-11-25 22:40:21</t>
        </is>
      </c>
      <c r="H2625" t="inlineStr">
        <is>
          <t>Type 1</t>
        </is>
      </c>
    </row>
    <row r="2626">
      <c r="A2626" t="inlineStr">
        <is>
          <t>5f002q</t>
        </is>
      </c>
      <c r="B2626" t="inlineStr">
        <is>
          <t>Just had my first ever severe hypo</t>
        </is>
      </c>
      <c r="C2626" t="inlineStr">
        <is>
          <t>I'm part of the club now, guys ;)
Woke up feeling really strange. Had a feeling of these waves going from my head to my feet. Had no idea what was going on so I did a blood test. 4.0 mmol, not too bad, so I tried to go back to sleep.
Kept feeling the waves and started feeling really sick and like I was dying. I couldn't see straight and I could barely sit myself up. Did another blood test and sure enough, 3.2 mmol. Queue jelly bean devouring. Am now riding a high but I'd much rather this than how I was feeling while low</t>
        </is>
      </c>
      <c r="D2626" t="n">
        <v>2</v>
      </c>
      <c r="E2626" t="n">
        <v>9</v>
      </c>
      <c r="F2626">
        <f>HYPERLINK("https://www.reddit.com/r/diabetes/comments/5f002q/just_had_my_first_ever_severe_hypo/")</f>
        <v/>
      </c>
      <c r="G2626" t="inlineStr">
        <is>
          <t>2016-11-26 07:47:57</t>
        </is>
      </c>
      <c r="H2626" t="inlineStr">
        <is>
          <t>Type 1</t>
        </is>
      </c>
    </row>
    <row r="2627">
      <c r="A2627" t="inlineStr">
        <is>
          <t>5f4ozc</t>
        </is>
      </c>
      <c r="B2627" t="inlineStr">
        <is>
          <t>My silver jubilee</t>
        </is>
      </c>
      <c r="C2627" t="inlineStr">
        <is>
          <t xml:space="preserve">Next month I'll celebrate my 25th diabetes anniversary :) I was diagnosed with type 1 diabetes between Christmas and New Year, in the end of 1991. I was 14 year old. Michael Jackson was on top of the charts with Black or White, and we could watch The Adams Family in cinema. Even better for me, it also was the year Coca Cola Light was introduced on the Belgian market!
Most things drastically changed. I'm not on Insulin Regular and NPH anymore (luckily), and it doesn't take 60 seconds to perform a BG test anymore. By the way, this was my first (or second) BG meter: http://i.imgur.com/iWiCJTX.jpg 
Few things didn't change. 
- I'm still seeing the same endocrinologist. He also was my diabetes "educator" because when I was diagnosed, the nurse who was the only *real* diabetes educator was on a Christmas holiday. So he's also the one who taught me 2 mandarins equal 1 carb unit. ;)
- People still ask me if I have the good or the bad diabetes.
- People still tell me about every aunt, grandfather and neighbour with diabetes they know.
Probably I gonna throw a silver jubilee-party. So any good ideas about it are very welcome! Probably if someone wants to give me a present, I gonna ask for stuff to put my crap in, otherwise I end up with a pile of diet candy :( But my biggest present will come from my doctor: CGM!
</t>
        </is>
      </c>
      <c r="D2627" t="n">
        <v>15</v>
      </c>
      <c r="E2627" t="n">
        <v>4</v>
      </c>
      <c r="F2627">
        <f>HYPERLINK("https://www.reddit.com/r/diabetes/comments/5f4ozc/my_silver_jubilee/")</f>
        <v/>
      </c>
      <c r="G2627" t="inlineStr">
        <is>
          <t>2016-11-27 02:11:41</t>
        </is>
      </c>
      <c r="H2627" t="inlineStr">
        <is>
          <t>Type 1</t>
        </is>
      </c>
    </row>
    <row r="2628">
      <c r="A2628" t="inlineStr">
        <is>
          <t>5f6swe</t>
        </is>
      </c>
      <c r="B2628" t="inlineStr">
        <is>
          <t>How do you guys deal with the times when it is not going to be clear how many carbs you will eat? (Dinner parties, regular parties, etc..)</t>
        </is>
      </c>
      <c r="C2628" t="inlineStr">
        <is>
          <t>Sometimes I will be in some place where it's not going to be clear as how much carbs I will actually end up eating, so it is difficult to give myself insulin, unless every time I eat something I give myself insulin, which might end up happening like 12 times in just few hours. Mainly talking about times when there will be lot of different snacks around and people just kind of go around and eat a little now and then. 
Mainly, I'd like to know the perspective of people who use injections rather than pump, but it would be cool to know from both sides.</t>
        </is>
      </c>
      <c r="D2628" t="n">
        <v>5</v>
      </c>
      <c r="E2628" t="n">
        <v>24</v>
      </c>
      <c r="F2628">
        <f>HYPERLINK("https://www.reddit.com/r/diabetes/comments/5f6swe/how_do_you_guys_deal_with_the_times_when_it_is/")</f>
        <v/>
      </c>
      <c r="G2628" t="inlineStr">
        <is>
          <t>2016-11-27 10:51:51</t>
        </is>
      </c>
      <c r="H2628" t="inlineStr">
        <is>
          <t>Type 1</t>
        </is>
      </c>
    </row>
    <row r="2629">
      <c r="A2629" t="inlineStr">
        <is>
          <t>5f7lag</t>
        </is>
      </c>
      <c r="B2629" t="inlineStr">
        <is>
          <t>Just gave too much insulin..why are meters so inconsistent?</t>
        </is>
      </c>
      <c r="C2629" t="inlineStr">
        <is>
          <t>I tested at 275. Gave my correction. Decided to check again right after and it was 204. The insulin I gave for 275 was way too much compared to if I corrected for 204. I checked again and it was 290. Then 213. All on my fingers within a minute.
An hour later I am 166 and 173. So I assume the earlier reading of 204 was accurate, not the 275 and 290. I also feel weird, like false low or when I drop too fast. I also know 60min is too fast for insulin to give all its effect too so knowing I am at this range with so much unused insulin left over..makes me worry. I took some juice just in case but I just feel weird. Also confused since my blood sugar runs so high after I wake up and I am really insulin resistant.
Anyone else go through this BS? This doesnt help my paranoia of meter accuracy. I check way to much and go through a lot of strips as it is already. I convinced my self to check less and trust the readings but then I get screwed over with the "accurate" finger checks being all over the place and giving too much insulin.</t>
        </is>
      </c>
      <c r="D2629" t="n">
        <v>11</v>
      </c>
      <c r="E2629" t="n">
        <v>21</v>
      </c>
      <c r="F2629">
        <f>HYPERLINK("https://www.reddit.com/r/diabetes/comments/5f7lag/just_gave_too_much_insulinwhy_are_meters_so/")</f>
        <v/>
      </c>
      <c r="G2629" t="inlineStr">
        <is>
          <t>2016-11-27 13:17:45</t>
        </is>
      </c>
      <c r="H2629" t="inlineStr">
        <is>
          <t>Type 1</t>
        </is>
      </c>
    </row>
    <row r="2630">
      <c r="A2630" t="inlineStr">
        <is>
          <t>5fat9f</t>
        </is>
      </c>
      <c r="B2630" t="inlineStr">
        <is>
          <t>First time waking up during a hypoglycemic episode...with no Thanksgiving dessert leftovers in the house. Pwned.</t>
        </is>
      </c>
      <c r="C2630" t="inlineStr">
        <is>
          <t>Took some deliciously chalky glucose tablets and scarfed down a bowl of cereal. Thought I'd pop over to /r/diabetes while waiting for my blood sugar to calm down.
I was diagnosed LADA about a year ago and for most part been able to get the A1C and what not under control. 
The one thing that has always freaked me out a bit is the idea of dipping while sleeping. I'm not sure if this is something that has happened to me before and I just slept through it or not, but it definitely sucks. At least for me after an episode I'm usually pretty tired so I should be able to knock out again pretty quickly. 
But yea, I was hoping my roommate had some of this crazy pumpkin pie cake thing left over in the fridge but I guess his family ate it all. Selfish.</t>
        </is>
      </c>
      <c r="D2630" t="n">
        <v>2</v>
      </c>
      <c r="E2630" t="n">
        <v>7</v>
      </c>
      <c r="F2630">
        <f>HYPERLINK("https://www.reddit.com/r/diabetes/comments/5fat9f/first_time_waking_up_during_a_hypoglycemic/")</f>
        <v/>
      </c>
      <c r="G2630" t="inlineStr">
        <is>
          <t>2016-11-28 01:30:23</t>
        </is>
      </c>
      <c r="H2630" t="inlineStr">
        <is>
          <t>Type 1.5/LADA</t>
        </is>
      </c>
    </row>
    <row r="2631">
      <c r="A2631" t="inlineStr">
        <is>
          <t>5fbwbv</t>
        </is>
      </c>
      <c r="B2631" t="inlineStr">
        <is>
          <t>Going Skiing. Any Tip/Tricks/Concerns I should know about?</t>
        </is>
      </c>
      <c r="C2631" t="inlineStr">
        <is>
          <t>So I am a newly diagnosed T1 (August this year) and am heading out in a month to go on a week long ski trip. Currently doing MDI with Lantus/Humalog, and I also have a Dexcom G5. 
I know that I need to be bringing back ups of pretty much everything with me to leave in the house. Do I need to be concerned about anything while i'm out on the mountain? Does anybody have any tips for being diabetic on the mountain, any good snacks to keep handy?  
Thank you in advance for any advice!</t>
        </is>
      </c>
      <c r="D2631" t="n">
        <v>3</v>
      </c>
      <c r="E2631" t="n">
        <v>21</v>
      </c>
      <c r="F2631">
        <f>HYPERLINK("https://www.reddit.com/r/diabetes/comments/5fbwbv/going_skiing_any_tiptricksconcerns_i_should_know/")</f>
        <v/>
      </c>
      <c r="G2631" t="inlineStr">
        <is>
          <t>2016-11-28 06:23:49</t>
        </is>
      </c>
      <c r="H2631" t="inlineStr">
        <is>
          <t>Type 1</t>
        </is>
      </c>
    </row>
    <row r="2632">
      <c r="A2632" t="inlineStr">
        <is>
          <t>5fbxud</t>
        </is>
      </c>
      <c r="B2632" t="inlineStr">
        <is>
          <t>Unable to get blood sugar below 220 - 240.</t>
        </is>
      </c>
      <c r="C2632" t="inlineStr">
        <is>
          <t xml:space="preserve">For the past 4 days I've been taking tons of insulin, chugging water, and changing the site more than 6 times. I've checked the pump and it seems to be pushing insulin just fine but for some reason I'm unable to get my bg down. Nearly every day I wake up around 250+ and have to fight all day to get it down. By the time I'm going to bed I finally get it down around 160 - 180ish and go to sleep only for the cycle to restart the next day. 
Nothing has changed in the past few months and I don't know what's causing this. I don't feel bad or anything, I probably have ketones but cannot check because I don't have any strips.
I'm giving extra insulin on every single bolus and am not sure what to do next. </t>
        </is>
      </c>
      <c r="D2632" t="n">
        <v>3</v>
      </c>
      <c r="E2632" t="n">
        <v>22</v>
      </c>
      <c r="F2632">
        <f>HYPERLINK("https://www.reddit.com/r/diabetes/comments/5fbxud/unable_to_get_blood_sugar_below_220_240/")</f>
        <v/>
      </c>
      <c r="G2632" t="inlineStr">
        <is>
          <t>2016-11-28 06:32:30</t>
        </is>
      </c>
      <c r="H2632" t="inlineStr">
        <is>
          <t>Type 1</t>
        </is>
      </c>
    </row>
    <row r="2633">
      <c r="A2633" t="inlineStr">
        <is>
          <t>5fcvg1</t>
        </is>
      </c>
      <c r="B2633" t="inlineStr">
        <is>
          <t>When do split insulin bolus when eating food? I see people do it with pizza but was never sure why. Or how protein and fat affect carbs. Or the terminology like squarewave?</t>
        </is>
      </c>
      <c r="C2633" t="inlineStr">
        <is>
          <t>Just want to learn more about this. I never really learned any of this.</t>
        </is>
      </c>
      <c r="D2633" t="n">
        <v>3</v>
      </c>
      <c r="E2633" t="n">
        <v>6</v>
      </c>
      <c r="F2633">
        <f>HYPERLINK("https://www.reddit.com/r/diabetes/comments/5fcvg1/when_do_split_insulin_bolus_when_eating_food_i/")</f>
        <v/>
      </c>
      <c r="G2633" t="inlineStr">
        <is>
          <t>2016-11-28 09:21:20</t>
        </is>
      </c>
      <c r="H2633" t="inlineStr">
        <is>
          <t>Type 1</t>
        </is>
      </c>
    </row>
    <row r="2634">
      <c r="A2634" t="inlineStr">
        <is>
          <t>5fdn79</t>
        </is>
      </c>
      <c r="B2634" t="inlineStr">
        <is>
          <t>Seasonal sensitivity?</t>
        </is>
      </c>
      <c r="C2634" t="inlineStr">
        <is>
          <t>I've been reading a few articles about average A1C levels creeping up during colder months. Oddly enough I have noticed that since the cold weather has moved into my neighborhood, I have struggled to keep my numbers where they were over the Spring/Summer. I am probably going to have to up my basal, when I had drastically cut it back around April of this year.
From the articles there may be some sort of evolutionary trait involved that increases insulin sensitivity during colder periods. It kind of makes sense, but I would love to hear if anyone else has noticed anything similar, either scientifically or just anecdotally.
ETA - I am still eating the same amount of calories and carbs per day, so this isn't an eating/ratio situation.</t>
        </is>
      </c>
      <c r="D2634" t="n">
        <v>3</v>
      </c>
      <c r="E2634" t="n">
        <v>10</v>
      </c>
      <c r="F2634">
        <f>HYPERLINK("https://www.reddit.com/r/diabetes/comments/5fdn79/seasonal_sensitivity/")</f>
        <v/>
      </c>
      <c r="G2634" t="inlineStr">
        <is>
          <t>2016-11-28 11:27:00</t>
        </is>
      </c>
      <c r="H2634" t="inlineStr">
        <is>
          <t>Type 1</t>
        </is>
      </c>
    </row>
    <row r="2635">
      <c r="A2635" t="inlineStr">
        <is>
          <t>5fgwfq</t>
        </is>
      </c>
      <c r="B2635" t="inlineStr">
        <is>
          <t>Any advice for T2 boyfriend with swollen legs?</t>
        </is>
      </c>
      <c r="C2635" t="inlineStr">
        <is>
          <t xml:space="preserve">Hi r/diabetes,
I've been lurking for a long time around here. I am trying to educate myself and help my type 2 boyfriend with some tips and advice from all of your experiences. I'm posting because I'm kind of at a loss of what to do... I'm hoping someone can give us some advice on how to address swelling in the legs or your opinion on what we should do given our current situation. My boyfriend has been dealing with swelling in his legs for about 1.5 months and it has gotten to the point where he feels the liquid is in his knees. He is currently taking Metformin 1,000 MG x 2 a day, Lisinopril 20MG x 1 a day, Furosemide 20MG x 1 a day. He was diagnosed as T2 about 2 years ago.
It's quite a doozy how we think it all began, but if you'll bear with me, here's all the background info. Around late March, he started having coughs when he was coming home from work at night and when the weather was cold (which happens quite a bit because we live in a foggy city). He went to visit his doctor, but another doctor (Doc 1) saw him instead and he was given QVAR 80MCG 1 puff 2 x a day. He was still having the same symptoms, so he went for another doctor's visit (Doc 2) and was given a rescue inhaler, Benzonatate 100mg 3 x a day, and Omeprazole (antacid). 
Eventually, he became feverish and he would cough up blood in the mornings and he would sometimes throw up after meals or in the mornings. Doc 3 thought he had pnemonia, so after xrays, Doc 3 prescribed some antibiotics and Doc 4 gave him cough syrup to help alleviate night coughs. The antibiotics seemed to work, but after a week of finishing his dosage, he started having the same symptoms again. He was finally able to see his main doc, who gave him another round of antibiotics, and after finishing the second round, he had the same symptoms again. His doc said that after being on 2 rounds of antibiotics, the supposed pneumonia shouldn't be around anymore. He was referred to a lung specialist, who said that he was coughing up stomach acid into his lungs. The lung specialist also figured out that my boyfriend was ordering out for the 2-3 months when he was sick, which caused him to overeat and his blood sugar to spike. Thus, the lung specialist told him to eat smaller meals and told him to continue to take antacid. His symptoms started to improve after eating much less every meal because he was able to sleep through the night without coughing and throwing up was less of an issue.
About a 1.5 weeks after his improvements (last month), his legs started to look puffy after waking up. He scheduled a phone appointment and was told the swelling in his legs is a side effect of diabetes and that elevating them would improve the swelling. The swelling did not go down very much, so he went in for a visit with his main doctor, who prescribed him 1)  Lisinopril 5MG x 1 a day, and 2) Furosemide 20MG x 1 a day.  His doctor also told him to exercise, eat less sodium, and elevate his legs. It was probably too late of me to start, but after hearing about this, I helped him make dinner (just meat and veggies with little to no salt) on the weekend so he could heat it up on the weekdays after work. His blood sugar numbers have also started to improve after starting this (135-140 when testing after waking up). This has helped encourage him to prepare his weekly dinners if I'm unable to help him. He tries to exercise, but he has thrown up while exercising, which has discouraged him... If anyone has any advice on exercises he can do, please feel free to let me know!
However, the swelling in his legs hasn't really gone down. He went to visit his doctor last week because he was concerned about the slight discoloration in his skin and was worried it was an infection. His doctor said it was due to all the water in his skin and legs, and gave him Lisinopril 20MG x 1 a day. Initially, the Furosemide made him pee a lot, but when he takes it now, he doesn't feel the need to pee as much. As I stated earlier, he says he feels like the liquid is going into his knees, which is worrying him. He says sometimes when he wakes up, he feels like gagging, but that also coincides with coughing up blood. He is able to sleep now, except sometimes the pain in his legs prevents him from sleeping comfortably. He says his shins are always sensitive and the slightest touch hurts. He also said his inner thighs are sore, but they feel fine when they're swollen. He sleeps with his legs elevated via 3 pillows (to alleviate leg swelling) and his head is elevated with 2 pillows (to prevent the stomach acid from traveling up his throat). 
Is there anything we can do? Thank you for taking the time to read this! </t>
        </is>
      </c>
      <c r="D2635" t="n">
        <v>2</v>
      </c>
      <c r="E2635" t="n">
        <v>11</v>
      </c>
      <c r="F2635">
        <f>HYPERLINK("https://www.reddit.com/r/diabetes/comments/5fgwfq/any_advice_for_t2_boyfriend_with_swollen_legs/")</f>
        <v/>
      </c>
      <c r="G2635" t="inlineStr">
        <is>
          <t>2016-11-28 21:27:51</t>
        </is>
      </c>
      <c r="H2635" t="inlineStr">
        <is>
          <t>Type 2</t>
        </is>
      </c>
    </row>
    <row r="2636">
      <c r="A2636" t="inlineStr">
        <is>
          <t>5fn5d4</t>
        </is>
      </c>
      <c r="B2636" t="inlineStr">
        <is>
          <t>Longest living T1 Diabetic?</t>
        </is>
      </c>
      <c r="C2636" t="inlineStr">
        <is>
          <t>As I grow older and realize that I've had T1 for 34 years, I start to wonder if T1 will shorten my life at all in my later years? Does anyone know of actual folks who have lived their whole lives with T1 into very old age?
Meaning, any cases of a juvenile diabetic getting diagnosed at say 10 years old, living to 90+ years old?
EDIT: Wow an honest question and I'm getting down voted?</t>
        </is>
      </c>
      <c r="D2636" t="n">
        <v>37</v>
      </c>
      <c r="E2636" t="n">
        <v>26</v>
      </c>
      <c r="F2636">
        <f>HYPERLINK("https://www.reddit.com/r/diabetes/comments/5fn5d4/longest_living_t1_diabetic/")</f>
        <v/>
      </c>
      <c r="G2636" t="inlineStr">
        <is>
          <t>2016-11-29 18:53:23</t>
        </is>
      </c>
      <c r="H2636" t="inlineStr">
        <is>
          <t>Type 1</t>
        </is>
      </c>
    </row>
    <row r="2637">
      <c r="A2637" t="inlineStr">
        <is>
          <t>5fq2t7</t>
        </is>
      </c>
      <c r="B2637" t="inlineStr">
        <is>
          <t>My School and T1 Diabetes...</t>
        </is>
      </c>
      <c r="C2637" t="inlineStr">
        <is>
          <t>I'm 14 and was diagnosed with type 1 diabetes in September. 
Apart from my Mum letting them know that I now have diabetes my school has never really done anything differently towards me until today..
I always just had my glucose meter and insulin ect in my bag and would do everything myself whenever I needed to but today for some reason my guidance teacher took me out of class and said that I now need to do all my blood tests and injections in the medical room and show the nurse what I'm doing.
I asked her why and she said it's to "make sure I'm doing everything properly" I don't know why it's suddenly changed and I don't really feel comfortable doing blood tests and injections in front of an adult watching me. 
I don't think my Mum has said anything to the school and my control with diabetes has been ok since I'm only less than 3 months in and still getting used to it but I've never had any bad hypos or highs. 
It's just embarrasing and annoying that they are suddenly treating me like im much younger. Does anyone know what I should do?
**EDIT**: Thanks for all the replies &amp;lt;3 I'm definately going to say no, My mum said shes going to phone the school and my diabetes team tomorrow so they can tell the school that I need to have my stuff with me all the time.</t>
        </is>
      </c>
      <c r="D2637" t="n">
        <v>47</v>
      </c>
      <c r="E2637" t="n">
        <v>85</v>
      </c>
      <c r="F2637">
        <f>HYPERLINK("https://www.reddit.com/r/diabetes/comments/5fq2t7/my_school_and_t1_diabetes/")</f>
        <v/>
      </c>
      <c r="G2637" t="inlineStr">
        <is>
          <t>2016-11-30 07:09:59</t>
        </is>
      </c>
      <c r="H2637" t="inlineStr">
        <is>
          <t>Type 1</t>
        </is>
      </c>
    </row>
    <row r="2638">
      <c r="A2638" t="inlineStr">
        <is>
          <t>5fqc5q</t>
        </is>
      </c>
      <c r="B2638" t="inlineStr">
        <is>
          <t>10 years and still going!</t>
        </is>
      </c>
      <c r="C2638" t="inlineStr">
        <is>
          <t>Hey r/diabetes! Today is my 10 year diagnosis anniversary! Hooray me! Things are good over here and I hope they're well with you all, as well.
Just a little reminder that you can live with this condition. You do have to adjust your lifestyle a bit, but you can be completely normal and life a long, otherwise healthy life. Don't give up and if you ever need someone to complain, bitch, moan, or groan to, just PM me! 
Hope your day goes well!</t>
        </is>
      </c>
      <c r="D2638" t="n">
        <v>12</v>
      </c>
      <c r="E2638" t="n">
        <v>6</v>
      </c>
      <c r="F2638">
        <f>HYPERLINK("https://www.reddit.com/r/diabetes/comments/5fqc5q/10_years_and_still_going/")</f>
        <v/>
      </c>
      <c r="G2638" t="inlineStr">
        <is>
          <t>2016-11-30 07:57:53</t>
        </is>
      </c>
      <c r="H2638" t="inlineStr">
        <is>
          <t>Type 1</t>
        </is>
      </c>
    </row>
    <row r="2639">
      <c r="A2639" t="inlineStr">
        <is>
          <t>5fvjlv</t>
        </is>
      </c>
      <c r="B2639" t="inlineStr">
        <is>
          <t>Question about lows</t>
        </is>
      </c>
      <c r="C2639" t="inlineStr">
        <is>
          <t>If I eat 50 grams of carbohydrates to a low, and afterwards inject fully to it, will I be fine? Will I go low again?</t>
        </is>
      </c>
      <c r="D2639" t="n">
        <v>1</v>
      </c>
      <c r="E2639" t="n">
        <v>6</v>
      </c>
      <c r="F2639">
        <f>HYPERLINK("https://www.reddit.com/r/diabetes/comments/5fvjlv/question_about_lows/")</f>
        <v/>
      </c>
      <c r="G2639" t="inlineStr">
        <is>
          <t>2016-12-01 00:33:05</t>
        </is>
      </c>
      <c r="H2639" t="inlineStr">
        <is>
          <t>Type 1</t>
        </is>
      </c>
    </row>
    <row r="2640">
      <c r="A2640" t="inlineStr">
        <is>
          <t>5fy6u0</t>
        </is>
      </c>
      <c r="B2640" t="inlineStr">
        <is>
          <t>One of those days (High BG)</t>
        </is>
      </c>
      <c r="C2640" t="inlineStr">
        <is>
          <t>So I went to bed Tuesday night with blood sugar of 170 and bolused a normal correction, but woke up yesterday at 290. That can't be right, so I washed my hands and tested again -- 290 exactly. Okay then, not sure why I skyrocketed overnight but I bolused for correction and my breakfast, waited 30 minutes to eat, felt fine and tested 2 hours after my meal -- 279. What the fuck? I basically haven't come down at all! At lunch I was 244, after lunch 241, after work 213, bolused and went for a walk which ALWAYS makes me more sensitive to my insulin, came home and had dinner -- 231. Seriously, what. the. fuck. It's like I haven't given correction all fucking day! Maybe I'm getting sick? I feel fine, but maybe my body is dumping sugar because I'm fighting a bug. 
I finally came down to 141 after dinner last night, but was back up to 152 at bed so I gave a full correction dose and increased my basal by 0.1u/hr overnight. This morning I woke up at 294. I increased my basal by 0.3u/hr for today and after breakfast I was 180, so at least it seems to be helping some. 
I had put a post on Instagram but decided the audience there wouldn't really understand and I am not looking for pity, just some understanding that some days there's no apparent reason for your blood sugar levels.</t>
        </is>
      </c>
      <c r="D2640" t="n">
        <v>10</v>
      </c>
      <c r="E2640" t="n">
        <v>25</v>
      </c>
      <c r="F2640">
        <f>HYPERLINK("https://www.reddit.com/r/diabetes/comments/5fy6u0/one_of_those_days_high_bg/")</f>
        <v/>
      </c>
      <c r="G2640" t="inlineStr">
        <is>
          <t>2016-12-01 10:24:50</t>
        </is>
      </c>
      <c r="H2640" t="inlineStr">
        <is>
          <t>Type 1</t>
        </is>
      </c>
    </row>
    <row r="2641">
      <c r="A2641" t="inlineStr">
        <is>
          <t>5fyhnq</t>
        </is>
      </c>
      <c r="B2641" t="inlineStr">
        <is>
          <t>I think my doctor intentionally misdiagnosed me with diabetes?</t>
        </is>
      </c>
      <c r="C2641" t="inlineStr">
        <is>
          <t>I'm 5'3", 102 pounds, no family history of diabetes. I went in to the endocrinologist because I have a small pituitary tumor and she wants me tested every three months to see if it gets worse. At the last appointment I had, she told me I had "severe insulin resistance... type 2 diabetes." and gave me a bunch of recommendations of what to eat and said we were going to start discussing insulin soon. I figured I must've had some off-the-charts score, since no doctor had mentioned it to me before.
After fighting with her to get my blood test results since I never got a copy sent to me in the mail, three months later, I found out my A1C was actually 5.6 at that appointment. Before that, it was 5.4 with "no signs of diabetes at all," according to my internist.
What gives? From what I'm reading, the cutoff for even prediabetes is 5.7. Was she just trying to scare me into different eatings habits or to try to get more business? Is this ethical?</t>
        </is>
      </c>
      <c r="D2641" t="n">
        <v>1</v>
      </c>
      <c r="E2641" t="n">
        <v>11</v>
      </c>
      <c r="F2641">
        <f>HYPERLINK("https://www.reddit.com/r/diabetes/comments/5fyhnq/i_think_my_doctor_intentionally_misdiagnosed_me/")</f>
        <v/>
      </c>
      <c r="G2641" t="inlineStr">
        <is>
          <t>2016-12-01 11:14:26</t>
        </is>
      </c>
      <c r="H2641" t="inlineStr">
        <is>
          <t>Type 2</t>
        </is>
      </c>
    </row>
    <row r="2642">
      <c r="A2642" t="inlineStr">
        <is>
          <t>5fzeaa</t>
        </is>
      </c>
      <c r="B2642" t="inlineStr">
        <is>
          <t>Blood sugar level of 215 at 25</t>
        </is>
      </c>
      <c r="C2642" t="inlineStr">
        <is>
          <t xml:space="preserve">I randomly asked one of the nurses at work to check my blood sugar and got readings of 215, and 216. I ate what a burger around 1 hour ago but I know m readings are much higher than I ever expected. From my understanding this should be considered diabetic. I was wondering what I should do to lower this or prevent any complications. Would I be able to reverse this diagnosis? 
Update: I went to my clinic to look at old blood work files and to confirm a A1c test was performed. It was with normal results, this was done on October 6. Would there be any other reasons why my blood sugar would be that high at the moment?  </t>
        </is>
      </c>
      <c r="D2642" t="n">
        <v>0</v>
      </c>
      <c r="E2642" t="n">
        <v>22</v>
      </c>
      <c r="F2642">
        <f>HYPERLINK("https://www.reddit.com/r/diabetes/comments/5fzeaa/blood_sugar_level_of_215_at_25/")</f>
        <v/>
      </c>
      <c r="G2642" t="inlineStr">
        <is>
          <t>2016-12-01 13:45:35</t>
        </is>
      </c>
      <c r="H2642" t="inlineStr">
        <is>
          <t>Type 2</t>
        </is>
      </c>
    </row>
    <row r="2643">
      <c r="A2643" t="inlineStr">
        <is>
          <t>5fzfdn</t>
        </is>
      </c>
      <c r="B2643" t="inlineStr">
        <is>
          <t>Update about my school and T1 Diabetes RANT -.-</t>
        </is>
      </c>
      <c r="C2643" t="inlineStr">
        <is>
          <t>I made this post yesterday
https://www.reddit.com/r/diabetes/comments/5fq2t7/my_school_and_t1_diabetes/
Today my Mum came in with me and we talked to my head of year about it....they said its a health and safety thing that im not allowed to have needles on me at school. 
When I tried to explain it he just said I'll always be allowed out of class whenever i need to do anything but im still annoyed as fuck. 
The worst thing is that my Mum just accepted what he said and just told me to go along with it -.- so now whenever I need to test my blood or inject insulin I need to go half way across the school to the medical room. 
My mum has already given them a bunch of supplies and glucose meter to keep at school but I'm probably just going to take my own stuff from home and not go to the medical room. Or just make myself hypo to let them see how serious it is.</t>
        </is>
      </c>
      <c r="D2643" t="n">
        <v>8</v>
      </c>
      <c r="E2643" t="n">
        <v>31</v>
      </c>
      <c r="F2643">
        <f>HYPERLINK("https://www.reddit.com/r/diabetes/comments/5fzfdn/update_about_my_school_and_t1_diabetes_rant/")</f>
        <v/>
      </c>
      <c r="G2643" t="inlineStr">
        <is>
          <t>2016-12-01 13:50:51</t>
        </is>
      </c>
      <c r="H2643" t="inlineStr">
        <is>
          <t>Type 1</t>
        </is>
      </c>
    </row>
    <row r="2644">
      <c r="A2644" t="inlineStr">
        <is>
          <t>5fzztq</t>
        </is>
      </c>
      <c r="B2644" t="inlineStr">
        <is>
          <t>Has anyone tried a 3-day juice cleanse as a T1?</t>
        </is>
      </c>
      <c r="C2644" t="inlineStr">
        <is>
          <t>I want to have a go at a 3-day juice cleanse, the idea being you drink 5 fruit or vegetable juices a day, with as much water and green tea as you like, and that's it!
I plan to just carb count as normal when drinking them, however has anyone had any weird highs or lows simply because of the very low calorie intake and big change in diet?</t>
        </is>
      </c>
      <c r="D2644" t="n">
        <v>0</v>
      </c>
      <c r="E2644" t="n">
        <v>6</v>
      </c>
      <c r="F2644">
        <f>HYPERLINK("https://www.reddit.com/r/diabetes/comments/5fzztq/has_anyone_tried_a_3day_juice_cleanse_as_a_t1/")</f>
        <v/>
      </c>
      <c r="G2644" t="inlineStr">
        <is>
          <t>2016-12-01 15:30:30</t>
        </is>
      </c>
      <c r="H2644" t="inlineStr">
        <is>
          <t>Type 1</t>
        </is>
      </c>
    </row>
    <row r="2645">
      <c r="A2645" t="inlineStr">
        <is>
          <t>5g0775</t>
        </is>
      </c>
      <c r="B2645" t="inlineStr">
        <is>
          <t>Good news! Finally!!</t>
        </is>
      </c>
      <c r="C2645" t="inlineStr">
        <is>
          <t>As a relatively uncontrolled type 1 going through a burnout, I think my life just changed. I know it needs to be calibrated twice a day, and that won't be an issue for me as I'm at at least 2 checks a day (from 0-1) I'm so excited. :) https://imgur.com/gallery/StsDu</t>
        </is>
      </c>
      <c r="D2645" t="n">
        <v>17</v>
      </c>
      <c r="E2645" t="n">
        <v>20</v>
      </c>
      <c r="F2645">
        <f>HYPERLINK("https://www.reddit.com/r/diabetes/comments/5g0775/good_news_finally/")</f>
        <v/>
      </c>
      <c r="G2645" t="inlineStr">
        <is>
          <t>2016-12-01 16:38:23</t>
        </is>
      </c>
      <c r="H2645" t="inlineStr">
        <is>
          <t>Type 1</t>
        </is>
      </c>
    </row>
    <row r="2646">
      <c r="A2646" t="inlineStr">
        <is>
          <t>5g5dsr</t>
        </is>
      </c>
      <c r="B2646" t="inlineStr">
        <is>
          <t>Monthly/yearly breakdown of your costs, for insurance battles</t>
        </is>
      </c>
      <c r="C2646" t="inlineStr">
        <is>
          <t>Alright T1D parents, or T1s yourselves, I need your input. 
Could you please, in as full detail as possible, let me know your supplies, the costs of those supplies, your regime, and basically a year in the life of you diabetes wise. Hubby and I are working with his HR department in upping the coverage his company gives to the employees, and the more data we have the better. How much do you spend per year (or per month if thats easier to break down for you) on pen needles, CGM supplies, pump supplies, insulin, lancets, test strips, everything. We are about to hopefully go from MDI and no CGM, to MDI with CGM, and we are anticipating a rise in costs for our insurance and out of pocket. Hubbys work wants to get the best coverage possible to help us the most, but they will need to prove the need.
For example, we are sitting at about 3200-3500 per year for costs. We use roughly 200 strips per month, and my 45 lb 5 year old uses a pen vial of insulin per month of both levemir and novorapid. We get one glucagon per year, and have not used one yet. We get ketone blood strips once or twice a year. Please specify as much as you are comfortable with.  We want to arm our HR rep with AS MUCH information as humanly possible about the realistic day to day costs of this disease so that she has a lot of information to give to their insurance reps so that we can up our coverage to be a lot more specific to our needs. THANK YOU
For specifics, I am in Edmonton, Canada.   We are with Equitable Life for our insurance.</t>
        </is>
      </c>
      <c r="D2646" t="n">
        <v>4</v>
      </c>
      <c r="E2646" t="n">
        <v>5</v>
      </c>
      <c r="F2646">
        <f>HYPERLINK("https://www.reddit.com/r/diabetes/comments/5g5dsr/monthlyyearly_breakdown_of_your_costs_for/")</f>
        <v/>
      </c>
      <c r="G2646" t="inlineStr">
        <is>
          <t>2016-12-02 11:58:33</t>
        </is>
      </c>
      <c r="H2646" t="inlineStr">
        <is>
          <t>Type 1</t>
        </is>
      </c>
    </row>
    <row r="2647">
      <c r="A2647" t="inlineStr">
        <is>
          <t>5g5fkl</t>
        </is>
      </c>
      <c r="B2647" t="inlineStr">
        <is>
          <t>Rough day, stress had made my sugars sky-high</t>
        </is>
      </c>
      <c r="C2647" t="inlineStr">
        <is>
          <t>I live in a big city with a very crappy subway system. For the past week, they've been doing work on the line I use, which has doubled my travel time. Today was the worst yet, with over an hour stuck on the subway, when it usually takes 20 minutes.
I woke up with low blood sugar today, and treated. Took some extra insulin to cover the juice I drank, plus insulin for breakfast. Then on the subway, my CGM kept alarming that I was rising fast and then was high. I guess the stress made my sugar high, because the next thing I knew, I was at 18 mmol/l!! I very rarely get that high! Got to work and did a big correction... which then sent me plummeting low. Fixed that, ate lunch, and seem to have leveled off around 9.0 mmol/l. But now I've got the headache I get when my sugars swing wildly, and I feel like crap.
I already knew stress makes my sugar high, but nothing like this!!</t>
        </is>
      </c>
      <c r="D2647" t="n">
        <v>1</v>
      </c>
      <c r="E2647" t="n">
        <v>6</v>
      </c>
      <c r="F2647">
        <f>HYPERLINK("https://www.reddit.com/r/diabetes/comments/5g5fkl/rough_day_stress_had_made_my_sugars_skyhigh/")</f>
        <v/>
      </c>
      <c r="G2647" t="inlineStr">
        <is>
          <t>2016-12-02 12:06:58</t>
        </is>
      </c>
      <c r="H2647" t="inlineStr">
        <is>
          <t>Type 1</t>
        </is>
      </c>
    </row>
    <row r="2648">
      <c r="A2648" t="inlineStr">
        <is>
          <t>5g5gt6</t>
        </is>
      </c>
      <c r="B2648" t="inlineStr">
        <is>
          <t>Issues with Omnipod. Looking for advice</t>
        </is>
      </c>
      <c r="C2648" t="inlineStr">
        <is>
          <t>I've been using Omnipod for a year now and only recently noticed that they don't seem to be working very well anymore. So much to the point that I'm considering trying shots even though I haven't done that in over 10 years and don't remember much of what it involves because I was just a kid then (I used a Medtronic pump for a long time before Omnipod).
Anyway, I keep having to change the pods after only a day or two because they hurt so much and bleed and it's obvious I'm not absorbing all the insulin I need.
Just this past week I've already gone through 6 pods! I've also been breaking out with terrible hives this past week which could maybe be from the pods? The hives always start from where the pod is located and then spread everywhere on my body, oddly only at night though. This hasn't happened previously though so it doesn't make much sense to be doing it now.
Does anyone have any tips on where I can put my pods/what I can do so they won't hurt and bleed all the time? I'm getting so frustrated. I put them on my legs, thighs, stomach, and back. Pretty much everywhere I can think of. I don't use my arms because I save those for CGM. I also make sure to pinch the skin when I'm putting them on.
I only eat once or twice a day at the most (been doing IF and keto), so sometimes it seems easier to just get a couple shots a day and not have to worry about the pods being in correctly and hurting all the time.... Anyone have any thoughts or advice?
Thanks in advance!</t>
        </is>
      </c>
      <c r="D2648" t="n">
        <v>1</v>
      </c>
      <c r="E2648" t="n">
        <v>3</v>
      </c>
      <c r="F2648">
        <f>HYPERLINK("https://www.reddit.com/r/diabetes/comments/5g5gt6/issues_with_omnipod_looking_for_advice/")</f>
        <v/>
      </c>
      <c r="G2648" t="inlineStr">
        <is>
          <t>2016-12-02 12:13:09</t>
        </is>
      </c>
      <c r="H2648" t="inlineStr">
        <is>
          <t>Type 1</t>
        </is>
      </c>
    </row>
    <row r="2649">
      <c r="A2649" t="inlineStr">
        <is>
          <t>5g5zhc</t>
        </is>
      </c>
      <c r="B2649" t="inlineStr">
        <is>
          <t>Newly Diagnosed and Confused</t>
        </is>
      </c>
      <c r="C2649" t="inlineStr">
        <is>
          <t xml:space="preserve">I was diagnosed with T2 last week and I'm very confused. My dr's PA was the one who had the conversation with me. Maybe I was in daze with the news but I don't feel like I got much in terms of what to do now other than starting on Metformin and changing my activity level and eating habits, which I've started since learning I'm T2. 
I even asked the PA if she could give me any literature to read and she referred me to the ADA website. She told me nothing about testing my blood glucose daily and what those numbers mean, but I've been trying to sift through the plethora of information and do research on my own. 
With the Metformin, I didn't realize it until today but I am supposed to take 2000mg/day and I've been taking only 1000mg/day and I've been very nauseous and have experienced vomiting and diarrhea with only half of my recommended dosage. 
I usually feel nauseous and light-headed a few hours after taking the Metformin (I'm taking with breakfast and dinner). Today a couple of hours after taking my breakfast dose I felt light-headed again. I tested my blood glucose and it was 89 and my monitor had a sad face with some other indicators - an apple core, a stick figure walking, a pill... I took that to mean I need to eat, walk, or take medication, so I ate a half of a mulit-grain sandwich thin with almond butter and a glass of OJ and I felt better after awhile. 
Sorry for the long rant, but can anyone tell me what they used as a resource to understand their sugar levels, when to test, what to do with certain results?  Did you Dr. educate you or did you have to learn on your own with time. 
I just feel so overwhelmed and any advice is appreciated. </t>
        </is>
      </c>
      <c r="D2649" t="n">
        <v>4</v>
      </c>
      <c r="E2649" t="n">
        <v>17</v>
      </c>
      <c r="F2649">
        <f>HYPERLINK("https://www.reddit.com/r/diabetes/comments/5g5zhc/newly_diagnosed_and_confused/")</f>
        <v/>
      </c>
      <c r="G2649" t="inlineStr">
        <is>
          <t>2016-12-02 13:44:30</t>
        </is>
      </c>
      <c r="H2649" t="inlineStr">
        <is>
          <t>Type 2</t>
        </is>
      </c>
    </row>
    <row r="2650">
      <c r="A2650" t="inlineStr">
        <is>
          <t>5gbmop</t>
        </is>
      </c>
      <c r="B2650" t="inlineStr">
        <is>
          <t>[low-key win] 36 hours of fighting DKA and I've finally hit a low blood sugar.</t>
        </is>
      </c>
      <c r="C2650" t="inlineStr">
        <is>
          <t xml:space="preserve">My own mismanagement kicked it off; I had to take a day to take insulin and more insulin and more insulin and avoid drinking all the beverages in the house. But I did it, my blood sugars have been ~150 all morning, and finally just went to a low of 68. 
One of the things Diabetes has taught me is that a "win" is relative. Sometimes they are small and sometimes they are big. Sometimes Wednesday's fail is Saturday's win. Regardless, I'm the only one that gets to decide what a "win" looks like. And I can only win if I play the game and follow the rules. Gotta follow the rules. </t>
        </is>
      </c>
      <c r="D2650" t="n">
        <v>20</v>
      </c>
      <c r="E2650" t="n">
        <v>8</v>
      </c>
      <c r="F2650">
        <f>HYPERLINK("https://www.reddit.com/r/diabetes/comments/5gbmop/lowkey_win_36_hours_of_fighting_dka_and_ive/")</f>
        <v/>
      </c>
      <c r="G2650" t="inlineStr">
        <is>
          <t>2016-12-03 12:45:44</t>
        </is>
      </c>
      <c r="H2650" t="inlineStr">
        <is>
          <t>Type 1</t>
        </is>
      </c>
    </row>
    <row r="2651">
      <c r="A2651" t="inlineStr">
        <is>
          <t>5gjjas</t>
        </is>
      </c>
      <c r="B2651" t="inlineStr">
        <is>
          <t>Woke up surrounded by paramedics...</t>
        </is>
      </c>
      <c r="C2651" t="inlineStr">
        <is>
          <t>T1 here! Yesterday I woke up sitting on a living room couch sipping some orange juice surrounded by two paramedics and my family members. Apparently this how the story goes: when I didn't wake up to my alarm, my little sister tried waking me up by shaking and hitting me, but when I wouldn't come to, she realized that I may have been unconscious due to the diabetes. The paramedics + fire department were called, and I ended up starting my Saturday morning drinking a ton of orange juice spiked with glucose and questioning if I was still in a dream-state. (When I asked my sister why she didn't use the glucagon, she said she completely forgot due to the adrenaline and that she didn't know that she could use it. Since the incident I've given the full debrief to everyone in the house!)
According to the paramedics, my blood sugar was 43 when they came to my house. What's strange to me is that I've been in the 20s and 30s and perfectly conscious. Further, I can't help but wonder what would have happened if I was alone and didn't have anyone over to wake me up? I've woken up from low blood sugars before in a cold sweat, so I wonder if I would have been able to wake up this time around. Any thoughts on this?</t>
        </is>
      </c>
      <c r="D2651" t="n">
        <v>3</v>
      </c>
      <c r="E2651" t="n">
        <v>7</v>
      </c>
      <c r="F2651">
        <f>HYPERLINK("https://www.reddit.com/r/diabetes/comments/5gjjas/woke_up_surrounded_by_paramedics/")</f>
        <v/>
      </c>
      <c r="G2651" t="inlineStr">
        <is>
          <t>2016-12-04 19:00:43</t>
        </is>
      </c>
      <c r="H2651" t="inlineStr">
        <is>
          <t>Type 1</t>
        </is>
      </c>
    </row>
    <row r="2652">
      <c r="A2652" t="inlineStr">
        <is>
          <t>5glr8d</t>
        </is>
      </c>
      <c r="B2652" t="inlineStr">
        <is>
          <t>Really struggling with control</t>
        </is>
      </c>
      <c r="C2652" t="inlineStr">
        <is>
          <t xml:space="preserve">Hi guys, 
I didn't really want to admit this to anyone because I was hoping to manage it myself but I'm really struggling lately to control my blood sugars, and just put in the effort in general to look after myself. 
I am diagnosed with depression and anxiety at the moment which I'm on medication for but I'm still lacking that motivation to put in as much effort as I was before. I'm struggling to take both doses of my levimir (I split my dose in half AM and PM) and I don't want to test. The testing isn't because I can't be bothered, I am and always have been 'scared' of having bad results on my meter. (Which is ridiculous because I've told multiple people on this sub that there's no such thing as 'bad' numbers)
I don't even really know what I'm asking for anymore, but does anyone have any tips or tricks that they've used to kind of get themselves back into things at all? I have an appointment on the 21st and I really want to be back in control by then especially with christmas coming up and all the binge eating I have planned. 
tl;dr, struggling with control due to being scared of having 'bad' readings </t>
        </is>
      </c>
      <c r="D2652" t="n">
        <v>12</v>
      </c>
      <c r="E2652" t="n">
        <v>29</v>
      </c>
      <c r="F2652">
        <f>HYPERLINK("https://www.reddit.com/r/diabetes/comments/5glr8d/really_struggling_with_control/")</f>
        <v/>
      </c>
      <c r="G2652" t="inlineStr">
        <is>
          <t>2016-12-05 04:56:37</t>
        </is>
      </c>
      <c r="H2652" t="inlineStr">
        <is>
          <t>Type 1</t>
        </is>
      </c>
    </row>
    <row r="2653">
      <c r="A2653" t="inlineStr">
        <is>
          <t>5gno30</t>
        </is>
      </c>
      <c r="B2653" t="inlineStr">
        <is>
          <t>Looking for an android app to keep track of carbs and record blood sugar readings.</t>
        </is>
      </c>
      <c r="C2653" t="inlineStr">
        <is>
          <t xml:space="preserve">There seems to be so many apps, is there one that is really popular to use?  I'm just looking for something simple I can keep a record of on the go.  Thanks in advance.  </t>
        </is>
      </c>
      <c r="D2653" t="n">
        <v>5</v>
      </c>
      <c r="E2653" t="n">
        <v>15</v>
      </c>
      <c r="F2653">
        <f>HYPERLINK("https://www.reddit.com/r/diabetes/comments/5gno30/looking_for_an_android_app_to_keep_track_of_carbs/")</f>
        <v/>
      </c>
      <c r="G2653" t="inlineStr">
        <is>
          <t>2016-12-05 10:51:01</t>
        </is>
      </c>
      <c r="H2653" t="inlineStr">
        <is>
          <t>Type 2</t>
        </is>
      </c>
    </row>
    <row r="2654">
      <c r="A2654" t="inlineStr">
        <is>
          <t>5gob50</t>
        </is>
      </c>
      <c r="B2654" t="inlineStr">
        <is>
          <t>How does blood sugar affect blood pressure?</t>
        </is>
      </c>
      <c r="C2654" t="inlineStr">
        <is>
          <t>I had an appointment one of my doctors this morning and my blood pressure was much higher than my normal levels. I also had a good bit of caffeine before I went and last night's dinner had more sodium than I typically eat. I know these two factors played a role but I can't find any info on a correlation between high blood sugar and high blood pressure.
I'm thinking that with more solute (sugar, in this case) in the bloodstream, blood volume would be increased causing the pressure to be higher. Is there a definite relationship between the two?</t>
        </is>
      </c>
      <c r="D2654" t="n">
        <v>12</v>
      </c>
      <c r="E2654" t="n">
        <v>11</v>
      </c>
      <c r="F2654">
        <f>HYPERLINK("https://www.reddit.com/r/diabetes/comments/5gob50/how_does_blood_sugar_affect_blood_pressure/")</f>
        <v/>
      </c>
      <c r="G2654" t="inlineStr">
        <is>
          <t>2016-12-05 12:34:01</t>
        </is>
      </c>
      <c r="H2654" t="inlineStr">
        <is>
          <t>Type 1</t>
        </is>
      </c>
    </row>
    <row r="2655">
      <c r="A2655" t="inlineStr">
        <is>
          <t>5gp4pz</t>
        </is>
      </c>
      <c r="B2655" t="inlineStr">
        <is>
          <t>Birth control and type 1 diabetes</t>
        </is>
      </c>
      <c r="C2655" t="inlineStr">
        <is>
          <t xml:space="preserve">I'm looking to try some sort of birth control method because my periods are awful and in my 3 years of type 1 it seems like my blood sugar goes kinda bonkers around that time of the month. Now that I've been with my bf for a year and a half I have decided that'd be a good idea. Went to Planned parenthood and forgot to ask about if the NP had any patients with type 1 and how bc worked for them.  Nexplanon seems very reasonable though and I'm curious about it and not finding much on how it affects blood sugar.
If you're a type 1 on bc, what works for you? Has anyone tried nexplanon here? I'm not in for stories as much as how much will it affect my blood sugar... </t>
        </is>
      </c>
      <c r="D2655" t="n">
        <v>2</v>
      </c>
      <c r="E2655" t="n">
        <v>32</v>
      </c>
      <c r="F2655">
        <f>HYPERLINK("https://www.reddit.com/r/diabetes/comments/5gp4pz/birth_control_and_type_1_diabetes/")</f>
        <v/>
      </c>
      <c r="G2655" t="inlineStr">
        <is>
          <t>2016-12-05 14:51:19</t>
        </is>
      </c>
      <c r="H2655" t="inlineStr">
        <is>
          <t>Type 1</t>
        </is>
      </c>
    </row>
    <row r="2656">
      <c r="A2656" t="inlineStr">
        <is>
          <t>5gpfj2</t>
        </is>
      </c>
      <c r="B2656" t="inlineStr">
        <is>
          <t>Can a Type 2 be Vegan without insulin?</t>
        </is>
      </c>
      <c r="C2656" t="inlineStr">
        <is>
          <t>SO tittle pretty much explains it all, but im t2, I dont take any form of insulin or Metformin or anything and pretty much just eat a strict diet and exercise. My sugar levels stay relatively normal unless I do something stupid and then end up feeling wrecked for 2-3 days before i get back on track. 
So my strategy has always been zero carb keto, things like string cheeze salad, chicken, eggs etc and the like. High protein low cab stuff.
Well, Im wanting to know if its possible and if anyone has tried to live a vegan or vegetarian lifestyle and how it affects your sugar levels? Are they able to stay pretty normal or do you fluctuate wildly? 
I ask this because some things send me through the roof when they shouldn't and other things that should dont effect me in the slightest and I would really like to adopt a vegan lifestyle if possible but want to do my research first to know what to expect rather then "Just try it" and end up sick as hell.
Advice?</t>
        </is>
      </c>
      <c r="D2656" t="n">
        <v>12</v>
      </c>
      <c r="E2656" t="n">
        <v>45</v>
      </c>
      <c r="F2656">
        <f>HYPERLINK("https://www.reddit.com/r/diabetes/comments/5gpfj2/can_a_type_2_be_vegan_without_insulin/")</f>
        <v/>
      </c>
      <c r="G2656" t="inlineStr">
        <is>
          <t>2016-12-05 15:44:33</t>
        </is>
      </c>
      <c r="H2656" t="inlineStr">
        <is>
          <t>Type 2</t>
        </is>
      </c>
    </row>
    <row r="2657">
      <c r="A2657" t="inlineStr">
        <is>
          <t>5gqqhe</t>
        </is>
      </c>
      <c r="B2657" t="inlineStr">
        <is>
          <t>I need to drink more water but my blood sugar keeps getting too low...</t>
        </is>
      </c>
      <c r="C2657" t="inlineStr">
        <is>
          <t>The problem is I have blood clots when I go to do my blood work so it's very hard for them to draw any blood. They always talk about how I just need to hydrate and drink more water. So I took their advice and now I've been drinking water like crazy for the past few months. Problem is if I drink too much water my blood sugar goes down. Way down. 
Today when I was at work one of the guys asked if I was feeling ok and when I asked why he said because the back of your shirt is drenched in sweat and you look weird. I was feeling nauseous and light headed so I took my sugar test and I was down to about 30. I immediately left and went to eat something and was feeling better within the hour. But this is constantly. I drink too much water and all of the sudden I'm feeling light headed with my blood sugar dangerously low. How do you drink more water without making your blood sugar drop like crazy?</t>
        </is>
      </c>
      <c r="D2657" t="n">
        <v>9</v>
      </c>
      <c r="E2657" t="n">
        <v>21</v>
      </c>
      <c r="F2657">
        <f>HYPERLINK("https://www.reddit.com/r/diabetes/comments/5gqqhe/i_need_to_drink_more_water_but_my_blood_sugar/")</f>
        <v/>
      </c>
      <c r="G2657" t="inlineStr">
        <is>
          <t>2016-12-05 19:57:53</t>
        </is>
      </c>
      <c r="H2657" t="inlineStr">
        <is>
          <t>Type 2</t>
        </is>
      </c>
    </row>
    <row r="2658">
      <c r="A2658" t="inlineStr">
        <is>
          <t>5gwg7d</t>
        </is>
      </c>
      <c r="B2658" t="inlineStr">
        <is>
          <t>Just diagnosed with Type 1 Diabetes Today, What do I Need to Know?</t>
        </is>
      </c>
      <c r="C2658" t="inlineStr">
        <is>
          <t>So..  I'm a 28 year old white male with normal BMI (5'9, 155 pounds) , and I was having trouble with frequent urination and feeling dehydrated even while drinking lots of water.  While I was home for Thanksgiving my mother convinced me to test my blood sugar levels (my dad is type 2 so he had the equipment), and my level was at 300 upon waking up in the morning.  I've since been testing and it has been consistently over 250 the last week reaching as high as 564, 2 hours after eating sweet and sour chicken.   I just got back from my doctor this morning.  Their diagnosis is I have Type 1 Diabetes. 
I generally eat pretty healthy, cut back on sugar, I go running 2 days a week, etc so other than: don't eat much sugar, don't eat much carbs, check your levels often and use insulin pens as i'm told to by my doctor, what else should I know about Type 1 Diabetes?  My insurance through my job seems like its going to cover the insulin pens and equipment, though i had to pay a rather high co-pay for the needles/pens ($60 for one, $35 for the other) dunno if that's normal?
Any advice, personal anecdotes, warnings, etc would be very helpful as I'm pretty frustrated by all of this.  I think this is the healthiest I've been diet wise, and yet at the same time, the unhealthiest I've ever been.
-cylon1</t>
        </is>
      </c>
      <c r="D2658" t="n">
        <v>14</v>
      </c>
      <c r="E2658" t="n">
        <v>51</v>
      </c>
      <c r="F2658">
        <f>HYPERLINK("https://www.reddit.com/r/diabetes/comments/5gwg7d/just_diagnosed_with_type_1_diabetes_today_what_do/")</f>
        <v/>
      </c>
      <c r="G2658" t="inlineStr">
        <is>
          <t>2016-12-06 15:50:17</t>
        </is>
      </c>
      <c r="H2658" t="inlineStr">
        <is>
          <t>Type 1</t>
        </is>
      </c>
    </row>
    <row r="2659">
      <c r="A2659" t="inlineStr">
        <is>
          <t>5h3438</t>
        </is>
      </c>
      <c r="B2659" t="inlineStr">
        <is>
          <t>T1 Diabetic of 25 years and have my first Diabetic Retinopathy treatment in 2 weeks. Really could use some insight....</t>
        </is>
      </c>
      <c r="C2659" t="inlineStr">
        <is>
          <t xml:space="preserve">About a year ago my eye doctor noticed my Diabetic Retinopathy was getting worse and put me on close watch (every 3 months). Long and short - Yesterday I received the bad news that the "risks" are starting to outweigh the "sacrifice" and scheduled me to come back in 2 weeks for my first session of Laser. 
For me I'm still trying to wrap my head around the whole emotional side of this but when I'm not, I'm having panic attacks about the procedure itself. I have always been very uneasy about eyes. I know it doesn't  make sense or it's not logical. But  trust me it's a sight to see when they are trying to dilate my eyes. I would love to hear from anyone who has gone through this. Specifically about the device that rests on the eye, what it feels like, etc. 
Additionally my doctor said that I can expect to lose some of my peripheral and color vision along with nightblindness. How noticeable is it? Will I be able to drive at night again? Is there anything else I should expect?
Edit: I really appreciate everyone's response and helping me get mentally prepared for the journey ahead. Stay Strong!
Update - To the future redditors looking up this procedure, IMO the anticipation was worse than the actual procedure itself. The most important take away - good control will prevent future procedures. </t>
        </is>
      </c>
      <c r="D2659" t="n">
        <v>9</v>
      </c>
      <c r="E2659" t="n">
        <v>19</v>
      </c>
      <c r="F2659">
        <f>HYPERLINK("https://www.reddit.com/r/diabetes/comments/5h3438/t1_diabetic_of_25_years_and_have_my_first/")</f>
        <v/>
      </c>
      <c r="G2659" t="inlineStr">
        <is>
          <t>2016-12-07 14:41:38</t>
        </is>
      </c>
      <c r="H2659" t="inlineStr">
        <is>
          <t>Type 1</t>
        </is>
      </c>
    </row>
    <row r="2660">
      <c r="A2660" t="inlineStr">
        <is>
          <t>5h6l6g</t>
        </is>
      </c>
      <c r="B2660" t="inlineStr">
        <is>
          <t>How many carbs per 100g does a product have to have make a difference?</t>
        </is>
      </c>
      <c r="C2660" t="inlineStr">
        <is>
          <t>Heyyo!
So I recently got diagnosed with T1 diabetes and as much as it sucks, I feel like I am already on the path to counting the carbs correctly or atleast close-to correctly and getting semi-used to it. 
**EDIT** After reading the comments as well as getting some useful feedback in the IRC chat, I will for now use percentages to calculate it. So bringing up an example :
Serving size: 7g
Carbs per 100g: 63g
Math: 7 * .63 = amount of carbs in a single piece of 7g
~~However, looking at a lot of packets, lets take chewing gum as an example, it says **67g carbohydrates per 100g** , and my question is then how you would go by calculating the amount of chewing gum you could "eat" before having to inject insulin and/or reach 10g carbohydrates?
While chewing gum isn't the best example as you don't consume many at a time, it still serves as an example for the question. Any answers appreciated.~~</t>
        </is>
      </c>
      <c r="D2660" t="n">
        <v>0</v>
      </c>
      <c r="E2660" t="n">
        <v>5</v>
      </c>
      <c r="F2660">
        <f>HYPERLINK("https://www.reddit.com/r/diabetes/comments/5h6l6g/how_many_carbs_per_100g_does_a_product_have_to/")</f>
        <v/>
      </c>
      <c r="G2660" t="inlineStr">
        <is>
          <t>2016-12-08 04:12:48</t>
        </is>
      </c>
      <c r="H2660" t="inlineStr">
        <is>
          <t>Type 1</t>
        </is>
      </c>
    </row>
    <row r="2661">
      <c r="A2661" t="inlineStr">
        <is>
          <t>5h6reu</t>
        </is>
      </c>
      <c r="B2661" t="inlineStr">
        <is>
          <t>Some days...</t>
        </is>
      </c>
      <c r="C2661" t="inlineStr">
        <is>
          <t xml:space="preserve">How is it possible that I was flat-lined around 80-90 all night long, then dropped a little around 4 am to ~65 (sensor alarming). I suspended basal for the next hour until I woke up. BG was 124 at that point, restarted basal, went to the gym and at 6am when I was home again I'm at 245? Some days I think there's no controlling this thing. </t>
        </is>
      </c>
      <c r="D2661" t="n">
        <v>19</v>
      </c>
      <c r="E2661" t="n">
        <v>11</v>
      </c>
      <c r="F2661">
        <f>HYPERLINK("https://www.reddit.com/r/diabetes/comments/5h6reu/some_days/")</f>
        <v/>
      </c>
      <c r="G2661" t="inlineStr">
        <is>
          <t>2016-12-08 04:58:25</t>
        </is>
      </c>
      <c r="H2661" t="inlineStr">
        <is>
          <t>Type 1</t>
        </is>
      </c>
    </row>
    <row r="2662">
      <c r="A2662" t="inlineStr">
        <is>
          <t>5h97cl</t>
        </is>
      </c>
      <c r="B2662" t="inlineStr">
        <is>
          <t>Second hand G4Plat/G5 receiver</t>
        </is>
      </c>
      <c r="C2662" t="inlineStr">
        <is>
          <t xml:space="preserve">Thinking of asking about going down the Dexcom G5 route when I next see my Endo.  I heard that even if you always plan on using the Iphone app they make you buy (or have to own) a receiver as backup.  So, even though I never plan to use it, i was wondering if I could find a compatible receiver second hand to not have to buy one new from Dexcom.  
I checked Ebay, no go.  I guess because it is illegal to sell based on what I have read when searching this forum.  MedWow has one, but want $600 for it.
Are there other sites that deal with medical equipment like this?  What do people do when they want equipment like this.  I get the illegal part for pumps, but receivers for a cgm seems a little odd to be restricted. </t>
        </is>
      </c>
      <c r="D2662" t="n">
        <v>1</v>
      </c>
      <c r="E2662" t="n">
        <v>6</v>
      </c>
      <c r="F2662">
        <f>HYPERLINK("https://www.reddit.com/r/diabetes/comments/5h97cl/second_hand_g4platg5_receiver/")</f>
        <v/>
      </c>
      <c r="G2662" t="inlineStr">
        <is>
          <t>2016-12-08 12:11:59</t>
        </is>
      </c>
      <c r="H2662" t="inlineStr">
        <is>
          <t>Type 1.5/LADA</t>
        </is>
      </c>
    </row>
    <row r="2663">
      <c r="A2663" t="inlineStr">
        <is>
          <t>5hfypl</t>
        </is>
      </c>
      <c r="B2663" t="inlineStr">
        <is>
          <t>So, I just got a letter that says Lantus is no longer covered.</t>
        </is>
      </c>
      <c r="C2663" t="inlineStr">
        <is>
          <t>I'm so fricken' angry about this. My transition to lantus was an absolute nightmare but it has worked perfectly for me for the last 10 years.
I do not want to transition again...
Has this happened to any of you? If so, what did you do?
There is no way I can pay full price for it. None.</t>
        </is>
      </c>
      <c r="D2663" t="n">
        <v>3</v>
      </c>
      <c r="E2663" t="n">
        <v>18</v>
      </c>
      <c r="F2663">
        <f>HYPERLINK("https://www.reddit.com/r/diabetes/comments/5hfypl/so_i_just_got_a_letter_that_says_lantus_is_no/")</f>
        <v/>
      </c>
      <c r="G2663" t="inlineStr">
        <is>
          <t>2016-12-09 12:03:40</t>
        </is>
      </c>
      <c r="H2663" t="inlineStr">
        <is>
          <t>Type 1</t>
        </is>
      </c>
    </row>
    <row r="2664">
      <c r="A2664" t="inlineStr">
        <is>
          <t>5hh2t6</t>
        </is>
      </c>
      <c r="B2664" t="inlineStr">
        <is>
          <t>Always tired.</t>
        </is>
      </c>
      <c r="C2664" t="inlineStr">
        <is>
          <t>I wake up with high blood sugar, so that tiredness is understandable. What's not is how the rest of the day I'm still fatigued. I'm wondering if it's solely connected to diabetes, or something else. Does anyone else have this problem, and have you found a solution?</t>
        </is>
      </c>
      <c r="D2664" t="n">
        <v>1</v>
      </c>
      <c r="E2664" t="n">
        <v>4</v>
      </c>
      <c r="F2664">
        <f>HYPERLINK("https://www.reddit.com/r/diabetes/comments/5hh2t6/always_tired/")</f>
        <v/>
      </c>
      <c r="G2664" t="inlineStr">
        <is>
          <t>2016-12-09 15:26:09</t>
        </is>
      </c>
      <c r="H2664" t="inlineStr">
        <is>
          <t>Type 1</t>
        </is>
      </c>
    </row>
    <row r="2665">
      <c r="A2665" t="inlineStr">
        <is>
          <t>5hi9lz</t>
        </is>
      </c>
      <c r="B2665" t="inlineStr">
        <is>
          <t>Experience with lows.</t>
        </is>
      </c>
      <c r="C2665" t="inlineStr">
        <is>
          <t>I am looking for someone with plenty of hypoglycemic experience. My glucose readings have typically been pretty high due to insulin resistence, but I've been recently put on metformin along with aspart I already used to take and the combo is actually quite effective. Now I feel that the main reason I cannot achieve good glycemic control is due to my hypoglycemia anxiety. Basically, as my insulin sensitivity is and will continue to increase for a while, I am constantly afraid of overdosing and what I end up doing is not injecting enough. So I started to wonder about what leeway in terms of overdosing (relative to the absolutely ideal bolus dose) there is.
I know of course that there are these articles on the internet where someone has tried to suicide by insulin OD and taken 900 or 3600 units, but have survived and quite comfortably in some scenarios. But I am not interested in that. I would like to know what overdose an adult male could handle that would possibly only result in very light hypoglycemia and wouldn't cause discomfort at all. Is it 1 or 2 units, or perhaps more (my TDD is 63U, by the way)? I would appreciate to hear about any relevant experiences.
The Wikipedia article on glycogen states that an adult person will store between 100 and 120g within the liver. Seeing as glycogen is mostly made up of glucose molecules, is it fair to assume that my body could handle an insulin overdose of about the amount that would be 80 or 90 divided by his/her carb ratio before the hepatic function is depleted in case of hypoglycemia?
Once again, any and all experiences that you would be willing to share will be highly appreciated.</t>
        </is>
      </c>
      <c r="D2665" t="n">
        <v>1</v>
      </c>
      <c r="E2665" t="n">
        <v>5</v>
      </c>
      <c r="F2665">
        <f>HYPERLINK("https://www.reddit.com/r/diabetes/comments/5hi9lz/experience_with_lows/")</f>
        <v/>
      </c>
      <c r="G2665" t="inlineStr">
        <is>
          <t>2016-12-09 19:50:05</t>
        </is>
      </c>
      <c r="H2665" t="inlineStr">
        <is>
          <t>Type 1</t>
        </is>
      </c>
    </row>
    <row r="2666">
      <c r="A2666" t="inlineStr">
        <is>
          <t>5hjne8</t>
        </is>
      </c>
      <c r="B2666" t="inlineStr">
        <is>
          <t>Which insulin pump do I get?</t>
        </is>
      </c>
      <c r="C2666" t="inlineStr">
        <is>
          <t>Currently looking at new insulin pumps, my nurse has sent me three to choose from but I have no idea which would be best. Options are:
Animas UK – Vibe pump  www.animascorp.co.uk
Medtronic – 640G pump www.medtronic-diabetes.co.uk
OmniPod – patch pump www.mylife-omnipod.com
I'm very tempted to go with Animas Vibe just because that's what I currently have, but if anyone has literally any experience using the other two then I'll take all the information I can get, especially if you think there's a reason why it's particularly better than the Animas Vibe.</t>
        </is>
      </c>
      <c r="D2666" t="n">
        <v>5</v>
      </c>
      <c r="E2666" t="n">
        <v>8</v>
      </c>
      <c r="F2666">
        <f>HYPERLINK("https://www.reddit.com/r/diabetes/comments/5hjne8/which_insulin_pump_do_i_get/")</f>
        <v/>
      </c>
      <c r="G2666" t="inlineStr">
        <is>
          <t>2016-12-10 02:58:05</t>
        </is>
      </c>
      <c r="H2666" t="inlineStr">
        <is>
          <t>Type 1</t>
        </is>
      </c>
    </row>
    <row r="2667">
      <c r="A2667" t="inlineStr">
        <is>
          <t>5hq6zk</t>
        </is>
      </c>
      <c r="B2667" t="inlineStr">
        <is>
          <t>Dosing when ill? (T1)</t>
        </is>
      </c>
      <c r="C2667" t="inlineStr">
        <is>
          <t xml:space="preserve">I'm making my way through a stubborn infection and hence needing more insulin than usual atm, and realised that I've never really been taught how to deal with it other than the fact that more insulin might be needed.. 
Are there any general guidelines for how much more insulin is needed when ill, or  about what to/not to eat to help keeping BG levels etc? </t>
        </is>
      </c>
      <c r="D2667" t="n">
        <v>5</v>
      </c>
      <c r="E2667" t="n">
        <v>7</v>
      </c>
      <c r="F2667">
        <f>HYPERLINK("https://www.reddit.com/r/diabetes/comments/5hq6zk/dosing_when_ill_t1/")</f>
        <v/>
      </c>
      <c r="G2667" t="inlineStr">
        <is>
          <t>2016-12-11 06:06:58</t>
        </is>
      </c>
      <c r="H2667" t="inlineStr">
        <is>
          <t>Type 1</t>
        </is>
      </c>
    </row>
    <row r="2668">
      <c r="A2668" t="inlineStr">
        <is>
          <t>5hr9ib</t>
        </is>
      </c>
      <c r="B2668" t="inlineStr">
        <is>
          <t>I have a question my doctor couldn't help me with...</t>
        </is>
      </c>
      <c r="C2668" t="inlineStr">
        <is>
          <t>...so I'm hoping some one here can maybe shed some light on a possible answer.
Two months ago, I got two serious viral infections and a week after the second one cleared up, I thought I got into round three, but it was the start of my diabetic journey. They have tested me for anti-bodies, which i was negative for, so at the moment I'm considered just type II not a late type I. Now, up until about April this year, I was eating pretty clean, doing alot of gym, then got really sick, so they did a few tests on me, one of them being fasting glucose and Hba1c, my fasting was 4.2 (75.6) and my Hba1c was at about 5.2 %. After this, I hit a few hurdles in life, my gym fell to the side, got under a lot of stress , my eating was less clean but not really what I would consider very bad, what the hell happened in five months? I'm still new to all of this, so please forgive me if my question is ignorant, but it just seems insane that my body just gave up on insulin in five months mainly due to stress and a couple viral infections?
Just for information sake, I'm 35, HIV-free, non drinker for almost six years, ex-smoker for a year, and have a pre-existing auto-immune disease called Sjogrens syndrome. - Im currently on one 500 mg glucophage XR a day, but they are wanting to alternate on/off days because I've been dropping low.
*edit - thank you to everyone who has replied so far, lots of encouragement and information I was ignorant about, I really appreciate it.</t>
        </is>
      </c>
      <c r="D2668" t="n">
        <v>3</v>
      </c>
      <c r="E2668" t="n">
        <v>17</v>
      </c>
      <c r="F2668">
        <f>HYPERLINK("https://www.reddit.com/r/diabetes/comments/5hr9ib/i_have_a_question_my_doctor_couldnt_help_me_with/")</f>
        <v/>
      </c>
      <c r="G2668" t="inlineStr">
        <is>
          <t>2016-12-11 09:48:43</t>
        </is>
      </c>
      <c r="H2668" t="inlineStr">
        <is>
          <t>Type 2</t>
        </is>
      </c>
    </row>
    <row r="2669">
      <c r="A2669" t="inlineStr">
        <is>
          <t>5hs5y3</t>
        </is>
      </c>
      <c r="B2669" t="inlineStr">
        <is>
          <t>PSA always get checked out</t>
        </is>
      </c>
      <c r="C2669" t="inlineStr">
        <is>
          <t xml:space="preserve">Sorry for the generic title but it's been a rough week 
Alternative title thought was TIFU by thinking I was in DKA 
Monday at work I busted a knuckle on something don't even know when or where it happened just noticed the scrape at the end of the day cleaned it and thought nothing of it .  
Tuesday it got painful by Tuesday night I couldn't move that hand had chills and a headache.  Me being the stubborn idiot I am I just chalked it up to maybe the flu took fluids checked my numbers and went to bed.  
3 hours later I woke up feeling like I was going to throw up in sweats really dehydrated not feeling right.  Here is the first FU I trusted myself and my experiences and thought this is just a little high because I suspended my pump earlier when I wasn't feeling well I re enabled my pump did a small bolts and stupidly didn't check myself.  Three hours later I had thrown up a few times kept trying to rehydrate and sleep in between.  
7 hours later I am calling a taxi to get to the ER because I can't move my left hand I've been throwing up all night and I have the worst migraine of my life from the dehydration.  
Turns out I wasn't high r in DKA I had a extremely nasty infection in my hand throwing my entire system into complete havoc.  TIL a terribly nasty infection can nearly kill a diabetic without being the primary cause of death
TL:DR got a scrape thought I was good needed a week of if antibiotics to get better all because I thought I was ok 
Please please please guys don't do what I did and if you think something is wrong or even if you don't get yourselves checked out </t>
        </is>
      </c>
      <c r="D2669" t="n">
        <v>41</v>
      </c>
      <c r="E2669" t="n">
        <v>3</v>
      </c>
      <c r="F2669">
        <f>HYPERLINK("https://www.reddit.com/r/diabetes/comments/5hs5y3/psa_always_get_checked_out/")</f>
        <v/>
      </c>
      <c r="G2669" t="inlineStr">
        <is>
          <t>2016-12-11 12:25:11</t>
        </is>
      </c>
      <c r="H2669" t="inlineStr">
        <is>
          <t>Type 1</t>
        </is>
      </c>
    </row>
    <row r="2670">
      <c r="A2670" t="inlineStr">
        <is>
          <t>5hsl40</t>
        </is>
      </c>
      <c r="B2670" t="inlineStr">
        <is>
          <t>How to get comfortable with eating carbs and bolusing again?</t>
        </is>
      </c>
      <c r="C2670" t="inlineStr">
        <is>
          <t xml:space="preserve">About 6 months ago I had a "panic" attack where I had no active insulin but my blood sugar kept dropping &amp;lt;130 but didn't go below 90. The reason I freaked out is because my friend and I were out at 4am about a mile and a half from my house on foot. I drank around 6 juice boxes that night as well because I kept dropping for some odd unknown reason, probably walking. 
Up until that panic attack, I would have no issue eating 75 carbs and bolusing 8 or 9 units, but now I'm lucky if I eat 30 (3.2ish units) carbs in a single sitting. I feel extremely low below 130 and cognitively cannot think. This is completely random though because sometimes I can be 120 and feel absolutely normal. Whenever I get "low" (130ish) and have more than a unit and a half active insulin I panic and eat a bunch of carbs causing a roller coaster for the rest of the day. 
I'm currently 17 years old and have had Diabetes since I was two and a half. I don't remember any of the training my family and I went through and don't know much about the basics of what's normal and what's abnormal with blood sugars. 
I want to get back to how I used to be and not have fears about what I'm going to eat and how much active I have but lately it's been driving me insane. I constantly focus on my diabetes as to a few months ago it didn't even bother me that I had it. 
What can I do to start eating more carbs and not being afraid of how much active I have? Basically, I have a fear of the very medicine that keeps me alive. 
Thanks.
Edit:
I think my fear results more not of the insulin itself but the outcome and possible low from it. </t>
        </is>
      </c>
      <c r="D2670" t="n">
        <v>7</v>
      </c>
      <c r="E2670" t="n">
        <v>10</v>
      </c>
      <c r="F2670">
        <f>HYPERLINK("https://www.reddit.com/r/diabetes/comments/5hsl40/how_to_get_comfortable_with_eating_carbs_and/")</f>
        <v/>
      </c>
      <c r="G2670" t="inlineStr">
        <is>
          <t>2016-12-11 13:39:12</t>
        </is>
      </c>
      <c r="H2670" t="inlineStr">
        <is>
          <t>Type 1</t>
        </is>
      </c>
    </row>
    <row r="2671">
      <c r="A2671" t="inlineStr">
        <is>
          <t>5hunul</t>
        </is>
      </c>
      <c r="B2671" t="inlineStr">
        <is>
          <t>Trouble with pump sites</t>
        </is>
      </c>
      <c r="C2671" t="inlineStr">
        <is>
          <t xml:space="preserve">Recently I've been having trouble with my t:slim infusion sites. When I insert them (normally in the evening) my blood sugar spikes high and no matter how much insulin I do it doesn't come down until later at night. This forces me to eat a large snack so I don't get overnight lows. However, the next day the site delivers insulin well and works normally. It seems like my new infusion sites need a day or so to "settle in" before they start working well. Does anyone else have this problem? I'm thinking the only solution would be to put it in a new site the day before I need to change sites so it will be ready to go the next day. </t>
        </is>
      </c>
      <c r="D2671" t="n">
        <v>3</v>
      </c>
      <c r="E2671" t="n">
        <v>15</v>
      </c>
      <c r="F2671">
        <f>HYPERLINK("https://www.reddit.com/r/diabetes/comments/5hunul/trouble_with_pump_sites/")</f>
        <v/>
      </c>
      <c r="G2671" t="inlineStr">
        <is>
          <t>2016-12-11 20:32:37</t>
        </is>
      </c>
      <c r="H2671" t="inlineStr">
        <is>
          <t>Type 1</t>
        </is>
      </c>
    </row>
    <row r="2672">
      <c r="A2672" t="inlineStr">
        <is>
          <t>5hxemq</t>
        </is>
      </c>
      <c r="B2672" t="inlineStr">
        <is>
          <t>Actemra beta cell preservation study conflicts with my work schedule</t>
        </is>
      </c>
      <c r="C2672" t="inlineStr">
        <is>
          <t>I just got diagnosed last month, I work nights and the study people need me to come in at 8am and then stay for 3-5 hours. Basically it would be pulling an all nighter with the commute. I don't have any sick days left so am I just screwed? This shit is frustrating. I have to fast before too so it basically means I need two days off for every infusion/screening. So it's 12 days off total in 6 months.</t>
        </is>
      </c>
      <c r="D2672" t="n">
        <v>1</v>
      </c>
      <c r="E2672" t="n">
        <v>0</v>
      </c>
      <c r="F2672">
        <f>HYPERLINK("https://www.reddit.com/r/diabetes/comments/5hxemq/actemra_beta_cell_preservation_study_conflicts/")</f>
        <v/>
      </c>
      <c r="G2672" t="inlineStr">
        <is>
          <t>2016-12-12 08:10:31</t>
        </is>
      </c>
      <c r="H2672" t="inlineStr">
        <is>
          <t>Type 1</t>
        </is>
      </c>
    </row>
    <row r="2673">
      <c r="A2673" t="inlineStr">
        <is>
          <t>5hzw5p</t>
        </is>
      </c>
      <c r="B2673" t="inlineStr">
        <is>
          <t>Possibly diabetic.... with family history and poor diet...</t>
        </is>
      </c>
      <c r="C2673" t="inlineStr">
        <is>
          <t>Friday I have a physical coming up but for about 8 months I have dealt with urination issues, such as having to go often (even if not in huge amounts when I go) in a day. I do not go often at night, but sometimes I wake up in the morning going like I drank a gallon of water the night before when I did not.
Doctors have given me overactive bladder medicine which seems to help little, though I wonder if the only reason things seem to be a little better is drinking less water etc.
I have poor diet and eat way too much candy. I do think that if I eat enough like several cookies it makes me exhausted. I am not sure if it is really linked though.
Regardless I do plan on getting a better diet etc. The urination issue has been driving me nuts. In some ways it seems like it is better than back in April. Every time I goto the doctor or urologist they test for sugar in urine, but find none. However that means little.
At this point I just want this urination issues to end, I do not care if it is diabetes, even though I was clean last September if it solves this issue.
Still kinda nervous as I have seen plenty of diabetes in my family. My grandmother had it for decades and was on insulin. My father has it, he has some complications, like cataracts, but I think he has been more in control with it in the past years due to the medications.</t>
        </is>
      </c>
      <c r="D2673" t="n">
        <v>0</v>
      </c>
      <c r="E2673" t="n">
        <v>8</v>
      </c>
      <c r="F2673">
        <f>HYPERLINK("https://www.reddit.com/r/diabetes/comments/5hzw5p/possibly_diabetic_with_family_history_and_poor/")</f>
        <v/>
      </c>
      <c r="G2673" t="inlineStr">
        <is>
          <t>2016-12-12 14:55:19</t>
        </is>
      </c>
      <c r="H2673" t="inlineStr">
        <is>
          <t>Type 2</t>
        </is>
      </c>
    </row>
    <row r="2674">
      <c r="A2674" t="inlineStr">
        <is>
          <t>5i4ztg</t>
        </is>
      </c>
      <c r="B2674" t="inlineStr">
        <is>
          <t>My blood sugar keeps spiking late morning and it's pissing me off.</t>
        </is>
      </c>
      <c r="C2674" t="inlineStr">
        <is>
          <t>Hi guys,
I woke up at 6:00 today, tested blood sugar, 160. OK not terrible, I had 2 beer before bed. On the way to work, grab a Monster. It was the white can, zero carb. Supposedly. Get some coffee. It is one of the Keurig 8AM morning blend whatever. Add in 2 Splenda and about 2 spoons of that powder creamer stuff. Check it at 9:30. 300.
OK that coffee creamer has around 2 carbs per spoonful. I didn't eat anything. Are there hidden sugars in these coffee pods? Monster? Splenda? WTF?</t>
        </is>
      </c>
      <c r="D2674" t="n">
        <v>9</v>
      </c>
      <c r="E2674" t="n">
        <v>44</v>
      </c>
      <c r="F2674">
        <f>HYPERLINK("https://www.reddit.com/r/diabetes/comments/5i4ztg/my_blood_sugar_keeps_spiking_late_morning_and_its/")</f>
        <v/>
      </c>
      <c r="G2674" t="inlineStr">
        <is>
          <t>2016-12-13 09:51:01</t>
        </is>
      </c>
      <c r="H2674" t="inlineStr">
        <is>
          <t>Type 1</t>
        </is>
      </c>
    </row>
    <row r="2675">
      <c r="A2675" t="inlineStr">
        <is>
          <t>5i5ecd</t>
        </is>
      </c>
      <c r="B2675" t="inlineStr">
        <is>
          <t>Want to send my newly Type 2 diabetic Dad a food gift basket for the holidays. Help with ideas?</t>
        </is>
      </c>
      <c r="C2675" t="inlineStr">
        <is>
          <t xml:space="preserve">I'd love to hear some opinions for healthful Type 2 approved foods or other goodies I can send to my Dad across the country. So nothing that can rot easily/has to be refrigerated. If anyone know of any sweet websites that have baskets like this pre-made, do tell! Thank you for any help :)
So far the only ideas I have are:
*  A couple of small bags of gourmet nuts
* Some fancy wild grain rice
* 85% dark chocolate?
*  those special socks  
Seriously, helllllppppp?
**EDIT:** I've added these things to my list. Thank you to everyone that has suggested items! Keep 'em coming if you think of anything else.
* Fancy peanut butter
* Smoked salmon/cheeses
* Low sugar Beef jerky
* Jar of Olives
*  Nut thin crackers
* Whisps
**EDIT 2:** A huge thank you! Heading to a Whole Foods now to pick up some of these suggestions! Sadly the large flat rate box you get at USPS is a lot smaller than I thought, but I'll shove in what I can and update with a photo later :).
</t>
        </is>
      </c>
      <c r="D2675" t="n">
        <v>7</v>
      </c>
      <c r="E2675" t="n">
        <v>41</v>
      </c>
      <c r="F2675">
        <f>HYPERLINK("https://www.reddit.com/r/diabetes/comments/5i5ecd/want_to_send_my_newly_type_2_diabetic_dad_a_food/")</f>
        <v/>
      </c>
      <c r="G2675" t="inlineStr">
        <is>
          <t>2016-12-13 10:57:09</t>
        </is>
      </c>
      <c r="H2675" t="inlineStr">
        <is>
          <t>Type 2</t>
        </is>
      </c>
    </row>
    <row r="2676">
      <c r="A2676" t="inlineStr">
        <is>
          <t>5iaabu</t>
        </is>
      </c>
      <c r="B2676" t="inlineStr">
        <is>
          <t>Because I totally forgot to ask when I was at the doctor's office Monday...How long am I supposed to go between taking my lantus at night and testing in the morning?</t>
        </is>
      </c>
      <c r="C2676" t="inlineStr">
        <is>
          <t>My guess would be 8 hours, but I want to be sure. My wake up time can vary from 4:00ish up tor ight around 8:00am</t>
        </is>
      </c>
      <c r="D2676" t="n">
        <v>3</v>
      </c>
      <c r="E2676" t="n">
        <v>8</v>
      </c>
      <c r="F2676">
        <f>HYPERLINK("https://www.reddit.com/r/diabetes/comments/5iaabu/because_i_totally_forgot_to_ask_when_i_was_at_the/")</f>
        <v/>
      </c>
      <c r="G2676" t="inlineStr">
        <is>
          <t>2016-12-14 04:23:02</t>
        </is>
      </c>
      <c r="H2676" t="inlineStr">
        <is>
          <t>Type 2</t>
        </is>
      </c>
    </row>
    <row r="2677">
      <c r="A2677" t="inlineStr">
        <is>
          <t>5ic3tj</t>
        </is>
      </c>
      <c r="B2677" t="inlineStr">
        <is>
          <t>Does rice have more carbs in it when its poorly cooked?</t>
        </is>
      </c>
      <c r="C2677" t="inlineStr">
        <is>
          <t>Just wondering as my sugar is at 20,3 mmol 2 hours after eating a normal meal, no idea why this happened, any idea of possible causes?</t>
        </is>
      </c>
      <c r="D2677" t="n">
        <v>0</v>
      </c>
      <c r="E2677" t="n">
        <v>13</v>
      </c>
      <c r="F2677">
        <f>HYPERLINK("https://www.reddit.com/r/diabetes/comments/5ic3tj/does_rice_have_more_carbs_in_it_when_its_poorly/")</f>
        <v/>
      </c>
      <c r="G2677" t="inlineStr">
        <is>
          <t>2016-12-14 10:06:51</t>
        </is>
      </c>
      <c r="H2677" t="inlineStr">
        <is>
          <t>Type 1</t>
        </is>
      </c>
    </row>
    <row r="2678">
      <c r="A2678" t="inlineStr">
        <is>
          <t>5ickwz</t>
        </is>
      </c>
      <c r="B2678" t="inlineStr">
        <is>
          <t>How is this possible?</t>
        </is>
      </c>
      <c r="C2678" t="inlineStr">
        <is>
          <t>Checked my sugar at 1:55, it was 316. Took 2.6 units and within 30 minutes its at 116 and still have 2.2 units in my system. Like how is that even possible? It's so frustrating!</t>
        </is>
      </c>
      <c r="D2678" t="n">
        <v>1</v>
      </c>
      <c r="E2678" t="n">
        <v>13</v>
      </c>
      <c r="F2678">
        <f>HYPERLINK("https://www.reddit.com/r/diabetes/comments/5ickwz/how_is_this_possible/")</f>
        <v/>
      </c>
      <c r="G2678" t="inlineStr">
        <is>
          <t>2016-12-14 11:24:25</t>
        </is>
      </c>
      <c r="H2678" t="inlineStr">
        <is>
          <t>Type 1</t>
        </is>
      </c>
    </row>
    <row r="2679">
      <c r="A2679" t="inlineStr">
        <is>
          <t>5idigq</t>
        </is>
      </c>
      <c r="B2679" t="inlineStr">
        <is>
          <t>Sugar free drinks, snacks, condiments, what do you think?</t>
        </is>
      </c>
      <c r="C2679" t="inlineStr">
        <is>
          <t>In moderation I use them. Crystal Light, SF Jello and SF pudding and Jelly, but I've not used that in ages. I tried the candy which raised my blood sugar and have me a belly ache. The one kind of SF ice cream I tried did not work out, I didn't like the taste of mouth feel.</t>
        </is>
      </c>
      <c r="D2679" t="n">
        <v>0</v>
      </c>
      <c r="E2679" t="n">
        <v>5</v>
      </c>
      <c r="F2679">
        <f>HYPERLINK("https://www.reddit.com/r/diabetes/comments/5idigq/sugar_free_drinks_snacks_condiments_what_do_you/")</f>
        <v/>
      </c>
      <c r="G2679" t="inlineStr">
        <is>
          <t>2016-12-14 14:00:41</t>
        </is>
      </c>
      <c r="H2679" t="inlineStr">
        <is>
          <t>Type 2</t>
        </is>
      </c>
    </row>
    <row r="2680">
      <c r="A2680" t="inlineStr">
        <is>
          <t>5idvc8</t>
        </is>
      </c>
      <c r="B2680" t="inlineStr">
        <is>
          <t>Just ate a bunch of carbs and sugar and no spike...wtf?</t>
        </is>
      </c>
      <c r="C2680" t="inlineStr">
        <is>
          <t xml:space="preserve">I'm partially confused/surprised, and sorta hope this is legit, maybe give some other T2s some hope.
So went grocery shopping today and figured screw it I want a sweet. So bought a 2 pack of these cookie things, and ate half of one after lunch, didn't see a rise after 30 mins so ate the other half, hour later still nothing so ate the 2nd one. It's been 5 hours now and I still haven't seen a rise in my BG. 
Stats on them were like 88g carbs 60g of sugar, at like 650 calories for the pair. 3 months ago this would have sent me well into the 200s at least for a minimum of a few hours. I thought my meter was broke but my spare is reading under 100 as well (max I saw was 120). I've dropped 20-25lbs since diagnosis and got my A1C from a 9.8 to a 5.6. Is this a thing where insulin resistance gets better and the occasional indulgence isn't gonna make me a tired brain foggy mess? I know I'm not cured and can't do this every day, but am too excited that I might could tolerate a real dessert on occasion or not be so picky on thanksgiving/christmas. </t>
        </is>
      </c>
      <c r="D2680" t="n">
        <v>5</v>
      </c>
      <c r="E2680" t="n">
        <v>3</v>
      </c>
      <c r="F2680">
        <f>HYPERLINK("https://www.reddit.com/r/diabetes/comments/5idvc8/just_ate_a_bunch_of_carbs_and_sugar_and_no/")</f>
        <v/>
      </c>
      <c r="G2680" t="inlineStr">
        <is>
          <t>2016-12-14 15:02:22</t>
        </is>
      </c>
      <c r="H2680" t="inlineStr">
        <is>
          <t>Type 2</t>
        </is>
      </c>
    </row>
    <row r="2681">
      <c r="A2681" t="inlineStr">
        <is>
          <t>5ify0f</t>
        </is>
      </c>
      <c r="B2681" t="inlineStr">
        <is>
          <t>Does any other type 2's use chlorpropamide to help stabilize your diabetes</t>
        </is>
      </c>
      <c r="C2681" t="inlineStr">
        <is>
          <t>I take chlorpropamide, which is old school, but I couldn't handle all the intestinal issues that metformin and it's ilk gave me.  Chlorpropamide has been a life saver.  My last HbA1c was 5.3.  So what does my new endocrinologist start with wanting to switch me to metformin.  I was like oh hell no, we aren't going to fix what isn't broken here.  Yes I have to pay for it out of pocket, but to get numbers like 5.3 I say it is Damn well worth it.</t>
        </is>
      </c>
      <c r="D2681" t="n">
        <v>3</v>
      </c>
      <c r="E2681" t="n">
        <v>3</v>
      </c>
      <c r="F2681">
        <f>HYPERLINK("https://www.reddit.com/r/diabetes/comments/5ify0f/does_any_other_type_2s_use_chlorpropamide_to_help/")</f>
        <v/>
      </c>
      <c r="G2681" t="inlineStr">
        <is>
          <t>2016-12-14 22:11:01</t>
        </is>
      </c>
      <c r="H2681" t="inlineStr">
        <is>
          <t>Type 2</t>
        </is>
      </c>
    </row>
    <row r="2682">
      <c r="A2682" t="inlineStr">
        <is>
          <t>5igk2o</t>
        </is>
      </c>
      <c r="B2682" t="inlineStr">
        <is>
          <t>Issue with rising sugars in the night</t>
        </is>
      </c>
      <c r="C2682" t="inlineStr">
        <is>
          <t>Hi folks, been a type 1 for over 20 years but I have a new issue that I'm not sure how to tackle. I can go to bed with sugars of 7.0 but by the morning they are always 16+. I take Levemir, 24u at 7am and 7pm. Heres a shot of last nights sugars.
http://imgur.com/XxztcBO
Any guidance would be appreciated!</t>
        </is>
      </c>
      <c r="D2682" t="n">
        <v>3</v>
      </c>
      <c r="E2682" t="n">
        <v>8</v>
      </c>
      <c r="F2682">
        <f>HYPERLINK("https://www.reddit.com/r/diabetes/comments/5igk2o/issue_with_rising_sugars_in_the_night/")</f>
        <v/>
      </c>
      <c r="G2682" t="inlineStr">
        <is>
          <t>2016-12-15 01:03:43</t>
        </is>
      </c>
      <c r="H2682" t="inlineStr">
        <is>
          <t>Type 1</t>
        </is>
      </c>
    </row>
    <row r="2683">
      <c r="A2683" t="inlineStr">
        <is>
          <t>5iicx2</t>
        </is>
      </c>
      <c r="B2683" t="inlineStr">
        <is>
          <t>I know no one here (that I know of anyway) is a Doc, but what do you think of these numbers? They are from yesterday 12/14.</t>
        </is>
      </c>
      <c r="C2683" t="inlineStr">
        <is>
          <t>I am type 2 on Glimperide 2x day and 35 units Lantus at night.
5:00 128
6:35 Eggs and cheese
8:56 126
9:20 Cheese sticks
11:30 SANDWICH 
1:30 136
4:00 soup and croutons
6:00 156</t>
        </is>
      </c>
      <c r="D2683" t="n">
        <v>1</v>
      </c>
      <c r="E2683" t="n">
        <v>15</v>
      </c>
      <c r="F2683">
        <f>HYPERLINK("https://www.reddit.com/r/diabetes/comments/5iicx2/i_know_no_one_here_that_i_know_of_anyway_is_a_doc/")</f>
        <v/>
      </c>
      <c r="G2683" t="inlineStr">
        <is>
          <t>2016-12-15 08:15:08</t>
        </is>
      </c>
      <c r="H2683" t="inlineStr">
        <is>
          <t>Type 2</t>
        </is>
      </c>
    </row>
    <row r="2684">
      <c r="A2684" t="inlineStr">
        <is>
          <t>5ili6y</t>
        </is>
      </c>
      <c r="B2684" t="inlineStr">
        <is>
          <t>guys please help quickly does salmonella lower bloodsugar?</t>
        </is>
      </c>
      <c r="C2684" t="inlineStr">
        <is>
          <t xml:space="preserve">i dont think i have taken anyhting double and it just wont go back up and im shaking like shit </t>
        </is>
      </c>
      <c r="D2684" t="n">
        <v>2</v>
      </c>
      <c r="E2684" t="n">
        <v>6</v>
      </c>
      <c r="F2684">
        <f>HYPERLINK("https://www.reddit.com/r/diabetes/comments/5ili6y/guys_please_help_quickly_does_salmonella_lower/")</f>
        <v/>
      </c>
      <c r="G2684" t="inlineStr">
        <is>
          <t>2016-12-15 17:28:13</t>
        </is>
      </c>
      <c r="H2684" t="inlineStr">
        <is>
          <t>Type 1</t>
        </is>
      </c>
    </row>
    <row r="2685">
      <c r="A2685" t="inlineStr">
        <is>
          <t>5ilkfm</t>
        </is>
      </c>
      <c r="B2685" t="inlineStr">
        <is>
          <t>Conceiving with a high a1c</t>
        </is>
      </c>
      <c r="C2685" t="inlineStr">
        <is>
          <t xml:space="preserve">I just found out I'm pregnant and I'm terrified it's already all over. Just had my a1c checked and it was 7.8. They think I'm about 5-6 weeks along. Anyway, 7.8 is actually the lowest my a1c has ever been in the 22 years I've had diabetes, but I know it's nowhere near good enough for a baby. Otherwise I'd be really happy right now with my progress.
Does anyone have any experience conceiving with a high a1c and still having a healthy baby? I'm just so scared I already screwed things up. In September my a1c was 9.2 so it definitely improved but I wasn't planning on getting pregnant at all or I would have tried even harder to get things under control. I am definitely trying my best but feel like that's not going to be good enough.
Does anyone have any experience with this? Is there still any hope I can potentially have a healthy baby? </t>
        </is>
      </c>
      <c r="D2685" t="n">
        <v>17</v>
      </c>
      <c r="E2685" t="n">
        <v>6</v>
      </c>
      <c r="F2685">
        <f>HYPERLINK("https://www.reddit.com/r/diabetes/comments/5ilkfm/conceiving_with_a_high_a1c/")</f>
        <v/>
      </c>
      <c r="G2685" t="inlineStr">
        <is>
          <t>2016-12-15 17:41:12</t>
        </is>
      </c>
      <c r="H2685" t="inlineStr">
        <is>
          <t>Type 1</t>
        </is>
      </c>
    </row>
    <row r="2686">
      <c r="A2686" t="inlineStr">
        <is>
          <t>5iocv7</t>
        </is>
      </c>
      <c r="B2686" t="inlineStr">
        <is>
          <t>Why are carb ratios different throughout the day?</t>
        </is>
      </c>
      <c r="C2686" t="inlineStr">
        <is>
          <t>What makes carb ratios change from breakfast to lunch to dinner?
I tried looking this up online, but didn't really find much. My hypothesis is that it's because we eat different kinds of food depending on the meal. If this is true, would the ratios need to be the same if we ate the same thing at every meal?</t>
        </is>
      </c>
      <c r="D2686" t="n">
        <v>2</v>
      </c>
      <c r="E2686" t="n">
        <v>10</v>
      </c>
      <c r="F2686">
        <f>HYPERLINK("https://www.reddit.com/r/diabetes/comments/5iocv7/why_are_carb_ratios_different_throughout_the_day/")</f>
        <v/>
      </c>
      <c r="G2686" t="inlineStr">
        <is>
          <t>2016-12-16 05:54:29</t>
        </is>
      </c>
      <c r="H2686" t="inlineStr">
        <is>
          <t>Type 1</t>
        </is>
      </c>
    </row>
    <row r="2687">
      <c r="A2687" t="inlineStr">
        <is>
          <t>5iotlf</t>
        </is>
      </c>
      <c r="B2687" t="inlineStr">
        <is>
          <t>Struggling with NovaLog transition</t>
        </is>
      </c>
      <c r="C2687" t="inlineStr">
        <is>
          <t>Hi All,
Insurance coverage has forced me to switch form Humalog, which I've been on for longer than I can remember, to Novalog.  I'm struggling mightily with getting my sugars leveled out with Novalog.  While my doctor tells me it should be a 1:1 ratio, it clearly isn't.  It also appears to the time it takes to kick in, peak, and drop off are significantly different from Humalog.
Any tips out there from pervious transitions?
As a side note, I'm fighting with insurance now to pay the tier 3 price for Humalog; however, they have responded with the need for me to try Novalog for at least 3 months and get an A1c before authorization will be given.  So basically I have to do harm to myself before they will allow me the meds that keep me in control.  This on top of the fact that I've been receiving treatment for diabetic retinopathy for over the past year. [end rant]</t>
        </is>
      </c>
      <c r="D2687" t="n">
        <v>5</v>
      </c>
      <c r="E2687" t="n">
        <v>6</v>
      </c>
      <c r="F2687">
        <f>HYPERLINK("https://www.reddit.com/r/diabetes/comments/5iotlf/struggling_with_novalog_transition/")</f>
        <v/>
      </c>
      <c r="G2687" t="inlineStr">
        <is>
          <t>2016-12-16 07:29:44</t>
        </is>
      </c>
      <c r="H2687" t="inlineStr">
        <is>
          <t>Type 1</t>
        </is>
      </c>
    </row>
    <row r="2688">
      <c r="A2688" t="inlineStr">
        <is>
          <t>5ipr9p</t>
        </is>
      </c>
      <c r="B2688" t="inlineStr">
        <is>
          <t>Insulin Pens In my pocket. Is that ok?</t>
        </is>
      </c>
      <c r="C2688" t="inlineStr">
        <is>
          <t xml:space="preserve">Where do you guys keep your pens? with the cap on my novolog it fits right into my pocket but I am worried about my body heat damaging the insulin. </t>
        </is>
      </c>
      <c r="D2688" t="n">
        <v>3</v>
      </c>
      <c r="E2688" t="n">
        <v>5</v>
      </c>
      <c r="F2688">
        <f>HYPERLINK("https://www.reddit.com/r/diabetes/comments/5ipr9p/insulin_pens_in_my_pocket_is_that_ok/")</f>
        <v/>
      </c>
      <c r="G2688" t="inlineStr">
        <is>
          <t>2016-12-16 10:15:07</t>
        </is>
      </c>
      <c r="H2688" t="inlineStr">
        <is>
          <t>Type 1</t>
        </is>
      </c>
    </row>
    <row r="2689">
      <c r="A2689" t="inlineStr">
        <is>
          <t>5ips1y</t>
        </is>
      </c>
      <c r="B2689" t="inlineStr">
        <is>
          <t>Podders: does anyone else experience elevated sugars consistently after changing your pod out?</t>
        </is>
      </c>
      <c r="C2689" t="inlineStr">
        <is>
          <t xml:space="preserve">I would say 9/10 times my body acts insulin resistant right after changing a pod.  If I bolus with my old pod before changing it, I'll keep my blood sugars for an hour or 2, then as if I had a lack of basal, it'll start to creep up.  This generally lasts until I bolus with it , then it'll start acting fairly normally again.  For the remainder of the time it's attached it'll be perfectly fine.
Just wondering if anyone else experiences that.  </t>
        </is>
      </c>
      <c r="D2689" t="n">
        <v>2</v>
      </c>
      <c r="E2689" t="n">
        <v>16</v>
      </c>
      <c r="F2689">
        <f>HYPERLINK("https://www.reddit.com/r/diabetes/comments/5ips1y/podders_does_anyone_else_experience_elevated/")</f>
        <v/>
      </c>
      <c r="G2689" t="inlineStr">
        <is>
          <t>2016-12-16 10:18:50</t>
        </is>
      </c>
      <c r="H2689" t="inlineStr">
        <is>
          <t>Type 1</t>
        </is>
      </c>
    </row>
    <row r="2690">
      <c r="A2690" t="inlineStr">
        <is>
          <t>5isgbp</t>
        </is>
      </c>
      <c r="B2690" t="inlineStr">
        <is>
          <t>feet and leg pain.</t>
        </is>
      </c>
      <c r="C2690" t="inlineStr">
        <is>
          <t>i have type 2 diabetes that was way out of control. just my sugar levels (500+) i felt ok just tired sometimes and would get winded easily. with the help of janumet and tresiba its much better. on my last visit tp the doctor they said my cholesterol level was high and put me on 40 mg lipitor. 
the lipitor ended up tearing up my leg muscles right away. a week in i was peeing brown and two weeks later couldn't barely walk. i took the stuff for a month total and when the doctor told me it was the lipitor i stopped taking it immediately. 
it's been 3 weeks since i stopped taking it and my leg muscles still hurt but my feet hurt even worse. it's like a ache and burning pain. the pain is unreal. i'm really worried permanent damage has been done. everything i read about lipitor says it's not to be used when keytones are high (labs show "3+" in urine) and it's not meant for small framed people (i'm 6'6" 150 lbs.) also since starting all these meds if i go out into bright sunlight everything turns very white. if i put sunglasses on i'm fine. they're not dark glasses either.
i really need to get better and get back to work, any suggestions would be really appreciated.</t>
        </is>
      </c>
      <c r="D2690" t="n">
        <v>8</v>
      </c>
      <c r="E2690" t="n">
        <v>6</v>
      </c>
      <c r="F2690">
        <f>HYPERLINK("https://www.reddit.com/r/diabetes/comments/5isgbp/feet_and_leg_pain/")</f>
        <v/>
      </c>
      <c r="G2690" t="inlineStr">
        <is>
          <t>2016-12-16 19:11:12</t>
        </is>
      </c>
      <c r="H2690" t="inlineStr">
        <is>
          <t>Type 2</t>
        </is>
      </c>
    </row>
    <row r="2691">
      <c r="A2691" t="inlineStr">
        <is>
          <t>5itsee</t>
        </is>
      </c>
      <c r="B2691" t="inlineStr">
        <is>
          <t>Super weird lows</t>
        </is>
      </c>
      <c r="C2691" t="inlineStr">
        <is>
          <t>Ok so a couple mornings I've had sugar readings of 5 (90) not high at all, but higher than I'm used to. I usually retest 20 min later to verify and it's already going down to the low 4's (75.6 - 79.2), so I reckon I'm probably doing small dumps in my sleep because I didn't eat enough. So last night I was eating out with a friend and had two grilled chicken breasts, green salad and because I was starting to sweat and get dizzy just before dinner, I didn't dismiss the fries like I usually would, it was a small portion nothing hectic. Enjoy my evening, then about 2 hrs in to sleep, shoot up awake with intense hunger pains, sweating and a low 4 reading, get some rye crackers put some avo and almond butter  on them so that I get a bit of protein and fat with the carbs, everything stabilizes and I got back to sleep. Wake up this morning in the low fours with intense hunger again.
I'm on only 500 mg of glucophage so medication wise I don't see that being the issue here, but any insights from anyone would help.
Thanks in advance.</t>
        </is>
      </c>
      <c r="D2691" t="n">
        <v>5</v>
      </c>
      <c r="E2691" t="n">
        <v>10</v>
      </c>
      <c r="F2691">
        <f>HYPERLINK("https://www.reddit.com/r/diabetes/comments/5itsee/super_weird_lows/")</f>
        <v/>
      </c>
      <c r="G2691" t="inlineStr">
        <is>
          <t>2016-12-17 01:37:55</t>
        </is>
      </c>
      <c r="H2691" t="inlineStr">
        <is>
          <t>Type 2</t>
        </is>
      </c>
    </row>
    <row r="2692">
      <c r="A2692" t="inlineStr">
        <is>
          <t>5j0ftw</t>
        </is>
      </c>
      <c r="B2692" t="inlineStr">
        <is>
          <t>Advice on alcohol consumption as a diabetic? (Type 1)</t>
        </is>
      </c>
      <c r="C2692" t="inlineStr">
        <is>
          <t>Hi. 
I'm a 18 year old type 1 diabetic and I have a party coming up next week. (Note that 18 is the legal drinking age in my country). Typically I value my sobriety and the most alcohol I've ever had is a glass of wine at a birthday party, though I've been really stressed out lately and I thought I'd just let loose. I have no intention of getting completely wasted, I'll more than likely call it quits if I start feeling tipsy. I need some advice as to how alcohol and diabetes interact with each other, though. Should I eat beforehand? What if I don't? Do I take insulin for alcohol? Any advice for drinking responsibly would be appreciated. Thanks in advance!</t>
        </is>
      </c>
      <c r="D2692" t="n">
        <v>22</v>
      </c>
      <c r="E2692" t="n">
        <v>23</v>
      </c>
      <c r="F2692">
        <f>HYPERLINK("https://www.reddit.com/r/diabetes/comments/5j0ftw/advice_on_alcohol_consumption_as_a_diabetic_type_1/")</f>
        <v/>
      </c>
      <c r="G2692" t="inlineStr">
        <is>
          <t>2016-12-18 06:35:18</t>
        </is>
      </c>
      <c r="H2692" t="inlineStr">
        <is>
          <t>Type 1</t>
        </is>
      </c>
    </row>
    <row r="2693">
      <c r="A2693" t="inlineStr">
        <is>
          <t>5j0nho</t>
        </is>
      </c>
      <c r="B2693" t="inlineStr">
        <is>
          <t>Incredibly high</t>
        </is>
      </c>
      <c r="C2693" t="inlineStr">
        <is>
          <t>I always end up at 18.6 mmo/L~ after two-four hours after the first meal of the day, before eating I would be at 7.0 mmo/L and inject myself to 4.0 mmo/l, and then I inject perfectly to the meal, but still I end up this high, what do I do?</t>
        </is>
      </c>
      <c r="D2693" t="n">
        <v>2</v>
      </c>
      <c r="E2693" t="n">
        <v>32</v>
      </c>
      <c r="F2693">
        <f>HYPERLINK("https://www.reddit.com/r/diabetes/comments/5j0nho/incredibly_high/")</f>
        <v/>
      </c>
      <c r="G2693" t="inlineStr">
        <is>
          <t>2016-12-18 07:26:33</t>
        </is>
      </c>
      <c r="H2693" t="inlineStr">
        <is>
          <t>Type 1</t>
        </is>
      </c>
    </row>
    <row r="2694">
      <c r="A2694" t="inlineStr">
        <is>
          <t>5j120r</t>
        </is>
      </c>
      <c r="B2694" t="inlineStr">
        <is>
          <t>Dexcom Promotion</t>
        </is>
      </c>
      <c r="C2694" t="inlineStr">
        <is>
          <t>Thought I would share some news Dexcom shared with me.  I had been on the fence about the G5.  Dexcom called me and said their is a promotion that if you purchase by the end of the year you will get a $200 visa prepaid card in Feb if you fill in a few question survey.</t>
        </is>
      </c>
      <c r="D2694" t="n">
        <v>2</v>
      </c>
      <c r="E2694" t="n">
        <v>5</v>
      </c>
      <c r="F2694">
        <f>HYPERLINK("https://www.reddit.com/r/diabetes/comments/5j120r/dexcom_promotion/")</f>
        <v/>
      </c>
      <c r="G2694" t="inlineStr">
        <is>
          <t>2016-12-18 08:51:19</t>
        </is>
      </c>
      <c r="H2694" t="inlineStr">
        <is>
          <t>Type 1</t>
        </is>
      </c>
    </row>
    <row r="2695">
      <c r="A2695" t="inlineStr">
        <is>
          <t>5j6305</t>
        </is>
      </c>
      <c r="B2695" t="inlineStr">
        <is>
          <t>T2 Oral medication options</t>
        </is>
      </c>
      <c r="C2695" t="inlineStr">
        <is>
          <t>I'm looking to see what low cost options there are for a T2 with crappy insurance.  I'm currently taking Metformin ER right now but it's causing havoc on my stomach, same as the instant release.  I looked at sulfonylureas and saw they can cause pancreas problems.  Also looked at Actos but that causes bladder cancer apparently.  Things like Januvia and Farxiga are expensive, roughly $400/month.  I thought about getting on insulin but that's looking like $900/month for short and long insulin.  Any ideas I'm not looking at?</t>
        </is>
      </c>
      <c r="D2695" t="n">
        <v>3</v>
      </c>
      <c r="E2695" t="n">
        <v>30</v>
      </c>
      <c r="F2695">
        <f>HYPERLINK("https://www.reddit.com/r/diabetes/comments/5j6305/t2_oral_medication_options/")</f>
        <v/>
      </c>
      <c r="G2695" t="inlineStr">
        <is>
          <t>2016-12-19 04:15:05</t>
        </is>
      </c>
      <c r="H2695" t="inlineStr">
        <is>
          <t>Type 2</t>
        </is>
      </c>
    </row>
    <row r="2696">
      <c r="A2696" t="inlineStr">
        <is>
          <t>5j8cvs</t>
        </is>
      </c>
      <c r="B2696" t="inlineStr">
        <is>
          <t>Stomach Bug and Low Blood Sugar?</t>
        </is>
      </c>
      <c r="C2696" t="inlineStr">
        <is>
          <t>So I've had a stressful but exciting weekend.
I graduated college (yay!) but I've been sick with something. At first I thought it was food poisoning but everyone is telling me its probably a stomach bug. I had stomach pains then vomiting and no appetite since Thursday night. Its Monday and I'm finally eating with no nausea and no stomach pains. But I'm having a hard time keeping my blood sugar up.
I thought when you were sick your blood sugar went high ? 
I havn't changed my basal and I am bolusing regularly.
So do certain illnesses or sicknesses make you go low?
*edit* sorry for the grammar and spelling, I'm actually fighting a low right now with regular Coke and it tastes so bad
*edit* UPDATE 
I did go to my doctors because I was worried about the lows.
She did not test anything except my A1C which is down to 6.9 
But other than that she told me to change my basal until I start feeling better...</t>
        </is>
      </c>
      <c r="D2696" t="n">
        <v>3</v>
      </c>
      <c r="E2696" t="n">
        <v>7</v>
      </c>
      <c r="F2696">
        <f>HYPERLINK("https://www.reddit.com/r/diabetes/comments/5j8cvs/stomach_bug_and_low_blood_sugar/")</f>
        <v/>
      </c>
      <c r="G2696" t="inlineStr">
        <is>
          <t>2016-12-19 11:29:45</t>
        </is>
      </c>
      <c r="H2696" t="inlineStr">
        <is>
          <t>Type 1</t>
        </is>
      </c>
    </row>
    <row r="2697">
      <c r="A2697" t="inlineStr">
        <is>
          <t>5j9e1e</t>
        </is>
      </c>
      <c r="B2697" t="inlineStr">
        <is>
          <t>How much do you spike after meals?</t>
        </is>
      </c>
      <c r="C2697" t="inlineStr">
        <is>
          <t>Say you're sitting at a nice steady 90mg/dl. You eat, say, 30g of moderate acting carbs (not glucose tabs, and not pizza), and take the appropriate bolus at the start of the meal. How high would you expect your BG to spike? I find it's not uncommon to end up in the 180-ish range (and sometimes higher) for 20-30 minutes before it comes back down. I'm curious if this is common or if I'm spiking more than most.
P.S. I know pre-bolusing is a good idea to prevent this, but given my job it's sometimes just not possible to know 15 minutes before I'm going to eat.</t>
        </is>
      </c>
      <c r="D2697" t="n">
        <v>4</v>
      </c>
      <c r="E2697" t="n">
        <v>13</v>
      </c>
      <c r="F2697">
        <f>HYPERLINK("https://www.reddit.com/r/diabetes/comments/5j9e1e/how_much_do_you_spike_after_meals/")</f>
        <v/>
      </c>
      <c r="G2697" t="inlineStr">
        <is>
          <t>2016-12-19 14:19:18</t>
        </is>
      </c>
      <c r="H2697" t="inlineStr">
        <is>
          <t>Type 1</t>
        </is>
      </c>
    </row>
    <row r="2698">
      <c r="A2698" t="inlineStr">
        <is>
          <t>5ja1w9</t>
        </is>
      </c>
      <c r="B2698" t="inlineStr">
        <is>
          <t>T2: Sweat! Blood! Breakfast burritos?</t>
        </is>
      </c>
      <c r="C2698" t="inlineStr">
        <is>
          <t xml:space="preserve">Question : How bad would it be if I had a splurge meal? Say a breakfast burrito with bacon, hashbrowns, cheese, eggs, and salsa, wrapped in a carbohydrate shell. From https://www.yelp.com/biz/breas-best-burgers-brea
TL;DR: This is a little double question. How well am I reallly doing? and Can I have this burrito?
A little background:
So I'm about 5 months into being diagnosed as a T2 diabetic. I have completely changed my lifestyle, sweat, by exercising every single day. I usually run between 3.5 to 5 miles 6 days a week and lift weights twice a week. As of this morning I have loss 52lbs down to 168lbs. 35y/M/5'10" My blood sugars are usually between 85 and 100mg/dl pretty much every time I am not eating, and goes up to 140mg/dl an hour after, but always under 100mg/dl 2 hours after my first bite. All this from not doing a lick of exercise in years! My typical day is:
Breakfast : 2 eggs (plain nothing else), 16oz coffee with 0 cal non-sugar flavored creamer (2g carb). 200-ish CAL.
Lunch : Salad with meat. It's a decent sized salad usually served with a few slices of salami (2g carb) or turkey (1g carb). Dressing is ranch (1g carb) or none. I think I calculated that out to around 300-400CAL.
Snack : A large handful of Almonds (4g carbs).
Dinner : Some low carb keto planned meal. Usually under 5g carb total, but occasionally upto 10g carb max.
I usually wait an hour after I stop eating and go for a 3.5 - 5mile run. I try to pace myself out to get 45mins - 60 mins of exercise in.
Late night snack (about an hour before bed) is usually 2 - 3 oz of cheese (1g-2g of carb). I'll only eat if I feel particularly famished after my run. I found that if I don't eat then my morning blood sugar can get up to 110mg/dl.
Breakfast, lunch, and snacks are pretty much always the same. Dinner is where I get to mix it up a little bit. After doing this for 3 months and I was taken off of Metformin!
It's the holidays now and I want to celebrate a little and experiment a little bit. I am planning on having this breakfast burrito for breakfast on a weekend and then testing my blood for a few hours after. I would like to go for a run in the afternoon, but leave room for a run sooner if I get scared of the spike in blood sugar. I don't want to make this a normal thing at all, maybe twice a year...normally. LOL. Will this break me somehow? I've heard whispers of "permanent" damage to my body or triggering something bad or whatever.
So, how am I doing? I think these are good numbers, but I just don't know some days. I can't help but worry even though I know it'll make things worse. (I know we're not doctors, but I just want just affirmation and feedback.) And... Should I go for it? Eat the burrito!?!?
</t>
        </is>
      </c>
      <c r="D2698" t="n">
        <v>2</v>
      </c>
      <c r="E2698" t="n">
        <v>4</v>
      </c>
      <c r="F2698">
        <f>HYPERLINK("https://www.reddit.com/r/diabetes/comments/5ja1w9/t2_sweat_blood_breakfast_burritos/")</f>
        <v/>
      </c>
      <c r="G2698" t="inlineStr">
        <is>
          <t>2016-12-19 16:16:13</t>
        </is>
      </c>
      <c r="H2698" t="inlineStr">
        <is>
          <t>Type 2</t>
        </is>
      </c>
    </row>
    <row r="2699">
      <c r="A2699" t="inlineStr">
        <is>
          <t>5jaa8h</t>
        </is>
      </c>
      <c r="B2699" t="inlineStr">
        <is>
          <t>t1 diabetes and sex</t>
        </is>
      </c>
      <c r="C2699" t="inlineStr">
        <is>
          <t>I don't know if it's taboo but if I don't bring it up here, where can I?  I have never had the chance to talk to other diabetics about how diabetes affects their sex life (and if it does at all).  It certainly affects mine.  When I was a kid in the hospital, doctors and nurses all wanted to reassure me that my life would be totally normal.  But that isn't really true, and sex is one area that I feel it's been negatively impacted.
When my blood sugar is high my sex drive is non-existent.  And when it's low I cannot have sex until it's regulated.  A few times I have also experienced a low during the act, and had to stop.
Wondering if anyone else experiences any form of sexual disfunction, or lack of sex drive due to diabetes?  And how do you deal with it with your significant others and partners?</t>
        </is>
      </c>
      <c r="D2699" t="n">
        <v>50</v>
      </c>
      <c r="E2699" t="n">
        <v>68</v>
      </c>
      <c r="F2699">
        <f>HYPERLINK("https://www.reddit.com/r/diabetes/comments/5jaa8h/t1_diabetes_and_sex/")</f>
        <v/>
      </c>
      <c r="G2699" t="inlineStr">
        <is>
          <t>2016-12-19 17:01:58</t>
        </is>
      </c>
      <c r="H2699" t="inlineStr">
        <is>
          <t>Type 1</t>
        </is>
      </c>
    </row>
    <row r="2700">
      <c r="A2700" t="inlineStr">
        <is>
          <t>5je2mr</t>
        </is>
      </c>
      <c r="B2700" t="inlineStr">
        <is>
          <t>If getting a CGM is an option, get one.</t>
        </is>
      </c>
      <c r="C2700" t="inlineStr">
        <is>
          <t xml:space="preserve">I have a freestyle libre and it has honestly changed my life. Without it, I don't think I would be able to handle university (I was only diagnosed 3 months ago [T1]). It has helped me to learn how different things effect my bs levels, the software is brilliant and even though the scanner app is not available on ios, the reader device is small and easy to use.
Here's one of my graphs from the software: https://gyazo.com/9b305a942fc01ea9b811be9be437d6b1
I know it is expensive, but it has improved my diabetes control massively and I don't feel like you can put a price on that. </t>
        </is>
      </c>
      <c r="D2700" t="n">
        <v>29</v>
      </c>
      <c r="E2700" t="n">
        <v>35</v>
      </c>
      <c r="F2700">
        <f>HYPERLINK("https://www.reddit.com/r/diabetes/comments/5je2mr/if_getting_a_cgm_is_an_option_get_one/")</f>
        <v/>
      </c>
      <c r="G2700" t="inlineStr">
        <is>
          <t>2016-12-20 08:16:17</t>
        </is>
      </c>
      <c r="H2700" t="inlineStr">
        <is>
          <t>Type 1</t>
        </is>
      </c>
    </row>
    <row r="2701">
      <c r="A2701" t="inlineStr">
        <is>
          <t>5jf1vs</t>
        </is>
      </c>
      <c r="B2701" t="inlineStr">
        <is>
          <t>I was recently diagnosed, not sure if to take meds or not</t>
        </is>
      </c>
      <c r="C2701" t="inlineStr">
        <is>
          <t xml:space="preserve">Hello! I am 20 years old, so I was recently diagnosed, a few weeks back, after I started peeing more and knew my mom had diabetes I figured I should be careful, I used to eat sweets but in the last few months I haven't touched them and have been losing weight, the doctor said Its bad genetics because my mom and grandma have diabetes.
The doctor immediately started me off with metformin, 2 pills one in the morning one in the evening, and 14 units of insulin going up slowly to see how much I actually need, recently he's also introduced the Tritace tamipril, because he said I had 15 ketones and I should have 0, I read a lot about it, many places say the medication I take can actually harm me and turn type 2 into type 1, I was really healthy up to this point, I'm not overweight, I just didn't work out this past year due to an injury, and yes I have been eating carbs during this year, suddenly everything is just introduced in one moment and I am a very skeptical guy - I really don't believe in the medication, I want to get rid of this by myself through the lifestyle changes others spoke about, that being said - I don't want to harm myself, my a1c is apparently 11 which is bad, and the only symptom I had so far was pissing more before I began taking my insulin.
I am really skeptical about medication, I don't know if to take it and risk going into this medication loop that I'll never get out of, my family non-diabetes doctor keeps saying I will be taking medication for the rest of my life which seems strange as I'm only 20 and he made it clear Its type 2, I'm afraid that the meds will only make the condition get worse, I heard a lot of things about these medications overworking the pancreas, and the insulin possibly making cells even more insulin-resistant, or simply giving my pancreas no reason to create any more than it already does, on the other hand, if I decide to take this into my own hands - the Doc told me I am at risk of Diabetic ketoacidosis, I am really not sure what to do, I don't want to mess myself up, I certainly prefer a natural way instead of meds if possible
I was wondering if anyone here had a similar experience or someone who can advise me on what I should do next? or anyone that knows anything that could help me, thank you!
</t>
        </is>
      </c>
      <c r="D2701" t="n">
        <v>2</v>
      </c>
      <c r="E2701" t="n">
        <v>10</v>
      </c>
      <c r="F2701">
        <f>HYPERLINK("https://www.reddit.com/r/diabetes/comments/5jf1vs/i_was_recently_diagnosed_not_sure_if_to_take_meds/")</f>
        <v/>
      </c>
      <c r="G2701" t="inlineStr">
        <is>
          <t>2016-12-20 11:02:34</t>
        </is>
      </c>
      <c r="H2701" t="inlineStr">
        <is>
          <t>Type 2</t>
        </is>
      </c>
    </row>
    <row r="2702">
      <c r="A2702" t="inlineStr">
        <is>
          <t>5jfhfu</t>
        </is>
      </c>
      <c r="B2702" t="inlineStr">
        <is>
          <t>First follow up A1C</t>
        </is>
      </c>
      <c r="C2702" t="inlineStr">
        <is>
          <t>3 months ago I was diagnosed with a 9.6 a1c. today I am the proud owner of a 5.8 a1c!!!!!!!!!!!!!!!!!!!!!!!!!!!!!!!!!!!!!!!!!!!!!!!!
Lost 40+ pounds too and could not be prouder of myself!</t>
        </is>
      </c>
      <c r="D2702" t="n">
        <v>40</v>
      </c>
      <c r="E2702" t="n">
        <v>15</v>
      </c>
      <c r="F2702">
        <f>HYPERLINK("https://www.reddit.com/r/diabetes/comments/5jfhfu/first_follow_up_a1c/")</f>
        <v/>
      </c>
      <c r="G2702" t="inlineStr">
        <is>
          <t>2016-12-20 12:18:06</t>
        </is>
      </c>
      <c r="H2702" t="inlineStr">
        <is>
          <t>Type 2</t>
        </is>
      </c>
    </row>
    <row r="2703">
      <c r="A2703" t="inlineStr">
        <is>
          <t>5jfnej</t>
        </is>
      </c>
      <c r="B2703" t="inlineStr">
        <is>
          <t>high BS in the AM, followed by low BS in the PM? [T1]</t>
        </is>
      </c>
      <c r="C2703" t="inlineStr">
        <is>
          <t xml:space="preserve">I recently started using a T:slim insulin pump and CGM, and have noticed a pattern as of late: my blood sugar tends to remain at a relatively high level after breakfast (max around 250 and then a plateau around 150) and then steadily decreases as the day goes on, (steadily declining from a post-lunch peak of ~180 down to 60's - 70's around 5pm).  Does this happen to anyone else?  Does anyone know why this happens?  
I was contemplating adjusting my basal rate in the early morning (maybe starting at 5am) so that it is a bit higher, and then lowering my basal rate in mid-day.  Currently my basal rate is a constant .6 for the entire day.
Any advice is appreciated.
Thanks,
Nick    </t>
        </is>
      </c>
      <c r="D2703" t="n">
        <v>2</v>
      </c>
      <c r="E2703" t="n">
        <v>2</v>
      </c>
      <c r="F2703">
        <f>HYPERLINK("https://www.reddit.com/r/diabetes/comments/5jfnej/high_bs_in_the_am_followed_by_low_bs_in_the_pm_t1/")</f>
        <v/>
      </c>
      <c r="G2703" t="inlineStr">
        <is>
          <t>2016-12-20 12:46:51</t>
        </is>
      </c>
      <c r="H2703" t="inlineStr">
        <is>
          <t>Type 1</t>
        </is>
      </c>
    </row>
    <row r="2704">
      <c r="A2704" t="inlineStr">
        <is>
          <t>5jk4ns</t>
        </is>
      </c>
      <c r="B2704" t="inlineStr">
        <is>
          <t>Considering going Keto.</t>
        </is>
      </c>
      <c r="C2704" t="inlineStr">
        <is>
          <t>Looking for some advice, stories, or really anything you've got to tell me about Keto. Should I consider going full Keto or should I just adapt to a lower carb intake lifestyle? Is is bad as a diabetic to have ketones regularly with controlled blood sugars? 
I'm wanting to get a better grip on my sugar levels and take less insulin in general. Anxiety about lows is becoming too much and the only variable I can think of is to manage my insulin intake.</t>
        </is>
      </c>
      <c r="D2704" t="n">
        <v>8</v>
      </c>
      <c r="E2704" t="n">
        <v>38</v>
      </c>
      <c r="F2704">
        <f>HYPERLINK("https://www.reddit.com/r/diabetes/comments/5jk4ns/considering_going_keto/")</f>
        <v/>
      </c>
      <c r="G2704" t="inlineStr">
        <is>
          <t>2016-12-21 06:21:03</t>
        </is>
      </c>
      <c r="H2704" t="inlineStr">
        <is>
          <t>Type 1</t>
        </is>
      </c>
    </row>
    <row r="2705">
      <c r="A2705" t="inlineStr">
        <is>
          <t>5jkwqp</t>
        </is>
      </c>
      <c r="B2705" t="inlineStr">
        <is>
          <t>New Type 1.5 LADA here - looking for Apps for tracking insulin/BGs</t>
        </is>
      </c>
      <c r="C2705" t="inlineStr">
        <is>
          <t>Been Type 2 since my early years - just got bad news on A1C and Anti-GAD, so my endo has me on insulin.
My question - I've been using MyFitnessPal for forever (I've come down from 240 lbs to 180 lbs using it).  Are there any decent iPhone apps that can track BGs and Insulin dosing that can use MyFitnessPal data for tracking carbs?</t>
        </is>
      </c>
      <c r="D2705" t="n">
        <v>2</v>
      </c>
      <c r="E2705" t="n">
        <v>1</v>
      </c>
      <c r="F2705">
        <f>HYPERLINK("https://www.reddit.com/r/diabetes/comments/5jkwqp/new_type_15_lada_here_looking_for_apps_for/")</f>
        <v/>
      </c>
      <c r="G2705" t="inlineStr">
        <is>
          <t>2016-12-21 08:46:05</t>
        </is>
      </c>
      <c r="H2705" t="inlineStr">
        <is>
          <t>Type 1.5/LADA</t>
        </is>
      </c>
    </row>
    <row r="2706">
      <c r="A2706" t="inlineStr">
        <is>
          <t>5jkypo</t>
        </is>
      </c>
      <c r="B2706" t="inlineStr">
        <is>
          <t>Any type 1's out there on metformin?</t>
        </is>
      </c>
      <c r="C2706" t="inlineStr">
        <is>
          <t xml:space="preserve">I am a type 1, on the pump with cgm and have un expected spikes up to 400. I am on 300mg gabapentin 5 times a day. Have been engaging in yoga several times a day briefly. 230lbs. On my feet most of day. I've heard good things about metformin and that it may be beneficial to my case. 
1-is it having negative effects on your liver?
2-any negative sides on your mental status or other types?
</t>
        </is>
      </c>
      <c r="D2706" t="n">
        <v>1</v>
      </c>
      <c r="E2706" t="n">
        <v>8</v>
      </c>
      <c r="F2706">
        <f>HYPERLINK("https://www.reddit.com/r/diabetes/comments/5jkypo/any_type_1s_out_there_on_metformin/")</f>
        <v/>
      </c>
      <c r="G2706" t="inlineStr">
        <is>
          <t>2016-12-21 08:55:25</t>
        </is>
      </c>
      <c r="H2706" t="inlineStr">
        <is>
          <t>Type 1</t>
        </is>
      </c>
    </row>
    <row r="2707">
      <c r="A2707" t="inlineStr">
        <is>
          <t>5jogmr</t>
        </is>
      </c>
      <c r="B2707" t="inlineStr">
        <is>
          <t>How do you control the Dawn Phenomenon?</t>
        </is>
      </c>
      <c r="C2707" t="inlineStr">
        <is>
          <t>The early morning blood sugar spike.</t>
        </is>
      </c>
      <c r="D2707" t="n">
        <v>3</v>
      </c>
      <c r="E2707" t="n">
        <v>7</v>
      </c>
      <c r="F2707">
        <f>HYPERLINK("https://www.reddit.com/r/diabetes/comments/5jogmr/how_do_you_control_the_dawn_phenomenon/")</f>
        <v/>
      </c>
      <c r="G2707" t="inlineStr">
        <is>
          <t>2016-12-21 19:51:12</t>
        </is>
      </c>
      <c r="H2707" t="inlineStr">
        <is>
          <t>Type 1</t>
        </is>
      </c>
    </row>
    <row r="2708">
      <c r="A2708" t="inlineStr">
        <is>
          <t>5ju8uh</t>
        </is>
      </c>
      <c r="B2708" t="inlineStr">
        <is>
          <t>Low Insulin Day</t>
        </is>
      </c>
      <c r="C2708" t="inlineStr">
        <is>
          <t>Days like today make me feel like I really have good control over my diabetes. I've only used 14 units of Novolog today. 3 of which were to combat my slight dawn spike. Idk the real purpose of sharing this, I just know that no one in my life would appreciate it lol</t>
        </is>
      </c>
      <c r="D2708" t="n">
        <v>7</v>
      </c>
      <c r="E2708" t="n">
        <v>6</v>
      </c>
      <c r="F2708">
        <f>HYPERLINK("https://www.reddit.com/r/diabetes/comments/5ju8uh/low_insulin_day/")</f>
        <v/>
      </c>
      <c r="G2708" t="inlineStr">
        <is>
          <t>2016-12-22 16:56:47</t>
        </is>
      </c>
      <c r="H2708" t="inlineStr">
        <is>
          <t>Type 1</t>
        </is>
      </c>
    </row>
    <row r="2709">
      <c r="A2709" t="inlineStr">
        <is>
          <t>5jxv9r</t>
        </is>
      </c>
      <c r="B2709" t="inlineStr">
        <is>
          <t>Uncontrolled Type II here - A1C was 12.0 a couple weeks ago. My vision just started getting blurry. I'm freaking out here!</t>
        </is>
      </c>
      <c r="C2709" t="inlineStr">
        <is>
          <t>Tuesday or Wednesday this week my vision started getting blurry and any text up close is now blurry. I'm finding it hard for my eyes to focus on things I'm looking at without fighting to focus. My eyes are sore and pulse from time to time. I know how Type II can affect your eyes and I'm freaking out here. I've made an appointment with my eye doc for next Tuesday but I'm starting to become a nervous wreck. I don't want to go blind. I have a 3 year old daughter I want to see grow up.  
Can anyone give me some insight or help here?</t>
        </is>
      </c>
      <c r="D2709" t="n">
        <v>11</v>
      </c>
      <c r="E2709" t="n">
        <v>30</v>
      </c>
      <c r="F2709">
        <f>HYPERLINK("https://www.reddit.com/r/diabetes/comments/5jxv9r/uncontrolled_type_ii_here_a1c_was_120_a_couple/")</f>
        <v/>
      </c>
      <c r="G2709" t="inlineStr">
        <is>
          <t>2016-12-23 08:19:04</t>
        </is>
      </c>
      <c r="H2709" t="inlineStr">
        <is>
          <t>Type 2</t>
        </is>
      </c>
    </row>
    <row r="2710">
      <c r="A2710" t="inlineStr">
        <is>
          <t>5k0t9b</t>
        </is>
      </c>
      <c r="B2710" t="inlineStr">
        <is>
          <t>Good news and bad news. A1C of 5.6%, but cholesterol levels are high.</t>
        </is>
      </c>
      <c r="C2710" t="inlineStr">
        <is>
          <t>I saw my PCP, and my A1C is still maintaining at normal levels (5.6%) with no meds. But my cholesterol levels are high. So, I  don't have to go back on Metformin, But I *am* back on 'statins. 
EDIT: Okie doke, HDL is 63, and LDL is 178. Definitely out of range!</t>
        </is>
      </c>
      <c r="D2710" t="n">
        <v>4</v>
      </c>
      <c r="E2710" t="n">
        <v>38</v>
      </c>
      <c r="F2710">
        <f>HYPERLINK("https://www.reddit.com/r/diabetes/comments/5k0t9b/good_news_and_bad_news_a1c_of_56_but_cholesterol/")</f>
        <v/>
      </c>
      <c r="G2710" t="inlineStr">
        <is>
          <t>2016-12-23 18:11:19</t>
        </is>
      </c>
      <c r="H2710" t="inlineStr">
        <is>
          <t>Type 2</t>
        </is>
      </c>
    </row>
    <row r="2711">
      <c r="A2711" t="inlineStr">
        <is>
          <t>5k5rbs</t>
        </is>
      </c>
      <c r="B2711" t="inlineStr">
        <is>
          <t>Some Advice Losing Weight as a Diabetic</t>
        </is>
      </c>
      <c r="C2711" t="inlineStr">
        <is>
          <t xml:space="preserve">So, in a recent visit with the Endo, I had gained 44 pounds since my last visit (which was nine months prior). I had lost about 40 pounds a few months after my diagnosis, so, is it normal to gain back the weight you lose? Anyways, I've been thinking of going to the gym in order to help start losing weight, and get into better shape (being 5' 10" and 220 pounds isn't exactly healthy). Are there any methods to help lost weight while keeping BG under control? Because when I exercise,  my blood sugar goes high or low, which prevents me from exercising. Sorry if this post is incoherent. Happy holidays!
Also, yes, my diabetes is under control. My A1c is 7.1, where my endocrinologist wants it to be. </t>
        </is>
      </c>
      <c r="D2711" t="n">
        <v>1</v>
      </c>
      <c r="E2711" t="n">
        <v>3</v>
      </c>
      <c r="F2711">
        <f>HYPERLINK("https://www.reddit.com/r/diabetes/comments/5k5rbs/some_advice_losing_weight_as_a_diabetic/")</f>
        <v/>
      </c>
      <c r="G2711" t="inlineStr">
        <is>
          <t>2016-12-24 15:45:57</t>
        </is>
      </c>
      <c r="H2711" t="inlineStr">
        <is>
          <t>Type 1</t>
        </is>
      </c>
    </row>
    <row r="2712">
      <c r="A2712" t="inlineStr">
        <is>
          <t>5k7r0q</t>
        </is>
      </c>
      <c r="B2712" t="inlineStr">
        <is>
          <t>28 years old, diagnosed with type 1 diabetes just in time for Christmas (one month after pancreatitis)</t>
        </is>
      </c>
      <c r="C2712" t="inlineStr">
        <is>
          <t>Hello! Looking to y'all to help ease me into this life change – any tips, inspiration, or etiquette around my daily routine. I'm active, work primarily as a photographer, live in a major city and love to eat often (and well).
Backstory: Just spent two nights in the hospital, one in the ICU, after a rapid onset of symptoms and ketoacidosis (glucose was pushing 500, not fun). Back in November, I had a bout of acute pancreatitis which resolved itself after a very rough stay in the hospital. I've never had any health issues like this and the diagnosis, with a few tests still withstanding, is that it was likely an autoimmune incident of pancreatitis. 2016, AMIRITE.
Everything was going well but after a month of feeling great my pancreas has abruptly called it quits. I'm on day one of this new chapter and feeling optimistic, although they have yet to dial in my insulin levels so my blood sugar is still running high and fluctuating. This made for a rough Christmas Eve dinner.
Currently I am off the booze, I eat healthy and work out, and I have injections before each meal and before bed. At times I feel overwhelmed and depressed, but I know it will become routine. Wishing I could raid the fridge as I'm writing this.
I know this is general but some initial thoughts – I have a ton of paraphernalia in my bag, I take forever to do my injections and readings, I find my glucometer clunky. I know about the  pumps but I hate the idea of wearing something around.
Any photographers or foodies who have diabetes life advice? How's it affect your sex life or world travels or late night munchies or craft brew obsession? Are there any upsides to being hyper aware of your body and diet?
Appreciate the support – looking forward to learning from all of you.</t>
        </is>
      </c>
      <c r="D2712" t="n">
        <v>28</v>
      </c>
      <c r="E2712" t="n">
        <v>30</v>
      </c>
      <c r="F2712">
        <f>HYPERLINK("https://www.reddit.com/r/diabetes/comments/5k7r0q/28_years_old_diagnosed_with_type_1_diabetes_just/")</f>
        <v/>
      </c>
      <c r="G2712" t="inlineStr">
        <is>
          <t>2016-12-25 01:30:32</t>
        </is>
      </c>
      <c r="H2712" t="inlineStr">
        <is>
          <t>Type 1</t>
        </is>
      </c>
    </row>
    <row r="2713">
      <c r="A2713" t="inlineStr">
        <is>
          <t>5ke7l3</t>
        </is>
      </c>
      <c r="B2713" t="inlineStr">
        <is>
          <t>Airport Security Stupidity</t>
        </is>
      </c>
      <c r="C2713" t="inlineStr">
        <is>
          <t>Last week, my wife and I had our honeymoon in England. Knowing we would be flying internationally with my pump and CGM, I made sure to have my doctor write a note stating I cannot walk through the body scanners.
&amp;amp;nbsp;
Leaving from Toronto the week prior, this wasn't an issue. The three ring circus at Heathrow was another story.
&amp;amp;nbsp;
Twice we asked people directing passengers through the various lines about it and twice we got a non-answer to the effect of "security is this way." The next person was a little more helpful, was actually security, and said it wouldn't be a problem.
&amp;amp;nbsp;
The next ~~mallcop~~ security professional then stated I'd have to go through the scanner, even after reading the note. Luckily, he wasn't manning the x-ray/body scanner stations, so fuck him.
&amp;amp;nbsp;
The lady managing the bins for the backpack scanners started off alright. She seemed to understand the note and said she would call for her manager. I told her and the associate at the metal detector that I was opting for a pat-down and could not use the body scanner due to my CGM.
&amp;amp;nbsp;
This is when all hell seemed too break loose. As I was going for the pat-down, I didn't bother removing my belt. I was going to set it off with or without it, so why bother?
&amp;amp;nbsp;
I am told to remove my belongings after again saying I want a pat-down and cannot use the scanner. Of course, my receiver falls from my pocket and the man takes issue with me "throwing my phone at him."
&amp;amp;nbsp;
By this point, I've had it. I manage to correct him and that that piece of technology cannot go through either scanner. Even so, he calls for two people for backup, states "I am refusing to go through the body scanner" and other such nonsense.
&amp;amp;nbsp;
One of the two ~~thugs~~ security professionals that came to help him corrects him and that I actually can't use the scanner, but that message quickly gets lost as I'm both losing my temper, and the other person that came running is now trying to tell me to get moving.
&amp;amp;nbsp;
Despite my note clearing saying my gear can't go through, he's not buying it. He goes on about how people with pumps use it all the time without issue but can't seem to grasp that that's not the problem piece of tech.
&amp;amp;nbsp;
Furious, I try to correct him, but this is met with the threat of police and getting tossed to the streets. Luckily, my wife is able to cry on command and managed to find a manager around this time. He shows up, gives the visual equivalent of a sergeant saying "everyone one of you fucked up just now" with a glance, and I finally get my freaking pat-down.
&amp;amp;nbsp;
TL:DR; Get told I have to use the body scanner despite doctor's note. Lady says she'll get a manager but never does. Nondiabetic wife saves the day.</t>
        </is>
      </c>
      <c r="D2713" t="n">
        <v>24</v>
      </c>
      <c r="E2713" t="n">
        <v>28</v>
      </c>
      <c r="F2713">
        <f>HYPERLINK("https://www.reddit.com/r/diabetes/comments/5ke7l3/airport_security_stupidity/")</f>
        <v/>
      </c>
      <c r="G2713" t="inlineStr">
        <is>
          <t>2016-12-26 07:39:44</t>
        </is>
      </c>
      <c r="H2713" t="inlineStr">
        <is>
          <t>Type 1</t>
        </is>
      </c>
    </row>
    <row r="2714">
      <c r="A2714" t="inlineStr">
        <is>
          <t>5kikt1</t>
        </is>
      </c>
      <c r="B2714" t="inlineStr">
        <is>
          <t>Need advice for CGM</t>
        </is>
      </c>
      <c r="C2714" t="inlineStr">
        <is>
          <t>Hey!
I've been diabetic for about 8 years, T1. My A1C used be between 6-7 as a 16-17 year old, but recently I moved countries, and well, things aren't too good. I hang between 8-9 over the past year or so, and tbh I know it's down to my terrible measuring habits. I'm using a Medtronic pump, so I was wondering if it made practical sense for me to get a CGM? I'm sceptical of the constant calibration, and whether something like this would make me even lazier. 
Any advice would be highly appreciated.</t>
        </is>
      </c>
      <c r="D2714" t="n">
        <v>3</v>
      </c>
      <c r="E2714" t="n">
        <v>5</v>
      </c>
      <c r="F2714">
        <f>HYPERLINK("https://www.reddit.com/r/diabetes/comments/5kikt1/need_advice_for_cgm/")</f>
        <v/>
      </c>
      <c r="G2714" t="inlineStr">
        <is>
          <t>2016-12-26 23:39:45</t>
        </is>
      </c>
      <c r="H2714" t="inlineStr">
        <is>
          <t>Type 1</t>
        </is>
      </c>
    </row>
    <row r="2715">
      <c r="A2715" t="inlineStr">
        <is>
          <t>5klbj7</t>
        </is>
      </c>
      <c r="B2715" t="inlineStr">
        <is>
          <t>If I would take double dosage of levemir question.</t>
        </is>
      </c>
      <c r="C2715" t="inlineStr">
        <is>
          <t>If I take a double dose, 42 units by accident, how many hours does it take until I feel the action? I take 21 every 12 hours btw.</t>
        </is>
      </c>
      <c r="D2715" t="n">
        <v>7</v>
      </c>
      <c r="E2715" t="n">
        <v>19</v>
      </c>
      <c r="F2715">
        <f>HYPERLINK("https://www.reddit.com/r/diabetes/comments/5klbj7/if_i_would_take_double_dosage_of_levemir_question/")</f>
        <v/>
      </c>
      <c r="G2715" t="inlineStr">
        <is>
          <t>2016-12-27 10:47:00</t>
        </is>
      </c>
      <c r="H2715" t="inlineStr">
        <is>
          <t>Type 1</t>
        </is>
      </c>
    </row>
    <row r="2716">
      <c r="A2716" t="inlineStr">
        <is>
          <t>5kmrlw</t>
        </is>
      </c>
      <c r="B2716" t="inlineStr">
        <is>
          <t>Fat, Sick, and Nearly Dead film shows diet using blender machine to make smoothies. Good idea?</t>
        </is>
      </c>
      <c r="C2716" t="inlineStr">
        <is>
          <t>I was diagnosed with diabetes type 1 at same time I got sick with meningitis 2 years ago. I was 26 that time. I'm 5'8 and weight 140 lbs when I got sick. I weight 125 after release and stay on antibiotics for few months to be sure all meningitis is gone even though I got better in a week. My A1C when I was sick was at 12. Now I'm at A1C 7.6 (up from lowest at 5.9 in 2 years) and I weight 220 lbs. I look awful. I had to buy more and more clothes that fit me. After watching this film on Netflix, I thought this would be good idea. Problem is the man in film has different kind of autoimmune disease, but not diabetes. His goal is to lose weigh in 60 days using blender thingy to make smoothies only from fruits and vegetables. He managed to ignore all taunts in restaurants in front of his friends eating whatever they want. He lost the carving on unhealthy foods. I just got membership to Ymca, but I know it won't be enough if I eat whatever I want. Any other advice is welcomed.
In case you wonder about the film, here's the website along with recipes sent to your email if you registered. He has two films, by the way 1st and 2nd both on netflix.
http://www.fatsickandnearlydead.com/</t>
        </is>
      </c>
      <c r="D2716" t="n">
        <v>0</v>
      </c>
      <c r="E2716" t="n">
        <v>17</v>
      </c>
      <c r="F2716">
        <f>HYPERLINK("https://www.reddit.com/r/diabetes/comments/5kmrlw/fat_sick_and_nearly_dead_film_shows_diet_using/")</f>
        <v/>
      </c>
      <c r="G2716" t="inlineStr">
        <is>
          <t>2016-12-27 15:10:43</t>
        </is>
      </c>
      <c r="H2716" t="inlineStr">
        <is>
          <t>Type 1</t>
        </is>
      </c>
    </row>
    <row r="2717">
      <c r="A2717" t="inlineStr">
        <is>
          <t>5kpbrz</t>
        </is>
      </c>
      <c r="B2717" t="inlineStr">
        <is>
          <t>1. Need advice on T1D in old age 2. Has as anyone here had an islet cell transplant?</t>
        </is>
      </c>
      <c r="C2717" t="inlineStr">
        <is>
          <t>My mom has suffered from T1D since she was 8 years old. She counts calories and takes care of herself amazingly well. Unfortunately she is now 60 and she has had a lot of low episodes this year. Usually there would be one every few years but now it's nearly one every week. I have had to call the paramedics 3 times in the last 4 months. She is either hypoglycaemic or she is in danger of falling into a low. 
Her doctor has slightly lowered the amount of insulin she is getting and advised an Islet Cell Transplant. My mom is also a doctor and she says the immunosuppressant drugs will cause her to significantly lose quality of life. I don't want to lose her but I don't want her life to be shitty.
If anyone has any experiences with getting an Islet Cell Transplant please tell me how it went for you. And if anyone has any advice to help me/us in this situation i would really appreciate it.</t>
        </is>
      </c>
      <c r="D2717" t="n">
        <v>2</v>
      </c>
      <c r="E2717" t="n">
        <v>7</v>
      </c>
      <c r="F2717">
        <f>HYPERLINK("https://www.reddit.com/r/diabetes/comments/5kpbrz/1_need_advice_on_t1d_in_old_age_2_has_as_anyone/")</f>
        <v/>
      </c>
      <c r="G2717" t="inlineStr">
        <is>
          <t>2016-12-28 00:56:30</t>
        </is>
      </c>
      <c r="H2717" t="inlineStr">
        <is>
          <t>Type 1</t>
        </is>
      </c>
    </row>
    <row r="2718">
      <c r="A2718" t="inlineStr">
        <is>
          <t>5kt94o</t>
        </is>
      </c>
      <c r="B2718" t="inlineStr">
        <is>
          <t>The Dietary Fiber on this granola cereal has got to be bullshit right?</t>
        </is>
      </c>
      <c r="C2718" t="inlineStr">
        <is>
          <t>http://i.imgur.com/z8JzsDq.jpg
-------------------
I found this cereal with the lowest amount of carbs in any cereal I've ever seen. 8g per 30g is insanely low compared to most cereals that hover around 17-28 g carbs. 
But then I saw the diatery fiber at 11g, and as far as I've been told, if the dietary fiber is above 6 I should substract it from the amount of carbs, in this case that would mean this cereal has 0 g of carbs.
Am I doing something wrong? Have you ever found any cereal like so or is the nutritional information bullshit? I was diagnosed about 3 years ago and have only eaten cereal a handful of times, which sucks because I love cereal but they just have too many carbs for such small serving sizes. Thanks</t>
        </is>
      </c>
      <c r="D2718" t="n">
        <v>2</v>
      </c>
      <c r="E2718" t="n">
        <v>11</v>
      </c>
      <c r="F2718">
        <f>HYPERLINK("https://www.reddit.com/r/diabetes/comments/5kt94o/the_dietary_fiber_on_this_granola_cereal_has_got/")</f>
        <v/>
      </c>
      <c r="G2718" t="inlineStr">
        <is>
          <t>2016-12-28 15:00:42</t>
        </is>
      </c>
      <c r="H2718" t="inlineStr">
        <is>
          <t>Type 1</t>
        </is>
      </c>
    </row>
    <row r="2719">
      <c r="A2719" t="inlineStr">
        <is>
          <t>5l1i3o</t>
        </is>
      </c>
      <c r="B2719" t="inlineStr">
        <is>
          <t>We survived Hanukah!</t>
        </is>
      </c>
      <c r="C2719" t="inlineStr">
        <is>
          <t xml:space="preserve">Started off the day a little high, spiking around 288, so needed a correction with breakfast.
But the big star of the day was a dinner of latkes at the grandparents' house. I made sweet potato and regular latkes, with applesauce, cinnamon sugar, sour cream, and curry powder (don't laugh - it's actually really good :)
Prolbem is that figuring carbs for latkes is a total crapshoot, plus they're full of oil and fat so I knew we would be facing a late spike. We decided to bolus 5u, which would cover 60g of carbs, with the meal, and do a second bolus later. We also had an early dinner so we'd have time to correct things later.
Well, an hour and a half after the meal, I figured we'd be ready for another 5u, but BG measured at 245, and my wife didn't want kiddo to crash on the way home, so we settled on 3u. 
A few hours later, and he was at 143.  150 at bedtime.
The 2am check gave my wife a scare with a low reading, but a retest on another finger came out good. 
Some days, it almost looks like we know what we're doing.
</t>
        </is>
      </c>
      <c r="D2719" t="n">
        <v>1</v>
      </c>
      <c r="E2719" t="n">
        <v>3</v>
      </c>
      <c r="F2719">
        <f>HYPERLINK("https://www.reddit.com/r/diabetes/comments/5l1i3o/we_survived_hanukah/")</f>
        <v/>
      </c>
      <c r="G2719" t="inlineStr">
        <is>
          <t>2016-12-29 20:30:37</t>
        </is>
      </c>
      <c r="H2719" t="inlineStr">
        <is>
          <t>Type 1</t>
        </is>
      </c>
    </row>
    <row r="2720">
      <c r="A2720" t="inlineStr">
        <is>
          <t>5l800v</t>
        </is>
      </c>
      <c r="B2720" t="inlineStr">
        <is>
          <t>How long after a meal bolus do I need to wait to give a correction?</t>
        </is>
      </c>
      <c r="C2720" t="inlineStr">
        <is>
          <t>Hey all. I use Novolog in my pump. My question is, if I eat a meal and take insulin accordingly, how long should I wait to correct for a high BG?
Example: BG is 100, So I bolus and eat a meal. About 30 minutes after eating, BG is 220.
At this point, would it be ok to correct for that high?
I'm a little worried that the food was affecting my blood sugar faster than the insulin. So, if I were to take a correction, *and then* the meal-time bolus was to take effect on top of that I could go hypo.</t>
        </is>
      </c>
      <c r="D2720" t="n">
        <v>3</v>
      </c>
      <c r="E2720" t="n">
        <v>11</v>
      </c>
      <c r="F2720">
        <f>HYPERLINK("https://www.reddit.com/r/diabetes/comments/5l800v/how_long_after_a_meal_bolus_do_i_need_to_wait_to/")</f>
        <v/>
      </c>
      <c r="G2720" t="inlineStr">
        <is>
          <t>2016-12-30 20:45:31</t>
        </is>
      </c>
      <c r="H2720" t="inlineStr">
        <is>
          <t>Type 1</t>
        </is>
      </c>
    </row>
    <row r="2721">
      <c r="A2721" t="inlineStr">
        <is>
          <t>5la7fo</t>
        </is>
      </c>
      <c r="B2721" t="inlineStr">
        <is>
          <t>My doctor switched my medication again and it's getting frustrating</t>
        </is>
      </c>
      <c r="C2721" t="inlineStr">
        <is>
          <t>About 2 years ago when I was diagnosed with diabetes type 2 my doctor gave me metformin. We tried 1000 mg once a day and that proved to be too much so it got changed to 500 mg twice a day to see if that would make a difference. I took that medication for just over a year. The side effects were just horrible. Constant diarrhea, nausea and a number of other side effects I was getting. 
Doctor finally switched me. She gave me glimepiride. Same problems and side effects only less with this medication. Yet here we are a few months in and she switches me to Glyxambi because she doesn't like what Glimepiride is doing and I'm still feeling the side effects I had with metformin. Well here I am a week almost 2 weeks into this new medication and nothing has changed. 
It's getting frustrating that she keeps changing my meds yet they all have similar side effects. Is there a medication that doesn't have as many side effects as these other medications that I can mention to her and see?</t>
        </is>
      </c>
      <c r="D2721" t="n">
        <v>3</v>
      </c>
      <c r="E2721" t="n">
        <v>4</v>
      </c>
      <c r="F2721">
        <f>HYPERLINK("https://www.reddit.com/r/diabetes/comments/5la7fo/my_doctor_switched_my_medication_again_and_its/")</f>
        <v/>
      </c>
      <c r="G2721" t="inlineStr">
        <is>
          <t>2016-12-31 07:54:43</t>
        </is>
      </c>
      <c r="H2721" t="inlineStr">
        <is>
          <t>Type 2</t>
        </is>
      </c>
    </row>
    <row r="2722">
      <c r="A2722" t="inlineStr">
        <is>
          <t>5ld9n8</t>
        </is>
      </c>
      <c r="B2722" t="inlineStr">
        <is>
          <t>Higher insulin dosages in T2s may not be associated with greater health risks</t>
        </is>
      </c>
      <c r="C2722" t="inlineStr">
        <is>
          <t>*From the non-paywalled interpretation:*
"In conventional multivariable regression analysis, higher insulin doses are associated with increased mortality after adjustment for baseline covariates. However, this effect seems to be confounded by time-dependent factors such as insulin exposure, glycaemic control, bodyweight gain, and the occurrence of cardiovascular and hypoglycaemic events. This study provides reassurance of the overall safety of insulin use in the treatment of type 2 diabetes and contributes to our understanding of the contrasting conclusions from non-randomised and randomised studies regarding dose-dependent effects of insulin on cardiovascular events and mortality."
http://www.thelancet.com/pdfs/journals/landia/PIIS2213-8587(16)30316-3.pdf</t>
        </is>
      </c>
      <c r="D2722" t="n">
        <v>2</v>
      </c>
      <c r="E2722" t="n">
        <v>3</v>
      </c>
      <c r="F2722">
        <f>HYPERLINK("https://www.reddit.com/r/diabetes/comments/5ld9n8/higher_insulin_dosages_in_t2s_may_not_be/")</f>
        <v/>
      </c>
      <c r="G2722" t="inlineStr">
        <is>
          <t>2016-12-31 19:14:11</t>
        </is>
      </c>
      <c r="H2722" t="inlineStr">
        <is>
          <t>Type 2</t>
        </is>
      </c>
    </row>
    <row r="2723">
      <c r="A2723" t="inlineStr">
        <is>
          <t>5lfivk</t>
        </is>
      </c>
      <c r="B2723" t="inlineStr">
        <is>
          <t>Is there any Irish Type 1 Diabetics who have moved to Canada? Do you pay for Insulin?</t>
        </is>
      </c>
      <c r="C2723" t="inlineStr">
        <is>
          <t>Hi, I'm thinking of moving to Canada on a 2 year working holiday/ Young professionals Visa. I'm coming from Ireland where I don't have to pay for my insulin. Can anybody advise me what the story is for getting insulin over there?</t>
        </is>
      </c>
      <c r="D2723" t="n">
        <v>1</v>
      </c>
      <c r="E2723" t="n">
        <v>3</v>
      </c>
      <c r="F2723">
        <f>HYPERLINK("https://www.reddit.com/r/diabetes/comments/5lfivk/is_there_any_irish_type_1_diabetics_who_have/")</f>
        <v/>
      </c>
      <c r="G2723" t="inlineStr">
        <is>
          <t>2017-01-01 07:23:37</t>
        </is>
      </c>
      <c r="H2723" t="inlineStr">
        <is>
          <t>Type 1</t>
        </is>
      </c>
    </row>
    <row r="2724">
      <c r="A2724" t="inlineStr">
        <is>
          <t>5lj7yt</t>
        </is>
      </c>
      <c r="B2724" t="inlineStr">
        <is>
          <t>[T1] Dexcom G5 transmitter question</t>
        </is>
      </c>
      <c r="C2724" t="inlineStr">
        <is>
          <t>Hey so I just got two new transmitters in the mail 3 days ago. I went to change to my new transmitter. I disconnected the old one, put in the new code and put the new transmitter on and started the way hour warm up on a new site, and I got a low battery warning. Was the new one not charged? It shows the code for the new transmitter so it can't be connected to the old one. What should I do? I'm going to call dexcom tomorrow if it continues to show low battery.
Edit Update: dexcom sent a new sensor and transmitter with a prepaid label to return the old one.</t>
        </is>
      </c>
      <c r="D2724" t="n">
        <v>1</v>
      </c>
      <c r="E2724" t="n">
        <v>6</v>
      </c>
      <c r="F2724">
        <f>HYPERLINK("https://www.reddit.com/r/diabetes/comments/5lj7yt/t1_dexcom_g5_transmitter_question/")</f>
        <v/>
      </c>
      <c r="G2724" t="inlineStr">
        <is>
          <t>2017-01-01 20:03:57</t>
        </is>
      </c>
      <c r="H2724" t="inlineStr">
        <is>
          <t>Type 1</t>
        </is>
      </c>
    </row>
    <row r="2725">
      <c r="A2725" t="inlineStr">
        <is>
          <t>5lo53a</t>
        </is>
      </c>
      <c r="B2725" t="inlineStr">
        <is>
          <t>How do you determine how many carbs your body can handle?</t>
        </is>
      </c>
      <c r="C2725" t="inlineStr">
        <is>
          <t>I guess it's really trial and error in theory, but I'm at a diet of 100g of carbs a day or less and my latest A1C is 6.1 (up from 5.7) despite the carb-counting (and of course, exercise). 100g a day was just a number I tried since I heard it's low-carb and many people are successful with it, but how did you figure out your right ratio? Was it by testing 2 hours after what you ate? Or by A1cs? 
I am also worried about getting under 100g of carbs a day, because when I do, I am absolutely EXHAUSTED and nothing feels better than a slice of bread, but that's another story.
Edit: Some info. I was diagnosed with T2 about five months ago. I immediately started cutting carbs. I'm 5'3" and 114 pounds, if that matters. I'm currently not taking any medication.</t>
        </is>
      </c>
      <c r="D2725" t="n">
        <v>9</v>
      </c>
      <c r="E2725" t="n">
        <v>25</v>
      </c>
      <c r="F2725">
        <f>HYPERLINK("https://www.reddit.com/r/diabetes/comments/5lo53a/how_do_you_determine_how_many_carbs_your_body_can/")</f>
        <v/>
      </c>
      <c r="G2725" t="inlineStr">
        <is>
          <t>2017-01-02 14:41:24</t>
        </is>
      </c>
      <c r="H2725" t="inlineStr">
        <is>
          <t>Type 2</t>
        </is>
      </c>
    </row>
    <row r="2726">
      <c r="A2726" t="inlineStr">
        <is>
          <t>5lobl1</t>
        </is>
      </c>
      <c r="B2726" t="inlineStr">
        <is>
          <t>Sugars</t>
        </is>
      </c>
      <c r="C2726" t="inlineStr">
        <is>
          <t>I am experiencing trouble trying to keep my sugar spikes at bay.  I do not use an insulin pump, only the insulin pens.  :I get spikes after lunch around 130, and then at night before bedtime (i take 15 units levemir and have a snack). The spike will start about half an hour later, and goes 12-4 usually.  
Can somebody offer any suggestions?  Thanks!</t>
        </is>
      </c>
      <c r="D2726" t="n">
        <v>1</v>
      </c>
      <c r="E2726" t="n">
        <v>2</v>
      </c>
      <c r="F2726">
        <f>HYPERLINK("https://www.reddit.com/r/diabetes/comments/5lobl1/sugars/")</f>
        <v/>
      </c>
      <c r="G2726" t="inlineStr">
        <is>
          <t>2017-01-02 15:15:09</t>
        </is>
      </c>
      <c r="H2726" t="inlineStr">
        <is>
          <t>Type 1</t>
        </is>
      </c>
    </row>
    <row r="2727">
      <c r="A2727" t="inlineStr">
        <is>
          <t>5lp599</t>
        </is>
      </c>
      <c r="B2727" t="inlineStr">
        <is>
          <t>Can moderate to heavy drinking for close to decade cause Insulin resistance?</t>
        </is>
      </c>
      <c r="C2727" t="inlineStr">
        <is>
          <t xml:space="preserve">As the title states. I have been pre-diabetic for over a year. Trying to make sense of how I came about pre-diabetes. I haven't come across alot of information on this besides heavy drinking causing pancreatitis and then Type 2 but this wouldn't be the case for me as I have never experienced pancreatitis. I'm just curious if drinking for a long period of time can cause less insulin sensitivity. </t>
        </is>
      </c>
      <c r="D2727" t="n">
        <v>4</v>
      </c>
      <c r="E2727" t="n">
        <v>1</v>
      </c>
      <c r="F2727">
        <f>HYPERLINK("https://www.reddit.com/r/diabetes/comments/5lp599/can_moderate_to_heavy_drinking_for_close_to/")</f>
        <v/>
      </c>
      <c r="G2727" t="inlineStr">
        <is>
          <t>2017-01-02 17:51:50</t>
        </is>
      </c>
      <c r="H2727" t="inlineStr">
        <is>
          <t>Type 2</t>
        </is>
      </c>
    </row>
    <row r="2728">
      <c r="A2728" t="inlineStr">
        <is>
          <t>5lpo84</t>
        </is>
      </c>
      <c r="B2728" t="inlineStr">
        <is>
          <t>How much insulin do you give for eating nothing but meat? Or food with fat and protein but little to no carbs? I always see blood sugar spikes that last a while when I eat these foods..</t>
        </is>
      </c>
      <c r="C2728" t="inlineStr">
        <is>
          <t>Very annoying. And so strange to give insulin for foods that dont have carbs. 
What the F man..</t>
        </is>
      </c>
      <c r="D2728" t="n">
        <v>2</v>
      </c>
      <c r="E2728" t="n">
        <v>3</v>
      </c>
      <c r="F2728">
        <f>HYPERLINK("https://www.reddit.com/r/diabetes/comments/5lpo84/how_much_insulin_do_you_give_for_eating_nothing/")</f>
        <v/>
      </c>
      <c r="G2728" t="inlineStr">
        <is>
          <t>2017-01-02 19:37:46</t>
        </is>
      </c>
      <c r="H2728" t="inlineStr">
        <is>
          <t>Type 1</t>
        </is>
      </c>
    </row>
    <row r="2729">
      <c r="A2729" t="inlineStr">
        <is>
          <t>5lu2b8</t>
        </is>
      </c>
      <c r="B2729" t="inlineStr">
        <is>
          <t>I am so excited!</t>
        </is>
      </c>
      <c r="C2729" t="inlineStr">
        <is>
          <t xml:space="preserve">I recently received a (refurb'd) new pump (Animas Ping) and can actually see the screen and it's fantastic. That's not what I'm excited about though... the new year has seemed to breathe fresh air into my motivation because my numbers have been beautiful for the last 3 days now... I mean, not perfect, by any means, but compared to the 20s and 30s I'm used to seeing!! 
Today I've had an 8.5, 8.2, and 8.7! All yesterday, I had a 7.2, 6.0, 8.0, 8.9, and 7.9! This is just... wow. It may be the replacement of my meter which was randomly marking my tests as control solution (it detects control solution automatically, so I feel it was very much malfunctioning...) combined with being on vacation, but it's amazing! I feel great! </t>
        </is>
      </c>
      <c r="D2729" t="n">
        <v>1</v>
      </c>
      <c r="E2729" t="n">
        <v>2</v>
      </c>
      <c r="F2729">
        <f>HYPERLINK("https://www.reddit.com/r/diabetes/comments/5lu2b8/i_am_so_excited/")</f>
        <v/>
      </c>
      <c r="G2729" t="inlineStr">
        <is>
          <t>2017-01-03 11:55:59</t>
        </is>
      </c>
      <c r="H2729" t="inlineStr">
        <is>
          <t>Type 1</t>
        </is>
      </c>
    </row>
    <row r="2730">
      <c r="A2730" t="inlineStr">
        <is>
          <t>5lubvy</t>
        </is>
      </c>
      <c r="B2730" t="inlineStr">
        <is>
          <t>How can I help?</t>
        </is>
      </c>
      <c r="C2730" t="inlineStr">
        <is>
          <t>My girlfriend (T1) just got back from the doctor with a1c of 10. I want to know how I can help her get that down. She was sick a lot recently which does cause her numbers to go up but... Is there anything I (her concerned boyfriend) can do to help?</t>
        </is>
      </c>
      <c r="D2730" t="n">
        <v>16</v>
      </c>
      <c r="E2730" t="n">
        <v>10</v>
      </c>
      <c r="F2730">
        <f>HYPERLINK("https://www.reddit.com/r/diabetes/comments/5lubvy/how_can_i_help/")</f>
        <v/>
      </c>
      <c r="G2730" t="inlineStr">
        <is>
          <t>2017-01-03 12:37:53</t>
        </is>
      </c>
      <c r="H2730" t="inlineStr">
        <is>
          <t>Type 1</t>
        </is>
      </c>
    </row>
    <row r="2731">
      <c r="A2731" t="inlineStr">
        <is>
          <t>5lwcge</t>
        </is>
      </c>
      <c r="B2731" t="inlineStr">
        <is>
          <t>Seeking recommendations for audiobooks about controlling type 2</t>
        </is>
      </c>
      <c r="C2731" t="inlineStr">
        <is>
          <t>Hi all, hope this post is okay here. My 53-year-old father has type 2 diabetes and has been struggling to control it for what must be about 20 years now.
He has asked me to find him an audiobook he could listen to that could help him "beat diabetes," as he says. A weight loss aspect may be secondary, but if they happen to come hand in hand with the diet, that would be great. 
Hoping you guys might have some suggestions. I know very very little about the subject and want to choose something he could find helpful.
Thanks!</t>
        </is>
      </c>
      <c r="D2731" t="n">
        <v>1</v>
      </c>
      <c r="E2731" t="n">
        <v>6</v>
      </c>
      <c r="F2731">
        <f>HYPERLINK("https://www.reddit.com/r/diabetes/comments/5lwcge/seeking_recommendations_for_audiobooks_about/")</f>
        <v/>
      </c>
      <c r="G2731" t="inlineStr">
        <is>
          <t>2017-01-03 18:20:16</t>
        </is>
      </c>
      <c r="H2731" t="inlineStr">
        <is>
          <t>Type 2</t>
        </is>
      </c>
    </row>
    <row r="2732">
      <c r="A2732" t="inlineStr">
        <is>
          <t>5m0mtj</t>
        </is>
      </c>
      <c r="B2732" t="inlineStr">
        <is>
          <t>How long should I wait to correct a high blood sugar if I already gave a correction that might have not been enough?</t>
        </is>
      </c>
      <c r="C2732" t="inlineStr">
        <is>
          <t>Woke up with 238. Gave insulin but also extra for a small breakfast since I was so hungry.
I dont usually get high numbers so... Wait 2 hours like with meals or longer if I as just high normally between meals?</t>
        </is>
      </c>
      <c r="D2732" t="n">
        <v>7</v>
      </c>
      <c r="E2732" t="n">
        <v>7</v>
      </c>
      <c r="F2732">
        <f>HYPERLINK("https://www.reddit.com/r/diabetes/comments/5m0mtj/how_long_should_i_wait_to_correct_a_high_blood/")</f>
        <v/>
      </c>
      <c r="G2732" t="inlineStr">
        <is>
          <t>2017-01-04 10:01:20</t>
        </is>
      </c>
      <c r="H2732" t="inlineStr">
        <is>
          <t>Type 1</t>
        </is>
      </c>
    </row>
    <row r="2733">
      <c r="A2733" t="inlineStr">
        <is>
          <t>5m1n3q</t>
        </is>
      </c>
      <c r="B2733" t="inlineStr">
        <is>
          <t>Need a home tester for borderline T2</t>
        </is>
      </c>
      <c r="C2733" t="inlineStr">
        <is>
          <t>My mom is borderline type 2, and I want to get her a home tester, but I am completely lost on which one to go with.  I just want something that's easy to use and that's accurate.
I've looked on amazon and one person says this tester is accurate and another person says that's this tester isn't accurate.  
I am completely lost here.</t>
        </is>
      </c>
      <c r="D2733" t="n">
        <v>2</v>
      </c>
      <c r="E2733" t="n">
        <v>4</v>
      </c>
      <c r="F2733">
        <f>HYPERLINK("https://www.reddit.com/r/diabetes/comments/5m1n3q/need_a_home_tester_for_borderline_t2/")</f>
        <v/>
      </c>
      <c r="G2733" t="inlineStr">
        <is>
          <t>2017-01-04 12:40:47</t>
        </is>
      </c>
      <c r="H2733" t="inlineStr">
        <is>
          <t>Type 2</t>
        </is>
      </c>
    </row>
    <row r="2734">
      <c r="A2734" t="inlineStr">
        <is>
          <t>5m1uy8</t>
        </is>
      </c>
      <c r="B2734" t="inlineStr">
        <is>
          <t>MODY or LADA?</t>
        </is>
      </c>
      <c r="C2734" t="inlineStr">
        <is>
          <t xml:space="preserve">I'm a 21 yo woman who's been diagnosed with diabetes in October 2016, but my doctor isn't sure if it's MODY or LADA. I couldn't afford in depth testing, and that's where the doubt comes from. 
I'm not overweight, my father has type 2, and there are *some* relatives with diabetes both on my father's and mother's sides, but these are all type 2 and overweight. My C-peptide was low, but I tested negative for antibodies. The doc said it might be a false negative due to LADA just starting to set it, OR a form of MODY, but she couldn't tell me which one since I couldn't afford further testing. 
Now my questions is, is any of you going though something similar? It's all new and confusing for me, and I feel terribly alone since I don't know anyone else with LADA/MODY in real life. Any advice / clarification is greatly appreciated. Thank you! </t>
        </is>
      </c>
      <c r="D2734" t="n">
        <v>3</v>
      </c>
      <c r="E2734" t="n">
        <v>4</v>
      </c>
      <c r="F2734">
        <f>HYPERLINK("https://www.reddit.com/r/diabetes/comments/5m1uy8/mody_or_lada/")</f>
        <v/>
      </c>
      <c r="G2734" t="inlineStr">
        <is>
          <t>2017-01-04 13:15:15</t>
        </is>
      </c>
      <c r="H2734" t="inlineStr">
        <is>
          <t>Type 1.5/LADA</t>
        </is>
      </c>
    </row>
    <row r="2735">
      <c r="A2735" t="inlineStr">
        <is>
          <t>5m21al</t>
        </is>
      </c>
      <c r="B2735" t="inlineStr">
        <is>
          <t>Big Toe Asleep?</t>
        </is>
      </c>
      <c r="C2735" t="inlineStr">
        <is>
          <t xml:space="preserve">I can't say this is related to diabetes as I have some back issues that led to pain down my legs despite exercise/stretching/yoga/chiropractor/pt/etc., but when I wake up sometimes one or both of my big toes feel asleep and it can last for most of a day.
I am super worried about nerve damage long term and wasn't sure if that was a bell weather of feet issues?  Anybody had a similar instance? </t>
        </is>
      </c>
      <c r="D2735" t="n">
        <v>1</v>
      </c>
      <c r="E2735" t="n">
        <v>0</v>
      </c>
      <c r="F2735">
        <f>HYPERLINK("https://www.reddit.com/r/diabetes/comments/5m21al/big_toe_asleep/")</f>
        <v/>
      </c>
      <c r="G2735" t="inlineStr">
        <is>
          <t>2017-01-04 13:43:44</t>
        </is>
      </c>
      <c r="H2735" t="inlineStr">
        <is>
          <t>Type 1.5/LADA</t>
        </is>
      </c>
    </row>
    <row r="2736">
      <c r="A2736" t="inlineStr">
        <is>
          <t>5m47ug</t>
        </is>
      </c>
      <c r="B2736" t="inlineStr">
        <is>
          <t>Dexcom G5 keeps failing, what am I doing wrong? [Type 1]</t>
        </is>
      </c>
      <c r="C2736" t="inlineStr">
        <is>
          <t>I've been a user for maybe a month and a half now and it keeps failing me and I don't know why. I tried restarting it. I tried changing location. I've literally tried everything and it keeps failing and it's frustrating and scary. Especially when the insurance won't pay for the inserts. This is the thing that got me out of a burnout.. this dropped my a1c significantly, in the time I've had it. If anyone has any sort of insight to why this keeps happening, that'd be great cuz I'm kinda at my wits end right now.</t>
        </is>
      </c>
      <c r="D2736" t="n">
        <v>1</v>
      </c>
      <c r="E2736" t="n">
        <v>11</v>
      </c>
      <c r="F2736">
        <f>HYPERLINK("https://www.reddit.com/r/diabetes/comments/5m47ug/dexcom_g5_keeps_failing_what_am_i_doing_wrong/")</f>
        <v/>
      </c>
      <c r="G2736" t="inlineStr">
        <is>
          <t>2017-01-04 20:16:43</t>
        </is>
      </c>
      <c r="H2736" t="inlineStr">
        <is>
          <t>Type 1</t>
        </is>
      </c>
    </row>
    <row r="2737">
      <c r="A2737" t="inlineStr">
        <is>
          <t>5m6axz</t>
        </is>
      </c>
      <c r="B2737" t="inlineStr">
        <is>
          <t>Night 1 with Dexcom</t>
        </is>
      </c>
      <c r="C2737" t="inlineStr">
        <is>
          <t>I used Enlite for a long time, then finally gave up on CGM. I was paying out of pocket and tired of how horrible the CGM was. I thought, for a little while, the Enlite worked ok, but that was while I was eating keto and my blood sugars were ridiculously stable. As soon as my sugars started varying more, the Enlite was awful.
Now, about a year later, I am due a new pump and, during the process, found out my insurance would now cover CGM. I decided to try Dexcom, got it yesterday, and last night was my first night wearing. Holy shit this thing is amazing! It has actually tracked my blood sugars perfectly, something the Enlite never did, especially in the first 24 hours. I can finally see why people are comfortable enough with their readings to bolus based on them. And a closed loop system actually seems trustworthy with a sensor like this. I am amazed and thrilled.
tl/dr: If you are deciding between Enlite and Dexcom, for the love of god, choose Dexcom.</t>
        </is>
      </c>
      <c r="D2737" t="n">
        <v>15</v>
      </c>
      <c r="E2737" t="n">
        <v>9</v>
      </c>
      <c r="F2737">
        <f>HYPERLINK("https://www.reddit.com/r/diabetes/comments/5m6axz/night_1_with_dexcom/")</f>
        <v/>
      </c>
      <c r="G2737" t="inlineStr">
        <is>
          <t>2017-01-05 05:13:16</t>
        </is>
      </c>
      <c r="H2737" t="inlineStr">
        <is>
          <t>Type 1</t>
        </is>
      </c>
    </row>
    <row r="2738">
      <c r="A2738" t="inlineStr">
        <is>
          <t>5m7ky8</t>
        </is>
      </c>
      <c r="B2738" t="inlineStr">
        <is>
          <t>Has anyone had Erectile Dysfunction and cured it with good blood sugar control?</t>
        </is>
      </c>
      <c r="C2738" t="inlineStr">
        <is>
          <t>Now I know this isn't necessarily a diabetes-specific thing, but it's the only reason I can see that id have ED at this age. 
I'm only 25 but I've had T1 for thirteen years.  In my younger days my control wasn't good.  Recently I've been better (altho my most recent A1C was 7.5, .6 higher than my last) but I'm still unable to achieve a full erection, even when masturbating.  
The doctors say they can't see a reason for my ED, but I saw a urologist and he said diabetes is one of the most common causes of "organic" ED.  For whatever reason he was unwilling to do x-rays or tests to rule out venous leak or something.
I donno, I'm having a really tough time dealing with this and I guess I'm just wondering if anyone else has faced a similar issue and had a positive outcome? 
Thanks</t>
        </is>
      </c>
      <c r="D2738" t="n">
        <v>13</v>
      </c>
      <c r="E2738" t="n">
        <v>21</v>
      </c>
      <c r="F2738">
        <f>HYPERLINK("https://www.reddit.com/r/diabetes/comments/5m7ky8/has_anyone_had_erectile_dysfunction_and_cured_it/")</f>
        <v/>
      </c>
      <c r="G2738" t="inlineStr">
        <is>
          <t>2017-01-05 09:09:09</t>
        </is>
      </c>
      <c r="H2738" t="inlineStr">
        <is>
          <t>Type 1</t>
        </is>
      </c>
    </row>
    <row r="2739">
      <c r="A2739" t="inlineStr">
        <is>
          <t>5mc6vz</t>
        </is>
      </c>
      <c r="B2739" t="inlineStr">
        <is>
          <t>Are glucose levels really that hard to control/predict?</t>
        </is>
      </c>
      <c r="C2739" t="inlineStr">
        <is>
          <t>Hi everyone, this is my first time posting here, I've been scrolling through the subreddit and have seen people say a lot that you need to keep on checking your glucose levels throughout the day so that you can control it, however that's quite the opposite of what I've experienced.
I've was diagnosed a year ago as of the other day and for the first few months I was finding the right dosage of long-acting insulin and during this time had created table with my throughout the day with the dosages for meals and long-acting. 
Since then I have been checking my levels usually only twice a day, when I get up and before I go to sleep.
I find that this more than enough information to control my blood levels and that eating, lack of sleep, alcohol and exercising are all things that can be accounted for to a decent degree of accuracy. It really just seems to come down to carb counting and educated guesses when no carb value is available.
I was wondering if this is normal? My mum is also T1 and has been since she was a child and, however from the sounds of it her levels are quite erratic and she has hypos multiple times a week, so it seems like quite the contrast from what I've been experiencing.</t>
        </is>
      </c>
      <c r="D2739" t="n">
        <v>0</v>
      </c>
      <c r="E2739" t="n">
        <v>11</v>
      </c>
      <c r="F2739">
        <f>HYPERLINK("https://www.reddit.com/r/diabetes/comments/5mc6vz/are_glucose_levels_really_that_hard_to/")</f>
        <v/>
      </c>
      <c r="G2739" t="inlineStr">
        <is>
          <t>2017-01-05 22:58:47</t>
        </is>
      </c>
      <c r="H2739" t="inlineStr">
        <is>
          <t>Type 1</t>
        </is>
      </c>
    </row>
    <row r="2740">
      <c r="A2740" t="inlineStr">
        <is>
          <t>5mf93i</t>
        </is>
      </c>
      <c r="B2740" t="inlineStr">
        <is>
          <t>Do you guys ever eat the same thing and have it totally and completely react differently?</t>
        </is>
      </c>
      <c r="C2740" t="inlineStr">
        <is>
          <t xml:space="preserve">Two days ago I made some stew (cabbage, carrots, celery, potatoes, beef, garlic, and onion). My sugars were freaking perfect the first day (70-140). That was the first time I had made the stew, so I didn't make very much. I decided to make a bigger batch yesterday and my sugars absolutely blow up (430 and climbing right now) every time I eat it. Last night, I gave over 100 units after eating it (in the four or five hours that followed). I generally give about 70-80 per day, let alone in a 5 hour period.
I am on a pump, but the site is not an issue, but I gave manual injections for half of that anyway. Again today, I ate a very small bowl like two hours ago when my BG was 160 and I'm 430 and climbing at a point a minute right now. 
How the hell can the same food make this big of a difference? I did nothing different in the first and second batch, except more of everything so it would last me a couple days instead of one meal.
Does this ever happen to you guys?
EDIT: This happens fairly regularly with me (every month or two) where I will eat the same thing one day as the day before and my sugars just explode. </t>
        </is>
      </c>
      <c r="D2740" t="n">
        <v>10</v>
      </c>
      <c r="E2740" t="n">
        <v>20</v>
      </c>
      <c r="F2740">
        <f>HYPERLINK("https://www.reddit.com/r/diabetes/comments/5mf93i/do_you_guys_ever_eat_the_same_thing_and_have_it/")</f>
        <v/>
      </c>
      <c r="G2740" t="inlineStr">
        <is>
          <t>2017-01-06 10:33:55</t>
        </is>
      </c>
      <c r="H2740" t="inlineStr">
        <is>
          <t>Type 1</t>
        </is>
      </c>
    </row>
    <row r="2741">
      <c r="A2741" t="inlineStr">
        <is>
          <t>5mftxw</t>
        </is>
      </c>
      <c r="B2741" t="inlineStr">
        <is>
          <t>Rant about a new doctor</t>
        </is>
      </c>
      <c r="C2741" t="inlineStr">
        <is>
          <t>I'm an Asian with T2D, have been doing keto for over a year, my last HbA1C was 5.6 couple months ago, and I'm 14 weeks pregnant. In addition to 1g of Metformin twice a day, I was using Lantus twice a day and then the perinatologist I was seeing switched to NPH while keeping the Metformin. It took some time to get used to it with some dosage adjustments, but eventually was all fine and dandy (my target is below 85 for fasting and 110 2 hr after meals). But then I caught a cold a few weeks ago.  
I was starting to crave for clementines, so I thought I could cheat a little while I had this cold. So my numbers got a little higher (occasional 120s), and when I saw the perinatologist at 12 weeks, he said it was fine as it was probably doing more good than harm. He knew I was doing keto and was fine with it, too, from the beginning.  
Then my coughs got worse and sugarfree cough drops didn't help. I eventually decided to try honey, which helped. However, now I was seeing occasional higher spikes like 150 and even 199 one time. A different doctor that reviewed my glucose levels (I email them weekly) was concerned at first, but was OK when I explained that it was the honey I was taking at random times throughout the day.  
So this week, I finally stopped using honey and my levels have been in target range most of the time. In fact, my morning levels have been rather low (high 50s to 70s), so I was purposely eating clementines to prevent hypos. This morning I even plummeted down to 41 (from 69 when I woke up) even after eating two clementines, some buckwheat cereal (also started eating to add carbs and prevent lows), and a bite of 85% dark chocolate.  
So I wrote my weekly reminder email after seeing this number (and had a strawberry-yogurt smoothie, which got me up to 77 an hour later), asking if I should at least reduce my morning dosage of NPH now that I'm over my cold and I intend to stop eating clementines.  
A few hours later, I got an email saying that a different doctor reviewed my blood sugar levels and wants me to switch Metformin to Acarbose. Nothing about the insulin dosage.  
I looked Acarbose up and saw that it's supposed to be good for Asians with a high carb diet. I felt like this doctor just saw that I'm Asian and assumed that I ate a lot of carbs and just prescribed that to me. So I replied explaining that I was actually doing keto and intend to go back to strict keto so I didn't see why it's necessary to make this switch. Got an email back 30 minutes later saying "Unfortunately, our recommendations are the same, as we believe proper glucose control is the best way to decrease pregnancy complications."  
They did say that it's ultimately my choice, and I intend to just decrease my NPH morning dose once I finish my current stash of clementines while I keep taking Metformin. However, I'm just annoyed by this new doctor that supposedly "reviewed" my log. I think this doctor just saw the really high numbers from when I had my cold and didn't look any farther.  
I'm just frustrated that this doctor doesn't seem to understand what's going on. Or is it stupid of me to assume that Acarbose won't help me based on a simple Google search? I suppose I could give it a try, but I'm really not convinced that it's necessary. Plus it's apparently not that cheap in the US.</t>
        </is>
      </c>
      <c r="D2741" t="n">
        <v>5</v>
      </c>
      <c r="E2741" t="n">
        <v>7</v>
      </c>
      <c r="F2741">
        <f>HYPERLINK("https://www.reddit.com/r/diabetes/comments/5mftxw/rant_about_a_new_doctor/")</f>
        <v/>
      </c>
      <c r="G2741" t="inlineStr">
        <is>
          <t>2017-01-06 12:06:57</t>
        </is>
      </c>
      <c r="H2741" t="inlineStr">
        <is>
          <t>Type 2</t>
        </is>
      </c>
    </row>
    <row r="2742">
      <c r="A2742" t="inlineStr">
        <is>
          <t>5mg1nn</t>
        </is>
      </c>
      <c r="B2742" t="inlineStr">
        <is>
          <t>Switched brands of Metformin and now have severe headaches and fevers several times a week. Is this a Metformin thing??</t>
        </is>
      </c>
      <c r="C2742" t="inlineStr">
        <is>
          <t>For the last four years, I have been taking (well, trying to take) a generic version of Metformin. Every doctor I visited SWORE the gastro side effects would abate, but they never did. Hence I only took meds a couple times a week vs. a couple times a day. Now that I have health insurance through work, I was able to switch to a brand name (Glucophage) and boy oh boy I can actually take a pill without serious risk of puking. Unfortunately, I actually feel worse than I did before... almost as bad as uncontrolled diabetes. Several times a week I will get pounding headaches that start creeping in around 11:00 AM, and by 5:00 I can hardly see straight. At first I chalked it up to eyestrain at my office job, then tension headaches from stress and/or poor posture. However, these headaches always come with a low fever, and I will alternate between freezing to dripping sweat every thirty minutes. I have had one of these headaches every single day this week, and I missed 6 hours of work so far. 
At this point I'm wondering if the Glucophage is to blame. I ate very low carb yesterday so I wouldn't need any meds, but I still have a headache today. My other suspicion is that it might be weird carb dosing. I tend to eat very low carb for breakfast and lunch, but I have a terrible snacking habit in the evening. Even though my total carb consumption for the day is usually around 120 gms, 80-90 of that might be in one sitting. I know this is terribly unhealthy, and I'm going to therapy to break the habit (and it's working! I'm actually excited for my next A1C). Regardless, I wonder if my body simply can't handle carbs like that anymore? My diet used to be significantly worse, so my intuition says I shouldn't be that sensitive. Does anyone else have this problem?</t>
        </is>
      </c>
      <c r="D2742" t="n">
        <v>2</v>
      </c>
      <c r="E2742" t="n">
        <v>9</v>
      </c>
      <c r="F2742">
        <f>HYPERLINK("https://www.reddit.com/r/diabetes/comments/5mg1nn/switched_brands_of_metformin_and_now_have_severe/")</f>
        <v/>
      </c>
      <c r="G2742" t="inlineStr">
        <is>
          <t>2017-01-06 12:42:46</t>
        </is>
      </c>
      <c r="H2742" t="inlineStr">
        <is>
          <t>Type 2</t>
        </is>
      </c>
    </row>
    <row r="2743">
      <c r="A2743" t="inlineStr">
        <is>
          <t>5mmxpo</t>
        </is>
      </c>
      <c r="B2743" t="inlineStr">
        <is>
          <t>Really bad insulin resistance after I took steroids for just 4 days commencing December 20th, anyone else had this?</t>
        </is>
      </c>
      <c r="C2743" t="inlineStr">
        <is>
          <t>I'm 27, female, and I've been type 1 since I was 22. I have always struggled with my weight but since being type1/on insulin I have gained weight and cannot shift it no matter what I've tried. So my insulin doses have always been quite high because of this. I'm on Lantus, once a day, usually 26 units. And my Novorapid carb ratio is about 1:7. Most of the time 8-10 units covers any meal, as I eat pretty healthy and I eat the same things all the time.
In December, I had a hair dye patch test and broke out with a nasty rash all over my body. It was itchy and horrible, like broken blood vessels. I suspected an allergy so I was given Prednisone. 6x5mg for 5 days. My doctor did not tell me ANYTHING regarding these steroids and diabetes. Next thing I know, I have no appetite for 5 days, my blood sugars are in the high twenties despite no food, and I am feeling nuts. I stopped taking them on the 23rd, that was my last dose.
Now, I have really bad insulin resistance. It started out as really high sugars until I realised my insulin was not working properly. I need 30 units of Novo for a small sandwich that has about 25g of carbs. Which is.. insane. I've upped my Lantus to 40 units a day just to keep me in single digits and taking lots of correction doses from the highs, and I'm finding I'm having pretty bad hypos at night. (mid 2s) I've changed my vials and it's definitely not the insulin. My nurse said ''it can take a couple of days for BG to return to normal''. 
It has been a couple of weeks now and I'm getting worried. I feel like I'm gaining weight despite not eating properly and I hate myself enough as it is for not being slim. I'm too scared of my BGs going too high so I'm trying to eat low to no carb foods but it's not always possible. Stress from quitting my job is not helping, but I was just wondering is this normal from steroids? Just 4 days of 30mg a day? Has anyone else experienced this?</t>
        </is>
      </c>
      <c r="D2743" t="n">
        <v>8</v>
      </c>
      <c r="E2743" t="n">
        <v>13</v>
      </c>
      <c r="F2743">
        <f>HYPERLINK("https://www.reddit.com/r/diabetes/comments/5mmxpo/really_bad_insulin_resistance_after_i_took/")</f>
        <v/>
      </c>
      <c r="G2743" t="inlineStr">
        <is>
          <t>2017-01-07 13:32:16</t>
        </is>
      </c>
      <c r="H2743" t="inlineStr">
        <is>
          <t>Type 1</t>
        </is>
      </c>
    </row>
    <row r="2744">
      <c r="A2744" t="inlineStr">
        <is>
          <t>5mywzh</t>
        </is>
      </c>
      <c r="B2744" t="inlineStr">
        <is>
          <t>Trying to understand a line in: Contributions of fasting and postprandial glucose to hemoglobin A1c - T2</t>
        </is>
      </c>
      <c r="C2744" t="inlineStr">
        <is>
          <t xml:space="preserve">Don't have access to the full text and trying to understand a line in this study: [Contributions of fasting and postprandial glucose to hemoglobin A1c.](https://www.ncbi.nlm.nih.gov/pubmed/16627379)
Am trying to understand what the highlighted words are referring to: "The best cutoff values that ensured the optimal balance between **high sensitivity and specificity** ... . " I'm guessing sensitivity may be related to insulin resistance but why guess when you can ask?
</t>
        </is>
      </c>
      <c r="D2744" t="n">
        <v>2</v>
      </c>
      <c r="E2744" t="n">
        <v>3</v>
      </c>
      <c r="F2744">
        <f>HYPERLINK("https://www.reddit.com/r/diabetes/comments/5mywzh/trying_to_understand_a_line_in_contributions_of/")</f>
        <v/>
      </c>
      <c r="G2744" t="inlineStr">
        <is>
          <t>2017-01-09 09:18:24</t>
        </is>
      </c>
      <c r="H2744" t="inlineStr">
        <is>
          <t>Type 2</t>
        </is>
      </c>
    </row>
    <row r="2745">
      <c r="A2745" t="inlineStr">
        <is>
          <t>5mze46</t>
        </is>
      </c>
      <c r="B2745" t="inlineStr">
        <is>
          <t>Question about A1C1 range and home blood sugar test units.</t>
        </is>
      </c>
      <c r="C2745" t="inlineStr">
        <is>
          <t>Is there a general chart that can tell you what your tested blood sugar is at home relative to what your A1C1 might be?  When I was first diagnosed a few months ago it was over a 10, once I started meds it was in the mid 8s.  I've since changed to a low carb diet but haven't had my A1C1 retested but have been taking daily readings.  For the past 2 months I've been generally in the 80-100 range at the end of the day and in the morning.  I won't be getting my A1C1 tested again for another month or 2 but I am curious as to what that range might fall under.  Thanks for looking.</t>
        </is>
      </c>
      <c r="D2745" t="n">
        <v>1</v>
      </c>
      <c r="E2745" t="n">
        <v>5</v>
      </c>
      <c r="F2745">
        <f>HYPERLINK("https://www.reddit.com/r/diabetes/comments/5mze46/question_about_a1c1_range_and_home_blood_sugar/")</f>
        <v/>
      </c>
      <c r="G2745" t="inlineStr">
        <is>
          <t>2017-01-09 10:34:31</t>
        </is>
      </c>
      <c r="H2745" t="inlineStr">
        <is>
          <t>Type 2</t>
        </is>
      </c>
    </row>
    <row r="2746">
      <c r="A2746" t="inlineStr">
        <is>
          <t>5n1gzj</t>
        </is>
      </c>
      <c r="B2746" t="inlineStr">
        <is>
          <t>Temporary blood sugar drop when walking from my car to my office?</t>
        </is>
      </c>
      <c r="C2746" t="inlineStr">
        <is>
          <t xml:space="preserve">Recently I started my first job and have to park in a garage about 5 - 10 minutes by walk from my office. I've noticed that when I leave at night I can check my BG and be 250 and then by time I get to my car I'll be 150. After about 10 minutes I check again in the car while driving (Bad, I know) and to my surprise, I'll be 250 again. 
So my question is, am I really dropping or is something else happening here? Could the cold have an effect on my BG?
</t>
        </is>
      </c>
      <c r="D2746" t="n">
        <v>1</v>
      </c>
      <c r="E2746" t="n">
        <v>4</v>
      </c>
      <c r="F2746">
        <f>HYPERLINK("https://www.reddit.com/r/diabetes/comments/5n1gzj/temporary_blood_sugar_drop_when_walking_from_my/")</f>
        <v/>
      </c>
      <c r="G2746" t="inlineStr">
        <is>
          <t>2017-01-09 16:06:04</t>
        </is>
      </c>
      <c r="H2746" t="inlineStr">
        <is>
          <t>Type 1</t>
        </is>
      </c>
    </row>
    <row r="2747">
      <c r="A2747" t="inlineStr">
        <is>
          <t>5n2y76</t>
        </is>
      </c>
      <c r="B2747" t="inlineStr">
        <is>
          <t>T1s with poor sleep?</t>
        </is>
      </c>
      <c r="C2747" t="inlineStr">
        <is>
          <t>My doctors have told me for ages it wasn't related, but poking around the internet suggests that other T1s also have trouble getting a restful night's sleep.  Basically, I never outgrew my teenage sleeping patterns - I can easily sleep 12+ hours every night if I didn't have alarms (lots of them) to wake me up.  I never feel alert right when I wake up, and I often have trouble falling asleep too (though my insomnia lessened when I went low-carb). I am tired much of the time, whether I sleep a lot or a little.  I used to sleepwalk a lot though that has gone away.  Despite my CGM, I still have rough sleep even when my blood sugars are good all night (and my A1C 5.8% last check). Does anyone else experience this and have you found anything that helps?</t>
        </is>
      </c>
      <c r="D2747" t="n">
        <v>4</v>
      </c>
      <c r="E2747" t="n">
        <v>5</v>
      </c>
      <c r="F2747">
        <f>HYPERLINK("https://www.reddit.com/r/diabetes/comments/5n2y76/t1s_with_poor_sleep/")</f>
        <v/>
      </c>
      <c r="G2747" t="inlineStr">
        <is>
          <t>2017-01-09 20:36:14</t>
        </is>
      </c>
      <c r="H2747" t="inlineStr">
        <is>
          <t>Type 1</t>
        </is>
      </c>
    </row>
    <row r="2748">
      <c r="A2748" t="inlineStr">
        <is>
          <t>5n4xh0</t>
        </is>
      </c>
      <c r="B2748" t="inlineStr">
        <is>
          <t>Mum still freaking out about my type 1...</t>
        </is>
      </c>
      <c r="C2748" t="inlineStr">
        <is>
          <t>I'm 14 from the UK and was diagnosed with type 1 last September...I think I've been doing pretty well with it. Not had any really high readings and no very bad hypos, I've had some where I've felt weird and dizzy but always sorted them out myself.
The worst thing for me about diabetes is how my Mum treats me...It's literally the only thing she speaks to me about. Every night she sits and looks through my readings on my meter and freaks out if they are a tiny bit high or low and will start asking me loads of questions. It's like she expects my blood sugar to be perfect all the time...I have diabetes it's obviously not going to be!
If i ever try and argue back she will just get more and more angry and blame everything on me, I hate being at home with her now because I know she will eventually bring it up and it just makes me feel shit.
Sorry for the big rant, Has anyone else been through this or have advice what to do? Whenever I try and tell her to calm down about my diabetes it just turns into a big fight.</t>
        </is>
      </c>
      <c r="D2748" t="n">
        <v>11</v>
      </c>
      <c r="E2748" t="n">
        <v>13</v>
      </c>
      <c r="F2748">
        <f>HYPERLINK("https://www.reddit.com/r/diabetes/comments/5n4xh0/mum_still_freaking_out_about_my_type_1/")</f>
        <v/>
      </c>
      <c r="G2748" t="inlineStr">
        <is>
          <t>2017-01-10 05:07:44</t>
        </is>
      </c>
      <c r="H2748" t="inlineStr">
        <is>
          <t>Type 1</t>
        </is>
      </c>
    </row>
    <row r="2749">
      <c r="A2749" t="inlineStr">
        <is>
          <t>5n7em4</t>
        </is>
      </c>
      <c r="B2749" t="inlineStr">
        <is>
          <t>Why do I feel like Australia is so far behind the times?</t>
        </is>
      </c>
      <c r="C2749" t="inlineStr">
        <is>
          <t>Fellow Australians, let me know.
I can NOT get a pump without out of pocket costs.
A CGM is a god damn Pipe Dream, without public fundraising or being extremely rich.
While my Insulin is *mostly* covered by medicare (sorry america), I can't help but feel like so many people are so far ahead of me. I'm still sticking myself with lantus and novorapid, while every single post I see on here is, "Look at how good my day has been on this fancy bit of technology that most people could only dream of having"
Maybe I'm a salty drunk Australian but it really sort of grinds my gears.</t>
        </is>
      </c>
      <c r="D2749" t="n">
        <v>9</v>
      </c>
      <c r="E2749" t="n">
        <v>10</v>
      </c>
      <c r="F2749">
        <f>HYPERLINK("https://www.reddit.com/r/diabetes/comments/5n7em4/why_do_i_feel_like_australia_is_so_far_behind_the/")</f>
        <v/>
      </c>
      <c r="G2749" t="inlineStr">
        <is>
          <t>2017-01-10 12:20:39</t>
        </is>
      </c>
      <c r="H2749" t="inlineStr">
        <is>
          <t>Type 1</t>
        </is>
      </c>
    </row>
    <row r="2750">
      <c r="A2750" t="inlineStr">
        <is>
          <t>5n8zuu</t>
        </is>
      </c>
      <c r="B2750" t="inlineStr">
        <is>
          <t>Can you believe this</t>
        </is>
      </c>
      <c r="C2750" t="inlineStr">
        <is>
          <t>About a 3 weeks ago I was diagnosed with a blood sugar level of 722. Everytime I tell someone they say that's unbelievable. I spent 4 days in the hospital to bring my sugar down to human levels.</t>
        </is>
      </c>
      <c r="D2750" t="n">
        <v>1</v>
      </c>
      <c r="E2750" t="n">
        <v>12</v>
      </c>
      <c r="F2750">
        <f>HYPERLINK("https://www.reddit.com/r/diabetes/comments/5n8zuu/can_you_believe_this/")</f>
        <v/>
      </c>
      <c r="G2750" t="inlineStr">
        <is>
          <t>2017-01-10 16:56:42</t>
        </is>
      </c>
      <c r="H2750" t="inlineStr">
        <is>
          <t>Type 2</t>
        </is>
      </c>
    </row>
    <row r="2751">
      <c r="A2751" t="inlineStr">
        <is>
          <t>5nckgs</t>
        </is>
      </c>
      <c r="B2751" t="inlineStr">
        <is>
          <t>Where to start with a low carb diet? T1</t>
        </is>
      </c>
      <c r="C2751" t="inlineStr">
        <is>
          <t xml:space="preserve">Hello everyone.
I am 35, been Diabetic (T1) for 23 years, had a pump for a year and am tying Freestyle Libre tomorrow. So excited. (Sorry if none of this is relevant) 
I have seen all the brilliant posts about how constant your blood sugar levels are since you have taken up a low carb diet and would like to get a piece of that but my question is where do I start? I know how to count my carbs and adjust my insulin for it (not brilliantly - I get by) but I'd like to give something else a try for a change.
Would you suggest going for it 100%? Or replacing one meal at a time? Is there a good book anyone can recommend? Please can someone point me in the right direction? I am nervous, carbohydrates have been such a massive part of my life for a long time and breaking up with them is hard to do.
Thank you!
</t>
        </is>
      </c>
      <c r="D2751" t="n">
        <v>14</v>
      </c>
      <c r="E2751" t="n">
        <v>54</v>
      </c>
      <c r="F2751">
        <f>HYPERLINK("https://www.reddit.com/r/diabetes/comments/5nckgs/where_to_start_with_a_low_carb_diet_t1/")</f>
        <v/>
      </c>
      <c r="G2751" t="inlineStr">
        <is>
          <t>2017-01-11 06:53:01</t>
        </is>
      </c>
      <c r="H2751" t="inlineStr">
        <is>
          <t>Type 1</t>
        </is>
      </c>
    </row>
    <row r="2752">
      <c r="A2752" t="inlineStr">
        <is>
          <t>5nd35l</t>
        </is>
      </c>
      <c r="B2752" t="inlineStr">
        <is>
          <t>Changing basal on my Omnipod</t>
        </is>
      </c>
      <c r="C2752" t="inlineStr">
        <is>
          <t>Hi all,
It's been a rough month for me. I started Omnipod in October, with the Dexcom I started in September. December was insanely busy, between work and the holidays. Stress was super high, and then around Christmas I was visiting family and eating high-carb meals, and my sugars were going all over the place. Since starting the pump I've been eating somewhat low carb and avoiding most alcohol, and I spent Christmas treating myself to those things, but then felt crummy and guilty afterwards.
Now that the busy time is somewhat over at work and I'm back to my somewhat healthy eating habits, my sugars are still all over the place. Mostly I am going high at night and staying high all night. Does anyone notice that they need to change their basal during the winter? I've heard others say that colder/warmer weather makes them take more or less insulin. Last night was awful, I was around 15 mmol/l for most of the night, and kept taking boluses which did nothing. I've also had some bad pods lately, which made me run high as well. Does anyone have to take more basal insulin in the cold weather? Advice is greatly appreciated! 
Editing to add: I picked a horrible title for this post. I don't need help at all with HOW to change the basal, just looking for advice on if others need more insulin in the winter. Thanks guys!</t>
        </is>
      </c>
      <c r="D2752" t="n">
        <v>2</v>
      </c>
      <c r="E2752" t="n">
        <v>1</v>
      </c>
      <c r="F2752">
        <f>HYPERLINK("https://www.reddit.com/r/diabetes/comments/5nd35l/changing_basal_on_my_omnipod/")</f>
        <v/>
      </c>
      <c r="G2752" t="inlineStr">
        <is>
          <t>2017-01-11 08:25:54</t>
        </is>
      </c>
      <c r="H2752" t="inlineStr">
        <is>
          <t>Type 1</t>
        </is>
      </c>
    </row>
    <row r="2753">
      <c r="A2753" t="inlineStr">
        <is>
          <t>5ne3ai</t>
        </is>
      </c>
      <c r="B2753" t="inlineStr">
        <is>
          <t>Is keto safe for type 1s?</t>
        </is>
      </c>
      <c r="C2753" t="inlineStr">
        <is>
          <t>I’m a newly diagnosed type 1 and I found out after my friend had me test a ketone stick for fun and had “moderate to large” ketones in my urine without even being on a diet. Called my doc, went in, got blood test, got diagnosed.
I don’t know if I’m fundamentally misunderstanding ketosis vs. DKA, but is it safe for a type 1 to be keto if it’ll cause large amounts of ketones?</t>
        </is>
      </c>
      <c r="D2753" t="n">
        <v>1</v>
      </c>
      <c r="E2753" t="n">
        <v>17</v>
      </c>
      <c r="F2753">
        <f>HYPERLINK("https://www.reddit.com/r/diabetes/comments/5ne3ai/is_keto_safe_for_type_1s/")</f>
        <v/>
      </c>
      <c r="G2753" t="inlineStr">
        <is>
          <t>2017-01-11 11:07:31</t>
        </is>
      </c>
      <c r="H2753" t="inlineStr">
        <is>
          <t>Type 1</t>
        </is>
      </c>
    </row>
    <row r="2754">
      <c r="A2754" t="inlineStr">
        <is>
          <t>5nfcy9</t>
        </is>
      </c>
      <c r="B2754" t="inlineStr">
        <is>
          <t>T2 Rant/Help: why is a "90 day supply" of test strips @ 1x a day actually 75 strips???? Wtf???</t>
        </is>
      </c>
      <c r="C2754" t="inlineStr">
        <is>
          <t xml:space="preserve">Seriously. I hate you insurance. Please tell me how I can get around this, or what I have to do. I have the one touch ultra blue meter. Then they are also forcing me to go through the crappy mail order. But if I don't actually get an "90 day supply".... do I just decide not to test for 15 days???? SMH. 30 days = 25.... so of course I am just doomed to run out here. </t>
        </is>
      </c>
      <c r="D2754" t="n">
        <v>3</v>
      </c>
      <c r="E2754" t="n">
        <v>10</v>
      </c>
      <c r="F2754">
        <f>HYPERLINK("https://www.reddit.com/r/diabetes/comments/5nfcy9/t2_ranthelp_why_is_a_90_day_supply_of_test_strips/")</f>
        <v/>
      </c>
      <c r="G2754" t="inlineStr">
        <is>
          <t>2017-01-11 14:33:25</t>
        </is>
      </c>
      <c r="H2754" t="inlineStr">
        <is>
          <t>Type 2</t>
        </is>
      </c>
    </row>
    <row r="2755">
      <c r="A2755" t="inlineStr">
        <is>
          <t>5ng06t</t>
        </is>
      </c>
      <c r="B2755" t="inlineStr">
        <is>
          <t>Does anyone else have a highly skewed basal/bolus ratio?</t>
        </is>
      </c>
      <c r="C2755" t="inlineStr">
        <is>
          <t>I inject 15u Lantus before I go to bed (~11pm) and about 30u Humalog total every day bolus+corrections.  My doctor told me most people have a ratio of about 50% basal / 50% bolus, but I've been experimenting by lowering my Lantus dose little-by-little (25 -&amp;gt; 22 -&amp;gt; 20 -&amp;gt; 18 -&amp;gt; 15 units), and I still have a BG drop of at least 100 mg/dl overnight and during the afternoons if I don't eat snacks.</t>
        </is>
      </c>
      <c r="D2755" t="n">
        <v>1</v>
      </c>
      <c r="E2755" t="n">
        <v>8</v>
      </c>
      <c r="F2755">
        <f>HYPERLINK("https://www.reddit.com/r/diabetes/comments/5ng06t/does_anyone_else_have_a_highly_skewed_basalbolus/")</f>
        <v/>
      </c>
      <c r="G2755" t="inlineStr">
        <is>
          <t>2017-01-11 16:25:04</t>
        </is>
      </c>
      <c r="H2755" t="inlineStr">
        <is>
          <t>Type 1</t>
        </is>
      </c>
    </row>
    <row r="2756">
      <c r="A2756" t="inlineStr">
        <is>
          <t>5nh02u</t>
        </is>
      </c>
      <c r="B2756" t="inlineStr">
        <is>
          <t>My pancreas seems to want a job again.</t>
        </is>
      </c>
      <c r="C2756" t="inlineStr">
        <is>
          <t>So the past couple of days, I've had low blood sugars after eating, normally this would be fine except I have gone low after eating without dosing, the first time it had happened, I had a low blood sugar, so I had a glass of orange juice, following that I was still low so I ate a bowl of pasta, and then another 2 bowls of pasta(When I'm low my stomach becomes an endless chasm.) after all of this I waited half an hour and checked, (keeping in mind I had 0.00 active insulin this whole time) and I was 60. I didn't think a ton of this until it started happening more often, littler things, where I had a little bit of insulin on, and so it could be explained, but last night I had gone a little bit low after dinner, and then I ate a kiwi and a grapefruit, following that I was 70, and then I continued to drop despite having no active insulin and being suspended, I then dropped to 63 ate an apple and would not go up until ~11 when I ate half of a can of pineapple, and went up to 110, at this point I went to bed and woke up to discover that I had continued to drop after that, and my pump auto suspended. Has anyone else ever had this happen to them, or know what's going on?</t>
        </is>
      </c>
      <c r="D2756" t="n">
        <v>7</v>
      </c>
      <c r="E2756" t="n">
        <v>17</v>
      </c>
      <c r="F2756">
        <f>HYPERLINK("https://www.reddit.com/r/diabetes/comments/5nh02u/my_pancreas_seems_to_want_a_job_again/")</f>
        <v/>
      </c>
      <c r="G2756" t="inlineStr">
        <is>
          <t>2017-01-11 19:31:10</t>
        </is>
      </c>
      <c r="H2756" t="inlineStr">
        <is>
          <t>Type 1</t>
        </is>
      </c>
    </row>
    <row r="2757">
      <c r="A2757" t="inlineStr">
        <is>
          <t>5nheam</t>
        </is>
      </c>
      <c r="B2757" t="inlineStr">
        <is>
          <t>What's the lowest you've ever been?</t>
        </is>
      </c>
      <c r="C2757" t="inlineStr">
        <is>
          <t>1.4 mmol for me. Tested while talking to emergency triage. Somehow was still about as coherent as I had been all night (Alcohol and... other was involved.)</t>
        </is>
      </c>
      <c r="D2757" t="n">
        <v>2</v>
      </c>
      <c r="E2757" t="n">
        <v>24</v>
      </c>
      <c r="F2757">
        <f>HYPERLINK("https://www.reddit.com/r/diabetes/comments/5nheam/whats_the_lowest_youve_ever_been/")</f>
        <v/>
      </c>
      <c r="G2757" t="inlineStr">
        <is>
          <t>2017-01-11 20:50:00</t>
        </is>
      </c>
      <c r="H2757" t="inlineStr">
        <is>
          <t>Type 1</t>
        </is>
      </c>
    </row>
    <row r="2758">
      <c r="A2758" t="inlineStr">
        <is>
          <t>5ni16t</t>
        </is>
      </c>
      <c r="B2758" t="inlineStr">
        <is>
          <t>Fast Food Lovers Like Me (T1, 2010)</t>
        </is>
      </c>
      <c r="C2758" t="inlineStr">
        <is>
          <t xml:space="preserve">For those of you who love fast food/ eating out like I do, and can't get calorie king on their phones, I found this neat app called Fast Food Calorie by SimpleMedia Inc. Works nearly identical to calorie king minus the fact that you can't add food items together to get totals for a meal. But it has all the fast food/ dine-in nutrition info and it seems well updated with new items. I just thought maybe this could help someone who is terrible at carb counting, like myself. 
P.S. if you know of any other apps that work for carb counting and are available for Android, please do share.
</t>
        </is>
      </c>
      <c r="D2758" t="n">
        <v>0</v>
      </c>
      <c r="E2758" t="n">
        <v>4</v>
      </c>
      <c r="F2758">
        <f>HYPERLINK("https://www.reddit.com/r/diabetes/comments/5ni16t/fast_food_lovers_like_me_t1_2010/")</f>
        <v/>
      </c>
      <c r="G2758" t="inlineStr">
        <is>
          <t>2017-01-11 23:20:22</t>
        </is>
      </c>
      <c r="H2758" t="inlineStr">
        <is>
          <t>Type 1</t>
        </is>
      </c>
    </row>
    <row r="2759">
      <c r="A2759" t="inlineStr">
        <is>
          <t>5njwer</t>
        </is>
      </c>
      <c r="B2759" t="inlineStr">
        <is>
          <t>Dexcom Apple Watch Complication!</t>
        </is>
      </c>
      <c r="C2759" t="inlineStr">
        <is>
          <t xml:space="preserve">Finally! This is awesome. Glucose number and direction now a complication and show right on watch face. This is so great!
http://imgur.com/a/bSBX8
</t>
        </is>
      </c>
      <c r="D2759" t="n">
        <v>6</v>
      </c>
      <c r="E2759" t="n">
        <v>8</v>
      </c>
      <c r="F2759">
        <f>HYPERLINK("https://www.reddit.com/r/diabetes/comments/5njwer/dexcom_apple_watch_complication/")</f>
        <v/>
      </c>
      <c r="G2759" t="inlineStr">
        <is>
          <t>2017-01-12 07:20:13</t>
        </is>
      </c>
      <c r="H2759" t="inlineStr">
        <is>
          <t>Type 1</t>
        </is>
      </c>
    </row>
    <row r="2760">
      <c r="A2760" t="inlineStr">
        <is>
          <t>5nklxr</t>
        </is>
      </c>
      <c r="B2760" t="inlineStr">
        <is>
          <t>My A1c is 5.4!! Thank you Keto!</t>
        </is>
      </c>
      <c r="C2760" t="inlineStr">
        <is>
          <t>I went and did new blood work today - new year and all... and i got some fantastic news. 
My cholesterol needs a bit of work but I'm in the middle if losing a lot of weight (24kg down already) so my doctor isn't worried and she says my triglycerides are fantastic and my HDL has gone up since my last test. But the best news is my A1c is 5.4. I was hoping for lower but this is definitely a win! Thyroid and iron levels are perfect as well.  A1c was estimated at around 9% - then it was down to 5.9% by August-ish last year. My goal is 5% by the end of 2017 but I'm not sure if it's possible. 
S-CHOLESTEROL 5.5 mmol/L       H    &amp;lt; 5.0
S-LDL CHOLESTEROL 4.1 mmol/L H   &amp;lt; 3.0
S-HDL CHOLESTEROL 1.0 mmol/L L   &amp;gt; 1.2
S-NON HDL CHOLESTEROL 4.5 mmol/L H &amp;lt; 3.8
S-CHOL./HDL RATIO 5.5              H &amp;lt; 4.1
S-TRIGLYCERIDE 0.9 mmol/L          &amp;lt;1.7</t>
        </is>
      </c>
      <c r="D2760" t="n">
        <v>37</v>
      </c>
      <c r="E2760" t="n">
        <v>18</v>
      </c>
      <c r="F2760">
        <f>HYPERLINK("https://www.reddit.com/r/diabetes/comments/5nklxr/my_a1c_is_54_thank_you_keto/")</f>
        <v/>
      </c>
      <c r="G2760" t="inlineStr">
        <is>
          <t>2017-01-12 09:20:19</t>
        </is>
      </c>
      <c r="H2760" t="inlineStr">
        <is>
          <t>Type 2</t>
        </is>
      </c>
    </row>
    <row r="2761">
      <c r="A2761" t="inlineStr">
        <is>
          <t>5nnmuo</t>
        </is>
      </c>
      <c r="B2761" t="inlineStr">
        <is>
          <t>How much of a blood sugar drop does it take to feel hypo?</t>
        </is>
      </c>
      <c r="C2761" t="inlineStr">
        <is>
          <t xml:space="preserve">For the past several months, my blood sugar levels have cruised in the mid 120's with an occasional dip into the teens. Depending on what I ate, they would rise to 140 or maybe 150, and then fall and hang around 125 or so. As I continue to fiddle with diet, exercise, and meds, I have been testing between 100 and 110 before meals which never happened before unless I was utterly starving. Yay progress! Unfortunately, I have felt horrible for the past few weeks, sort of like having a perpetual flu... I'm sleeping poorly, have frequent headaches, and feel tired as if I just ran a marathon. It's a long shot, perhaps, but could this be my body adapting to lower blood sugar? I have also had abnormally strong sugar cravings, but that could be a result of feeling poorly. </t>
        </is>
      </c>
      <c r="D2761" t="n">
        <v>3</v>
      </c>
      <c r="E2761" t="n">
        <v>12</v>
      </c>
      <c r="F2761">
        <f>HYPERLINK("https://www.reddit.com/r/diabetes/comments/5nnmuo/how_much_of_a_blood_sugar_drop_does_it_take_to/")</f>
        <v/>
      </c>
      <c r="G2761" t="inlineStr">
        <is>
          <t>2017-01-12 17:45:02</t>
        </is>
      </c>
      <c r="H2761" t="inlineStr">
        <is>
          <t>Type 2</t>
        </is>
      </c>
    </row>
    <row r="2762">
      <c r="A2762" t="inlineStr">
        <is>
          <t>5nnqtg</t>
        </is>
      </c>
      <c r="B2762" t="inlineStr">
        <is>
          <t>Step-dad dx'd, how can I help?</t>
        </is>
      </c>
      <c r="C2762" t="inlineStr">
        <is>
          <t>My step-dad, man in his 60's, has been diagnosed with T2 and high cholesterol after a heart attack.
Now, I only have experience with T1 (since I have that myself). I don't really know much, if anything, about T2.
Where can I learn more about T2, and how can I help him deal with it and with the treatment?</t>
        </is>
      </c>
      <c r="D2762" t="n">
        <v>3</v>
      </c>
      <c r="E2762" t="n">
        <v>12</v>
      </c>
      <c r="F2762">
        <f>HYPERLINK("https://www.reddit.com/r/diabetes/comments/5nnqtg/stepdad_dxd_how_can_i_help/")</f>
        <v/>
      </c>
      <c r="G2762" t="inlineStr">
        <is>
          <t>2017-01-12 18:05:35</t>
        </is>
      </c>
      <c r="H2762" t="inlineStr">
        <is>
          <t>Type 2</t>
        </is>
      </c>
    </row>
    <row r="2763">
      <c r="A2763" t="inlineStr">
        <is>
          <t>5nth7a</t>
        </is>
      </c>
      <c r="B2763" t="inlineStr">
        <is>
          <t>How having a cold or flu and a fever affect blood sugar and insulin? What about Vit C? Because thats what I have...and I took a ton of Vit C.</t>
        </is>
      </c>
      <c r="C2763" t="inlineStr">
        <is>
          <t>Sore throat, cough, fever of 100 in right ear and 101.6 in left ear. Ruuny nose, sneezing a lot. I feel hot and clammy. 
When should I start to worry? Blood sugar is around 180-220 and im giving extra insulin. Drinking lots of water. 
How can I get over this faster? Its been legit like 10 years since I have been sick</t>
        </is>
      </c>
      <c r="D2763" t="n">
        <v>1</v>
      </c>
      <c r="E2763" t="n">
        <v>3</v>
      </c>
      <c r="F2763">
        <f>HYPERLINK("https://www.reddit.com/r/diabetes/comments/5nth7a/how_having_a_cold_or_flu_and_a_fever_affect_blood/")</f>
        <v/>
      </c>
      <c r="G2763" t="inlineStr">
        <is>
          <t>2017-01-13 13:38:47</t>
        </is>
      </c>
      <c r="H2763" t="inlineStr">
        <is>
          <t>Type 1</t>
        </is>
      </c>
    </row>
    <row r="2764">
      <c r="A2764" t="inlineStr">
        <is>
          <t>5nulfv</t>
        </is>
      </c>
      <c r="B2764" t="inlineStr">
        <is>
          <t>Dating a guy with Type 1 &amp;amp; don't want to bombard him with questions, what sort of basic things should I know?</t>
        </is>
      </c>
      <c r="C2764" t="inlineStr">
        <is>
          <t>Hi all, I've recently started dating a type 1 diabetic and as comfortable as he is with his condition and all, I don't want to pry too much and overload him with too many questions or queries. 
He has taught me how to take his blood sugar level in the case that he can't do it himself (was shaking like a leaf trying to prick his finger) and he tells me that's all i should really be prepared for at this point but I feel like there are other things I ought to be aware of?
I know this is a very vague request but what sort of things as a non-diabetic should I be aware of in this case? What should i be giving him in the situation that he's too low, like are there some sugary items i should be avoiding? What about things like diabetic seizures, what should I do in that case if it happens? Basically just unload all there is that you think a loved one should know about a diabetic.
Thank you all very much in advance!</t>
        </is>
      </c>
      <c r="D2764" t="n">
        <v>8</v>
      </c>
      <c r="E2764" t="n">
        <v>21</v>
      </c>
      <c r="F2764">
        <f>HYPERLINK("https://www.reddit.com/r/diabetes/comments/5nulfv/dating_a_guy_with_type_1_dont_want_to_bombard_him/")</f>
        <v/>
      </c>
      <c r="G2764" t="inlineStr">
        <is>
          <t>2017-01-13 16:59:20</t>
        </is>
      </c>
      <c r="H2764" t="inlineStr">
        <is>
          <t>Type 1</t>
        </is>
      </c>
    </row>
    <row r="2765">
      <c r="A2765" t="inlineStr">
        <is>
          <t>5o09bp</t>
        </is>
      </c>
      <c r="B2765" t="inlineStr">
        <is>
          <t>How do you deal with being sick with cold, fever, sore throat, cough, constant sneezing and a high blood sugar that just wont go down and pissing ketones?</t>
        </is>
      </c>
      <c r="C2765" t="inlineStr">
        <is>
          <t>How do you deal with it when its time to eat?
Today has been garbage. But managing to keep sugar under 250..guess it could be worse</t>
        </is>
      </c>
      <c r="D2765" t="n">
        <v>3</v>
      </c>
      <c r="E2765" t="n">
        <v>13</v>
      </c>
      <c r="F2765">
        <f>HYPERLINK("https://www.reddit.com/r/diabetes/comments/5o09bp/how_do_you_deal_with_being_sick_with_cold_fever/")</f>
        <v/>
      </c>
      <c r="G2765" t="inlineStr">
        <is>
          <t>2017-01-14 14:30:30</t>
        </is>
      </c>
      <c r="H2765" t="inlineStr">
        <is>
          <t>Type 1</t>
        </is>
      </c>
    </row>
    <row r="2766">
      <c r="A2766" t="inlineStr">
        <is>
          <t>5o0s56</t>
        </is>
      </c>
      <c r="B2766" t="inlineStr">
        <is>
          <t>What do I replace sugary drinks with?</t>
        </is>
      </c>
      <c r="C2766" t="inlineStr">
        <is>
          <t>Im a newly diagnosed diabetic Type 2 and was really into sodas which I cant drink now obviously. What do you recommend to try and fill that sugary void. I hate diet sodas with a passion and seltzer water just doesn't do it for me. I drink as much water as humanly possible but there's only so much water I can drink helpppppppppppppppp. 
edit: Thanks guys for all the great suggestions with your help I know I'll find alternatives to sugary drinks that I used to drink.</t>
        </is>
      </c>
      <c r="D2766" t="n">
        <v>6</v>
      </c>
      <c r="E2766" t="n">
        <v>52</v>
      </c>
      <c r="F2766">
        <f>HYPERLINK("https://www.reddit.com/r/diabetes/comments/5o0s56/what_do_i_replace_sugary_drinks_with/")</f>
        <v/>
      </c>
      <c r="G2766" t="inlineStr">
        <is>
          <t>2017-01-14 16:08:41</t>
        </is>
      </c>
      <c r="H2766" t="inlineStr">
        <is>
          <t>Type 2</t>
        </is>
      </c>
    </row>
    <row r="2767">
      <c r="A2767" t="inlineStr">
        <is>
          <t>5o1qp4</t>
        </is>
      </c>
      <c r="B2767" t="inlineStr">
        <is>
          <t>The process of suffering from diabetes type 1</t>
        </is>
      </c>
      <c r="C2767" t="inlineStr">
        <is>
          <t>My mother tongue is not English, so please bear with me if I make any grammatical mistakes in the article                                                                          
Body text                                                                                                                                                      
*2013                                                                                                                                                         
In June, I found that I often felt thirsty and drank more water than before. In the summer vacation, I started to drink a lot of sugary drinks. Because gradually lacking for Insulin, I couldn’t use the carbohydrate that I absorbed and tended to eat sweets. In September, one of my classmates noticed that I had gotten thinner. After measuring my weight at school, the school health center gave me a note, telling me that I was too thin. At the end of the year, I felt very depressed, which probably caused by my unstable blood sugar.                                                  
*2014                                                                                                                                                         
When 2014 came, I made “the next year will be better” as my new year resolution. However, my physical condition was getting worse. I ate and drank more as well as getting thinner. I could drink up to two liters of water within three hours at that time. My body temperature had turned irregular since April. When the weather turned hot, my body temperature consequently got 38°C(100.4°F). At the same time, I had serious urinary tract infection. After taking antibiotics for a few weeks, the infection was still out of condition. In the summer vacation, I changed my lifestyle. I started to exercise as well as quitting cold drinks, air conditioners and even electric fans. I simply thought that my body would become better since I started to sweat. In September, I found my physical condition got better and I became more vigorous. Nevertheless, there was still an unsolved problem, eating much. Good times never last for long. In October, the former problems emerged and my body became out of condition again. My stomach had been upset since November. Somewhile I felt too full and flatulent, and otherwhile I had a serious stomachache and couldn’t even move my body. I really wanted to quit sweets, but I had never succeeded. Because of the experiences of stomachaches and having sweets at that time, I have a shadow for sweets and dare not eat food that is too sweet now. As the cold waves came, my body temperature got really low. The lowest temperature I had measured was 32.8°C(91°F). I often felt very sleepy then. Once I slept for twelve hours in a day, but still felt tired in the daytime. At the end of December was the graduation trip, during which my classmates were very stunned because I ate too much for them to imagine.                                                                                        
*2015                                                                                                                                                          
I was far from healthy at the beginning of 2015. I threw up on February 14 and March 12, which was likely happened because of ketoacidosis. Having too much keto acids in my body, I often felt extremely thirsty and there were often fruit flies flying in front of my nose and mouth. At the end of March, I found that there were ants and fruit flies near the toilet, which made me absolutely sure that I had diabetes. Afraid of having injections every day, I had considered whether I should tell my mother this condition for a week. Eventually, I told her and took a blood test in the hospital. On April 10, after reading my blood test, the doctor said my condition was very dangerous and that I had to stay in the hospital immediately. Although the competence test for junior high school students in May was around the corner, I still stayed in the hospital for a week and took a week off. I gladly accepted the fact that I had to have an injection four times a day. Why did I accept it so quickly? First, I would be much more comfortable as long as enduring little pain for few seconds. Second, the length of the needle was shorter and less scary than I had imagined. Moreover, I thought the most dreadful part of staying in the hospital wasn’t the news of having injections forever but that when the nurse couldn’t find my vessel and moved the needle under my skin repeatedly. It was such a terrible experience and a torment.                                                                                               
*Afterword                                                                                                                                                    
After discharging from the hospital on April 16, my life changed a lot. Now I get along well with diabetes type 1. Measuring blood sugar and having injections have become one part of my life.                                                      
My A1C last time: 5.9</t>
        </is>
      </c>
      <c r="D2767" t="n">
        <v>18</v>
      </c>
      <c r="E2767" t="n">
        <v>3</v>
      </c>
      <c r="F2767">
        <f>HYPERLINK("https://www.reddit.com/r/diabetes/comments/5o1qp4/the_process_of_suffering_from_diabetes_type_1/")</f>
        <v/>
      </c>
      <c r="G2767" t="inlineStr">
        <is>
          <t>2017-01-14 19:23:58</t>
        </is>
      </c>
      <c r="H2767" t="inlineStr">
        <is>
          <t>Type 1</t>
        </is>
      </c>
    </row>
    <row r="2768">
      <c r="A2768" t="inlineStr">
        <is>
          <t>5o2byf</t>
        </is>
      </c>
      <c r="B2768" t="inlineStr">
        <is>
          <t>Randomly got a PDM Error on my OmniPod no idea wtf to do</t>
        </is>
      </c>
      <c r="C2768" t="inlineStr">
        <is>
          <t>So I randomly got an error on my Omni pod to remove my current pod. I thought maybe the batteries just died because it was showing it was low for few days now so I changed the batteries but it still pops up. No error number but a reference number 
REF: 05-420-0001-08196
Couldn't find anything on google about this so no idea wtf is wrong with it. Can't plug it into my computer to see if it'll reset it as I just moved and everything is packed and I have no clue where the cable is. Any suggestions? 
EDIT: So I got l;ucky and the first box I opened actually had my original Omni Pod box in it which had the cable. BUT connecting it to my computer doesn't do anything so I'm still stuck.</t>
        </is>
      </c>
      <c r="D2768" t="n">
        <v>2</v>
      </c>
      <c r="E2768" t="n">
        <v>4</v>
      </c>
      <c r="F2768">
        <f>HYPERLINK("https://www.reddit.com/r/diabetes/comments/5o2byf/randomly_got_a_pdm_error_on_my_omnipod_no_idea/")</f>
        <v/>
      </c>
      <c r="G2768" t="inlineStr">
        <is>
          <t>2017-01-14 21:39:31</t>
        </is>
      </c>
      <c r="H2768" t="inlineStr">
        <is>
          <t>Type 1</t>
        </is>
      </c>
    </row>
    <row r="2769">
      <c r="A2769" t="inlineStr">
        <is>
          <t>5o2rj7</t>
        </is>
      </c>
      <c r="B2769" t="inlineStr">
        <is>
          <t>Nutrition and my (somewhat) failed ultra marathon.</t>
        </is>
      </c>
      <c r="C2769" t="inlineStr">
        <is>
          <t>Story time:
So I signed up for a 50 mile ultra marathon about 9 weeks back.
I find out 3 days before that the event was cancelled due to rain and the rangers pulled the permits from the race director to prevent erosion on the trail from all the runners running through the mud. There was even a river crossing. Fair enough.
I decided that I was going to run it anyways, and I had enough friends and family to help out.
I took my normal does of lantus (25 units) and 2 units of humalog instead of my normal 9 and then I had 2 PB&amp;amp;Js and a banana for breakfast and started running.
My nutrition plan was to take 2 scoops of [Tailwind electrolyte calorie drink](http://www.tailwindnutrition.com/tailwind-endurance-fuel) every 5 miles. 100 calories per scoop (2000 total calories, of basically sugar, potassium and salt. Everything your body needs when running. Along with that I took about half a pound of gummy worms just for filler, and my crew was carrying my estimated 19 pounds of water that I would need to replace my sweat loss.
Well today was not my day and my muscles decided to not show up. I had a few 26-30 mile training runs on the course, and all was looking good.
I checked my blood sugar at mile 22 and it was 220. maybe a hair high but that is my preferred number as, if I go low, I literally would have to stop running for 30 minutes to get my sugar to rise. The stomach can only digest about 250 calories per hour, and I am already maxing that out with basically pure sugar, so going low is no bueno.
I took it a little slower than my normal training run pace and was running about a 8:40/mile pace all day until mile 35 with the hills and the mud including my stops to meet up with my crew to refill bottles and sugar.
By mile 8, my glutes and quads already felt a little sore which is not normal for running slower than in my training. Not sure why, and I will probably never know, but at about mile 12 I knew there was a good chance that it would escalate too much by the finish.
I decided to stop around mile 39. I didn't want to do any damage to my body, and it wasn't even a timed race (although I was running as if it was timed).
I burned 5300 calories on my run over 5 hours 47 minutes.
I will be back eventually to hopefully concur this event, hopefully with my "A" legs instead of what I had today.
You can check out my run here:
https://www.strava.com/activities/832153673/overview
and if you are a fellow Diabetic Strava runner, be sure to join the group here:
https://www.strava.com/clubs/T1Diabetes</t>
        </is>
      </c>
      <c r="D2769" t="n">
        <v>10</v>
      </c>
      <c r="E2769" t="n">
        <v>17</v>
      </c>
      <c r="F2769">
        <f>HYPERLINK("https://www.reddit.com/r/diabetes/comments/5o2rj7/nutrition_and_my_somewhat_failed_ultra_marathon/")</f>
        <v/>
      </c>
      <c r="G2769" t="inlineStr">
        <is>
          <t>2017-01-14 23:34:15</t>
        </is>
      </c>
      <c r="H2769" t="inlineStr">
        <is>
          <t>Type 1</t>
        </is>
      </c>
    </row>
    <row r="2770">
      <c r="A2770" t="inlineStr">
        <is>
          <t>5oi08y</t>
        </is>
      </c>
      <c r="B2770" t="inlineStr">
        <is>
          <t>The detriments of NOT being well-rested: A CGM Tale</t>
        </is>
      </c>
      <c r="C2770" t="inlineStr">
        <is>
          <t xml:space="preserve">Due to a bunch of reasons, ranging from stress to extra days off during the Holidays, I have not had a great sleeping regimen the past few weeks.
Last night I finally got to the point where I got into bed early and pretty much passed out into a deep, deep sleep.
The problem? I was in such a deep sleep due to being deprived for so long that I vaguely remember my CGM giving me the "high" alert at 150 sometime in the night...and then repeating it every 60 minutes. It felt like a dream and I must have just sleepily hit the button over and over, but never actually woke up.
I woke up, thinking it was all just a dream (it really was a heavy sleep), and then looked at my graph for the night with a steady line hovering right around 150-155. UGH!
So, instead of being well rested enough, I slept through multiple alarms and never took a correction dose...leaving me with several hours in the 150's.
Get your sleep friends! It may affect more than you realize. I can only be thankful it wasn't a low alarm going off. </t>
        </is>
      </c>
      <c r="D2770" t="n">
        <v>4</v>
      </c>
      <c r="E2770" t="n">
        <v>26</v>
      </c>
      <c r="F2770">
        <f>HYPERLINK("https://www.reddit.com/r/diabetes/comments/5oi08y/the_detriments_of_not_being_wellrested_a_cgm_tale/")</f>
        <v/>
      </c>
      <c r="G2770" t="inlineStr">
        <is>
          <t>2017-01-17 05:18:45</t>
        </is>
      </c>
      <c r="H2770" t="inlineStr">
        <is>
          <t>Type 1</t>
        </is>
      </c>
    </row>
    <row r="2771">
      <c r="A2771" t="inlineStr">
        <is>
          <t>5oiu89</t>
        </is>
      </c>
      <c r="B2771" t="inlineStr">
        <is>
          <t>Stopped birth control, blood sugars are much more difficult to manage now</t>
        </is>
      </c>
      <c r="C2771" t="inlineStr">
        <is>
          <t xml:space="preserve">I stopped my birth control pills a month ago to start to try and get pregnant with my husband. I took this past month to just figure out what my blood sugars (and everything else) would be like post birth control. I expected some changes but everything seems to have really gone crazy. I've been running highs overnight (160 range) that don't seem to respond very well to boluses or increased basal rates and then highs during the day after eating that also don't seem to respond to the insulin that I'm taking (carb ratios are same as before) until I've bolused extra and then it just comes crashing down and I end up on this roller coaster. 
My blood sugars were very good before (a1c around 5.5) while I was on birth control and no one warned me that the change could be so drastic. Since your control has to be so tight while you are pregnant im worried that I'm falling out of the acceptable range to get pregnant now. 
Anyone been through this? Are there any resources that show the effects of the hormones throughout a normal cycle and their effects on insulin sensitivity? </t>
        </is>
      </c>
      <c r="D2771" t="n">
        <v>6</v>
      </c>
      <c r="E2771" t="n">
        <v>14</v>
      </c>
      <c r="F2771">
        <f>HYPERLINK("https://www.reddit.com/r/diabetes/comments/5oiu89/stopped_birth_control_blood_sugars_are_much_more/")</f>
        <v/>
      </c>
      <c r="G2771" t="inlineStr">
        <is>
          <t>2017-01-17 07:59:54</t>
        </is>
      </c>
      <c r="H2771" t="inlineStr">
        <is>
          <t>Type 1</t>
        </is>
      </c>
    </row>
    <row r="2772">
      <c r="A2772" t="inlineStr">
        <is>
          <t>5olkvq</t>
        </is>
      </c>
      <c r="B2772" t="inlineStr">
        <is>
          <t>Any T1D's in the Chicago area interested in some political organizing?</t>
        </is>
      </c>
      <c r="C2772" t="inlineStr">
        <is>
          <t xml:space="preserve">Title is pretty straightforward, I'm a 24 y/o Master of Public Health student about to graduate from UIC in a few months and am interested in getting together a group of interested people to share our T1D stories with our elected officials regarding our lack of a replacement for the soon-to-be-scrapped ACA. I get that we live in a blue region but pressure against the upcoming administration is mounting and it feels like a good time to get involved and share our stories. I understand that the ACA was not a solution for a lot of people and am more so interested in organizing to demand the new administration be more transparent about a realistic replacement. If anyone is interested in this maybe we can all meet at a coffee shop or something to discuss logistics. My background is in health and I am able to get people published studies, in touch w/ UIC faculty/student groups, offer my general knowledge on health policy. </t>
        </is>
      </c>
      <c r="D2772" t="n">
        <v>6</v>
      </c>
      <c r="E2772" t="n">
        <v>26</v>
      </c>
      <c r="F2772">
        <f>HYPERLINK("https://www.reddit.com/r/diabetes/comments/5olkvq/any_t1ds_in_the_chicago_area_interested_in_some/")</f>
        <v/>
      </c>
      <c r="G2772" t="inlineStr">
        <is>
          <t>2017-01-17 15:19:42</t>
        </is>
      </c>
      <c r="H2772" t="inlineStr">
        <is>
          <t>Type 1</t>
        </is>
      </c>
    </row>
    <row r="2773">
      <c r="A2773" t="inlineStr">
        <is>
          <t>5oo9yf</t>
        </is>
      </c>
      <c r="B2773" t="inlineStr">
        <is>
          <t>I keep waking up with 3.8/3.9 (68-+).</t>
        </is>
      </c>
      <c r="C2773" t="inlineStr">
        <is>
          <t xml:space="preserve">I keep waking up with 3.8/3.9 (68-+), I'm eating a moderate carb diet 60-70g a day, and about 2800 calories a day, I do 40 min of weight training and about 3.5 miles of walking a day. When I wake with these numbers I usually take two carb portions with my breakfast instead of one, but the numbers only crawl up to 4.4 (79+-) an hour later. My doctor now wants to take me off metformin completely, but the way I understand it, the metformin shouldn't really be what's causing this. Any insights would be awesome.
*edit M-34yrs-6ft2-222 lb </t>
        </is>
      </c>
      <c r="D2773" t="n">
        <v>3</v>
      </c>
      <c r="E2773" t="n">
        <v>17</v>
      </c>
      <c r="F2773">
        <f>HYPERLINK("https://www.reddit.com/r/diabetes/comments/5oo9yf/i_keep_waking_up_with_3839_68/")</f>
        <v/>
      </c>
      <c r="G2773" t="inlineStr">
        <is>
          <t>2017-01-18 00:40:41</t>
        </is>
      </c>
      <c r="H2773" t="inlineStr">
        <is>
          <t>Type 2</t>
        </is>
      </c>
    </row>
    <row r="2774">
      <c r="A2774" t="inlineStr">
        <is>
          <t>5or22f</t>
        </is>
      </c>
      <c r="B2774" t="inlineStr">
        <is>
          <t>Afraid of Insulin (12 year Type 2)</t>
        </is>
      </c>
      <c r="C2774" t="inlineStr">
        <is>
          <t>I was diagnosed as type 2 in 2003.  I've been on oral medications ever since (along with diet and exercise (sporadically).)
Lately, my numbers have remained high (a1c &amp;gt; 9) despite what I do and I'm afraid I have to start using an insulin pen or pump.
Is Insulin inevitable?  Does it mess up your life as much as I fear it does?</t>
        </is>
      </c>
      <c r="D2774" t="n">
        <v>15</v>
      </c>
      <c r="E2774" t="n">
        <v>60</v>
      </c>
      <c r="F2774">
        <f>HYPERLINK("https://www.reddit.com/r/diabetes/comments/5or22f/afraid_of_insulin_12_year_type_2/")</f>
        <v/>
      </c>
      <c r="G2774" t="inlineStr">
        <is>
          <t>2017-01-18 10:23:12</t>
        </is>
      </c>
      <c r="H2774" t="inlineStr">
        <is>
          <t>Type 2</t>
        </is>
      </c>
    </row>
    <row r="2775">
      <c r="A2775" t="inlineStr">
        <is>
          <t>5os3bi</t>
        </is>
      </c>
      <c r="B2775" t="inlineStr">
        <is>
          <t>Once no impact on blood sugar, almost always no impact on blood sugar?</t>
        </is>
      </c>
      <c r="C2775" t="inlineStr">
        <is>
          <t xml:space="preserve">I'm still very new to this whole diabetes thing (two weeks in diagnosed as type 2), and I'm entrenched into the testing phase. I am pleased to learn some things I've tested that I really enjoy don't seem to have a massive impact on my blood sugar. Sugar free jello cups, lite wheat english muffins with sugar free jelly, and my faux pastry of a low carb tortilla with some sugar free jam on it rolled up are clear for me so far. 
My question is if something doesn't show as having an impact on your blood sugar, how sure can you be that it will continue to not impact you for a reasonable amount of time? I know testing is a way of life now, but I'm really curious as to how assured I can be that my small list of safe foods (that fall outside of the leafy greens/proteins category) will continue to be safe for me. The thing I'm really testing and developing are the treats/sweets I can have (if you couldn't tell). 
I've heard some people can have cool whip. Bruh, if I can have heavy cream cool whip with my jello cup here and there I'm going to be so pumped.  
</t>
        </is>
      </c>
      <c r="D2775" t="n">
        <v>2</v>
      </c>
      <c r="E2775" t="n">
        <v>11</v>
      </c>
      <c r="F2775">
        <f>HYPERLINK("https://www.reddit.com/r/diabetes/comments/5os3bi/once_no_impact_on_blood_sugar_almost_always_no/")</f>
        <v/>
      </c>
      <c r="G2775" t="inlineStr">
        <is>
          <t>2017-01-18 13:04:34</t>
        </is>
      </c>
      <c r="H2775" t="inlineStr">
        <is>
          <t>Type 2</t>
        </is>
      </c>
    </row>
    <row r="2776">
      <c r="A2776" t="inlineStr">
        <is>
          <t>5osegs</t>
        </is>
      </c>
      <c r="B2776" t="inlineStr">
        <is>
          <t>Thoughts on Acarbose?</t>
        </is>
      </c>
      <c r="C2776" t="inlineStr">
        <is>
          <t>I’m PhD student at the University of British Columbia currently researching existing treatment options for Type II Diabetes and I am particularly interested in hearing from people who have taken the antidiabetic drug Acarbose (aka Precose or Glucobay). We want to understand your experience during treatment and how it could be improved. Our new treatment is derived from plant sources and would allow undigested starch to pass as dietary fiber, lowering your blood sugar levels following a meal. If you have taken Acarbose, or if you haven’t but are interested in our research could you please share your thoughts and experiences by filling out this [quick survey](https://www.surveymonkey.com/r/MH3DMVQ)?
If anyone has any additional questions I’d be happy to answer them in the comment section.</t>
        </is>
      </c>
      <c r="D2776" t="n">
        <v>5</v>
      </c>
      <c r="E2776" t="n">
        <v>6</v>
      </c>
      <c r="F2776">
        <f>HYPERLINK("https://www.reddit.com/r/diabetes/comments/5osegs/thoughts_on_acarbose/")</f>
        <v/>
      </c>
      <c r="G2776" t="inlineStr">
        <is>
          <t>2017-01-18 13:52:56</t>
        </is>
      </c>
      <c r="H2776" t="inlineStr">
        <is>
          <t>Type 2</t>
        </is>
      </c>
    </row>
    <row r="2777">
      <c r="A2777" t="inlineStr">
        <is>
          <t>5ovaei</t>
        </is>
      </c>
      <c r="B2777" t="inlineStr">
        <is>
          <t>Type 1 and Narcolepsy?</t>
        </is>
      </c>
      <c r="C2777" t="inlineStr">
        <is>
          <t>Has anyone here with type 1 been diagnosed with narcolepsy as well?
I've had T1D for over 20 years now, and I'm currently being worked up for possible narcolepsy without cataplexy. I had my sleep study already and am waiting on results, and sort of freaking out.
I hate feeling isolated within a niche group, so I was wondering if anybody here has this dual diagnosis and how diabetes has affected care for the sleep disorder.</t>
        </is>
      </c>
      <c r="D2777" t="n">
        <v>3</v>
      </c>
      <c r="E2777" t="n">
        <v>4</v>
      </c>
      <c r="F2777">
        <f>HYPERLINK("https://www.reddit.com/r/diabetes/comments/5ovaei/type_1_and_narcolepsy/")</f>
        <v/>
      </c>
      <c r="G2777" t="inlineStr">
        <is>
          <t>2017-01-18 23:30:30</t>
        </is>
      </c>
      <c r="H2777" t="inlineStr">
        <is>
          <t>Type 1</t>
        </is>
      </c>
    </row>
    <row r="2778">
      <c r="A2778" t="inlineStr">
        <is>
          <t>5ovtuj</t>
        </is>
      </c>
      <c r="B2778" t="inlineStr">
        <is>
          <t>First A1C after dx...</t>
        </is>
      </c>
      <c r="C2778" t="inlineStr">
        <is>
          <t>...and I'm on 5.0% :D Feels good man! Sorry probably didn't need to make a post about this, but my friends won't really get how exciting this is :D</t>
        </is>
      </c>
      <c r="D2778" t="n">
        <v>8</v>
      </c>
      <c r="E2778" t="n">
        <v>22</v>
      </c>
      <c r="F2778">
        <f>HYPERLINK("https://www.reddit.com/r/diabetes/comments/5ovtuj/first_a1c_after_dx/")</f>
        <v/>
      </c>
      <c r="G2778" t="inlineStr">
        <is>
          <t>2017-01-19 02:16:07</t>
        </is>
      </c>
      <c r="H2778" t="inlineStr">
        <is>
          <t>Type 2</t>
        </is>
      </c>
    </row>
    <row r="2779">
      <c r="A2779" t="inlineStr">
        <is>
          <t>5owu0l</t>
        </is>
      </c>
      <c r="B2779" t="inlineStr">
        <is>
          <t>Couple questions bunched into one post...</t>
        </is>
      </c>
      <c r="C2779" t="inlineStr">
        <is>
          <t>My son is 4. Diagnosed at 1.5.
Anyway, yesterday was his second time having the stomach flu. The first time we got scared of lows and took him to the ER. This time it was different. We gave him his long lasting, then let him suck on freeze pops here and there to keep his BS up around 180-220 until he felt better at dinner time. 
So for breakfast and lunch, he didn't eat anything, so we didn't give him fast insulin. For dinner he ate and then had his regular dose to go with his BS number + carbs. At night we gave him his regular night time snack and put him to bed. 
**1) Was that the proper way to handle the stomach flu? Should he have had insulin anyway at breakfast and/or lunch? because....**
He woke up this morning at 300. He feels good but he has moderate keytones. We're giving him lots of water and gave him is breakfast insulin right away. We called his endo and he basically said to do exactly that. 
**2) Does that sound right?**
And finally, sorta unrelated to all of that...
**3) What do you think about giving a 4 year old fast acting insulin when he has his bedtime snack?** 
His endo has us giving him 15-20 carbs with protein before bed every night but insists that we absolutely do NOT give him insulin before bed no matter how high he is. Sometimes he's like 350 before bed and then we give him a snack anyway! (that's not often). It seems wrong to not give him insulin before bed and let him be high all night. Always seems to balance out by morning though. I think it's gotta be contributing to his less than perfect A1C too...
Just looking for some help from someone whose been there.</t>
        </is>
      </c>
      <c r="D2779" t="n">
        <v>13</v>
      </c>
      <c r="E2779" t="n">
        <v>18</v>
      </c>
      <c r="F2779">
        <f>HYPERLINK("https://www.reddit.com/r/diabetes/comments/5owu0l/couple_questions_bunched_into_one_post/")</f>
        <v/>
      </c>
      <c r="G2779" t="inlineStr">
        <is>
          <t>2017-01-19 06:27:20</t>
        </is>
      </c>
      <c r="H2779" t="inlineStr">
        <is>
          <t>Type 1</t>
        </is>
      </c>
    </row>
    <row r="2780">
      <c r="A2780" t="inlineStr">
        <is>
          <t>5p32qz</t>
        </is>
      </c>
      <c r="B2780" t="inlineStr">
        <is>
          <t>[Question] Glucose levels after fasting.</t>
        </is>
      </c>
      <c r="C2780" t="inlineStr">
        <is>
          <t>Type 2, 1000mg metformin 2 times a day.  Before dinner I had a blood sugar of 135.  I ate and two hours after stared I had a blood sugar of 106.  I ate a very low sugar low carb meal.  This morning I am back up to 121.  Is this normal.  I have only been diagnosed for three weeks and the answers I found on google were all related to type I and insulin use.  Thanks for any help.</t>
        </is>
      </c>
      <c r="D2780" t="n">
        <v>4</v>
      </c>
      <c r="E2780" t="n">
        <v>7</v>
      </c>
      <c r="F2780">
        <f>HYPERLINK("https://www.reddit.com/r/diabetes/comments/5p32qz/question_glucose_levels_after_fasting/")</f>
        <v/>
      </c>
      <c r="G2780" t="inlineStr">
        <is>
          <t>2017-01-20 01:59:27</t>
        </is>
      </c>
      <c r="H2780" t="inlineStr">
        <is>
          <t>Type 2</t>
        </is>
      </c>
    </row>
    <row r="2781">
      <c r="A2781" t="inlineStr">
        <is>
          <t>5p3oww</t>
        </is>
      </c>
      <c r="B2781" t="inlineStr">
        <is>
          <t>Why do doctors say its okay for diabetics to eat fruit?</t>
        </is>
      </c>
      <c r="C2781" t="inlineStr">
        <is>
          <t>s</t>
        </is>
      </c>
      <c r="D2781" t="n">
        <v>0</v>
      </c>
      <c r="E2781" t="n">
        <v>39</v>
      </c>
      <c r="F2781">
        <f>HYPERLINK("https://www.reddit.com/r/diabetes/comments/5p3oww/why_do_doctors_say_its_okay_for_diabetics_to_eat/")</f>
        <v/>
      </c>
      <c r="G2781" t="inlineStr">
        <is>
          <t>2017-01-20 04:50:48</t>
        </is>
      </c>
      <c r="H2781" t="inlineStr">
        <is>
          <t>Type 2</t>
        </is>
      </c>
    </row>
    <row r="2782">
      <c r="A2782" t="inlineStr">
        <is>
          <t>5p3zod</t>
        </is>
      </c>
      <c r="B2782" t="inlineStr">
        <is>
          <t>Type 1 Diabetics who have lived abroad - how did you get supplies? (Thailand/Asia)</t>
        </is>
      </c>
      <c r="C2782" t="inlineStr">
        <is>
          <t>Currently, I'm abroad in Thailand teaching English. Initially, we thought diabetes would be somewhat easy to manage here....find a doctor to get insulin and ship the insulin pump supplies, CGM supplies, test strips, and lancets via mail in 3 month intervals.
Well....we shipped and they were denied by customs. No reason really given....apparently we needed an import license and a doctor's note from a Thai doctor with extreme detail for the supplies (supplier, their origin, a letter of necessity, etc.). We made arrangements to ship back and I was going to need to heavily ration supplies (NEVER recommended as a diabetic) to get me through 2.5 months. Then for some random reason 10 days later, they were released by customs and I got them.
So currently, I'm in a bind here whether to go back home or to stay. I WANT to stay, but diabetes supplies is the one thing holding me back. I cannot deal with another 10 day long stress-bomb of customs holding my supplies I need to live. I truly have no idea what would happen again if we tried to send supplies.
Any experiences with living abroad for you, particularly in Asia/Thailand? The North American pump and Asian pump are different so the supplies need to be shipped abroad, and the CGM is NOT found in Thailand yet so I need those shipped as well. The Accu Check Aviva is not available here and test strips are super expensive here ($100/month). Insulin costs me $120/month. I'm uninsured in Thailand (in the US I am), but I am only 23 and am so confused about insurance in general, particularly in Thailand. I cannot get a clear answer from my doctor here on how to get supplies, and my Thai friend called the FDA who told her about the doctor's note and stuff, but my doctor seemed so confused about that as well and almost unwilling to write a note.
Does anyone have any advice here? Also....the cost of living in Thailand is much lower, and so are salaries. So the cost of insulin and test strips listed might seem cheap by US standards but in Thailand it is quite a hunk of my paycheck.</t>
        </is>
      </c>
      <c r="D2782" t="n">
        <v>2</v>
      </c>
      <c r="E2782" t="n">
        <v>4</v>
      </c>
      <c r="F2782">
        <f>HYPERLINK("https://www.reddit.com/r/diabetes/comments/5p3zod/type_1_diabetics_who_have_lived_abroad_how_did/")</f>
        <v/>
      </c>
      <c r="G2782" t="inlineStr">
        <is>
          <t>2017-01-20 05:55:55</t>
        </is>
      </c>
      <c r="H2782" t="inlineStr">
        <is>
          <t>Type 1</t>
        </is>
      </c>
    </row>
    <row r="2783">
      <c r="A2783" t="inlineStr">
        <is>
          <t>5p7b9j</t>
        </is>
      </c>
      <c r="B2783" t="inlineStr">
        <is>
          <t>A1C 5.9 Whhhaaat?!</t>
        </is>
      </c>
      <c r="C2783" t="inlineStr">
        <is>
          <t xml:space="preserve">Type 1 (m 33) for three years now. I made a docs appointment because for the past month or so I've been burning through insulin. A year ago I was at a 1:15 ratio, now it seems I'm around 1:5.  I was having a hard time keeping sugars down, and thought for sure my A1C was gonna be higher. It was a nice surprise when I found that it had dropped. 
Last year I was 6.5, six months ago 6.3 and now 5.9 
</t>
        </is>
      </c>
      <c r="D2783" t="n">
        <v>45</v>
      </c>
      <c r="E2783" t="n">
        <v>23</v>
      </c>
      <c r="F2783">
        <f>HYPERLINK("https://www.reddit.com/r/diabetes/comments/5p7b9j/a1c_59_whhhaaat/")</f>
        <v/>
      </c>
      <c r="G2783" t="inlineStr">
        <is>
          <t>2017-01-20 15:11:39</t>
        </is>
      </c>
      <c r="H2783" t="inlineStr">
        <is>
          <t>Type 1</t>
        </is>
      </c>
    </row>
    <row r="2784">
      <c r="A2784" t="inlineStr">
        <is>
          <t>5pbk5k</t>
        </is>
      </c>
      <c r="B2784" t="inlineStr">
        <is>
          <t>Elevated BG on Prednisone?</t>
        </is>
      </c>
      <c r="C2784" t="inlineStr">
        <is>
          <t>To make a long story short, I've won a 12 day course of Prednisone.
Since it's a short course, do I need to be worried about it pushing me firmly into the Diabetes camp? I'm already pre-diabetic (though according to /u/alan_s 's wonderful and kind analysis of logs, I'm there already, just not diagnosed).
Anything I should watch for?
Edit: well this is FUN. The first test after starting Prednisone came back at 291 mg/dl. To be fair, this morning's breakfast was nothing even near healthy. Bugger
Update 2: the on call doc looked at my logs and said that my numbers are still too high even off Prednisone. They've scheduled me for an appointment with a nurse practitioner tomorrow morning. We shall see what happens.</t>
        </is>
      </c>
      <c r="D2784" t="n">
        <v>1</v>
      </c>
      <c r="E2784" t="n">
        <v>2</v>
      </c>
      <c r="F2784">
        <f>HYPERLINK("https://www.reddit.com/r/diabetes/comments/5pbk5k/elevated_bg_on_prednisone/")</f>
        <v/>
      </c>
      <c r="G2784" t="inlineStr">
        <is>
          <t>2017-01-21 09:03:06</t>
        </is>
      </c>
      <c r="H2784" t="inlineStr">
        <is>
          <t>Type 2</t>
        </is>
      </c>
    </row>
    <row r="2785">
      <c r="A2785" t="inlineStr">
        <is>
          <t>5pcqv9</t>
        </is>
      </c>
      <c r="B2785" t="inlineStr">
        <is>
          <t>Onset T1D after hernia surgery</t>
        </is>
      </c>
      <c r="C2785" t="inlineStr">
        <is>
          <t xml:space="preserve">This month will be 8 years since being diagnosed. I am 28 y/o male and always just found it ironic how I "became diabetic". Extremely athletic my entire life, lean and muscular build, largely into exercise and nutrition. Now it may just be a massive coincidence however my scientific thought process has a ton of questions..
I was 20 yrs old, R side inguinal hernia, repaired with a mesh. Surgery went fine they said and onto recovery. Had antibiotics for a week and pain medicine. I took all the antibiotics and maybe 3 pain pills the entire time. Mostly stuck w tylenol because the strong stuff was too much for my liking. 
I remained on my mothers couch day and night for a couple days. Standing was hard and slow to accomplish, laughing, coughing, etc. I VIVIDLY remember going to the bathroom one night and feeling a very sharp pain and weird noise associated with it in my epigastric region. To this day I consider that my pancreas last cry for help. I asked the surgeon about it a couple days later and he said "that was normal" to have pains no where near the surgical site.
Two weeks later I was 15 lbs less, having all the symptoms- thirst, hunger, frequent urination, fatigue. I knew the week before what my symptoms were saying but I stayed in denial for another week until I spoke up.
One doctor told me he thinks the mesh can be the problem. Has anyone had, heard, or seen a similar onset??  </t>
        </is>
      </c>
      <c r="D2785" t="n">
        <v>5</v>
      </c>
      <c r="E2785" t="n">
        <v>3</v>
      </c>
      <c r="F2785">
        <f>HYPERLINK("https://www.reddit.com/r/diabetes/comments/5pcqv9/onset_t1d_after_hernia_surgery/")</f>
        <v/>
      </c>
      <c r="G2785" t="inlineStr">
        <is>
          <t>2017-01-21 12:38:49</t>
        </is>
      </c>
      <c r="H2785" t="inlineStr">
        <is>
          <t>Type 1</t>
        </is>
      </c>
    </row>
    <row r="2786">
      <c r="A2786" t="inlineStr">
        <is>
          <t>5pe627</t>
        </is>
      </c>
      <c r="B2786" t="inlineStr">
        <is>
          <t>When did you need a pump or GCM?</t>
        </is>
      </c>
      <c r="C2786" t="inlineStr">
        <is>
          <t>I got diagnosed at 27 as LADA (Type 1) right before Thanksgiving last year and at the time I got put on Novolog and Lantus (but now Basalgar!), and got recently told to start testing 6-8 times a day, so I've been going through supplies a lot faster than I originally had thought.
My endo mentioned that at some point I would want a CGM, and went into a nerd-tech rant which I appreciated, but I forgot to ask when I would need one!
Is it something that basically 'you know' or is it something the endo/docs decide recommend a bit harder?
I see lots of people have pumps and some have CGMs, are they pretty much exclusive (a cursory google shows there are a few combos, so I guess not).
Today was one of my first days where after eating lunch i was fine at 110 but right before I was going to eat dinner I tested at 174 and kind of freaked out, and having more information before that moment probably would have made me freak out less.
Just wondering what other people's decision making process was to getting a pump or CGM.
Thanks in advance for any responses.</t>
        </is>
      </c>
      <c r="D2786" t="n">
        <v>1</v>
      </c>
      <c r="E2786" t="n">
        <v>6</v>
      </c>
      <c r="F2786">
        <f>HYPERLINK("https://www.reddit.com/r/diabetes/comments/5pe627/when_did_you_need_a_pump_or_gcm/")</f>
        <v/>
      </c>
      <c r="G2786" t="inlineStr">
        <is>
          <t>2017-01-21 17:00:50</t>
        </is>
      </c>
      <c r="H2786" t="inlineStr">
        <is>
          <t>Type 1.5/LADA</t>
        </is>
      </c>
    </row>
    <row r="2787">
      <c r="A2787" t="inlineStr">
        <is>
          <t>5pgpe7</t>
        </is>
      </c>
      <c r="B2787" t="inlineStr">
        <is>
          <t>Freestyle Libre and contact sports</t>
        </is>
      </c>
      <c r="C2787" t="inlineStr">
        <is>
          <t>Hello all, I recently purchased a Freestyle Libre to try it out and up until now I am pretty happy with it. I do contact sports (mma/wrestling), does anyone know a good and reliable way to hold it steady while practicing wrestling? I am ok with weight lifting and boxing up to now but I have not tried wrestling yet because i am afraid it will fall apart.
Any input is appreciated</t>
        </is>
      </c>
      <c r="D2787" t="n">
        <v>3</v>
      </c>
      <c r="E2787" t="n">
        <v>9</v>
      </c>
      <c r="F2787">
        <f>HYPERLINK("https://www.reddit.com/r/diabetes/comments/5pgpe7/freestyle_libre_and_contact_sports/")</f>
        <v/>
      </c>
      <c r="G2787" t="inlineStr">
        <is>
          <t>2017-01-22 04:38:40</t>
        </is>
      </c>
      <c r="H2787" t="inlineStr">
        <is>
          <t>Type 1</t>
        </is>
      </c>
    </row>
    <row r="2788">
      <c r="A2788" t="inlineStr">
        <is>
          <t>5phe94</t>
        </is>
      </c>
      <c r="B2788" t="inlineStr">
        <is>
          <t>Ratio seemingly changed 3 fold overnight?</t>
        </is>
      </c>
      <c r="C2788" t="inlineStr">
        <is>
          <t xml:space="preserve">The past few days I've ended up consistently high after eating. I'm taking doses that would have last week easily sent me hypo and I'm still ending up 10+. My B/G has never been as high as 17 since being diagnosed, but now it's happening. 
Here's some info: I've got a sore throat (i know being sick can potentially effect things). I recently opened a new box of insulin but it looks fine. And this has happened in the past but typically only lasted for a couple days and wasn't as extreme as this. Is it possible that my beta cells and pancreatic function is only now being completely finished off?
Can anyone help me figure out what's going on? This really sucks. </t>
        </is>
      </c>
      <c r="D2788" t="n">
        <v>1</v>
      </c>
      <c r="E2788" t="n">
        <v>9</v>
      </c>
      <c r="F2788">
        <f>HYPERLINK("https://www.reddit.com/r/diabetes/comments/5phe94/ratio_seemingly_changed_3_fold_overnight/")</f>
        <v/>
      </c>
      <c r="G2788" t="inlineStr">
        <is>
          <t>2017-01-22 07:12:25</t>
        </is>
      </c>
      <c r="H2788" t="inlineStr">
        <is>
          <t>Type 1</t>
        </is>
      </c>
    </row>
    <row r="2789">
      <c r="A2789" t="inlineStr">
        <is>
          <t>5piv7m</t>
        </is>
      </c>
      <c r="B2789" t="inlineStr">
        <is>
          <t>Troubles with Freestyle Libre</t>
        </is>
      </c>
      <c r="C2789" t="inlineStr">
        <is>
          <t xml:space="preserve">I've recently started using the Freestlye Libre going from a pure finger pricking regime that I would at times neglect. 
I did the trial they offer (might be UK specific) last summer in which they gave two sensors with a money back guarantee. The first sensor failed to go in properly on insertion and although I enjoyed the second one that did go in, it started giving crazy readings 2 days for the end of its life. I sent the receiver back and got my money back. 
One of the main reasons for sending the trial back was the need for the receiver which is why I decided to switch from iPhone to an Android and give the sensors another chance. I called Abbott to ask if the phone worked with the Google Pixel and they said it did so I went out and bought the phone and 2 months supply. Unfortunately the phone didn't work with the Pixel and caused 4 of them to malfunction - 2 within an hour of inserting, the others within a few days. Abbott were very good and replaced them and gave me a free receiver to make up for the phone not working with it but that wasn't the point - I wanted the sensors to work with my phone.
Since receiving the receiver I have inserted yet another sensor - this one has just come out with 4 days remaining.
I am now at the point were not one of these sensors has lasted the 14 days (apart from one which wasn't giving sensible results on the last two days), having inserted 7 different ones. Is this normal? Am I expecting too much? Should they be lasting 14 days minimum? Any help would be greatly appreciated!
</t>
        </is>
      </c>
      <c r="D2789" t="n">
        <v>6</v>
      </c>
      <c r="E2789" t="n">
        <v>8</v>
      </c>
      <c r="F2789">
        <f>HYPERLINK("https://www.reddit.com/r/diabetes/comments/5piv7m/troubles_with_freestyle_libre/")</f>
        <v/>
      </c>
      <c r="G2789" t="inlineStr">
        <is>
          <t>2017-01-22 11:07:11</t>
        </is>
      </c>
      <c r="H2789" t="inlineStr">
        <is>
          <t>Type 1</t>
        </is>
      </c>
    </row>
    <row r="2790">
      <c r="A2790" t="inlineStr">
        <is>
          <t>5pkoox</t>
        </is>
      </c>
      <c r="B2790" t="inlineStr">
        <is>
          <t>Dexcom G4 vs. G5</t>
        </is>
      </c>
      <c r="C2790" t="inlineStr">
        <is>
          <t>Hi everyone,
I had a Dexcom G4 (with Share, if that makes a difference) a couple years back. I have the G5 now. I recently got an Animas Vibe, which syncs with the Dexcom G4 (I was actually trying for a T Slim, but it took literally 9 months of back and forth with their rep, so I threw my hands up and got another Animas.) I've been riding out my current G5 transmitter and just not using that feature on the pump, but my transmitter is about to die so I'm considering going back to the G4 once it's dead.
So, I'm wondering if there are any differences in accuracy between the Dexcom G4 and G5, or if it's all cosmetic? If the G4 is much less accurate than the G5, then I'll just keep using the G5 and ignore that feature on the pump. But if they're about the same, then I'd like to give it a try.
Thanks!</t>
        </is>
      </c>
      <c r="D2790" t="n">
        <v>7</v>
      </c>
      <c r="E2790" t="n">
        <v>14</v>
      </c>
      <c r="F2790">
        <f>HYPERLINK("https://www.reddit.com/r/diabetes/comments/5pkoox/dexcom_g4_vs_g5/")</f>
        <v/>
      </c>
      <c r="G2790" t="inlineStr">
        <is>
          <t>2017-01-22 15:45:16</t>
        </is>
      </c>
      <c r="H2790" t="inlineStr">
        <is>
          <t>Type 1</t>
        </is>
      </c>
    </row>
    <row r="2791">
      <c r="A2791" t="inlineStr">
        <is>
          <t>5ppn5x</t>
        </is>
      </c>
      <c r="B2791" t="inlineStr">
        <is>
          <t>One year later Type 2 Diabetic</t>
        </is>
      </c>
      <c r="C2791" t="inlineStr">
        <is>
          <t>Just a little more than a year ago I wasn't feeling well and went to the Doctor.  A urine test showed very high sugar levels so he did and A1C test.  A few days later I went back to get the results.  I had an A1C of 14.1.  I was put on Metformin right away and started to eat better and exercise more.  I should mention here I'm 47, about 190lbs, 5'10" and have no family history of Diabetes.  The metformin I was taking (Janumet) upset my stomach so a couple of months in I switched to Janumet XR which has been much better.  I was testing my blood sugar pretty regularly in the beginning but as time went on I stopped.  Lately I have been feeling a little sluggish again so I started checking my sugars again.  My average fasting sugar level (first thing in the morning) is 165 and since I started testing again I have not had a reading under 160.  My doctor tells me that as long as I'm under 180 I should be good.  Numbers over 200 have not been uncommon recently.  I'm currently taking 2000mg of Janumet XR daily.  So my question for anyone looking to give some feedback is should my numbers be lower?  Ive been reading a little about Type II becoming insulin dependent, do these numbers seem to indicate a move that way given how high they seem when taking such a large daily does of Metformin?  For those not familiar with Janumet XR its a combination of (sitagliptin and metformin ).  Thanks for any information anyone can pass along.</t>
        </is>
      </c>
      <c r="D2791" t="n">
        <v>4</v>
      </c>
      <c r="E2791" t="n">
        <v>12</v>
      </c>
      <c r="F2791">
        <f>HYPERLINK("https://www.reddit.com/r/diabetes/comments/5ppn5x/one_year_later_type_2_diabetic/")</f>
        <v/>
      </c>
      <c r="G2791" t="inlineStr">
        <is>
          <t>2017-01-23 08:08:08</t>
        </is>
      </c>
      <c r="H2791" t="inlineStr">
        <is>
          <t>Type 2</t>
        </is>
      </c>
    </row>
    <row r="2792">
      <c r="A2792" t="inlineStr">
        <is>
          <t>5pq2n1</t>
        </is>
      </c>
      <c r="B2792" t="inlineStr">
        <is>
          <t>Diabetes Diet</t>
        </is>
      </c>
      <c r="C2792" t="inlineStr">
        <is>
          <t xml:space="preserve">Hey guys and gals! So I don't know if there is another post about this (I tried looking for one) but basically I'm looking some tips on how to eat better and what food items I can add to my grocery list. 
A little background, I am a 23 male with type 1. I was diagnosed when I was 18 and pretty much been in denial. My Grandpa has type 2 and My half sister has type 1 (she had it since birth), so I was aware of how it works. I just never figured it would happen to me. So when I did get it, I found out by failing my urine test at the MEPS center (trying to be a Marine), I basically said F*ck life and moved out of my parents and got into raves and drugs. That only last a year before I got around and saying I should do something with my life. Now I am in a good position in my life, I have a great career, my own apartment (with a roommate), and ended a toxic relationship.
The only thing that is holding me back now is my diabetes. I am not good with checking on it, I have been guessing on how much insulin, rarely got to the doctors (last AC1 was 1 year ago) and eating whatever I want. I've been to the ER once because I couldn't  walk. Because of my poor diet and diabetes, my muscles in my thighs weren't working (I forgot what they actually said but all I know is that they said my Potassium and Magnesium levels were super low). That was last year in January. 
So if you guys can help by giving some advice on what you guys like to eat/make that would be great. Sorry for long post.
</t>
        </is>
      </c>
      <c r="D2792" t="n">
        <v>1</v>
      </c>
      <c r="E2792" t="n">
        <v>7</v>
      </c>
      <c r="F2792">
        <f>HYPERLINK("https://www.reddit.com/r/diabetes/comments/5pq2n1/diabetes_diet/")</f>
        <v/>
      </c>
      <c r="G2792" t="inlineStr">
        <is>
          <t>2017-01-23 09:10:28</t>
        </is>
      </c>
      <c r="H2792" t="inlineStr">
        <is>
          <t>Type 1</t>
        </is>
      </c>
    </row>
    <row r="2793">
      <c r="A2793" t="inlineStr">
        <is>
          <t>5pq9o6</t>
        </is>
      </c>
      <c r="B2793" t="inlineStr">
        <is>
          <t>Does anyone know if the "artificial pancreas" by Medtronic has something similar to Dexcom's "Share" app? And any updates on a release date?</t>
        </is>
      </c>
      <c r="C2793" t="inlineStr">
        <is>
          <t>I live alone and in a really small town near Aspen, CO. I have the Dexcom "Share" app right now shared with my boss and some family members. Basically, because I live alone and work in my own office, they want to be able to monitor my BG's (especially at night when I'm sleeping). Has anyone heard if Minimed's artificial pancreas will have a similar type of system for sharing BG's? 
Also, I haven't looked in a couple months, but any updates on when that will actually be released? I know it's supposed to be in the "spring" of 2017, but any further updates?</t>
        </is>
      </c>
      <c r="D2793" t="n">
        <v>2</v>
      </c>
      <c r="E2793" t="n">
        <v>9</v>
      </c>
      <c r="F2793">
        <f>HYPERLINK("https://www.reddit.com/r/diabetes/comments/5pq9o6/does_anyone_know_if_the_artificial_pancreas_by/")</f>
        <v/>
      </c>
      <c r="G2793" t="inlineStr">
        <is>
          <t>2017-01-23 09:38:40</t>
        </is>
      </c>
      <c r="H2793" t="inlineStr">
        <is>
          <t>Type 1</t>
        </is>
      </c>
    </row>
    <row r="2794">
      <c r="A2794" t="inlineStr">
        <is>
          <t>5pqawj</t>
        </is>
      </c>
      <c r="B2794" t="inlineStr">
        <is>
          <t>Type 1 spouse subreddit?</t>
        </is>
      </c>
      <c r="C2794" t="inlineStr">
        <is>
          <t>My fiancée has type 1 diabetes.  I would love to find a subreddit for the loved ones of people with type 1.  Does anyone know of any?  Thanks!</t>
        </is>
      </c>
      <c r="D2794" t="n">
        <v>3</v>
      </c>
      <c r="E2794" t="n">
        <v>15</v>
      </c>
      <c r="F2794">
        <f>HYPERLINK("https://www.reddit.com/r/diabetes/comments/5pqawj/type_1_spouse_subreddit/")</f>
        <v/>
      </c>
      <c r="G2794" t="inlineStr">
        <is>
          <t>2017-01-23 09:43:27</t>
        </is>
      </c>
      <c r="H2794" t="inlineStr">
        <is>
          <t>Type 1</t>
        </is>
      </c>
    </row>
    <row r="2795">
      <c r="A2795" t="inlineStr">
        <is>
          <t>5ps09n</t>
        </is>
      </c>
      <c r="B2795" t="inlineStr">
        <is>
          <t>Daughter of T1 (pancreatic failure) diabetic mum (78 yrs). Diagnosed 1988. MDI. Also Alzheimer's Disease - moderate stage</t>
        </is>
      </c>
      <c r="C2795" t="inlineStr">
        <is>
          <t>Hi r/diabetes,
I hope I got the title format right! My mum has been diabetic since 1988 and has managed herself with multiple injections daily. Was using DAFNE for most of that time. She did OK. Two years ago she was diagnosed with Alzheimer's disease and, as is the way with this awful illness, she is deteriorating to the point where she is now considered "moderate" stage. 
My dad has been managing her injections with help from the diabetes clinic (UK, under the NHS) and to avoid confusion they have moved to a 10-14-10 daily injecting protocol. He has been fine managing the changing needs of Alzheimer's but finds the diabetes very stressful because she is totally dependent on him and he's fully aware that if he gets it wrong the consequences could be fatal. 
We are trying to get mum into Alzheimer's day care a couple of times a week to give dad some relief, but they are not set up to manage her injections. So my question (eventually!) is: Could a pump be useful here? Could it be set up to do the mid-day injection of 14 units with dad continuing to do the morning/evening doses? Do the pumps have to be meddled with during the day? 
Grateful for any help/advice/experience
TL;DR Diabetic mum with Alzheimer's. Would pump help?</t>
        </is>
      </c>
      <c r="D2795" t="n">
        <v>10</v>
      </c>
      <c r="E2795" t="n">
        <v>2</v>
      </c>
      <c r="F2795">
        <f>HYPERLINK("https://www.reddit.com/r/diabetes/comments/5ps09n/daughter_of_t1_pancreatic_failure_diabetic_mum_78/")</f>
        <v/>
      </c>
      <c r="G2795" t="inlineStr">
        <is>
          <t>2017-01-23 14:00:35</t>
        </is>
      </c>
      <c r="H2795" t="inlineStr">
        <is>
          <t>Type 1</t>
        </is>
      </c>
    </row>
    <row r="2796">
      <c r="A2796" t="inlineStr">
        <is>
          <t>5psq36</t>
        </is>
      </c>
      <c r="B2796" t="inlineStr">
        <is>
          <t>Those Cheeky Hospital Buggers (A1C update)</t>
        </is>
      </c>
      <c r="C2796" t="inlineStr">
        <is>
          <t>So, when I was first diagnosed, I had an A1C of 12.9. Good fun.
Anyway, I was in hospital over Christmas (Slightly related but not really).
Saw my GP today and turns out the cheeky buggers at the hospital did an A1C test without telling me.
5.7.
5.7 in 7 months.
Idk i'm quite happy about that.</t>
        </is>
      </c>
      <c r="D2796" t="n">
        <v>25</v>
      </c>
      <c r="E2796" t="n">
        <v>5</v>
      </c>
      <c r="F2796">
        <f>HYPERLINK("https://www.reddit.com/r/diabetes/comments/5psq36/those_cheeky_hospital_buggers_a1c_update/")</f>
        <v/>
      </c>
      <c r="G2796" t="inlineStr">
        <is>
          <t>2017-01-23 15:57:20</t>
        </is>
      </c>
      <c r="H2796" t="inlineStr">
        <is>
          <t>Type 1</t>
        </is>
      </c>
    </row>
    <row r="2797">
      <c r="A2797" t="inlineStr">
        <is>
          <t>5pt3u1</t>
        </is>
      </c>
      <c r="B2797" t="inlineStr">
        <is>
          <t>Do any Americans here get their insulin shipped from Canada?</t>
        </is>
      </c>
      <c r="C2797" t="inlineStr">
        <is>
          <t>I've been looking into buying my insulin from Canada since the mark up here in America is so high. It looks like I can get NovoRapid, which seems to be about the same as Novolog for about 1/6 of the price. Was curious if anyone has bought from an online drug store and had it shipped? I've seen some Canadian stores online with this option but am not sure if any of them are legit or not.</t>
        </is>
      </c>
      <c r="D2797" t="n">
        <v>2</v>
      </c>
      <c r="E2797" t="n">
        <v>3</v>
      </c>
      <c r="F2797">
        <f>HYPERLINK("https://www.reddit.com/r/diabetes/comments/5pt3u1/do_any_americans_here_get_their_insulin_shipped/")</f>
        <v/>
      </c>
      <c r="G2797" t="inlineStr">
        <is>
          <t>2017-01-23 17:04:02</t>
        </is>
      </c>
      <c r="H2797" t="inlineStr">
        <is>
          <t>Type 1</t>
        </is>
      </c>
    </row>
    <row r="2798">
      <c r="A2798" t="inlineStr">
        <is>
          <t>5puhws</t>
        </is>
      </c>
      <c r="B2798" t="inlineStr">
        <is>
          <t>Kaiser OR and CGMs</t>
        </is>
      </c>
      <c r="C2798" t="inlineStr">
        <is>
          <t xml:space="preserve">Kaiser OR has just started providing CGMs however because I don't have numbers below 50 recently they won't approve it.  I am so frustrated.  I explained Type 1s can get below 50 anytime we like but I don't want to have to do that. She also asked if I had been to the ER or had EMTs come when I have a hypoglycemic episode.  She said I can fight the denial.  Why do they make us get "worse" to try and get better.  From when I had a CGM I went from 7.1 to 8.2 in 6 months.  Please help with any suggestions. Thank you so much.  </t>
        </is>
      </c>
      <c r="D2798" t="n">
        <v>1</v>
      </c>
      <c r="E2798" t="n">
        <v>2</v>
      </c>
      <c r="F2798">
        <f>HYPERLINK("https://www.reddit.com/r/diabetes/comments/5puhws/kaiser_or_and_cgms/")</f>
        <v/>
      </c>
      <c r="G2798" t="inlineStr">
        <is>
          <t>2017-01-23 21:48:03</t>
        </is>
      </c>
      <c r="H2798" t="inlineStr">
        <is>
          <t>Type 1</t>
        </is>
      </c>
    </row>
    <row r="2799">
      <c r="A2799" t="inlineStr">
        <is>
          <t>5pyj7g</t>
        </is>
      </c>
      <c r="B2799" t="inlineStr">
        <is>
          <t>Exercising in cold-ish wx with Dexcom</t>
        </is>
      </c>
      <c r="C2799" t="inlineStr">
        <is>
          <t xml:space="preserve">Relatively new to my Dexcom, used a G4 for a week with my Endo a while back, but now have my own G5 and into week 2.  I placed it on my abdomen as instructed. 
Today I went on a 20 mile bike ride at lunch, not killer, ~17/mph and felt pretty good, temp was in the 50s.  Of course the alarm was going off every few minutes with critical lows. 
http://imgur.com/5NAMWrO
Recovered when I got back, showered, etc.  Common for others?  </t>
        </is>
      </c>
      <c r="D2799" t="n">
        <v>1</v>
      </c>
      <c r="E2799" t="n">
        <v>8</v>
      </c>
      <c r="F2799">
        <f>HYPERLINK("https://www.reddit.com/r/diabetes/comments/5pyj7g/exercising_in_coldish_wx_with_dexcom/")</f>
        <v/>
      </c>
      <c r="G2799" t="inlineStr">
        <is>
          <t>2017-01-24 12:26:18</t>
        </is>
      </c>
      <c r="H2799" t="inlineStr">
        <is>
          <t>Type 1</t>
        </is>
      </c>
    </row>
    <row r="2800">
      <c r="A2800" t="inlineStr">
        <is>
          <t>5pzaui</t>
        </is>
      </c>
      <c r="B2800" t="inlineStr">
        <is>
          <t>I knew I'd end up taking the wrong insulin at the wrong time eventually.</t>
        </is>
      </c>
      <c r="C2800" t="inlineStr">
        <is>
          <t xml:space="preserve">I was diagnosed just over 2 years ago and I knew this would happen one day. Just took Humalog instead of Levemir. Looks like it's going to be a long night. </t>
        </is>
      </c>
      <c r="D2800" t="n">
        <v>10</v>
      </c>
      <c r="E2800" t="n">
        <v>8</v>
      </c>
      <c r="F2800">
        <f>HYPERLINK("https://www.reddit.com/r/diabetes/comments/5pzaui/i_knew_id_end_up_taking_the_wrong_insulin_at_the/")</f>
        <v/>
      </c>
      <c r="G2800" t="inlineStr">
        <is>
          <t>2017-01-24 14:28:50</t>
        </is>
      </c>
      <c r="H2800" t="inlineStr">
        <is>
          <t>Type 1</t>
        </is>
      </c>
    </row>
    <row r="2801">
      <c r="A2801" t="inlineStr">
        <is>
          <t>5q016j</t>
        </is>
      </c>
      <c r="B2801" t="inlineStr">
        <is>
          <t>What did you put in that burrito?!?</t>
        </is>
      </c>
      <c r="C2801" t="inlineStr">
        <is>
          <t xml:space="preserve">That was the text I got from my wife this morning on my way to work. I checked the Dexcom Follow for my son and was [greeted by this](http://i.imgur.com/WVSBi6v.jpg).
It was just a simple breakfast burrito, I swear! I had made an awesome black bean soup we'd had for dinner the night before, and made a burrito with a tortilla, leftover bean soup, a couple of tater tots, an egg and a little sprinkle of cheese.
I am an obsessive weigher -- for example, for the soup I weighed all the ingredients and calculated carbs for all the ingredients, and weighted the whole pot of soup.  The calculations checked out, the bolus for dinner was perfect.
But that breakfast burrito. Had I screwed up my calculations? Then my wife reminded me "we've got to start bolusing for eggs too. He went up pretty high that day he had only eggs - should look it up."
So, what's the advanced math required to figure out how to bolus for eggs, especially in combination with fats (cheese) and various other ingredients? </t>
        </is>
      </c>
      <c r="D2801" t="n">
        <v>2</v>
      </c>
      <c r="E2801" t="n">
        <v>16</v>
      </c>
      <c r="F2801">
        <f>HYPERLINK("https://www.reddit.com/r/diabetes/comments/5q016j/what_did_you_put_in_that_burrito/")</f>
        <v/>
      </c>
      <c r="G2801" t="inlineStr">
        <is>
          <t>2017-01-24 16:37:43</t>
        </is>
      </c>
      <c r="H2801" t="inlineStr">
        <is>
          <t>Type 1</t>
        </is>
      </c>
    </row>
    <row r="2802">
      <c r="A2802" t="inlineStr">
        <is>
          <t>5q6cw4</t>
        </is>
      </c>
      <c r="B2802" t="inlineStr">
        <is>
          <t>BS 82/87 1 hour after eating McDonalds. This doesn't seem right. Type 2.</t>
        </is>
      </c>
      <c r="C2802" t="inlineStr">
        <is>
          <t xml:space="preserve">So I'm in my 3rd week after diagnosis, and haven't had fast food or any real treats/sweets at all. I've been eating lazy keto, so plenty of fat and sodium (need to work on getting that salt down), but I've been doing pretty well. 
Today, I just really got a hankering for a big mac and fries. I have been on the straight and narrow since my diagnosis, so outside of a small box of those valentine sugar hearts, this was my first real cheat. 
I was curious to see how my body responded, and I was shocked to see a reading of 82 and 87 taken on two separate fingers an hour after eating. My readings have been in the 80s all day after having a fasting BS of 103. 
Does this seem abnormal to you all? I have been riding my stationary bike, and I did ride it right after eating (I heard that helps diminish the impact), but still. Is it possible that my body was primed to deal with the carbs because I've had them limited for so long (for me)? I did make better decisions for this meal. I got a small order of fries, only ate the middle bun on the big mac, and had 6 nuggets instead of my normal 10. 
Also, is it normal for your BS readings to vary from moment to moment if you do readings in quick succession on different fingers? I thought your BS was your BS, but it seems like you can get a different reading of as many as 10mg. 
</t>
        </is>
      </c>
      <c r="D2802" t="n">
        <v>0</v>
      </c>
      <c r="E2802" t="n">
        <v>21</v>
      </c>
      <c r="F2802">
        <f>HYPERLINK("https://www.reddit.com/r/diabetes/comments/5q6cw4/bs_8287_1_hour_after_eating_mcdonalds_this_doesnt/")</f>
        <v/>
      </c>
      <c r="G2802" t="inlineStr">
        <is>
          <t>2017-01-25 14:21:14</t>
        </is>
      </c>
      <c r="H2802" t="inlineStr">
        <is>
          <t>Type 2</t>
        </is>
      </c>
    </row>
    <row r="2803">
      <c r="A2803" t="inlineStr">
        <is>
          <t>5q75xc</t>
        </is>
      </c>
      <c r="B2803" t="inlineStr">
        <is>
          <t>Record low A1c!</t>
        </is>
      </c>
      <c r="C2803" t="inlineStr">
        <is>
          <t>Just got back from my endo appointment and my A1c came back at 6.1!!! That's .6 lower than 6 months ago, 1.2 since last year when I went on a CGM, and 9.2 below my record high (15.3) back in 1998. Diabetically, I've never felt better in my life. 
I credit the CGM and this forum for not just keeping me on my game but also encouraging small steps towards an even better game. I didn't think that low of an A1c would ever be possible for me. Thanks to y'all for keeping the conversation alive, I can tell you for certain that they do have a positive effect!!</t>
        </is>
      </c>
      <c r="D2803" t="n">
        <v>27</v>
      </c>
      <c r="E2803" t="n">
        <v>13</v>
      </c>
      <c r="F2803">
        <f>HYPERLINK("https://www.reddit.com/r/diabetes/comments/5q75xc/record_low_a1c/")</f>
        <v/>
      </c>
      <c r="G2803" t="inlineStr">
        <is>
          <t>2017-01-25 16:42:24</t>
        </is>
      </c>
      <c r="H2803" t="inlineStr">
        <is>
          <t>Type 1</t>
        </is>
      </c>
    </row>
    <row r="2804">
      <c r="A2804" t="inlineStr">
        <is>
          <t>5q8jsx</t>
        </is>
      </c>
      <c r="B2804" t="inlineStr">
        <is>
          <t>CGM while playing sports</t>
        </is>
      </c>
      <c r="C2804" t="inlineStr">
        <is>
          <t xml:space="preserve">I'm 24 and was diagnosed with diabetes about 2 years ago (T1 and been on insulin since just over a year). I've been controlling my sugars pretty well even though I pretty much never check my blood sugar levels with my last A1C at 6.1 or 6.4 but I am not sure if my body is maybe still in some kind of small honeymoon phase as I play a lot of hockey. I've only been using insulin pens, no pump.
I was curious if anyone has any experience using a CGM like the Dexcom G5 with sports, especially contact ones like ice hockey. The only thing preventing me from using a CGM is this as I play a couple times a week, and am scared what will happen if the CGM gets contacted, or if it'll be uncomfortable while moving around. </t>
        </is>
      </c>
      <c r="D2804" t="n">
        <v>6</v>
      </c>
      <c r="E2804" t="n">
        <v>22</v>
      </c>
      <c r="F2804">
        <f>HYPERLINK("https://www.reddit.com/r/diabetes/comments/5q8jsx/cgm_while_playing_sports/")</f>
        <v/>
      </c>
      <c r="G2804" t="inlineStr">
        <is>
          <t>2017-01-25 21:25:10</t>
        </is>
      </c>
      <c r="H2804" t="inlineStr">
        <is>
          <t>Type 1</t>
        </is>
      </c>
    </row>
    <row r="2805">
      <c r="A2805" t="inlineStr">
        <is>
          <t>5qapqb</t>
        </is>
      </c>
      <c r="B2805" t="inlineStr">
        <is>
          <t>New T2 with a Couple of Questions</t>
        </is>
      </c>
      <c r="C2805" t="inlineStr">
        <is>
          <t>Hi all,
I was recently diagnosed (a few weeks ago) with T2 diabetes with a fasting glucose of 323 and an A1C of 11.4. Before I got my A1c back my doctor said my numbers were high but he didn't want to make me test yet and to setup a 3 month checkup with him to reevaluate. He put me on Metformin twice a day (I don't remember the dosage, it is on my pill bottle at home) and said to lose weight (I am 5'10 and 225 lbs) and eat better. Since then I have changed my diet to eat more whole grains and to basically cut out processed sugar and fats (candy bars, soda, potato chips) and started eating more vegetables, whole grains, nuts, and a little fruit.  I was wondering if you kind people would help me answer a couple of questions.
1. My hands have been feeling cold recently and sometimes feel like they do after they wake up from falling asleep. Is this normal (I know that cold hands is a symptom)?
2. I have been looking at starting the Keto diet, as I have read that there are alot of T2's that have success with it. Does anyone have any experience with it or know of any good books on it? I am going on vacation saturday so it would be a good time to read it.
3. Does anyone know any good books on diabetes itself (I have seen some recommend *The First Year: Type 2 Diabetes* by Gretchen Becker but have heard some pretty negative things about it as well).
4. This might be a question for /r/fitness but is there a weight loss workout plan that you would recommend for getting to my weight goal of 180.
Sorry if this has been posted before.
I also wanted to say thank you to the community, I have been lurking for the last week and you all are so helpful and kind. So thank you for being awesome.
Thank you for any help. 
Edit: I forgot to include I have been doing 30 minutes of cardio (trying to stay in my zone for at least 10 minutes of it) at least 5 days a week.</t>
        </is>
      </c>
      <c r="D2805" t="n">
        <v>2</v>
      </c>
      <c r="E2805" t="n">
        <v>38</v>
      </c>
      <c r="F2805">
        <f>HYPERLINK("https://www.reddit.com/r/diabetes/comments/5qapqb/new_t2_with_a_couple_of_questions/")</f>
        <v/>
      </c>
      <c r="G2805" t="inlineStr">
        <is>
          <t>2017-01-26 07:21:05</t>
        </is>
      </c>
      <c r="H2805" t="inlineStr">
        <is>
          <t>Type 2</t>
        </is>
      </c>
    </row>
    <row r="2806">
      <c r="A2806" t="inlineStr">
        <is>
          <t>5qc864</t>
        </is>
      </c>
      <c r="B2806" t="inlineStr">
        <is>
          <t>Switched from Metformin to Januvia and blood sugar is through the roof (lowest fasting this week was 160, up from 110). WTF is going on??</t>
        </is>
      </c>
      <c r="C2806" t="inlineStr">
        <is>
          <t xml:space="preserve">I'm sitting here in the cafe at work. I ate 1 cup of high fiber, high protein cereal for breakfast at 8:00 AM for a total of 27 carbs. This is the highest carb breakfast I ever eat, and my 1-hr reading is usually under 140 (or maybe up to 150 if my fasting was high). It is 11:00 AM and my bood sugar is 197. What on earth is going on?? I had to quit Metformin because my body absolutely cannot tolerate it... I was in the middle of a full inflammatory response and missing hours of work each week because of how sick it made me (severe flu-like symptoms). In spite of the horrid side effects, I was really happy with how well the drug worked. My sugar levels were cruising around 110 and I could handle the occasional serving of processed carbs if I so desired. It was awesome. I have been on Januvia for 4 days, and my lowest test was 127. I want to stop this drug immediately because it doesn't seem to be doing anything, and I would rather go back to near-keto than take useless meds. I I know I have bad Dawn Phenomenon, but my fasting BG is through the roof too. Has anyone had this experience? What's going on? I was so happy to get away from the heachache-inducing, gastro-destroying Metformin but at the same time I sure like having meds to help keep my sugars down :( </t>
        </is>
      </c>
      <c r="D2806" t="n">
        <v>13</v>
      </c>
      <c r="E2806" t="n">
        <v>17</v>
      </c>
      <c r="F2806">
        <f>HYPERLINK("https://www.reddit.com/r/diabetes/comments/5qc864/switched_from_metformin_to_januvia_and_blood/")</f>
        <v/>
      </c>
      <c r="G2806" t="inlineStr">
        <is>
          <t>2017-01-26 11:27:57</t>
        </is>
      </c>
      <c r="H2806" t="inlineStr">
        <is>
          <t>Type 2</t>
        </is>
      </c>
    </row>
    <row r="2807">
      <c r="A2807" t="inlineStr">
        <is>
          <t>5qcf4b</t>
        </is>
      </c>
      <c r="B2807" t="inlineStr">
        <is>
          <t>Best A1C in a while</t>
        </is>
      </c>
      <c r="C2807" t="inlineStr">
        <is>
          <t xml:space="preserve">I've been really trying to lower my A1C over the last couple of months as I'd gone up .5 at my previous doctor's appointment without really noticing. I'm getting married in 6 weeks and want to live a long life (I have had T1 for 20 years, and struggled through my teens).  I have another doctor's appointment in 3 weeks but wanted to see how the progress was going so I bought a home A1C test kit on Amazon to check. I'm at 6.6, down from 7.3 at my last doctor's appointment.  I'm not in the 5's and obviously there's still work to do, but it was really encouraging to see that some of what I've tried to do has been working over the last couple of months. 
Here are some of the simpler changes I made that might help others:
I have a pump + CGM so I changed my high blood sugar alert from 180 to 145. My pump buzzes me a lot more now but I have only had a few numbers above 200 and practically zero numbers above 300 since doing this. 
I stopped drinking beer. It was too easy to forget to bolus for the carbs.
I started using the temp basal function on my pump more. I have a problem with night time lows when I exercise and then subsequently over-treating them, which can ruin the next day. On days where I would exercise, I'd cut my night time basal down by a full unit (everyone's different, obviously) which was really helped limit night lows.  If I was doing a long, sustained activity (walking 18 holes on the golf course, for instance), I'd also use it to cut my basal to almost nothing during those times as well, when in the past I would have suspended my pump entirely. This was really helpful in making sure that I didn't stay suspended for too long after the activity.
As far as diet, I've tried to cut down carbs, but what was surprisingly helpful was using the dual wave bolus function on my pump to account for protein. By pre-bolusing (even 10 minutes makes a difference, as much of a pain as it is) and using the time-release bolus to account for grams of protein (I'd usually just divide the rough grams of protein in half, pretend they were carbs, add them on to the carbs I was eating and then just do 50% bolus now/50% bolus over the course of an hour),
I've found that I have a lot fewer/less severe post meal spikes. 
Anyways, this sub has been really helpful in trying to figure out this disease, even after 20 years. Wanted to share my progress with you all and hope some of what helped me maybe helps someone else out there. </t>
        </is>
      </c>
      <c r="D2807" t="n">
        <v>17</v>
      </c>
      <c r="E2807" t="n">
        <v>2</v>
      </c>
      <c r="F2807">
        <f>HYPERLINK("https://www.reddit.com/r/diabetes/comments/5qcf4b/best_a1c_in_a_while/")</f>
        <v/>
      </c>
      <c r="G2807" t="inlineStr">
        <is>
          <t>2017-01-26 11:59:07</t>
        </is>
      </c>
      <c r="H2807" t="inlineStr">
        <is>
          <t>Type 1</t>
        </is>
      </c>
    </row>
    <row r="2808">
      <c r="A2808" t="inlineStr">
        <is>
          <t>5qf8ks</t>
        </is>
      </c>
      <c r="B2808" t="inlineStr">
        <is>
          <t>Losing weight with diabetes - HELP</t>
        </is>
      </c>
      <c r="C2808" t="inlineStr">
        <is>
          <t xml:space="preserve">I know there's a huge debate about whether insulin will cause weight gain or not, but either way, I've been finding it extremely difficult to lose weight since being diagnosed with T1D. I've started to count calories (as well as carbs), but it's a bit miserable, especially when correcting for lows. Does anyone have any tips or advice? Fitness that works from them? I'll take anything. </t>
        </is>
      </c>
      <c r="D2808" t="n">
        <v>8</v>
      </c>
      <c r="E2808" t="n">
        <v>14</v>
      </c>
      <c r="F2808">
        <f>HYPERLINK("https://www.reddit.com/r/diabetes/comments/5qf8ks/losing_weight_with_diabetes_help/")</f>
        <v/>
      </c>
      <c r="G2808" t="inlineStr">
        <is>
          <t>2017-01-26 20:44:21</t>
        </is>
      </c>
      <c r="H2808" t="inlineStr">
        <is>
          <t>Type 1</t>
        </is>
      </c>
    </row>
    <row r="2809">
      <c r="A2809" t="inlineStr">
        <is>
          <t>5qinyh</t>
        </is>
      </c>
      <c r="B2809" t="inlineStr">
        <is>
          <t>[Type 1] Low carb and protein dosage help (T1|MDI)</t>
        </is>
      </c>
      <c r="C2809" t="inlineStr">
        <is>
          <t>I eat very few carbs, but still need to take large amounts of insulin to cover fat and protein,  is this normal?  for protein, I usually need 1 unit Novolog for 10 g protein up front and after 2 hours. In total, I need 8-10 units to cover a chicken breast (more if I have any fat with the meal).  Is this typical?  
The problem that I'm having is that the second dose is such a huge amount of insulin, that if I'm at healthy levels, I'm afraid to inject it until I start to creep up (but by then it's too late, and I'm going 200+ from ~120)
It's gotten so bad that I've stopped eating during the day to be able to get some period of control.  Nights with dinner and mornings are a nightmare, and I feel like I can't eat without my blood sugar shooting up. I eat almost exclusively broccoli and chicken right now.  I'm miserable.</t>
        </is>
      </c>
      <c r="D2809" t="n">
        <v>3</v>
      </c>
      <c r="E2809" t="n">
        <v>8</v>
      </c>
      <c r="F2809">
        <f>HYPERLINK("https://www.reddit.com/r/diabetes/comments/5qinyh/type_1_low_carb_and_protein_dosage_help_t1mdi/")</f>
        <v/>
      </c>
      <c r="G2809" t="inlineStr">
        <is>
          <t>2017-01-27 10:13:41</t>
        </is>
      </c>
      <c r="H2809" t="inlineStr">
        <is>
          <t>Type 1</t>
        </is>
      </c>
    </row>
    <row r="2810">
      <c r="A2810" t="inlineStr">
        <is>
          <t>5qjnyi</t>
        </is>
      </c>
      <c r="B2810" t="inlineStr">
        <is>
          <t>T1's Dx Experience</t>
        </is>
      </c>
      <c r="C2810" t="inlineStr">
        <is>
          <t>I'm always curious how others dx went and how diabetes presented at the time.  I'm also curious about others who had no discernible honeymoon period.
I was diagnosed at age 10/11.  I don't know my dx glucose, but I had been in DKA for a while.  I started sleeping all the time, eating almost nothing, and losing weight around June and my parents brought me to the doctor 3 times over the summer, but I was always misdiagnosed with a long-lasting bug.  Finally a walk-in doctor in September caught it and I was sent to the ER from the doctor's office.
I was lucky in that we were able to get my numbers under control really quickly and there weren't any huge adjustments after the first month or two - my doctor warned me about honeymoons but it never happened.  I always thought honeymoon periods were actually rare until I joined some message boards.
According to a study from 2006 DKA and long duration of symptoms at diagnosis means remission duration is shorter.
So just wondering when you were diagnosed, were you taken seriously?  In DKA?  In hospital?  Did you get a discernible honeymoon?
ETA:  I called my mom and she said she doesn't believe we were ever given an A1C at dx, but my glucose was 28mmol.  My second A1C at a 1 month after diagnosis was 10%.  After that it dropped to an average in the 6's, occasionally 7's.</t>
        </is>
      </c>
      <c r="D2810" t="n">
        <v>3</v>
      </c>
      <c r="E2810" t="n">
        <v>12</v>
      </c>
      <c r="F2810">
        <f>HYPERLINK("https://www.reddit.com/r/diabetes/comments/5qjnyi/t1s_dx_experience/")</f>
        <v/>
      </c>
      <c r="G2810" t="inlineStr">
        <is>
          <t>2017-01-27 12:59:03</t>
        </is>
      </c>
      <c r="H2810" t="inlineStr">
        <is>
          <t>Type 1</t>
        </is>
      </c>
    </row>
    <row r="2811">
      <c r="A2811" t="inlineStr">
        <is>
          <t>5qjpbq</t>
        </is>
      </c>
      <c r="B2811" t="inlineStr">
        <is>
          <t>Neuropathy already??</t>
        </is>
      </c>
      <c r="C2811" t="inlineStr">
        <is>
          <t>So my son is 9. He was diagnosed (T1) 3 years ago when he was 6, and ended up in the hospital with DKA and a blood glucose level of 28 (~500). For whatever reason they didn't do an A1c at the time, but his first A1c 3 months later was 6.8%.
Since then we've done our best to control it as well as possible, and the highest A1c he's had since then is 6.2, with a range between 5.8 and 6.2.
So this morning he complained that his one foot felt like it was asleep, and his ankle sort of hurt. I figured he would feel better soon enough, but now 6 hours later he says the feeling is still there. He says it feels a little better if he takes his socks off.
Could he have neuropathy already? I have to tell you, I feel kind of annoyed if he does...fucking ripped off, really. If he does, what are the implications of this? Is it here to stay? Will it only get worse over time? Anyone with experience or opinions on this feel free to chime in.</t>
        </is>
      </c>
      <c r="D2811" t="n">
        <v>1</v>
      </c>
      <c r="E2811" t="n">
        <v>7</v>
      </c>
      <c r="F2811">
        <f>HYPERLINK("https://www.reddit.com/r/diabetes/comments/5qjpbq/neuropathy_already/")</f>
        <v/>
      </c>
      <c r="G2811" t="inlineStr">
        <is>
          <t>2017-01-27 13:05:29</t>
        </is>
      </c>
      <c r="H2811" t="inlineStr">
        <is>
          <t>Type 1</t>
        </is>
      </c>
    </row>
    <row r="2812">
      <c r="A2812" t="inlineStr">
        <is>
          <t>5qjyfe</t>
        </is>
      </c>
      <c r="B2812" t="inlineStr">
        <is>
          <t>Insulin Allergies - Answers for Jack - Please Help</t>
        </is>
      </c>
      <c r="C2812" t="inlineStr">
        <is>
          <t>I read this article today and I am heartbroken ... anyone have ANY information that can help? 
https://beyondtype1.org/help-get-answers-for-jack/</t>
        </is>
      </c>
      <c r="D2812" t="n">
        <v>2</v>
      </c>
      <c r="E2812" t="n">
        <v>3</v>
      </c>
      <c r="F2812">
        <f>HYPERLINK("https://www.reddit.com/r/diabetes/comments/5qjyfe/insulin_allergies_answers_for_jack_please_help/")</f>
        <v/>
      </c>
      <c r="G2812" t="inlineStr">
        <is>
          <t>2017-01-27 13:49:46</t>
        </is>
      </c>
      <c r="H2812" t="inlineStr">
        <is>
          <t>Type 1</t>
        </is>
      </c>
    </row>
    <row r="2813">
      <c r="A2813" t="inlineStr">
        <is>
          <t>5qlput</t>
        </is>
      </c>
      <c r="B2813" t="inlineStr">
        <is>
          <t>Spikes</t>
        </is>
      </c>
      <c r="C2813" t="inlineStr">
        <is>
          <t>I am trying hard to figure out a best way to get my sugars not spike-I feel my sugar just naturally spikes at certain times,and the humalog and levemir do not always help.  My problems are occuring at after lunch(between 130 and 230),then at night I am supposed to administer levemir to carry me through the night.  However,I have a dexcom monitor,and once I started wearing this,I saw that around midnight,my sugar spoikes,then comes back down.  I tried not eating a snack at night,and changing the time I take it to earlier to try and head off my spike,but sometimes that doesn't work,  I tried contacing endo,my doctor does not seem to help.</t>
        </is>
      </c>
      <c r="D2813" t="n">
        <v>1</v>
      </c>
      <c r="E2813" t="n">
        <v>3</v>
      </c>
      <c r="F2813">
        <f>HYPERLINK("https://www.reddit.com/r/diabetes/comments/5qlput/spikes/")</f>
        <v/>
      </c>
      <c r="G2813" t="inlineStr">
        <is>
          <t>2017-01-27 19:51:44</t>
        </is>
      </c>
      <c r="H2813" t="inlineStr">
        <is>
          <t>Type 1</t>
        </is>
      </c>
    </row>
    <row r="2814">
      <c r="A2814" t="inlineStr">
        <is>
          <t>5qm6bb</t>
        </is>
      </c>
      <c r="B2814" t="inlineStr">
        <is>
          <t>What else can I do? (T1)</t>
        </is>
      </c>
      <c r="C2814" t="inlineStr">
        <is>
          <t>Right now, I'm taking 40 U of Lantus (split up 20/20 every 12 hrs), I take 1000mgs of Metformin, and my I:C is between 1:3 or 1:4 (depending on the time of day). So most days, I'm not doing a 50/50 split of long acting vs. fast acting insulin, and I'm injecting so much fast acting. I had to inject 50U just for tonight's dinner at an Italian restaurant. 
I've done keto before, and it just doesn't agree with my body. It sent my cholesterol through the roof and I later found out I had non alcoholic fatty liver disease. Doc was not happy.
What can I do to not take so much insulin? Can something like invokana help? (where the sugars are sent out through the pee). I'm interested but heard DKA is possible-how?. Or can anyone recommend a low fat, low carb vegetarian diet (is this even possible or doable for a long amount of time?) 
I've tried increasing my basal, which slightly helps with less of a bolus, but then I always go low at night. I also tried increasing the Metformin, but nothing changed. 
I do work out about 4 days a week. I know that helps with sensitivity. 
Ladies: I'm also on birth control, but have been on it longer than I've had diabetes. Is that not helping my insulin sensitivity?</t>
        </is>
      </c>
      <c r="D2814" t="n">
        <v>3</v>
      </c>
      <c r="E2814" t="n">
        <v>13</v>
      </c>
      <c r="F2814">
        <f>HYPERLINK("https://www.reddit.com/r/diabetes/comments/5qm6bb/what_else_can_i_do_t1/")</f>
        <v/>
      </c>
      <c r="G2814" t="inlineStr">
        <is>
          <t>2017-01-27 21:48:05</t>
        </is>
      </c>
      <c r="H2814" t="inlineStr">
        <is>
          <t>Type 1</t>
        </is>
      </c>
    </row>
    <row r="2815">
      <c r="A2815" t="inlineStr">
        <is>
          <t>5qpv3c</t>
        </is>
      </c>
      <c r="B2815" t="inlineStr">
        <is>
          <t>Metformin &amp;amp; the Dawn Effect</t>
        </is>
      </c>
      <c r="C2815" t="inlineStr">
        <is>
          <t>When I was originally dx I was put on Metformin.  Once the GAD and CPeptide came back and changed the dx to T1 I was still taking the Metformin.  Recently my new Endo said they really didn't feel strongly one way or the other if I stayed on it, not hurting, but probably not helping either.
I had heard that in addition to raising insulin sensitivity, Metformin also suppresses the liver from raising blood sugar.  
Could continuing to take Metformin help control the dawn effect which I think comes from liver kicking in its production?</t>
        </is>
      </c>
      <c r="D2815" t="n">
        <v>7</v>
      </c>
      <c r="E2815" t="n">
        <v>5</v>
      </c>
      <c r="F2815">
        <f>HYPERLINK("https://www.reddit.com/r/diabetes/comments/5qpv3c/metformin_the_dawn_effect/")</f>
        <v/>
      </c>
      <c r="G2815" t="inlineStr">
        <is>
          <t>2017-01-28 12:59:34</t>
        </is>
      </c>
      <c r="H2815" t="inlineStr">
        <is>
          <t>Type 1</t>
        </is>
      </c>
    </row>
    <row r="2816">
      <c r="A2816" t="inlineStr">
        <is>
          <t>5qy3m3</t>
        </is>
      </c>
      <c r="B2816" t="inlineStr">
        <is>
          <t>What do all of you do about drinking alcoholic stuff?</t>
        </is>
      </c>
      <c r="C2816" t="inlineStr">
        <is>
          <t>I just turned 21 and I am a T1. I was just wondering if there was a specific drink you guys find to not mess with you too much? I have been testing a lot and I have found that pretty much any alcohol will do some weird things with my levels. Any advice is much appreciated. (I was just diagnosed in August)</t>
        </is>
      </c>
      <c r="D2816" t="n">
        <v>5</v>
      </c>
      <c r="E2816" t="n">
        <v>19</v>
      </c>
      <c r="F2816">
        <f>HYPERLINK("https://www.reddit.com/r/diabetes/comments/5qy3m3/what_do_all_of_you_do_about_drinking_alcoholic/")</f>
        <v/>
      </c>
      <c r="G2816" t="inlineStr">
        <is>
          <t>2017-01-29 18:42:30</t>
        </is>
      </c>
      <c r="H2816" t="inlineStr">
        <is>
          <t>Type 1</t>
        </is>
      </c>
    </row>
    <row r="2817">
      <c r="A2817" t="inlineStr">
        <is>
          <t>5r1gjf</t>
        </is>
      </c>
      <c r="B2817" t="inlineStr">
        <is>
          <t>Having way too many lows during the night!</t>
        </is>
      </c>
      <c r="C2817" t="inlineStr">
        <is>
          <t>Hi all. Sorry for the wall of text, but I could really use some help with this. Been on a pump since October, and am having a lot of trouble with my night-time basal rates.
I do not want to eat a snack most nights, and if I do not have a snack, I go low in the night. If I have a snack and bolus for it, I usually go low as well. And if I have a snack, and don't bolus for it, I go high from about 11pm to around 3am, as I did last night (went up to around 14.5 for several hours, started to come down, and took some insulin for it). If I also correct in the night, I usually go low in the morning due to over-correction, usually around 6 am.
I'd really like to figure out what my basal should be so I don't have to eat a snack every night, because more and more I just don't want to eat. Most nights I feel like I have to, so I don't go low in the night. I've been eating a lot healthier and cutting out carbs, so I find I'm feeling full longer. 
Should I decrease my carb ratio more at night, so I'm giving less insulin for a snack? And increase my correction factor, so I'm taking less insulin for a high? I've been tinkering with my basal, but have yet to find something that works. I also increased my target number at night (my daytime target is 6.5, night-time is around 8).
Suggestions are most welcome! Thanks friends!</t>
        </is>
      </c>
      <c r="D2817" t="n">
        <v>10</v>
      </c>
      <c r="E2817" t="n">
        <v>14</v>
      </c>
      <c r="F2817">
        <f>HYPERLINK("https://www.reddit.com/r/diabetes/comments/5r1gjf/having_way_too_many_lows_during_the_night/")</f>
        <v/>
      </c>
      <c r="G2817" t="inlineStr">
        <is>
          <t>2017-01-30 07:39:17</t>
        </is>
      </c>
      <c r="H2817" t="inlineStr">
        <is>
          <t>Type 1</t>
        </is>
      </c>
    </row>
    <row r="2818">
      <c r="A2818" t="inlineStr">
        <is>
          <t>5r853p</t>
        </is>
      </c>
      <c r="B2818" t="inlineStr">
        <is>
          <t>Need help with basal dosing</t>
        </is>
      </c>
      <c r="C2818" t="inlineStr">
        <is>
          <t>Hello all. I have a problem with my basal doing and I need some suggestions.
I am type 1, on MDI, on a zero carb, moderate protein diet, and also on Bernstein's regimen.
 Some time ago I did basal testing to figure out my true basal doses. As it turned out, my insulin needs from 04:00 at night until 12:00 in the morning are about 4-5 times higher than the rest of the day. This creates problems. I currently take a shot of Lantus at 20:00 every day, which will keep me flat from 20:00-04:00 and then form 12:00-20:00. But the time between 04:00-12:00 by blood sugar will be very elevated. A single unit up (6 u) at that shot at 20:00, or an added shot in the morning to cover for the hours 04:00-12:00, will make me go low in the afternoon. 
This is really annoying, as I sometimes sleep with a bs of 80 mg/dl and may wake up with 200 mg/dl. If I up my Lantus I will have to eat later in the afternoon or I go low. And if I leave it like that I will nave elevated blood sugar many hours in the day. What I naturally do now is that the minute I wake up I correct, which kind of works. But I want something better.
I have spoken with some people and their suggestions were:
1) wake up at 04:00, give myself a shot of Regular 
2) give myself some NPH before bed, so it peaks at around 07:00-08:00 (doctor did not liked it because he says it is not predictable for day-by-day use)
3) switch to Levemir, where I could do two shots, and the nightime shot may be much bigger, where the morning shot much smaller (or absent, if blood sugar stays stable after 12:00)
4) or go on a pump, which would solve all these problems, I just want to completely research the MDI propositions first.
Does anyone else have the same kind of problems? what would be your suggestion? any advice/suggestion is welcomed!</t>
        </is>
      </c>
      <c r="D2818" t="n">
        <v>5</v>
      </c>
      <c r="E2818" t="n">
        <v>19</v>
      </c>
      <c r="F2818">
        <f>HYPERLINK("https://www.reddit.com/r/diabetes/comments/5r853p/need_help_with_basal_dosing/")</f>
        <v/>
      </c>
      <c r="G2818" t="inlineStr">
        <is>
          <t>2017-01-31 05:19:33</t>
        </is>
      </c>
      <c r="H2818" t="inlineStr">
        <is>
          <t>Type 1</t>
        </is>
      </c>
    </row>
    <row r="2819">
      <c r="A2819" t="inlineStr">
        <is>
          <t>5ra321</t>
        </is>
      </c>
      <c r="B2819" t="inlineStr">
        <is>
          <t>Doc wants me on metformin...how to convince otherwise</t>
        </is>
      </c>
      <c r="C2819" t="inlineStr">
        <is>
          <t xml:space="preserve">I had a follow-up with my Doctor's nurse this morning. She wants to put me on Metformin, pending this morning's a1c coming back from the lab. I've heard so many horror stories about GI side effects that I'm leery. She said the side effects are rare. She says it will be a low dose.  I work retail and am often the only one on shift. I can't be down and out from this.  Suggestions?
Update: A1C came back at 6.7 /u/alan_s you were right sir, it's late to put me into a camp that I was already in.
The nurse is now saying to do diet and exercise (still?) and recheck in three months. I have an appointment with a diabetic educator on 15-Feb.  
It seems to me that we've been faffing about with diet and exercise since *June* of last year. Meanwhile my A1C is climbing, I'm gaining weight and feeling worse. I know that I need to do the exercise portion and work on the diet, but it's now another three months before even thinking of starting meds/insulin.
</t>
        </is>
      </c>
      <c r="D2819" t="n">
        <v>4</v>
      </c>
      <c r="E2819" t="n">
        <v>43</v>
      </c>
      <c r="F2819">
        <f>HYPERLINK("https://www.reddit.com/r/diabetes/comments/5ra321/doc_wants_me_on_metforminhow_to_convince_otherwise/")</f>
        <v/>
      </c>
      <c r="G2819" t="inlineStr">
        <is>
          <t>2017-01-31 10:44:33</t>
        </is>
      </c>
      <c r="H2819" t="inlineStr">
        <is>
          <t>Type 2</t>
        </is>
      </c>
    </row>
    <row r="2820">
      <c r="A2820" t="inlineStr">
        <is>
          <t>5rcrr2</t>
        </is>
      </c>
      <c r="B2820" t="inlineStr">
        <is>
          <t>Blood glucose just keeps climbing...</t>
        </is>
      </c>
      <c r="C2820" t="inlineStr">
        <is>
          <t>Just posting out of frustration more than anything, feel so scared and angry with this whole thing.
Type 1.5/LADA, things were going really well my first year (A1C of 6, and I was aiming for 5 for my next a1c in a month...). Then I kept catching what was going around at the office and at home, which kept my BG above 150 fasting, then around 190 fasting. I finally don't feel sick anymore, still have a little bit of a cough, but no longer "feel" sick. Tested today after what should have been a BG day pre-virus (I was regularly getting 90s and 80s before...) and I was shocked to see it as high as 230 pre-meal (~5-6 hours after eating last). Granted the day was a little stressful but nothing too bad, I drank plenty of water, my carbs were decent all day (~30g per meal).
I knew to expect that because it was LADA it would progress faster, and maybe a heavier dose of Metformin will help. Have an appointment with my doctor to discuss this. Also recently started a birth control pill (Larin Fe) that can have an effect on blood sugar but considering this was a trend before I started it -and- it's sooo much higher than normal I doubt that's it.
God this fucking sucks</t>
        </is>
      </c>
      <c r="D2820" t="n">
        <v>2</v>
      </c>
      <c r="E2820" t="n">
        <v>7</v>
      </c>
      <c r="F2820">
        <f>HYPERLINK("https://www.reddit.com/r/diabetes/comments/5rcrr2/blood_glucose_just_keeps_climbing/")</f>
        <v/>
      </c>
      <c r="G2820" t="inlineStr">
        <is>
          <t>2017-01-31 18:12:31</t>
        </is>
      </c>
      <c r="H2820" t="inlineStr">
        <is>
          <t>Type 1.5/LADA</t>
        </is>
      </c>
    </row>
    <row r="2821">
      <c r="A2821" t="inlineStr">
        <is>
          <t>5rdsaz</t>
        </is>
      </c>
      <c r="B2821" t="inlineStr">
        <is>
          <t>How to control levels? I'm truly lost.</t>
        </is>
      </c>
      <c r="C2821" t="inlineStr">
        <is>
          <t>I’ve been a type 1 diabetic for 8 years now. I’m now 25 years old, and I’m terrible at my controlling my diabetes. I think I always have been. I’m on shots, 7-10 of Novarapid per meal, 36 of Levemir a night.  Obviously being diagnosed at 17, the “who the fuck cares” attitude was still in play and I didn’t really try. As I grew older, I tried to take better care of myself, and definitely have improved since then, trying to fix my dosages to make sense.
Recently I got a [Accu Check Connect](https://sites.accu-chek.com/microsites/connect/) and that’s really been the wake up call for me. [These graphs suck](http://i.imgur.com/jaNcDHq.png). Like wow, I never realized I was this all over the place, and it’s really put me in a bad place mentally. 
Counting carbs is never something I’ve mastered, and I think the main problem is that the values are so all over the place that the calculations never made sense. I for example experimented something where I ate the same breakfast for a week and half to attempt to learn the dosage for that meal. While my sugars were around the same values when I’d wake up, and I’d take the same amount of insulin, yet my sugars would vary between a normal 6 on a good day, and for whatever reason jump up to 15 on other days. Even though portions, and levels before eating were the same. Math is not a hard thing, but when the variables are not consistent, I don't know...
I don’t drink, smoke, or do drugs. I go to the gym 4 times a week with about a 25 minute run each time. I avoid sugar at all costs (hell, even allergic to chocolate), I’ve cut my meal portions down to hopefully help improve (explaining some of the lows in the graph), yet I can’t seem to get this right. I’m unsure what else I’m missing. I’ve started tracking my food (Samsung Health App) and insulin intake (Accucheck app), but am experiencing the same issue I had with the breakfast experiment where the insulin dosage isn’t the same each day.
Now, the first thing you’re all going to say, _“Speak with your Doctor.”_ You’re absolutely right. The issue with my doctor is he’s quite old, I believe is retiring in the next few months, and has never been quite helpful in this department when it came to figuring out why my levels are so off, other then "try harder". Sure, try harder, I'm totally down, but how?
_“Get a new doctor?”_ That’s something I have in the works, but takes time here to get an appointment, and am looking to start taking action now. Whatever that action may be.
There must be others with similar stories to mine. What did you do?</t>
        </is>
      </c>
      <c r="D2821" t="n">
        <v>3</v>
      </c>
      <c r="E2821" t="n">
        <v>10</v>
      </c>
      <c r="F2821">
        <f>HYPERLINK("https://www.reddit.com/r/diabetes/comments/5rdsaz/how_to_control_levels_im_truly_lost/")</f>
        <v/>
      </c>
      <c r="G2821" t="inlineStr">
        <is>
          <t>2017-01-31 21:43:12</t>
        </is>
      </c>
      <c r="H2821" t="inlineStr">
        <is>
          <t>Type 1</t>
        </is>
      </c>
    </row>
    <row r="2822">
      <c r="A2822" t="inlineStr">
        <is>
          <t>5rt4mb</t>
        </is>
      </c>
      <c r="B2822" t="inlineStr">
        <is>
          <t>Research studies for relatives of T1 people to participate in</t>
        </is>
      </c>
      <c r="C2822" t="inlineStr">
        <is>
          <t>[Saw a link](https://www.diabetestrialnet.org/studies/index.htm) to these studies for T1 research that relatives of those with T1D can participate in that I thought some people here might be interested in.  I was personally interested in the studies for those who are recently diagnosed, but none of them are currently recruiting.
Also has the findings (or in most cases lack of findings) in their completed research.  Got there by way of [this government site](https://www.niddk.nih.gov/health-information/diabetes/overview/symptoms-causes), so seems pretty legitimate.</t>
        </is>
      </c>
      <c r="D2822" t="n">
        <v>6</v>
      </c>
      <c r="E2822" t="n">
        <v>2</v>
      </c>
      <c r="F2822">
        <f>HYPERLINK("https://www.reddit.com/r/diabetes/comments/5rt4mb/research_studies_for_relatives_of_t1_people_to/")</f>
        <v/>
      </c>
      <c r="G2822" t="inlineStr">
        <is>
          <t>2017-02-03 02:11:52</t>
        </is>
      </c>
      <c r="H2822" t="inlineStr">
        <is>
          <t>Type 1</t>
        </is>
      </c>
    </row>
    <row r="2823">
      <c r="A2823" t="inlineStr">
        <is>
          <t>5ruzwt</t>
        </is>
      </c>
      <c r="B2823" t="inlineStr">
        <is>
          <t>Carrying pen needles</t>
        </is>
      </c>
      <c r="C2823" t="inlineStr">
        <is>
          <t>We recently switched from vials-and-syringes to pens, and I'm trying to figure out a good way to carry the pen needles.
We figured out that 3 pen needles will fit in an old test strip bottle, so we're using that for now. But I'd like to carry a couple more than that, and have a good place for used needles while we're out and about.
What do you use?
EDIT: I have a great Maxpedition case to carry all our supplies, but it doesn't have a good spot to put a few pen needles. I just need a way to store pen needles inside that case.
EDIT 2: I know many people use the same needle for a while. The instructions on the pens and the Timesulin both say don't do that. It's really up to Pancake to decide if he wants to keep a needle on the pen for multiple injections. For now, a new needle each time.</t>
        </is>
      </c>
      <c r="D2823" t="n">
        <v>11</v>
      </c>
      <c r="E2823" t="n">
        <v>34</v>
      </c>
      <c r="F2823">
        <f>HYPERLINK("https://www.reddit.com/r/diabetes/comments/5ruzwt/carrying_pen_needles/")</f>
        <v/>
      </c>
      <c r="G2823" t="inlineStr">
        <is>
          <t>2017-02-03 08:48:39</t>
        </is>
      </c>
      <c r="H2823" t="inlineStr">
        <is>
          <t>Type 1</t>
        </is>
      </c>
    </row>
    <row r="2824">
      <c r="A2824" t="inlineStr">
        <is>
          <t>5ryh0q</t>
        </is>
      </c>
      <c r="B2824" t="inlineStr">
        <is>
          <t>Blood sugar keeps crash on me, carbs are not as effective as they once were, basal dropped several points, not helping.</t>
        </is>
      </c>
      <c r="C2824" t="inlineStr">
        <is>
          <t>Over the course of a week I noticed my blood sugar would crash around 7am.  This started happening every day.  I now remove my pump for hours at a time, eating food to keep it stable.  Carbs are not pushing my b/s up as much as they used to.  Keeping my pump attached at nighttime I am waking up 200 points LOWER than than 4-5 hours ago.  Stress from raising a 4 month old and having this all I can barely see straight.  
TL:DR:  My blood sugar keeps crashing on me, I can't keep it up.  My pump basal has been lowered several times and still no help.  Carbohydrates do not raise my sugar as much as they used to.  Please.... Help me makes sense of this, I'm so very scared.  Ketones are off the charts.</t>
        </is>
      </c>
      <c r="D2824" t="n">
        <v>5</v>
      </c>
      <c r="E2824" t="n">
        <v>15</v>
      </c>
      <c r="F2824">
        <f>HYPERLINK("https://www.reddit.com/r/diabetes/comments/5ryh0q/blood_sugar_keeps_crash_on_me_carbs_are_not_as/")</f>
        <v/>
      </c>
      <c r="G2824" t="inlineStr">
        <is>
          <t>2017-02-03 19:17:55</t>
        </is>
      </c>
      <c r="H2824" t="inlineStr">
        <is>
          <t>Type 1</t>
        </is>
      </c>
    </row>
    <row r="2825">
      <c r="A2825" t="inlineStr">
        <is>
          <t>5s14ia</t>
        </is>
      </c>
      <c r="B2825" t="inlineStr">
        <is>
          <t>Switching from Novolog and Levemir to Lantus and Humalog?</t>
        </is>
      </c>
      <c r="C2825" t="inlineStr">
        <is>
          <t>As the title says, my insurance is making me switch to the other brand.  My pharmacist mentioned that a lot of people were being made to change this year for some reason.  Has anyone else had to do this, and how difficult was the change?  I'm a little concerned since I've just figured out how to fine-tune my Novolog bolus insulin-to-carb ratio with how it varies throughout the day based on how quickly the basal Levemir is being absorbed, and I doubt that Lantus and Humalog are going to have the *exact* same absorbance curves.</t>
        </is>
      </c>
      <c r="D2825" t="n">
        <v>3</v>
      </c>
      <c r="E2825" t="n">
        <v>7</v>
      </c>
      <c r="F2825">
        <f>HYPERLINK("https://www.reddit.com/r/diabetes/comments/5s14ia/switching_from_novolog_and_levemir_to_lantus_and/")</f>
        <v/>
      </c>
      <c r="G2825" t="inlineStr">
        <is>
          <t>2017-02-04 07:18:41</t>
        </is>
      </c>
      <c r="H2825" t="inlineStr">
        <is>
          <t>Type 1</t>
        </is>
      </c>
    </row>
    <row r="2826">
      <c r="A2826" t="inlineStr">
        <is>
          <t>5s1jgi</t>
        </is>
      </c>
      <c r="B2826" t="inlineStr">
        <is>
          <t>Bluetooth headphones and Dexcom paired with phone</t>
        </is>
      </c>
      <c r="C2826" t="inlineStr">
        <is>
          <t>Does anyone here use bluetooth headphones connected to their phone while their Dexcom is connected to their phone as well. I wanted to get a pair of Bluetooth headphones, but I was not sure if they will interfere with my Dexcom signal or not. Thanks!</t>
        </is>
      </c>
      <c r="D2826" t="n">
        <v>1</v>
      </c>
      <c r="E2826" t="n">
        <v>6</v>
      </c>
      <c r="F2826">
        <f>HYPERLINK("https://www.reddit.com/r/diabetes/comments/5s1jgi/bluetooth_headphones_and_dexcom_paired_with_phone/")</f>
        <v/>
      </c>
      <c r="G2826" t="inlineStr">
        <is>
          <t>2017-02-04 08:37:24</t>
        </is>
      </c>
      <c r="H2826" t="inlineStr">
        <is>
          <t>Type 1</t>
        </is>
      </c>
    </row>
    <row r="2827">
      <c r="A2827" t="inlineStr">
        <is>
          <t>5s6033</t>
        </is>
      </c>
      <c r="B2827" t="inlineStr">
        <is>
          <t>Hypoglycemia food</t>
        </is>
      </c>
      <c r="C2827" t="inlineStr">
        <is>
          <t xml:space="preserve">Well, maybe it's just me, but when I go to sleep with less than 200 mg/dL(11.1mmol) I wake up 2-3 hours later being 50-70 mg/dL (2,7/3,8 mmol) and can't bring it up with healthy food, which really ruins my diet, tried with most fruit and juice, but I only bring it up succesfully with toast or with candy, chocolate, etc. 
Does anyone know any healthy alternatives? Or even better, ways to make my BG not drop that dramatically when sleeping (It happens always, unless I have 350+ bg when it's bedtime, and also if I eat before bed, so eating before sleeping is out of the question(I tried with aprox. 30gr of carbs and sometimes even more just before sleeping))
PD: Lowering my basal (17u Lantus) will make me stop having hypos while sleeping, but BG daytime becomes too high. 
TL;DR: Healthy food won't make BG go up when having nighttime hypos or trying to get high BG before sleeping.
</t>
        </is>
      </c>
      <c r="D2827" t="n">
        <v>1</v>
      </c>
      <c r="E2827" t="n">
        <v>3</v>
      </c>
      <c r="F2827">
        <f>HYPERLINK("https://www.reddit.com/r/diabetes/comments/5s6033/hypoglycemia_food/")</f>
        <v/>
      </c>
      <c r="G2827" t="inlineStr">
        <is>
          <t>2017-02-04 22:13:07</t>
        </is>
      </c>
      <c r="H2827" t="inlineStr">
        <is>
          <t>Type 1</t>
        </is>
      </c>
    </row>
    <row r="2828">
      <c r="A2828" t="inlineStr">
        <is>
          <t>5secgx</t>
        </is>
      </c>
      <c r="B2828" t="inlineStr">
        <is>
          <t>Advice for Type 2 diabetic needing to GAIN weight</t>
        </is>
      </c>
      <c r="C2828" t="inlineStr">
        <is>
          <t>A friend's Dad was diagnosed with type 2 diabetes in November last year.  It is believed to have been caused by another illness that he has also recently been diagnosed with that requires immediate treatment and will be physically demanding on his body.
He cut out sugar and got the diabetes under control very quickly, however he was very active and not overweight before his diagnosis, so he is now in the quite strange position of having to try to gain around 10lbs of weight pretty quickly, but doing so without screwing up his blood sugar levels.
I've suggested he increases his complex carbs as much as he can (more wholemeal rice, pasta, some more potatoes), but this is by no means my area of expertise.
Do you guys have any advice on meals or specific ingredients that would help?</t>
        </is>
      </c>
      <c r="D2828" t="n">
        <v>5</v>
      </c>
      <c r="E2828" t="n">
        <v>15</v>
      </c>
      <c r="F2828">
        <f>HYPERLINK("https://www.reddit.com/r/diabetes/comments/5secgx/advice_for_type_2_diabetic_needing_to_gain_weight/")</f>
        <v/>
      </c>
      <c r="G2828" t="inlineStr">
        <is>
          <t>2017-02-06 05:53:56</t>
        </is>
      </c>
      <c r="H2828" t="inlineStr">
        <is>
          <t>Type 2</t>
        </is>
      </c>
    </row>
    <row r="2829">
      <c r="A2829" t="inlineStr">
        <is>
          <t>5si9q5</t>
        </is>
      </c>
      <c r="B2829" t="inlineStr">
        <is>
          <t>Trying really hard. Can't get my sugar under 200.</t>
        </is>
      </c>
      <c r="C2829" t="inlineStr">
        <is>
          <t>A little back story.  I have been really bad and I hate myself for it.  I had a really bad experience with doctor and it caused me to stop seeing one for a year.  I am horrible with remember to take my pills.  Though if I just ate right it would be ok.  Well I guess not.  I lost feeling in part of my foot and I got scared so I tested myself.  384.  For the past few days I've been trying really hard.  Restricted my eating and when I did, I would eat no carbs.    Eating shelled sunflower seeds and like a hand full of pork rinds for lunch, and having veggie stirfry for dinner with soy sauce.  Trying to drink more water and exercise.  Taking my meds religiously. (2) 750 mg of metformin slow release.   Finding a new doctor (I haven't been able to get in yet).The lowest I got was 199 once, other than that its been between 230-260.  I honestly don't know what else I could be doing.  I know I obviously need to talk with a doctor, but I would like your input as well.  How far gone am I? Are they going to put me on insulin at age 27?</t>
        </is>
      </c>
      <c r="D2829" t="n">
        <v>6</v>
      </c>
      <c r="E2829" t="n">
        <v>29</v>
      </c>
      <c r="F2829">
        <f>HYPERLINK("https://www.reddit.com/r/diabetes/comments/5si9q5/trying_really_hard_cant_get_my_sugar_under_200/")</f>
        <v/>
      </c>
      <c r="G2829" t="inlineStr">
        <is>
          <t>2017-02-06 16:55:11</t>
        </is>
      </c>
      <c r="H2829" t="inlineStr">
        <is>
          <t>Type 2</t>
        </is>
      </c>
    </row>
    <row r="2830">
      <c r="A2830" t="inlineStr">
        <is>
          <t>5sj0ld</t>
        </is>
      </c>
      <c r="B2830" t="inlineStr">
        <is>
          <t>5 month post DX labs</t>
        </is>
      </c>
      <c r="C2830" t="inlineStr">
        <is>
          <t>Besides everything being in normal healthy ranges, my a1c came back at 5.5%. Super stoked about it. Been MDI since my diagnosis in August 2016 at the age of 29. Doc feels I was undiagnosed Type 1.5 for a couple years so I never ran into big complications like DKA or anything. Still waiting to see an endo as I had to reschedule it last month, but so far so good!
A heartfelt thanks surely goes out to this amazing community. I've learned a lot in these last 5 months that have helped me immensely and gotten me past short bouts of denial and depression, but all is well!
Edit: Also think my honeymoon stage dropped off about 2 months ago. Went from barely needing anything besides my Lantus to an overnight shift of having to up my lantus and adjusting my already minimal Humalog ratio from 1:30 to a 1:10-15 depending on what it was I ate.</t>
        </is>
      </c>
      <c r="D2830" t="n">
        <v>3</v>
      </c>
      <c r="E2830" t="n">
        <v>7</v>
      </c>
      <c r="F2830">
        <f>HYPERLINK("https://www.reddit.com/r/diabetes/comments/5sj0ld/5_month_post_dx_labs/")</f>
        <v/>
      </c>
      <c r="G2830" t="inlineStr">
        <is>
          <t>2017-02-06 19:21:03</t>
        </is>
      </c>
      <c r="H2830" t="inlineStr">
        <is>
          <t>Type 1</t>
        </is>
      </c>
    </row>
    <row r="2831">
      <c r="A2831" t="inlineStr">
        <is>
          <t>5sllpe</t>
        </is>
      </c>
      <c r="B2831" t="inlineStr">
        <is>
          <t>Does anyone know why this might happen?</t>
        </is>
      </c>
      <c r="C2831" t="inlineStr">
        <is>
          <t>Took my blood sugar this morning at 6:52 it was 289 (yes, I know that's high) take 2.9 units for a correction per my normal pump settings. I start to feel a bit strange around 8:30 and check my sugar again, 154 with 1.8 units active insulin. Thats a 135 point drop from 1.1 units of insulin in about 90 minutes.
Nothing has changed, still all my normal settings. Not a new pump site. Drank my normal cup of morning coffee. I'm just wondering why this can happen and other mornings I'll take the same amount of insulin to correct and it won't go down to normal ranges until 11 am. 
Diabetes is annoying some days -_-
EDIT: my sensitivity is set at 1:50 and active insulin times 4 hours. I take Novolog.</t>
        </is>
      </c>
      <c r="D2831" t="n">
        <v>5</v>
      </c>
      <c r="E2831" t="n">
        <v>7</v>
      </c>
      <c r="F2831">
        <f>HYPERLINK("https://www.reddit.com/r/diabetes/comments/5sllpe/does_anyone_know_why_this_might_happen/")</f>
        <v/>
      </c>
      <c r="G2831" t="inlineStr">
        <is>
          <t>2017-02-07 06:15:03</t>
        </is>
      </c>
      <c r="H2831" t="inlineStr">
        <is>
          <t>Type 1</t>
        </is>
      </c>
    </row>
    <row r="2832">
      <c r="A2832" t="inlineStr">
        <is>
          <t>5sm27o</t>
        </is>
      </c>
      <c r="B2832" t="inlineStr">
        <is>
          <t>Exercising With the Pump</t>
        </is>
      </c>
      <c r="C2832" t="inlineStr">
        <is>
          <t xml:space="preserve">Hi all, 
You type ones on the pump, how early do you turn it down before exercising to avoid going low? Do you cut your basal in half, or turn it off completely? Also, any weight loss tips would be appreciated! </t>
        </is>
      </c>
      <c r="D2832" t="n">
        <v>1</v>
      </c>
      <c r="E2832" t="n">
        <v>7</v>
      </c>
      <c r="F2832">
        <f>HYPERLINK("https://www.reddit.com/r/diabetes/comments/5sm27o/exercising_with_the_pump/")</f>
        <v/>
      </c>
      <c r="G2832" t="inlineStr">
        <is>
          <t>2017-02-07 07:40:31</t>
        </is>
      </c>
      <c r="H2832" t="inlineStr">
        <is>
          <t>Type 1</t>
        </is>
      </c>
    </row>
    <row r="2833">
      <c r="A2833" t="inlineStr">
        <is>
          <t>5smtyo</t>
        </is>
      </c>
      <c r="B2833" t="inlineStr">
        <is>
          <t>"Just FYI I'm usually on the higher side." How can I help the girl I just fell in love with?</t>
        </is>
      </c>
      <c r="C2833" t="inlineStr">
        <is>
          <t>So this amazing girl I met has Type I diabetes. I cannot believe my lucky stars that she's in my life. I want to spend every minute of my life making her happy. I bought a doggy shaped box (she loves dogs) that has candy in case she ever feels low on sugar but she said she's usually on the higher side. How can I help her on this journey? I really would like her to have as much support as I can possibly give her. She has a sweet tooth and she's an excellent baker, much to my surprise.
How do people with diabetes that have a sweet tooth deal with it. What can I do to make her life easier? If she is usually on the higher side then what can I do to make it easier for her?</t>
        </is>
      </c>
      <c r="D2833" t="n">
        <v>3</v>
      </c>
      <c r="E2833" t="n">
        <v>24</v>
      </c>
      <c r="F2833">
        <f>HYPERLINK("https://www.reddit.com/r/diabetes/comments/5smtyo/just_fyi_im_usually_on_the_higher_side_how_can_i/")</f>
        <v/>
      </c>
      <c r="G2833" t="inlineStr">
        <is>
          <t>2017-02-07 09:45:40</t>
        </is>
      </c>
      <c r="H2833" t="inlineStr">
        <is>
          <t>Type 1</t>
        </is>
      </c>
    </row>
    <row r="2834">
      <c r="A2834" t="inlineStr">
        <is>
          <t>5snwvd</t>
        </is>
      </c>
      <c r="B2834" t="inlineStr">
        <is>
          <t>Spikes after meals for type 1 daughter.</t>
        </is>
      </c>
      <c r="C2834" t="inlineStr">
        <is>
          <t>Hello. Just a question about spikes after meals. My daughter always spikes after eating. We have tried various combinations of basel rates and I:C ratios and it either makes the problem worse or she goes low. Any ideas or suggestions or information about why this happens and ways to help keep her more even? She is 6 btw and using omnipod with novolog.  Thanks!</t>
        </is>
      </c>
      <c r="D2834" t="n">
        <v>2</v>
      </c>
      <c r="E2834" t="n">
        <v>9</v>
      </c>
      <c r="F2834">
        <f>HYPERLINK("https://www.reddit.com/r/diabetes/comments/5snwvd/spikes_after_meals_for_type_1_daughter/")</f>
        <v/>
      </c>
      <c r="G2834" t="inlineStr">
        <is>
          <t>2017-02-07 12:31:22</t>
        </is>
      </c>
      <c r="H2834" t="inlineStr">
        <is>
          <t>Type 1</t>
        </is>
      </c>
    </row>
    <row r="2835">
      <c r="A2835" t="inlineStr">
        <is>
          <t>5sog8k</t>
        </is>
      </c>
      <c r="B2835" t="inlineStr">
        <is>
          <t>Appointment next week with Diabetes education nurse, what to expect?</t>
        </is>
      </c>
      <c r="C2835" t="inlineStr">
        <is>
          <t>I have my first encounter next Wednesday with a Diabetes education Nurse. What should I expect? Will this be the person to talk with about getting onto meds/insulin since my Doctor seems to be in the "wait and give the patient a chance to effect change through diet and exercise" mode and has been since June of last year. Is there anything I should watch for? Last, is it wrong to troll the nurse by walking in with a 54oz unsweetened iced tea?</t>
        </is>
      </c>
      <c r="D2835" t="n">
        <v>7</v>
      </c>
      <c r="E2835" t="n">
        <v>20</v>
      </c>
      <c r="F2835">
        <f>HYPERLINK("https://www.reddit.com/r/diabetes/comments/5sog8k/appointment_next_week_with_diabetes_education/")</f>
        <v/>
      </c>
      <c r="G2835" t="inlineStr">
        <is>
          <t>2017-02-07 13:56:54</t>
        </is>
      </c>
      <c r="H2835" t="inlineStr">
        <is>
          <t>Type 2</t>
        </is>
      </c>
    </row>
    <row r="2836">
      <c r="A2836" t="inlineStr">
        <is>
          <t>5su2j8</t>
        </is>
      </c>
      <c r="B2836" t="inlineStr">
        <is>
          <t>Pregnancy and Type 1 Diabetes. When did you start noticing your insulin needs going down in the first trimester?</t>
        </is>
      </c>
      <c r="C2836" t="inlineStr">
        <is>
          <t>Husband and I are trying to concieve and I'm currently sitting at 8 days past ovulation so still pretty early to test. I was wondering at what point did anyone else who's been pregnant start to notice a decrease in their insulin needs? I know it's first trimester but is it an almost immediate effect or something that happens a little later?</t>
        </is>
      </c>
      <c r="D2836" t="n">
        <v>9</v>
      </c>
      <c r="E2836" t="n">
        <v>3</v>
      </c>
      <c r="F2836">
        <f>HYPERLINK("https://www.reddit.com/r/diabetes/comments/5su2j8/pregnancy_and_type_1_diabetes_when_did_you_start/")</f>
        <v/>
      </c>
      <c r="G2836" t="inlineStr">
        <is>
          <t>2017-02-08 09:29:30</t>
        </is>
      </c>
      <c r="H2836" t="inlineStr">
        <is>
          <t>Type 1</t>
        </is>
      </c>
    </row>
    <row r="2837">
      <c r="A2837" t="inlineStr">
        <is>
          <t>5suppz</t>
        </is>
      </c>
      <c r="B2837" t="inlineStr">
        <is>
          <t>I'm low right now.</t>
        </is>
      </c>
      <c r="C2837" t="inlineStr">
        <is>
          <t>Can't really think. This sucks. At work. Had some root beer. Hopefully better soon. Just thought I'd share.</t>
        </is>
      </c>
      <c r="D2837" t="n">
        <v>15</v>
      </c>
      <c r="E2837" t="n">
        <v>22</v>
      </c>
      <c r="F2837">
        <f>HYPERLINK("https://www.reddit.com/r/diabetes/comments/5suppz/im_low_right_now/")</f>
        <v/>
      </c>
      <c r="G2837" t="inlineStr">
        <is>
          <t>2017-02-08 11:02:58</t>
        </is>
      </c>
      <c r="H2837" t="inlineStr">
        <is>
          <t>Type 1</t>
        </is>
      </c>
    </row>
    <row r="2838">
      <c r="A2838" t="inlineStr">
        <is>
          <t>5sv5z3</t>
        </is>
      </c>
      <c r="B2838" t="inlineStr">
        <is>
          <t>Keto Diabetes Redditors, how low did your blood sugar go when you started?</t>
        </is>
      </c>
      <c r="C2838" t="inlineStr">
        <is>
          <t>Hi,
I just started Keto (last saturday) and my fasting blood sugar has been 125 mg/dL (6.9 mmol/L). It then decreases the rest of the day to &amp;lt;100 mg/dL (5.5 mmol/L). My most recent reading (2 hours after lunch) was 98 mg/dL (5.4 mmoL/L). Does that sound about right to people? I take one 500 mg pill of Metformin with Breakfast around 0800 and one with supper around 1900.
Edit: Sorry I forgot to mention I am a T2.</t>
        </is>
      </c>
      <c r="D2838" t="n">
        <v>7</v>
      </c>
      <c r="E2838" t="n">
        <v>7</v>
      </c>
      <c r="F2838">
        <f>HYPERLINK("https://www.reddit.com/r/diabetes/comments/5sv5z3/keto_diabetes_redditors_how_low_did_your_blood/")</f>
        <v/>
      </c>
      <c r="G2838" t="inlineStr">
        <is>
          <t>2017-02-08 12:11:55</t>
        </is>
      </c>
      <c r="H2838" t="inlineStr">
        <is>
          <t>Type 2</t>
        </is>
      </c>
    </row>
    <row r="2839">
      <c r="A2839" t="inlineStr">
        <is>
          <t>5sxlef</t>
        </is>
      </c>
      <c r="B2839" t="inlineStr">
        <is>
          <t>Minimed 630G on the way, prepped for the 670G in the spring for free</t>
        </is>
      </c>
      <c r="C2839" t="inlineStr">
        <is>
          <t>First time since I was 5 that my daily insulin dosage doesn't affect how I spend my day.</t>
        </is>
      </c>
      <c r="D2839" t="n">
        <v>10</v>
      </c>
      <c r="E2839" t="n">
        <v>5</v>
      </c>
      <c r="F2839">
        <f>HYPERLINK("https://www.reddit.com/r/diabetes/comments/5sxlef/minimed_630g_on_the_way_prepped_for_the_670g_in/")</f>
        <v/>
      </c>
      <c r="G2839" t="inlineStr">
        <is>
          <t>2017-02-08 19:20:09</t>
        </is>
      </c>
      <c r="H2839" t="inlineStr">
        <is>
          <t>Type 1</t>
        </is>
      </c>
    </row>
    <row r="2840">
      <c r="A2840" t="inlineStr">
        <is>
          <t>5sytab</t>
        </is>
      </c>
      <c r="B2840" t="inlineStr">
        <is>
          <t>This is why I love my wife.</t>
        </is>
      </c>
      <c r="C2840" t="inlineStr">
        <is>
          <t>This was an answer my wife put on a Valentine's quiz. 
Who does the cooking? Holidays, I do. But most of the time it is ****, but a lot. That is because he is a type 1 diabetic and I am sorry, but I live off of macaroni and cheese, so if he didn't cook he'd be dead.
This is why I love her. She is great!</t>
        </is>
      </c>
      <c r="D2840" t="n">
        <v>17</v>
      </c>
      <c r="E2840" t="n">
        <v>12</v>
      </c>
      <c r="F2840">
        <f>HYPERLINK("https://www.reddit.com/r/diabetes/comments/5sytab/this_is_why_i_love_my_wife/")</f>
        <v/>
      </c>
      <c r="G2840" t="inlineStr">
        <is>
          <t>2017-02-09 00:20:18</t>
        </is>
      </c>
      <c r="H2840" t="inlineStr">
        <is>
          <t>Type 1</t>
        </is>
      </c>
    </row>
    <row r="2841">
      <c r="A2841" t="inlineStr">
        <is>
          <t>5t58is</t>
        </is>
      </c>
      <c r="B2841" t="inlineStr">
        <is>
          <t>New to insulin -- NPH insulin looks cloudy?</t>
        </is>
      </c>
      <c r="C2841" t="inlineStr">
        <is>
          <t>Hi! I'm starting insulin beginning next week (hooray, but...also terrified...) after they educate me on how to use it.
I have my prescription in the fridge since yesterday, I looked at it today and noticed it was super cloudy (I didn't look before that...d'oh).
Is that how NPH insulin is supposed to look? I don't see any other signs of freezing I've read about but want to be sure.</t>
        </is>
      </c>
      <c r="D2841" t="n">
        <v>3</v>
      </c>
      <c r="E2841" t="n">
        <v>8</v>
      </c>
      <c r="F2841">
        <f>HYPERLINK("https://www.reddit.com/r/diabetes/comments/5t58is/new_to_insulin_nph_insulin_looks_cloudy/")</f>
        <v/>
      </c>
      <c r="G2841" t="inlineStr">
        <is>
          <t>2017-02-09 20:23:07</t>
        </is>
      </c>
      <c r="H2841" t="inlineStr">
        <is>
          <t>Type 1.5/LADA</t>
        </is>
      </c>
    </row>
    <row r="2842">
      <c r="A2842" t="inlineStr">
        <is>
          <t>5t60a4</t>
        </is>
      </c>
      <c r="B2842" t="inlineStr">
        <is>
          <t>Afrezza users - which multipacks do you get monthly?</t>
        </is>
      </c>
      <c r="C2842" t="inlineStr">
        <is>
          <t xml:space="preserve">Almost out of insulin and I call to fill my afrezza (waiting on FSA card) and the pharmacist says it's "No longer available" in the combo pack consisting of 90 4 unit doses and 90 8 unit doses. I was using 2 of those per month and need to figure out what the best cost/package option is with this stuff. Retail on the 2x combo packs I was on previously was $1600.
</t>
        </is>
      </c>
      <c r="D2842" t="n">
        <v>1</v>
      </c>
      <c r="E2842" t="n">
        <v>20</v>
      </c>
      <c r="F2842">
        <f>HYPERLINK("https://www.reddit.com/r/diabetes/comments/5t60a4/afrezza_users_which_multipacks_do_you_get_monthly/")</f>
        <v/>
      </c>
      <c r="G2842" t="inlineStr">
        <is>
          <t>2017-02-09 23:42:07</t>
        </is>
      </c>
      <c r="H2842" t="inlineStr">
        <is>
          <t>Type 1</t>
        </is>
      </c>
    </row>
    <row r="2843">
      <c r="A2843" t="inlineStr">
        <is>
          <t>5ta704</t>
        </is>
      </c>
      <c r="B2843" t="inlineStr">
        <is>
          <t>Anyone here that has dealt with OptumRx and insulin pumps?</t>
        </is>
      </c>
      <c r="C2843" t="inlineStr">
        <is>
          <t>Hello, all! I have posted here before, but in an account that I have long since lost. 
I recently switched insurance companies for reasons I won't go into. Anyway, I have used an insulin pump for about 4 years. I also use a CGM (Medtronic). Before this, my blood sugar wasn't horrible, but it wasn't great. Since starting it has improved a lot (average around 6.2 A1C). At the time my endo stated that some people just have trouble being stable with long-acting insulins.
I am running low on supplies so was calling my new pharmacy coverage, OptumRx, to see what I needed to do to have my supplies covered (they don't provide a Rx number or card so I couldn't figure out what to tell Medtronic). Anyway, at first, I was told they do cover Medtronic but only certain pumps. That is fine just let me know what you cover. Then they said they don't cover Medtronic at all.
Okay. Well, that is horrible but whatever. I asked what insulin pumps they do cover. After a 40 minute conversation, it was determined they don't cover any. At all. They do cover one CGM (a Dexcom model I can't remember).
Has anyone dealt with them before? Is there a way to get one approved for medical necessity? I don't want to go back to shots plus Dexcom, but I, of course, will if that is my only option.
Thanks, everyone!</t>
        </is>
      </c>
      <c r="D2843" t="n">
        <v>2</v>
      </c>
      <c r="E2843" t="n">
        <v>11</v>
      </c>
      <c r="F2843">
        <f>HYPERLINK("https://www.reddit.com/r/diabetes/comments/5ta704/anyone_here_that_has_dealt_with_optumrx_and/")</f>
        <v/>
      </c>
      <c r="G2843" t="inlineStr">
        <is>
          <t>2017-02-10 13:52:03</t>
        </is>
      </c>
      <c r="H2843" t="inlineStr">
        <is>
          <t>Type 1</t>
        </is>
      </c>
    </row>
    <row r="2844">
      <c r="A2844" t="inlineStr">
        <is>
          <t>5tij6d</t>
        </is>
      </c>
      <c r="B2844" t="inlineStr">
        <is>
          <t>1 year "Diaversary"</t>
        </is>
      </c>
      <c r="C2844" t="inlineStr">
        <is>
          <t>Exactly one year ago today, I was "a couple of steps away from being in a coma." This is what my wife was told when the ambulance took me to the ER and she asked the ER doctor how I was doing.
Luckily, I didn't go into a diabetic coma but did have a pretty serious DKA. When people ask me now how it felt to come to senses in the ICU a couple of days later, the best response I've been able to come up with is that it's been the most dehumanizing experience I've ever had. I literally felt like a sack of skin and bones. I lost 22 lbs. and I couldn't walk for more than a few steps without feeling like I was going to pass out.
The next few weeks were a roller coaster of emotions. To be truthful, the only reason why I didn't go into a deep depression is because I have an adolescent son with special needs who needs me to be around. The first night back at home, I couldn't sleep for more than 20 minutes because I would wake up in pain from sore muscles; the level of dehydration I had was severe so I just kept telling myself that every day I would get better, even if it was just a little bit. Sleeping 40 minutes, then a whole hour was another step to recovery.
It took about 8 weeks to feel strong enough to go back to work, and then I guess I could say things got a little bit easier. I have an amazing wife and when it comes to "close" family, I realized how little my circle is and it was also an amazing discovery to see who really has your back when you need them most. In a way, I'm glad to have seen who I can't count on. It's astonishing to see how some friends and family members pretend to care about you, but really don't.
With regards to work, I'm blessed in the sense that almost everyone I work with was very kind and understanding. Some people I could sense could care less if I had died and I discovered how understanding I am about that. I honestly thought I'd be bothered by this but am not, my priority is to take care of myself and those who I truly consider family and friends (no thoughts or energy will be spent on anyone else).
I have found many words of encouragement on this sub. Many people here have been amazing, helpful and understanding. I went through a few PCPs and Endos thanks to comments made by others here (even though I have very good health insurance, a lot of doctors and specialists are morons and assholes, it takes a bit of confidence to fight for yourself and find a good team but oh is it worth it!)
I am now in a very good place. I'm still learning and can now offer a little bit of advice for those who are new at this. If you're reading this and you've recently been diagnosed, realize things do get better. If you can get up and make yourself a meal right now, you're in a better position than I was when I started. Try your best to get rid of negative people in your life, that includes friends, family members and clinicians who only go to work for a paycheck (there are many of them). Life is too short, you owe it to yourself to live well. This condition depends largely on how much effort you put into it!</t>
        </is>
      </c>
      <c r="D2844" t="n">
        <v>6</v>
      </c>
      <c r="E2844" t="n">
        <v>4</v>
      </c>
      <c r="F2844">
        <f>HYPERLINK("https://www.reddit.com/r/diabetes/comments/5tij6d/1_year_diaversary/")</f>
        <v/>
      </c>
      <c r="G2844" t="inlineStr">
        <is>
          <t>2017-02-11 16:19:44</t>
        </is>
      </c>
      <c r="H2844" t="inlineStr">
        <is>
          <t>Type 1.5/LADA</t>
        </is>
      </c>
    </row>
    <row r="2845">
      <c r="A2845" t="inlineStr">
        <is>
          <t>5tl8vl</t>
        </is>
      </c>
      <c r="B2845" t="inlineStr">
        <is>
          <t>Over did it last night, my blood sugar this morning was fricken *240*, what do I do now?</t>
        </is>
      </c>
      <c r="C2845" t="inlineStr">
        <is>
          <t xml:space="preserve">I am only given insulin at night and Glimiperide. Usually my blood sugar is around 100. This morning it was 240, my fault totally, what can I do to bring it down? I am already drinking water. But what, if anything, should I eat? I was thinking hard boiled eggs for breakfast and cold cuts and cheese for lunch, no carbs. </t>
        </is>
      </c>
      <c r="D2845" t="n">
        <v>1</v>
      </c>
      <c r="E2845" t="n">
        <v>10</v>
      </c>
      <c r="F2845">
        <f>HYPERLINK("https://www.reddit.com/r/diabetes/comments/5tl8vl/over_did_it_last_night_my_blood_sugar_this/")</f>
        <v/>
      </c>
      <c r="G2845" t="inlineStr">
        <is>
          <t>2017-02-12 04:54:37</t>
        </is>
      </c>
      <c r="H2845" t="inlineStr">
        <is>
          <t>Type 2</t>
        </is>
      </c>
    </row>
    <row r="2846">
      <c r="A2846" t="inlineStr">
        <is>
          <t>5tnze9</t>
        </is>
      </c>
      <c r="B2846" t="inlineStr">
        <is>
          <t>Type 1: How Do You prevent Active Insulin From Ruining Your Weight Lift Session?</t>
        </is>
      </c>
      <c r="C2846" t="inlineStr">
        <is>
          <t>Hey there!
I'm new here and I am really in to the weight lifting lifestyle lately. Love doing it. However, I have a few questions when it comes to active insulin and it's effect during work outs where I lift weights.
I know lifting weights would normally let your blood glucose levels rise, because of the release of certain hormones and glucose by your liver. However, I've been experiencing quite a few lows, *I THINK because I go to the gym within an hour and a half after eating dinner (60-70 grams of carbs, covered by 4 units of Fast Acting insulin).*
How do you guys combat this? What are things you always make sure of before going to the gym and during/after the session? 
Also, maybe it's nice to know I am in a cutting phase. Currently about 22% BF, aiming for 13% :)
**Disclaimer: I will not adjust my meds before consulting my doctor**
*EDIT: I am on MDI and use pens*</t>
        </is>
      </c>
      <c r="D2846" t="n">
        <v>2</v>
      </c>
      <c r="E2846" t="n">
        <v>22</v>
      </c>
      <c r="F2846">
        <f>HYPERLINK("https://www.reddit.com/r/diabetes/comments/5tnze9/type_1_how_do_you_prevent_active_insulin_from/")</f>
        <v/>
      </c>
      <c r="G2846" t="inlineStr">
        <is>
          <t>2017-02-12 12:33:30</t>
        </is>
      </c>
      <c r="H2846" t="inlineStr">
        <is>
          <t>Type 1</t>
        </is>
      </c>
    </row>
    <row r="2847">
      <c r="A2847" t="inlineStr">
        <is>
          <t>5tp63y</t>
        </is>
      </c>
      <c r="B2847" t="inlineStr">
        <is>
          <t>Using a Mini-fridge within university campus. Requesting Advice.</t>
        </is>
      </c>
      <c r="C2847" t="inlineStr">
        <is>
          <t>Hi y'all, I'm currently in my 2nd year of university and have had type one for a decade. Up until now I have lived on campus and just kept my insulin in a fridge I share with only one other person (who I trust enough). I have never wanted nor needed to go thorough the hassle of letting the housing authorities allow me to keep a mini fridge in my dorm (banned by their policy). Next year I am going to be a Head of Dorm (basically looking after first years). I will then be sharing a fridge with allot of strangers and want a personal safe space to keep my insulin close by.
Long story short I want some advice on how to talk to my housing officials about this, and to know If I have any legal guarantee within some sort of law's protecting disabled people (I live in Canada). I also would like to deal with this as professionally as possible because these people are going to be my bosses.
Thanks a bunch.</t>
        </is>
      </c>
      <c r="D2847" t="n">
        <v>5</v>
      </c>
      <c r="E2847" t="n">
        <v>2</v>
      </c>
      <c r="F2847">
        <f>HYPERLINK("https://www.reddit.com/r/diabetes/comments/5tp63y/using_a_minifridge_within_university_campus/")</f>
        <v/>
      </c>
      <c r="G2847" t="inlineStr">
        <is>
          <t>2017-02-12 15:14:25</t>
        </is>
      </c>
      <c r="H2847" t="inlineStr">
        <is>
          <t>Type 1</t>
        </is>
      </c>
    </row>
    <row r="2848">
      <c r="A2848" t="inlineStr">
        <is>
          <t>5tqoyd</t>
        </is>
      </c>
      <c r="B2848" t="inlineStr">
        <is>
          <t>Lean, fit, and prediabetic?</t>
        </is>
      </c>
      <c r="C2848" t="inlineStr">
        <is>
          <t>I recently had a blood test and was surprised to learn that my fasting glucose level was at 111, which the doctor said was considered in the prediabetic range. 
Most of the material I've read states to ward off or slow the progression of turning into a diabetic is to eat right, exercise, and lose weight. 
I am already lean (160 lbs of mostly muscle at 5'10", with mostly visible abs) as I do a mixture of weight lifting and cardio 5 days a week. I've been an exercise junky literally since I was 13 (I'm 38 now). I eat mostly healthfully already, I drink nothing but water and an occasional black coffee without sugar. I do have dark chocolate and candy on occasion, but my diet is fairly healthy already overall. 
About the only thing I can think of doing now is reducing my carb intake to practically nothing and cutting out grains (I only eat whole grains already). 
Anyhow, is there any good info to be found for people that are prediabetic or diabetic who are already lean and exercise regularly? What else could be going on to cause my numbers to be elevated, while following a lifestyle that is already supposed to be the way to avoid diabetes?</t>
        </is>
      </c>
      <c r="D2848" t="n">
        <v>3</v>
      </c>
      <c r="E2848" t="n">
        <v>15</v>
      </c>
      <c r="F2848">
        <f>HYPERLINK("https://www.reddit.com/r/diabetes/comments/5tqoyd/lean_fit_and_prediabetic/")</f>
        <v/>
      </c>
      <c r="G2848" t="inlineStr">
        <is>
          <t>2017-02-12 19:43:45</t>
        </is>
      </c>
      <c r="H2848" t="inlineStr">
        <is>
          <t>Type 2</t>
        </is>
      </c>
    </row>
    <row r="2849">
      <c r="A2849" t="inlineStr">
        <is>
          <t>5ts4vg</t>
        </is>
      </c>
      <c r="B2849" t="inlineStr">
        <is>
          <t>Type 1: How Do You Approach A Big Meal Pre-Exercise (Lifting Weights)?</t>
        </is>
      </c>
      <c r="C2849" t="inlineStr">
        <is>
          <t>Hey, 
I work from 08:30 AM till 5:00 PM, eat dinner at 18:00 PM and then usually hit the gym at 20:00 PM.
I found this regime makes it kind of difficult to regulate glucose levels during the weight lift session and close after, often hitting low blood sugars. I think (?) because there is still some fast-acting insulin on board from the dinner I've had. So I'm thinking about either waiting longer before going to the gym, lowering my insulin dose or go to the gym first and have dinner afterwards.
**My question to you guys:**
How do you personally approach your pre-exercise meal, especially if it's a big one like lunch or dinner and considering the fact that the kind of exercise is lifting weights? 
Do you wait a specific time before hitting the gym? Do you eat really low carb pre-exercise (which is kinda uhl to me)?
Love to hear how you guys handle this situation and I think it would be an inspiring thread for other Type 1's who exercise. 
EDIT: I am on MDI and use pens.
Thanks in advance,
Ron</t>
        </is>
      </c>
      <c r="D2849" t="n">
        <v>3</v>
      </c>
      <c r="E2849" t="n">
        <v>13</v>
      </c>
      <c r="F2849">
        <f>HYPERLINK("https://www.reddit.com/r/diabetes/comments/5ts4vg/type_1_how_do_you_approach_a_big_meal_preexercise/")</f>
        <v/>
      </c>
      <c r="G2849" t="inlineStr">
        <is>
          <t>2017-02-13 02:13:34</t>
        </is>
      </c>
      <c r="H2849" t="inlineStr">
        <is>
          <t>Type 1</t>
        </is>
      </c>
    </row>
    <row r="2850">
      <c r="A2850" t="inlineStr">
        <is>
          <t>5ts7rc</t>
        </is>
      </c>
      <c r="B2850" t="inlineStr">
        <is>
          <t>Faster/Stronger insulin?</t>
        </is>
      </c>
      <c r="C2850" t="inlineStr">
        <is>
          <t>Hello reddit!
I'm Type 1 (for 27 years now, damn), using Humalog 200 and Lantus. My Lantus doses are just fine (my blood sugars don't move if I go for a day of glycemic fasting), but... I have trouble with the Humalog.
In fact, I've had trouble with it for a while, now. Problem is: even if I inject the insulin a whole hour before eating, my blood sugar levels will spike like fucking crazy, and go down veeeeery slowly for HOURS.
When I say fucking crazy, I mean it. I'll be around 100-120 at 11:30, inject 20 units (which should be way too much), eat a normal portion of pasta (~80-100 grams uncooked) at 12:00, and at 13:00 I'm already around 350. It will stay at 350 (or go even higher) during the whole friggin afternoon, and finally start going down around 15:30-16:00. Finally, it will go down to maybe-normal by 17:30-18:00. "Maybe-normal" because sometimes, it still stays at 250 and I have to inject a couple more units. I have the same issues with bread (normal or whole grain), rice (white or brown), etc.
I tried going for bigger doses (22+), but same thing. It will spike like ass, go down insanely slowly, and when it goes down, it will drive me waaay too low. The speed doesn't change (which makes sense, actually).
So, basically, what I think I need (I may be wrong) is probably something that could act considerably faster and stronger. I asked my endocrinologist but he's not really a diabetes specialist and seems a bit obsessed with Humalog in general.
So... if anyone here had similar issues and managed to solve it, I'm totally opened to suggestions \^^
Thanks!</t>
        </is>
      </c>
      <c r="D2850" t="n">
        <v>2</v>
      </c>
      <c r="E2850" t="n">
        <v>15</v>
      </c>
      <c r="F2850">
        <f>HYPERLINK("https://www.reddit.com/r/diabetes/comments/5ts7rc/fasterstronger_insulin/")</f>
        <v/>
      </c>
      <c r="G2850" t="inlineStr">
        <is>
          <t>2017-02-13 02:39:40</t>
        </is>
      </c>
      <c r="H2850" t="inlineStr">
        <is>
          <t>Type 1</t>
        </is>
      </c>
    </row>
    <row r="2851">
      <c r="A2851" t="inlineStr">
        <is>
          <t>5ttyro</t>
        </is>
      </c>
      <c r="B2851" t="inlineStr">
        <is>
          <t>5.4 A1c, woooo!</t>
        </is>
      </c>
      <c r="C2851" t="inlineStr">
        <is>
          <t>That's it. My last couple A1c's were higher from stress (6.0-6.2), so it's nice to see it back in my comfortable range. 
*Edit: thank you for all the congratulatory remarks! For those of you aiming for this, don't give up! We'll be here to support you through it. [=</t>
        </is>
      </c>
      <c r="D2851" t="n">
        <v>81</v>
      </c>
      <c r="E2851" t="n">
        <v>22</v>
      </c>
      <c r="F2851">
        <f>HYPERLINK("https://www.reddit.com/r/diabetes/comments/5ttyro/54_a1c_woooo/")</f>
        <v/>
      </c>
      <c r="G2851" t="inlineStr">
        <is>
          <t>2017-02-13 08:54:57</t>
        </is>
      </c>
      <c r="H2851" t="inlineStr">
        <is>
          <t>Type 1</t>
        </is>
      </c>
    </row>
    <row r="2852">
      <c r="A2852" t="inlineStr">
        <is>
          <t>5tyuap</t>
        </is>
      </c>
      <c r="B2852" t="inlineStr">
        <is>
          <t>Lantus and Regular fast lows</t>
        </is>
      </c>
      <c r="C2852" t="inlineStr">
        <is>
          <t xml:space="preserve">Hello all. So this is the second time it happens to me the last 4 months, I have been a diabetic for 6 years and this problem is new to me. Yesterday I did my Lantus (6 units) and in 7-8 minutes I was down by 100 mg/dl, fortunately I checked my blood sugar at the 8 minute hallmark and treated the low. It has happened again to me with Regular insulin 4 months ago and it really scared me, so I made a pattern of checking my blood sugar at the 8-10 minute hallmark after each injection.
The explanation I was given by various reddit members and also by my doctor was that I hit a tiny vein in the fat, or possibly a muscle. It is supposed to be rare, but 2 times in 4 months is quick enough for me to make me worry. 
Do any of you have encountered this problem? have you any suggestions for me? I know that checking my blood sugar at the 10 minutes hallmark after an injection is maybe too paranoid but this kind of lows are very scary, due to the fact that blood sugar drops extremely fast.  </t>
        </is>
      </c>
      <c r="D2852" t="n">
        <v>2</v>
      </c>
      <c r="E2852" t="n">
        <v>9</v>
      </c>
      <c r="F2852">
        <f>HYPERLINK("https://www.reddit.com/r/diabetes/comments/5tyuap/lantus_and_regular_fast_lows/")</f>
        <v/>
      </c>
      <c r="G2852" t="inlineStr">
        <is>
          <t>2017-02-13 23:26:34</t>
        </is>
      </c>
      <c r="H2852" t="inlineStr">
        <is>
          <t>Type 1</t>
        </is>
      </c>
    </row>
    <row r="2853">
      <c r="A2853" t="inlineStr">
        <is>
          <t>5u1zvs</t>
        </is>
      </c>
      <c r="B2853" t="inlineStr">
        <is>
          <t>Type 1: Essential Tips For Tight Blood Glucose Control on MDI?</t>
        </is>
      </c>
      <c r="C2853" t="inlineStr">
        <is>
          <t xml:space="preserve">Hey everyone,
It looked like a good idea to me to open a topic where everybody can share his or her *essential tips* for tight blood glucose control on Multiple Daily Injections (MDI). I could use a couple myself, but also other type 1's could benefit from this. 
My #1 tip: keep a tight routine (eat, sleep, workout at the same times). 
What are your essential tips for pinpointing control? </t>
        </is>
      </c>
      <c r="D2853" t="n">
        <v>15</v>
      </c>
      <c r="E2853" t="n">
        <v>59</v>
      </c>
      <c r="F2853">
        <f>HYPERLINK("https://www.reddit.com/r/diabetes/comments/5u1zvs/type_1_essential_tips_for_tight_blood_glucose/")</f>
        <v/>
      </c>
      <c r="G2853" t="inlineStr">
        <is>
          <t>2017-02-14 10:35:28</t>
        </is>
      </c>
      <c r="H2853" t="inlineStr">
        <is>
          <t>Type 1</t>
        </is>
      </c>
    </row>
    <row r="2854">
      <c r="A2854" t="inlineStr">
        <is>
          <t>5u26tp</t>
        </is>
      </c>
      <c r="B2854" t="inlineStr">
        <is>
          <t>[T1] Trying to lose weight, but cardio always drops my blood sugar and I end up consuming almost as many sugar calories as I burned</t>
        </is>
      </c>
      <c r="C2854" t="inlineStr">
        <is>
          <t xml:space="preserve">As the title says, I'm trying to lose a few pounds. As part of that, I'm trying to burn some calories doing cardio a few times a week.  Every time I try to, my blood sugar drops so hard and fast that I only get about 20-30 minutes in before I have to stop and eat sugar. 
Today, I thought I was going to beat it. I plan to workout at noon. I didn't dose for breakfast (black beans and eggs), and even suspended my pump at 10:30, a full 90 minutes before the gym.  And my sugar is just over 120.  
I seriously need to start at about 180-200 to avoid a low.
I'm on a pump, as I mentioned. Do I just need to lower my basal rate or something? </t>
        </is>
      </c>
      <c r="D2854" t="n">
        <v>32</v>
      </c>
      <c r="E2854" t="n">
        <v>17</v>
      </c>
      <c r="F2854">
        <f>HYPERLINK("https://www.reddit.com/r/diabetes/comments/5u26tp/t1_trying_to_lose_weight_but_cardio_always_drops/")</f>
        <v/>
      </c>
      <c r="G2854" t="inlineStr">
        <is>
          <t>2017-02-14 11:01:30</t>
        </is>
      </c>
      <c r="H2854" t="inlineStr">
        <is>
          <t>Type 1</t>
        </is>
      </c>
    </row>
    <row r="2855">
      <c r="A2855" t="inlineStr">
        <is>
          <t>5u5jjc</t>
        </is>
      </c>
      <c r="B2855" t="inlineStr">
        <is>
          <t>It takes me 6 hours to deal with my blood sugar from dinner</t>
        </is>
      </c>
      <c r="C2855" t="inlineStr">
        <is>
          <t>It takes me 6 hours to start to get my blood sugar to start to go back down after dinner, so I go to sleep late because I'm scared of dying.  Nobody would find me for at least a week and nobody would care to check in on me.  I go to sleep late so I wake up late or failed to get my blood sugar under control, so going to the gym sucks on the days I can manage. I struggle in the morning, so I get in to work late. I don't eat all day because then my blood sugar can stay under 120.  I leave work late because I got in late. I eat dinner late because I left work late. It takes me 6 hours to deal with my blood sugar from dinner.
Diabetes has taken over my life. I can't just eat what I want and bolus appropriately.  I shouldn't have to take 20 units of fast-acting to cover chicken and broccoli. A single unit drops me 20 points.  I hate every single day, and I wake up every morning knowing that the day before was the best my life will ever be.
I ate Dinner at 6:30.  My blood sugar was about 100.  I had 2 cups of chicken, 3 cups broccoli.  It's now 11:00.  My blood sugar is 220 and climbing. I've had 18 units of Novolog. I don't want to die, but man being alive sucks. help</t>
        </is>
      </c>
      <c r="D2855" t="n">
        <v>15</v>
      </c>
      <c r="E2855" t="n">
        <v>27</v>
      </c>
      <c r="F2855">
        <f>HYPERLINK("https://www.reddit.com/r/diabetes/comments/5u5jjc/it_takes_me_6_hours_to_deal_with_my_blood_sugar/")</f>
        <v/>
      </c>
      <c r="G2855" t="inlineStr">
        <is>
          <t>2017-02-14 21:08:59</t>
        </is>
      </c>
      <c r="H2855" t="inlineStr">
        <is>
          <t>Type 1</t>
        </is>
      </c>
    </row>
    <row r="2856">
      <c r="A2856" t="inlineStr">
        <is>
          <t>5u711i</t>
        </is>
      </c>
      <c r="B2856" t="inlineStr">
        <is>
          <t>How much carbs is in one tablespoon of peanut butter?</t>
        </is>
      </c>
      <c r="C2856" t="inlineStr">
        <is>
          <t>Looking for peanut butter experts</t>
        </is>
      </c>
      <c r="D2856" t="n">
        <v>0</v>
      </c>
      <c r="E2856" t="n">
        <v>17</v>
      </c>
      <c r="F2856">
        <f>HYPERLINK("https://www.reddit.com/r/diabetes/comments/5u711i/how_much_carbs_is_in_one_tablespoon_of_peanut/")</f>
        <v/>
      </c>
      <c r="G2856" t="inlineStr">
        <is>
          <t>2017-02-15 04:19:42</t>
        </is>
      </c>
      <c r="H2856" t="inlineStr">
        <is>
          <t>Type 1</t>
        </is>
      </c>
    </row>
    <row r="2857">
      <c r="A2857" t="inlineStr">
        <is>
          <t>5u7cbo</t>
        </is>
      </c>
      <c r="B2857" t="inlineStr">
        <is>
          <t>cereal help</t>
        </is>
      </c>
      <c r="C2857" t="inlineStr">
        <is>
          <t xml:space="preserve">alright so if the label says 100grams of the cereal is 71grams of carbs, should i believe it? I mean there's nooo fucking way theres that much carbs in cereal right? I'm eating the nesquick duo cereal, i have never eaten cereal before lol, and yeah its "Chocolate flavored" and all of that but really? </t>
        </is>
      </c>
      <c r="D2857" t="n">
        <v>5</v>
      </c>
      <c r="E2857" t="n">
        <v>20</v>
      </c>
      <c r="F2857">
        <f>HYPERLINK("https://www.reddit.com/r/diabetes/comments/5u7cbo/cereal_help/")</f>
        <v/>
      </c>
      <c r="G2857" t="inlineStr">
        <is>
          <t>2017-02-15 05:30:12</t>
        </is>
      </c>
      <c r="H2857" t="inlineStr">
        <is>
          <t>Type 1</t>
        </is>
      </c>
    </row>
    <row r="2858">
      <c r="A2858" t="inlineStr">
        <is>
          <t>5u7jqp</t>
        </is>
      </c>
      <c r="B2858" t="inlineStr">
        <is>
          <t>[T2] Traveling Aboard while Diabetic</t>
        </is>
      </c>
      <c r="C2858" t="inlineStr">
        <is>
          <t>Hi Folks. I've been known to be an avid traveler among my friends. Last year I went to Japan (before diagnosed), Canada, NYC, San Antonio. And this year I have plenty more traveling planned. I was diagnosed beginning November 2016. Since then I've traveled domestically, though I did go to Canada but that was a 2 hour flight. 
Today I'm about to board my flight to the Netherlands and Belgium. Packed a couple epic and kind bars and of course my testing kit and metformin. Is there any thing else I should be carrying with me on international flights/during travel? 
Also, any tips when tackling the European diets? I've been maintaining good numbers (below 120), but where I'm traveling is home to fried potatoes and pancakes and chocolate. How do I manage?</t>
        </is>
      </c>
      <c r="D2858" t="n">
        <v>2</v>
      </c>
      <c r="E2858" t="n">
        <v>6</v>
      </c>
      <c r="F2858">
        <f>HYPERLINK("https://www.reddit.com/r/diabetes/comments/5u7jqp/t2_traveling_aboard_while_diabetic/")</f>
        <v/>
      </c>
      <c r="G2858" t="inlineStr">
        <is>
          <t>2017-02-15 06:08:16</t>
        </is>
      </c>
      <c r="H2858" t="inlineStr">
        <is>
          <t>Type 2</t>
        </is>
      </c>
    </row>
    <row r="2859">
      <c r="A2859" t="inlineStr">
        <is>
          <t>5u8k19</t>
        </is>
      </c>
      <c r="B2859" t="inlineStr">
        <is>
          <t>How the visit with the diabetes nurse went!</t>
        </is>
      </c>
      <c r="C2859" t="inlineStr">
        <is>
          <t xml:space="preserve">As promised, here's my after action report on the visit with the Diabetes Nurse.
I was scheduled for a 75 minute consult, but was in and out within an hour. Since I'd gone to this training before with my wife, she didn't (thankfully) waste time on going over some of the basics that I already knew.
She went over how to count/account for carbs and what I should be aiming for per meal. She'd looked over my logs ahead of time and said that I appeared to be fighting a liver dump in the morning. Eating breakfast was key to switching that off and preventing spikes. She also commented that I appeared to not be eating enough, even though I was gaining weight, I wasn't eating three meals a day and so my body was hanging onto excess glucose as a fuel reserve. Thankfully she didn't mention starvation mode.
The nurse made a big deal about me getting exercise and working on my diet. According to her, low carb/no carb isn't sustainable, and maybe for me she's right. She does want me to reduce the amount of carbs I consume though. The idea of a banana and a cup of Greek yogurt for breakfast makes sense to me.
Right now she wants me focusing on counting carbs rather than calories, which is fine by me.
I was surprised to learn what the ideal pre-meal BS range was (80-130) and that they considered anything below 180 "in range" for two hours post-load. But she also said I wouldn't need to test more than once per day and to pick a "trigger" and test for that. My thoughts are that I'll continue testing as is, thanks!
She did say that if my numbers don't come into line within two to three weeks, to reach out to my Doctor about Metformin.  We shall see.
</t>
        </is>
      </c>
      <c r="D2859" t="n">
        <v>2</v>
      </c>
      <c r="E2859" t="n">
        <v>24</v>
      </c>
      <c r="F2859">
        <f>HYPERLINK("https://www.reddit.com/r/diabetes/comments/5u8k19/how_the_visit_with_the_diabetes_nurse_went/")</f>
        <v/>
      </c>
      <c r="G2859" t="inlineStr">
        <is>
          <t>2017-02-15 08:42:10</t>
        </is>
      </c>
      <c r="H2859" t="inlineStr">
        <is>
          <t>Type 2</t>
        </is>
      </c>
    </row>
    <row r="2860">
      <c r="A2860" t="inlineStr">
        <is>
          <t>5u9o53</t>
        </is>
      </c>
      <c r="B2860" t="inlineStr">
        <is>
          <t>I've just had my first insulin shot</t>
        </is>
      </c>
      <c r="C2860" t="inlineStr">
        <is>
          <t xml:space="preserve">So after 4 months of constant hyperglycemia and trying various oral meds that had no positive effect, my doc finally decided to prescribe insulin. I've just had my first shot about 2 hours ago, and then had dinner. 
Before dinner my blood sugar was 170, 30 mins after dinner 220, and now 331 and climbing. My doc said the insulin would kick in after an hour, but it's been over two hours. Is this supposed to happen? Did I do something wrong? 
EDIT 1: Should probably mention that I took Toujeo, 9 units. 
EDIT 2: I've discussed this with my endo, and she explained that the main difference I'll notice now is the fasting blood sugar in the morning, and it did indeed drop significantly. I'm taking 14 units now, and we'll introduce the rapid-acting insulin soon too. Thank you everyone for taking the time to reply! </t>
        </is>
      </c>
      <c r="D2860" t="n">
        <v>7</v>
      </c>
      <c r="E2860" t="n">
        <v>26</v>
      </c>
      <c r="F2860">
        <f>HYPERLINK("https://www.reddit.com/r/diabetes/comments/5u9o53/ive_just_had_my_first_insulin_shot/")</f>
        <v/>
      </c>
      <c r="G2860" t="inlineStr">
        <is>
          <t>2017-02-15 11:30:58</t>
        </is>
      </c>
      <c r="H2860" t="inlineStr">
        <is>
          <t>Type 1.5/LADA</t>
        </is>
      </c>
    </row>
    <row r="2861">
      <c r="A2861" t="inlineStr">
        <is>
          <t>5ucjm6</t>
        </is>
      </c>
      <c r="B2861" t="inlineStr">
        <is>
          <t>Shift Workers on Insulin Pump: Rotating Basals</t>
        </is>
      </c>
      <c r="C2861" t="inlineStr">
        <is>
          <t xml:space="preserve">So I wrote a (fairly thorough) Excel workbook to rotate and scale basal rates for changes in your daily schedule, e.g. shift work, weekend sleep-ins, etc.
I'd like any feedback you are willing to give on: 
(1) the usefulness of the idea of being able to rotate basal rates for shift work (e.g. add or subtract N hours),
(2) what pump you use (Make and Model, so I can include a dropdown for precisions, max ranges, etc.),
(3) kind of shift work/schedule changes you do, and
(4) (...after feedback on the first two...) feedback on the workbook itself.
Everyone commenting will be PM'd a link to a copy that will work for subsequent versions too. 
Of course, use must be at your own risk -- the purpose is for feedback at this stage anyway. But I use it and it saves me a ton of time, since I've already verified it to my satisfaction, and includes some checking calcs. </t>
        </is>
      </c>
      <c r="D2861" t="n">
        <v>8</v>
      </c>
      <c r="E2861" t="n">
        <v>2</v>
      </c>
      <c r="F2861">
        <f>HYPERLINK("https://www.reddit.com/r/diabetes/comments/5ucjm6/shift_workers_on_insulin_pump_rotating_basals/")</f>
        <v/>
      </c>
      <c r="G2861" t="inlineStr">
        <is>
          <t>2017-02-15 19:56:21</t>
        </is>
      </c>
      <c r="H2861" t="inlineStr">
        <is>
          <t>Type 1</t>
        </is>
      </c>
    </row>
    <row r="2862">
      <c r="A2862" t="inlineStr">
        <is>
          <t>5ucz84</t>
        </is>
      </c>
      <c r="B2862" t="inlineStr">
        <is>
          <t>Is it okay to have a cheat meal once a week as a Type 2 diabetic?</t>
        </is>
      </c>
      <c r="C2862" t="inlineStr">
        <is>
          <t>Meaning having one meal at dinner time anything I crave. Cause I used to dine with my wife on Fridays as a tradition before being diagnosed. Can I have one cheat meal once a week if the rest of the week I am on a strict diet and eating low carbs?</t>
        </is>
      </c>
      <c r="D2862" t="n">
        <v>5</v>
      </c>
      <c r="E2862" t="n">
        <v>12</v>
      </c>
      <c r="F2862">
        <f>HYPERLINK("https://www.reddit.com/r/diabetes/comments/5ucz84/is_it_okay_to_have_a_cheat_meal_once_a_week_as_a/")</f>
        <v/>
      </c>
      <c r="G2862" t="inlineStr">
        <is>
          <t>2017-02-15 21:31:38</t>
        </is>
      </c>
      <c r="H2862" t="inlineStr">
        <is>
          <t>Type 2</t>
        </is>
      </c>
    </row>
    <row r="2863">
      <c r="A2863" t="inlineStr">
        <is>
          <t>5ud0pi</t>
        </is>
      </c>
      <c r="B2863" t="inlineStr">
        <is>
          <t>I feel like this hospital is chaos now. Venting and ranting and some questions.</t>
        </is>
      </c>
      <c r="C2863" t="inlineStr">
        <is>
          <t xml:space="preserve">End of day 3.  Our 4 year old's numbers have never been below 166 (that was after waking up), and typically hovering around 200-250.  Her keytones are trace/small and have been stuck there all day so they won't discharge us.  She's complaining she's hungry all the time, she's getting crouchy as shit, and after shitty hospital sleep I've lost my cool.  (also we're sharing a room.... these rooms are small... and having two little kids complaining and crying is maddening while everyone is trying to have a slice of silence and privacy.)    I thought the PICU was great, but as soon as we went down to regular pediatric floor it's been a rotating list of doctors and nurses and I feel like we're just a number. 
We're going to accost the "doctor" in the morning, but I'm getting a list of things that I feel we don't understand and are freaking me out: 
1) so the Endocrinologist who's in our network, and saw us in the PICU, and works for a small Pediatric  Endo group near our regular pediatrican, she's in charge?    We need to talk to her ASAP and start getting HER goals and HER suggestions on our insulin ratios?  (And because we're HMO we need our regular ped to refer us.  So I need to talk to them as soon as they open. )
2) What should our goal number be?  I know they said we're going to increase insulin slowly because our kid is so young, bring her numbers down slow and see how things react,  but these high numbers are now bugging me.   And who's been making these up??!   Last night the RN said, oh, it says here your carb is 30 and your base is 125.  Well WHEN DID THAT CHANGE? 
3) If she's hungry and claims to be starving can I just fill her up with protein and fats?  Like she can have her low carb dinner, and keeps complaining she's hungry, is it ok to give her 20 hot dogs?
Sorry for the vent.  First few days were fine, they had dieticians come teach us, and physical therapists, and a social worker.... but I feel like I want to take control away from all these randoms at the hospital.  
This is the same place we gave birth and I feel the process what the same.  Great!, good, then "What the fuck?  Did we get moved into 3rd class in the bottom of the boat?" 
Edit:  also I've had several close friends and family say "So how many shots does she need, and when does it go away?!"  which has been frustrating .
</t>
        </is>
      </c>
      <c r="D2863" t="n">
        <v>16</v>
      </c>
      <c r="E2863" t="n">
        <v>44</v>
      </c>
      <c r="F2863">
        <f>HYPERLINK("https://www.reddit.com/r/diabetes/comments/5ud0pi/i_feel_like_this_hospital_is_chaos_now_venting/")</f>
        <v/>
      </c>
      <c r="G2863" t="inlineStr">
        <is>
          <t>2017-02-15 21:41:21</t>
        </is>
      </c>
      <c r="H2863" t="inlineStr">
        <is>
          <t>Type 1</t>
        </is>
      </c>
    </row>
    <row r="2864">
      <c r="A2864" t="inlineStr">
        <is>
          <t>5udheu</t>
        </is>
      </c>
      <c r="B2864" t="inlineStr">
        <is>
          <t>Having repeated problems with bad infusion sites. Anybody have experience taking a break from the pump?</t>
        </is>
      </c>
      <c r="C2864" t="inlineStr">
        <is>
          <t>Hello, everybody.
So regardless of attempts to rotate infusion sites, I'm still finding myself having problems finding working sites. I'm usually going through like 3-4 infusion sets at a time before I find one that actually works. My blood sugar has been stuck around the 350-400 range for the last 4 or so hours and I haven't eaten in about 6-7. I'm primarily using the Mios but I also have a few boxes of Sure-T's that I'm trying out as well. I just tried my left thigh for the first time in my life, and that didn't yield any success either after giving myself a bolus and waiting an hour.
Does anybody here have experience taking a break from the pump and going on a mixture of short and long acting insulin due to the pump not working optimally? And if so, for how long did you take a break, and did you have more success with the pump after the break?</t>
        </is>
      </c>
      <c r="D2864" t="n">
        <v>2</v>
      </c>
      <c r="E2864" t="n">
        <v>3</v>
      </c>
      <c r="F2864">
        <f>HYPERLINK("https://www.reddit.com/r/diabetes/comments/5udheu/having_repeated_problems_with_bad_infusion_sites/")</f>
        <v/>
      </c>
      <c r="G2864" t="inlineStr">
        <is>
          <t>2017-02-15 23:43:11</t>
        </is>
      </c>
      <c r="H2864" t="inlineStr">
        <is>
          <t>Type 1</t>
        </is>
      </c>
    </row>
    <row r="2865">
      <c r="A2865" t="inlineStr">
        <is>
          <t>5ugzwd</t>
        </is>
      </c>
      <c r="B2865" t="inlineStr">
        <is>
          <t>Dad (Type 2) is struggling and wants to split from my Mom. Advice?</t>
        </is>
      </c>
      <c r="C2865" t="inlineStr">
        <is>
          <t xml:space="preserve">As mentioned in the title, my Dad is really struggling and has mentioned wanting to make big life changes, like splitting from my Mom. I'm at a loss on how to help.
Backstory: My Dad is 58, and was diagnosed with Type 2 in November. He's never been a healthy eater, but because he doesn't get sick often, it was a shock to him because he thought of himself as healthy. He was emotional and lashed out for a little while, but seems to be on track with his numbers now. Getting all this from my Mom second-hand, as I no longer live at home. 
He's got his numbers down, and is eating healthier, but hasn't started exercising at all. He's not taking suggestions well from my Mom, who has also started exercising.
He has an incredibly shitty doctor (from the sounds of it), whose goal is to get my Dad to live to 70. Eff that - it's a negative way of thinking, and no reason he shouldn't be aiming to live way higher than that. This guy is terrible. 
Anyway - my Mom called me today in tears saying my Dad has been debating how he wants to live "the last 12 years of his life." He's talked about leaving her (never an issue before), and doesn't really find happiness in much. He's still working, and likes his job quite a bit. She thinks my Dad needs to talk to a professional, but he won't take her advice. 
How can I help? My mom wants me to talk to my Dad, thinking I can convince him to talk to someone (both she and I have, at times, talked with pro's.). I don't know what to do... I want to help him, but I'm afraid of pushing him away more, and also not convinced I can say anything to help him feel better. </t>
        </is>
      </c>
      <c r="D2865" t="n">
        <v>5</v>
      </c>
      <c r="E2865" t="n">
        <v>24</v>
      </c>
      <c r="F2865">
        <f>HYPERLINK("https://www.reddit.com/r/diabetes/comments/5ugzwd/dad_type_2_is_struggling_and_wants_to_split_from/")</f>
        <v/>
      </c>
      <c r="G2865" t="inlineStr">
        <is>
          <t>2017-02-16 10:51:20</t>
        </is>
      </c>
      <c r="H2865" t="inlineStr">
        <is>
          <t>Type 2</t>
        </is>
      </c>
    </row>
    <row r="2866">
      <c r="A2866" t="inlineStr">
        <is>
          <t>5ujutr</t>
        </is>
      </c>
      <c r="B2866" t="inlineStr">
        <is>
          <t>Insulin + testing kit = cold pack?</t>
        </is>
      </c>
      <c r="C2866" t="inlineStr">
        <is>
          <t>Hello folks. Thanks for all your great advice and help previously!
I started on shitty NPH insulin today (gave myself my first shot about an hour ago, hooray...--also, pushing doctor to get me on a more reasonable and normal setup as well as an endo). I'm planning on carrying my testing kit and insulin/syringes together in my pack, which has space for a cold pack.
Should I keep a cold pack in there since I'll be taking this to work with me, or will that screw up my glucose meter?
I'm especially wondering for when the inevitable summer heat arrives.
Thank you for any help!!</t>
        </is>
      </c>
      <c r="D2866" t="n">
        <v>1</v>
      </c>
      <c r="E2866" t="n">
        <v>6</v>
      </c>
      <c r="F2866">
        <f>HYPERLINK("https://www.reddit.com/r/diabetes/comments/5ujutr/insulin_testing_kit_cold_pack/")</f>
        <v/>
      </c>
      <c r="G2866" t="inlineStr">
        <is>
          <t>2017-02-16 19:06:52</t>
        </is>
      </c>
      <c r="H2866" t="inlineStr">
        <is>
          <t>Type 1.5/LADA</t>
        </is>
      </c>
    </row>
    <row r="2867">
      <c r="A2867" t="inlineStr">
        <is>
          <t>5uo6po</t>
        </is>
      </c>
      <c r="B2867" t="inlineStr">
        <is>
          <t>Is it possible to become diabetic in span of 8 months?</t>
        </is>
      </c>
      <c r="C2867" t="inlineStr">
        <is>
          <t>I had a A1C reading of 4.9 in june which is healthy. however i have started to experience diabetic symptoms. I am 24 years old. Is it possible to develop diabetes in such a quick time?</t>
        </is>
      </c>
      <c r="D2867" t="n">
        <v>3</v>
      </c>
      <c r="E2867" t="n">
        <v>10</v>
      </c>
      <c r="F2867">
        <f>HYPERLINK("https://www.reddit.com/r/diabetes/comments/5uo6po/is_it_possible_to_become_diabetic_in_span_of_8/")</f>
        <v/>
      </c>
      <c r="G2867" t="inlineStr">
        <is>
          <t>2017-02-17 11:41:42</t>
        </is>
      </c>
      <c r="H2867" t="inlineStr">
        <is>
          <t>Type 2</t>
        </is>
      </c>
    </row>
    <row r="2868">
      <c r="A2868" t="inlineStr">
        <is>
          <t>5uqurp</t>
        </is>
      </c>
      <c r="B2868" t="inlineStr">
        <is>
          <t>Mood Swings &amp;amp; Type 2 Diabetes</t>
        </is>
      </c>
      <c r="C2868" t="inlineStr">
        <is>
          <t>Hey, I am not a diabetic, but my SO is. He's type 2, and was diagnosed 20 some years ago. 
Recently, he saw an Endocrinologist after being a bit more lax about the treatment of his condition... and his blood sugar was through the roof. He's been taking more control of his diet as of late, and has had to add a couple of new medications to his regimen, so things have been getting better-- yet there's still some moments when his sugar and blood pressure are high, like right now, and then he experiences mood changes in relation to this (anger/depression/etc).
Anyway, my question is: are mood swings related to high blood pressure/sugar? He says that he can tell a difference in his moods when his numbers are high, which I believe, but as I'm not familiar with any of this, I'm trying to get more information. It's especially important because I'm an emotional 33 weeks pregnant, and it can be hard to not take things personally when he says his numbers are high and, therefore, is in a bad mood and needs to keep his distance (which, again, doesn't happen often, but just happened about 5 minutes ago).
Thank you for helping me understand this better!
PS- My apologies about being a little bit scatterbrained in my explanation above. I'm a very tired pregnant person right now who is just trying to figure all of this out.</t>
        </is>
      </c>
      <c r="D2868" t="n">
        <v>2</v>
      </c>
      <c r="E2868" t="n">
        <v>8</v>
      </c>
      <c r="F2868">
        <f>HYPERLINK("https://www.reddit.com/r/diabetes/comments/5uqurp/mood_swings_type_2_diabetes/")</f>
        <v/>
      </c>
      <c r="G2868" t="inlineStr">
        <is>
          <t>2017-02-17 20:43:52</t>
        </is>
      </c>
      <c r="H2868" t="inlineStr">
        <is>
          <t>Type 2</t>
        </is>
      </c>
    </row>
    <row r="2869">
      <c r="A2869" t="inlineStr">
        <is>
          <t>5utj25</t>
        </is>
      </c>
      <c r="B2869" t="inlineStr">
        <is>
          <t>Anyone ever wake up in the morning with a low, then give double insulin like an idiot for breakfast by mistake? Feeling kinda scared</t>
        </is>
      </c>
      <c r="C2869" t="inlineStr">
        <is>
          <t>Woke with 60 then did 15u for breakfast then did 15 more thinking I didnt do it.</t>
        </is>
      </c>
      <c r="D2869" t="n">
        <v>6</v>
      </c>
      <c r="E2869" t="n">
        <v>9</v>
      </c>
      <c r="F2869">
        <f>HYPERLINK("https://www.reddit.com/r/diabetes/comments/5utj25/anyone_ever_wake_up_in_the_morning_with_a_low/")</f>
        <v/>
      </c>
      <c r="G2869" t="inlineStr">
        <is>
          <t>2017-02-18 09:34:21</t>
        </is>
      </c>
      <c r="H2869" t="inlineStr">
        <is>
          <t>Type 1</t>
        </is>
      </c>
    </row>
    <row r="2870">
      <c r="A2870" t="inlineStr">
        <is>
          <t>5uu0uy</t>
        </is>
      </c>
      <c r="B2870" t="inlineStr">
        <is>
          <t>Gave 2x insulin for breakfast...then over compensated with carbs...now im 250 and climbing fast 90min later..going to be one of those days...FML</t>
        </is>
      </c>
      <c r="C2870" t="inlineStr">
        <is>
          <t>Had been doing so good on getting my blood sugar under control too.
Since im used to being around 100-125, I feel like absolute shit and am afraid I may hit 300+
Sometimes I get so used to living with diabetes I forget how much I hate fucking being this way.
Body feels hot, weird, im thirsty, irritated. Fuck</t>
        </is>
      </c>
      <c r="D2870" t="n">
        <v>31</v>
      </c>
      <c r="E2870" t="n">
        <v>5</v>
      </c>
      <c r="F2870">
        <f>HYPERLINK("https://www.reddit.com/r/diabetes/comments/5uu0uy/gave_2x_insulin_for_breakfastthen_over/")</f>
        <v/>
      </c>
      <c r="G2870" t="inlineStr">
        <is>
          <t>2017-02-18 11:08:52</t>
        </is>
      </c>
      <c r="H2870" t="inlineStr">
        <is>
          <t>Type 1</t>
        </is>
      </c>
    </row>
    <row r="2871">
      <c r="A2871" t="inlineStr">
        <is>
          <t>5uyj6f</t>
        </is>
      </c>
      <c r="B2871" t="inlineStr">
        <is>
          <t>Does exercising day before a blood test affect the results?</t>
        </is>
      </c>
      <c r="C2871" t="inlineStr">
        <is>
          <t>I worked out at noon a day before a blood test and then did a slight walk at 8 pm the day before a test. My blood test was scheduled the next day. Would my exercise skew the results?</t>
        </is>
      </c>
      <c r="D2871" t="n">
        <v>3</v>
      </c>
      <c r="E2871" t="n">
        <v>1</v>
      </c>
      <c r="F2871">
        <f>HYPERLINK("https://www.reddit.com/r/diabetes/comments/5uyj6f/does_exercising_day_before_a_blood_test_affect/")</f>
        <v/>
      </c>
      <c r="G2871" t="inlineStr">
        <is>
          <t>2017-02-19 06:48:44</t>
        </is>
      </c>
      <c r="H2871" t="inlineStr">
        <is>
          <t>Type 2</t>
        </is>
      </c>
    </row>
    <row r="2872">
      <c r="A2872" t="inlineStr">
        <is>
          <t>5v1rpp</t>
        </is>
      </c>
      <c r="B2872" t="inlineStr">
        <is>
          <t>My first ADA recommended meal since diagnosis</t>
        </is>
      </c>
      <c r="C2872" t="inlineStr">
        <is>
          <t>My dinner was around 40/45 net carbs this evening.  Was visiting my mom for Sunday and I thought I'd go with what she wanted to eat today and test out how I handle a high carb meal (or what the ADA considers the lowest minimum carbs per meal).
I had 
2 Almond Flour Yorkshire Pudding (just replaced regular flour for almond flour, no they didn't really work out... but they were still edible) - 9net carbs
3.5 carrots - 15 net carbs
pot roast beef - 0 net carbs 
gravey made out of 0.5 cups of mixed veggies, chicken boullion, and the beef juice - 7 net carbs
1/2 lbs of turnip - 9 net carbs (i have no idea why this item is bold)
---
5.3mmol pre food
1 hour - 7mmol
1.5 hour - 6.3mmol
2 hour - 6.0mmol
2.5 hour - 5.7mmol
3 hour - 5.2mmol
I normally eat very low carb.  45 net carbs is my usual daily max, and my blood sugar averages 5mmol throughout the day.
I felt *different* 30min after eating.  Hard to explain how I felt, but it was like I drank too much coffee.  The feeling lasted until 1:15 after eating, then I started to feel normal again.
Thought this data might be interesting to people who want to know what happens when a low-carb dieter eats a ADA approved meal.
I am not comfortable with that 7mmol.
EDIT: I should probably note that 3 hours after eating this meal, I am dealing with significantly more feelings of hunger than I normally have to at this time of day, even though the meal with 1300 calories.
EDIT2: I estimate that I had 400g of beef (50g fat, 90g protein) which is much higher than ADA guideline (maybe twice as much?). Sorry for forgetting this fact</t>
        </is>
      </c>
      <c r="D2872" t="n">
        <v>12</v>
      </c>
      <c r="E2872" t="n">
        <v>16</v>
      </c>
      <c r="F2872">
        <f>HYPERLINK("https://www.reddit.com/r/diabetes/comments/5v1rpp/my_first_ada_recommended_meal_since_diagnosis/")</f>
        <v/>
      </c>
      <c r="G2872" t="inlineStr">
        <is>
          <t>2017-02-19 17:34:21</t>
        </is>
      </c>
      <c r="H2872" t="inlineStr">
        <is>
          <t>Type 2</t>
        </is>
      </c>
    </row>
    <row r="2873">
      <c r="A2873" t="inlineStr">
        <is>
          <t>5v1xm8</t>
        </is>
      </c>
      <c r="B2873" t="inlineStr">
        <is>
          <t>Recently diagnosed T2, last 3 weeks have been a trip</t>
        </is>
      </c>
      <c r="C2873" t="inlineStr">
        <is>
          <t xml:space="preserve">I found myself diagnosed with T2 on Jan 31st and frankly it scared the shit out of me. I shouldn't have been surprised, I have PCOS that went untreated for years despite my best efforts and quite a lot of money and time spent going to specialists who refused to diagnose or treat me, not to mention I won the genetic lottery and basically everyone on my dad's side got T2 at some point in their adult life, plus I made almost no effort to take care of myself and try to "prevent" this. My fasting glucose was over 300(mg/dl, I'm in the US, about 16.7 mmol/l). I was embarrassed and ashamed.
I started a low carb diet on February 1 and started going for walks every day. I am overweight and years of depression and desk jobs have gotten me to the point where walking a mile requires real effort. I try to keep it to less than 50g carbs total per day (aiming for 20-40g but trying to be realistic about mistakes). My first meeting with a diabetes specialist/endocrinologist was February 8 and my fasting glucose was down to 231, which I was surprised with since only a week before I'd been over 300. She gave me Levemir and I honestly almost cried when I got in the car because the thought of having to inject myself with insulin every day was a nightmare. The first night, I couldn't even do it, I had to have my boyfriend do the shot for me because I was too scared. 
Every day when I took my blood sugar in the morning, they slowly started to come down, which was kind of exciting... 223... 217... 180... 170... this past Tuesday my fasting level was 147 and I had a 97 two hours after I ate lunch! I went from terrified and ashamed to proud and excited about the progress I'd made. My numbers tend to go down throughout the day, especially after I eat. Is this normal if you're doing low carb? I thought blood sugar was supposed to go up after meals.
Wednesday I found out menstruation fucks with your blood sugar when my numbers shot back up to the high 100s, low 200s even during the day when I was getting lower readings. I really wanted to say fuck it and eat a cupcake because why bother sticking to my diet when it clearly doesn't matter, but I avoided the temptation and I'm glad because I would have regretted it so much. 
I'm currently taking 500mg Metformin with dinner, about to increase it to another 500g at breakfast (I'm slowly ramping it up due to HORRIBLE GI reactions last time I was on this). Currently taking 18 units of Levemir. I have another appointment with my diabetes doctor Wednesday and I'm trying to decide if I should up my dosage to 20 or wait to see what happens when my period is over and/or see what she says... my numbers were VERY steadily going down until the visit from Aunt Flo and I haven't added any "bad stuff" into my diet since then. 
Anyway, just wanted to say hello, I'm completely new to this, I'm scared, but I'm pretty motivated to kick diabetes in the dick. I've been lurking here for about a week or so and wanted to make a post because I figured if anyone could understand my frustration over my numbers since Wednesday, it would be people here. Sorry for the long post. </t>
        </is>
      </c>
      <c r="D2873" t="n">
        <v>7</v>
      </c>
      <c r="E2873" t="n">
        <v>26</v>
      </c>
      <c r="F2873">
        <f>HYPERLINK("https://www.reddit.com/r/diabetes/comments/5v1xm8/recently_diagnosed_t2_last_3_weeks_have_been_a/")</f>
        <v/>
      </c>
      <c r="G2873" t="inlineStr">
        <is>
          <t>2017-02-19 18:08:23</t>
        </is>
      </c>
      <c r="H2873" t="inlineStr">
        <is>
          <t>Type 2</t>
        </is>
      </c>
    </row>
    <row r="2874">
      <c r="A2874" t="inlineStr">
        <is>
          <t>5v4lv0</t>
        </is>
      </c>
      <c r="B2874" t="inlineStr">
        <is>
          <t>Type 1: How Does A Low Carb Protein Shake Spike My Blood Sugars?</t>
        </is>
      </c>
      <c r="C2874" t="inlineStr">
        <is>
          <t xml:space="preserve">Hey everybody,
I noticed spiking blood sugar levels after taking my Protein shake and I was wondering how this is possible, since it only contains 1,2 grams per serving. This is my situation in which/when I take it: 
I eat breakfast with a good Blood Glucose level at 7:00 PM. It contains 28 carbs, which I inject 3 units of Novorapid (fast-acting) insulin for. 
At 9:45 PM, my glucose level is perfect (between 5-7 mmol/l or 90-126 mg/dl). At this point, I'll take one Whey Isolate Protein shake, only containing 1,2 grams of carbs. Besides that shake, I also take a piece of 85% cacao chocolate (10 grams in total), containing 2 grams of carbs. 
At 12:00 PM, before lunch, my Blood Glucose level is slightly higher (9,7 mmol/l or 174 mg/dl). I then take 5 units of Novorapid insulin, to cover my 49 grams of (slow acting) carbs. 
Within an hour after that (13:15 PM), my Blood Glucose levels are sky rocketing: 14,6 mmol/l or 263 mg/dl. However, when I don't take the protein shake, it will be around 8 mmol/l - 145 mg/dl. 
Also noticeable is that I sometimes take the shake in combination with an apple when I have a hypo/low blood sugars. I ofcourse then expect a huge rise in blood sugar levels right after that, but most of the time that DOESN'T occur.
I am really curious why this is the case? The protein shake is from MyProtein and is called 'Whey Isolate', chocolate smooth flavour. 
PS: I know I can take 'normal foods' for my protein demands, but I just want to learn WHY my Blood Glucose sugars are getting this spike. 
Hope someone can drop the knowledge bomb on me, because I'm really stuck with this one.
Thanks in advance,
Ronnie
</t>
        </is>
      </c>
      <c r="D2874" t="n">
        <v>11</v>
      </c>
      <c r="E2874" t="n">
        <v>34</v>
      </c>
      <c r="F2874">
        <f>HYPERLINK("https://www.reddit.com/r/diabetes/comments/5v4lv0/type_1_how_does_a_low_carb_protein_shake_spike_my/")</f>
        <v/>
      </c>
      <c r="G2874" t="inlineStr">
        <is>
          <t>2017-02-20 05:47:25</t>
        </is>
      </c>
      <c r="H2874" t="inlineStr">
        <is>
          <t>Type 1</t>
        </is>
      </c>
    </row>
    <row r="2875">
      <c r="A2875" t="inlineStr">
        <is>
          <t>5v4so8</t>
        </is>
      </c>
      <c r="B2875" t="inlineStr">
        <is>
          <t>T2 first 3 month followup, what to expect?</t>
        </is>
      </c>
      <c r="C2875" t="inlineStr">
        <is>
          <t>This is my first three month followup from my initial T2 diagnosis in November 2016, right after Thanksgiving. I know I will be doing a blood draw and will be fasting for that, but what else should I expect from the appointment?
I stopped taking metformin and am controlling my levels through diet. I was only on it for a few weeks, and never felt good while on it. I will obviously be discussing that with my dr. Anything else I need to bring up?</t>
        </is>
      </c>
      <c r="D2875" t="n">
        <v>1</v>
      </c>
      <c r="E2875" t="n">
        <v>4</v>
      </c>
      <c r="F2875">
        <f>HYPERLINK("https://www.reddit.com/r/diabetes/comments/5v4so8/t2_first_3_month_followup_what_to_expect/")</f>
        <v/>
      </c>
      <c r="G2875" t="inlineStr">
        <is>
          <t>2017-02-20 06:27:35</t>
        </is>
      </c>
      <c r="H2875" t="inlineStr">
        <is>
          <t>Type 2</t>
        </is>
      </c>
    </row>
    <row r="2876">
      <c r="A2876" t="inlineStr">
        <is>
          <t>5vbpld</t>
        </is>
      </c>
      <c r="B2876" t="inlineStr">
        <is>
          <t>You should know: Acetaminophen Falsely Raises Glucose Sensor Readings by Wide Margin</t>
        </is>
      </c>
      <c r="C2876" t="inlineStr">
        <is>
          <t xml:space="preserve">Source: http://www.medscape.com/viewarticle/849650
I feel like my Medtronic instructors should have warned me about this, since paracetamol is common for pain treatment where I live. </t>
        </is>
      </c>
      <c r="D2876" t="n">
        <v>69</v>
      </c>
      <c r="E2876" t="n">
        <v>50</v>
      </c>
      <c r="F2876">
        <f>HYPERLINK("https://www.reddit.com/r/diabetes/comments/5vbpld/you_should_know_acetaminophen_falsely_raises/")</f>
        <v/>
      </c>
      <c r="G2876" t="inlineStr">
        <is>
          <t>2017-02-21 06:19:13</t>
        </is>
      </c>
      <c r="H2876" t="inlineStr">
        <is>
          <t>Type 1</t>
        </is>
      </c>
    </row>
    <row r="2877">
      <c r="A2877" t="inlineStr">
        <is>
          <t>5vcoyx</t>
        </is>
      </c>
      <c r="B2877" t="inlineStr">
        <is>
          <t>My doctor says i shouldn't go low-carb or keto.</t>
        </is>
      </c>
      <c r="C2877" t="inlineStr">
        <is>
          <t>hello, fellow diabetics, I'm 25 and have been recently diagnosed with retinopathy (thx to my realy bad control over the last 8 years) I've been T1 since I was 5. So after hearing this news, i obviously changed my life. I hope to get my a1c under 6.0. the thing is last time i went to my endo, i asked him about keto and low-carb, but he said i should stick to "Regular diabetic diet" (Low fat diet). I always read a lot everywhere about how good low-carb and keto are for T1.
With that in mind I ask you, is there a special reason that people with retinopathy shoudn't go keto or whatever? i feel my control would be much better if i just cut the carbs.</t>
        </is>
      </c>
      <c r="D2877" t="n">
        <v>22</v>
      </c>
      <c r="E2877" t="n">
        <v>47</v>
      </c>
      <c r="F2877">
        <f>HYPERLINK("https://www.reddit.com/r/diabetes/comments/5vcoyx/my_doctor_says_i_shouldnt_go_lowcarb_or_keto/")</f>
        <v/>
      </c>
      <c r="G2877" t="inlineStr">
        <is>
          <t>2017-02-21 09:13:10</t>
        </is>
      </c>
      <c r="H2877" t="inlineStr">
        <is>
          <t>Type 1</t>
        </is>
      </c>
    </row>
    <row r="2878">
      <c r="A2878" t="inlineStr">
        <is>
          <t>5vdmc4</t>
        </is>
      </c>
      <c r="B2878" t="inlineStr">
        <is>
          <t>I need help, please. Dating a T1D</t>
        </is>
      </c>
      <c r="C2878" t="inlineStr">
        <is>
          <t xml:space="preserve">Ive been seeing my girlfriend for about 4 months now so Im not brand new to this but reading through this sub I have no clue what most of the abbreviations are. 
She experiences extreme highs and lows. She has a pump but no sensor so shes tied to test strips all day. She is a single mom of 3 girls with no help from their father so she forgets to keep up with her sugar running around with them. Often she doesnt realize that she is feeling poorly because of her sugar so its a mad dash to test and correct. She does not have insurance but wants a Dexcom very badly. Are there any ways to get one affordably without insurance? Im fine paying the up front cost but what would the monthly cost be to keep stocked with sensors? 
Are there other options besides a dex that may be more cost prohibitive?  Please excuse my ignorance on the subject and thank you for any advice you guys can give!
</t>
        </is>
      </c>
      <c r="D2878" t="n">
        <v>7</v>
      </c>
      <c r="E2878" t="n">
        <v>16</v>
      </c>
      <c r="F2878">
        <f>HYPERLINK("https://www.reddit.com/r/diabetes/comments/5vdmc4/i_need_help_please_dating_a_t1d/")</f>
        <v/>
      </c>
      <c r="G2878" t="inlineStr">
        <is>
          <t>2017-02-21 11:38:56</t>
        </is>
      </c>
      <c r="H2878" t="inlineStr">
        <is>
          <t>Type 1</t>
        </is>
      </c>
    </row>
    <row r="2879">
      <c r="A2879" t="inlineStr">
        <is>
          <t>5vehzt</t>
        </is>
      </c>
      <c r="B2879" t="inlineStr">
        <is>
          <t>Nightly Hypos. Fearful of death, and overcorrecting. Really annoying. What do I do?</t>
        </is>
      </c>
      <c r="C2879" t="inlineStr">
        <is>
          <t>So I was diagnosed with T1 about a year ago, and I've gotten a grip over it, but this nightly hypo shit is getting on my LAST nerve. I'm so sick of being woken up at night with a sugar of 90-100, and having to climb out of bed and correct it, usually making me have a high in the morning. And, I'm also scared of dying to one of these at night, so this leads me to just eat a shit ton of food before bed, and go to bed with 200 glucose with no insulin.  
Obviously I have to fix this somehow. How do I handle this? I don't use that much basal. I only use 6 units of Lantus, sometimes 7 or 8 depending on what I have planned for the day.  
How can I gracefully make sure that I won't die or get woken up at night from this? What do you all usually eat to make sure you don't croak at night?</t>
        </is>
      </c>
      <c r="D2879" t="n">
        <v>0</v>
      </c>
      <c r="E2879" t="n">
        <v>12</v>
      </c>
      <c r="F2879">
        <f>HYPERLINK("https://www.reddit.com/r/diabetes/comments/5vehzt/nightly_hypos_fearful_of_death_and_overcorrecting/")</f>
        <v/>
      </c>
      <c r="G2879" t="inlineStr">
        <is>
          <t>2017-02-21 13:57:40</t>
        </is>
      </c>
      <c r="H2879" t="inlineStr">
        <is>
          <t>Type 1</t>
        </is>
      </c>
    </row>
    <row r="2880">
      <c r="A2880" t="inlineStr">
        <is>
          <t>5vkxfo</t>
        </is>
      </c>
      <c r="B2880" t="inlineStr">
        <is>
          <t>A1C down to 8.1</t>
        </is>
      </c>
      <c r="C2880" t="inlineStr">
        <is>
          <t>I had to do a lab test because I switched doctors and I found out my A1C is down to 8.1 now. I was 11.4 a little over a month ago. I realize I am still in the honeymoon phase of my diet and exercise but to see it drop that steep is a personal victory for me. It means what I am doing is working. Thank you for all the help you guys have been so far.</t>
        </is>
      </c>
      <c r="D2880" t="n">
        <v>14</v>
      </c>
      <c r="E2880" t="n">
        <v>27</v>
      </c>
      <c r="F2880">
        <f>HYPERLINK("https://www.reddit.com/r/diabetes/comments/5vkxfo/a1c_down_to_81/")</f>
        <v/>
      </c>
      <c r="G2880" t="inlineStr">
        <is>
          <t>2017-02-22 11:49:56</t>
        </is>
      </c>
      <c r="H2880" t="inlineStr">
        <is>
          <t>Type 2</t>
        </is>
      </c>
    </row>
    <row r="2881">
      <c r="A2881" t="inlineStr">
        <is>
          <t>5vpntb</t>
        </is>
      </c>
      <c r="B2881" t="inlineStr">
        <is>
          <t>This is why i wish all T2's would have a CGM available to them.</t>
        </is>
      </c>
      <c r="C2881" t="inlineStr">
        <is>
          <t>http://imgur.com/a/kaRM7
I convinced my medical aid to pay for a two week CGM sensor, and this was the result, I am super excited, and I can atleast know now that everything I am doing is for the moment correct, there is a low trend in the mornings so I need to eat a bit before I sleep, but having this experience has empowered me so much and given me so much confidence back. It really should be part of the norm for a T2.</t>
        </is>
      </c>
      <c r="D2881" t="n">
        <v>6</v>
      </c>
      <c r="E2881" t="n">
        <v>20</v>
      </c>
      <c r="F2881">
        <f>HYPERLINK("https://www.reddit.com/r/diabetes/comments/5vpntb/this_is_why_i_wish_all_t2s_would_have_a_cgm/")</f>
        <v/>
      </c>
      <c r="G2881" t="inlineStr">
        <is>
          <t>2017-02-23 02:16:56</t>
        </is>
      </c>
      <c r="H2881" t="inlineStr">
        <is>
          <t>Type 2</t>
        </is>
      </c>
    </row>
    <row r="2882">
      <c r="A2882" t="inlineStr">
        <is>
          <t>5vr219</t>
        </is>
      </c>
      <c r="B2882" t="inlineStr">
        <is>
          <t>Question about dealing with scarring from pump sites</t>
        </is>
      </c>
      <c r="C2882" t="inlineStr">
        <is>
          <t>I've been using the Animas Vibe for about two years, and not surprisingly have a good amount of scar spots on my side from the injection sites. It's grown to cover a good part of the left side of my chest, and is only going to grow more as I need to keep moving my injection sites. 
I've tried Neosporin to reduce the scarring, but without much success. Has anyone else here had luck reducing scarring from pump sites? Open to trying pretty much anything.</t>
        </is>
      </c>
      <c r="D2882" t="n">
        <v>3</v>
      </c>
      <c r="E2882" t="n">
        <v>4</v>
      </c>
      <c r="F2882">
        <f>HYPERLINK("https://www.reddit.com/r/diabetes/comments/5vr219/question_about_dealing_with_scarring_from_pump/")</f>
        <v/>
      </c>
      <c r="G2882" t="inlineStr">
        <is>
          <t>2017-02-23 07:39:42</t>
        </is>
      </c>
      <c r="H2882" t="inlineStr">
        <is>
          <t>Type 1</t>
        </is>
      </c>
    </row>
    <row r="2883">
      <c r="A2883" t="inlineStr">
        <is>
          <t>5vrpi3</t>
        </is>
      </c>
      <c r="B2883" t="inlineStr">
        <is>
          <t>Lisinopril or ACE inhibitors to "protect" your kidneys?</t>
        </is>
      </c>
      <c r="C2883" t="inlineStr">
        <is>
          <t>My endo just put me on a small dose of Lisinopril (2.5mg 1x day). She said it was to "protect" my kidneys. Me being very reluctant to be on drugs I don't need, I asked her to give me more info and she explained that non-diabetics typically don't get high glucose in their blood no matter how much sugar they intake, their pancreas regulates as needed so their bodies don't see high glucose the way we do when we consume too much sugar (or foods that break down as such in our bodies).
She said that every time we "spike" we are "taxing" our organs in a way that non-diabetics don't (because their pancreas work properly). She described too much glucose in our blood as being like sandpaper to our blood vessels, and the kidneys have very small blood vessels (which are thus easier to damage than major arteries).
After she explained this to me, and seeing that once in a while I get glucose readings &amp;gt;180 (especially at gatherings where I can only estimate my bolus and tend to take less insulin and correct if needed), I decided to get on them (my blood pressure is usually around 135/85 so I'm not concerned with this dose dropping it too low). 
She also told me to go to the ER immediately if my tongue or lips swell up. I thought about the little blood vessels in my kidneys again and so far it's been a week and no need to rush to the ER, yaay! :/
Anyone else taking an ACE inhibitor for reasons stated above?</t>
        </is>
      </c>
      <c r="D2883" t="n">
        <v>2</v>
      </c>
      <c r="E2883" t="n">
        <v>13</v>
      </c>
      <c r="F2883">
        <f>HYPERLINK("https://www.reddit.com/r/diabetes/comments/5vrpi3/lisinopril_or_ace_inhibitors_to_protect_your/")</f>
        <v/>
      </c>
      <c r="G2883" t="inlineStr">
        <is>
          <t>2017-02-23 09:25:53</t>
        </is>
      </c>
      <c r="H2883" t="inlineStr">
        <is>
          <t>Type 1.5/LADA</t>
        </is>
      </c>
    </row>
    <row r="2884">
      <c r="A2884" t="inlineStr">
        <is>
          <t>5vrsl2</t>
        </is>
      </c>
      <c r="B2884" t="inlineStr">
        <is>
          <t>Obtaining a CGM--looking for advice.</t>
        </is>
      </c>
      <c r="C2884" t="inlineStr">
        <is>
          <t xml:space="preserve">Hey! I've been dx'd T1 for a little over 3 years now, at age 28, a1c of 13.8.  I live in the US.  Long story short, I had my a1c in the 6.5 range within 5 months, and it's been there ever since.  I use multiple daily injections.
Two questions for those of y'all with CGMs--
I'd be interested in getting one for convenience, and even tighter control.  Like everyone else, the 20% accuracy range of traditional meters has afforded me plenty of frustration.  Also, I have a fairly athletic lifestyle (soccer, long distance road biking, weightlifting), and I travel all the time, as a touring musician no less, so my life doesn't exactly lend itself to routine and regularity.  I don't think I have to enumerate the benefits that continuous monitoring would have on my life.  I'm really interested to hear any opinions on how using a CGM has impacted your life.
Question 2, is it true that CGMs are often only prescribed to those with poor control?  This is what my primary care has indicated.  I have an appointment with the endo in about a month to further discuss prescribing me a CGM, but how does the process work, and how do you all get your device/supplies??
Thanks so much.  Love this community.
</t>
        </is>
      </c>
      <c r="D2884" t="n">
        <v>3</v>
      </c>
      <c r="E2884" t="n">
        <v>9</v>
      </c>
      <c r="F2884">
        <f>HYPERLINK("https://www.reddit.com/r/diabetes/comments/5vrsl2/obtaining_a_cgmlooking_for_advice/")</f>
        <v/>
      </c>
      <c r="G2884" t="inlineStr">
        <is>
          <t>2017-02-23 09:39:40</t>
        </is>
      </c>
      <c r="H2884" t="inlineStr">
        <is>
          <t>Type 1</t>
        </is>
      </c>
    </row>
    <row r="2885">
      <c r="A2885" t="inlineStr">
        <is>
          <t>5vsvab</t>
        </is>
      </c>
      <c r="B2885" t="inlineStr">
        <is>
          <t>Lantus only T1. What can I do for good control?</t>
        </is>
      </c>
      <c r="C2885" t="inlineStr">
        <is>
          <t>Got diagnosed very early, before blood sugars landed me in the hospital. Was told im t1 based on weight, symptoms, c peptides, age, etc. controlled with metformin, low carb and exercise for several months before numbers started climbing back to 200s like they told me to expect for LADA.
Started on insulin but only nph. At urging of folks here and my educator, requested a basal and bolus. Controlled pretty well on nph in the meantime by spreading out injections and timing meals at peaks. low doses are working well, hovering around 100 all the time (35 tdd of nph). Doesn't appear to be any insulin resistance? 
Doctor said it would be difficult because of my insurance, which is the free state Healthcare. But he ended up putting me on Lantus. No bolus insulin despite my request. I also asked for my records to change to type 1 instead of type 2, and to see an endo.
I might have access to great Healthcare in a few nonths, but until then what can I do? Is keto my only option?</t>
        </is>
      </c>
      <c r="D2885" t="n">
        <v>2</v>
      </c>
      <c r="E2885" t="n">
        <v>9</v>
      </c>
      <c r="F2885">
        <f>HYPERLINK("https://www.reddit.com/r/diabetes/comments/5vsvab/lantus_only_t1_what_can_i_do_for_good_control/")</f>
        <v/>
      </c>
      <c r="G2885" t="inlineStr">
        <is>
          <t>2017-02-23 12:29:12</t>
        </is>
      </c>
      <c r="H2885" t="inlineStr">
        <is>
          <t>Type 1.5/LADA</t>
        </is>
      </c>
    </row>
    <row r="2886">
      <c r="A2886" t="inlineStr">
        <is>
          <t>5vx85t</t>
        </is>
      </c>
      <c r="B2886" t="inlineStr">
        <is>
          <t>Looking for some more info on B-Cell Regeneration Diet</t>
        </is>
      </c>
      <c r="C2886" t="inlineStr">
        <is>
          <t xml:space="preserve">I would very much like to see a diet plan for this research. Even just meal samples with some extra info. I have one from the article but is a small sample of what I would like.
Can anyone help? </t>
        </is>
      </c>
      <c r="D2886" t="n">
        <v>5</v>
      </c>
      <c r="E2886" t="n">
        <v>4</v>
      </c>
      <c r="F2886">
        <f>HYPERLINK("https://www.reddit.com/r/diabetes/comments/5vx85t/looking_for_some_more_info_on_bcell_regeneration/")</f>
        <v/>
      </c>
      <c r="G2886" t="inlineStr">
        <is>
          <t>2017-02-24 04:37:27</t>
        </is>
      </c>
      <c r="H2886" t="inlineStr">
        <is>
          <t>Type 1</t>
        </is>
      </c>
    </row>
    <row r="2887">
      <c r="A2887" t="inlineStr">
        <is>
          <t>5vxszm</t>
        </is>
      </c>
      <c r="B2887" t="inlineStr">
        <is>
          <t>So. Fasting. How?</t>
        </is>
      </c>
      <c r="C2887" t="inlineStr">
        <is>
          <t>I've been noticing various research articles and media coverage of fasting for autoimmune issues for a while now.  Starting to take it seriously.  Seems like it should be a relatively small effort/risk for a relatively huge potential reward.
So.  As a type 1, how do I go about trying this?
Obviously we all fast overnight, and take basal as usual.  But should the basal change for a 3-to-5 day fast?  Are there any other issues I should be aware of, with multi-day fasting as a T1?
NOTE: currently on a ketogenic diet.</t>
        </is>
      </c>
      <c r="D2887" t="n">
        <v>2</v>
      </c>
      <c r="E2887" t="n">
        <v>26</v>
      </c>
      <c r="F2887">
        <f>HYPERLINK("https://www.reddit.com/r/diabetes/comments/5vxszm/so_fasting_how/")</f>
        <v/>
      </c>
      <c r="G2887" t="inlineStr">
        <is>
          <t>2017-02-24 06:45:08</t>
        </is>
      </c>
      <c r="H2887" t="inlineStr">
        <is>
          <t>Type 1</t>
        </is>
      </c>
    </row>
    <row r="2888">
      <c r="A2888" t="inlineStr">
        <is>
          <t>5w0rg4</t>
        </is>
      </c>
      <c r="B2888" t="inlineStr">
        <is>
          <t>Just received a Dexcom G4. Not sure where to start.</t>
        </is>
      </c>
      <c r="C2888" t="inlineStr">
        <is>
          <t>Hey guys!
So, quick backstory: my uncle was supposed to receive this CGM set but unfortunately he passed away before it was delivered.
My mother asked if I wanted it, of course I said yes.
I haven't had any instruction or anything from the clinic due to the weird way I got it.
Is there like a good step-by-step guide as to how to work these things?  I guess making an appointment at the clinic would be the best way to deal with it, but it'll likely be a while before I can get an appointment.
Any help is really appreciated, thanks guys.</t>
        </is>
      </c>
      <c r="D2888" t="n">
        <v>3</v>
      </c>
      <c r="E2888" t="n">
        <v>9</v>
      </c>
      <c r="F2888">
        <f>HYPERLINK("https://www.reddit.com/r/diabetes/comments/5w0rg4/just_received_a_dexcom_g4_not_sure_where_to_start/")</f>
        <v/>
      </c>
      <c r="G2888" t="inlineStr">
        <is>
          <t>2017-02-24 15:00:26</t>
        </is>
      </c>
      <c r="H2888" t="inlineStr">
        <is>
          <t>Type 1</t>
        </is>
      </c>
    </row>
    <row r="2889">
      <c r="A2889" t="inlineStr">
        <is>
          <t>5w5qg1</t>
        </is>
      </c>
      <c r="B2889" t="inlineStr">
        <is>
          <t>Testing Inaccuracies?</t>
        </is>
      </c>
      <c r="C2889" t="inlineStr">
        <is>
          <t xml:space="preserve">Type 2 here, with pretty tight control. 30 day average on my meter is at 119. 
Diagnosed 2 months ago with a 12.6 A1C.
Resting this AM was at 107, had 3 hardboiled eggs w/out yoke for breakfast. Nothing else between 8-12. 
Test before lunch, and im at 146. Again, no food or water or drink between 8-12, and I spent that entire time playing/walking around with my daughter. 
Was surprised by that result, so I drank a cup of water, tested again. Read 106. 
What is going on? Was going to have an open face sandwich for lunch, which is fine at 106, but not at all at 146.
EDIT: have hardboiled eggs all the time for breakfast, sugars normally don't jump at all and ill stay around 100 for the entire morning.  </t>
        </is>
      </c>
      <c r="D2889" t="n">
        <v>3</v>
      </c>
      <c r="E2889" t="n">
        <v>6</v>
      </c>
      <c r="F2889">
        <f>HYPERLINK("https://www.reddit.com/r/diabetes/comments/5w5qg1/testing_inaccuracies/")</f>
        <v/>
      </c>
      <c r="G2889" t="inlineStr">
        <is>
          <t>2017-02-25 11:16:43</t>
        </is>
      </c>
      <c r="H2889" t="inlineStr">
        <is>
          <t>Type 2</t>
        </is>
      </c>
    </row>
    <row r="2890">
      <c r="A2890" t="inlineStr">
        <is>
          <t>5w93ra</t>
        </is>
      </c>
      <c r="B2890" t="inlineStr">
        <is>
          <t>YOU DONE MESSED UP, A-ARON</t>
        </is>
      </c>
      <c r="C2890" t="inlineStr">
        <is>
          <t>So like, apparently on the way back from Mardi Gras, for reasons which I'm not entirely clear on, drunk me managed to buy, and eat, an entire bag of individually-wrapped Snickers minis, and now my blood sugar is the highest it's been since November :-/ The last reading I took, about an hour and a half ago, was 235 mg/dl, which is about 110 mg/dl more than it normally is at night.
How fucked am I? I realize I really, REALLY fucked up. I'm not sure what the hell I was thinking. I know that usually drinking makes my blood sugar go down, so maybe in my drunken state of mind, "more drinking = lower blood sugar = I WILL HELP BALANCE THINGS OUT BY EATING AN ENTIRE GODDAMN BAG OF INDIVIDUALLY-WRAPPED SNICKERS MINIS!"
I've had low blood sugar a handful of times before and I know what to do in situations like that, but I've never had a high blood sugar situation like this. Can this be helped with just my regular regimen of metformin twice daily and taking my insulin in the morning, and just checking my blood sugar a whole lot more throughout the day?</t>
        </is>
      </c>
      <c r="D2890" t="n">
        <v>5</v>
      </c>
      <c r="E2890" t="n">
        <v>10</v>
      </c>
      <c r="F2890">
        <f>HYPERLINK("https://www.reddit.com/r/diabetes/comments/5w93ra/you_done_messed_up_aaron/")</f>
        <v/>
      </c>
      <c r="G2890" t="inlineStr">
        <is>
          <t>2017-02-25 23:35:23</t>
        </is>
      </c>
      <c r="H2890" t="inlineStr">
        <is>
          <t>Type 2</t>
        </is>
      </c>
    </row>
    <row r="2891">
      <c r="A2891" t="inlineStr">
        <is>
          <t>5wa331</t>
        </is>
      </c>
      <c r="B2891" t="inlineStr">
        <is>
          <t>T2 Diagnosis Review Request</t>
        </is>
      </c>
      <c r="C2891" t="inlineStr">
        <is>
          <t>Hello everyone, 
After being diagnosed T2 last month, I've been reading this forum a great deal and am extremely grateful that this community is so welcoming and supportive.  
I'm an engineer, and when I don't understand something I usually start at the beginning and comprehensively learn everything on the subject. In this instance, it is so daunting because it seems I'll have to learn sooooo much about medicine in order to confidently make my own assessments. Youtube and internet “experts” are prolific, and I have no idea sometimes what is right. (IE keto diet vs low carb vs medical guidelines). 
This forum is refreshing, because I value everyone’s opinions. We’re in this together, and many of you have gone through exactly what I am. In the spirit of that sentiment, I want to thank each and everyone of the readers and posters of this forum. The support of others is how one is able to achieve things greater than their own expectations. 
That said, I read a comment this morning about people who were thin when diagnosed and it got me thinking. I was wondering if I could get some feedback because, like I stated earlier, this is quite out of my realm of expertise. 
29, male, 5’6”,165lb – non active lifestyle. I have typically weighed this amount until early 20s. A few years ago my weight reached 185 ish. I’m a struggling ex-smoker. Last year I quit smoking, but didn’t make any lifestyle or diet changes and my weight went down from 185 ish to 165. It was unexpected, but welcomed and I didn’t think much of it. I started to make a concerted effort to exercise more and wanted to get a physical last December. Something to note, I’ve never had a doctor. No one has monitored my health metrics my entire life. That is why I wanted to get the physical, I’m almost 30 and I’ve never even had bloodwork up to that point. 
My AC1 was 7.2 and i consistently run what i think are high fasting levels right now.I take 500mg metformin once a day. I'm not managing well right now, but i'm getting better. I was having a difficult time this month after a couple weeks of doing well. When i was doing well, the lowest i would have fasting levels of 119, but would typically be around 160. looking at my records, February 2, beginning of when i went off wagon, had a morning fast of 257. I didn't test again until the 13th when it was 270. I'm now back to about 140 in the mornings, with it as low as 123 on the 23rd. 
For the last 12 years or so, I’d typically eat one large meal a day, seldom snacks. I don’t know why, but I don’t like eating breakfast and I don’t mind being hungry. I used to think I was demonstrating my control over my body by not minding feeling hungry. In retrospect, maybe I did that because eating would spike my sugar levels? I do usually get tired after a big meal. No soda, was big on beer for a while but drink scotch now.  Not to be crude, but frequent lose stools my entire life.
Family History:
T2:
Mother – metformin twice a day
Mother’s Sister – Insulin
Father’s Mother – Manages by diet
Father’s Mother’s Mother – Insulin
Mother’s Father’s Mom - Insulin 
T1:
Mother’s Brother – diagnosed around 30
Mother’s Sister – diagnosed as a child pre-teenage years
My father takes insulin, but it is because he survived pancreatic cancer and cannot produce it himself. I'm not sure I'll ever know if he is diabetic or not. 
I sincerely appreciate anyone’s input here. I’m thinking I should get the test to confirm if I was misdiagnosed as t2? I don’t know why I didn’t get bloodwork sooner… I was quite ignorant to this whole thing and I’ll have to own that. I sort of feel like I’ve been experiencing symptoms for years. Night sweats, frequent urination, feeling jittery, tired after eating and maybe even mood swings. Instead of trying to sift through this on my own, I’m hoping to take from yall’s experience. I do want to say i'm unfamiliar with reddit, so bear with me if there is some etiquette i'm not familiar with. I'll try my best to avoid any faux pas, but please just let me know if i do.
Thank you again, 
Edit* Formatting+test information</t>
        </is>
      </c>
      <c r="D2891" t="n">
        <v>6</v>
      </c>
      <c r="E2891" t="n">
        <v>28</v>
      </c>
      <c r="F2891">
        <f>HYPERLINK("https://www.reddit.com/r/diabetes/comments/5wa331/t2_diagnosis_review_request/")</f>
        <v/>
      </c>
      <c r="G2891" t="inlineStr">
        <is>
          <t>2017-02-26 05:28:57</t>
        </is>
      </c>
      <c r="H2891" t="inlineStr">
        <is>
          <t>Type 2</t>
        </is>
      </c>
    </row>
    <row r="2892">
      <c r="A2892" t="inlineStr">
        <is>
          <t>5wh2sc</t>
        </is>
      </c>
      <c r="B2892" t="inlineStr">
        <is>
          <t>2 Unit Test &amp;amp; Correct Carb Counting Questions</t>
        </is>
      </c>
      <c r="C2892" t="inlineStr">
        <is>
          <t>So as you can see from my flair i have just been diagnosed as a Type 1 diabetic and in the past week and a bit i have switched from set units of insulin to carb counting but i was wondering if someone could clarify somethings for me. Firstly is it neccessary to do a 2 unit test before injecting?, i'm only asking because i have to do it four times a day and it just seems like a huge waste of insulin. Secondly when i have a meal and it came to 75 carbs why would i give myself 8 units instead of 7 units?, that 5 is under the 10 grams so i shouldn't have to give an extra unit right?</t>
        </is>
      </c>
      <c r="D2892" t="n">
        <v>2</v>
      </c>
      <c r="E2892" t="n">
        <v>10</v>
      </c>
      <c r="F2892">
        <f>HYPERLINK("https://www.reddit.com/r/diabetes/comments/5wh2sc/2_unit_test_correct_carb_counting_questions/")</f>
        <v/>
      </c>
      <c r="G2892" t="inlineStr">
        <is>
          <t>2017-02-27 06:43:28</t>
        </is>
      </c>
      <c r="H2892" t="inlineStr">
        <is>
          <t>Type 1</t>
        </is>
      </c>
    </row>
    <row r="2893">
      <c r="A2893" t="inlineStr">
        <is>
          <t>5wj5bp</t>
        </is>
      </c>
      <c r="B2893" t="inlineStr">
        <is>
          <t>GF just diagnosed as type 2. I do most of the cooking. Where should I start?</t>
        </is>
      </c>
      <c r="C2893" t="inlineStr">
        <is>
          <t>I generally cook healthy meals that I think will be fine but when she's not eating my food she's eating junk. I'm gonna have to start cooking more to stop her.</t>
        </is>
      </c>
      <c r="D2893" t="n">
        <v>6</v>
      </c>
      <c r="E2893" t="n">
        <v>10</v>
      </c>
      <c r="F2893">
        <f>HYPERLINK("https://www.reddit.com/r/diabetes/comments/5wj5bp/gf_just_diagnosed_as_type_2_i_do_most_of_the/")</f>
        <v/>
      </c>
      <c r="G2893" t="inlineStr">
        <is>
          <t>2017-02-27 12:25:11</t>
        </is>
      </c>
      <c r="H2893" t="inlineStr">
        <is>
          <t>Type 2</t>
        </is>
      </c>
    </row>
    <row r="2894">
      <c r="A2894" t="inlineStr">
        <is>
          <t>5wje19</t>
        </is>
      </c>
      <c r="B2894" t="inlineStr">
        <is>
          <t>Intervention study of ketogenic diet vs low fat diet on type 2 diabetes</t>
        </is>
      </c>
      <c r="C2894" t="inlineStr">
        <is>
          <t xml:space="preserve">New intervention study showing that a ketogenic diet is superior to other diets in the treatment of type 2 diabetes:
http://www.jmir.org/2017/2/e36/
</t>
        </is>
      </c>
      <c r="D2894" t="n">
        <v>8</v>
      </c>
      <c r="E2894" t="n">
        <v>9</v>
      </c>
      <c r="F2894">
        <f>HYPERLINK("https://www.reddit.com/r/diabetes/comments/5wje19/intervention_study_of_ketogenic_diet_vs_low_fat/")</f>
        <v/>
      </c>
      <c r="G2894" t="inlineStr">
        <is>
          <t>2017-02-27 13:03:23</t>
        </is>
      </c>
      <c r="H2894" t="inlineStr">
        <is>
          <t>Type 2</t>
        </is>
      </c>
    </row>
    <row r="2895">
      <c r="A2895" t="inlineStr">
        <is>
          <t>5wkhlt</t>
        </is>
      </c>
      <c r="B2895" t="inlineStr">
        <is>
          <t>T2 wants to get SWOLE</t>
        </is>
      </c>
      <c r="C2895" t="inlineStr">
        <is>
          <t>Well, not so much that, but I am trying to get back in shape after letting myself get too squishy.  I used to be a cross country runner as a kid, so I'm trying to get my groove back on that front and also get my upper body to the point where I can do pullups from a hanging start without cheating.  I also wanted to get my A1C down with regular calorie burning.  So I hit the gym and started 45-minute 140BPM cardio Sunday-Friday with a resistance circuit as a MWF thing, and after a few months I'm definitely better than I was, but not progressing as well as I'd like.
Is Wilford Brimley sabotaging my workouts?  I've read that insulin is a factor in muscle growth, but haven't found anything very specific about diabetics and exercise.  I'm hoping that an exercise nut or two are lurking here and can throw some words of wisdom.
[Edit to clarify after CrackSammiches' great reply: I'm right around 200 pounds and don't care about the number on the scale, I just want it to be a number based more on muscle and less on the bike tire around my middle.  My focus isn't on altering my weight so much as decreasing my fat percentage, improving strength and endurance, and making my amazing new muscles burn the glucose so I can keep eating the same stuff while maintaining a lower A1C.]</t>
        </is>
      </c>
      <c r="D2895" t="n">
        <v>2</v>
      </c>
      <c r="E2895" t="n">
        <v>8</v>
      </c>
      <c r="F2895">
        <f>HYPERLINK("https://www.reddit.com/r/diabetes/comments/5wkhlt/t2_wants_to_get_swole/")</f>
        <v/>
      </c>
      <c r="G2895" t="inlineStr">
        <is>
          <t>2017-02-27 16:01:32</t>
        </is>
      </c>
      <c r="H2895" t="inlineStr">
        <is>
          <t>Type 2</t>
        </is>
      </c>
    </row>
    <row r="2896">
      <c r="A2896" t="inlineStr">
        <is>
          <t>5wnnl2</t>
        </is>
      </c>
      <c r="B2896" t="inlineStr">
        <is>
          <t>6 Months with Freestyle Libre HbA1c gone rom 7.6 to 6.7</t>
        </is>
      </c>
      <c r="C2896" t="inlineStr">
        <is>
          <t>or in new money from 60 to 50
Just wanted to share my success, I'm still not 100% happy with things as trying to deal with the dawn phenomenon but the diabetic nurse and doctor are very happy. The double edged sword is because that number is now so good I've not no chance of getting a pump to help with the dawn issue :(
Anyway I'm chuffed and if a 40 something who's been diabetic for 20+ years can do this there is hope for everyone, I don't think I would have managed it though without using the Libre</t>
        </is>
      </c>
      <c r="D2896" t="n">
        <v>5</v>
      </c>
      <c r="E2896" t="n">
        <v>14</v>
      </c>
      <c r="F2896">
        <f>HYPERLINK("https://www.reddit.com/r/diabetes/comments/5wnnl2/6_months_with_freestyle_libre_hba1c_gone_rom_76/")</f>
        <v/>
      </c>
      <c r="G2896" t="inlineStr">
        <is>
          <t>2017-02-28 04:16:50</t>
        </is>
      </c>
      <c r="H2896" t="inlineStr">
        <is>
          <t>Type 1</t>
        </is>
      </c>
    </row>
    <row r="2897">
      <c r="A2897" t="inlineStr">
        <is>
          <t>5wnr5h</t>
        </is>
      </c>
      <c r="B2897" t="inlineStr">
        <is>
          <t>Large Drop in the Middle of the Night</t>
        </is>
      </c>
      <c r="C2897" t="inlineStr">
        <is>
          <t>Hello everyone. My girlfriend is a type 1 diabetic and was diagnosed 11 years ago. About a month ago she was switched to Tresiba as her long lasting and it has helped to keep things steady, including at night. She takes Humalog as her rapid acting insulin. Normally at night time she takes her Humalog after our meal long enough before bed (2 1/2 hours) so that she can check her blood sugar before bed and be comfortable. Lastnight around 9pm she took her Humalog. Around 1am (3 hours) she checked her blood sugar and it was 193, so we were confident that she would be perfectly fine. Well it's now 7:38am and she just woke up to test her blood sugar and it was 53. By now it's been over 10 hours since she took her Humalog. Could something else have caused this sudden drop? This never really happens and it certainly scared me. She corrected it with half an ice cream sandwich and a LJS hush puppy and went back to bed. I can't sleep though because I'm worried about her. She thinks it may be caused from stress/anxiety because she had a really big job interview today and won't find out until the end of the week, but from what I read online, anxiety is irrelevant to blood sugar. Is this true? Does anyone have an idea as to what's going on? I love her so much and am worried sick about her.</t>
        </is>
      </c>
      <c r="D2897" t="n">
        <v>9</v>
      </c>
      <c r="E2897" t="n">
        <v>11</v>
      </c>
      <c r="F2897">
        <f>HYPERLINK("https://www.reddit.com/r/diabetes/comments/5wnr5h/large_drop_in_the_middle_of_the_night/")</f>
        <v/>
      </c>
      <c r="G2897" t="inlineStr">
        <is>
          <t>2017-02-28 04:41:53</t>
        </is>
      </c>
      <c r="H2897" t="inlineStr">
        <is>
          <t>Type 1</t>
        </is>
      </c>
    </row>
    <row r="2898">
      <c r="A2898" t="inlineStr">
        <is>
          <t>5wpziz</t>
        </is>
      </c>
      <c r="B2898" t="inlineStr">
        <is>
          <t>Type 2 diabetic stops meds</t>
        </is>
      </c>
      <c r="C2898" t="inlineStr">
        <is>
          <t>My father has been a type 2 diabetic for nearly 20 years. He was on metformin and insulin shots twice a day. His diabetes was never under control, as he has been slowly loosing his vision, and feeling in his hands and feet. About 2 years ago, he stopped taking the metformin and the insulin. He does not watch what he eats.
Over the last 12 months he has been more tired than normal and markedly weaker. He is tired or sleeps a lot. It has gotten worse over the past few months. The past few days he has been very cold, to the point my mom put a heating blanket on him. We live in Florida, so it's not cold.
I've read about diabetic ketoacidosis and am thinking that is what is going on but I thought this all would have happened sooner. Can a type 2 on shots go without the insulin shots for 2 years and still be alive?
TIA</t>
        </is>
      </c>
      <c r="D2898" t="n">
        <v>2</v>
      </c>
      <c r="E2898" t="n">
        <v>7</v>
      </c>
      <c r="F2898">
        <f>HYPERLINK("https://www.reddit.com/r/diabetes/comments/5wpziz/type_2_diabetic_stops_meds/")</f>
        <v/>
      </c>
      <c r="G2898" t="inlineStr">
        <is>
          <t>2017-02-28 11:39:22</t>
        </is>
      </c>
      <c r="H2898" t="inlineStr">
        <is>
          <t>Type 2</t>
        </is>
      </c>
    </row>
    <row r="2899">
      <c r="A2899" t="inlineStr">
        <is>
          <t>5wsh9x</t>
        </is>
      </c>
      <c r="B2899" t="inlineStr">
        <is>
          <t>Is There any Relation between HIV and Diabetes?</t>
        </is>
      </c>
      <c r="C2899" t="inlineStr">
        <is>
          <t>For people who have HIV or AIDS, some of the medication used can cause spikes in blood sugar. This will lead to an increased risk of developing type 2 diabetes. You should be more concerned if you are also overweight, have a family history of diabetes, or do not have consistent physical activity or exercise.
http://www.diabetesgenetic.com/the-relation-of-hiv-and-diabetes</t>
        </is>
      </c>
      <c r="D2899" t="n">
        <v>0</v>
      </c>
      <c r="E2899" t="n">
        <v>3</v>
      </c>
      <c r="F2899">
        <f>HYPERLINK("https://www.reddit.com/r/diabetes/comments/5wsh9x/is_there_any_relation_between_hiv_and_diabetes/")</f>
        <v/>
      </c>
      <c r="G2899" t="inlineStr">
        <is>
          <t>2017-02-28 18:34:43</t>
        </is>
      </c>
      <c r="H2899" t="inlineStr">
        <is>
          <t>Type 2</t>
        </is>
      </c>
    </row>
    <row r="2900">
      <c r="A2900" t="inlineStr">
        <is>
          <t>5wvh6p</t>
        </is>
      </c>
      <c r="B2900" t="inlineStr">
        <is>
          <t>Are these vitamins and supplements safe to T1s?</t>
        </is>
      </c>
      <c r="C2900" t="inlineStr">
        <is>
          <t>https://www.amazon.co.uk/gp/product/B01IFGDNVS/ref=oh_aui_detailpage_o00_s00?ie=UTF8&amp;amp;psc=1
https://www.amazon.co.uk/gp/product/B005P0WGNE/ref=oh_aui_detailpage_o00_s00?ie=UTF8&amp;amp;psc=1
Is there any reason a T1 Diabetic shouldn't take these? Can't see anything on the page.
Thanks</t>
        </is>
      </c>
      <c r="D2900" t="n">
        <v>1</v>
      </c>
      <c r="E2900" t="n">
        <v>5</v>
      </c>
      <c r="F2900">
        <f>HYPERLINK("https://www.reddit.com/r/diabetes/comments/5wvh6p/are_these_vitamins_and_supplements_safe_to_t1s/")</f>
        <v/>
      </c>
      <c r="G2900" t="inlineStr">
        <is>
          <t>2017-03-01 04:39:03</t>
        </is>
      </c>
      <c r="H2900" t="inlineStr">
        <is>
          <t>Type 1</t>
        </is>
      </c>
    </row>
    <row r="2901">
      <c r="A2901" t="inlineStr">
        <is>
          <t>5wwz1v</t>
        </is>
      </c>
      <c r="B2901" t="inlineStr">
        <is>
          <t>Alternatives for Lantus</t>
        </is>
      </c>
      <c r="C2901" t="inlineStr">
        <is>
          <t xml:space="preserve">My health insurance provider stopped covering Lantus, which I've been using for years.  The Pharmacy will contact my doctor to provide an alternate slow acting insulin.  Any ideas what I'll end up with?  </t>
        </is>
      </c>
      <c r="D2901" t="n">
        <v>2</v>
      </c>
      <c r="E2901" t="n">
        <v>13</v>
      </c>
      <c r="F2901">
        <f>HYPERLINK("https://www.reddit.com/r/diabetes/comments/5wwz1v/alternatives_for_lantus/")</f>
        <v/>
      </c>
      <c r="G2901" t="inlineStr">
        <is>
          <t>2017-03-01 08:30:57</t>
        </is>
      </c>
      <c r="H2901" t="inlineStr">
        <is>
          <t>Type 1</t>
        </is>
      </c>
    </row>
    <row r="2902">
      <c r="A2902" t="inlineStr">
        <is>
          <t>5wx3cp</t>
        </is>
      </c>
      <c r="B2902" t="inlineStr">
        <is>
          <t>T1: CGM Question / Concern</t>
        </is>
      </c>
      <c r="C2902" t="inlineStr">
        <is>
          <t>Hey all, I was diagnosed with T1 about 2 and a half years ago at 24. I have been incredibly fortunate and have had a long, long honeymoon period until about 6 months ago.  Over the past 6 months I have had to start truly counting carbs, taking shots before every meal, etc, you all know the drill.  
My question is this.  My endo wants me to get a CGM, but I am concerned about how it will mesh my everyday life.  I'm incredibly active, playing sports and / or lifting weights most days of the week. Will I have to remove the sensor any time I exercise?  If that is the case, is there any real point in the sensor? I also have very little body fat, am I crazy for thinking the sensor is going to impede my natural body mechanics?  Just looking for some stories / feedback for guidance because I'm gun-shy / anxious about this next step in the process.  
Thanks</t>
        </is>
      </c>
      <c r="D2902" t="n">
        <v>3</v>
      </c>
      <c r="E2902" t="n">
        <v>9</v>
      </c>
      <c r="F2902">
        <f>HYPERLINK("https://www.reddit.com/r/diabetes/comments/5wx3cp/t1_cgm_question_concern/")</f>
        <v/>
      </c>
      <c r="G2902" t="inlineStr">
        <is>
          <t>2017-03-01 08:49:16</t>
        </is>
      </c>
      <c r="H2902" t="inlineStr">
        <is>
          <t>Type 1.5/LADA</t>
        </is>
      </c>
    </row>
    <row r="2903">
      <c r="A2903" t="inlineStr">
        <is>
          <t>5wz1aa</t>
        </is>
      </c>
      <c r="B2903" t="inlineStr">
        <is>
          <t>T1D travelling</t>
        </is>
      </c>
      <c r="C2903" t="inlineStr">
        <is>
          <t>Hi all,
Travelling in Glasgow UK at the moment. Here for work. Due to some flight delays I grabbed the wrong vial of insulin and have 3-5 days left of supplies before I run out. Will be here until Friday, Paris for the weekend and then Madrid next week, returning home to Canada after that. I take novorapid. Any ideas for how to get insulin?
Was at the pharmacy, called 111 and the hospital today and they kept giving me the run around sending me to other places. Totally lost at this point. Thanks!!!
Update - Everything resolved. Went to a bigger hospital here and they were able to fix me up. Thank you all!</t>
        </is>
      </c>
      <c r="D2903" t="n">
        <v>13</v>
      </c>
      <c r="E2903" t="n">
        <v>9</v>
      </c>
      <c r="F2903">
        <f>HYPERLINK("https://www.reddit.com/r/diabetes/comments/5wz1aa/t1d_travelling/")</f>
        <v/>
      </c>
      <c r="G2903" t="inlineStr">
        <is>
          <t>2017-03-01 13:54:00</t>
        </is>
      </c>
      <c r="H2903" t="inlineStr">
        <is>
          <t>Type 1</t>
        </is>
      </c>
    </row>
    <row r="2904">
      <c r="A2904" t="inlineStr">
        <is>
          <t>5wzcim</t>
        </is>
      </c>
      <c r="B2904" t="inlineStr">
        <is>
          <t>Diabetes Excel Spreadsheet Project</t>
        </is>
      </c>
      <c r="C2904" t="inlineStr">
        <is>
          <t>Hi, I'm 22 and've had T1DM since 7 years. I've been on a ketogenic diet for the past 5 years, ultra strict for the past 1.5. I meticulously and religiously record all food in carbohydrate/protein/fat, values, times, insulin, corrections, and miscellaneous in table in a LaTeX document, i.e., end product is a .pdf file. I'd like to make a spreadsheet, since it'd have more functionality than just recording. With the kind of wealth of data available, I'm certain exact values for the IU insulin to grams carb can be extrapolated for the different times of the day, as well as deviations for, say, when sick or in ultra hot weather; along with expected HbA1c (which may have a correction factor coming from the actual values over the past months). This could be of great help to novices with diabetes or to people who have enough data to support accurate extrapolation. Tens of so-called apps exist, that do more or less the same thing (theirs is much easier since there are much more values, hence more accurate), however, not everybody has/wants in insulin pump/continuous glucose monitor; and the ones using manual entry are more tedious than using latex or a spreadsheet.
Last time I looked for diabetes-related spreadsheets I only found amateurishly made logbooks. If anybody has
* experience with such apps (or statistics) and knows what kinds of formulas would be used for extrapolation;
* has ideas for improvement of the spreadsheet, or ideas in general;
* a working example for one and hasn't already shared
*   *left empty on purpose*,
then please, reply.</t>
        </is>
      </c>
      <c r="D2904" t="n">
        <v>10</v>
      </c>
      <c r="E2904" t="n">
        <v>2</v>
      </c>
      <c r="F2904">
        <f>HYPERLINK("https://www.reddit.com/r/diabetes/comments/5wzcim/diabetes_excel_spreadsheet_project/")</f>
        <v/>
      </c>
      <c r="G2904" t="inlineStr">
        <is>
          <t>2017-03-01 14:46:35</t>
        </is>
      </c>
      <c r="H2904" t="inlineStr">
        <is>
          <t>Type 1</t>
        </is>
      </c>
    </row>
    <row r="2905">
      <c r="A2905" t="inlineStr">
        <is>
          <t>5x0dsj</t>
        </is>
      </c>
      <c r="B2905" t="inlineStr">
        <is>
          <t>Insulin pen - do I really have to safety test every single time?</t>
        </is>
      </c>
      <c r="C2905" t="inlineStr">
        <is>
          <t>I just started on insulin pens for the first time. I'm using the Lantus Solostar pen, and it instructs me to do a safety test before each injection, and to set the dose to 2 units each time and test that it comes out correctly.
But...that wastes 2 units every time! And I'm taking a half dose twice a day. Should I really bother?
Thank you for any help!</t>
        </is>
      </c>
      <c r="D2905" t="n">
        <v>7</v>
      </c>
      <c r="E2905" t="n">
        <v>38</v>
      </c>
      <c r="F2905">
        <f>HYPERLINK("https://www.reddit.com/r/diabetes/comments/5x0dsj/insulin_pen_do_i_really_have_to_safety_test_every/")</f>
        <v/>
      </c>
      <c r="G2905" t="inlineStr">
        <is>
          <t>2017-03-01 17:50:54</t>
        </is>
      </c>
      <c r="H2905" t="inlineStr">
        <is>
          <t>Type 1.5/LADA</t>
        </is>
      </c>
    </row>
    <row r="2906">
      <c r="A2906" t="inlineStr">
        <is>
          <t>5x264x</t>
        </is>
      </c>
      <c r="B2906" t="inlineStr">
        <is>
          <t>Continuing to drop????</t>
        </is>
      </c>
      <c r="C2906" t="inlineStr">
        <is>
          <t>Hey guys, type 1. I need some help here cuz it's almost 3 am and I'm a little nervous. I don't like to go to bed unless I'm at least 225, cuz I drop at night. Well. I went to check my numbers before bed and I was 175. So I thought a can of coke should do alright. Check again 20 min later. 150. Have some skittles. Check again 140. Have some glucose tabs, 120. I keep dropping and I'm taking all these carbs and nothing is seeming to help. Any suggestions?</t>
        </is>
      </c>
      <c r="D2906" t="n">
        <v>9</v>
      </c>
      <c r="E2906" t="n">
        <v>7</v>
      </c>
      <c r="F2906">
        <f>HYPERLINK("https://www.reddit.com/r/diabetes/comments/5x264x/continuing_to_drop/")</f>
        <v/>
      </c>
      <c r="G2906" t="inlineStr">
        <is>
          <t>2017-03-02 00:46:12</t>
        </is>
      </c>
      <c r="H2906" t="inlineStr">
        <is>
          <t>Type 1</t>
        </is>
      </c>
    </row>
    <row r="2907">
      <c r="A2907" t="inlineStr">
        <is>
          <t>5x29oo</t>
        </is>
      </c>
      <c r="B2907" t="inlineStr">
        <is>
          <t>[T1] I have no idea how to help my brother.</t>
        </is>
      </c>
      <c r="C2907" t="inlineStr">
        <is>
          <t>I posted on here about a year back about how my then 17, now 18 year old brother was having a hard time with being diagnosed and didn't want to take care of himself. 
Things since then have been a Rollercoaster of him being okay for a week and then him being sick and winding up in the hospital. He has been kept in ICU four times in the past two months. 
I give him his insulin every time I'm avaliable to do so but with work he's home a lot by his self and I can't control what/when he eats. He'll eat something and then later lie about eating it and I'm 100% sure he doesn't take his shots when I'm not around to supervise him. 
I don't know how much more of this I am mentally able to take, I watched my grandfather slowly kill himself via alcoholism and I feel like this is the same thing happening with him. He doesn't seem to grasp that he will die if he doesn't do what he is supposed to do and I am not prepared to watch my little brother kill himself over something that can be treated with medicines. 
I've tried everything I can to show this kid that I love him and do not want anything to happen to him and he just pushes it aside and acts like he has anybody that cares for him. 
What can I do? I really don't want to resort to having him admitted to a home at 18 years old but I'm at my breaking point and don't know what options I have at this point.</t>
        </is>
      </c>
      <c r="D2907" t="n">
        <v>8</v>
      </c>
      <c r="E2907" t="n">
        <v>19</v>
      </c>
      <c r="F2907">
        <f>HYPERLINK("https://www.reddit.com/r/diabetes/comments/5x29oo/t1_i_have_no_idea_how_to_help_my_brother/")</f>
        <v/>
      </c>
      <c r="G2907" t="inlineStr">
        <is>
          <t>2017-03-02 01:16:57</t>
        </is>
      </c>
      <c r="H2907" t="inlineStr">
        <is>
          <t>Type 1</t>
        </is>
      </c>
    </row>
    <row r="2908">
      <c r="A2908" t="inlineStr">
        <is>
          <t>5x3f1y</t>
        </is>
      </c>
      <c r="B2908" t="inlineStr">
        <is>
          <t>[T2] Recently diagnosed Type II having a weird blood sugar day, just wanted some reassurance.</t>
        </is>
      </c>
      <c r="C2908" t="inlineStr">
        <is>
          <t>I have in the last month gotten better control of my Type II diabetes.  Last night I went to bed with 135 mg/dl two hours after eating.  This morning it was 138 (looking at my data for the last two weeks I have been around 100-105 mg/dl in the morning).  It seems like my blood sugar level just won't go down today.  I feel a little stressed work meeting with boss and lot on plate and my girlfriend found out today that she was denied a visa to visit the county so does emotional state and stress really effect blood sugar that much?  Does anyone else just have wonky blood sugar days?  I am worried because after breakfast I was getting readings in the 150's which isn't normal for this breakfast usually after two hours I am in the 120's.  Sorry if this post doesn't belong here just freaking out.</t>
        </is>
      </c>
      <c r="D2908" t="n">
        <v>7</v>
      </c>
      <c r="E2908" t="n">
        <v>10</v>
      </c>
      <c r="F2908">
        <f>HYPERLINK("https://www.reddit.com/r/diabetes/comments/5x3f1y/t2_recently_diagnosed_type_ii_having_a_weird/")</f>
        <v/>
      </c>
      <c r="G2908" t="inlineStr">
        <is>
          <t>2017-03-02 06:15:08</t>
        </is>
      </c>
      <c r="H2908" t="inlineStr">
        <is>
          <t>Type 2</t>
        </is>
      </c>
    </row>
    <row r="2909">
      <c r="A2909" t="inlineStr">
        <is>
          <t>5xa9f2</t>
        </is>
      </c>
      <c r="B2909" t="inlineStr">
        <is>
          <t>Fast acting insulin appears to be not so fast? Help please!</t>
        </is>
      </c>
      <c r="C2909" t="inlineStr">
        <is>
          <t>Hi folks. I'm having some issues recently where my Novorapid doses seem to take 2-3 hours to start to kick in. My bloods end up hitting 12-13 mmol before coming back down. 
I've tried using different injection sites, injecting up to 30 minutes before eating but the result seems to be the same every time. 
Any ideas? I'm struggling to keep things stable at the moment. I've been having a lot of night time lows as well, so think there's some work to be done regarding my basal (I always used to take around 40 units before bed every day and was fine, but since using a freestyle libre and trying to take better control of my bloods this sends me hypo in the night/mornings. It's now down to 25 and still causing me to go low in the night, but seems to stay stable once I've got it back up.. So long as I don't eat anything else)
Many thanks in advance for any help, I'm struggling quite a bit and haven't managed to be referred to the diabetic team here yet, but will pursue this with my GP.</t>
        </is>
      </c>
      <c r="D2909" t="n">
        <v>2</v>
      </c>
      <c r="E2909" t="n">
        <v>19</v>
      </c>
      <c r="F2909">
        <f>HYPERLINK("https://www.reddit.com/r/diabetes/comments/5xa9f2/fast_acting_insulin_appears_to_be_not_so_fast/")</f>
        <v/>
      </c>
      <c r="G2909" t="inlineStr">
        <is>
          <t>2017-03-03 05:14:08</t>
        </is>
      </c>
      <c r="H2909" t="inlineStr">
        <is>
          <t>Type 1</t>
        </is>
      </c>
    </row>
    <row r="2910">
      <c r="A2910" t="inlineStr">
        <is>
          <t>5xceqk</t>
        </is>
      </c>
      <c r="B2910" t="inlineStr">
        <is>
          <t>First Glocose Meter Readings</t>
        </is>
      </c>
      <c r="C2910" t="inlineStr">
        <is>
          <t xml:space="preserve">Hi everyone,
I posted last week after getting my T2 diagnosis (9.8 A1C).  I just got my testing meter this morning and used it for the first time before and after lunch.
Some background:  I am sick with a cold, am incredibly stressed out with other things, and I'm on my period.  I have no idea how these things might impact my sugars.
My doctor has me on Metformin 500mg tablets and I am currently up to 2 per day, but she wants me ramping up to 4 per day.  She also expects that I will need to do insulin for awhile to get my blood sugar down and said we would discuss it next week.  
She said she expected my fasting blood sugar to be about 180 so to expect that.
But...  I tested before lunch (about three hours after breakfast) and got 80, and 2 hours after lunch and got 117.  
I'm confused.  Isn't that...  normal?  Does this mean something is wrong with my meter?  </t>
        </is>
      </c>
      <c r="D2910" t="n">
        <v>3</v>
      </c>
      <c r="E2910" t="n">
        <v>10</v>
      </c>
      <c r="F2910">
        <f>HYPERLINK("https://www.reddit.com/r/diabetes/comments/5xceqk/first_glocose_meter_readings/")</f>
        <v/>
      </c>
      <c r="G2910" t="inlineStr">
        <is>
          <t>2017-03-03 11:25:42</t>
        </is>
      </c>
      <c r="H2910" t="inlineStr">
        <is>
          <t>Type 2</t>
        </is>
      </c>
    </row>
    <row r="2911">
      <c r="A2911" t="inlineStr">
        <is>
          <t>5xdjqc</t>
        </is>
      </c>
      <c r="B2911" t="inlineStr">
        <is>
          <t>What is the name of the new T2 medicine with the following characteristics?</t>
        </is>
      </c>
      <c r="C2911" t="inlineStr">
        <is>
          <t xml:space="preserve">• One pill a day
• New
• Insurance pays well
• Makes you lose weight
• Makes sugar go out in the urine
My uncle is on it but doesn't remember the name and won't be home until tomorrow. I'm wanting to know now so I can read up on it. He's almost off his insulin and lost from 210 to 180 without trying and his A1C is 6, where it was much higher. It sound great and I hope it works out for me. </t>
        </is>
      </c>
      <c r="D2911" t="n">
        <v>8</v>
      </c>
      <c r="E2911" t="n">
        <v>10</v>
      </c>
      <c r="F2911">
        <f>HYPERLINK("https://www.reddit.com/r/diabetes/comments/5xdjqc/what_is_the_name_of_the_new_t2_medicine_with_the/")</f>
        <v/>
      </c>
      <c r="G2911" t="inlineStr">
        <is>
          <t>2017-03-03 14:35:52</t>
        </is>
      </c>
      <c r="H2911" t="inlineStr">
        <is>
          <t>Type 2</t>
        </is>
      </c>
    </row>
    <row r="2912">
      <c r="A2912" t="inlineStr">
        <is>
          <t>5xdwqw</t>
        </is>
      </c>
      <c r="B2912" t="inlineStr">
        <is>
          <t>Thinking of trying Keto</t>
        </is>
      </c>
      <c r="C2912" t="inlineStr">
        <is>
          <t>So i'm a T1, have been for about a decade now i guess. I'm on Novorapid and Levemir pens. My last HbA1c wasn't great but i'm hoping my next one will improve a fair bit since i started on Freestyle Libre (highly recommend for anyone who can't get access to a cgm btw)  
I'm also fairly obese and i wouldn't mind losing a bit of weight. I hear some people here have had great success with Keto, both for losing weight and getting better control of their sugars, so i've been thinking of giving it a go myself. My current plan is to just try it out for a month at first and see how that goes.  
Does anyone out there have any recommendations? I think i have a lot of the theory down and reddit looks like it's going to be a great resource for recipes and such, but i would really like to hear from someone who has successfully tried it and what they wish they were told before they started.  
I would also love to hear from someone who tired it and it didn't work out for them. It's always good to hear both sides to try and avoid confirmation bias :)  
My biggest concern is what to do with lows. My understanding of keto is that it is pretty much all or nothing. If you go over a certain level of carbs you body switches from fat burning mode to carb burning, and all the fat that was going to be fuel gets put into storage. Right now, 5 or 6 lows a week is kindof average. Any advice?  
I would also like some advice on how i should adjust my insulin to begin with? I guess my carb intake will be way down so i should cut my insulin down to almost nothing to begin with and ramp it up to deal with the highs? Does anyone have any advice?</t>
        </is>
      </c>
      <c r="D2912" t="n">
        <v>5</v>
      </c>
      <c r="E2912" t="n">
        <v>11</v>
      </c>
      <c r="F2912">
        <f>HYPERLINK("https://www.reddit.com/r/diabetes/comments/5xdwqw/thinking_of_trying_keto/")</f>
        <v/>
      </c>
      <c r="G2912" t="inlineStr">
        <is>
          <t>2017-03-03 15:42:58</t>
        </is>
      </c>
      <c r="H2912" t="inlineStr">
        <is>
          <t>Type 1</t>
        </is>
      </c>
    </row>
    <row r="2913">
      <c r="A2913" t="inlineStr">
        <is>
          <t>5xdyaw</t>
        </is>
      </c>
      <c r="B2913" t="inlineStr">
        <is>
          <t>30 days in and I'm almost down to my goal!</t>
        </is>
      </c>
      <c r="C2913" t="inlineStr">
        <is>
          <t xml:space="preserve">My fasting BG was 128 this morning, down from over 300 on the day of my diagnosis 4 weeks ago. The goal I have been given is to get it between 80-120 and I legit danced around the bathroom with my glucose meter when I saw how close I was to being "in the zone".
I'm really excited and proud of how hard I've worked to get my shit together over the past month and I wanted to tell someone who would understand why I am happy. :) 
I'm currently on 24u Levemir at night and 500g Metformin 2x a day, one at breakfast and one at dinner.
Is it a reasonable to set a goal for myself to be able to start reducing my insulin needs within the next 6-12 months? I plan to maintain my low carb diet and I have set a goal of being able to finish a 5k run by the anniversary of my diagnosis so it's not like I'm gonna go back to eating an entire box of Girl Scout cookies in one sitting again or anything like that.
I also would like to thank this community for the wonderful support. I was fucking terrified a month ago and y'all have been so nice. Thank you! </t>
        </is>
      </c>
      <c r="D2913" t="n">
        <v>14</v>
      </c>
      <c r="E2913" t="n">
        <v>7</v>
      </c>
      <c r="F2913">
        <f>HYPERLINK("https://www.reddit.com/r/diabetes/comments/5xdyaw/30_days_in_and_im_almost_down_to_my_goal/")</f>
        <v/>
      </c>
      <c r="G2913" t="inlineStr">
        <is>
          <t>2017-03-03 15:51:17</t>
        </is>
      </c>
      <c r="H2913" t="inlineStr">
        <is>
          <t>Type 2</t>
        </is>
      </c>
    </row>
    <row r="2914">
      <c r="A2914" t="inlineStr">
        <is>
          <t>5xf7ev</t>
        </is>
      </c>
      <c r="B2914" t="inlineStr">
        <is>
          <t>My girlfriend says it's unnatural how hard it is to wake me up.</t>
        </is>
      </c>
      <c r="C2914" t="inlineStr">
        <is>
          <t>Ok first off I'm talking about times where my blood sugar is fine in the morning.(100-160) Anyways she thinks there's something more to how long it will take me to wake up. I set two different alarm clocks and about 15 alarms on my phone every night to get up for class or work the next day. Often times I'll wake up hours later and have no recollection of getting up and turning off my alarms. Many times my dad will wake me up and have full conversations with me and I'll have no recollection we ever talked. Basically I'm just wondering if there's something that could be diabetic related for why waking up in the morning is such a struggle. Any advice would be appreciated other than saying I should exercise more or somthing like that. 
Edit- thank you for all the responses. Haven't had any time to respond to any yet but I really appreciate thr advice. I will be talking about it with my endo soon. Thanks. 
Edit2: Sorry its taken me two days to read the comments, i started reading a few when i first posted and i was getting a little nervious since i was hoping i was just being dumb or something. 
TLR: Didnt want to read the comments cuz i didnt wanna know anymore about sleep apnea. But now ive read them all. Thanks for the info.</t>
        </is>
      </c>
      <c r="D2914" t="n">
        <v>12</v>
      </c>
      <c r="E2914" t="n">
        <v>13</v>
      </c>
      <c r="F2914">
        <f>HYPERLINK("https://www.reddit.com/r/diabetes/comments/5xf7ev/my_girlfriend_says_its_unnatural_how_hard_it_is/")</f>
        <v/>
      </c>
      <c r="G2914" t="inlineStr">
        <is>
          <t>2017-03-03 20:30:30</t>
        </is>
      </c>
      <c r="H2914" t="inlineStr">
        <is>
          <t>Type 1</t>
        </is>
      </c>
    </row>
    <row r="2915">
      <c r="A2915" t="inlineStr">
        <is>
          <t>5xhenf</t>
        </is>
      </c>
      <c r="B2915" t="inlineStr">
        <is>
          <t>235 mg/dL fingerstick blood before breakfast.</t>
        </is>
      </c>
      <c r="C2915" t="inlineStr">
        <is>
          <t>235 mg/dL milligrams per deciliter fingerstick blood before breakfast. Ideas, hints, tips, pointers for the next few hours or rest of the day... please! Eating too much cake recently.</t>
        </is>
      </c>
      <c r="D2915" t="n">
        <v>1</v>
      </c>
      <c r="E2915" t="n">
        <v>4</v>
      </c>
      <c r="F2915">
        <f>HYPERLINK("https://www.reddit.com/r/diabetes/comments/5xhenf/235_mgdl_fingerstick_blood_before_breakfast/")</f>
        <v/>
      </c>
      <c r="G2915" t="inlineStr">
        <is>
          <t>2017-03-04 07:34:41</t>
        </is>
      </c>
      <c r="H2915" t="inlineStr">
        <is>
          <t>Type 2</t>
        </is>
      </c>
    </row>
    <row r="2916">
      <c r="A2916" t="inlineStr">
        <is>
          <t>5xi2v0</t>
        </is>
      </c>
      <c r="B2916" t="inlineStr">
        <is>
          <t>Type 1 - What the fuck do you do when your sugar is literally unpredictable?</t>
        </is>
      </c>
      <c r="C2916" t="inlineStr">
        <is>
          <t>This is gonna be more or less just a rant, but good fucking god I'm so sick of this shit.
Yesterday my blood sugar was relatively most of the day.  
Had a low at about 7:57.  Had a glass and a half of juice.  Over corrected, ended up at 10.9 at 11:08pm.  Eat 26 grams of carbs and take 2.5 units of rapid.  
1:25 am still 11.5.  Have 21 grams of carbs, take 2 units.  
3:20 am still at 11.2.  Take half a unit thinking it'll bring me down a bit and go to sleep.
Wake up 11:30am at 12.2.  Okay, still high, gotta take care of it.  Gonna have a bowl of cereal and a black coffee for breakfast, 90grams of carbs.  Meter told me to take 8.5 but since I know my sugars been stubborn the last ~15 hours I add 2 units on, so 10.5 in total.  
An hour later and I'm up to fucking 17.2.  What the fuck?  Why does my sugar just continue to go up like this?   I hate this shit so much, this kind of bullshit makes me feel like everything I do is useless and I'm completely fucking powerless because all this bullshit is so arbitrary.  Makes me feel like just fucking killing myself because it'd be easier than dealing with this shit.
God fucking dammit.</t>
        </is>
      </c>
      <c r="D2916" t="n">
        <v>5</v>
      </c>
      <c r="E2916" t="n">
        <v>11</v>
      </c>
      <c r="F2916">
        <f>HYPERLINK("https://www.reddit.com/r/diabetes/comments/5xi2v0/type_1_what_the_fuck_do_you_do_when_your_sugar_is/")</f>
        <v/>
      </c>
      <c r="G2916" t="inlineStr">
        <is>
          <t>2017-03-04 09:46:35</t>
        </is>
      </c>
      <c r="H2916" t="inlineStr">
        <is>
          <t>Type 1</t>
        </is>
      </c>
    </row>
    <row r="2917">
      <c r="A2917" t="inlineStr">
        <is>
          <t>5xifp3</t>
        </is>
      </c>
      <c r="B2917" t="inlineStr">
        <is>
          <t>What numbers are you comfortable at before you go to sleep? Tips for living/sleeping alone?</t>
        </is>
      </c>
      <c r="C2917" t="inlineStr">
        <is>
          <t>So I've started to get my numbers under pretty okay control lately (or at least I think), but I get really nervous about them being too low before going to bed.  Last night I was in the 80s/90s and small snacks weren't bringing it up and I was so tired so I finally just had a muffin and went to sleep since I knew it there was no way I could be low after that.  It looks like my numbers were in the high 200s/low 300s overnight, so I know that's not good, but I felt like I wouldn't be able to let myself sleep with it where it was.
Also any tips for living &amp;amp; sleeping alone?  I haven't gone too hypo yet, but the times I did start to drop I didn't really feel it so I'm wondering how to know if I'd even wake up if I get low while sleeping.</t>
        </is>
      </c>
      <c r="D2917" t="n">
        <v>6</v>
      </c>
      <c r="E2917" t="n">
        <v>7</v>
      </c>
      <c r="F2917">
        <f>HYPERLINK("https://www.reddit.com/r/diabetes/comments/5xifp3/what_numbers_are_you_comfortable_at_before_you_go/")</f>
        <v/>
      </c>
      <c r="G2917" t="inlineStr">
        <is>
          <t>2017-03-04 10:52:22</t>
        </is>
      </c>
      <c r="H2917" t="inlineStr">
        <is>
          <t>Type 1</t>
        </is>
      </c>
    </row>
    <row r="2918">
      <c r="A2918" t="inlineStr">
        <is>
          <t>5xljjy</t>
        </is>
      </c>
      <c r="B2918" t="inlineStr">
        <is>
          <t>Endurance Training - How can I do long distance running under extraneous circumstances without dying of a hypo?</t>
        </is>
      </c>
      <c r="C2918" t="inlineStr">
        <is>
          <t>I've been wanting to get into long distance endurance training with running for a while now. Basically, pop my ear buds in, go outside with my shorts and water, and just jog/run as hard as I can and fast as I can for as long as I can before doubling over in pain. Then, rest for 5 minutes, and try again, and keep doing it until I just can't do it anymore. I feel like it'd be therapeutic.  
But how would I do this without my glucose plummeting and killing me during or after the exercise? Or, how do I exercise in general with T1? I always eat way too much food before biking and it kind of makes it hard to correct it after.</t>
        </is>
      </c>
      <c r="D2918" t="n">
        <v>3</v>
      </c>
      <c r="E2918" t="n">
        <v>7</v>
      </c>
      <c r="F2918">
        <f>HYPERLINK("https://www.reddit.com/r/diabetes/comments/5xljjy/endurance_training_how_can_i_do_long_distance/")</f>
        <v/>
      </c>
      <c r="G2918" t="inlineStr">
        <is>
          <t>2017-03-04 22:16:56</t>
        </is>
      </c>
      <c r="H2918" t="inlineStr">
        <is>
          <t>Type 1</t>
        </is>
      </c>
    </row>
    <row r="2919">
      <c r="A2919" t="inlineStr">
        <is>
          <t>5xu97o</t>
        </is>
      </c>
      <c r="B2919" t="inlineStr">
        <is>
          <t>Weight difficulty, metabolism? [T1]</t>
        </is>
      </c>
      <c r="C2919" t="inlineStr">
        <is>
          <t xml:space="preserve">First off, I have successfully dropped 30lbs a couple years ago &amp;amp; have fluctuated 5lbs the past couple years. I did this by calorie counting &amp;amp; exercising, nothing special. I measured everything out &amp;amp; logged with Myfitnesspal. I'm female, I current weigh 143lbs &amp;amp; am 5'7". 
However, while losing weight, I was eating between 800-1000 calories a day (not counting running 3-4x a week), &amp;amp; now, at maintenance, I eat between 1500-1900 calories a day, averaging around 1750, without counting running 2-3x a week &amp;amp; walking 2 miles 3-4x a week to school. I still measure &amp;amp; log everything, including my liquid calories. 
I've been told by my primary that I'm eating on the low end of the calorie spectrum for someone of my activity. I'm getting a little frustrated at how much less I can eat compared to my non-diabetic friends, &amp;amp; was wondering if this has to do with T1 causing a slower metabolism. I know that complaining won't change how my body works, but I was hoping that maybe someone else had similar issues. </t>
        </is>
      </c>
      <c r="D2919" t="n">
        <v>2</v>
      </c>
      <c r="E2919" t="n">
        <v>55</v>
      </c>
      <c r="F2919">
        <f>HYPERLINK("https://www.reddit.com/r/diabetes/comments/5xu97o/weight_difficulty_metabolism_t1/")</f>
        <v/>
      </c>
      <c r="G2919" t="inlineStr">
        <is>
          <t>2017-03-06 08:45:21</t>
        </is>
      </c>
      <c r="H2919" t="inlineStr">
        <is>
          <t>Type 1</t>
        </is>
      </c>
    </row>
    <row r="2920">
      <c r="A2920" t="inlineStr">
        <is>
          <t>5xwjfa</t>
        </is>
      </c>
      <c r="B2920" t="inlineStr">
        <is>
          <t>Donating Blood with Type 1</t>
        </is>
      </c>
      <c r="C2920" t="inlineStr">
        <is>
          <t xml:space="preserve">16yo type 1. Donating Blood tomorrow, I was wondering if anyone with experience donating before, specifically about blood sugar before and after. I expect that afterwards I might experience some highs, but I was also wondering if it's wise to start with a bg a tad higher than normal.
Thanks!   </t>
        </is>
      </c>
      <c r="D2920" t="n">
        <v>15</v>
      </c>
      <c r="E2920" t="n">
        <v>26</v>
      </c>
      <c r="F2920">
        <f>HYPERLINK("https://www.reddit.com/r/diabetes/comments/5xwjfa/donating_blood_with_type_1/")</f>
        <v/>
      </c>
      <c r="G2920" t="inlineStr">
        <is>
          <t>2017-03-06 14:46:08</t>
        </is>
      </c>
      <c r="H2920" t="inlineStr">
        <is>
          <t>Type 1</t>
        </is>
      </c>
    </row>
    <row r="2921">
      <c r="A2921" t="inlineStr">
        <is>
          <t>5y3jh2</t>
        </is>
      </c>
      <c r="B2921" t="inlineStr">
        <is>
          <t>Medtronic 670g to begin launch soon. (copied email)</t>
        </is>
      </c>
      <c r="C2921" t="inlineStr">
        <is>
          <t>Welcome to the MiniMed® 670G system Priority Access program! We thank you for signing up to be among the first to experience this revolutionary technology.  
As we prepare to make this therapy available to those who signed up for Priority Access, we will start out with a small group of patients and healthcare providers to ensure that everyone going on the system has a great experience before launch. This Customer Training Phase will start in March. We look forward to applying what we learn in this phase to ensure that you have the best experience possible.
We will begin shipping MiniMed 670G systems later in the spring, when you’ll be among the first individuals to start on the system as part of the Priority Access program.
In the coming months, we’ll send you a text message with instructions for how to place your order.
We also want to take this opportunity to describe our System Access program. This program gives you the opportunity to provide us with valuable feedback and be compensated for your time. Here’s how the program works:
When we ship your system, we will create a debit on your account in the amount of $299
We need your feedback through the following activities. 
Completing each activity will reduce the debit on your account by its value described below:
        Your story (valued at $75)
        CareLink® software data uploads and access (valued at $99)
* Survey 1 (valued at $25)
* Survey 2 (valued at $50)
* Survey 3 (valued at $50)
You will receive a series of emails inviting you to complete each of the surveys and instructions for submitting your story
Please complete these activities within 120 days of shipment to ensure that your account is credited
In the meantime, to learn more about the MiniMed 670G system, click here. You can also learn more about the Priority Access program by clicking here.</t>
        </is>
      </c>
      <c r="D2921" t="n">
        <v>6</v>
      </c>
      <c r="E2921" t="n">
        <v>1</v>
      </c>
      <c r="F2921">
        <f>HYPERLINK("https://www.reddit.com/r/diabetes/comments/5y3jh2/medtronic_670g_to_begin_launch_soon_copied_email/")</f>
        <v/>
      </c>
      <c r="G2921" t="inlineStr">
        <is>
          <t>2017-03-07 13:22:36</t>
        </is>
      </c>
      <c r="H2921" t="inlineStr">
        <is>
          <t>Type 1</t>
        </is>
      </c>
    </row>
    <row r="2922">
      <c r="A2922" t="inlineStr">
        <is>
          <t>5y3y7h</t>
        </is>
      </c>
      <c r="B2922" t="inlineStr">
        <is>
          <t>Easy question for Dexcom CGM users</t>
        </is>
      </c>
      <c r="C2922" t="inlineStr">
        <is>
          <t xml:space="preserve">Hey guys,
So it's driving me crazy how difficult it is to find this explicitly stated. To use the dexcom CGM are the only components the physical part directly on your skin which then connects to your phone? Or is there a middle component? 
Because my Medtronic CGM connects to the pump which requires me to use a pump which I personally hate. God I hate my endo.
Anyway thanks for your help guys :)
</t>
        </is>
      </c>
      <c r="D2922" t="n">
        <v>5</v>
      </c>
      <c r="E2922" t="n">
        <v>12</v>
      </c>
      <c r="F2922">
        <f>HYPERLINK("https://www.reddit.com/r/diabetes/comments/5y3y7h/easy_question_for_dexcom_cgm_users/")</f>
        <v/>
      </c>
      <c r="G2922" t="inlineStr">
        <is>
          <t>2017-03-07 14:28:41</t>
        </is>
      </c>
      <c r="H2922" t="inlineStr">
        <is>
          <t>Type 1</t>
        </is>
      </c>
    </row>
    <row r="2923">
      <c r="A2923" t="inlineStr">
        <is>
          <t>5y8lky</t>
        </is>
      </c>
      <c r="B2923" t="inlineStr">
        <is>
          <t>Microalbumin/Creatinine ratio high. Thoughts?</t>
        </is>
      </c>
      <c r="C2923" t="inlineStr">
        <is>
          <t xml:space="preserve">Just had some bloodwork/urine test come back.  A1C - 5.6, but my Microalbumin/Creatinine ratio came back as 101 - which is in the microalbuminuria range of 30-299, and from what I'm reading is an indicator of possible kidney disease.  I don't see my endo for another 12 days.  Does anyone have any experience/thoughts with these results?  Thanks in advance. </t>
        </is>
      </c>
      <c r="D2923" t="n">
        <v>0</v>
      </c>
      <c r="E2923" t="n">
        <v>13</v>
      </c>
      <c r="F2923">
        <f>HYPERLINK("https://www.reddit.com/r/diabetes/comments/5y8lky/microalbumincreatinine_ratio_high_thoughts/")</f>
        <v/>
      </c>
      <c r="G2923" t="inlineStr">
        <is>
          <t>2017-03-08 07:43:22</t>
        </is>
      </c>
      <c r="H2923" t="inlineStr">
        <is>
          <t>Type 2</t>
        </is>
      </c>
    </row>
    <row r="2924">
      <c r="A2924" t="inlineStr">
        <is>
          <t>5y988e</t>
        </is>
      </c>
      <c r="B2924" t="inlineStr">
        <is>
          <t>Odd Blood Sugar Swing</t>
        </is>
      </c>
      <c r="C2924" t="inlineStr">
        <is>
          <t xml:space="preserve">Hey /r/diabetes. I wanted to get your opinion on an odd blood sugar swing I had last night. 
For some background, I've been T1 for one year now (tomorrow being the exact date) and have been following a low carb, high fat diet since December 2016. In general, I follow Dr. Bernstein's recommendation of 6-12-12 grams of carbs for meals, however, my protein intake is not consistent and typically hovers around 9 ounces/meal.
I'm still honeymooning and currently take 7 units of Lantus along with 2000mg of metformin/day. So far, the diet change has been going great and the swings in my blood sugar have been drastically reduced. Where I used to range from 5.0mmol (90mg/dl) to 12mmol (216mg/dl), I haven't been below 4.0mmol/L (72mg/dl) since I changed my eating and I rarely rise above 7.0mmol/L (126mg/dl). 
So last night, I wasn't cooking at home and decided to cheat a little bit. I ate a lettuce wrapped burger and went for a small order of fries from a local burger joint. I expected to see a spike up to at least 10mmol/L (180mg/dl) (based upon what happened before I changed my eating) but was sitting at 5.2 mmol/L (94mg/dl) about 30minutes after eating (first warning sign in hindsight). I went and played one hour of competitive basketball two hours after eating and then returned home. About 1 hour after basketball I felt a low coming on fast and registered a 2.4mmol/L (44mg/dl) which I immediately treated with Dex 4 and some five cent candies my wife had bought earlier in the day for herself (I sure miss dino sours). 
With all of that in mind, I play basketball typically 2 times/week and do some bodyweight fitness 2 times/week with no recorded lows in months. Obviously, I need to keep a closer eye when playing basketball, but I can't figure out why I'd have a low when I ate way more carbohydrate than usual. I should have checked before basketball and during, but assumed I'd be fine because of what I ate for dinner. Would a quick change in carbohydrate intake make my body react in an abnormal manner?
I'm kicking myself for not keeping my diet consistent last night because now I'm all confused as to what happened.
I've got an appointment with my doc tomorrow morning and will discuss this with them as well. Just wanted to hear what your thoughts were. </t>
        </is>
      </c>
      <c r="D2924" t="n">
        <v>0</v>
      </c>
      <c r="E2924" t="n">
        <v>8</v>
      </c>
      <c r="F2924">
        <f>HYPERLINK("https://www.reddit.com/r/diabetes/comments/5y988e/odd_blood_sugar_swing/")</f>
        <v/>
      </c>
      <c r="G2924" t="inlineStr">
        <is>
          <t>2017-03-08 09:23:49</t>
        </is>
      </c>
      <c r="H2924" t="inlineStr">
        <is>
          <t>Type 1</t>
        </is>
      </c>
    </row>
    <row r="2925">
      <c r="A2925" t="inlineStr">
        <is>
          <t>5ycoia</t>
        </is>
      </c>
      <c r="B2925" t="inlineStr">
        <is>
          <t>biking strategies?</t>
        </is>
      </c>
      <c r="C2925" t="inlineStr">
        <is>
          <t xml:space="preserve">This afternoon, I took my 9yo for a bike ride; after all, the Tour de Cure is only a couple months away, and he plans to do a 20 mile ride (which shouldn't be that hard for him -- he's got really strong legs). We did a modest 12.5 mile ride, mostly because that's what we had time for.
It only took 3 glucose tablets, a fiber-one bar, 3 more glucose tablets, 3 rolls of smarties, and half a pack of belvita sandwich cookies.
And, it being dexcom day, when we got home, the sensor was taken off when he got in the shower, we had dinner, and when the 2 hours of settling time were over and we calibrated, it was 1T honey, some challah bread, and a slice of cheese, which will hopefully hold him for a while. :/
I guess that's what we get for biking without a solid meal up front.
What's your strategy for biking?
</t>
        </is>
      </c>
      <c r="D2925" t="n">
        <v>4</v>
      </c>
      <c r="E2925" t="n">
        <v>10</v>
      </c>
      <c r="F2925">
        <f>HYPERLINK("https://www.reddit.com/r/diabetes/comments/5ycoia/biking_strategies/")</f>
        <v/>
      </c>
      <c r="G2925" t="inlineStr">
        <is>
          <t>2017-03-08 19:14:52</t>
        </is>
      </c>
      <c r="H2925" t="inlineStr">
        <is>
          <t>Type 1</t>
        </is>
      </c>
    </row>
    <row r="2926">
      <c r="A2926" t="inlineStr">
        <is>
          <t>5ydxia</t>
        </is>
      </c>
      <c r="B2926" t="inlineStr">
        <is>
          <t>One year diaversary!</t>
        </is>
      </c>
      <c r="C2926" t="inlineStr">
        <is>
          <t xml:space="preserve">One year ago I was told I have sugar in my urine sample and am "probably diabetic" - i then went home and cried for two days while I felt incredibly sorry for myself. A week later I went out and bought a meter, saw my first 250 on it, and decided to sort my own shit out. Medical system failed me majorly but in a way I found my own direction because of it. I did get a more official diagnosis about 6 weeks later after chasing down my blood tests etc. But 9 March is what I consider the date. 
I'm spending today thinking about how incredibly lucky I was and how thankful I am for my diagnosis. It may sound weird but coming to terms with it has helped me change my entire life. One year later, a1c of 5.4%, no drugs and 25kgs lost. 
Sorry for the rambling, I just can't believe how different life is now from 'that day'. I'm sure you all have one of those in your story. </t>
        </is>
      </c>
      <c r="D2926" t="n">
        <v>8</v>
      </c>
      <c r="E2926" t="n">
        <v>6</v>
      </c>
      <c r="F2926">
        <f>HYPERLINK("https://www.reddit.com/r/diabetes/comments/5ydxia/one_year_diaversary/")</f>
        <v/>
      </c>
      <c r="G2926" t="inlineStr">
        <is>
          <t>2017-03-09 00:20:01</t>
        </is>
      </c>
      <c r="H2926" t="inlineStr">
        <is>
          <t>Type 2</t>
        </is>
      </c>
    </row>
    <row r="2927">
      <c r="A2927" t="inlineStr">
        <is>
          <t>5yftyt</t>
        </is>
      </c>
      <c r="B2927" t="inlineStr">
        <is>
          <t>Possible dumb T2 question.</t>
        </is>
      </c>
      <c r="C2927" t="inlineStr">
        <is>
          <t>I was diagnosed only back in Nov. 2015, so forgive me if this seems like a dumb question, because I know carbs are to be strictly limited - after I showed up dka in the hospital with 1006 BS (I was drinking everything in sight so I think this is why I was really high) the nutritionist told me I should be limiting carbs to 50-60g per meal.  Now I know nutritionists get a bad rap on here because most of them just go with the ADA guidelines and most here consider the optimal diet to be keto or something very close to it, but my question is for Type 2's since we don't suffer the swings of T1s and since T2s can't correct with short acting insulin if I decide (poorly I know) to eat something exceeding this per meal carb limit - can I just normalize my blood sugars from this with exercise right away?  I know the answer is probably eat what you want to eat, exercise, and then test and see where your BS is at, but I guess my question is is whether this is a healthy approach considering my recent A1c came back at 5.6.  I know highs are to be avoided which may not be reflected in the A1c necessarily.  I'm just curious as to everyone's thoughts on this approach.  Also, follow-up question, if my fellow T2s were to take this approach (and if I did, I probably would only do it once a week if that), whats the timing you would use?  Eat no-no carbs, wait 10mins? 20mins? and then exercise for an hour?  Then test BS?  Thanks, I appreciate the advice.     
tldr; can you normalize/counter effects of carbs with exercise right after consuming said carbs?</t>
        </is>
      </c>
      <c r="D2927" t="n">
        <v>2</v>
      </c>
      <c r="E2927" t="n">
        <v>12</v>
      </c>
      <c r="F2927">
        <f>HYPERLINK("https://www.reddit.com/r/diabetes/comments/5yftyt/possible_dumb_t2_question/")</f>
        <v/>
      </c>
      <c r="G2927" t="inlineStr">
        <is>
          <t>2017-03-09 07:57:27</t>
        </is>
      </c>
      <c r="H2927" t="inlineStr">
        <is>
          <t>Type 2</t>
        </is>
      </c>
    </row>
    <row r="2928">
      <c r="A2928" t="inlineStr">
        <is>
          <t>5yfv3e</t>
        </is>
      </c>
      <c r="B2928" t="inlineStr">
        <is>
          <t>Had my first scary diabetic moment.</t>
        </is>
      </c>
      <c r="C2928" t="inlineStr">
        <is>
          <t>So I'm 14 and was diagnosed with type 1 last September, apart from my Mum nagging about it 24/7 I've pretty much been okay until last Sunday night. 
Apparently I had a seizure in my sleep and my blood sugar had gone down to 2.3, I don't really remember any of it just waking up in an ambulance :/ They kept me in hospital for 2 days and I'm okay now but it was just really scary thinking about what could of happened...I share a room with my twin brother and he's the only reason people knew what was happening and got me help.
I dont really know what happened or why I went so low and didnt wake up but im hopefully getting a pump soon so that will help hopefully.</t>
        </is>
      </c>
      <c r="D2928" t="n">
        <v>45</v>
      </c>
      <c r="E2928" t="n">
        <v>25</v>
      </c>
      <c r="F2928">
        <f>HYPERLINK("https://www.reddit.com/r/diabetes/comments/5yfv3e/had_my_first_scary_diabetic_moment/")</f>
        <v/>
      </c>
      <c r="G2928" t="inlineStr">
        <is>
          <t>2017-03-09 08:02:27</t>
        </is>
      </c>
      <c r="H2928" t="inlineStr">
        <is>
          <t>Type 1</t>
        </is>
      </c>
    </row>
    <row r="2929">
      <c r="A2929" t="inlineStr">
        <is>
          <t>5ygawt</t>
        </is>
      </c>
      <c r="B2929" t="inlineStr">
        <is>
          <t>We've come a long way, baby. My story, from 11.6 to 6.4.</t>
        </is>
      </c>
      <c r="C2929" t="inlineStr">
        <is>
          <t>I had an endo appointment the other day where my a1c was 6.4. It's the best I've felt about myself and diabetes in several years. I wanted to share my story because I know that there are a lot of people in the same place I was roughly 1.5 years ago.
Background, diagnosed at age of 16. Good control for the rest of high school, went off to college and I was "invincible". I was the typical college kid and didn't take my diabetes care too seriously. I'd go a couple months where I'd test *maybe* once a day, then I'd go a few months with great control.
Fast forward to my senior year of college. I had a chest/upper abdomen pain and a buddy of mine drove me to the hospital. Said it was a messed up Xiphoid Process. Pumped me full of morphine until I felt better, and off I went. A couple years later the same thing happened. And then a couple years later the same thing happened, again. Always happening in the fall.
Fast forward to fall of 2015. I wasn't taking great care of myself, eating whatever I wanted. Once again I was hospitalized. I drove myself to my doctor who sent me to the ER. They ran some tests and diagnosed me with Acute Pancreatitis. A.P. is caused by gallstones or alcohol abuse, and I didn't have gallstones. I was not an alcoholic, but would enjoy a couple during the week and a few on Friday and Saturday nights. However, being a diabetic, the alcohol affected my body differently. While in the hospital (3 day stay) I was 'scared straight' by doctors who explained to me what was going to happen to me if I didn't change my ways.
I had been on a pump since I was 17 years old so there was no reason for me to miss shots. Getting out of the hospital, I started checking my blood sugar religiously, sometimes 15 times a day. I started eating fewer and fewer carbs, learning to cook/bake keto meals using different flour alternatives. About a year ago I got the Dexcom G5, and getting it is the best decision I've made for my personal health. I don't have the severe highs or lows I used to have, but I'm also eating 50-70 grams of carbs a day. I've also stopped drinking alcohol.
A year and a half ago when I was hospitalized, my a1c was 11.6 and I had tears running down my face. This past Tuesday it was 6.4 and I had different tears running down my face.
We all know how hard it is to grind day-in and day-out with this disease we've all been lucky to get. We have our good days and bad days, and that's okay, don't beat yourself. Focus on making today better than yesterday.</t>
        </is>
      </c>
      <c r="D2929" t="n">
        <v>21</v>
      </c>
      <c r="E2929" t="n">
        <v>2</v>
      </c>
      <c r="F2929">
        <f>HYPERLINK("https://www.reddit.com/r/diabetes/comments/5ygawt/weve_come_a_long_way_baby_my_story_from_116_to_64/")</f>
        <v/>
      </c>
      <c r="G2929" t="inlineStr">
        <is>
          <t>2017-03-09 09:15:25</t>
        </is>
      </c>
      <c r="H2929" t="inlineStr">
        <is>
          <t>Type 1</t>
        </is>
      </c>
    </row>
    <row r="2930">
      <c r="A2930" t="inlineStr">
        <is>
          <t>5yhtsq</t>
        </is>
      </c>
      <c r="B2930" t="inlineStr">
        <is>
          <t>Not waking up to CGM alarm</t>
        </is>
      </c>
      <c r="C2930" t="inlineStr">
        <is>
          <t>(type 1) Hey guys! I'm having some trouble waking up to my CGM (Dexcom 5) alarm at night. I usually wake up eventually, but it's after quite a while of being low... Seeing another post, it occurred to me that there could be a time that I just don't wake up to the alarm. Has anyone else had problem with the dexcom alarm not waking them at night? 
Thanks!</t>
        </is>
      </c>
      <c r="D2930" t="n">
        <v>1</v>
      </c>
      <c r="E2930" t="n">
        <v>8</v>
      </c>
      <c r="F2930">
        <f>HYPERLINK("https://www.reddit.com/r/diabetes/comments/5yhtsq/not_waking_up_to_cgm_alarm/")</f>
        <v/>
      </c>
      <c r="G2930" t="inlineStr">
        <is>
          <t>2017-03-09 13:14:45</t>
        </is>
      </c>
      <c r="H2930" t="inlineStr">
        <is>
          <t>Type 1</t>
        </is>
      </c>
    </row>
    <row r="2931">
      <c r="A2931" t="inlineStr">
        <is>
          <t>5yingc</t>
        </is>
      </c>
      <c r="B2931" t="inlineStr">
        <is>
          <t>Eating terribly but A1C is good...what's going on?</t>
        </is>
      </c>
      <c r="C2931" t="inlineStr">
        <is>
          <t>Hi all,
It's been about 1 year and 3 months since I've been diagnosed with Type 2.  The last two quarterly A1C tests showed I was at 5.8% and 5.7%.
I am on Janumet XR (two pills once a day, combo of 1000 mg metformin and 50mg sitagliptin) and 10mg empagliflozin (one once a day).
Here's the thing, the biggest change made to my diet since my diagnosis is avoiding pop/soda and slurpees.  Other than that, I've been eating white bread, plain pastas, white rice and occasionally a slice of cake too.  Whenever I do eat those bad foods, I do try to eat more protein or fats to "limit" the sugar spike but I don't really try.
I've also been losing a lot of weight these past 6 months.  Five years ago I used to be 210 lbs, 2 years ago I was a steady 190 lbs.  Now I am at 160 lbs.  I have a fairly physical job but other than that I do not exercise.
How can my A1C be so easily achieved?  Am I taking a high dosage of meds to do this?
If I exercise and eat better, would it be possible to lower my dosages?
Sorry for all the questions.  Thank you for reading.</t>
        </is>
      </c>
      <c r="D2931" t="n">
        <v>5</v>
      </c>
      <c r="E2931" t="n">
        <v>6</v>
      </c>
      <c r="F2931">
        <f>HYPERLINK("https://www.reddit.com/r/diabetes/comments/5yingc/eating_terribly_but_a1c_is_goodwhats_going_on/")</f>
        <v/>
      </c>
      <c r="G2931" t="inlineStr">
        <is>
          <t>2017-03-09 15:38:03</t>
        </is>
      </c>
      <c r="H2931" t="inlineStr">
        <is>
          <t>Type 2</t>
        </is>
      </c>
    </row>
    <row r="2932">
      <c r="A2932" t="inlineStr">
        <is>
          <t>5yjnza</t>
        </is>
      </c>
      <c r="B2932" t="inlineStr">
        <is>
          <t>Help/advice/guidance/anything needed on my past shitshow of a day</t>
        </is>
      </c>
      <c r="C2932" t="inlineStr">
        <is>
          <t>Okay, this is probably way longer and more detailed than anyone would want to read, but trying to figure out where I went wrong and even if I didn't do anything to cause this stuff, maybe how to correct better.  For reference, I've been having really steady fasting numbers after switching to Levemir about a week and a half ago in the 4.6(83)-5.0(90) range and haven't really gone above 10(180).  Diagnosed mid-January and have finally felt like I was getting things under control, so really frustrated.
Last night: was at 6.7(121) with a straight arrow around 11pm about 2.5-3 hours after I finished dinner.  Got into bed at 12pm, saw I was 4.8(86) which is a bit lower than I like to be, so opted for a small cookie (8g) and yogurt (10g). Wait about 15 minutes and get BG of 4.4(79).  Wait another 15 minutes, 4.2(76).  Have a chocolate caramel thing (12g).  Wait 20 minutes now I'm 3.8(68) and a few minutes later 3.7(66) and so tired I can barely stay awake.  Have another chocolate caramel thing (12g).  Wait 15 minutes then finally goes up to 4.9(88).  Another 5 minutes and I'm at 5.3(95) with an up arrow so I go to sleep.  Looks like I peaked 12.6(227) not long after that while I was asleep, and then came down and was at 4.7(85) when I woke up this morning.
Numbers climb up a little high in the morning for not having eaten anything--get up to about 8.3(149) by the time I take my morning Levemir dose at 9:45am and then it comes back down to the high 4/low 5 (85-95) range and stays pretty steady.  Take 3 units of Humalog at 12:40pm.  Eat a large banana (30g) and high fat/protein (10g) yogurt.  Two hours later my numbers are about 13.6(245) and not going down.   Take another 3 units of Humalog and have a yogurt drink (20g).  BG finally starts to go down at a steady rate and finally get a straight arrow almost 2 hours later and read at 5.2(94). 
Then 20 minutes later I'm getting ready to go home, check and it says 3.6(65) with a down arrow.  Have a small sip of coke (8g?) and a nut drink thing (10g).  Wait 10 minutes, now it's 3.2(58) and down arrow.  Finish the coke, wait ten minutes, 3.1(56) down arrow.  Feeling really shaky and horrible and ravenous, have a cookie (19g) and 15 minutes later I'm 4.9(88).  Wait another 10 minute and I'm 6.9(124) so I decide I'm good to drive home.
Now it's an hour later and I'm 16.3/293.  Is this just a normal bad day? Or honeymooning?  I'm so frustrated right now.  Any advice or words of wisdom or anything?  
Edit: Is it possible this is a PMS thing?  About 3-4 days away from my period but none of my other typical PMS indicators yet.  If so...do I just go super low carb/low rapid insulin leading up to my period?</t>
        </is>
      </c>
      <c r="D2932" t="n">
        <v>1</v>
      </c>
      <c r="E2932" t="n">
        <v>6</v>
      </c>
      <c r="F2932">
        <f>HYPERLINK("https://www.reddit.com/r/diabetes/comments/5yjnza/helpadviceguidanceanything_needed_on_my_past/")</f>
        <v/>
      </c>
      <c r="G2932" t="inlineStr">
        <is>
          <t>2017-03-09 18:55:23</t>
        </is>
      </c>
      <c r="H2932" t="inlineStr">
        <is>
          <t>Type 1</t>
        </is>
      </c>
    </row>
    <row r="2933">
      <c r="A2933" t="inlineStr">
        <is>
          <t>5ylcqj</t>
        </is>
      </c>
      <c r="B2933" t="inlineStr">
        <is>
          <t>What might quickly over the next few hours lower a higher than usual mg/dL fingertip blood for generally well controlled diabetes?</t>
        </is>
      </c>
      <c r="C2933" t="inlineStr">
        <is>
          <t xml:space="preserve">What might quickly over the next few hours lower a higher than usual mg/dL fingertip blood for generally well controlled diabetes?...  in addition to drink lots of water, exercise. 
</t>
        </is>
      </c>
      <c r="D2933" t="n">
        <v>1</v>
      </c>
      <c r="E2933" t="n">
        <v>4</v>
      </c>
      <c r="F2933">
        <f>HYPERLINK("https://www.reddit.com/r/diabetes/comments/5ylcqj/what_might_quickly_over_the_next_few_hours_lower/")</f>
        <v/>
      </c>
      <c r="G2933" t="inlineStr">
        <is>
          <t>2017-03-10 02:20:39</t>
        </is>
      </c>
      <c r="H2933" t="inlineStr">
        <is>
          <t>Type 2</t>
        </is>
      </c>
    </row>
    <row r="2934">
      <c r="A2934" t="inlineStr">
        <is>
          <t>5ym6nr</t>
        </is>
      </c>
      <c r="B2934" t="inlineStr">
        <is>
          <t>injecting into muscle</t>
        </is>
      </c>
      <c r="C2934" t="inlineStr">
        <is>
          <t>Is anyone regularly injecting their fast acting insulin into mucle?
I switched to muscle injection (biceps) on my fast acting because it is absorbed faster, thus preventing high blood sugar, so that means i can eat carb based diet without going high. Anyone have experience with this?</t>
        </is>
      </c>
      <c r="D2934" t="n">
        <v>2</v>
      </c>
      <c r="E2934" t="n">
        <v>9</v>
      </c>
      <c r="F2934">
        <f>HYPERLINK("https://www.reddit.com/r/diabetes/comments/5ym6nr/injecting_into_muscle/")</f>
        <v/>
      </c>
      <c r="G2934" t="inlineStr">
        <is>
          <t>2017-03-10 05:59:27</t>
        </is>
      </c>
      <c r="H2934" t="inlineStr">
        <is>
          <t>Type 1</t>
        </is>
      </c>
    </row>
    <row r="2935">
      <c r="A2935" t="inlineStr">
        <is>
          <t>5yn5p1</t>
        </is>
      </c>
      <c r="B2935" t="inlineStr">
        <is>
          <t>Lots of lows after switching to Omnipod</t>
        </is>
      </c>
      <c r="C2935" t="inlineStr">
        <is>
          <t>I've been using a Medtronic 530G pump for the last few years and just switched over to Omnipod a couple days ago.  I've setup the PDM to have the exact same settings as my Medtronic did, but I've been getting lows like crazy.  I'm probably going to dial back my basal and bolus settings and see what happens, but this seems very strange to me.
Has anyone else had this happen from a similar switch? It doesn't seem possible that just switching from my last pump to this one would make a difference, but my daily eating habits are the same and I dose the same as I had before.  Literally the only thing that has changed is me switching to the Omnipod system.</t>
        </is>
      </c>
      <c r="D2935" t="n">
        <v>3</v>
      </c>
      <c r="E2935" t="n">
        <v>6</v>
      </c>
      <c r="F2935">
        <f>HYPERLINK("https://www.reddit.com/r/diabetes/comments/5yn5p1/lots_of_lows_after_switching_to_omnipod/")</f>
        <v/>
      </c>
      <c r="G2935" t="inlineStr">
        <is>
          <t>2017-03-10 08:52:35</t>
        </is>
      </c>
      <c r="H2935" t="inlineStr">
        <is>
          <t>Type 1</t>
        </is>
      </c>
    </row>
    <row r="2936">
      <c r="A2936" t="inlineStr">
        <is>
          <t>5yowvb</t>
        </is>
      </c>
      <c r="B2936" t="inlineStr">
        <is>
          <t>Type I here, struggling with control</t>
        </is>
      </c>
      <c r="C2936" t="inlineStr">
        <is>
          <t xml:space="preserve">Simply due to burnout, but there are no such thing as excuses and I'm trying to get back on track. As I type this post my glucose is probably high and I'm experiencing some dehydration.
In this past when this has happened and I take my Lantus, it's like the thirst disappears in a few minutes, as though it has the effect of water.
What is it that happens in the body that causes this phenomenon? I liken it to skin going without lotion for a week and then getting lotion, and your skin just kinda sucks it all up. </t>
        </is>
      </c>
      <c r="D2936" t="n">
        <v>6</v>
      </c>
      <c r="E2936" t="n">
        <v>5</v>
      </c>
      <c r="F2936">
        <f>HYPERLINK("https://www.reddit.com/r/diabetes/comments/5yowvb/type_i_here_struggling_with_control/")</f>
        <v/>
      </c>
      <c r="G2936" t="inlineStr">
        <is>
          <t>2017-03-10 13:35:46</t>
        </is>
      </c>
      <c r="H2936" t="inlineStr">
        <is>
          <t>Type 1</t>
        </is>
      </c>
    </row>
    <row r="2937">
      <c r="A2937" t="inlineStr">
        <is>
          <t>5ypi48</t>
        </is>
      </c>
      <c r="B2937" t="inlineStr">
        <is>
          <t>Wife was put on Metformin a week ago ... many concerns/questions</t>
        </is>
      </c>
      <c r="C2937" t="inlineStr">
        <is>
          <t xml:space="preserve">as you can tell by my name i am a very concerned husband. a bit of a story first.
My wife(who is 41) was diagnosed with Type 2 Diabetes about 8 or so years ago. At first she was on Actos but the doctor saw she had gained weight on it and decided to take her off it and put her directly on Insulin.
and well partly because we did not have insurance and outright laziness(love my wife obviously but both of us could be slackers) she did not see a doctor for 5 years. Mind you she was still taking insulin though, it was just Novalin that could be bought from Walmart without a prescription as thats what we could afford at the time. during that time she lost about 60lbs from having a very active job going from about 240lbs to 180lbs. the Novalin was keeping her blood sugar under control for the most part.
this past Monday after a long time she finally decided to go see a general practicing doctor that i go to. He told to stop taking insulin outright and he was going to give her a prescription for Metformin.
unknown to me she apparently had "run out" of insulin for a few weeks and so had not been taking anything. 
* the Doctor told her to take 2 pills of Metformin each day with a meal for 2000mg a day.  
* the Doctor told her that she might have a bit more gas as a side effect, same with the pharmacist.
* before she took her first pill of the metformin her Blood Sugar was at 260
this whole week she has been feeling the side effects (which the doctor didn't tell us about and i had to look up) of diarrhea, nausea and general stomach discomfort. however the biggest issue is her numbers aren't getting any better. Her best blood sugar day was 173 while on it, and that day she did a lot of running around at work with not eating anything since the night before. other days her numbers sit at about 230.
so my questions are this ...
1) do you have to be on an ultra strict diet for metformin, mind you my wife doesn't eat big meals or go crazy with carbs but isn't on a strict diet either.
2) how does metformin work ... should we have seen results already OR does metformin need to be in her system for a while before we see results.
3) does metformin's side effect worsen depending on what she eats? ( i saw a post where a person said the basically stopped eating carbs and their side effects of metformin went away)
4) is the side effects going to get better? (again i read posts where people have said the side effects got better after a couple days, And others saying after 2 years they still have the side effects)
*please don't be too hard on my wife, she knows she's not doing everything she should be but was doing what she could with our limited resources (until we were able to get obamacare)*
thank you for reading and your responses.
</t>
        </is>
      </c>
      <c r="D2937" t="n">
        <v>5</v>
      </c>
      <c r="E2937" t="n">
        <v>9</v>
      </c>
      <c r="F2937">
        <f>HYPERLINK("https://www.reddit.com/r/diabetes/comments/5ypi48/wife_was_put_on_metformin_a_week_ago_many/")</f>
        <v/>
      </c>
      <c r="G2937" t="inlineStr">
        <is>
          <t>2017-03-10 15:18:31</t>
        </is>
      </c>
      <c r="H2937" t="inlineStr">
        <is>
          <t>Type 2</t>
        </is>
      </c>
    </row>
    <row r="2938">
      <c r="A2938" t="inlineStr">
        <is>
          <t>5yqof9</t>
        </is>
      </c>
      <c r="B2938" t="inlineStr">
        <is>
          <t>Diet shake recommendations?</t>
        </is>
      </c>
      <c r="C2938" t="inlineStr">
        <is>
          <t>so the doctor told me I should look into slimfast to help with my diet but from what I can tell those shakes are high in carbs.
anyone have another brand or type  that are lower carbs</t>
        </is>
      </c>
      <c r="D2938" t="n">
        <v>1</v>
      </c>
      <c r="E2938" t="n">
        <v>16</v>
      </c>
      <c r="F2938">
        <f>HYPERLINK("https://www.reddit.com/r/diabetes/comments/5yqof9/diet_shake_recommendations/")</f>
        <v/>
      </c>
      <c r="G2938" t="inlineStr">
        <is>
          <t>2017-03-10 19:29:37</t>
        </is>
      </c>
      <c r="H2938" t="inlineStr">
        <is>
          <t>Type 2</t>
        </is>
      </c>
    </row>
    <row r="2939">
      <c r="A2939" t="inlineStr">
        <is>
          <t>5ytqha</t>
        </is>
      </c>
      <c r="B2939" t="inlineStr">
        <is>
          <t>Newly diagnosed T2.</t>
        </is>
      </c>
      <c r="C2939" t="inlineStr">
        <is>
          <t xml:space="preserve">I was diagnosed in January 2017 as a T2 (my father/older brother are both diabetic. I knew it was a strong possibility that I would eventually hit this but i thought i had time to get healthy... The whole "i'm in my 20's and invincible" thing.. which is not the case. 
I was about 295~300 pounds for about 6-7 years and 5'11 so wildly overweight for being 30. I work in IT and have a pretty inactive life. I started working out a lot (oddly enough because "pokemon go" got me off my ass) and I started feeling far worse then when I was inactive. Im pretty sure this is because this was lowering my blood sugar and my body got so used to the high amounts it was treating it as low blood sugar? 
Went in for a checkup because i was very nauseous (thrush which helped diagnose me. My A1C was initially 7.8% and FBS was at 150. 
That diagnose scared the hell out of me (i've seen a close family friend die from ignoring it and eating what he wanted). GP put me on x2 a day Janumet 50mg/1000mg which seems to have helped a lot. 
My daily FBS is around 75-95 (depending on what i ate the night before, how much sleep I got, if I exercised the night before, etc). My 2 hour post meal im between 85-110. My doctor wanted me to be at 110 for FBS and under 130 at 2 hour post meal. GP wanted me to test once in the mornign and after 1 meal a day. I think this is a bit low... Testing doesnt really bother me, im a nervous biter of nails/skin around the nails.. I know gross but as an ex smoker (having quit like 8-9 years ago) its a habit that just wont quit. 
Ive been walking 2-5 miles a day average but as much as 7 miles some days, started hiking (1-2 mile hikes) with my wife and daughter. Ive cut down from the probably 3000 calorie days i used to have to about 1500-1800 max, cut my carb consumption from probably several hundred a day to maybe 45-55 +/- 10 carbs. 
Seeing a nutritionist who wants me to up the carb count (did not like the idea of trying out a Keto diet). Im hoping to get this under control and only take metformin 1-2 times a day or not at all (heard something about a study saying it has some anti cancer properties?). 
Im also down to about 244 from the starting 300 (this was lost from about the end of October 2016 - now). 
I havent really told anyone other then family, I have been silently lurking for the past 2 months on this board and reading just about anything I can get my hands on. 
Im trying to find recipes (for someone who is picky as hell) but expanding my pallet.  Any suggestions? 
I think i'm doing good, but i guess my next checkup in April will tell me with the A1C results. 
 </t>
        </is>
      </c>
      <c r="D2939" t="n">
        <v>5</v>
      </c>
      <c r="E2939" t="n">
        <v>12</v>
      </c>
      <c r="F2939">
        <f>HYPERLINK("https://www.reddit.com/r/diabetes/comments/5ytqha/newly_diagnosed_t2/")</f>
        <v/>
      </c>
      <c r="G2939" t="inlineStr">
        <is>
          <t>2017-03-11 09:27:02</t>
        </is>
      </c>
      <c r="H2939" t="inlineStr">
        <is>
          <t>Type 2</t>
        </is>
      </c>
    </row>
    <row r="2940">
      <c r="A2940" t="inlineStr">
        <is>
          <t>5yubnz</t>
        </is>
      </c>
      <c r="B2940" t="inlineStr">
        <is>
          <t>What's the point of the +/- range on a pump's Target BG setting?</t>
        </is>
      </c>
      <c r="C2940" t="inlineStr">
        <is>
          <t>In pumps, there's a setting for the "Target BG" — the value the various calculations are aiming at when boluses are determined. That part makes sense.
In our Animas pump, though (and perhaps in others), the Target BG setting also has a variance setting — you can manually enter the "+/-" amount for each Target BG you've set. When our endo first configured ours, our targets were set to 6.0mmol/L, with a +/- of 0.5mmol/L.
So here's the question: Why, if those variances are able to be set as low as 0.0, would you set them any higher than that? Like, what is the actual function of putting a *range* on the Target BG?</t>
        </is>
      </c>
      <c r="D2940" t="n">
        <v>1</v>
      </c>
      <c r="E2940" t="n">
        <v>7</v>
      </c>
      <c r="F2940">
        <f>HYPERLINK("https://www.reddit.com/r/diabetes/comments/5yubnz/whats_the_point_of_the_range_on_a_pumps_target_bg/")</f>
        <v/>
      </c>
      <c r="G2940" t="inlineStr">
        <is>
          <t>2017-03-11 11:16:07</t>
        </is>
      </c>
      <c r="H2940" t="inlineStr">
        <is>
          <t>Type 1</t>
        </is>
      </c>
    </row>
    <row r="2941">
      <c r="A2941" t="inlineStr">
        <is>
          <t>5yw89z</t>
        </is>
      </c>
      <c r="B2941" t="inlineStr">
        <is>
          <t>Type 1: New to Diabetes- Favorite Tips</t>
        </is>
      </c>
      <c r="C2941" t="inlineStr">
        <is>
          <t>Like anything, there is a learning curve. I was diagnosed a little less that 5 months ago and the amount of stuff to learn about and figure out is a little overwhelming. Luckily, I have been really good about diet and exercise and went from an A1c of 11 at hospitalization to 5.7 in December.
But there's so much more to learn and I don't want to get taken advantage of by big companies.
Any advice for a new diabetic?</t>
        </is>
      </c>
      <c r="D2941" t="n">
        <v>2</v>
      </c>
      <c r="E2941" t="n">
        <v>8</v>
      </c>
      <c r="F2941">
        <f>HYPERLINK("https://www.reddit.com/r/diabetes/comments/5yw89z/type_1_new_to_diabetes_favorite_tips/")</f>
        <v/>
      </c>
      <c r="G2941" t="inlineStr">
        <is>
          <t>2017-03-11 17:30:31</t>
        </is>
      </c>
      <c r="H2941" t="inlineStr">
        <is>
          <t>Type 1</t>
        </is>
      </c>
    </row>
    <row r="2942">
      <c r="A2942" t="inlineStr">
        <is>
          <t>5yycgq</t>
        </is>
      </c>
      <c r="B2942" t="inlineStr">
        <is>
          <t>How long does it take for Metformin to start lowering blood glucose?</t>
        </is>
      </c>
      <c r="C2942" t="inlineStr">
        <is>
          <t>I have been taking two 1000mg Metformin tablets for the past three days since being diagnosed with T2. A1C came back as 12. I've also started making dietary changes and so far have managed to cut carbs to about 100g a day so far.
Took my fasting blood glucose this morning and it was at 182, which is higher than the post meal checks I took the day before. Granted, I did not sleep well last night so I don't know if that can affect the levels at all. This recent diagnosis has been pretty hard on me.
Sorry if I'm asking stupid questions but I'm new at this...</t>
        </is>
      </c>
      <c r="D2942" t="n">
        <v>12</v>
      </c>
      <c r="E2942" t="n">
        <v>14</v>
      </c>
      <c r="F2942">
        <f>HYPERLINK("https://www.reddit.com/r/diabetes/comments/5yycgq/how_long_does_it_take_for_metformin_to_start/")</f>
        <v/>
      </c>
      <c r="G2942" t="inlineStr">
        <is>
          <t>2017-03-12 04:51:56</t>
        </is>
      </c>
      <c r="H2942" t="inlineStr">
        <is>
          <t>Type 2</t>
        </is>
      </c>
    </row>
    <row r="2943">
      <c r="A2943" t="inlineStr">
        <is>
          <t>5z0ram</t>
        </is>
      </c>
      <c r="B2943" t="inlineStr">
        <is>
          <t>A few posts about the TSA lately -- I wanted to recommend to everyone to sign up for TSA precheck!</t>
        </is>
      </c>
      <c r="C2943" t="inlineStr">
        <is>
          <t>True, it is $90, but it was really easy to sign up for -- a 5 minute in person document inspection -- and there are even some fancy Chase credit cards who will refund the cost. 
Most TSA precheck lines in the US don't use the body scanners, so you can skip the pat down and just walk through a metal detector. My dexcom sensor and omnipod pump never set it off. If you have a tubey pump, presumably you can just disconnect it beforehand.
TL;DR -- it's worth it even if you don't travel often. 2 round trips in a year would easily make the $90 worth it to me.</t>
        </is>
      </c>
      <c r="D2943" t="n">
        <v>8</v>
      </c>
      <c r="E2943" t="n">
        <v>6</v>
      </c>
      <c r="F2943">
        <f>HYPERLINK("https://www.reddit.com/r/diabetes/comments/5z0ram/a_few_posts_about_the_tsa_lately_i_wanted_to/")</f>
        <v/>
      </c>
      <c r="G2943" t="inlineStr">
        <is>
          <t>2017-03-12 13:29:06</t>
        </is>
      </c>
      <c r="H2943" t="inlineStr">
        <is>
          <t>Type 1</t>
        </is>
      </c>
    </row>
    <row r="2944">
      <c r="A2944" t="inlineStr">
        <is>
          <t>5z13e0</t>
        </is>
      </c>
      <c r="B2944" t="inlineStr">
        <is>
          <t>Splitting basal 50/50 in evening/morning?</t>
        </is>
      </c>
      <c r="C2944" t="inlineStr">
        <is>
          <t>I currently take my basal at night and was thinking of splitting it 50/50 in the evening/morning. My reason for this is I seem to be going low at night (will go to bed with 6mmol/l, eat 30 carbs with no bolus, and will still wake up with 6 mmol/l), but I don't want to lower the basal because it's a good amount for me during the day time. 
If you've done this 50/50 split, how has your experience been? Do you wait exactly 12 hours between the two doses?</t>
        </is>
      </c>
      <c r="D2944" t="n">
        <v>5</v>
      </c>
      <c r="E2944" t="n">
        <v>16</v>
      </c>
      <c r="F2944">
        <f>HYPERLINK("https://www.reddit.com/r/diabetes/comments/5z13e0/splitting_basal_5050_in_eveningmorning/")</f>
        <v/>
      </c>
      <c r="G2944" t="inlineStr">
        <is>
          <t>2017-03-12 14:30:56</t>
        </is>
      </c>
      <c r="H2944" t="inlineStr">
        <is>
          <t>Type 1</t>
        </is>
      </c>
    </row>
    <row r="2945">
      <c r="A2945" t="inlineStr">
        <is>
          <t>5z5hzg</t>
        </is>
      </c>
      <c r="B2945" t="inlineStr">
        <is>
          <t>I (almost) halved it! Diagnosed A1C: 12 now...6.5!</t>
        </is>
      </c>
      <c r="C2945" t="inlineStr">
        <is>
          <t xml:space="preserve">While not so dramatic as some of the results I've seen from others I'm still pretty excited I was able to bring it down so much over the past 3ish months! I tried to celebrate with a beer but my body went "what's a carb" and I had to spend some quality bathroom time. 
And of course it wouldn't have been without you guys! It's great to know that I'm never alone on this! My next goal is the 5s but I also need to watch my cholesterol which while has gone down those Triglycerides like to stay pretty high. Hopefully this goes hand in hand with my weight loss as well. </t>
        </is>
      </c>
      <c r="D2945" t="n">
        <v>67</v>
      </c>
      <c r="E2945" t="n">
        <v>11</v>
      </c>
      <c r="F2945">
        <f>HYPERLINK("https://www.reddit.com/r/diabetes/comments/5z5hzg/i_almost_halved_it_diagnosed_a1c_12_now65/")</f>
        <v/>
      </c>
      <c r="G2945" t="inlineStr">
        <is>
          <t>2017-03-13 08:10:04</t>
        </is>
      </c>
      <c r="H2945" t="inlineStr">
        <is>
          <t>Type 2</t>
        </is>
      </c>
    </row>
    <row r="2946">
      <c r="A2946" t="inlineStr">
        <is>
          <t>5z6r9z</t>
        </is>
      </c>
      <c r="B2946" t="inlineStr">
        <is>
          <t>Looking for an ice cream type product better than others for folks testing their fingertip blood glucose for controlling diabetes...</t>
        </is>
      </c>
      <c r="C2946" t="inlineStr">
        <is>
          <t>Looking for an ice cream type product better than others for folks testing their fingertip blood glucose for controlling diabetes... other than Arctic Zero Vanilla Maple Pint https://www.arcticzero.com/products/attributes</t>
        </is>
      </c>
      <c r="D2946" t="n">
        <v>0</v>
      </c>
      <c r="E2946" t="n">
        <v>7</v>
      </c>
      <c r="F2946">
        <f>HYPERLINK("https://www.reddit.com/r/diabetes/comments/5z6r9z/looking_for_an_ice_cream_type_product_better_than/")</f>
        <v/>
      </c>
      <c r="G2946" t="inlineStr">
        <is>
          <t>2017-03-13 11:34:36</t>
        </is>
      </c>
      <c r="H2946" t="inlineStr">
        <is>
          <t>Type 2</t>
        </is>
      </c>
    </row>
    <row r="2947">
      <c r="A2947" t="inlineStr">
        <is>
          <t>5zadw5</t>
        </is>
      </c>
      <c r="B2947" t="inlineStr">
        <is>
          <t>Mother has been diagnosed with T2; has trouble with Keto</t>
        </is>
      </c>
      <c r="C2947" t="inlineStr">
        <is>
          <t>Hey everyone, my mother was recently diagnosed with T2 diabetes although it's probable she has had it for about a decade and it is now starting to spin out of control. She does not suffer from obesity or does not eat poorly but her father had T2, so we imply that she inherited it. She is trying to do the ketogenic diet but complains of electrolyte-related symptoms such as cramps, heart palpitations/flutters and tingling. The tingling is also due to peripheral neuropathy induced by her T2 but it seems to get worse when she is doing keto.
As a result, my mother is confused as to how to diet and whether or not she should eat carbs. When she reintroduces carbs into her diet, she says the heart fluttering stops and she feels more 'normal'. I was reading that the body takes awhile to calibrate to keto and it can be an uncomfortable process so we're confused of whether she should keep up with keto or slowly reintroduce carbs. 
When it comes to diet, she does not eat gluten, soy or dairy. Bone broth is a staple in our household and for the most part, she eats clean but still suffers from these issues. I should add that she is not on Metformin and has tried Berberine but had GI issues.
Can anyone clarify why she gets cramps, tingles and heart issues on keto and what we can do to mitigate it? If we should not do keto at all, what other options are there? Thanks.
TL;DR My mother was recently diagnosed with T2 at a healthy weight/BMI. She has flutters, cramps and heart issues on keto, is there anything we can do about this? Any tips? My mom has been having a rough time sleeping at night due to this. Thanks.</t>
        </is>
      </c>
      <c r="D2947" t="n">
        <v>1</v>
      </c>
      <c r="E2947" t="n">
        <v>4</v>
      </c>
      <c r="F2947">
        <f>HYPERLINK("https://www.reddit.com/r/diabetes/comments/5zadw5/mother_has_been_diagnosed_with_t2_has_trouble/")</f>
        <v/>
      </c>
      <c r="G2947" t="inlineStr">
        <is>
          <t>2017-03-13 22:34:42</t>
        </is>
      </c>
      <c r="H2947" t="inlineStr">
        <is>
          <t>Type 2</t>
        </is>
      </c>
    </row>
    <row r="2948">
      <c r="A2948" t="inlineStr">
        <is>
          <t>5zbz7x</t>
        </is>
      </c>
      <c r="B2948" t="inlineStr">
        <is>
          <t>Recently diagnosed with T2 and A1C 12, baffled by these glucometer readings.</t>
        </is>
      </c>
      <c r="C2948" t="inlineStr">
        <is>
          <t xml:space="preserve">I was diagnosed about 5 days ago with T2 diabetes after my A1C came back at 12. Since then I have cut carbs to under 100g a day, and have been taking two 1000mg of Metformin daily. I've also been exercising daily, just 30-45 minutes of brisk walking until I get in better shape.
From what I understand, 12 A1C means that on average my BG was very high, around 300mg/dL. My doctor wanted me to test my BG in the morning and before I go to bed, then give him the results in 3 weeks to determine whether I should go on insulin. 
Since he hasn't sent a prescription for testing supplies I just bought a ReliOn Prime and started testing a few days ago. The past two days my numbers have been bizarre. 
Yesterday my fasting blood sugar was 142, which is obviously high, though seems normal given my diagnosis. However, since then my numbers have dropped quite a bit. This morning I took my blood sugar and it was 81. Had breakfast, which consisted of 1 oz nuts and a Glucerna hunger shake which totaled 21g carbs and 7g sugar (I was trying to see if it would go up). Two hours later my blood sugar was 78. I had slightly higher but similar numbers yesterday.
I know these are good numbers but they don't make sense. What the hell is going on? I'm pretty sure I'm testing correctly; I wash my hands, make sure they are completely dry, and try not squeeze my finger too much to get blood. Is my meter messed up? Surely carb restriction, Metformin, and exercise can't be that effective so quickly. Besides, I do feel like I have higher blood sugar.
I have to wait until the control solution comes to make sure my meter is working correctly, but until then, does anybody know what could be causing these numbers?
</t>
        </is>
      </c>
      <c r="D2948" t="n">
        <v>3</v>
      </c>
      <c r="E2948" t="n">
        <v>9</v>
      </c>
      <c r="F2948">
        <f>HYPERLINK("https://www.reddit.com/r/diabetes/comments/5zbz7x/recently_diagnosed_with_t2_and_a1c_12_baffled_by/")</f>
        <v/>
      </c>
      <c r="G2948" t="inlineStr">
        <is>
          <t>2017-03-14 06:04:04</t>
        </is>
      </c>
      <c r="H2948" t="inlineStr">
        <is>
          <t>Type 2</t>
        </is>
      </c>
    </row>
    <row r="2949">
      <c r="A2949" t="inlineStr">
        <is>
          <t>5zdc5v</t>
        </is>
      </c>
      <c r="B2949" t="inlineStr">
        <is>
          <t>I'm a dumbass, I know, but I seriously don't like following my proper insulin:carb ratio because I'm still too scared to inject the high amount of insulin I am supposed to.</t>
        </is>
      </c>
      <c r="C2949" t="inlineStr">
        <is>
          <t>My insulin:carb ratio is 1:15.  
This means I go and I eat a big meal, or even a small meal, and I have to inject like, 6 units per meal. Yesterday, I bought myself a hamburger from Sonic, a long with a small order of fries, water, and a mini Sonic Blast, all of which totaled to **135** carbs, so I had to inject **9 units** of insulin.  
I'm fucking TERRIFIED, **TERRIFIED** of fucking going low as shit and dying from a hypo. So terrified that I keep on taking drastically low doses of insulin when I'm supposed to take more. I took **5** units for the meal instead of the whole 9.  
2 hours later, glucose was **245**. I then took 3 units to correct it.  
Not only that, but at night time, I'm even more afraid of Sudden Death Syndrome, where diabetics get low over night and their adrenal response to the hypo doesn't kick in, and they don't wake up and DIE IN THEIR SLEEP. That is fucking horrifying to me too.  
I don't want to fucking die from hypos. Especially not while I'm sleeping. So I keep on eating a stupid amount of carbs before I sleep. I typically go to bed with my sugar reading around **170** or so, and wake up with it in the **130-140** range.  
I'm tired all the time, regardless of how many hours of sleep I get, I'm cranky, sleepy, and I'm sometimes thirsty for prolonged periods of time even though my glucose is about 120 or so.  
I'm about 90% sure that my problems are caused because of my stupid ass inability to follow my regime properly, and I'm too fucking scared and embarrassed to tell my endocrinologist what is happening. I haven't seen my endo in about 3 months, I go to see her next month, and I'm extremely scared of what my A1C is going to read.   
I've only been a Type 1 for about a year now, and I only started doing this shit after I gained back the weight I lost from the keto acidosis I had during my initial diagnosis. Back then, my ratio was 1:30, and I was very comfortable with that because I didn't inject these big amounts of insulin. I was about 120 pounds back then, now I'm 152 pounds. I am fatter now, so that is why I guess my ratio has changed to half of what it was, but I'm still too scared to commit.  
When I last checked my A1C, it was before I did this stupid stuff, and it was pretty much hovering in the good 6 range. She said it was pretty much around what a normal non-diabetic human being's A1C would be.  
Now I'm petrified at what she is going to say when it comes out and ends up being fucking retarded, because I don't know how to tell her how stupid I have acted over this shit.  
I'm really stressing myself out over this, and I'm really sick of feeling shitty all day from it.  
Surely there has to be another diabetic out there who has had this problem and overcome it, surely I'm not the only one who has this phobia of hypos. If you are out there, I'd really appreciate some guidance and advice. I'm too embarrassed to talk to my doctors and T1 friends about this.  
It's really fucking stupid to say that. They're my doctors and friends, and they deserve to know, and they simply want to have my best interests at heart and help me and could counsel me, but I'm way to afraid to reveal my foolishness. I don't know.
**TL;DR: My insulin to carb ratio changed over the year from 1:30 to 1:15, and when I eat big meals and have to take a lot of insulin, EG 9 units, I am too afraid of hypo glycemia and dying from a coma to do it properly, so I under dose and end up going high all the time and feeling like garbage. I'm especially scared at night and end up sleeping with my glucose hovering around the 140-180 range. Please help me out. I am too embarrassed to seek advice from my endo.**</t>
        </is>
      </c>
      <c r="D2949" t="n">
        <v>11</v>
      </c>
      <c r="E2949" t="n">
        <v>22</v>
      </c>
      <c r="F2949">
        <f>HYPERLINK("https://www.reddit.com/r/diabetes/comments/5zdc5v/im_a_dumbass_i_know_but_i_seriously_dont_like/")</f>
        <v/>
      </c>
      <c r="G2949" t="inlineStr">
        <is>
          <t>2017-03-14 09:59:31</t>
        </is>
      </c>
      <c r="H2949" t="inlineStr">
        <is>
          <t>Type 1</t>
        </is>
      </c>
    </row>
    <row r="2950">
      <c r="A2950" t="inlineStr">
        <is>
          <t>5zdr81</t>
        </is>
      </c>
      <c r="B2950" t="inlineStr">
        <is>
          <t>Boyfriend has Type 1 and has TERRIBLE eating habits. He has a very hard time keeping his blood sugar under control. I'm concerned and have some questions...</t>
        </is>
      </c>
      <c r="C2950" t="inlineStr">
        <is>
          <t>My boyfriend is 31 and about 6'2 weighing 220 pounds. He has a belly on him, but claims that it's common with most type 1 diabetics. He was diagnosed when he was 8 years old. We've been dating for about 6 months and I'm starting to become more concerned with his health. 
He tends to wake up late and skip breakfast. His diet (all of his life) consists of lots of mountain dew, heavy carbs (pizza, bread, pastas), lots of meat, sauces, and fried food with a major absence of fruit and vegetables. He also drinks fairly heavily just about every other weekend. His argument is that he can eat whatever he wants, he just has to adjust his insulin accordingly. He does work out, but pretty low intensity stuff.
He's been recently having a hard time controlling his blood sugar. Most of the time, it's very high. He says he also feels like shit 2 out of every 3 days. I'm just very nervous about how he's handling everything and I'd like your guy's opinions. I'd like to be able to help him improve his health. 
Thanks!</t>
        </is>
      </c>
      <c r="D2950" t="n">
        <v>14</v>
      </c>
      <c r="E2950" t="n">
        <v>44</v>
      </c>
      <c r="F2950">
        <f>HYPERLINK("https://www.reddit.com/r/diabetes/comments/5zdr81/boyfriend_has_type_1_and_has_terrible_eating/")</f>
        <v/>
      </c>
      <c r="G2950" t="inlineStr">
        <is>
          <t>2017-03-14 11:02:51</t>
        </is>
      </c>
      <c r="H2950" t="inlineStr">
        <is>
          <t>Type 1</t>
        </is>
      </c>
    </row>
    <row r="2951">
      <c r="A2951" t="inlineStr">
        <is>
          <t>5zk1vc</t>
        </is>
      </c>
      <c r="B2951" t="inlineStr">
        <is>
          <t>Empagliflozin and Type1 - a study participant's perspective</t>
        </is>
      </c>
      <c r="C2951" t="inlineStr">
        <is>
          <t xml:space="preserve">I recently spent four months doing a clinical trial with Empagliflozin. This is my experience and I want as many Type I's to see it as possible.
I am writing this post in order to spread the word about its effectiveness in my case. It is not currently prescribed to Type I’s because there is risk of elevated ketones and urinary tract infections. 
My last day of the trial was yesterday and I burst into tears at the lab. I don’t want to stop taking it; that is how AMAZING it is (for me). The trial’s lead investigator came to talk to me about it, and I found out that it can be prescribed outside of indication (i.e. even though it is for Type IIs my endocrinologist can prescribe it). THANK ALL THAT IS GOOD IN THIS WORLD.
I am Type I on multiple daily injections and I monitor my blood sugars with a glucometer and strips. I do not and will never use the pump or CGM because my skin is allergic to everything that touches it, except cotton and silver. However, many of the clinical trial participants were on the pump. So far, there have been about 64 trial participants and only a handful found Empagliflozin to be as miraculous as me. Most saw a positive difference, but only about 5 have said they feel like they no longer have Diabetes mellitus. Let me explain how it works in general and what it did for me:
Empagliflozin is an inhibitor of the sodium glucose co-transporter-2 (SGLT-2), which is found almost exclusively in the kidneys. Blocking SGLT-2 reduces blood glucose by blocking glucose reabsorption in the kidney, thereby excreting glucose via the urine. So, in other words, if there is glucose in your blood that is not being used by the body, instead of our kidneys just circulating all that sugary blood, the kidneys kick it out into the urine.
The problem with kicking out all excess sugar is that when your body needs fuel and you haven’t eaten and/or taken insulin, it will burn fat instead. And fat-burning results in ketones. That’s the danger – KETONES. I cannot express how dangerous ketones can be. They need to be monitored daily, to make sure they are low (below 0.6). Sometimes with Empagliflozin, you could have a BS level of 5.2 but have really high ketones because your body has been burning fat and not glucose+insulin. With high ketones, you MUST take insulin AND eat because the two together work to fuel the body instead of the fat.
Another problem with getting rid of sugar through the urine is the increased likelihood of urinary tract infections and other general infections (i.e. yeasts and other bacteria). When you put sugar in the urine, that sugar is available to microorganism and they can thrive. I did not experience any infections but many people do (both in the study and in Type IIs who currently use it). It is the biggest side-effect of Empagliflozin. 
What happened to me: I started taking the 25mg pill (every day at about 9am) and, under advice from the study, I reduced my basal insulin dose to 22 from 26 from that very first day. All my bolus doses also went down by 1 or 2 units. Throughout the trial, my BS levels were phenomenal. I was high about three times in 30 days (high being 11.7 or so), testing about 8 times per day. My ketones (which I tested in the morning and at bedtime, and after strenuous exercise) never got over 0.3; they were mostly 0.1.
It was like I could do no wrong: I checked my BS, gave insulin at meals, and took my basal doses (one at breakfast and one at bedtime). I experienced fewer lows than usual because I didn’t need as much insulin. If I graphed my BS levels (which I intend to do because the study let me keep a copy of all my records) the line would be mostly flat with two dips for lows and 3 peaks for highs. I don’t have the A1C results yet, but there is no doubt that my A1C dropped drastically. I have NEVER been so in control. I felt like I didn’t have Diabetes mellitus, because, let’s face it, the easiest part of managing diabetes is the physical mechanics of testing blood sugar and dosing insulin, the hard part is the calculating, the worrying, the correcting, and preplanning…
When all you have to do is prick your finger, jab, and eat, wow! 
I KNOW that I am an extreme case. I know that Empagliflozin is unlikely to work so well in others and that it can be downright dangerous! If you miss a dose, especially a night-time basal dose, you can get REALLY sick, REALLY fast! Elevated ketones and ketoacidosis are emergency-room situations. They can kill you so Empagliflozin is not for people who skip meals and/or doses. Nor is it for anyone who isn’t vigilant with monitoring blood sugars and ketones. BUT it is for ME!!! It might be for you! Talk to your endocrinologist!
TL;DR - Empagliflozin is the best thing that has EVER happened to this Type I (diabetically-speaking if we don’t count, ya know, insulin). Talk to your endo!
</t>
        </is>
      </c>
      <c r="D2951" t="n">
        <v>10</v>
      </c>
      <c r="E2951" t="n">
        <v>9</v>
      </c>
      <c r="F2951">
        <f>HYPERLINK("https://www.reddit.com/r/diabetes/comments/5zk1vc/empagliflozin_and_type1_a_study_participants/")</f>
        <v/>
      </c>
      <c r="G2951" t="inlineStr">
        <is>
          <t>2017-03-15 08:35:41</t>
        </is>
      </c>
      <c r="H2951" t="inlineStr">
        <is>
          <t>Type 1</t>
        </is>
      </c>
    </row>
    <row r="2952">
      <c r="A2952" t="inlineStr">
        <is>
          <t>5zknmy</t>
        </is>
      </c>
      <c r="B2952" t="inlineStr">
        <is>
          <t>Dumb injection mistake (?)</t>
        </is>
      </c>
      <c r="C2952" t="inlineStr">
        <is>
          <t>Hey all, new to this subreddit. I just got diagnosed T1 in September but I think I've been doing pretty well so far (mostly because I'm honeymooning, probably) but I might have messed up a little a couple of minutes ago.
I went to inject myself with my Humalog to cover the burgers I was about to eat, and I was feeling lazy so I tried to inject myself through my pants. 
1. The pen was almost empty so I'm not sure that I actually injected enough insulin, when I tried to test it a little afterward nothing came out.
2. I can't feel the bump where the insulin normally lies under my skin for a minute or so. However, my thighs are pretty dang thick (humblebrag) so sometimes I can't feel it / don't notice it.
3. The danged needle came out bent to all hell for reasons I'm not sure of.
Any tips? I'm genuinely not sure if I got the full dose or none at all. I'll probably just shrug, eat and then deal with a high if it happens, because I tend to run pretty low when I test (~90) and I don't think taking more insulin is a very good idea. Also, I was going to go to the gym in an hour or so, so it'd probably be better to be a little high then... right?</t>
        </is>
      </c>
      <c r="D2952" t="n">
        <v>6</v>
      </c>
      <c r="E2952" t="n">
        <v>7</v>
      </c>
      <c r="F2952">
        <f>HYPERLINK("https://www.reddit.com/r/diabetes/comments/5zknmy/dumb_injection_mistake/")</f>
        <v/>
      </c>
      <c r="G2952" t="inlineStr">
        <is>
          <t>2017-03-15 10:10:46</t>
        </is>
      </c>
      <c r="H2952" t="inlineStr">
        <is>
          <t>Type 1</t>
        </is>
      </c>
    </row>
    <row r="2953">
      <c r="A2953" t="inlineStr">
        <is>
          <t>5zlel5</t>
        </is>
      </c>
      <c r="B2953" t="inlineStr">
        <is>
          <t>My Three Month Journey: A long winded rant, and a thank you</t>
        </is>
      </c>
      <c r="C2953" t="inlineStr">
        <is>
          <t>Hello All.  I post regularly in this forum, and first things first, I would like to thank everyone for their support getting me through my first 3 months of Type 2 diabetes.
it started on Dec 15, when I was informed I had an **A1C of 9.3.  I also had very bad cholesterol and bad triglycerides**.  I was told that I would be put on a statin as soon as I was "psychologically ready" for the treatment.  I had gone to a special diabetes clinic that day, and they spent 3hours with me discussing the disease, and what it means. 
the first thing the doctor said to me was **"This is not caused by your sins, although you may have many.  Diabetes is a complex disease, and the causes of it aren't fully understood.  It is highly likely that you lost the genetic lottery"** One of the most important things the doctor told me was **"If I were you, and computer savvy.  I'd go on the internet and learn as much as I possibly could about treatment, diet, exercise."** so I did
I found this forum.  /r/diabetes and started asking questions, and participating in discussions.  The most important idea I found here was the **low carbohydrate diet**.  Using this diet, I was able to get my fasting blood sugars from 14mmol, the day after my diagnosis, to 5mmol very quickly (5 days).  I've also found many friends who suggest methods of exercise, suggesting using MFP.
It's been a rough road for me lately.  My Mom was not onboard for this new diet.  I visited my mom nearly every day, and we'd often have dinner together while watching the TV.  Every sunday mom would cook up something special, and because I now had a low-carb lifestyle, those special dinners had to change.  Mom was very sad I couldn't eat mashed potatoes and yorkshire puddings anymore, but we substituted turnip and broccoli, and everything tasted great.  But mom loved mashed potatoes and yorkshire pudding.
Unfortunately, my Mom died 2 weeks ago.  It was devastating.  When I found her body my stress levels were through the roof, and even 7 hours after finding her my blood sugars were at 9.7mmol.  My blood sugars didn't come down for a few days... even though I couldn't eat much as everything tasted like cardboard.  My blood sugars final came back to healthy when my Dad showed up (he and mom have been divorced for 30+ years), and started taking care of me.
My Dad has type 2 diabetes too, but he lives a very active ADA recommended lifestyle.  He's never had complications and only had to start using insulin due to a cancer he beat 5 years ago (cancer took away a lot of the active lifestyle he used to enjoy).  Dad was slightly concerned I wasn't following ADA, however over the past months, I had lost 22lbs, so he said "well I cant argue that whatever your doing isn't successful.  You should continue because it's working."
So 2 weeks have passed, my Dad has flown back home to his mountain retreat, and I've started taking care of myself again.  I've visited the doctor (my regular GP, not my diabetes specialist) to make sure I was grieving OK, and asked him to order me some blood work.
I got the bloodwork done yesterday, and because I signed up to the blood labs website, I've been able to get some results before I see the doctor.
It's the first good news I've received. And because **Mom's not here to share it with, I'd like to share it with you.**
**A1C - 5.0%**
HDL - 1.16mmol - normal range
LDL - 2.6mmol (for doctor to determine)
Triglycerides - 1.18mmol - normal range
Potassium - 5.4 - within range
Sodium - 143 - within range
In fact, everything up and down the board is "within range"
I'm healthy.  I'm somewhere between 25 and 30lbs lighter (my scale isn't with me at the moment), and although I'm grieving, my body is feeling great.
My exercise is changing.  I've inherited a dog who I take out for 2 walks a day instead of hitting the treadmill or rowing machine (I have to fix this somehow).  But for now, I am healthy.
Thank you for reading, and for letting me share.
Thank you for suggesting eating habits and exercise habits that will extend my life.</t>
        </is>
      </c>
      <c r="D2953" t="n">
        <v>14</v>
      </c>
      <c r="E2953" t="n">
        <v>9</v>
      </c>
      <c r="F2953">
        <f>HYPERLINK("https://www.reddit.com/r/diabetes/comments/5zlel5/my_three_month_journey_a_long_winded_rant_and_a/")</f>
        <v/>
      </c>
      <c r="G2953" t="inlineStr">
        <is>
          <t>2017-03-15 12:06:17</t>
        </is>
      </c>
      <c r="H2953" t="inlineStr">
        <is>
          <t>Type 2</t>
        </is>
      </c>
    </row>
    <row r="2954">
      <c r="A2954" t="inlineStr">
        <is>
          <t>5zm9pk</t>
        </is>
      </c>
      <c r="B2954" t="inlineStr">
        <is>
          <t>Pods don't work, but shots do. Anyone have this happen before?</t>
        </is>
      </c>
      <c r="C2954" t="inlineStr">
        <is>
          <t>So I started a new box of pods. the last in my batch, a few days ago and ever since my blood sugars have been CRAZY.  Consistently high, out of nowhere, even when I'm not eating anything.  I started climbing a couple hours after I put the first one on; I had been at a steady 90-something all day, and then as I was walking to the gym it started creeping up; I ended up leaving the workout early bc I was headed towards 200 even though I monitor my heartrate during workouts.  Tried bringing it down but it wasn't budging so I gave up and took a manual shot and came down HARD. So I went low. Had a glug of juice, not a ton, because I knew that I wasn't going to fall much further, and just wanted to buoy myself up a bit. Shot up to 200. Stayed there. Bolused, waited, nothing. After I waited until I had zero insulin on board I took another manual shot.  Fell low again. Little juice, massive spike...this went on from Monday morning until yesterday afternoon when I finally got it leveled off to the high 80s for most of the afternoon. Went to have dinner; I never eat more than 20-40g of carb in a meal bc I don't eat a ton of calories period. So why did I, on what should've been 25g plus a reasonable bolus, climb AGAIN to 200 from 85? Same thing; couldn't get it down. Took a manual shot, fell to 65, drank literally ONE slug of juice from the jug and climbed to 190 but by then I had fallen asleep and slept through my dexcom and had a weird wiggly line between 170-210 most of the night.  I also never have wiggly lines when I sleep. It's usually pretty smooth and steady. 
Today I changed my pod thinking maybe my pod wasn't working (although that doesn't explain why I'm going low on every manual shot and rebounding on EVERY SINGLE TIME, except once) but even with the new pod today...same damn story. Steady but slightly low at 65. Ate a very small 25g of carb lunch took a delayed 1u of insulin because I started lunch low and now, several hours later, I'm at 222 and climbing. Do I have a bad bunch of pods? I'm considering just ripping the thing off and taking a one-unit bolus every hour and a half until my new box of pods arrives, mercifully, tomorrow. Anyone else have this happen before? I assume I'm rebounding, but damn. Annoyed. Thoughts?
TL:DR: manual shots work TOO well, multiple pods don't seem to work at all. Juice on not dramatic hypos are spiking me like crazy.  Anyone have pods just straight up FAIL as well as have multiple rebounds in quick succession? I thought once your liver hit one rebound you were pretty much depleted from having more rapidly within the same day.
EDIT: Hey y'all I think I was just getting sick. The boluses from manual shots were bringing me down but the persistent highs (including the one I got in the middle of the night last night)  must have been from me brewing whatever it is that has knocked me down today. Thanks for the help!</t>
        </is>
      </c>
      <c r="D2954" t="n">
        <v>7</v>
      </c>
      <c r="E2954" t="n">
        <v>22</v>
      </c>
      <c r="F2954">
        <f>HYPERLINK("https://www.reddit.com/r/diabetes/comments/5zm9pk/pods_dont_work_but_shots_do_anyone_have_this/")</f>
        <v/>
      </c>
      <c r="G2954" t="inlineStr">
        <is>
          <t>2017-03-15 14:19:58</t>
        </is>
      </c>
      <c r="H2954" t="inlineStr">
        <is>
          <t>Type 1</t>
        </is>
      </c>
    </row>
    <row r="2955">
      <c r="A2955" t="inlineStr">
        <is>
          <t>5zqynl</t>
        </is>
      </c>
      <c r="B2955" t="inlineStr">
        <is>
          <t>Medtronic 630g users -- are you having issues with your guardian CGM?</t>
        </is>
      </c>
      <c r="C2955" t="inlineStr">
        <is>
          <t>hey diabetic friends, I recently got the new 630g Medtronic pump and everything seems great, but I am having trouble with the new guardian CGM. The sensor will work perfectly for about 8-12 hours and then it stops connecting with the sensor and can't be found. This is frustrating as I am not sure if it is a problem with my receiver or if this is user error. Anyone else having this problem where the sensor fails after less than a day?</t>
        </is>
      </c>
      <c r="D2955" t="n">
        <v>3</v>
      </c>
      <c r="E2955" t="n">
        <v>5</v>
      </c>
      <c r="F2955">
        <f>HYPERLINK("https://www.reddit.com/r/diabetes/comments/5zqynl/medtronic_630g_users_are_you_having_issues_with/")</f>
        <v/>
      </c>
      <c r="G2955" t="inlineStr">
        <is>
          <t>2017-03-16 07:42:50</t>
        </is>
      </c>
      <c r="H2955" t="inlineStr">
        <is>
          <t>Type 1</t>
        </is>
      </c>
    </row>
    <row r="2956">
      <c r="A2956" t="inlineStr">
        <is>
          <t>5zxo23</t>
        </is>
      </c>
      <c r="B2956" t="inlineStr">
        <is>
          <t>PCP vs. Endocrinologist</t>
        </is>
      </c>
      <c r="C2956" t="inlineStr">
        <is>
          <t>Hi all. I was dx with T2 about 3 weeks ago by my primary care physician. I have a follow up appointment on Wednesday. I'm wondering if she should "manage" my care or if I should switch to my endocrinologist? I'm already seeing one for hypothyroidism, but the practice mainly deals with diabetes. (It's even in their name) Or does it matter? Any opinions? TIA</t>
        </is>
      </c>
      <c r="D2956" t="n">
        <v>6</v>
      </c>
      <c r="E2956" t="n">
        <v>18</v>
      </c>
      <c r="F2956">
        <f>HYPERLINK("https://www.reddit.com/r/diabetes/comments/5zxo23/pcp_vs_endocrinologist/")</f>
        <v/>
      </c>
      <c r="G2956" t="inlineStr">
        <is>
          <t>2017-03-17 06:49:15</t>
        </is>
      </c>
      <c r="H2956" t="inlineStr">
        <is>
          <t>Type 2</t>
        </is>
      </c>
    </row>
    <row r="2957">
      <c r="A2957" t="inlineStr">
        <is>
          <t>605tkl</t>
        </is>
      </c>
      <c r="B2957" t="inlineStr">
        <is>
          <t>How do I know when my sugar is high/low and I am doing stupid things because of it?</t>
        </is>
      </c>
      <c r="C2957" t="inlineStr">
        <is>
          <t xml:space="preserve">So I am still adjusting to this Diabetes thing and my sugar was high this morning and I definitely got upset with my boyfriend over something that I shouldn't have.  I was reaaaally upset.  I tested my sugar right after because I felt weird and it was stupid high (for me anyway) and after correcting I felt much more logical and now I am just embarrassed.  He is really understanding but it's happened a few times, once my sugar was 390 and I had to go to the hospital to get my sugar down because my insulin wasn't working.
I just want to crawl into bed and hide :/ </t>
        </is>
      </c>
      <c r="D2957" t="n">
        <v>6</v>
      </c>
      <c r="E2957" t="n">
        <v>11</v>
      </c>
      <c r="F2957">
        <f>HYPERLINK("https://www.reddit.com/r/diabetes/comments/605tkl/how_do_i_know_when_my_sugar_is_highlow_and_i_am/")</f>
        <v/>
      </c>
      <c r="G2957" t="inlineStr">
        <is>
          <t>2017-03-18 12:14:15</t>
        </is>
      </c>
      <c r="H2957" t="inlineStr">
        <is>
          <t>Type 1.5/LADA</t>
        </is>
      </c>
    </row>
    <row r="2958">
      <c r="A2958" t="inlineStr">
        <is>
          <t>6068vs</t>
        </is>
      </c>
      <c r="B2958" t="inlineStr">
        <is>
          <t>Eating while high</t>
        </is>
      </c>
      <c r="C2958" t="inlineStr">
        <is>
          <t>If your bloodsugar is like 18,0 mmol you can still safely eat no carb meals? such as eggs and sausage for example?</t>
        </is>
      </c>
      <c r="D2958" t="n">
        <v>15</v>
      </c>
      <c r="E2958" t="n">
        <v>16</v>
      </c>
      <c r="F2958">
        <f>HYPERLINK("https://www.reddit.com/r/diabetes/comments/6068vs/eating_while_high/")</f>
        <v/>
      </c>
      <c r="G2958" t="inlineStr">
        <is>
          <t>2017-03-18 13:36:02</t>
        </is>
      </c>
      <c r="H2958" t="inlineStr">
        <is>
          <t>Type 1</t>
        </is>
      </c>
    </row>
    <row r="2959">
      <c r="A2959" t="inlineStr">
        <is>
          <t>60819q</t>
        </is>
      </c>
      <c r="B2959" t="inlineStr">
        <is>
          <t>Pharmacist asked me if I have a glucose meter and if I knew how to test my blood sugar... I have been diabetic for almost 5 years; why wouldn't I at this point?</t>
        </is>
      </c>
      <c r="C2959" t="inlineStr">
        <is>
          <t xml:space="preserve">I know the guy was looking out for my best interests, but it just seemed like a strange question. I'd hazard that a meter is almost more important than meds when it comes to management (for T2 anyway). Granted, I have been on a very strange medication regiment so maybe he thought I was a new diagnosis but still... What an odd question! He also suggested I ask for a switch to Metformin and said my current dosage of Glimeperide (sp??) was too low. </t>
        </is>
      </c>
      <c r="D2959" t="n">
        <v>5</v>
      </c>
      <c r="E2959" t="n">
        <v>37</v>
      </c>
      <c r="F2959">
        <f>HYPERLINK("https://www.reddit.com/r/diabetes/comments/60819q/pharmacist_asked_me_if_i_have_a_glucose_meter_and/")</f>
        <v/>
      </c>
      <c r="G2959" t="inlineStr">
        <is>
          <t>2017-03-18 19:47:22</t>
        </is>
      </c>
      <c r="H2959" t="inlineStr">
        <is>
          <t>Type 2</t>
        </is>
      </c>
    </row>
    <row r="2960">
      <c r="A2960" t="inlineStr">
        <is>
          <t>60bdxq</t>
        </is>
      </c>
      <c r="B2960" t="inlineStr">
        <is>
          <t>Tresiba questions</t>
        </is>
      </c>
      <c r="C2960" t="inlineStr">
        <is>
          <t>Hello all, I need some information about Tresiba. My endo prescribed Tresiba for the first time, I was on Lantus until now. Anybody here that uses Tresiba maybe can answer to a few questions: 1) the analogy of units between the 2 insulins is the same? (1 u of Lantus = 1 u of Tresiba)? 2. How about the DP, I had extreme problems with Lantus, do you find it is better with Tresiba? 3) I had two incidents of "Lantus lows", where the Lantus did not got into fat correctly and acted as Regular - does Tresiba has a different mechanism so this problem is avoided altogether? I am starting tomorrow thanks for any info</t>
        </is>
      </c>
      <c r="D2960" t="n">
        <v>6</v>
      </c>
      <c r="E2960" t="n">
        <v>4</v>
      </c>
      <c r="F2960">
        <f>HYPERLINK("https://www.reddit.com/r/diabetes/comments/60bdxq/tresiba_questions/")</f>
        <v/>
      </c>
      <c r="G2960" t="inlineStr">
        <is>
          <t>2017-03-19 11:00:13</t>
        </is>
      </c>
      <c r="H2960" t="inlineStr">
        <is>
          <t>Type 1</t>
        </is>
      </c>
    </row>
    <row r="2961">
      <c r="A2961" t="inlineStr">
        <is>
          <t>60k3d4</t>
        </is>
      </c>
      <c r="B2961" t="inlineStr">
        <is>
          <t>6.2 a1c!</t>
        </is>
      </c>
      <c r="C2961" t="inlineStr">
        <is>
          <t xml:space="preserve">Just got my latest a1c back and I am down to 6.2! 6 months on short acting insulin as well as long acting, and I am down from 8.2! </t>
        </is>
      </c>
      <c r="D2961" t="n">
        <v>50</v>
      </c>
      <c r="E2961" t="n">
        <v>9</v>
      </c>
      <c r="F2961">
        <f>HYPERLINK("https://www.reddit.com/r/diabetes/comments/60k3d4/62_a1c/")</f>
        <v/>
      </c>
      <c r="G2961" t="inlineStr">
        <is>
          <t>2017-03-20 16:28:44</t>
        </is>
      </c>
      <c r="H2961" t="inlineStr">
        <is>
          <t>Type 1</t>
        </is>
      </c>
    </row>
    <row r="2962">
      <c r="A2962" t="inlineStr">
        <is>
          <t>60lugw</t>
        </is>
      </c>
      <c r="B2962" t="inlineStr">
        <is>
          <t>T2 2017 Disorientation and cold clammy hands.</t>
        </is>
      </c>
      <c r="C2962" t="inlineStr">
        <is>
          <t>Just been diagnosed. The nurse went thru the symptoms with me and one of them struck me: Disorientation with cold and clammy hands. I've always thought those were seizures. Do you get them too?</t>
        </is>
      </c>
      <c r="D2962" t="n">
        <v>2</v>
      </c>
      <c r="E2962" t="n">
        <v>8</v>
      </c>
      <c r="F2962">
        <f>HYPERLINK("https://www.reddit.com/r/diabetes/comments/60lugw/t2_2017_disorientation_and_cold_clammy_hands/")</f>
        <v/>
      </c>
      <c r="G2962" t="inlineStr">
        <is>
          <t>2017-03-20 22:30:46</t>
        </is>
      </c>
      <c r="H2962" t="inlineStr">
        <is>
          <t>Type 2</t>
        </is>
      </c>
    </row>
    <row r="2963">
      <c r="A2963" t="inlineStr">
        <is>
          <t>60lwci</t>
        </is>
      </c>
      <c r="B2963" t="inlineStr">
        <is>
          <t>Why does it seem like all the sudden that insulin is much more effective for me now?</t>
        </is>
      </c>
      <c r="C2963" t="inlineStr">
        <is>
          <t>I doubt its honey moon effect. Havent had it in 10+ years
I eat the same food in the same amounts at the same time and havent gained or lost weight recently. Yet now my blood sugar seems to go down too fast and to far and carbs seem to take longer to take effect and dont raise my blood sugar as much either.
What gives?
I will cut back insulin and adjust carb ratios but man this is annoying. Now I have to check blood sugar very often to keep an eye on things.
I check blood sugar 2 hours after I eat to see if I am within my goal but I am hitting that goat less than 1 hour after I eat or I am below where I started when I ate, so I eat more carbs to break even or I still drop. But then other times (past) I am high so I wait until the 3rd hour before I correct but then I see the drop in blood sugar at the 3 hour mark soon after I correct highs and still ahve to carb up to counter the unneeded insulin.
How fucking frustrating. I am up for hours at night waiting until I feel safe to sleep .</t>
        </is>
      </c>
      <c r="D2963" t="n">
        <v>5</v>
      </c>
      <c r="E2963" t="n">
        <v>7</v>
      </c>
      <c r="F2963">
        <f>HYPERLINK("https://www.reddit.com/r/diabetes/comments/60lwci/why_does_it_seem_like_all_the_sudden_that_insulin/")</f>
        <v/>
      </c>
      <c r="G2963" t="inlineStr">
        <is>
          <t>2017-03-20 22:44:42</t>
        </is>
      </c>
      <c r="H2963" t="inlineStr">
        <is>
          <t>Type 1</t>
        </is>
      </c>
    </row>
    <row r="2964">
      <c r="A2964" t="inlineStr">
        <is>
          <t>60o4o0</t>
        </is>
      </c>
      <c r="B2964" t="inlineStr">
        <is>
          <t>Morning Highs? HELP PLEASE!</t>
        </is>
      </c>
      <c r="C2964" t="inlineStr">
        <is>
          <t>type 1 (lada) here that was insulin free for 2 years before ending my honeymoon and starting Insulin therapy around Dec'16. I am currently on 30 units every morning of Lantus and taking Novalog for my fast acting. 
It doesn't seem to matter what I do I wake up 220 or 230, By noon my blood sugars return to normal.
does anyone else have this problem? I am seeing my Endo this week and will be talking to her as well. 
Thanks everyone!</t>
        </is>
      </c>
      <c r="D2964" t="n">
        <v>1</v>
      </c>
      <c r="E2964" t="n">
        <v>7</v>
      </c>
      <c r="F2964">
        <f>HYPERLINK("https://www.reddit.com/r/diabetes/comments/60o4o0/morning_highs_help_please/")</f>
        <v/>
      </c>
      <c r="G2964" t="inlineStr">
        <is>
          <t>2017-03-21 08:11:20</t>
        </is>
      </c>
      <c r="H2964" t="inlineStr">
        <is>
          <t>Type 1</t>
        </is>
      </c>
    </row>
    <row r="2965">
      <c r="A2965" t="inlineStr">
        <is>
          <t>60s12v</t>
        </is>
      </c>
      <c r="B2965" t="inlineStr">
        <is>
          <t>[Type 1] Big bg spikes from coffee-any research/awareness of this?</t>
        </is>
      </c>
      <c r="C2965" t="inlineStr">
        <is>
          <t>I don't drink a great deal of coffee or tea (one in the morning, sometimes one at lunch is typical) and lately I've been trying to quit, though it's been difficult.
I get remarkable spikes from drinking coffee (no sugar, just a splash of milk) even when I've not eaten anything.
My Hb1Ac has dropped recently and I've lost weight, so I'm not a candidate for insulin resistance (so says my DSN) but it's a little baffling, and sometimes causes problems as I often overcorrect when trying to compensate for the spike. 
Tried quitting but found the tapering off particularly difficult; is there any awareness of this in Type 1's? Is there any ideal way to manage the sharp increase with diet, or anything else that prevents caffeine withdrawals?</t>
        </is>
      </c>
      <c r="D2965" t="n">
        <v>4</v>
      </c>
      <c r="E2965" t="n">
        <v>8</v>
      </c>
      <c r="F2965">
        <f>HYPERLINK("https://www.reddit.com/r/diabetes/comments/60s12v/type_1_big_bg_spikes_from_coffeeany/")</f>
        <v/>
      </c>
      <c r="G2965" t="inlineStr">
        <is>
          <t>2017-03-21 19:21:36</t>
        </is>
      </c>
      <c r="H2965" t="inlineStr">
        <is>
          <t>Type 1</t>
        </is>
      </c>
    </row>
    <row r="2966">
      <c r="A2966" t="inlineStr">
        <is>
          <t>60v8ii</t>
        </is>
      </c>
      <c r="B2966" t="inlineStr">
        <is>
          <t>Type 2 Diabetes for the Traveler?</t>
        </is>
      </c>
      <c r="C2966" t="inlineStr">
        <is>
          <t>All,
While writing a comment reply a few moments ago, I kinda got curious about this question as it's very relevant to me and thought it'd do better in it's own post.
I travel every single week of the year for work. This means I often live in hotels. The only day I'm actually ever home is Saturday and part of Sunday (I depart Sunday, return Friday late at night).
A lot of my hotels don't even have a microwave. Some of them have a microwave with a minifridge (no freezer) and when I'm lucky I get a full kitchen with stove and full fridge/freezer.
This means *most* of the time I have to eat out.
Does anyone have any suggestions for restaurants (preferably leaning towards American food as I'm a picky eater) that are largely available across the continental US that generally contain diabetic friendly items?
I ask because a lot of restaurants don't publish or provide the carb information in their food (only calories for some reason?).
In a related question, does anyone know of any good non-perishable diabetic friendly breakfast/lunch/dinner items I could get at most stores across the continental US and eat without needing to prepare them?</t>
        </is>
      </c>
      <c r="D2966" t="n">
        <v>3</v>
      </c>
      <c r="E2966" t="n">
        <v>22</v>
      </c>
      <c r="F2966">
        <f>HYPERLINK("https://www.reddit.com/r/diabetes/comments/60v8ii/type_2_diabetes_for_the_traveler/")</f>
        <v/>
      </c>
      <c r="G2966" t="inlineStr">
        <is>
          <t>2017-03-22 08:19:24</t>
        </is>
      </c>
      <c r="H2966" t="inlineStr">
        <is>
          <t>Type 2</t>
        </is>
      </c>
    </row>
    <row r="2967">
      <c r="A2967" t="inlineStr">
        <is>
          <t>6115ff</t>
        </is>
      </c>
      <c r="B2967" t="inlineStr">
        <is>
          <t>I received an offer for a paid $50 phone discussion on Type II, but I don't qualify, but maybe someone in this sub wants to try it</t>
        </is>
      </c>
      <c r="C2967" t="inlineStr">
        <is>
          <t>I'm re-posting this from /r/diabetes_T2, which is where I originally posted [the following information:](https://www.reddit.com/r/diabetes_t2/comments/6113y5/i_received_an_offer_for_a_paid_50_phone/)
Some background to this post: So I have a tendency to sign up for a lot of random things like paid studies, interviews, etc. and I receive email offers on a frequent basis for different things. Yesterday I received an email with the following message:
**(subject): 50 Dollars – PAID Type II Diabetes telephone discussion**
**Dear (my full name omitted, let's just pretend they called me Agent Smith):**
**You have recently joined our marketing research panel thru craigslist.  We are currently conducting a telephone discussion with individuals that have Type II Diabetes.**
**If that indivdiual is age 18 or over, we would like to invite him  or her to share their views regarding Type II Diabetes.  The discussion will be over the telephone and will last 45 minutes.**
**We will provide a check for 50 dollars to all qualified individuals that complete the telephone discussion.**
**If interested, please contact Lisa Thomas at (610) 356-1800 to answer a few questions to see if you qualify for the discussion.**
**Thank you in advance for helping us make our research efforts possible.**
**Many thanks,**
**Lauren Conte**
There was a signature banner with the company name Research America included at the bottom. Anyways, I do not have any form of diabetes, so I would not qualify for this study. I would like to post this so that perhaps someone who does have Type II diabetes may be able to call and possibly benefit from this study.
I am not affiliated with this study in any way, and am only forwarding the details of this email as a way to possibly help someone who could possibly use the extra money. It should also be noted to follow this post at your own risk; I do sometimes, though rarely, receive phishing scams disguised as studies, and this could possibly be a scam (personally, I doubt that it is, but I haven't looked into the matter very thoroughly).
There may also be the possibility that they only want responses from people that they emailed, even though the message sent to me makes it sound as though they'll take anyone who qualifies, so feel free to call and see if they'll take you. If they ask how you came to be aware of the study, it wouldn't technically be wrong if you said a friend referred you, as anyone who is willing to call themself a friend of mine is indeed a friend of mine.
If for some reason you need the email address of the person who sent me this email, PM me and I can get that to you. It looks like a legitimate email address from the company mentioned above, and not like some sketchy @zysl7.croatia domain or something.
Best of luck! If this actually works out for you, please let me know below. Maybe they'll take multiple people from this one post (whether or not that's good or bad, who knows)</t>
        </is>
      </c>
      <c r="D2967" t="n">
        <v>6</v>
      </c>
      <c r="E2967" t="n">
        <v>0</v>
      </c>
      <c r="F2967">
        <f>HYPERLINK("https://www.reddit.com/r/diabetes/comments/6115ff/i_received_an_offer_for_a_paid_50_phone/")</f>
        <v/>
      </c>
      <c r="G2967" t="inlineStr">
        <is>
          <t>2017-03-23 03:59:02</t>
        </is>
      </c>
      <c r="H2967" t="inlineStr">
        <is>
          <t>Type 2</t>
        </is>
      </c>
    </row>
    <row r="2968">
      <c r="A2968" t="inlineStr">
        <is>
          <t>615pbv</t>
        </is>
      </c>
      <c r="B2968" t="inlineStr">
        <is>
          <t>I've been pumping for 16 years and inserted into my arm for the first time ever.</t>
        </is>
      </c>
      <c r="C2968" t="inlineStr">
        <is>
          <t xml:space="preserve">I always thought the tubing would be a pain or uncomfortable, or wouldn't reach. Much to my surprise, it's just fine! Only downside is I need a little help removing the needle since it likes to take the whole set with it if I don't hold it down. Other than that, I think I've got a new piece of real estate!
All you pumpers and CGMers, It's never too late to get creative with your insertion sites! The more places you can rotate, the more success you'll have with absorption and accuracy rates :)
If I'm still feeling adventurous, I'll be trying out my Dexcom in my forearm. I've heard some people have some luck with that too. 
</t>
        </is>
      </c>
      <c r="D2968" t="n">
        <v>4</v>
      </c>
      <c r="E2968" t="n">
        <v>11</v>
      </c>
      <c r="F2968">
        <f>HYPERLINK("https://www.reddit.com/r/diabetes/comments/615pbv/ive_been_pumping_for_16_years_and_inserted_into/")</f>
        <v/>
      </c>
      <c r="G2968" t="inlineStr">
        <is>
          <t>2017-03-23 17:07:24</t>
        </is>
      </c>
      <c r="H2968" t="inlineStr">
        <is>
          <t>Type 1</t>
        </is>
      </c>
    </row>
    <row r="2969">
      <c r="A2969" t="inlineStr">
        <is>
          <t>619e40</t>
        </is>
      </c>
      <c r="B2969" t="inlineStr">
        <is>
          <t>At what level should I start to worry my glucose is too low?</t>
        </is>
      </c>
      <c r="C2969" t="inlineStr">
        <is>
          <t>Since starting keto(or lazy keto for me) I've dropped 24 pounds but the thing that really over joys me is my glucose is the lowest its ever been,.
it's been hovering around 90 for the past couple days. spiking to 102 and sometimes falling to 74. 
What is the lowest it can be and still be safe?</t>
        </is>
      </c>
      <c r="D2969" t="n">
        <v>2</v>
      </c>
      <c r="E2969" t="n">
        <v>11</v>
      </c>
      <c r="F2969">
        <f>HYPERLINK("https://www.reddit.com/r/diabetes/comments/619e40/at_what_level_should_i_start_to_worry_my_glucose/")</f>
        <v/>
      </c>
      <c r="G2969" t="inlineStr">
        <is>
          <t>2017-03-24 07:56:57</t>
        </is>
      </c>
      <c r="H2969" t="inlineStr">
        <is>
          <t>Type 2</t>
        </is>
      </c>
    </row>
    <row r="2970">
      <c r="A2970" t="inlineStr">
        <is>
          <t>619lln</t>
        </is>
      </c>
      <c r="B2970" t="inlineStr">
        <is>
          <t>Post meal numbers while using Novolog</t>
        </is>
      </c>
      <c r="C2970" t="inlineStr">
        <is>
          <t xml:space="preserve">I am recently diagnosed type 1 and I am still learning a lot about all of this. One question I have is post meal numbers, like right after eating. 
This morning I woke up 130 I took my lantus and then dosed for a 30 carb oatmeal bowl that I had. 1 hour after I was 200. 
I know that after about 2 hours I will be back down to normal and the insulin is doing its job. 
my questions is that 1 hour spike should the insulin help with that or is it just too fast to worry about and as long as im down after two hours I should not worry? 
thanks. </t>
        </is>
      </c>
      <c r="D2970" t="n">
        <v>2</v>
      </c>
      <c r="E2970" t="n">
        <v>6</v>
      </c>
      <c r="F2970">
        <f>HYPERLINK("https://www.reddit.com/r/diabetes/comments/619lln/post_meal_numbers_while_using_novolog/")</f>
        <v/>
      </c>
      <c r="G2970" t="inlineStr">
        <is>
          <t>2017-03-24 08:33:10</t>
        </is>
      </c>
      <c r="H2970" t="inlineStr">
        <is>
          <t>Type 1</t>
        </is>
      </c>
    </row>
    <row r="2971">
      <c r="A2971" t="inlineStr">
        <is>
          <t>619poi</t>
        </is>
      </c>
      <c r="B2971" t="inlineStr">
        <is>
          <t>Hello and thanks for all the help.</t>
        </is>
      </c>
      <c r="C2971" t="inlineStr">
        <is>
          <t>At the doctors for my three month check up.  First one ever.  My Hba1c was 13.8 at the end of December.  Today I got the results and My new Hba1c was 5.7.  I couldn't be happier!  Everything else has fallen into place as well except for a higher than normal liver reading (waiting on a blood draw for a hep test,  maybe I eat too much Street food in Thailand).  
On a interesting note:  I tested my blood sugar after the blood draw in my car.  My one touch said 120 my relyon said 101.  My lab results said 95.  Also with one touch I had assumed a much higher a1c.   Sorry for the poor formatting on mobile, just couldn't wait to say thanks to everyone here for giving such wonderful advise.</t>
        </is>
      </c>
      <c r="D2971" t="n">
        <v>12</v>
      </c>
      <c r="E2971" t="n">
        <v>4</v>
      </c>
      <c r="F2971">
        <f>HYPERLINK("https://www.reddit.com/r/diabetes/comments/619poi/hello_and_thanks_for_all_the_help/")</f>
        <v/>
      </c>
      <c r="G2971" t="inlineStr">
        <is>
          <t>2017-03-24 08:52:10</t>
        </is>
      </c>
      <c r="H2971" t="inlineStr">
        <is>
          <t>Type 2</t>
        </is>
      </c>
    </row>
    <row r="2972">
      <c r="A2972" t="inlineStr">
        <is>
          <t>61fgev</t>
        </is>
      </c>
      <c r="B2972" t="inlineStr">
        <is>
          <t>When I eat a meal that's pretty high in carbs, my blood sugar goes down dangerously low?</t>
        </is>
      </c>
      <c r="C2972" t="inlineStr">
        <is>
          <t xml:space="preserve">I'm a freshman in college. When I started my A1C was 14.9 and I could not care less about being diabetic. My whole family was diabetic, but I thought "hey, I'm still skinny so I must be alright." However I went to my doctor and he gave me the chilling statement that if I didn't start insulin and lifestyle changes I might not live till 30. Regardless of if that was true, I got my A1C down to 7.3 in 6 months which is the lowest it's ever been to my knowledge (I've been type 2 since 2009). 
But now whenever I eat a high carb snack, a couple hours later my blood sugar goes down to 80, and I feel all the symptoms of low blood sugar (sweat, shaky, panicky, hard to breathe normally, headache, etc) so I have my sugars (cranberries, fruit, granola). It usually goes down for another 2 hours or so, sometimes down to 57, and in the morning even after eating an entire box of granola (308 carbs), my blood sugar is only 130. I know this isn't normal because when I eat a salad for dinner sometimes my blood sugar can be 170 in the morning. I've talked to my Dr about it and he says I'm being paranoid and there's other factors but I'd like to know why repeatedly cranberries and glucose tabs make my blood sugar drop instead of raise. I know they work to raise it because once after taking a handful of cranberries my sugar went from 65 to 270 in an hour. Sorry for the long post but any help/advice is appreciated. </t>
        </is>
      </c>
      <c r="D2972" t="n">
        <v>6</v>
      </c>
      <c r="E2972" t="n">
        <v>19</v>
      </c>
      <c r="F2972">
        <f>HYPERLINK("https://www.reddit.com/r/diabetes/comments/61fgev/when_i_eat_a_meal_thats_pretty_high_in_carbs_my/")</f>
        <v/>
      </c>
      <c r="G2972" t="inlineStr">
        <is>
          <t>2017-03-25 06:12:50</t>
        </is>
      </c>
      <c r="H2972" t="inlineStr">
        <is>
          <t>Type 2</t>
        </is>
      </c>
    </row>
    <row r="2973">
      <c r="A2973" t="inlineStr">
        <is>
          <t>61gs9m</t>
        </is>
      </c>
      <c r="B2973" t="inlineStr">
        <is>
          <t>Question Regarding Insulin expiring.</t>
        </is>
      </c>
      <c r="C2973" t="inlineStr">
        <is>
          <t xml:space="preserve">Weird things happened last week, and I ended up with an over supply of insulin. (Called insurance about it, they said it was fine to keep it). So I have a lot of insulin. The Date on the pens inside the box says July of 2019! 
I was under the impression refrigerated insulin has about a year before it expires, but the date on the insulin is more like a year and a half. Will it still be OK as long as it is kept cool?
</t>
        </is>
      </c>
      <c r="D2973" t="n">
        <v>1</v>
      </c>
      <c r="E2973" t="n">
        <v>5</v>
      </c>
      <c r="F2973">
        <f>HYPERLINK("https://www.reddit.com/r/diabetes/comments/61gs9m/question_regarding_insulin_expiring/")</f>
        <v/>
      </c>
      <c r="G2973" t="inlineStr">
        <is>
          <t>2017-03-25 10:46:00</t>
        </is>
      </c>
      <c r="H2973" t="inlineStr">
        <is>
          <t>Type 1</t>
        </is>
      </c>
    </row>
    <row r="2974">
      <c r="A2974" t="inlineStr">
        <is>
          <t>61hj6y</t>
        </is>
      </c>
      <c r="B2974" t="inlineStr">
        <is>
          <t>Light exercise when in the 80s? T2</t>
        </is>
      </c>
      <c r="C2974" t="inlineStr">
        <is>
          <t>I was wondering how many T2's here do their daily walk with sub 100 numbers.
Each day I usually eat about 20g of carbs for lunch and go for a walk 1-2 hours later. My blood sugar is rarely above the 80s and sometimes in the 70s by the time I start walking. I've heard you aren't supposed to exercise unless you are above 100, but my 2 mile walks don't seem to drop my blood sugar by much at all, so I don't think this is something I should worry about. After exercising I usually take my light snack to hold me over until dinner.
Yes, I've been pretty low since the Metformin started kicking in, and suspect my doctor will lower the dose this week when he sees my numbers. I've also thought about eating more carbs but I already eat 70-100g a day, which is a fair amount more than most T2's here.</t>
        </is>
      </c>
      <c r="D2974" t="n">
        <v>8</v>
      </c>
      <c r="E2974" t="n">
        <v>2</v>
      </c>
      <c r="F2974">
        <f>HYPERLINK("https://www.reddit.com/r/diabetes/comments/61hj6y/light_exercise_when_in_the_80s_t2/")</f>
        <v/>
      </c>
      <c r="G2974" t="inlineStr">
        <is>
          <t>2017-03-25 13:04:28</t>
        </is>
      </c>
      <c r="H2974" t="inlineStr">
        <is>
          <t>Type 2</t>
        </is>
      </c>
    </row>
    <row r="2975">
      <c r="A2975" t="inlineStr">
        <is>
          <t>61i1hv</t>
        </is>
      </c>
      <c r="B2975" t="inlineStr">
        <is>
          <t>No insurance, need insulin. What are my options?</t>
        </is>
      </c>
      <c r="C2975" t="inlineStr">
        <is>
          <t>So, I lost my insurance near the beginning of year. However, while attempting to get proof so I could try to get new insurance, the 60 day grace period ended, so now I have no insurance and no way of getting any until open season, at least to my knowledge. What exactly can I do now, besides paying $1000 every month for insulin?</t>
        </is>
      </c>
      <c r="D2975" t="n">
        <v>1</v>
      </c>
      <c r="E2975" t="n">
        <v>11</v>
      </c>
      <c r="F2975">
        <f>HYPERLINK("https://www.reddit.com/r/diabetes/comments/61i1hv/no_insurance_need_insulin_what_are_my_options/")</f>
        <v/>
      </c>
      <c r="G2975" t="inlineStr">
        <is>
          <t>2017-03-25 14:41:35</t>
        </is>
      </c>
      <c r="H2975" t="inlineStr">
        <is>
          <t>Type 1</t>
        </is>
      </c>
    </row>
    <row r="2976">
      <c r="A2976" t="inlineStr">
        <is>
          <t>61ikzy</t>
        </is>
      </c>
      <c r="B2976" t="inlineStr">
        <is>
          <t>Caving trip?</t>
        </is>
      </c>
      <c r="C2976" t="inlineStr">
        <is>
          <t>I'm going on an advanced caving trip tomorrow and I'm trying to decide what I should bring. This is going to be a wild cave full of crawls, tight spaces, and even some swimming. We are going to be underground for at least 4 hours, and we were told that packs will probably slow us down.
I'm trying to decide what I should bring. Do you think I could get by with a tube of glucose tabs, water, and a couple cliff bars? I'm going to be too wet and dirty to check my blood sugar and I'm not sure if I'll need to bring insulin.</t>
        </is>
      </c>
      <c r="D2976" t="n">
        <v>6</v>
      </c>
      <c r="E2976" t="n">
        <v>5</v>
      </c>
      <c r="F2976">
        <f>HYPERLINK("https://www.reddit.com/r/diabetes/comments/61ikzy/caving_trip/")</f>
        <v/>
      </c>
      <c r="G2976" t="inlineStr">
        <is>
          <t>2017-03-25 16:29:09</t>
        </is>
      </c>
      <c r="H2976" t="inlineStr">
        <is>
          <t>Type 1</t>
        </is>
      </c>
    </row>
    <row r="2977">
      <c r="A2977" t="inlineStr">
        <is>
          <t>61o530</t>
        </is>
      </c>
      <c r="B2977" t="inlineStr">
        <is>
          <t>How do I stop the guilt that comes with giving into temptations for my birthday?</t>
        </is>
      </c>
      <c r="C2977" t="inlineStr">
        <is>
          <t>And how do I get the motivation to get back on the right track after a massive splurge?
I'm a type 2 diabetic, diagnosed last year. Today was my 25th birthday. My parents came to visit (I live on the other side of the country) and took me out for dinner at the Cheesecake Factory last night and told me to get anything I want, which, well, was fried chicken and a side of bread. The whole basket, actually. Since it was my birthday, I also got a slice of cheesecake, and limited myself to 25% of it before realizing that was such a little bit and accidentally most of the whole thing.
This morning, they took me out to breakfast and I had French toast… and a Pop Tart before they got here. I didn't have any in the house, but my parents remembered growing up what my favorite flavor was and brought them for me despite how many times I had pleaded not to bring me sugar.
And, as it turns out, my sister literally got me a candy basket for my birthday. I haven't had a candy bar in years, even before my diagnosis. No one in my family is diabetic and they're all in denial that this happened to me, so I think that's part of this.
I am meticulous about tracking everything and have never splurged like this before. I can already tell I feel like shit because I took a three hour nap two hours after eating the French toast this morning. My blood sugar was 135 before I fell asleep. I'm not an overweight T2; in fact, I weighed 98 pounds on Saturday. I now weigh 105, for what it's worth. But now I just feel like a fatass failure and it's really burning me out. I can already feel a UTI and a yeast infection starting, too (sorry for the TMI).</t>
        </is>
      </c>
      <c r="D2977" t="n">
        <v>2</v>
      </c>
      <c r="E2977" t="n">
        <v>17</v>
      </c>
      <c r="F2977">
        <f>HYPERLINK("https://www.reddit.com/r/diabetes/comments/61o530/how_do_i_stop_the_guilt_that_comes_with_giving/")</f>
        <v/>
      </c>
      <c r="G2977" t="inlineStr">
        <is>
          <t>2017-03-26 14:37:39</t>
        </is>
      </c>
      <c r="H2977" t="inlineStr">
        <is>
          <t>Type 2</t>
        </is>
      </c>
    </row>
    <row r="2978">
      <c r="A2978" t="inlineStr">
        <is>
          <t>61okxw</t>
        </is>
      </c>
      <c r="B2978" t="inlineStr">
        <is>
          <t>Lots of floaters mean likely onset of retinopathy? T2.</t>
        </is>
      </c>
      <c r="C2978" t="inlineStr">
        <is>
          <t xml:space="preserve">I was diagnosed in January of this year with an A1C of 10.6 and hadn't been to the doctor in years, so my diabetes went badly unchecked for lord knows how long. I'm at a 7.6 A1C now, and still getting my footing with this new life, but I'm getting a grip on things. 
My fear is that because of the unchecked time I already have retinopathy. I've always had crap vision, but I just was able to notice (while looking at a cream painted wall on a very sunny day) that I have a bunch of floaters in each of my eyes (maybe a dozen in both? It's hard to say). And now that I notice them I REALLY notice them, and I'm worried I have retinopathy. I'm going to call to make an appt tomorrow, but I was wondering if this is what it sounds like to you guys.
I can't really recall if I've had these things for long. I don't even notice them until I think about them, which makes them more pronounced for me. </t>
        </is>
      </c>
      <c r="D2978" t="n">
        <v>3</v>
      </c>
      <c r="E2978" t="n">
        <v>15</v>
      </c>
      <c r="F2978">
        <f>HYPERLINK("https://www.reddit.com/r/diabetes/comments/61okxw/lots_of_floaters_mean_likely_onset_of_retinopathy/")</f>
        <v/>
      </c>
      <c r="G2978" t="inlineStr">
        <is>
          <t>2017-03-26 16:02:03</t>
        </is>
      </c>
      <c r="H2978" t="inlineStr">
        <is>
          <t>Type 2</t>
        </is>
      </c>
    </row>
    <row r="2979">
      <c r="A2979" t="inlineStr">
        <is>
          <t>61pgtz</t>
        </is>
      </c>
      <c r="B2979" t="inlineStr">
        <is>
          <t>[Type 2] I ate a full plate of Ice cream and more</t>
        </is>
      </c>
      <c r="C2979" t="inlineStr">
        <is>
          <t>I went to ER one month ago because I was feeling weak and my vision was blurred. Of course I been diagnosed with Type 2 diabetes, my BG was over 700 mg/dl. The doctors were surprised that I was able to stand with BG that high. I felt the symptoms one week before I went to ER, I didn't know I had diabetes at the time and I kept drinking soda and eating unhealthy, I shouldn't be surprised my BG was so high. 
I was release from the hospital 3 days later, and I've been eating healthy and exercising everyday. I've lost 14lb and I regained my vision. I been talking my insulin shots daily and measure my BG 4 times each day. Now let me cut to the chase!
One of my coworker's birthday was last Thursday and she brought Ice cream for everyone at work. She filled a paper plate full of ice cream and she offered it to me. Most people at work knows that I am diabetic by now, she is one of the few people who doesn't know. I told her that I am type 2 diabetes and I can't have Ice cream. "Just have a few scoops, it can't kill you." she said.  Then she just put the plate on my desk. "I am feeling much better now and a few scoop won't kill me" I thought to myself. As soon as I put one scoop of Ice cream in my mouth, I feel so relieved. I was like a drug addict who is suffering from withdrawal and I finally got my fix. Before I even have time to stop and think, I already ate the entire plate full of ice cream. 
"Oh no, my BG will be so high for my next measurement!" I thought to myself. I was expecting my BG to be around 200 to 300 mg/dl. When I tested my BG one hour later, I couldn't believe my eyes! My BG was 89 mg/dl. I tested myself again and I got the  92 mg/dl. 
Then I made a decision which most of you might think is very stupid. I want to see how far I can push myself without getting high BG. Later that evening, I didn't take my insulin shot before dinner. I had a huge Tbone steak, hash browns and two eggs. I tested my BG again 2 hours after dinner and my BG was 112 mg/dl. I did not take my Lantus insulin before bed that night, in fact I didn't take any medication for the next two days. I did eat healthy for the most part, but I did have some fried rice from local Chinese restaurant. I didn't take any insulin shots or exercise and all my BG test results are under 120 mg/dl. Did my diabetes miraculously cured? I called my doctor yesterday to schedule an appointment and informed him about my condition, he still recommends me to take insulin shots and eat healthy but he definitely wants my blood tested again.
Based on my results, do you think my diabetes was a wrong diagnosis?</t>
        </is>
      </c>
      <c r="D2979" t="n">
        <v>1</v>
      </c>
      <c r="E2979" t="n">
        <v>11</v>
      </c>
      <c r="F2979">
        <f>HYPERLINK("https://www.reddit.com/r/diabetes/comments/61pgtz/type_2_i_ate_a_full_plate_of_ice_cream_and_more/")</f>
        <v/>
      </c>
      <c r="G2979" t="inlineStr">
        <is>
          <t>2017-03-26 19:00:03</t>
        </is>
      </c>
      <c r="H2979" t="inlineStr">
        <is>
          <t>Type 2</t>
        </is>
      </c>
    </row>
    <row r="2980">
      <c r="A2980" t="inlineStr">
        <is>
          <t>61pti9</t>
        </is>
      </c>
      <c r="B2980" t="inlineStr">
        <is>
          <t>If I'm driving from the US to Canada with insulin is it going to be a problem?</t>
        </is>
      </c>
      <c r="C2980" t="inlineStr">
        <is>
          <t xml:space="preserve">I'm driving from Washington state up to Canada for a vacation. Will it be a problem for border control if I have my insulin and pump supplies/needles with me? Thanks!
Edit: Thanks everyone for the responses! I made it through just fine. They didn't ask and I didn't say anything. </t>
        </is>
      </c>
      <c r="D2980" t="n">
        <v>5</v>
      </c>
      <c r="E2980" t="n">
        <v>16</v>
      </c>
      <c r="F2980">
        <f>HYPERLINK("https://www.reddit.com/r/diabetes/comments/61pti9/if_im_driving_from_the_us_to_canada_with_insulin/")</f>
        <v/>
      </c>
      <c r="G2980" t="inlineStr">
        <is>
          <t>2017-03-26 20:14:51</t>
        </is>
      </c>
      <c r="H2980" t="inlineStr">
        <is>
          <t>Type 1</t>
        </is>
      </c>
    </row>
    <row r="2981">
      <c r="A2981" t="inlineStr">
        <is>
          <t>61sep2</t>
        </is>
      </c>
      <c r="B2981" t="inlineStr">
        <is>
          <t>Does insulin response matter for T1s?</t>
        </is>
      </c>
      <c r="C2981" t="inlineStr">
        <is>
          <t>Got into a discussion on my diet and why I shouldn't be eating higher carb meals. AFAIK if I keep the spikes below ~130 there's no issue, but insulin response was brought up. Am I missing something here or is this a non-issue for T1s?</t>
        </is>
      </c>
      <c r="D2981" t="n">
        <v>3</v>
      </c>
      <c r="E2981" t="n">
        <v>12</v>
      </c>
      <c r="F2981">
        <f>HYPERLINK("https://www.reddit.com/r/diabetes/comments/61sep2/does_insulin_response_matter_for_t1s/")</f>
        <v/>
      </c>
      <c r="G2981" t="inlineStr">
        <is>
          <t>2017-03-27 07:19:59</t>
        </is>
      </c>
      <c r="H2981" t="inlineStr">
        <is>
          <t>Type 1</t>
        </is>
      </c>
    </row>
    <row r="2982">
      <c r="A2982" t="inlineStr">
        <is>
          <t>61t60t</t>
        </is>
      </c>
      <c r="B2982" t="inlineStr">
        <is>
          <t>Ketogenic Diet and my hbA1C numbers</t>
        </is>
      </c>
      <c r="C2982" t="inlineStr">
        <is>
          <t>So... if anyone denies Keto's (ketogenic diet) effectiveness on Diabetes and health look at my A1C log for the past 6 months:
October 21, 2016: A1C - 8.6%
December 21, 2016: START KETO
January 21, 2017: A1C - 6.0% (one month on Keto)
March 21, 2017: A1C - 5.2% (three months on Keto)
For reference, a Non-diabetic A1C is anything below 5.7% (some say 6.0%) and pre-diabetes is 5.7%-6.5%.
I was told my goal of an A1C under 5.7% was pretty much impossible and unrealistic. And that was said by doctors who were rooting me on!!
Not to be too over dramatic but 7 months ago I was told I had about 5 years until I would see liver cancer develop. I had a liver 2x the size it should be. I had a spleen 1.5x the size it should be. I had autonomic neuropathy in almost every major body system. I had moderate retinopathy developing in both eyes. I had major digestive issues for 15 years. And I was on over 1000 units of insulin a day to try to keep my blood sugar under control. (Most diabetics are on 10-50 units a day)
Today, while I still need more tests to confirm some things, it appears that most of those problems have resolved or are resolving. My liver appears to be normal, my digestion is "regular" and we will leave it at that, the neuropathy is less severe, my energy levels are improving, I have reduced my insulin needs 85% to 150 units a day and my A1C is down to below that of a Non-diabetic!!! I did a cholesterol experiment and it also showed no ill effects on my cholesterol that weren't there before the diet. There is still a lot of work to do but there is light at the end of the tunnel.
So, I hate to be one of those "what you are doing is killing you and let me tell you why" type of people. "Crunchies" have always pissed me off... but if you are thinking about a diet change to Ketogenic, I will be more than happy to talk about it... in my opinion, it has truly saved my life, and I was a skeptic going in!!
It is common sense. If you have diabetes you are basically "glucose intolerant". Sugar and carbs = increased glucose. If you are lactose intolerant you don't keep drinking milk and wonder why you still have diarrhea!! The American Diabetes Association suggest diabetic limit the carbs to 200 grams per day. I was on about 150 grams and needed 1000 units of insulin. Is it surprising that the ADA recommends this when over 50% of their funding comes from the food industry? They say, "diabetes is a progressive disease. Over time insulin will make you gain weight and add to more resistance. You will require greater levels of insulin and gain more weight." The cycle just continues on. The only way to truly break the cycle is to QUIT EATING WHAT IS MAKING YOU NEED THE INSULIN!! Why is this a hard concept to grasp?? Why is this not taught by every primary care physician and endocrinologist? If you are lactose intolerant and you are sick of having abdominal cramps, diarrhea, and gas, quit ingesting lactose. It is not rocket science!!
Now, I am STILL not in ketosis, based on blood tests. I still only read about 0.5-0.7 on the tests. I am not sure if that is still because of the NAFLD/NASH or because of the large amount of insulin that I still am required to take. I have not lost any weight (Proves Dr. Attia's theory that A1C reduction is independent of weight loss) but even without that, the impact on my daily life is huge!
So stick with it.... The fruits of your labor will come to bare!!! T2 Diabetes is progressive if you do nothing about it, but, if you are willing to take control you can change your path. I just wish I started 8 years ago before I did no much damage to my body!</t>
        </is>
      </c>
      <c r="D2982" t="n">
        <v>35</v>
      </c>
      <c r="E2982" t="n">
        <v>40</v>
      </c>
      <c r="F2982">
        <f>HYPERLINK("https://www.reddit.com/r/diabetes/comments/61t60t/ketogenic_diet_and_my_hba1c_numbers/")</f>
        <v/>
      </c>
      <c r="G2982" t="inlineStr">
        <is>
          <t>2017-03-27 09:25:04</t>
        </is>
      </c>
      <c r="H2982" t="inlineStr">
        <is>
          <t>Type 2</t>
        </is>
      </c>
    </row>
    <row r="2983">
      <c r="A2983" t="inlineStr">
        <is>
          <t>61t89o</t>
        </is>
      </c>
      <c r="B2983" t="inlineStr">
        <is>
          <t>Worried about someone who has T1, is he looking after himself properly?</t>
        </is>
      </c>
      <c r="C2983" t="inlineStr">
        <is>
          <t xml:space="preserve">Are you supposed to eat very healthy food most of the time if you are type 1? Can someone who knows a bit more about it give me an insight into this situation?
Because someone close to me has diabetes and always told me that he could eat whatever he liked (eg. big sharing bags of Doritos to himself, loads of chocolate, pastries ect). I was always so so worried about him as I didn't want him to have complications.
He had fits in his sleep that I saved him from dying from by giving him glucogel. He fitted in the morning when I wasn't there sometimes, had an ambulance called out for him at work. He had quite a lot of 'little' lows, but I don't know how much of that is normal. Once we were kissing and he passed out in the middle and went into unconsciousness and was cuddling me for dear life and I didn't realise he was going low and it was sooo scary. He didn't seem to care that I had to look after him all the time. Which I didn't mind! But it is scary seeing someone you love fit in front of you and not know what to do. He could never talk about his diabetes properly to me and I wanted to be able to understand it more and support him.
Had no regular meal times or anything but he said that was okay as he was on basal bolus. I remember being stuck in a hotel with him in the middle of nowhere terrified he would die because he had sickness and we had no food for him (he said he's bought some but hadn't).
It affected his mood swings a lot and he became verbally abusive and angry for weeks on end and couldn't calm down and blamed it on me.
He always said he was looking after his diabetes properly. But he couldn't have been, surely?
Not trying to be judgemental at all. I know how hard it is to control. I have tried to read up lots about diabetes in the past but I was just wondering. I never knew whether he was doing all he should do or not. Or if his experiences are 'normal' to type 1s, I suppose.
</t>
        </is>
      </c>
      <c r="D2983" t="n">
        <v>2</v>
      </c>
      <c r="E2983" t="n">
        <v>46</v>
      </c>
      <c r="F2983">
        <f>HYPERLINK("https://www.reddit.com/r/diabetes/comments/61t89o/worried_about_someone_who_has_t1_is_he_looking/")</f>
        <v/>
      </c>
      <c r="G2983" t="inlineStr">
        <is>
          <t>2017-03-27 09:34:33</t>
        </is>
      </c>
      <c r="H2983" t="inlineStr">
        <is>
          <t>Type 1</t>
        </is>
      </c>
    </row>
    <row r="2984">
      <c r="A2984" t="inlineStr">
        <is>
          <t>61vbp5</t>
        </is>
      </c>
      <c r="B2984" t="inlineStr">
        <is>
          <t>(diabetes noob here) My BG has been under 180 for the past three days but my vision is very blurry...</t>
        </is>
      </c>
      <c r="C2984" t="inlineStr">
        <is>
          <t>I "found out" I had diabetes two friday's ago, had a BG of 800+, and got it down to around the 250s before I left the hospital. Now that I eat low/no carb and my BG has been below 180 for the past three days. Since then, however, my eyesight has become very blurry. Double vision to the point I stopped wearing glasses because it's pointless.
I'm headed to my general care person tomorrow, but I'm curious what others experienced in terms of vision. 
Did it get bad when your blood sugar got under control (as mine has)? A few people are telling me horror stories that I'll go blind, but I'm not stressing until I hear it from a optometrist.
Thanks in advance.
Update: Thanks for the advice and wisdom, everyone! My doctor and diabetes specialist said it should clear up but are having me see am an optometrist to be safe.</t>
        </is>
      </c>
      <c r="D2984" t="n">
        <v>1</v>
      </c>
      <c r="E2984" t="n">
        <v>17</v>
      </c>
      <c r="F2984">
        <f>HYPERLINK("https://www.reddit.com/r/diabetes/comments/61vbp5/diabetes_noob_here_my_bg_has_been_under_180_for/")</f>
        <v/>
      </c>
      <c r="G2984" t="inlineStr">
        <is>
          <t>2017-03-27 15:08:39</t>
        </is>
      </c>
      <c r="H2984" t="inlineStr">
        <is>
          <t>Type 2</t>
        </is>
      </c>
    </row>
    <row r="2985">
      <c r="A2985" t="inlineStr">
        <is>
          <t>620bku</t>
        </is>
      </c>
      <c r="B2985" t="inlineStr">
        <is>
          <t>Keto for Type 1s: Can I get an unbiased but educated view?</t>
        </is>
      </c>
      <c r="C2985" t="inlineStr">
        <is>
          <t>So maybe reddit isn't the best place to ask this but I am legitimately curious and hoping somebody can help me out. I know that many people have phenomenal stories of near-miraculous improvements to their control when they go on keto diets, but what are the downsides? 
Surely there are some documented downsides, or else dieticians and doctors wouldn't regularly advise against it as they seem to do. Is the concern ketoacidosis? Is the lack of carbs concerning for some other reason? What are the real dangers or worries, for a Type 1 in particular?
I'm looking for a balanced view so I can form an opinion based on facts, rather than the uninformed panic and rabid fanaticism that seems to dominate the two sides of this debate.</t>
        </is>
      </c>
      <c r="D2985" t="n">
        <v>2</v>
      </c>
      <c r="E2985" t="n">
        <v>31</v>
      </c>
      <c r="F2985">
        <f>HYPERLINK("https://www.reddit.com/r/diabetes/comments/620bku/keto_for_type_1s_can_i_get_an_unbiased_but/")</f>
        <v/>
      </c>
      <c r="G2985" t="inlineStr">
        <is>
          <t>2017-03-28 09:14:37</t>
        </is>
      </c>
      <c r="H2985" t="inlineStr">
        <is>
          <t>Type 1</t>
        </is>
      </c>
    </row>
    <row r="2986">
      <c r="A2986" t="inlineStr">
        <is>
          <t>621za6</t>
        </is>
      </c>
      <c r="B2986" t="inlineStr">
        <is>
          <t>Blister/scrape on my ankle</t>
        </is>
      </c>
      <c r="C2986" t="inlineStr">
        <is>
          <t>Hey guys, I don't get blisters or whatever on my feet very often cuz I'm really meticulous about it. But yesterday I found one like right below my ankle that I honestly coukdnt tell you how it got there, and I'm not entirely sure how to proceed. I don't know if rubbing alcohol is better for cleaning it or hydrogen peroxide, or like what. Currently just cleaned with alcohol, and a bandaid with neosporin but I just feel a little on the dark here. 
https://imgur.com/a/hRlcl
^the aforementioned blister scrape thing</t>
        </is>
      </c>
      <c r="D2986" t="n">
        <v>0</v>
      </c>
      <c r="E2986" t="n">
        <v>2</v>
      </c>
      <c r="F2986">
        <f>HYPERLINK("https://www.reddit.com/r/diabetes/comments/621za6/blisterscrape_on_my_ankle/")</f>
        <v/>
      </c>
      <c r="G2986" t="inlineStr">
        <is>
          <t>2017-03-28 13:28:41</t>
        </is>
      </c>
      <c r="H2986" t="inlineStr">
        <is>
          <t>Type 1</t>
        </is>
      </c>
    </row>
    <row r="2987">
      <c r="A2987" t="inlineStr">
        <is>
          <t>623tn1</t>
        </is>
      </c>
      <c r="B2987" t="inlineStr">
        <is>
          <t>[T1] About to sign up for the Minimed 630G/670G program. Any good reasons not to or to hold off?</t>
        </is>
      </c>
      <c r="C2987" t="inlineStr">
        <is>
          <t>Been exploring closed loop options and although the OpenAPS project is very appealing, I'm leaning heavily towards Medtronic's offering.
Every other closed loop offering in development looks like it's at least 2 years out. 
Any real downsides besides being a first adopter guinea pig? Am I screwing myself for later upgrades by starting with what is technically a 630G initial purchase?</t>
        </is>
      </c>
      <c r="D2987" t="n">
        <v>2</v>
      </c>
      <c r="E2987" t="n">
        <v>18</v>
      </c>
      <c r="F2987">
        <f>HYPERLINK("https://www.reddit.com/r/diabetes/comments/623tn1/t1_about_to_sign_up_for_the_minimed_630g670g/")</f>
        <v/>
      </c>
      <c r="G2987" t="inlineStr">
        <is>
          <t>2017-03-28 18:56:47</t>
        </is>
      </c>
      <c r="H2987" t="inlineStr">
        <is>
          <t>Type 1</t>
        </is>
      </c>
    </row>
    <row r="2988">
      <c r="A2988" t="inlineStr">
        <is>
          <t>6240eg</t>
        </is>
      </c>
      <c r="B2988" t="inlineStr">
        <is>
          <t>I'm tired of being a Diabetic</t>
        </is>
      </c>
      <c r="C2988" t="inlineStr">
        <is>
          <t>... That's It. I just really am....
EDIT: Thanks everyone for the support! Im just so burned out, I decided to try for a new career in City Government... A Civil service position. Bad news is that you need to be in good health for this position, and if you are not they make you go thru lots of hoops! It's been a year and I am still trying to get Diabetic waivers because the position involves driving trucks at times and they have me now working with the US DOT to get a waiver, and once I get the waiver go back to them and get another physical and medical exam one final time. I've never been reminded more about my health and diabetes more than I have in the past year and everyday I want to give up but I have a new baby now. I need this job for it's amazing benefits and early great retirement benefits so that I can spend more time with my new family.</t>
        </is>
      </c>
      <c r="D2988" t="n">
        <v>116</v>
      </c>
      <c r="E2988" t="n">
        <v>57</v>
      </c>
      <c r="F2988">
        <f>HYPERLINK("https://www.reddit.com/r/diabetes/comments/6240eg/im_tired_of_being_a_diabetic/")</f>
        <v/>
      </c>
      <c r="G2988" t="inlineStr">
        <is>
          <t>2017-03-28 19:34:10</t>
        </is>
      </c>
      <c r="H2988" t="inlineStr">
        <is>
          <t>Type 1</t>
        </is>
      </c>
    </row>
    <row r="2989">
      <c r="A2989" t="inlineStr">
        <is>
          <t>626wix</t>
        </is>
      </c>
      <c r="B2989" t="inlineStr">
        <is>
          <t>Travel/Hike Ready Snacks</t>
        </is>
      </c>
      <c r="C2989" t="inlineStr">
        <is>
          <t>Hello! My boyfriend has T1 diabetes and we love hiking/traveling *in theory.* We've had some issues making this a reality as he will often hike for a mile or two and get very low blood sugar. We've had to turn back from some pretty spectacular hikes because of this. He always has me carry raisins in my purse/backpack, but I know this isn't enough for a more labor intensive hike. Do you have any recommendations for hiking/travel ready snacks that are good for this kind of activity? Please also note that he is trying to lose about 30 lbs. We have a ~6 hour hike coming up next month (his idea, lol) and I'd love to bring little sandwiches with meat, cheese, bread- but he isn't keen on the idea of carbs.
I really appreciate any suggestions, thanks all!</t>
        </is>
      </c>
      <c r="D2989" t="n">
        <v>6</v>
      </c>
      <c r="E2989" t="n">
        <v>26</v>
      </c>
      <c r="F2989">
        <f>HYPERLINK("https://www.reddit.com/r/diabetes/comments/626wix/travelhike_ready_snacks/")</f>
        <v/>
      </c>
      <c r="G2989" t="inlineStr">
        <is>
          <t>2017-03-29 07:21:17</t>
        </is>
      </c>
      <c r="H2989" t="inlineStr">
        <is>
          <t>Type 1</t>
        </is>
      </c>
    </row>
    <row r="2990">
      <c r="A2990" t="inlineStr">
        <is>
          <t>628x5d</t>
        </is>
      </c>
      <c r="B2990" t="inlineStr">
        <is>
          <t>Android: Looking for app reminding about sugar checks</t>
        </is>
      </c>
      <c r="C2990" t="inlineStr">
        <is>
          <t>So yea... I have diabetes (1) for 17 years and still i havent managed to do self discipline about sugar checks which i regret. 
Is there any known app reminding about sugar check on random basis? I have tried few apps, now im using RemindMe, but this app doesn't alarm me on silenced like normal alarm clocks do.
 Would be best if that app could also read data from contour one plus, but this is not required. I know about contour original app (which has random checks) but... this app is worst thing on android.
Do you guys use something like that and can recommend something?</t>
        </is>
      </c>
      <c r="D2990" t="n">
        <v>2</v>
      </c>
      <c r="E2990" t="n">
        <v>1</v>
      </c>
      <c r="F2990">
        <f>HYPERLINK("https://www.reddit.com/r/diabetes/comments/628x5d/android_looking_for_app_reminding_about_sugar/")</f>
        <v/>
      </c>
      <c r="G2990" t="inlineStr">
        <is>
          <t>2017-03-29 12:38:32</t>
        </is>
      </c>
      <c r="H2990" t="inlineStr">
        <is>
          <t>Type 1</t>
        </is>
      </c>
    </row>
    <row r="2991">
      <c r="A2991" t="inlineStr">
        <is>
          <t>628zcc</t>
        </is>
      </c>
      <c r="B2991" t="inlineStr">
        <is>
          <t>It feels like a blister in my foot is forming but nothing is there</t>
        </is>
      </c>
      <c r="C2991" t="inlineStr">
        <is>
          <t xml:space="preserve">Background: I was diagnosed with diabetes two weeks ago. This is new for me according to my hemo reading (and in November 2016 my blood sugar was 130 after a meal).
I'm so paranoid / concerned about my health that if I sneeze wrong at this point I'm calling the CDC.
A few days ago, out of no where, I felt what I thought was a blister forming under my big toe. Two days ago I looked and the skin is fine. Not blochy, not irritated, it looks clean and healthy. Reading so many horror stories about legs and feet being chopped off, I'm wondering if anyone else experienced similar issues.
Regardless, I'll probably set up an appointment with a pediatrist. </t>
        </is>
      </c>
      <c r="D2991" t="n">
        <v>1</v>
      </c>
      <c r="E2991" t="n">
        <v>15</v>
      </c>
      <c r="F2991">
        <f>HYPERLINK("https://www.reddit.com/r/diabetes/comments/628zcc/it_feels_like_a_blister_in_my_foot_is_forming_but/")</f>
        <v/>
      </c>
      <c r="G2991" t="inlineStr">
        <is>
          <t>2017-03-29 12:48:48</t>
        </is>
      </c>
      <c r="H2991" t="inlineStr">
        <is>
          <t>Type 2</t>
        </is>
      </c>
    </row>
    <row r="2992">
      <c r="A2992" t="inlineStr">
        <is>
          <t>629w58</t>
        </is>
      </c>
      <c r="B2992" t="inlineStr">
        <is>
          <t>Worried about numbers while low on groceries/food stamps</t>
        </is>
      </c>
      <c r="C2992" t="inlineStr">
        <is>
          <t xml:space="preserve">I'm having to live off food bank food at the moment, and I'm worried about my numbers.  i don't want to end up at the ER, do these numbers seem okay? I sent my doctor a message, but have not heard back:
3/23 am 114 pm 185 pm 2 143 bed 134
3/24 am 108 pm 170 pm 2 141 bed 138
3/25 morning 114 afternoon 138 evening 130 bedtime 129
3/26 morning 133 afternoon 97 evening  166 bedtime 112
3/27 morning 118 afternoon 148 evening  154 bedtime 132
3/28 morning 114 afternoon 146  evening 168  bedtime 132
3/29 morning 98 afternoon 83  evening 126
</t>
        </is>
      </c>
      <c r="D2992" t="n">
        <v>2</v>
      </c>
      <c r="E2992" t="n">
        <v>6</v>
      </c>
      <c r="F2992">
        <f>HYPERLINK("https://www.reddit.com/r/diabetes/comments/629w58/worried_about_numbers_while_low_on_groceriesfood/")</f>
        <v/>
      </c>
      <c r="G2992" t="inlineStr">
        <is>
          <t>2017-03-29 15:10:53</t>
        </is>
      </c>
      <c r="H2992" t="inlineStr">
        <is>
          <t>Type 2</t>
        </is>
      </c>
    </row>
    <row r="2993">
      <c r="A2993" t="inlineStr">
        <is>
          <t>62cs69</t>
        </is>
      </c>
      <c r="B2993" t="inlineStr">
        <is>
          <t>Frustrated with new (first) endo, diagnosis, etc. Feedback?</t>
        </is>
      </c>
      <c r="C2993" t="inlineStr">
        <is>
          <t>So I finally met with an endo for the first time and I left the appointment understanding why so many here seem unhappy with their care team. I feel like my diabetes is very unlikely a case of insulin resistance, but that my endo is a few years behind the medical knowledge and is just assuming standard Type 2.
Here is why I'm convinced insulin resistance isn't what caused my diagnosis A1C of 11.5:
* Doctor and educator both strongly feel I have LADA. Both have seen it in multiple other patients, and correctly predicted that despite good control (my A1C went down to 6.5 three months later on a very low carb diet with metformin) my numbers would creep back up in 6 months to a year. After about 6 months they started rising to 250 fasting again.
* C-peptide results a few months after diagnosis (about a year ago, and before my numbers started creeping up again...so results could be different now) were *just* within the normal range, on the low end, at a time my glucose reading was high (200+). Everything I've read says this indicates low insulin production, and that high c-peptides alongside high glucose indicates insulin resistance.
* No metabolic syndrome.
* Trace to medium ketones in my urine before starting on insulin.
* Normal BMI/weight.
* Age of 26.
* Pre-prandial (not fasting) glucose was 79 two years before my diagnosis. 
* My progression has been much quicker than Type 2 is supposed to be. In about six months I went from 250 average on a normal carb diet to 250 again on a very low carb diet with exercise (before my doctor agreed to start me on insulin). 
* Standard insulin dosage works fine for me.
Thankfully my new endo agreed to do islet and c-peptide tests, but I'm concerned about his expertise on this subject because...
* He insists that if I was Type 1, I would have no detectable c-peptides at all. Everything I've read (example: https://www.diabeteshealth.com/interpreting-your-c-peptide-values/ ) says that "zero c-peptides" are not common in Type 1, just low c-peptides. After all, the pancreas is still making a tiny bit of insulin...
* Seemed generally unfamiliar with LADA and talked about my age being too old for Type 1.
* Told me if I lost five pounds I would probably be able to go off of insulin and maybe even metformin. Five pounds. Are there people out there with insulin resistance because of five pounds? Is five pounds (and within the normal BMI...) really the cause of an extra 200 mg/dl blood sugar?
I'm afraid of two possibilities. One, that I'm right but that my islet test comes back negative (?) and my c-peptide doesn't deliver the zero result he's looking for, and my diagnosis gets changed to Type 2 and I lose my insulin coverage because my healthcare is garbage and my PCP had to fight tooth and nail to get me on it in the first place.
Alternatively, I'm wrong and nothing makes sense.
Am I crazy for being convinced it's not insulin resistance? Is it possible I'll test negative for the islet thing?
Thank you for any help or reassurance... :(</t>
        </is>
      </c>
      <c r="D2993" t="n">
        <v>3</v>
      </c>
      <c r="E2993" t="n">
        <v>6</v>
      </c>
      <c r="F2993">
        <f>HYPERLINK("https://www.reddit.com/r/diabetes/comments/62cs69/frustrated_with_new_first_endo_diagnosis_etc/")</f>
        <v/>
      </c>
      <c r="G2993" t="inlineStr">
        <is>
          <t>2017-03-30 01:50:52</t>
        </is>
      </c>
      <c r="H2993" t="inlineStr">
        <is>
          <t>Type 1.5/LADA</t>
        </is>
      </c>
    </row>
    <row r="2994">
      <c r="A2994" t="inlineStr">
        <is>
          <t>62dkyj</t>
        </is>
      </c>
      <c r="B2994" t="inlineStr">
        <is>
          <t>T1D crazy basal rate</t>
        </is>
      </c>
      <c r="C2994" t="inlineStr">
        <is>
          <t xml:space="preserve">I am a type one diabetic that is probably a little ocd about control, my last a1c was 5.4 and I rarely have a spike after eating. Instead my highs almost always come seemingly randomly and my basal rate fluctuates between 14-22 units of levemir even if I fast for the day. I live and work in China but when I go to America to visit my family even though I keep my diet fairly constant my basal rate reliably doubles by the end of the trip (usually 42 by the end). I have asked many many endos who didn't have an answer and just wondering if anyone has any ideas. </t>
        </is>
      </c>
      <c r="D2994" t="n">
        <v>1</v>
      </c>
      <c r="E2994" t="n">
        <v>12</v>
      </c>
      <c r="F2994">
        <f>HYPERLINK("https://www.reddit.com/r/diabetes/comments/62dkyj/t1d_crazy_basal_rate/")</f>
        <v/>
      </c>
      <c r="G2994" t="inlineStr">
        <is>
          <t>2017-03-30 05:17:30</t>
        </is>
      </c>
      <c r="H2994" t="inlineStr">
        <is>
          <t>Type 1</t>
        </is>
      </c>
    </row>
    <row r="2995">
      <c r="A2995" t="inlineStr">
        <is>
          <t>62n8iq</t>
        </is>
      </c>
      <c r="B2995" t="inlineStr">
        <is>
          <t>It's all about perspective.</t>
        </is>
      </c>
      <c r="C2995" t="inlineStr">
        <is>
          <t>I just had a 3 day stint in the hospital after having an NSTEMI, and upon being discharged, the nurse came in to tell me that she was concerned about my A1C.  It was 7.8, to which I grinned and said "that's great!"  She said that it was not great, in fact, it was bad.  I said..."well 3 months ago, it was 8.5".   She just grinned.</t>
        </is>
      </c>
      <c r="D2995" t="n">
        <v>23</v>
      </c>
      <c r="E2995" t="n">
        <v>7</v>
      </c>
      <c r="F2995">
        <f>HYPERLINK("https://www.reddit.com/r/diabetes/comments/62n8iq/its_all_about_perspective/")</f>
        <v/>
      </c>
      <c r="G2995" t="inlineStr">
        <is>
          <t>2017-03-31 11:55:45</t>
        </is>
      </c>
      <c r="H2995" t="inlineStr">
        <is>
          <t>Type 2</t>
        </is>
      </c>
    </row>
    <row r="2996">
      <c r="A2996" t="inlineStr">
        <is>
          <t>62oy46</t>
        </is>
      </c>
      <c r="B2996" t="inlineStr">
        <is>
          <t>At the end of my rope...</t>
        </is>
      </c>
      <c r="C2996" t="inlineStr">
        <is>
          <t>I have been having a hell of a time lately with my diabetes between the pharmacy, doctor, and insurance throwing me around like a rag doll.
A few weeks ago, I called into my doctor and asked that they make a prescription for OneTouch Verio testing strips and OneTouch Delica lancets. It took them over a week to finally call me back with real information about the prescription.
When they called me a week ago, they asked how many times I test per day. I informed them I like to test twice a day (morning and evening, before I eat) and they did not object. They told me that is fine and they would call in a 6 month prescription (well, 30 day prescription with 6 refills for 6 months total) that day for me to pick up.
I called my pharmacy a few hours later and no prescription. I waited a day and called again. No prescription. Called my doctor back and the front office says something about insurance holding it up and to be patient...
I waited until today to call back and first thing this morning I called them back. This time I was told there was no record of needing insurance for anything and in fact the prescription was called in days ago as they said. I called the pharmacy. No prescription.
Back and forth several calls today and *finally* it comes out that the pharmacy lost the prescription twice and the doctor did in fact call it in (twice). The doctor called it in again today and the pharmacy finally accepted the prescription...
Except the insurance won't cover more than a 25 day supply of once per day (25 strips) without a pre authorization submitted by my doctor...
So I call my insurance who calls my doctor. My doctor says I only need to test once per day even though she told me (herself, not an assistant) over the phone this morning even that she would give me 100 strips per month (twice a day).
After fighting this for so long, I gave up and bought a ReliOn Prime meter at Walmart and got 25 test strips to test if they are good. I chose ReliOn based on the test strip cost which seemed to be the cheapest (~$17 for 100 strips which is my projected usage).
I haven't tried the meter yet but I hope it works well. I really do. I'm at wits end.
I did choose to continue using the onetouch delica system for now at the same time since the lancets are only ~$12 without prescription and I like them as much as you can like a lancet.
So TLDR: I'm losing faith in my doctor, my pharmacy, and my insurance and I'm not sure at this point if I even see the point in continuing to seek care outside of emergency. I'll just test my blood, eat ok, and take my metformin until I run out.
**EDIT: After reading reviews on the strips, most people claim they are wildly inaccurate and I'm inclined to agree. I have nothing to compare them to at the moment but my numbers are vastly different than typical. I DID find that Amazon has my OneTouch Verio testing strips in 100 ct for $58 on prime so I have placed an order for delivery Monday. If they work out, I'm going to use insurance for metformin and buy lancets and testing strips at cost from Amazon**</t>
        </is>
      </c>
      <c r="D2996" t="n">
        <v>3</v>
      </c>
      <c r="E2996" t="n">
        <v>27</v>
      </c>
      <c r="F2996">
        <f>HYPERLINK("https://www.reddit.com/r/diabetes/comments/62oy46/at_the_end_of_my_rope/")</f>
        <v/>
      </c>
      <c r="G2996" t="inlineStr">
        <is>
          <t>2017-03-31 16:17:09</t>
        </is>
      </c>
      <c r="H2996" t="inlineStr">
        <is>
          <t>Type 2</t>
        </is>
      </c>
    </row>
    <row r="2997">
      <c r="A2997" t="inlineStr">
        <is>
          <t>62qchv</t>
        </is>
      </c>
      <c r="B2997" t="inlineStr">
        <is>
          <t>Any word on when the Minimed 670G System will be released?</t>
        </is>
      </c>
      <c r="C2997" t="inlineStr">
        <is>
          <t>I haven't really kept up with any updates since it was approved last fall. Have they released any dates for when it will be available to purchase?</t>
        </is>
      </c>
      <c r="D2997" t="n">
        <v>3</v>
      </c>
      <c r="E2997" t="n">
        <v>11</v>
      </c>
      <c r="F2997">
        <f>HYPERLINK("https://www.reddit.com/r/diabetes/comments/62qchv/any_word_on_when_the_minimed_670g_system_will_be/")</f>
        <v/>
      </c>
      <c r="G2997" t="inlineStr">
        <is>
          <t>2017-03-31 20:36:19</t>
        </is>
      </c>
      <c r="H2997" t="inlineStr">
        <is>
          <t>Type 1</t>
        </is>
      </c>
    </row>
    <row r="2998">
      <c r="A2998" t="inlineStr">
        <is>
          <t>62x2qt</t>
        </is>
      </c>
      <c r="B2998" t="inlineStr">
        <is>
          <t>1st Diaversary</t>
        </is>
      </c>
      <c r="C2998" t="inlineStr">
        <is>
          <t>T1:  I've got my 1 year diaversary coming up on April 23rd. Other than doing the regular routine, have you done anything different when meeting such milestones? Or, is it just another day for you? I don't see my self doing anything crazy but I may try to treat myself for this. 
It's been a hell of a year for me.
Thanks!</t>
        </is>
      </c>
      <c r="D2998" t="n">
        <v>23</v>
      </c>
      <c r="E2998" t="n">
        <v>20</v>
      </c>
      <c r="F2998">
        <f>HYPERLINK("https://www.reddit.com/r/diabetes/comments/62x2qt/1st_diaversary/")</f>
        <v/>
      </c>
      <c r="G2998" t="inlineStr">
        <is>
          <t>2017-04-01 18:48:59</t>
        </is>
      </c>
      <c r="H2998" t="inlineStr">
        <is>
          <t>Type 1</t>
        </is>
      </c>
    </row>
    <row r="2999">
      <c r="A2999" t="inlineStr">
        <is>
          <t>631qau</t>
        </is>
      </c>
      <c r="B2999" t="inlineStr">
        <is>
          <t>Puking because of a high?</t>
        </is>
      </c>
      <c r="C2999" t="inlineStr">
        <is>
          <t>For a while now my blood sugar has gone to 18 - 20 before bed for no reason, I inject to fix it, and then a hour and 30 minutes go past and I begin to shiver and shake uncontrollably (just like you would from a really bad low) last time I threw up when this happened, what should I do? I'm shivering at the moment and feeling sick, I have no ketones.</t>
        </is>
      </c>
      <c r="D2999" t="n">
        <v>1</v>
      </c>
      <c r="E2999" t="n">
        <v>9</v>
      </c>
      <c r="F2999">
        <f>HYPERLINK("https://www.reddit.com/r/diabetes/comments/631qau/puking_because_of_a_high/")</f>
        <v/>
      </c>
      <c r="G2999" t="inlineStr">
        <is>
          <t>2017-04-02 12:38:45</t>
        </is>
      </c>
      <c r="H2999" t="inlineStr">
        <is>
          <t>Type 1</t>
        </is>
      </c>
    </row>
    <row r="3000">
      <c r="A3000" t="inlineStr">
        <is>
          <t>632s48</t>
        </is>
      </c>
      <c r="B3000" t="inlineStr">
        <is>
          <t>T2 on Keto - Low Numbers</t>
        </is>
      </c>
      <c r="C3000" t="inlineStr">
        <is>
          <t>I'm T2 and have been doing keto for about 2 1/2 weeks.  I'm also on an extended release 500mg metformin.  It's been going really well and my glucose numbers are falling nicely.  Yesterday I had a long work day and at the end of the night my glucose tested at 63.  Tonight after a non-active day it's again dropped to 66.  I feel great and wouldn't be concerned except my tracking app keeps flagging it as low.  My gut says ignore it and keep doing what I'm doing.  Do you concur or should I be trying to keep it a bit higher?</t>
        </is>
      </c>
      <c r="D3000" t="n">
        <v>2</v>
      </c>
      <c r="E3000" t="n">
        <v>10</v>
      </c>
      <c r="F3000">
        <f>HYPERLINK("https://www.reddit.com/r/diabetes/comments/632s48/t2_on_keto_low_numbers/")</f>
        <v/>
      </c>
      <c r="G3000" t="inlineStr">
        <is>
          <t>2017-04-02 15:37:32</t>
        </is>
      </c>
      <c r="H3000" t="inlineStr">
        <is>
          <t>Type 2</t>
        </is>
      </c>
    </row>
    <row r="3001">
      <c r="A3001" t="inlineStr">
        <is>
          <t>63bmbn</t>
        </is>
      </c>
      <c r="B3001" t="inlineStr">
        <is>
          <t>How do you treat chronic UTIs with diabetes?</t>
        </is>
      </c>
      <c r="C3001" t="inlineStr">
        <is>
          <t>I'm a type 2 diabetic and I honestly don't remember the last time I didn't have a UTI. I know they're very common in diabetics (in fact, that's how I got diagnosed to begin with), and for me, they occur regardless of my carb intake or exercise level or any of that. I started drinking cranberry juice every day since that's the old wive's tale I was told about growing up, but then realized the sugar in the no-sugar added drinks were still spiking me really badly with no relief. The same thing is happening to me with cranberry supplements too, even when I do half the recommended dose. I just switched to a different brand of cranberry supplements and it's having the same effect.
I don't want to keep going on antibiotics but I'd also like to be able to pee without excruciating pain, and I know I must not be the only person in the community with this problem. Any recommendations?</t>
        </is>
      </c>
      <c r="D3001" t="n">
        <v>4</v>
      </c>
      <c r="E3001" t="n">
        <v>17</v>
      </c>
      <c r="F3001">
        <f>HYPERLINK("https://www.reddit.com/r/diabetes/comments/63bmbn/how_do_you_treat_chronic_utis_with_diabetes/")</f>
        <v/>
      </c>
      <c r="G3001" t="inlineStr">
        <is>
          <t>2017-04-03 20:01:15</t>
        </is>
      </c>
      <c r="H3001" t="inlineStr">
        <is>
          <t>Type 2</t>
        </is>
      </c>
    </row>
    <row r="3002">
      <c r="A3002" t="inlineStr">
        <is>
          <t>63eb7v</t>
        </is>
      </c>
      <c r="B3002" t="inlineStr">
        <is>
          <t>Please help, she runs out today.</t>
        </is>
      </c>
      <c r="C3002" t="inlineStr">
        <is>
          <t>My girlfriend is a Type 1 that takes Humalog and Tresiba. For the last week I've been reminding her that she needs to get her prescription filled, because she was nearly out. Mind you, she procrastinates with everything, especially this. Now, she only has enough to last MAYBE the rest of today. She went to the pharmacist yesterday to get it refilled, but it turns out the Humalog she had was a non-refillable script. Immediately after finding that out she tries to call her doctors office, but they're already closed for the day. So she calls today, about an hour ago to get a prescription sent up. They don't answer and she gets the robot. Apparently it said that they only fill prescriptions on Monday and Friday. Seriously?! Shouldn't it be Monday THROUGH Friday? Did she hear it wrong? I asked her if she was sure that's what they said and she said yes. She said that she basically has to go into DKA and go to the hospital before they'll even consider helping her. She's had to "do it before." I'm losing my mind and don't know what to do. I can't believe the alternative is to let her go into DKA?! Apparently before we got together, a similar situation happened where she ran out. She tried going to the hospital but they refused to do anything because they didn't believe her. She went into DKA. THEN they helped her. Please someone recommend something and please soon.
--
UPDATE: She just left work early and called me. She decided to wander over to Walmart to SEE if her doctor sent up a prescription. He did, about half an hour ago. She's getting it filled right now. It's annoying that they didn't even call her back though. She called earlier this morning and left a voicemail and they sent it up without letting her know. Either way, she's getting what she needs TODAY. I can't explain how relieved I am right now. This, however, is NOT happening again. She is getting it at LEAST a week before it runs out. Never again. I've been awake for 23 hours and I'm finally going to sleep. Thank you so much everyone. Seriously. I appreciate this Reddit and all of you so much for talking me through this.</t>
        </is>
      </c>
      <c r="D3002" t="n">
        <v>11</v>
      </c>
      <c r="E3002" t="n">
        <v>47</v>
      </c>
      <c r="F3002">
        <f>HYPERLINK("https://www.reddit.com/r/diabetes/comments/63eb7v/please_help_she_runs_out_today/")</f>
        <v/>
      </c>
      <c r="G3002" t="inlineStr">
        <is>
          <t>2017-04-04 07:08:31</t>
        </is>
      </c>
      <c r="H3002" t="inlineStr">
        <is>
          <t>Type 1</t>
        </is>
      </c>
    </row>
    <row r="3003">
      <c r="A3003" t="inlineStr">
        <is>
          <t>63f4k3</t>
        </is>
      </c>
      <c r="B3003" t="inlineStr">
        <is>
          <t>Starting pump soon!</t>
        </is>
      </c>
      <c r="C3003" t="inlineStr">
        <is>
          <t>After over a year of waiting, I finally have a date for starting my pump. Come 8th May I will be using the MiniMed 640g. I am in the UK so I won't get the CGM component funded, sadly.
Any tips about using it or preparing for the change? I am strangely apprehensive about having to be attached to something all the time. I am planning to invest in a couple of holders, maybe one for the thigh for when I wear a dress. Are they worthwhile?
Any suggestions for resources I should look at before starting? I have done some Googling but it's always good to get recommendations!
What sort of experiences did you have when you first started pumping? How has it been going through airport security? Any random tips or observations that you wouldn't have thought to ask about before starting on your pump?</t>
        </is>
      </c>
      <c r="D3003" t="n">
        <v>14</v>
      </c>
      <c r="E3003" t="n">
        <v>27</v>
      </c>
      <c r="F3003">
        <f>HYPERLINK("https://www.reddit.com/r/diabetes/comments/63f4k3/starting_pump_soon/")</f>
        <v/>
      </c>
      <c r="G3003" t="inlineStr">
        <is>
          <t>2017-04-04 09:19:47</t>
        </is>
      </c>
      <c r="H3003" t="inlineStr">
        <is>
          <t>Type 1</t>
        </is>
      </c>
    </row>
    <row r="3004">
      <c r="A3004" t="inlineStr">
        <is>
          <t>63gdst</t>
        </is>
      </c>
      <c r="B3004" t="inlineStr">
        <is>
          <t>T2 Diabetes and hair loss</t>
        </is>
      </c>
      <c r="C3004" t="inlineStr">
        <is>
          <t xml:space="preserve">I noticed that I was losing hair around the same time I was diagnosed, which was a month ago. Seems like every time I wash my hair I'm finding strands of it on my hands, and the hair on top of my head is now much thinner. The rest of the hair on my body appears to be unaffected.
As a 28 year old male I'm not going to rule out the idea that this is just normal balding, but the timing is making me wonder.
Has anyone else experienced this after being diagnosed with T2? Can diabetes or Metformin cause permanent hair loss? </t>
        </is>
      </c>
      <c r="D3004" t="n">
        <v>3</v>
      </c>
      <c r="E3004" t="n">
        <v>11</v>
      </c>
      <c r="F3004">
        <f>HYPERLINK("https://www.reddit.com/r/diabetes/comments/63gdst/t2_diabetes_and_hair_loss/")</f>
        <v/>
      </c>
      <c r="G3004" t="inlineStr">
        <is>
          <t>2017-04-04 12:25:59</t>
        </is>
      </c>
      <c r="H3004" t="inlineStr">
        <is>
          <t>Type 2</t>
        </is>
      </c>
    </row>
    <row r="3005">
      <c r="A3005" t="inlineStr">
        <is>
          <t>63n1y7</t>
        </is>
      </c>
      <c r="B3005" t="inlineStr">
        <is>
          <t>Looking for lancing advice</t>
        </is>
      </c>
      <c r="C3005" t="inlineStr">
        <is>
          <t>So, my wife is recently diagnosed with Type 2 and we're very new to all of this.
One of the things we're having trouble with is the lancing.  We can sometimes get enough blood for a reading but very frequently we aren't able to; just a tiny bit of blood comes out and the meter gives us "E-2", not enough blood.  For example, we tried four times this morning and were not successful.
We're using a Tru Metrix meter from Walgreens.  Usually I'm the one who preps everything and does the actual lancing.  We've been massaging her arm and fingers and try to keep her arm hanging at her side when we do it as well.
Any advice?  Are there other things we can do to get the blood flowing, so to speak?  It's usually the worst in the morning, which is of course when her doctor most wants us to be testing.</t>
        </is>
      </c>
      <c r="D3005" t="n">
        <v>2</v>
      </c>
      <c r="E3005" t="n">
        <v>28</v>
      </c>
      <c r="F3005">
        <f>HYPERLINK("https://www.reddit.com/r/diabetes/comments/63n1y7/looking_for_lancing_advice/")</f>
        <v/>
      </c>
      <c r="G3005" t="inlineStr">
        <is>
          <t>2017-04-05 10:34:16</t>
        </is>
      </c>
      <c r="H3005" t="inlineStr">
        <is>
          <t>Type 2</t>
        </is>
      </c>
    </row>
    <row r="3006">
      <c r="A3006" t="inlineStr">
        <is>
          <t>63qqhr</t>
        </is>
      </c>
      <c r="B3006" t="inlineStr">
        <is>
          <t>T1D Doing the Camino de Santiago</t>
        </is>
      </c>
      <c r="C3006" t="inlineStr">
        <is>
          <t xml:space="preserve">Hi! I am a 'good' T1D with a Dexcom 5 CGM and flexpens for my Tresiba &amp;amp; Novolog. Just wanted to tell you all that I am planning on undertaking the Camino de Santiago beginning May 1st. I will be walking a 1000 kilometers over 40 days. I am a 59 year old widow and I will rock this. Set a goal, make a plan, work your plan and achieve your goal.  </t>
        </is>
      </c>
      <c r="D3006" t="n">
        <v>24</v>
      </c>
      <c r="E3006" t="n">
        <v>11</v>
      </c>
      <c r="F3006">
        <f>HYPERLINK("https://www.reddit.com/r/diabetes/comments/63qqhr/t1d_doing_the_camino_de_santiago/")</f>
        <v/>
      </c>
      <c r="G3006" t="inlineStr">
        <is>
          <t>2017-04-05 21:11:12</t>
        </is>
      </c>
      <c r="H3006" t="inlineStr">
        <is>
          <t>Type 1</t>
        </is>
      </c>
    </row>
    <row r="3007">
      <c r="A3007" t="inlineStr">
        <is>
          <t>63ta8j</t>
        </is>
      </c>
      <c r="B3007" t="inlineStr">
        <is>
          <t>How fast should results be happening?</t>
        </is>
      </c>
      <c r="C3007" t="inlineStr">
        <is>
          <t xml:space="preserve">I'm T2D
So, I've just been put on insulin -Novolin 70/30- 10 units twice a day, today is day 2 of this, and I haven't seen any real improvement in the lowering my blood sugar, I've been testing after all meals.  I've been at a steady 200-230 every time I check.  Is it too soon to be looking for positive results or should I be making note of this to report to my doctor in a week to see about dose adjustment.  I just want to make sure I'm doing this right. I actively work to keep carbs as low as I can, and I work out 3-4 times a week. 
I was having great results with Janumet and Victoza, but when I switched jobs I had to switch insurances and my drugs are not covered and I couldn't get a prior authorization.  I am still fighting like hell to get back on the Janumet, I hate Victoza, but I somehow think I'm going to be on insulin for awhile. </t>
        </is>
      </c>
      <c r="D3007" t="n">
        <v>1</v>
      </c>
      <c r="E3007" t="n">
        <v>4</v>
      </c>
      <c r="F3007">
        <f>HYPERLINK("https://www.reddit.com/r/diabetes/comments/63ta8j/how_fast_should_results_be_happening/")</f>
        <v/>
      </c>
      <c r="G3007" t="inlineStr">
        <is>
          <t>2017-04-06 07:33:27</t>
        </is>
      </c>
      <c r="H3007" t="inlineStr">
        <is>
          <t>Type 2</t>
        </is>
      </c>
    </row>
    <row r="3008">
      <c r="A3008" t="inlineStr">
        <is>
          <t>6415kn</t>
        </is>
      </c>
      <c r="B3008" t="inlineStr">
        <is>
          <t>4 months as a T1</t>
        </is>
      </c>
      <c r="C3008" t="inlineStr">
        <is>
          <t>Went into DKA Dec 24th and was diagnosed as T1, spent 4 days in the hospital.  My A1c came in at 13.3!  Yesterday I had some lab work done, including my A1c and I dropped to 6.6!!</t>
        </is>
      </c>
      <c r="D3008" t="n">
        <v>28</v>
      </c>
      <c r="E3008" t="n">
        <v>7</v>
      </c>
      <c r="F3008">
        <f>HYPERLINK("https://www.reddit.com/r/diabetes/comments/6415kn/4_months_as_a_t1/")</f>
        <v/>
      </c>
      <c r="G3008" t="inlineStr">
        <is>
          <t>2017-04-07 08:42:36</t>
        </is>
      </c>
      <c r="H3008" t="inlineStr">
        <is>
          <t>Type 1</t>
        </is>
      </c>
    </row>
    <row r="3009">
      <c r="A3009" t="inlineStr">
        <is>
          <t>6418xi</t>
        </is>
      </c>
      <c r="B3009" t="inlineStr">
        <is>
          <t>Tired as hell all the time.</t>
        </is>
      </c>
      <c r="C3009" t="inlineStr">
        <is>
          <t>Lately, I've been feeling very tired all the time.  
My numbers are as they normally are, I take my 7 units of Lantus in the morning, and my I:C ratio is 1:15. I eat my breakfast, waffles with sugar free syrup and milk with 4u of novolog, and my glucose 2 hours after is 110-120.  
I just feel tired and drained and sleepy. I also sometimes feel a bit moody. What gives?</t>
        </is>
      </c>
      <c r="D3009" t="n">
        <v>6</v>
      </c>
      <c r="E3009" t="n">
        <v>15</v>
      </c>
      <c r="F3009">
        <f>HYPERLINK("https://www.reddit.com/r/diabetes/comments/6418xi/tired_as_hell_all_the_time/")</f>
        <v/>
      </c>
      <c r="G3009" t="inlineStr">
        <is>
          <t>2017-04-07 08:57:59</t>
        </is>
      </c>
      <c r="H3009" t="inlineStr">
        <is>
          <t>Type 1</t>
        </is>
      </c>
    </row>
    <row r="3010">
      <c r="A3010" t="inlineStr">
        <is>
          <t>644x1x</t>
        </is>
      </c>
      <c r="B3010" t="inlineStr">
        <is>
          <t>Type 1: low basal needs and correction factor but very high insulin:carb ratio. Why??</t>
        </is>
      </c>
      <c r="C3010" t="inlineStr">
        <is>
          <t xml:space="preserve">So I've had type 1 diabetes for about a year and a half and I'm still in the honeymoon period as my doses are constantly changing, but I've noticed this weird thing happening to me. 
For the last 6 months or so, my basal needs have been between 6 and 15 units, which is quite a small dose. My correction factor also indicates that I am sensitive to insulin as 1 unit will drop my blood sugar by about 70. 
On the other hand, my I:C ratio has been steadily increasing. For a long time it hovered around 1:7 or 1:8, now it's 1:5. That would indicate that I am quite insulin resistant, contrary to my basal and correction requirements.
I eat moderately low carb and have not made significant changes to my diet. I don't do much exercise (just walking) but have maintained a healthy weight (BMI is 19.5).
What's happening to me? Why do I need so much insulin for meals and very little at other times? Am I becoming type 2? </t>
        </is>
      </c>
      <c r="D3010" t="n">
        <v>7</v>
      </c>
      <c r="E3010" t="n">
        <v>14</v>
      </c>
      <c r="F3010">
        <f>HYPERLINK("https://www.reddit.com/r/diabetes/comments/644x1x/type_1_low_basal_needs_and_correction_factor_but/")</f>
        <v/>
      </c>
      <c r="G3010" t="inlineStr">
        <is>
          <t>2017-04-07 20:04:20</t>
        </is>
      </c>
      <c r="H3010" t="inlineStr">
        <is>
          <t>Type 1</t>
        </is>
      </c>
    </row>
    <row r="3011">
      <c r="A3011" t="inlineStr">
        <is>
          <t>647nee</t>
        </is>
      </c>
      <c r="B3011" t="inlineStr">
        <is>
          <t>Hyperglycemia with behavioral changes</t>
        </is>
      </c>
      <c r="C3011" t="inlineStr">
        <is>
          <t>My roommate tested high (&amp;gt;260mg/dl) for glucose one day when I had to call the EMT on him because he was very incoherent, had poor co-ordination and couldn't remember anything. 
He does not have insurance and is very MD averse (story for another day). 
He has been religiously monitoring his blood glucose levels since then with a strip reader and the lowest it has gone to is 190mg/dl. He says his baseline (after overnight fast) is around 225mg/dl and is around 270-290 after 4 hrs of eating. 
He is also watching his diet (low or no carb) but ended up bingeing on soda and fast food a few days ago. He ended up being incoherent, disoriented again because of it and begged me not to call EMTs. 
My question is does diabetes/ hyperglycemia cause cognition problems?</t>
        </is>
      </c>
      <c r="D3011" t="n">
        <v>6</v>
      </c>
      <c r="E3011" t="n">
        <v>17</v>
      </c>
      <c r="F3011">
        <f>HYPERLINK("https://www.reddit.com/r/diabetes/comments/647nee/hyperglycemia_with_behavioral_changes/")</f>
        <v/>
      </c>
      <c r="G3011" t="inlineStr">
        <is>
          <t>2017-04-08 08:42:22</t>
        </is>
      </c>
      <c r="H3011" t="inlineStr">
        <is>
          <t>Type 2</t>
        </is>
      </c>
    </row>
    <row r="3012">
      <c r="A3012" t="inlineStr">
        <is>
          <t>6498uy</t>
        </is>
      </c>
      <c r="B3012" t="inlineStr">
        <is>
          <t>Awful sugar levels and fitness?</t>
        </is>
      </c>
      <c r="C3012" t="inlineStr">
        <is>
          <t>So to make it short, I've recently started making big changes to my lifestyle (started running and fitness along with other things), but what worries me is that my sugar levels have been awful for the past year or so. When the average should be around 6, my long-time average sits at 17 to 18. I know that this will hinder my progress, but with my situation being so bad it will surely take me a while to get back on track. I would just want to know what exactly I should be aware of/look out for until I get my sugar levels back where they should be. I'd also like to know what kind of concrete pushbacks high sugars will create for me.</t>
        </is>
      </c>
      <c r="D3012" t="n">
        <v>6</v>
      </c>
      <c r="E3012" t="n">
        <v>9</v>
      </c>
      <c r="F3012">
        <f>HYPERLINK("https://www.reddit.com/r/diabetes/comments/6498uy/awful_sugar_levels_and_fitness/")</f>
        <v/>
      </c>
      <c r="G3012" t="inlineStr">
        <is>
          <t>2017-04-08 13:37:53</t>
        </is>
      </c>
      <c r="H3012" t="inlineStr">
        <is>
          <t>Type 1</t>
        </is>
      </c>
    </row>
    <row r="3013">
      <c r="A3013" t="inlineStr">
        <is>
          <t>64a5yo</t>
        </is>
      </c>
      <c r="B3013" t="inlineStr">
        <is>
          <t>T2 Managing well with diet &amp;amp; exercise. Just got a scrip for Prednisone &amp;amp; BG skyrocketing. Should I ask for meds to help offset it?</t>
        </is>
      </c>
      <c r="C3013" t="inlineStr">
        <is>
          <t>I'm seeing bg readings in the 200's (highest was 258mg/dL) since I started taking Prednisone for a muscle pull/strain in my back.  
Working out to lower my bg isn't an option because that's kinda got me on the steroid to begin with.  So I'm couched for the 10 days or so I'll be on this stuff.  
  I'm already on the keto diet (aiming for 20g carbs or less per day).  So reducing carb input really isn't possible.  
I'm at a crossroads.  Should I just wait it out the rest of the course of the dosage?  Or should I send my PCM a request for meds to help manage the bg levels temporarily?
I'm at the point where I almost don't dare eat a meal other than bacon and eggs.  I knew that steroids can make your bg skyrocket, but I didn't think I would have to choose between that and and serious back pain.  
EDIT: Thanks for the answers!  I've sent my PCM the output from my tests and asked him what they typically do in this case.</t>
        </is>
      </c>
      <c r="D3013" t="n">
        <v>9</v>
      </c>
      <c r="E3013" t="n">
        <v>8</v>
      </c>
      <c r="F3013">
        <f>HYPERLINK("https://www.reddit.com/r/diabetes/comments/64a5yo/t2_managing_well_with_diet_exercise_just_got_a/")</f>
        <v/>
      </c>
      <c r="G3013" t="inlineStr">
        <is>
          <t>2017-04-08 16:44:08</t>
        </is>
      </c>
      <c r="H3013" t="inlineStr">
        <is>
          <t>Type 2</t>
        </is>
      </c>
    </row>
    <row r="3014">
      <c r="A3014" t="inlineStr">
        <is>
          <t>64ac7s</t>
        </is>
      </c>
      <c r="B3014" t="inlineStr">
        <is>
          <t>How do you know if you need to up your basal dose or not?</t>
        </is>
      </c>
      <c r="C3014" t="inlineStr">
        <is>
          <t>So I have my insulin:carb ratio sitting at about 1:15, and I take 6-8 units of Lantus in the morning. I am 6'0 at 151 pounds.  
I have been feeling tired and lethargic for a while now, pretty much since my diagnosis, even though my glucose usually is around 110-125 2 hours after a meal.  
Is that a good number? Should I raise my basal rate up to 10 or so and take 1 unit of rapid acting every 20 or 25 carbs or so? I feel like I'm just not getting enough energy or something. Due to a mishap with insurance I don't have an endo to ask at the moment.</t>
        </is>
      </c>
      <c r="D3014" t="n">
        <v>6</v>
      </c>
      <c r="E3014" t="n">
        <v>14</v>
      </c>
      <c r="F3014">
        <f>HYPERLINK("https://www.reddit.com/r/diabetes/comments/64ac7s/how_do_you_know_if_you_need_to_up_your_basal_dose/")</f>
        <v/>
      </c>
      <c r="G3014" t="inlineStr">
        <is>
          <t>2017-04-08 17:20:16</t>
        </is>
      </c>
      <c r="H3014" t="inlineStr">
        <is>
          <t>Type 1</t>
        </is>
      </c>
    </row>
    <row r="3015">
      <c r="A3015" t="inlineStr">
        <is>
          <t>64au4y</t>
        </is>
      </c>
      <c r="B3015" t="inlineStr">
        <is>
          <t>Have you tried Cinnamon to lower your A1C?</t>
        </is>
      </c>
      <c r="C3015" t="inlineStr">
        <is>
          <t>(Type 2) At my last check up, 6 months ago, my A1C was 7.1. I decided to see if Cinnamon would lower it by my next check up. I didn't alter my diet or exercise. I have taken 1000mg a day for 6 months. My A1C today was 6.9.  I can't find any information on how much a person can/should take a day. Has anyone else tried Cinnamon to lower their A1C, and if so, how much did you take?</t>
        </is>
      </c>
      <c r="D3015" t="n">
        <v>0</v>
      </c>
      <c r="E3015" t="n">
        <v>7</v>
      </c>
      <c r="F3015">
        <f>HYPERLINK("https://www.reddit.com/r/diabetes/comments/64au4y/have_you_tried_cinnamon_to_lower_your_a1c/")</f>
        <v/>
      </c>
      <c r="G3015" t="inlineStr">
        <is>
          <t>2017-04-08 19:12:14</t>
        </is>
      </c>
      <c r="H3015" t="inlineStr">
        <is>
          <t>Type 2</t>
        </is>
      </c>
    </row>
    <row r="3016">
      <c r="A3016" t="inlineStr">
        <is>
          <t>64d8m8</t>
        </is>
      </c>
      <c r="B3016" t="inlineStr">
        <is>
          <t>Honeymoon: When to start basal insulin</t>
        </is>
      </c>
      <c r="C3016" t="inlineStr">
        <is>
          <t>Are there any guidelines out there on introducing basal insulin while honeymooning?
Is it feasible to add basal into the mix before a body “needs” it?
What would be signs to start a full basal/bolus regime?
&amp;amp;nbsp;
Background: Having been fortunate enough to get detected early on in my LADA, all I’ve been doing so far is helping my pancreas a little at meal times with bolus insulin. My fasting numbers are still perfectly fine (80s to 90s) but I have noticed everything becoming a little wonkier (even light activity pushes me up some, it takes forever to get back to baseline if I’m a little high after a meal etc.).</t>
        </is>
      </c>
      <c r="D3016" t="n">
        <v>5</v>
      </c>
      <c r="E3016" t="n">
        <v>25</v>
      </c>
      <c r="F3016">
        <f>HYPERLINK("https://www.reddit.com/r/diabetes/comments/64d8m8/honeymoon_when_to_start_basal_insulin/")</f>
        <v/>
      </c>
      <c r="G3016" t="inlineStr">
        <is>
          <t>2017-04-09 07:11:18</t>
        </is>
      </c>
      <c r="H3016" t="inlineStr">
        <is>
          <t>Type 1.5/LADA</t>
        </is>
      </c>
    </row>
    <row r="3017">
      <c r="A3017" t="inlineStr">
        <is>
          <t>64f1rw</t>
        </is>
      </c>
      <c r="B3017" t="inlineStr">
        <is>
          <t>What does 'remission' mean for Type 2?</t>
        </is>
      </c>
      <c r="C3017" t="inlineStr">
        <is>
          <t>When you are in 'remission' for type 2 does this mean you can eat the occasional (and I mean occasional) dessert without your numbers going into the diabetic range? I know that if your diet becomes fully crappy again you will quickly go into bad diabetic numbers &amp;amp; it is far from meaning you're 'cured' but I guess I'm just wondering what it means to be in 'remission' on a practical level. 
Does it mean like you can basically be like a normal healthy thin person who exercises a decent amount and eats decently with a few indulgences occasionally, like a beer on the weekends (without taking insulin)? Or does it just mean that with a very controlled, militantly healthy diet (no sugar desserts or breads or alcohol ever) and exercise regimen you can have consistently normal numbers without insulin? Because it all seems vague to me.</t>
        </is>
      </c>
      <c r="D3017" t="n">
        <v>1</v>
      </c>
      <c r="E3017" t="n">
        <v>14</v>
      </c>
      <c r="F3017">
        <f>HYPERLINK("https://www.reddit.com/r/diabetes/comments/64f1rw/what_does_remission_mean_for_type_2/")</f>
        <v/>
      </c>
      <c r="G3017" t="inlineStr">
        <is>
          <t>2017-04-09 13:00:39</t>
        </is>
      </c>
      <c r="H3017" t="inlineStr">
        <is>
          <t>Type 2</t>
        </is>
      </c>
    </row>
    <row r="3018">
      <c r="A3018" t="inlineStr">
        <is>
          <t>64lbul</t>
        </is>
      </c>
      <c r="B3018" t="inlineStr">
        <is>
          <t>My Father's Feet are Swelling While on Insulin [T2]</t>
        </is>
      </c>
      <c r="C3018" t="inlineStr">
        <is>
          <t>So my father has had Type-II Diabetes for quite a few years now. He's had to have several eye surgeries and it's always seemed like a losing battle. He watches his diet to the point of not eating any sugar (though he still eats a lot of carbs).
In the past year and a half or so, he's gained more weight. His doctor put him on insulin, which helped control his blood sugar levels, but he's gained even more weight, his feet are swelling very bad, and his kidneys aren't doing well.
Him and my mom switched to a mostly vegetarian diet to try and help his kidneys, which they've been on for the past year now. I'm not sure how much it has helped.
I've been reading a lot about keto and how low carbs is probably what my father should be eating. I feel like they think they're being healthy by being vegetarian, but they still eat pizza, pasta, rice, a lot of fried fast food, etc.
Appreciate any advice on how to help my dad.</t>
        </is>
      </c>
      <c r="D3018" t="n">
        <v>1</v>
      </c>
      <c r="E3018" t="n">
        <v>12</v>
      </c>
      <c r="F3018">
        <f>HYPERLINK("https://www.reddit.com/r/diabetes/comments/64lbul/my_fathers_feet_are_swelling_while_on_insulin_t2/")</f>
        <v/>
      </c>
      <c r="G3018" t="inlineStr">
        <is>
          <t>2017-04-10 11:20:10</t>
        </is>
      </c>
      <c r="H3018" t="inlineStr">
        <is>
          <t>Type 2</t>
        </is>
      </c>
    </row>
    <row r="3019">
      <c r="A3019" t="inlineStr">
        <is>
          <t>64m6gm</t>
        </is>
      </c>
      <c r="B3019" t="inlineStr">
        <is>
          <t>Glucose meter recommendation/help for my T1 blind mother</t>
        </is>
      </c>
      <c r="C3019" t="inlineStr">
        <is>
          <t>Hi everyone! Hoping someone might be able to help me out.
My mother is type 1, and controls her diabetes with Novolog and Levemir. She's been diabetic since she was 16 (she's 58 now) so I've never paid much attention to it as she seems to manage fairly well. It's also worth mentioning up front that she is completely blind. I know a lot of people with diabetes experience vision loss, but it is **gone** with her. Completely blind in one eye, and can barely tell if lights are on or off in the other.
Today, her doctor called and they want her to see an endocrinologist because he blood sugar levels are dangerously high. Clearly she hasn't been managing as well as I'd thought. So I'm trying to take a more active role in her health.
The biggest dilemma she faces is that she can't see, which means she needs a talking meter. But she also can't really get the blood on to a test strip easily either, so a meter that doesn't require test strips would be more ideal. The problem I'm running into is that I can't seem to find one that does both.
I'm looking at the Freestyle Libre Pro ([http://www.freestylelibrepro.us/](http://www.freestylelibrepro.us/)) but haven't seen anything about it talking. She's been using (not consistently) a Prodigy Voice, but I can't get an accurate reading from it so I'm looking at getting her something new.
It seems like a no-brainer to me that someone would make a talking meter that doesn't require test strips. Clearly if someone struggles with vision then both the readout AND the strip could be an issue. Has someone not thought of this yet? Or am I just looking in the wrong places?
Thanks for any help, and I'm still open to recommendations on both talking meters and meters that don't require blood test strips. Even if I have to help her test, we still need something that works.
Thanks in advance for any help!</t>
        </is>
      </c>
      <c r="D3019" t="n">
        <v>1</v>
      </c>
      <c r="E3019" t="n">
        <v>6</v>
      </c>
      <c r="F3019">
        <f>HYPERLINK("https://www.reddit.com/r/diabetes/comments/64m6gm/glucose_meter_recommendationhelp_for_my_t1_blind/")</f>
        <v/>
      </c>
      <c r="G3019" t="inlineStr">
        <is>
          <t>2017-04-10 13:33:48</t>
        </is>
      </c>
      <c r="H3019" t="inlineStr">
        <is>
          <t>Type 1</t>
        </is>
      </c>
    </row>
    <row r="3020">
      <c r="A3020" t="inlineStr">
        <is>
          <t>64neos</t>
        </is>
      </c>
      <c r="B3020" t="inlineStr">
        <is>
          <t>Dealing with Stomach Nerve Damage</t>
        </is>
      </c>
      <c r="C3020" t="inlineStr">
        <is>
          <t xml:space="preserve">Last week my sister got diagnosed with Gastroparesis - damaged stomach nerves caused by regular high blood sugar levels if I understood correctly. She has had trouble eating anything at all(except for rock candy to keep the blood sugar somewhat regulated) for a few months now and only now we know what it is. She has lost a lot of weight during that time and the situation has left her extremely stressed out. 
Does anyone around here has experience with that illness? Can anyone tell me what my family and I can do to help? We would like to take as much weight from her shoulders as we can. 
</t>
        </is>
      </c>
      <c r="D3020" t="n">
        <v>3</v>
      </c>
      <c r="E3020" t="n">
        <v>6</v>
      </c>
      <c r="F3020">
        <f>HYPERLINK("https://www.reddit.com/r/diabetes/comments/64neos/dealing_with_stomach_nerve_damage/")</f>
        <v/>
      </c>
      <c r="G3020" t="inlineStr">
        <is>
          <t>2017-04-10 17:08:07</t>
        </is>
      </c>
      <c r="H3020" t="inlineStr">
        <is>
          <t>Type 1</t>
        </is>
      </c>
    </row>
    <row r="3021">
      <c r="A3021" t="inlineStr">
        <is>
          <t>64s5f0</t>
        </is>
      </c>
      <c r="B3021" t="inlineStr">
        <is>
          <t>Why are doctors so unaware that adults can &amp;amp; do get Type 1?</t>
        </is>
      </c>
      <c r="C3021" t="inlineStr">
        <is>
          <t>I feel like I read so many stories of misdiagnosed Type 1/1.5/LADA people here who were originally told they were Type 2 simply because of age.  When I was in the ER at UCLA, they didn't even check my A1C (which was 12) or if i was in DKA (which I was a bit) and just gave me fluids and sent me home and told me to see a doctor since they said I was Type 2 (or rather they didn't want to diagnose me; they officially diagnosed me as 'lightheaded').  And again I was told I was Type 2 by a very highly-regarded family doctor because of my age, even after he had my labwork.  
I realize it might not be initially apparent, that part makes sense to me.  And it makes it even less obvious when pills and diet/exercise appear to work at first. But why do doctors refuse to test for it when it seems like a possibility or refuse to believe it's possible when there's clear evidence it's Type 1?  It seems like it's very common that LADA  people have to go to multiple doctors to get someone to believe that it's possible for them to have gotten Type 1 as an adult.  I'm just trying to understand why something that seems relatively easy to diagnose (c-peptide, anti-body tests) meets so much disbelief by doctors.</t>
        </is>
      </c>
      <c r="D3021" t="n">
        <v>38</v>
      </c>
      <c r="E3021" t="n">
        <v>34</v>
      </c>
      <c r="F3021">
        <f>HYPERLINK("https://www.reddit.com/r/diabetes/comments/64s5f0/why_are_doctors_so_unaware_that_adults_can_do_get/")</f>
        <v/>
      </c>
      <c r="G3021" t="inlineStr">
        <is>
          <t>2017-04-11 10:07:17</t>
        </is>
      </c>
      <c r="H3021" t="inlineStr">
        <is>
          <t>Type 1.5/LADA</t>
        </is>
      </c>
    </row>
    <row r="3022">
      <c r="A3022" t="inlineStr">
        <is>
          <t>64s6vx</t>
        </is>
      </c>
      <c r="B3022" t="inlineStr">
        <is>
          <t>First A1C Since Diagnosis</t>
        </is>
      </c>
      <c r="C3022" t="inlineStr">
        <is>
          <t>Was diagnosed in January this year and had an A1C of 14+. Just went in for my appointment this morning and got it tested for the first time since. 5.5! Dropped it all the way to a normal level! Don't mean to gloat, but this made me really happy!</t>
        </is>
      </c>
      <c r="D3022" t="n">
        <v>33</v>
      </c>
      <c r="E3022" t="n">
        <v>12</v>
      </c>
      <c r="F3022">
        <f>HYPERLINK("https://www.reddit.com/r/diabetes/comments/64s6vx/first_a1c_since_diagnosis/")</f>
        <v/>
      </c>
      <c r="G3022" t="inlineStr">
        <is>
          <t>2017-04-11 10:13:28</t>
        </is>
      </c>
      <c r="H3022" t="inlineStr">
        <is>
          <t>Type 1</t>
        </is>
      </c>
    </row>
    <row r="3023">
      <c r="A3023" t="inlineStr">
        <is>
          <t>64ta44</t>
        </is>
      </c>
      <c r="B3023" t="inlineStr">
        <is>
          <t>Traveling to Japan?</t>
        </is>
      </c>
      <c r="C3023" t="inlineStr">
        <is>
          <t>T1 diabetic here, currently using Humalog + Lantus injection.
In a month or so I'll be going to Japan for my first overseas trip since I was diagnosed last fall.  It looks like I may have to be there 2-3 weeks, so I'll need to take more than just a single pen each of basal and bolus insulin.  My main concerns are these:
1. Travel time.  It's approx. 24 hrs door-to-door travel time, and it will be summer as well so I'm worried about keeping the insulin cool.  I have [this](https://www.amazon.com/gp/product/B00IWH78RG?th=1) for traveling and it seems to work pretty well, but to be safe I'll need more than 1 syringe of each for a 3-week trip.  Also I don't know if it would be good enough for a full 24 hours.
2. Basal injections.  Right now I'm doing basal every 12 hours since the Lantus doesn't seem to really give a steady rate of insulin over 24 hours.  I also do a little bit more in the morning than the evening since that seems to keep my bolus insulin/carb ration slightly more uniform.  So what's the best way to adjust to the 14-hour time difference?  My idea is to make the morning and evening the same amount, and then just inject every 12 hours while I'm flying there and check my BG a bit more often than usual.
3. Buying insulin.  I'd like to take enough to cover me for the whole time I'm there, but in case I want to be prepared to be able to buy it there in case I need to.  I speak the language OK so I can communicate with a doctor and pharmacist, but if I needed to get more insulin while I'm there I don't know what the process would be.  Would I need to go to a local doctor/hospital first and get a prescription to fill there, or if I had a copy of my prescription from my endo here could I go directly to a pharmacist?  Do they even sell Humalog and Lantus in Japan?  Is it the same concentration as what they sell in the US?  Do they have pens or just vials + syringes?  If they have pens are they compatible with the disposable needles I use now?  Etc.
Any advice/experience from other people that have traveled overseas in general or to Japan specifically?</t>
        </is>
      </c>
      <c r="D3023" t="n">
        <v>2</v>
      </c>
      <c r="E3023" t="n">
        <v>6</v>
      </c>
      <c r="F3023">
        <f>HYPERLINK("https://www.reddit.com/r/diabetes/comments/64ta44/traveling_to_japan/")</f>
        <v/>
      </c>
      <c r="G3023" t="inlineStr">
        <is>
          <t>2017-04-11 12:55:09</t>
        </is>
      </c>
      <c r="H3023" t="inlineStr">
        <is>
          <t>Type 1</t>
        </is>
      </c>
    </row>
    <row r="3024">
      <c r="A3024" t="inlineStr">
        <is>
          <t>654vsj</t>
        </is>
      </c>
      <c r="B3024" t="inlineStr">
        <is>
          <t>New Findings Reinforce Possible Role of High-Dose Vitamin D and Omega-3 Fatty Acids in Halting Type 1 Diabetes Progression</t>
        </is>
      </c>
      <c r="C3024" t="inlineStr">
        <is>
          <t>http://www.prnewswire.com/news-releases/new-findings-reinforce-possible-role-of-high-dose-vitamin-d-and-omega-3-fatty-acids-in-halting-type-1-diabetes-progression-300438993.html</t>
        </is>
      </c>
      <c r="D3024" t="n">
        <v>0</v>
      </c>
      <c r="E3024" t="n">
        <v>0</v>
      </c>
      <c r="F3024">
        <f>HYPERLINK("https://www.reddit.com/r/diabetes/comments/654vsj/new_findings_reinforce_possible_role_of_highdose/")</f>
        <v/>
      </c>
      <c r="G3024" t="inlineStr">
        <is>
          <t>2017-04-13 04:28:55</t>
        </is>
      </c>
      <c r="H3024" t="inlineStr">
        <is>
          <t>Type 1</t>
        </is>
      </c>
    </row>
    <row r="3025">
      <c r="A3025" t="inlineStr">
        <is>
          <t>65ekv8</t>
        </is>
      </c>
      <c r="B3025" t="inlineStr">
        <is>
          <t>Minor victory with keto (x-post from /r/keto)</t>
        </is>
      </c>
      <c r="C3025" t="inlineStr">
        <is>
          <t>When I started a keto-light regimen at the first of the year, my HbA1C was 8.3. It's not horrid, but it's not as good as it could be. But it's better than it was three years ago, when it was around 12.5!
I worked hard on cutting carbs but took it easy on the protein because my kidneys are compromised (Stage 3 kidney disease). My eGFR was about 30, and my creatnine was 2.29. Not great at all. My endocrine team was concerned about my carb target of about 30/day, saying that it might send me into ketosis. -_-
At any rate, had a checkup Monday, and my new numbers are:
* HbA1C 6.2
* eGFR 43
* Creatnine 1.6
Happy days.</t>
        </is>
      </c>
      <c r="D3025" t="n">
        <v>9</v>
      </c>
      <c r="E3025" t="n">
        <v>2</v>
      </c>
      <c r="F3025">
        <f>HYPERLINK("https://www.reddit.com/r/diabetes/comments/65ekv8/minor_victory_with_keto_xpost_from_rketo/")</f>
        <v/>
      </c>
      <c r="G3025" t="inlineStr">
        <is>
          <t>2017-04-14 12:17:45</t>
        </is>
      </c>
      <c r="H3025" t="inlineStr">
        <is>
          <t>Type 2</t>
        </is>
      </c>
    </row>
    <row r="3026">
      <c r="A3026" t="inlineStr">
        <is>
          <t>65i8c0</t>
        </is>
      </c>
      <c r="B3026" t="inlineStr">
        <is>
          <t>Guiness World Record Attempt - Diabetic Advice?</t>
        </is>
      </c>
      <c r="C3026" t="inlineStr">
        <is>
          <t>Hi All, 
I have been a type 1 diabetic for 19 years or so (with poor control) but this is the first time i have reached out in a forum. However my partner has convinced me that I should reach out to those with Diabetes for advice and tips. 
At the end of May I will be undertaking a challenge of playing football for 7 days - Rolling subs, eating and sleeping at the side of the pitch, but essentially 16 hours of play and 8 hours of sleep a day. As far as I'm aware, I am the only diabetic in the squad. 
I wanted to know if anyone has undertaken something as strenuous on the body like this before? What training did they undertake? what diabetic precautions did they undertake? and how did they monitor sugars throughout?
I have arranged to speak with the local nurses and I will be reaching out to someone for a continuous glucose monitoring system, but I thought I would see what other tips there might be out there. 
Many thanks for reading, 
Gary
*Edit - Heres the link to the event to show its real https://www.justgiving.com/fundraising/AlbiesFootballChallenge2017</t>
        </is>
      </c>
      <c r="D3026" t="n">
        <v>11</v>
      </c>
      <c r="E3026" t="n">
        <v>4</v>
      </c>
      <c r="F3026">
        <f>HYPERLINK("https://www.reddit.com/r/diabetes/comments/65i8c0/guiness_world_record_attempt_diabetic_advice/")</f>
        <v/>
      </c>
      <c r="G3026" t="inlineStr">
        <is>
          <t>2017-04-15 02:09:19</t>
        </is>
      </c>
      <c r="H3026" t="inlineStr">
        <is>
          <t>Type 1</t>
        </is>
      </c>
    </row>
    <row r="3027">
      <c r="A3027" t="inlineStr">
        <is>
          <t>65jb0s</t>
        </is>
      </c>
      <c r="B3027" t="inlineStr">
        <is>
          <t>Type 1 switching from MDI to pump. Any advise on Accu-Chek Insight or Omnipod?</t>
        </is>
      </c>
      <c r="C3027" t="inlineStr">
        <is>
          <t>Hi everyone,
I've been diagnosed with type 1 about a year ago, and have been on MDI ever since. Last week I went to the hospital to talk someone about potentially switching to a pump, and they made me pretty enthousiastic. I now need to figure out what pump would be the best choice for me, and I would like to hear if any of you have any advise or opinions :)
My A1c is currently fine, and MDI works fine for me, so it's not a medical necessity for me to switch to a pump. Basically I only want to switch because it seems to be easier/more comfortable.
I use around 30 units of insuline per day (basal and meals combined). My health insurance covers both MDI or pump, so money is not really an issue. When I choose a pump I do have to stick with the chosen pump for four years (allowed to go back to MDI, not switch to another pump), so there is some pressure on making the right choice.. CGM is not covered, so although I would love to use this, I won't be getting it.
At the hospital I looked at the different available pumps, and I'm leaning towards either getting the Accu-Chek Insight or the MyLife Omnipod. Both are relatively small with an included glucose meter.
I like the idea of the Omnipod, because I will only have to wear the one patch without any tubes. It is thicker than the infusion part of the Insight though, so it might be less convenient with certain clothing items. Also you can program or dose the Insight on the pump itself without the remote if you want, while the Omnipod can only run its basal program without the PDM. I have been told however, that the Accu-Chek remote needs to be charged every 1/1.5 days, so that might be a disadvantage.
This post has become pretty long. I hope it still makes sense, and I would love to hear from your experiences!
TL;DR: Switching to pump. What are your opinions on Accu-Check Insight and Omnipod?</t>
        </is>
      </c>
      <c r="D3027" t="n">
        <v>10</v>
      </c>
      <c r="E3027" t="n">
        <v>18</v>
      </c>
      <c r="F3027">
        <f>HYPERLINK("https://www.reddit.com/r/diabetes/comments/65jb0s/type_1_switching_from_mdi_to_pump_any_advise_on/")</f>
        <v/>
      </c>
      <c r="G3027" t="inlineStr">
        <is>
          <t>2017-04-15 07:23:16</t>
        </is>
      </c>
      <c r="H3027" t="inlineStr">
        <is>
          <t>Type 1</t>
        </is>
      </c>
    </row>
    <row r="3028">
      <c r="A3028" t="inlineStr">
        <is>
          <t>65p16z</t>
        </is>
      </c>
      <c r="B3028" t="inlineStr">
        <is>
          <t>[Type 2] From 11.2 A1C down to 6.1 in five months</t>
        </is>
      </c>
      <c r="C3028" t="inlineStr">
        <is>
          <t>I don't visit this sub all that much, but just wanted to drop this in so maybe someone else will feel pushed to get themselves doing better.
Was diagnosed in November of 2016 with diabetes. They started me on insulin 70/30 and metformin. They also tried Victoza on me, which made me extremely sick.
However, with watching my sugar intake and changing my diet, along with regularly taking my meds and checking my blood sugar, they dropped me off insulin last week. I am still taking the metformin, and they said I might go onto another daily pill at some point, but it depends on how my sugar levels look for the next week or two. They are still extremely low due to diet and exercise (though mostly diet).
It is doable. You can do it. You have to *want* to do it, but it can be done. I am 40 years old, and I want another 40 years. I am determined to make it to 80.
Keep on keeping on. I'll be cheering for you.</t>
        </is>
      </c>
      <c r="D3028" t="n">
        <v>66</v>
      </c>
      <c r="E3028" t="n">
        <v>11</v>
      </c>
      <c r="F3028">
        <f>HYPERLINK("https://www.reddit.com/r/diabetes/comments/65p16z/type_2_from_112_a1c_down_to_61_in_five_months/")</f>
        <v/>
      </c>
      <c r="G3028" t="inlineStr">
        <is>
          <t>2017-04-16 06:11:57</t>
        </is>
      </c>
      <c r="H3028" t="inlineStr">
        <is>
          <t>Type 2</t>
        </is>
      </c>
    </row>
    <row r="3029">
      <c r="A3029" t="inlineStr">
        <is>
          <t>65qgfz</t>
        </is>
      </c>
      <c r="B3029" t="inlineStr">
        <is>
          <t>How can i lose weight?</t>
        </is>
      </c>
      <c r="C3029" t="inlineStr">
        <is>
          <t>Hello! I apologize in advance if my question is stupid... I'm a newbie diabetic - ~17 months - and i still have a lot to learn.
I'd like to know how to lose weight. I checked some of the other questions, but i already do everything they tell you: i don't drink any soda/juice, i eat mainly fruits and vegetables, brown rice, graham bread, and so on... but i'm still fat. If i wasn't diabetic, it'd be easy-peasy: eat less, exercise more. But like this, everything is  complicated.
If i go for a run, i hypo. I could eat less, but i don't know how to calculate how much insulin i need. (I use a pen - idk if this is important)
Please help, i want to be skinny...</t>
        </is>
      </c>
      <c r="D3029" t="n">
        <v>12</v>
      </c>
      <c r="E3029" t="n">
        <v>49</v>
      </c>
      <c r="F3029">
        <f>HYPERLINK("https://www.reddit.com/r/diabetes/comments/65qgfz/how_can_i_lose_weight/")</f>
        <v/>
      </c>
      <c r="G3029" t="inlineStr">
        <is>
          <t>2017-04-16 11:04:15</t>
        </is>
      </c>
      <c r="H3029" t="inlineStr">
        <is>
          <t>Type 1</t>
        </is>
      </c>
    </row>
    <row r="3030">
      <c r="A3030" t="inlineStr">
        <is>
          <t>65qvfm</t>
        </is>
      </c>
      <c r="B3030" t="inlineStr">
        <is>
          <t>An artist with Retinopathy. Help!</t>
        </is>
      </c>
      <c r="C3030" t="inlineStr">
        <is>
          <t>Hi, type 1 for 7 years here.  The past week or so I noticed some flashes appearing near the centre of vision on my left eye that has only changed shape and grown slightly larger til now. So that saw me on monday at an optician for a scan, my GP for a quick referral to the Retinopathy screening department at the local hospital and I have had scans taken by the specialists (They noticed yellow deposits, but otherwise didn't react much). However due to the department expecting me as a routine screening they had no one on hand to advise me on the next step. I'm going to contact them asap in the next few days to discuss what to do regarding dropping my sugars rapidly to normal levels or whether I should do so gradually. Really worried about what to do there, but I will see a specialist and get their take.
But I am a professional artist, I rely on my sight or at the very least my central field of vision for everything from hand drawing, painting to more technical tasks like 3d modelling that require the ability to read a computer screen clearly, are there any words you guys might have for someone in my situation? Is it all downhill from here? Will I be unable to work before long? I hear Paul Cezanne had retinopathy that resulted in colourblindness but still.
I've been trying to keep it together and research as much as I can but it's tough going on no info, doctors promising to contact me in a whole months time and coming across worst case scenarios in my reading.
Guess I'm just hankering for some support.</t>
        </is>
      </c>
      <c r="D3030" t="n">
        <v>10</v>
      </c>
      <c r="E3030" t="n">
        <v>9</v>
      </c>
      <c r="F3030">
        <f>HYPERLINK("https://www.reddit.com/r/diabetes/comments/65qvfm/an_artist_with_retinopathy_help/")</f>
        <v/>
      </c>
      <c r="G3030" t="inlineStr">
        <is>
          <t>2017-04-16 12:22:31</t>
        </is>
      </c>
      <c r="H3030" t="inlineStr">
        <is>
          <t>Type 1</t>
        </is>
      </c>
    </row>
    <row r="3031">
      <c r="A3031" t="inlineStr">
        <is>
          <t>65z4nl</t>
        </is>
      </c>
      <c r="B3031" t="inlineStr">
        <is>
          <t>[T1] relative hypoglycaemia causing cognitive problems - if I ignore those symptoms, won't it cause permanent damage?</t>
        </is>
      </c>
      <c r="C3031" t="inlineStr">
        <is>
          <t>Note: first 2 paragraphs are a rant/backstory.
I'm a type 1 who has taken some bad advice from quite incompetent endocrinologists. See, my first endo always thought (and most stubbornly does to this day) that certain basal insulin doses are just too high, regardless of whether the patient is insulin resistant or, as a matter of fact, any reason. Over the span of several years following my initial remission, I have taken many suggestions from the said endo to limit my basal insulin and instead work out more, eat less carbs, try metformin for a while (followed by months of indigestion), maybe do a rain dance or something. Frankly, I am ashamed of having believed that whole notion, but I live in a post-soviet country where highly specialized healthcare is, to put it mildly, not very good. So you take what you get, especially if you are a naive child. 
My blood sugars were running higher and higher each year up to a point when my HbA1c got to 12%. I figured this was entirely unacceptable and worked my way through another 6 (SIX!) endocrinologists who couldn't figure out the reason and essentially told me the doses are good. I ended up in the hospital just a few weeks ago with dehydration due to polyuria and basically was told once again to reduce my basal dose, also to move more and change my attitude (as in: work on my diabetes better). But enough of the rant - I did the opposite and gently increased my basal doses about 20% (up to 48% of my TDD) with very (and I mean - exceptionally) noticeable positive results. My blood glucose kind of just drifts into place, it's amazing.
But the thing is... whenever my glycaemia drops to just below 11mmol/l or 200mg/dl, I get very distracted, have vertigo, and it feels as if I'm also having an onset of a panic attack. And then, if my blood sugar sticks below 7.5 or about 135 for 10 or so hours, I will reliably fall into a seizure. In contrast, when I'm at about 15 or 270, I *feel* absolutely comfortable (although definitely not satisfied).
I've picked up many books on diabetes self management (such as those by K. Bernstein or G. Scheiner), also I ended up reading a some (whatever I can afford) academically published articles on cognitive effects of relative hypoglycemia in anything from mice, to dogs, to humans. But the issue I'm having is a much more practical one. I've been on these "much better" basal doses for a while, but the cognitive problems associated with relatively low blood sugar don't seem to be going away - they were present on 11/200 on day one, and they are present today, and it's been more than a week. I'm beginning to worry that if I don't keep my blood glucose concentrations up, I might damage whatever tissues that don't rely on insulin dependent GLUT proteins for glucose transport, such as those in the brain stem (hence the seizures).
If anyone has had a similar experience with relative hypoglycemia (or any experience with it), please share your thoughts. Please provide as much details as you can, this is just such a new territory for me.
And while we're on topic, I was wondering if anyone could tell me a little bit about their experience with kidney insulin clearance vs kidney glucose clearance. I hear that I might need to reduce my doses about 10% once I am under 11mmol/l or 200 mg/dl during most of the day because that insulin won't be dumped out of the bloodstream by the kidneys. Is that generally true?
I am very grateful for any tips in advance. They will definitely be of great help.</t>
        </is>
      </c>
      <c r="D3031" t="n">
        <v>6</v>
      </c>
      <c r="E3031" t="n">
        <v>5</v>
      </c>
      <c r="F3031">
        <f>HYPERLINK("https://www.reddit.com/r/diabetes/comments/65z4nl/t1_relative_hypoglycaemia_causing_cognitive/")</f>
        <v/>
      </c>
      <c r="G3031" t="inlineStr">
        <is>
          <t>2017-04-17 16:16:47</t>
        </is>
      </c>
      <c r="H3031" t="inlineStr">
        <is>
          <t>Type 1</t>
        </is>
      </c>
    </row>
    <row r="3032">
      <c r="A3032" t="inlineStr">
        <is>
          <t>65zc4n</t>
        </is>
      </c>
      <c r="B3032" t="inlineStr">
        <is>
          <t>I got to update my flair! Thanks u/WyoWizeGuy!</t>
        </is>
      </c>
      <c r="C3032" t="inlineStr">
        <is>
          <t>After almost 2 years of trying, I finally got to update my flair. I got a Dexcom last week! I am so happy and not nearly as worried about going to sleep every night. My boyfriend also feels much better knowing there's at least something he can do to know if I am low at night. 
u/WyoWizeGuy sent me his receiver he wasn't using, huge thanks to him. I have friends from [Camp Leo](http://www.campleo.org) that were able to give me some sensors, and I had the battery replaced in an old transmitter!</t>
        </is>
      </c>
      <c r="D3032" t="n">
        <v>2</v>
      </c>
      <c r="E3032" t="n">
        <v>2</v>
      </c>
      <c r="F3032">
        <f>HYPERLINK("https://www.reddit.com/r/diabetes/comments/65zc4n/i_got_to_update_my_flair_thanks_uwyowizeguy/")</f>
        <v/>
      </c>
      <c r="G3032" t="inlineStr">
        <is>
          <t>2017-04-17 16:55:16</t>
        </is>
      </c>
      <c r="H3032" t="inlineStr">
        <is>
          <t>Type 1</t>
        </is>
      </c>
    </row>
    <row r="3033">
      <c r="A3033" t="inlineStr">
        <is>
          <t>664lbo</t>
        </is>
      </c>
      <c r="B3033" t="inlineStr">
        <is>
          <t>How long does it take to acclimate to normal(90-110) blood sugar levels? (down from A1C of 7.0)</t>
        </is>
      </c>
      <c r="C3033" t="inlineStr">
        <is>
          <t xml:space="preserve">I have been on a roller coaster of meds and management routines for the past few months because apparently my body is more interested in experiencing bad side effects than lowered BG. Five prescriptions later, I have settled on Glimeperide and it's working! Too well, in fact. I used to cruise around the 130's, going as high as 160 1 hr postprandial or during a workout. Before meals I was usually between 120 and 130. With the assistance of Glimeperide, I'm doing WAY better; pre-meal readings are down to 110 or lower, post meal at 130, and right now I'm sitting around 90 after a workout. My A1C is going to be stellar, but damn I feel HORRIBLE. I'm dizzy, sweaty, and my eyes can't focus on anything. I know my body thinks 130-140 is normal, so of course I'm going to feel bad in the 90's. I just wonder how long it will take to acclimate to these new numbers. Hopefully it will be quick; I'm used to working out at 150-160 and now that I'm in the low 100's I feel so weak. My coordination has also taken a dive and while it's kind of funny, I would like to be less wobbly when weights are involved :) </t>
        </is>
      </c>
      <c r="D3033" t="n">
        <v>6</v>
      </c>
      <c r="E3033" t="n">
        <v>7</v>
      </c>
      <c r="F3033">
        <f>HYPERLINK("https://www.reddit.com/r/diabetes/comments/664lbo/how_long_does_it_take_to_acclimate_to_normal90110/")</f>
        <v/>
      </c>
      <c r="G3033" t="inlineStr">
        <is>
          <t>2017-04-18 11:12:30</t>
        </is>
      </c>
      <c r="H3033" t="inlineStr">
        <is>
          <t>Type 2</t>
        </is>
      </c>
    </row>
    <row r="3034">
      <c r="A3034" t="inlineStr">
        <is>
          <t>664ms1</t>
        </is>
      </c>
      <c r="B3034" t="inlineStr">
        <is>
          <t>New to type 2, feeling cruddy because of meds so do I need to eat since I'm type 2?</t>
        </is>
      </c>
      <c r="C3034" t="inlineStr">
        <is>
          <t xml:space="preserve">Got diagnosed last Monday, they put me on metformin 2xs daily at 500 mgs for both breakfast and dinner. Yesterday they upped it to a 1000 mgs at the same interval, it's really kicking me in the gut. It's about lunchtime and while I've had breakfast which heck might be out of my system already. (Sure feels like it is.) I'm not feeling hungry at all .
Just tested blood sugar I'm at 67 right now so I'm supposing I should eat something right away right? Granted this is the lowest I've ever been. Started last Monday at 337, and been working hard to bring it down. Was getting around 150 range before the change in meds. 
Anyways thanks for letting me know. 
 </t>
        </is>
      </c>
      <c r="D3034" t="n">
        <v>1</v>
      </c>
      <c r="E3034" t="n">
        <v>4</v>
      </c>
      <c r="F3034">
        <f>HYPERLINK("https://www.reddit.com/r/diabetes/comments/664ms1/new_to_type_2_feeling_cruddy_because_of_meds_so/")</f>
        <v/>
      </c>
      <c r="G3034" t="inlineStr">
        <is>
          <t>2017-04-18 11:18:32</t>
        </is>
      </c>
      <c r="H3034" t="inlineStr">
        <is>
          <t>Type 2</t>
        </is>
      </c>
    </row>
    <row r="3035">
      <c r="A3035" t="inlineStr">
        <is>
          <t>666fax</t>
        </is>
      </c>
      <c r="B3035" t="inlineStr">
        <is>
          <t>New T1/LADA - Meter inaccuracy + CGM</t>
        </is>
      </c>
      <c r="C3035" t="inlineStr">
        <is>
          <t>My wife (nonredditor) was recently diagnosed with T1/LADA, and I've been helping her navigate all the new complexities in her life. She just got a Dexcom CGM, and has been calibrating it from the OneTouch Verio meter she'd been using. But we've noticed that the three meters we have (all various OneTouch models) are all over the map in their readings. I did some research and we also asked her endo, and the answer seems to basically be "yup, there's a big range in readings among meters that are still considered within tolerance."
I'm curious how you all deal with this in the real world, especially with respect to calibrating a CGM. As she gets more aggressive with her insulin treatments, we're kind of worried about accidentally having lows if we're calibrating from a meter that is reading too high. Or vice versa, not treating enough because we calibrated from a meter that read too low. If it was off by 10 or 15 points, that's one thing, but when the difference is 40+, it could be kind of a big deal.
I have read about some people comparing vs. a lab test. We might be able to make that happen, but it seems like we'd have to take ALL of the meters in with us, and simultaneously test them along with the lab blood draw, to make sure we really get an apples to apples comparison, and from there figure out which meter is closest to "correct." But I can't imagine that most people are actually doing that...
Are there any tried and true strategies for handling this issue, or is it just something we have to suck up and deal with?</t>
        </is>
      </c>
      <c r="D3035" t="n">
        <v>1</v>
      </c>
      <c r="E3035" t="n">
        <v>10</v>
      </c>
      <c r="F3035">
        <f>HYPERLINK("https://www.reddit.com/r/diabetes/comments/666fax/new_t1lada_meter_inaccuracy_cgm/")</f>
        <v/>
      </c>
      <c r="G3035" t="inlineStr">
        <is>
          <t>2017-04-18 16:07:55</t>
        </is>
      </c>
      <c r="H3035" t="inlineStr">
        <is>
          <t>Type 1.5/LADA</t>
        </is>
      </c>
    </row>
    <row r="3036">
      <c r="A3036" t="inlineStr">
        <is>
          <t>6677dy</t>
        </is>
      </c>
      <c r="B3036" t="inlineStr">
        <is>
          <t>Tips regarding Alcohol</t>
        </is>
      </c>
      <c r="C3036" t="inlineStr">
        <is>
          <t xml:space="preserve">I was diagnosed in January and have stayed away from it until I felt like I had good control and knew what I was doing. I've posted before but I've dropped my A1C to 5.5 from 15 since diagnosis and my average glucose level is 115. I'm a college kid so I could only stay away for so long. Going out this weekend and wanted to have a few. I plan on taking it pretty easy this weekend. But for now and the future if I ever do get "drunk" what are the best types of alcohol to drink and what is the best way to handle it? </t>
        </is>
      </c>
      <c r="D3036" t="n">
        <v>12</v>
      </c>
      <c r="E3036" t="n">
        <v>32</v>
      </c>
      <c r="F3036">
        <f>HYPERLINK("https://www.reddit.com/r/diabetes/comments/6677dy/tips_regarding_alcohol/")</f>
        <v/>
      </c>
      <c r="G3036" t="inlineStr">
        <is>
          <t>2017-04-18 18:34:18</t>
        </is>
      </c>
      <c r="H3036" t="inlineStr">
        <is>
          <t>Type 1</t>
        </is>
      </c>
    </row>
    <row r="3037">
      <c r="A3037" t="inlineStr">
        <is>
          <t>66aopv</t>
        </is>
      </c>
      <c r="B3037" t="inlineStr">
        <is>
          <t>Looking for the preferred most accurate meter... Roche Accu-Chek meter or Abbott FreeStyle meter</t>
        </is>
      </c>
      <c r="C3037" t="inlineStr">
        <is>
          <t>Looking for the preferred most accurate meter... Roche Accu-Chek meter or Abbott FreeStyle meter
Ascensia Bayer Contour Next USB is the most accurate... please comment.</t>
        </is>
      </c>
      <c r="D3037" t="n">
        <v>1</v>
      </c>
      <c r="E3037" t="n">
        <v>6</v>
      </c>
      <c r="F3037">
        <f>HYPERLINK("https://www.reddit.com/r/diabetes/comments/66aopv/looking_for_the_preferred_most_accurate_meter/")</f>
        <v/>
      </c>
      <c r="G3037" t="inlineStr">
        <is>
          <t>2017-04-19 07:54:05</t>
        </is>
      </c>
      <c r="H3037" t="inlineStr">
        <is>
          <t>Type 2</t>
        </is>
      </c>
    </row>
    <row r="3038">
      <c r="A3038" t="inlineStr">
        <is>
          <t>66b9oi</t>
        </is>
      </c>
      <c r="B3038" t="inlineStr">
        <is>
          <t>Need an advice for my dad - unexplained(?) sugar level jumps</t>
        </is>
      </c>
      <c r="C3038" t="inlineStr">
        <is>
          <t>Hello.
My dad was diagnosed with Type 2 diabetes this year. He cares about his diet and meds, but sometimes his sugar level goes as high as 200 (rarely though; if there's a jump, it's usually about 160). It doesn't seem to be connected to anything, just happens every once in a while.
As far as I know, his doctor said that if this continues, he'll have to switch meds, but his next appointment is in August, so here I am, hoping that someone here had a similar issue and maybe there's a way of dealing with such thing.
I don't know if I'm supposed to provide any more information. If so, please let me know.</t>
        </is>
      </c>
      <c r="D3038" t="n">
        <v>3</v>
      </c>
      <c r="E3038" t="n">
        <v>12</v>
      </c>
      <c r="F3038">
        <f>HYPERLINK("https://www.reddit.com/r/diabetes/comments/66b9oi/need_an_advice_for_my_dad_unexplained_sugar_level/")</f>
        <v/>
      </c>
      <c r="G3038" t="inlineStr">
        <is>
          <t>2017-04-19 09:23:55</t>
        </is>
      </c>
      <c r="H3038" t="inlineStr">
        <is>
          <t>Type 2</t>
        </is>
      </c>
    </row>
    <row r="3039">
      <c r="A3039" t="inlineStr">
        <is>
          <t>66dgm1</t>
        </is>
      </c>
      <c r="B3039" t="inlineStr">
        <is>
          <t>First exam after diagnosis</t>
        </is>
      </c>
      <c r="C3039" t="inlineStr">
        <is>
          <t>Just had my first follow-up. In January I was diagnosed with type 2 diabetes with an a1c of 8.7. As soon as I was diagnosed I got on this sub, read everything available and changed my lifestyle. I have been eating low carb high fat (lazy keto basically) and lots of exercise. Well today they said my a1c was 5.8. 
Not only was my a1c low but my numbers were better across the board. 210 cholesterol down to 170 (Dr. Thought that was because​the cholesterol meds but I told her I haven't taken any. My blood pressure is the lowest it has been since I was in my early 20s (in my mid 30s now). My triglycerides are down to normal and my Vitamin D, which was low is now normal. No more fatty deposits on my liver as well. 
I just want to thank everyone on this sub for everything they post and the mods for providing so many great resources on the sidebar. I am halfway to my goal weight right now so hopefully in a few more months I will be able to post here again with an a1c in the 4's!</t>
        </is>
      </c>
      <c r="D3039" t="n">
        <v>34</v>
      </c>
      <c r="E3039" t="n">
        <v>11</v>
      </c>
      <c r="F3039">
        <f>HYPERLINK("https://www.reddit.com/r/diabetes/comments/66dgm1/first_exam_after_diagnosis/")</f>
        <v/>
      </c>
      <c r="G3039" t="inlineStr">
        <is>
          <t>2017-04-19 15:01:58</t>
        </is>
      </c>
      <c r="H3039" t="inlineStr">
        <is>
          <t>Type 2</t>
        </is>
      </c>
    </row>
    <row r="3040">
      <c r="A3040" t="inlineStr">
        <is>
          <t>66hy6s</t>
        </is>
      </c>
      <c r="B3040" t="inlineStr">
        <is>
          <t>I recently fasted for 5 days, and my insulin sensitivity went way up on day 3.</t>
        </is>
      </c>
      <c r="C3040" t="inlineStr">
        <is>
          <t>I've been looking into monthly fasting after reading about the regeneration of the beta cells in T1 mice. This last fast I did was more of a struggle as my insulin needs dropped drastically on day 3 and I kept having to eat carbs to keep it up.  I tried to write up a detailed post about my experience at https://www.dumpsterdelight.com/5-day-water-fasting-results-month-2/
I have found in general that my basal rate needs can change without me understanding what the cause is. Any one else notice this and found good ways to battle it besides just eating sugar as needed to raise the bgs?</t>
        </is>
      </c>
      <c r="D3040" t="n">
        <v>3</v>
      </c>
      <c r="E3040" t="n">
        <v>14</v>
      </c>
      <c r="F3040">
        <f>HYPERLINK("https://www.reddit.com/r/diabetes/comments/66hy6s/i_recently_fasted_for_5_days_and_my_insulin/")</f>
        <v/>
      </c>
      <c r="G3040" t="inlineStr">
        <is>
          <t>2017-04-20 07:15:02</t>
        </is>
      </c>
      <c r="H3040" t="inlineStr">
        <is>
          <t>Type 1</t>
        </is>
      </c>
    </row>
    <row r="3041">
      <c r="A3041" t="inlineStr">
        <is>
          <t>66mqo9</t>
        </is>
      </c>
      <c r="B3041" t="inlineStr">
        <is>
          <t>I ate 150 carbs in 6 hours. This is my line.</t>
        </is>
      </c>
      <c r="C3041" t="inlineStr">
        <is>
          <t xml:space="preserve">http://i.imgur.com/DsGdg5h.jpg
I decided to binge a bit today. I don't eat low carb, but I do try to be mindful about the carbs I eat. Not today. I had a burger and fries from Steak 'n Shake, two slices of pizza, salad with dressing, and a glass of wine... all in six hours. Pretty rough. I was thoroughly expecting a terrible line from the carbs, but I tried my best to figure these foods out and apparently it worked for me tonight! 
I am a T1 on the OmniPod. Here's what I did:
- Bolused for the Steak 'n Shake meal 10 minutes before eating (95g of carbs), did 45% of my dose up front over 2.0 hours. 
- Bolused for the pizza, wine, and salad 5 minutes before eating (about 45g) , did 30% of my dose up front over 3.0 hours. 
Now, I sit steady at my target of 90. I'll wait to see overnight how this goes, but in prior experience with these foods, it seems as if I've found something that works. I know doses differ between everyone, but I hope this helps some here. Cheers! 🍷
</t>
        </is>
      </c>
      <c r="D3041" t="n">
        <v>21</v>
      </c>
      <c r="E3041" t="n">
        <v>16</v>
      </c>
      <c r="F3041">
        <f>HYPERLINK("https://www.reddit.com/r/diabetes/comments/66mqo9/i_ate_150_carbs_in_6_hours_this_is_my_line/")</f>
        <v/>
      </c>
      <c r="G3041" t="inlineStr">
        <is>
          <t>2017-04-20 20:18:28</t>
        </is>
      </c>
      <c r="H3041" t="inlineStr">
        <is>
          <t>Type 1</t>
        </is>
      </c>
    </row>
    <row r="3042">
      <c r="A3042" t="inlineStr">
        <is>
          <t>66mw89</t>
        </is>
      </c>
      <c r="B3042" t="inlineStr">
        <is>
          <t>Dealing with lows</t>
        </is>
      </c>
      <c r="C3042" t="inlineStr">
        <is>
          <t>Title should probably be "Dealing with lows before exercising."
I sometimes get lows at work, low enough that I feel my mental capacity is pretty weak, usually around 2.0mmol/L. It's easy for me to deal with this, I have jelly beans in my backpack at all times, but the problem with that is when this happens before going to the gym. Strangely enough these lows happen more often on Thursdays right after lunch (~1:00pm) on the same day I see my trainer at 4:00pm, and even though my sugars are fine for an hour or two before I see my trainer I am still extremely weak and have a disappointing session.
Any suggestions or ideas of better ways to deal with this than just jelly beans? I'm going to try trail mix next time, but as next time will hopefully be a long time from now I'm looking for experiences of others using something I can carry around in my backpack; this would also help me when skiing and hiking, though lows are very uncommon for me then (because I'm not distracted by work).</t>
        </is>
      </c>
      <c r="D3042" t="n">
        <v>1</v>
      </c>
      <c r="E3042" t="n">
        <v>7</v>
      </c>
      <c r="F3042">
        <f>HYPERLINK("https://www.reddit.com/r/diabetes/comments/66mw89/dealing_with_lows/")</f>
        <v/>
      </c>
      <c r="G3042" t="inlineStr">
        <is>
          <t>2017-04-20 20:50:34</t>
        </is>
      </c>
      <c r="H3042" t="inlineStr">
        <is>
          <t>Type 1</t>
        </is>
      </c>
    </row>
    <row r="3043">
      <c r="A3043" t="inlineStr">
        <is>
          <t>66o4gd</t>
        </is>
      </c>
      <c r="B3043" t="inlineStr">
        <is>
          <t>Strange lump?</t>
        </is>
      </c>
      <c r="C3043" t="inlineStr">
        <is>
          <t>Hi everyone, 
About a week or so ago I took my levomir in my thigh and ever since I've had a hard lump where I injected. It isn't hot/itchy/red so I don't think it's an infection and it doesn't hurt, it's just kind of there? I also don't inject in that area very much at all, maybe once or twice a week so I don't think it's overuse
Has anyone else had this?</t>
        </is>
      </c>
      <c r="D3043" t="n">
        <v>6</v>
      </c>
      <c r="E3043" t="n">
        <v>7</v>
      </c>
      <c r="F3043">
        <f>HYPERLINK("https://www.reddit.com/r/diabetes/comments/66o4gd/strange_lump/")</f>
        <v/>
      </c>
      <c r="G3043" t="inlineStr">
        <is>
          <t>2017-04-21 02:23:32</t>
        </is>
      </c>
      <c r="H3043" t="inlineStr">
        <is>
          <t>Type 1</t>
        </is>
      </c>
    </row>
    <row r="3044">
      <c r="A3044" t="inlineStr">
        <is>
          <t>66oygm</t>
        </is>
      </c>
      <c r="B3044" t="inlineStr">
        <is>
          <t>630g Sensor inaccurate after changing site.</t>
        </is>
      </c>
      <c r="C3044" t="inlineStr">
        <is>
          <t>So I have my cgm site on the right side of my stomach and this is two sites now where it is more than 100 mg/dl inaccurate. It seems to occur only at night when I actually need to know if I'm going high or low. It just refuses to accept that I'll go above 190 at night or below 80 at night. So i won't get any alarm and will wake up at 290 feeling terrible. However during the day it will be accurate to 10mg/dl. Am I doing something wrong here?
Thanks,
Eric</t>
        </is>
      </c>
      <c r="D3044" t="n">
        <v>3</v>
      </c>
      <c r="E3044" t="n">
        <v>2</v>
      </c>
      <c r="F3044">
        <f>HYPERLINK("https://www.reddit.com/r/diabetes/comments/66oygm/630g_sensor_inaccurate_after_changing_site/")</f>
        <v/>
      </c>
      <c r="G3044" t="inlineStr">
        <is>
          <t>2017-04-21 05:46:13</t>
        </is>
      </c>
      <c r="H3044" t="inlineStr">
        <is>
          <t>Type 1</t>
        </is>
      </c>
    </row>
    <row r="3045">
      <c r="A3045" t="inlineStr">
        <is>
          <t>66pmj0</t>
        </is>
      </c>
      <c r="B3045" t="inlineStr">
        <is>
          <t>Fellow T1Ds, can you help with with a very simple survey for my statistics class? I am examining possible correlations between A1c levels and hours of exercise per week.</t>
        </is>
      </c>
      <c r="C3045" t="inlineStr">
        <is>
          <t>Hello /r/diabetes! I am currently working on a project for my intro statistics course. Being a type 1 diabetic, I thought it would be fun to make my project diabetes related! I decided to explore a possible correlation between average hours of exercise per week and HbA1c (%) levels. 
I would really appreciate it if any fellow T1s could provide me with their most recent A1c level and average hours of exercise per week. I need 30 responses for my project, and I am hoping I can get it all done in this sub if possible!
I will start:
HbA1c: 6.6
Average hours of exercise per week: 0 (I know...)
EDIT: I made a quick Google survey, so feel free to answer via the survey rather than as a comment. It is my first attempt at making a Google survey so forgive me if it's a bit crude! [Here is the link to the survey](https://docs.google.com/forms/d/e/1FAIpQLSd6bw-yjsh6tjTbW5BaY_PfIQpEzFnDcUJ60EDBHY0U_QZWUQ/viewform?usp=sf_link)
***Please only answer via the survey or via a comment, not both. Thank you!
EDIT 2: Thank you so much to everyone that took the time to respond! I got more than enough responses. Perhaps once I analyze my data and do some maths I will share my results with you all!</t>
        </is>
      </c>
      <c r="D3045" t="n">
        <v>2</v>
      </c>
      <c r="E3045" t="n">
        <v>8</v>
      </c>
      <c r="F3045">
        <f>HYPERLINK("https://www.reddit.com/r/diabetes/comments/66pmj0/fellow_t1ds_can_you_help_with_with_a_very_simple/")</f>
        <v/>
      </c>
      <c r="G3045" t="inlineStr">
        <is>
          <t>2017-04-21 07:45:13</t>
        </is>
      </c>
      <c r="H3045" t="inlineStr">
        <is>
          <t>Type 1</t>
        </is>
      </c>
    </row>
    <row r="3046">
      <c r="A3046" t="inlineStr">
        <is>
          <t>66q9jk</t>
        </is>
      </c>
      <c r="B3046" t="inlineStr">
        <is>
          <t>Square-Wave/Dual Wave Boluses for Hypos</t>
        </is>
      </c>
      <c r="C3046" t="inlineStr">
        <is>
          <t>So, for the last year I've been using Square Wave or Dual Wave Boluses (with a time period of 30 minutes) when I eat a meal when my blood sugar is low.  For example, if I'm 60 (3.3mmol) at lunch i'll drink 4-6 oz of coke and then eat my sandwich, and square-wave bolus the sandwich over 30 minutes.  
I know the idea behind the delayed bolus features was for high fat meals and for long term snacking, but I was wondering if anyone else used it for this as well.</t>
        </is>
      </c>
      <c r="D3046" t="n">
        <v>3</v>
      </c>
      <c r="E3046" t="n">
        <v>4</v>
      </c>
      <c r="F3046">
        <f>HYPERLINK("https://www.reddit.com/r/diabetes/comments/66q9jk/squarewavedual_wave_boluses_for_hypos/")</f>
        <v/>
      </c>
      <c r="G3046" t="inlineStr">
        <is>
          <t>2017-04-21 09:26:20</t>
        </is>
      </c>
      <c r="H3046" t="inlineStr">
        <is>
          <t>Type 1</t>
        </is>
      </c>
    </row>
    <row r="3047">
      <c r="A3047" t="inlineStr">
        <is>
          <t>66qq8u</t>
        </is>
      </c>
      <c r="B3047" t="inlineStr">
        <is>
          <t>Who the hell eats half a muffin?</t>
        </is>
      </c>
      <c r="C3047" t="inlineStr">
        <is>
          <t>My work has a vending kiosk with muffins. I've eaten them on 3 separate occasions. The first two times I administered what I thought was a correct amount of insulin. Both times, I had a spike to 250 or so after eating them. Next time, I tried bumping it up a few units. Still got a spike in the 200s. I was really confused, I was using the same ratio that works perfectly for almost everything else. That extra 3 units *should* have sent me scrambling back to the kiosk for a soda. Today I had an epiphany. I checked the nutrition facts more carefully. "Servings per container: 2" 
Turns out, when you only dose for half of a muffin and eat the whole thing, your blood sugar spikes.</t>
        </is>
      </c>
      <c r="D3047" t="n">
        <v>70</v>
      </c>
      <c r="E3047" t="n">
        <v>41</v>
      </c>
      <c r="F3047">
        <f>HYPERLINK("https://www.reddit.com/r/diabetes/comments/66qq8u/who_the_hell_eats_half_a_muffin/")</f>
        <v/>
      </c>
      <c r="G3047" t="inlineStr">
        <is>
          <t>2017-04-21 10:37:18</t>
        </is>
      </c>
      <c r="H3047" t="inlineStr">
        <is>
          <t>Type 1</t>
        </is>
      </c>
    </row>
    <row r="3048">
      <c r="A3048" t="inlineStr">
        <is>
          <t>66urr1</t>
        </is>
      </c>
      <c r="B3048" t="inlineStr">
        <is>
          <t>Just got diagnosed yesterday with T1</t>
        </is>
      </c>
      <c r="C3048" t="inlineStr">
        <is>
          <t>I'm 20 years old and just got diagnosed with T1 diabetes yesterday. I got sent to the hospital with over 500. I just had the worse night sleep in a long time and I'm so lost. Right now I don't think I've assimilated it yet. I'm scared, confused and have no idea how I'm gonna live a normal life. I don't know what to eat now, I don't know if i should drink alcohol, I don't know how I should react to changes in my glucose level, I'm scared of a hypo constantly, I'm lost. I feel like I suddenly lost control of my life. I was wondering if anyone has any tips and stuff to tell a new member of the club. Any help is appreciated as I literally couldn't be more in the dark here. 
Edit 1 Thanks for everyone who has answered I love to see there is such a large community so willing to help :)
Edit 2 First week of T1 over, I feel like I've come to terms with the illness and feel much more optimistic, all in large part to you guys. Thank you :)</t>
        </is>
      </c>
      <c r="D3048" t="n">
        <v>26</v>
      </c>
      <c r="E3048" t="n">
        <v>30</v>
      </c>
      <c r="F3048">
        <f>HYPERLINK("https://www.reddit.com/r/diabetes/comments/66urr1/just_got_diagnosed_yesterday_with_t1/")</f>
        <v/>
      </c>
      <c r="G3048" t="inlineStr">
        <is>
          <t>2017-04-22 00:21:20</t>
        </is>
      </c>
      <c r="H3048" t="inlineStr">
        <is>
          <t>Type 1</t>
        </is>
      </c>
    </row>
    <row r="3049">
      <c r="A3049" t="inlineStr">
        <is>
          <t>66vddx</t>
        </is>
      </c>
      <c r="B3049" t="inlineStr">
        <is>
          <t>Confusing c-peptide results</t>
        </is>
      </c>
      <c r="C3049" t="inlineStr">
        <is>
          <t>So confused!
Year ago with high non-fasting glucose my c-peptides were on the very low end of normal (I was never given any instructions and my doctor said it was fine). Since then my numbers spiraled out of control (and I was pissing a dangerous amount of ketones) despite a low carb diet/exercise/water/etc, I started insulin, control has drastically improved (averaging 80-110 before-after meals) on keto. However, the rare two? times I've eaten more than a tiny amount of carbs without bolusing (not even enough to kick me out of keto, 25g) my BG shot up twice as high as 45g of carbs would have a year ago.
Get my c-peptide result back and...my number hasn't changed! Granted this time it was actually fasting and my BG was low at the time (76).
Am I an alien?? 
Edit: Also I see on my test info it says: "What might affect my test results? Taking insulin for your diabetes can raise your C-peptide levels." But my doctor said to take my insulin as normal and everything else I've read says that external insulin wouldn't affect my c-peptide levels? And now I'm seeing that the antibody panel results won't be accurate if I took insulin? But I was never told this...$@#% for real?</t>
        </is>
      </c>
      <c r="D3049" t="n">
        <v>2</v>
      </c>
      <c r="E3049" t="n">
        <v>6</v>
      </c>
      <c r="F3049">
        <f>HYPERLINK("https://www.reddit.com/r/diabetes/comments/66vddx/confusing_cpeptide_results/")</f>
        <v/>
      </c>
      <c r="G3049" t="inlineStr">
        <is>
          <t>2017-04-22 03:50:07</t>
        </is>
      </c>
      <c r="H3049" t="inlineStr">
        <is>
          <t>Type 1.5/LADA</t>
        </is>
      </c>
    </row>
    <row r="3050">
      <c r="A3050" t="inlineStr">
        <is>
          <t>66wser</t>
        </is>
      </c>
      <c r="B3050" t="inlineStr">
        <is>
          <t>Any suggestions on neuropathy meds?</t>
        </is>
      </c>
      <c r="C3050" t="inlineStr">
        <is>
          <t xml:space="preserve">Hello all. I'm 31 and been a T1 diabetic since '94. The past couple years I've been experiencing a lot of pain dealing with the burning sensation of neuropathy throughout my body. Gabapentin was prescribed to me at first, but now it isn't working at all. Doc just prescribed me venlafaxine, which makes me feel extremely jittery. Could anyone suggest some other kind of medicine that they might be taking for their neuropathy? Thank you. </t>
        </is>
      </c>
      <c r="D3050" t="n">
        <v>1</v>
      </c>
      <c r="E3050" t="n">
        <v>4</v>
      </c>
      <c r="F3050">
        <f>HYPERLINK("https://www.reddit.com/r/diabetes/comments/66wser/any_suggestions_on_neuropathy_meds/")</f>
        <v/>
      </c>
      <c r="G3050" t="inlineStr">
        <is>
          <t>2017-04-22 09:17:54</t>
        </is>
      </c>
      <c r="H3050" t="inlineStr">
        <is>
          <t>Type 1</t>
        </is>
      </c>
    </row>
    <row r="3051">
      <c r="A3051" t="inlineStr">
        <is>
          <t>66x121</t>
        </is>
      </c>
      <c r="B3051" t="inlineStr">
        <is>
          <t>High blood sugar levels despite using insulin</t>
        </is>
      </c>
      <c r="C3051" t="inlineStr">
        <is>
          <t>Recently, in the past 2 weeks, my blood sugar levels were always around 11-19 mmol/l (200-340mg/dl).
I take my usual 10 unit insulin before meals, I eat the amount of food needed, and yet my level stays high.
I tried increasing my doseage to more than the double of the recommended, and eating the same, no avail, still stays above 10 mmol/l.
I even tried injecting like 14-16 units and not eating at all, getting me from 16 mmol/l to like 10 mmol/l.
It just feels absurd, having to inject more than the double of what worked before AND not even eating, and my blood sugar level is still not dropping...
What could be the fault here?
I really can not afford the time to go to the hospital right now, I'm in the middle of the exam period at uni. more than 2 months until that's over and I can afford to go to the hospital for 2 weeks or so..
So I'm thinking, what could be the fault, and how could I solve it here, home?
Thanks.</t>
        </is>
      </c>
      <c r="D3051" t="n">
        <v>5</v>
      </c>
      <c r="E3051" t="n">
        <v>27</v>
      </c>
      <c r="F3051">
        <f>HYPERLINK("https://www.reddit.com/r/diabetes/comments/66x121/high_blood_sugar_levels_despite_using_insulin/")</f>
        <v/>
      </c>
      <c r="G3051" t="inlineStr">
        <is>
          <t>2017-04-22 10:02:08</t>
        </is>
      </c>
      <c r="H3051" t="inlineStr">
        <is>
          <t>Type 1</t>
        </is>
      </c>
    </row>
    <row r="3052">
      <c r="A3052" t="inlineStr">
        <is>
          <t>670jsp</t>
        </is>
      </c>
      <c r="B3052" t="inlineStr">
        <is>
          <t>Question about massage and diabetes</t>
        </is>
      </c>
      <c r="C3052" t="inlineStr">
        <is>
          <t>Hey, I had a question because I'm a bit confused about what happened last night.
Currently my sugars are running a bit high because I'm working with my doctor with a new insulin pump. 
Anyway, I got a 50 minute hot stone massage yesterday. I felt amazing after. I didn't notice anything wrong or different with my blood sugar immediately after the massage. I didn't notice anything until 7am the next morning when I woke up shaking. I know these numbers might confuse you but it's not the number so much as the drop that I'm confused about, and how long it took to drop.
I went to bed around 2:30am and my blood sugar was at 313, so I took a tiny tiny bit of insulin (0.8u) and went to sleep. I woke up at 7am with my blood sugar at 130. I know 130 is a great number but my body isn't used to it being that low in a while so I was feeling it, and shaking a bit. I was sooooooo confused why it dropped so much.
After thinking I looked up massage and diabetes and read that your blood sugar can drop during or a few hours after getting a massage. But my sugar took like, 12-15 hours to drop after my massage. Do you still think the reason for the random drop is the massage? Has anyone else had this happen to them?
Thank you.
edit: I got the massage done at 3pm yesterday</t>
        </is>
      </c>
      <c r="D3052" t="n">
        <v>7</v>
      </c>
      <c r="E3052" t="n">
        <v>4</v>
      </c>
      <c r="F3052">
        <f>HYPERLINK("https://www.reddit.com/r/diabetes/comments/670jsp/question_about_massage_and_diabetes/")</f>
        <v/>
      </c>
      <c r="G3052" t="inlineStr">
        <is>
          <t>2017-04-22 21:55:43</t>
        </is>
      </c>
      <c r="H3052" t="inlineStr">
        <is>
          <t>Type 1</t>
        </is>
      </c>
    </row>
    <row r="3053">
      <c r="A3053" t="inlineStr">
        <is>
          <t>674lx3</t>
        </is>
      </c>
      <c r="B3053" t="inlineStr">
        <is>
          <t>Any T1s living in New Zealand?</t>
        </is>
      </c>
      <c r="C3053" t="inlineStr">
        <is>
          <t>Hi all! I'm hoping to move to NZ from the UK to work for 12 months from around November this year. I currently use the Omnipod with Novorapid insulin.
Essentially, I have no idea how the NZ health system works. For example, is the healthcare system private or state-funded? Are there fees for visiting GPs/hospitals/prescriptions? Would I be eligible for state healthcare as a foreigner?
My other questions is whether Omnipods/Novorapid insulin are available over there?
Cheers guys :)</t>
        </is>
      </c>
      <c r="D3053" t="n">
        <v>3</v>
      </c>
      <c r="E3053" t="n">
        <v>3</v>
      </c>
      <c r="F3053">
        <f>HYPERLINK("https://www.reddit.com/r/diabetes/comments/674lx3/any_t1s_living_in_new_zealand/")</f>
        <v/>
      </c>
      <c r="G3053" t="inlineStr">
        <is>
          <t>2017-04-23 13:46:05</t>
        </is>
      </c>
      <c r="H3053" t="inlineStr">
        <is>
          <t>Type 1</t>
        </is>
      </c>
    </row>
    <row r="3054">
      <c r="A3054" t="inlineStr">
        <is>
          <t>675lf8</t>
        </is>
      </c>
      <c r="B3054" t="inlineStr">
        <is>
          <t>Chasing the high</t>
        </is>
      </c>
      <c r="C3054" t="inlineStr">
        <is>
          <t>Really enjoying being awake at 12:45am after realising my blood glucose was crashing hard. I'm a carton of orange juice, a bag of Skittles and two biscuits down and hoping I don't need anything else to stop the drop because at this point I feel sick.
This sort of midnight snack would've been a dream in my childhood, but it's much less fun doing it in order not to die.
Thanks, diabetes.</t>
        </is>
      </c>
      <c r="D3054" t="n">
        <v>25</v>
      </c>
      <c r="E3054" t="n">
        <v>18</v>
      </c>
      <c r="F3054">
        <f>HYPERLINK("https://www.reddit.com/r/diabetes/comments/675lf8/chasing_the_high/")</f>
        <v/>
      </c>
      <c r="G3054" t="inlineStr">
        <is>
          <t>2017-04-23 16:47:50</t>
        </is>
      </c>
      <c r="H3054" t="inlineStr">
        <is>
          <t>Type 1</t>
        </is>
      </c>
    </row>
    <row r="3055">
      <c r="A3055" t="inlineStr">
        <is>
          <t>6798b9</t>
        </is>
      </c>
      <c r="B3055" t="inlineStr">
        <is>
          <t>Wife diagnosed with Type 1 Diabetes - Would like some advice from someone with similar situation</t>
        </is>
      </c>
      <c r="C3055" t="inlineStr">
        <is>
          <t>Hi everyone,
My wife was diagnosed on Friday with Type one diabetes. She is 24 years old and has lived with stomach problems for most of her life (every two months or so she will spend a night vomiting over the toilet) but her doctors could never explain it and they ended up just giving her nausea medicine and pain killers along with fluids. They think that she's never had an issue with low blood sugar because she also has a lazy bowel, which means that she almost always has food going through her stomach very slowly. But last week they took a look at her A1C (was around 11) and her urinalysis showed sugar in her urine and so they are going to talk about treatments today. I was hoping that by posting here I might find someone who has gone through this before- a woman who was diagnosed with type 1 as a young adult and preferably someone who has had children... she is concerned about what this means for her ability to have children and it would be wonderful if she had someone to talk to about it and ask for advice. Thank you in advance for being there</t>
        </is>
      </c>
      <c r="D3055" t="n">
        <v>5</v>
      </c>
      <c r="E3055" t="n">
        <v>11</v>
      </c>
      <c r="F3055">
        <f>HYPERLINK("https://www.reddit.com/r/diabetes/comments/6798b9/wife_diagnosed_with_type_1_diabetes_would_like/")</f>
        <v/>
      </c>
      <c r="G3055" t="inlineStr">
        <is>
          <t>2017-04-24 07:05:04</t>
        </is>
      </c>
      <c r="H3055" t="inlineStr">
        <is>
          <t>Type 1</t>
        </is>
      </c>
    </row>
    <row r="3056">
      <c r="A3056" t="inlineStr">
        <is>
          <t>67aa0u</t>
        </is>
      </c>
      <c r="B3056" t="inlineStr">
        <is>
          <t>I cut my blood glucose in half and am losing weight consistently thanks to /r/diabetes and /r/keto!</t>
        </is>
      </c>
      <c r="C3056" t="inlineStr">
        <is>
          <t>[Charts here.](http://i.imgur.com/BCaXMB2.png)
And also thanks to my doctor and Metformin of course.
(Also, blood-pressure and cholesterol are both normal)
With all the positive sharing of information and great tips and ideas I honestly feel these two subreddits deserve some credit too.  As you can see by my weight chart, I had a little setback but didn't lose my resolve and powered through it.
Keto has made managing my blood-glucose levels *so easy*.  I was consistently in the high 300s with the SAD way of eating.
But if I ever felt discouraged or tempted to cheat on my diet, I always knew I could come into these two subs and find the reinforcement I needed.  
I have 50 years of bad habits to overcome, but honestly I can eat this way forever and not feel that I'm missing anything.  I'm 5'10 so my target weight is around 180 lbs and with the help of these two subreddits, I see that as perfectly achievable.
My doctor is optimistic that I can slowly wean off the meds if I keep this up and that diabetic remission is possible for me.
Again, thanks to the members of /r/diabetes and /r/keto for likely helping add years to my life!
(X-posted to /r/diabetes and /r/keto of course)
Edit: The /r/Keto folks said this post wouldn't do well over here.  Genuine curiosity  - Why?</t>
        </is>
      </c>
      <c r="D3056" t="n">
        <v>49</v>
      </c>
      <c r="E3056" t="n">
        <v>11</v>
      </c>
      <c r="F3056">
        <f>HYPERLINK("https://www.reddit.com/r/diabetes/comments/67aa0u/i_cut_my_blood_glucose_in_half_and_am_losing/")</f>
        <v/>
      </c>
      <c r="G3056" t="inlineStr">
        <is>
          <t>2017-04-24 09:49:47</t>
        </is>
      </c>
      <c r="H3056" t="inlineStr">
        <is>
          <t>Type 2</t>
        </is>
      </c>
    </row>
    <row r="3057">
      <c r="A3057" t="inlineStr">
        <is>
          <t>67fjv3</t>
        </is>
      </c>
      <c r="B3057" t="inlineStr">
        <is>
          <t>Will caffeine effect my BG?</t>
        </is>
      </c>
      <c r="C3057" t="inlineStr">
        <is>
          <t xml:space="preserve">I normally drink things like Green Tea, Peppermint Tea, Earl Grey and I would like to try out Matcha Tea but it says it has some caffeine in it, would this effect my BG?
</t>
        </is>
      </c>
      <c r="D3057" t="n">
        <v>4</v>
      </c>
      <c r="E3057" t="n">
        <v>8</v>
      </c>
      <c r="F3057">
        <f>HYPERLINK("https://www.reddit.com/r/diabetes/comments/67fjv3/will_caffeine_effect_my_bg/")</f>
        <v/>
      </c>
      <c r="G3057" t="inlineStr">
        <is>
          <t>2017-04-25 02:50:16</t>
        </is>
      </c>
      <c r="H3057" t="inlineStr">
        <is>
          <t>Type 1</t>
        </is>
      </c>
    </row>
    <row r="3058">
      <c r="A3058" t="inlineStr">
        <is>
          <t>67jcqo</t>
        </is>
      </c>
      <c r="B3058" t="inlineStr">
        <is>
          <t>I was in a hurry to get to work today so I chewed all my diabetes pills instead of taking them with water and now I feel nauseous. Should I be concerned?</t>
        </is>
      </c>
      <c r="C3058" t="inlineStr">
        <is>
          <t>I know call me stupid I get it but I was in a hurry to get to work and didn't have the time to grab me a glass of water so I grabbed my pill separator where I keep all my pills separated by day of the week and I just chewed them all. I take 5 pills a day for my diabetes. I am type 2.</t>
        </is>
      </c>
      <c r="D3058" t="n">
        <v>2</v>
      </c>
      <c r="E3058" t="n">
        <v>4</v>
      </c>
      <c r="F3058">
        <f>HYPERLINK("https://www.reddit.com/r/diabetes/comments/67jcqo/i_was_in_a_hurry_to_get_to_work_today_so_i_chewed/")</f>
        <v/>
      </c>
      <c r="G3058" t="inlineStr">
        <is>
          <t>2017-04-25 13:41:37</t>
        </is>
      </c>
      <c r="H3058" t="inlineStr">
        <is>
          <t>Type 2</t>
        </is>
      </c>
    </row>
    <row r="3059">
      <c r="A3059" t="inlineStr">
        <is>
          <t>67m7ar</t>
        </is>
      </c>
      <c r="B3059" t="inlineStr">
        <is>
          <t>A reminder/PSA for pump-wearing gentlemen:</t>
        </is>
      </c>
      <c r="C3059" t="inlineStr">
        <is>
          <t>Be cautions about routing your tubing- especially when your infusion site is below the belt and on the opposite side of your body from where you wear your pump.
Getting pump tubing caught up in your dangly bits is ***extremely*** uncomfortable.
/ouch</t>
        </is>
      </c>
      <c r="D3059" t="n">
        <v>16</v>
      </c>
      <c r="E3059" t="n">
        <v>7</v>
      </c>
      <c r="F3059">
        <f>HYPERLINK("https://www.reddit.com/r/diabetes/comments/67m7ar/a_reminderpsa_for_pumpwearing_gentlemen/")</f>
        <v/>
      </c>
      <c r="G3059" t="inlineStr">
        <is>
          <t>2017-04-25 22:36:56</t>
        </is>
      </c>
      <c r="H3059" t="inlineStr">
        <is>
          <t>Type 1</t>
        </is>
      </c>
    </row>
    <row r="3060">
      <c r="A3060" t="inlineStr">
        <is>
          <t>67mu49</t>
        </is>
      </c>
      <c r="B3060" t="inlineStr">
        <is>
          <t>Will More Sugary Foods keep by BG Up Longer?</t>
        </is>
      </c>
      <c r="C3060" t="inlineStr">
        <is>
          <t xml:space="preserve">When I have meals that consist of more sugary foods sometimes my BG stays a little bit higher than normal even though I have taken the insulin amount for the carbs. Why is this?
</t>
        </is>
      </c>
      <c r="D3060" t="n">
        <v>0</v>
      </c>
      <c r="E3060" t="n">
        <v>6</v>
      </c>
      <c r="F3060">
        <f>HYPERLINK("https://www.reddit.com/r/diabetes/comments/67mu49/will_more_sugary_foods_keep_by_bg_up_longer/")</f>
        <v/>
      </c>
      <c r="G3060" t="inlineStr">
        <is>
          <t>2017-04-26 01:30:36</t>
        </is>
      </c>
      <c r="H3060" t="inlineStr">
        <is>
          <t>Type 1</t>
        </is>
      </c>
    </row>
    <row r="3061">
      <c r="A3061" t="inlineStr">
        <is>
          <t>67olfy</t>
        </is>
      </c>
      <c r="B3061" t="inlineStr">
        <is>
          <t>T:Slim X2 - First Pump. How important is training?</t>
        </is>
      </c>
      <c r="C3061" t="inlineStr">
        <is>
          <t>Hi all.
I recently got my first pump in the mail. I've actually had it for about a week or two now. Unfortunately, I haven't been able to start using it because getting training scheduled has been a bit of a pain.
I'm a medical student who is coming up on a week where I will be in the OR for most of the day. As such, it will be difficult to give myself insulin shots. I was really hoping to have the training sorted out by now, but my trainer has various "conflicts" with her schedule.
As such, I was wondering how helpful people found the pump training to be. I'm wondering if I'd be ok to start using the pump if I just read through the instruction manual in a detailed fashion, dialed back my basal and ratio, and honed back in on it with the pump therapy.</t>
        </is>
      </c>
      <c r="D3061" t="n">
        <v>5</v>
      </c>
      <c r="E3061" t="n">
        <v>19</v>
      </c>
      <c r="F3061">
        <f>HYPERLINK("https://www.reddit.com/r/diabetes/comments/67olfy/tslim_x2_first_pump_how_important_is_training/")</f>
        <v/>
      </c>
      <c r="G3061" t="inlineStr">
        <is>
          <t>2017-04-26 07:47:37</t>
        </is>
      </c>
      <c r="H3061" t="inlineStr">
        <is>
          <t>Type 1</t>
        </is>
      </c>
    </row>
    <row r="3062">
      <c r="A3062" t="inlineStr">
        <is>
          <t>67pk9a</t>
        </is>
      </c>
      <c r="B3062" t="inlineStr">
        <is>
          <t>Why Did I Have a Hypo Today?</t>
        </is>
      </c>
      <c r="C3062" t="inlineStr">
        <is>
          <t>So today at Lunch my BG was 3.0 (Lowest it's ever been) but I'm confused how it was so low. I woke up with 6.9BG, I ate at the normal time and didn't do anything new from normal in the morning, I also triple checked that I didn't give myself to much insulin and I didn't!, so why was it low?
I had this meal before (Weatibix) and knew it lowered my bloods at little so I was surprised to see it so low.</t>
        </is>
      </c>
      <c r="D3062" t="n">
        <v>2</v>
      </c>
      <c r="E3062" t="n">
        <v>20</v>
      </c>
      <c r="F3062">
        <f>HYPERLINK("https://www.reddit.com/r/diabetes/comments/67pk9a/why_did_i_have_a_hypo_today/")</f>
        <v/>
      </c>
      <c r="G3062" t="inlineStr">
        <is>
          <t>2017-04-26 10:14:25</t>
        </is>
      </c>
      <c r="H3062" t="inlineStr">
        <is>
          <t>Type 1</t>
        </is>
      </c>
    </row>
    <row r="3063">
      <c r="A3063" t="inlineStr">
        <is>
          <t>67rqsz</t>
        </is>
      </c>
      <c r="B3063" t="inlineStr">
        <is>
          <t>Just got switched to Levemir from Lantus. Do I take the same amount as Lantus? Cant contact Endo or see him until May 4th.</t>
        </is>
      </c>
      <c r="C3063" t="inlineStr">
        <is>
          <t xml:space="preserve">Should be the same right? I was on 50 lantus so I should take 50 levemir.
Or no? I heard a while back, idk where, that you need to take 10% more lantus when switching from levemir, so I would do 10% less going back, so 45 units.
</t>
        </is>
      </c>
      <c r="D3063" t="n">
        <v>3</v>
      </c>
      <c r="E3063" t="n">
        <v>8</v>
      </c>
      <c r="F3063">
        <f>HYPERLINK("https://www.reddit.com/r/diabetes/comments/67rqsz/just_got_switched_to_levemir_from_lantus_do_i/")</f>
        <v/>
      </c>
      <c r="G3063" t="inlineStr">
        <is>
          <t>2017-04-26 16:00:00</t>
        </is>
      </c>
      <c r="H3063" t="inlineStr">
        <is>
          <t>Type 1</t>
        </is>
      </c>
    </row>
    <row r="3064">
      <c r="A3064" t="inlineStr">
        <is>
          <t>67spzx</t>
        </is>
      </c>
      <c r="B3064" t="inlineStr">
        <is>
          <t>Momentary tingling in lips while momentarily lightheaded</t>
        </is>
      </c>
      <c r="C3064" t="inlineStr">
        <is>
          <t>Type 2 diagnosed early 2016. Lately I've had a bad diet (I'll keep the gory details to myself). Over the last week or so I've noticed something weird. When I move my head from side to side I briefly get light headed and while I feel light headed my lips tingle. So far it has gone away within 2-5 seconds. I've done some research (if you can call googling research) and it keeps coming up with two reasons. Hypoglycemia and neuropathy. I am pretty sure that we can cross out hypoglycemia based on my diet (then again I'm not an expert). Has anyone experienced something similar and can point a finger in the right direction?
Before someone says it. I am going to the doctor but I move on Friday and have finals this week and next week.</t>
        </is>
      </c>
      <c r="D3064" t="n">
        <v>3</v>
      </c>
      <c r="E3064" t="n">
        <v>9</v>
      </c>
      <c r="F3064">
        <f>HYPERLINK("https://www.reddit.com/r/diabetes/comments/67spzx/momentary_tingling_in_lips_while_momentarily/")</f>
        <v/>
      </c>
      <c r="G3064" t="inlineStr">
        <is>
          <t>2017-04-26 19:00:34</t>
        </is>
      </c>
      <c r="H3064" t="inlineStr">
        <is>
          <t>Type 2</t>
        </is>
      </c>
    </row>
    <row r="3065">
      <c r="A3065" t="inlineStr">
        <is>
          <t>680qvh</t>
        </is>
      </c>
      <c r="B3065" t="inlineStr">
        <is>
          <t>Medtronic fixed their silhouette boxes!</t>
        </is>
      </c>
      <c r="C3065" t="inlineStr">
        <is>
          <t xml:space="preserve">I've seen a post in here before about how their canola boxes are so frustrating to open and I relate so deeply. So when I picked up a new box today and saw that there's a new easy-open pull-tab kinda thing across the front flap, I was very satisfied and knew I should inform the world. </t>
        </is>
      </c>
      <c r="D3065" t="n">
        <v>10</v>
      </c>
      <c r="E3065" t="n">
        <v>4</v>
      </c>
      <c r="F3065">
        <f>HYPERLINK("https://www.reddit.com/r/diabetes/comments/680qvh/medtronic_fixed_their_silhouette_boxes/")</f>
        <v/>
      </c>
      <c r="G3065" t="inlineStr">
        <is>
          <t>2017-04-27 20:45:11</t>
        </is>
      </c>
      <c r="H3065" t="inlineStr">
        <is>
          <t>Type 1</t>
        </is>
      </c>
    </row>
    <row r="3066">
      <c r="A3066" t="inlineStr">
        <is>
          <t>682y43</t>
        </is>
      </c>
      <c r="B3066" t="inlineStr">
        <is>
          <t>T2 Dietician said eat more carbs. What?</t>
        </is>
      </c>
      <c r="C3066" t="inlineStr">
        <is>
          <t>I was referred to a dietician and she said to eat more carbs. I now eat salad for one of my three meals but she was all you must have the same amount of carbs for all three meals. Is she legit or am I missing something here?</t>
        </is>
      </c>
      <c r="D3066" t="n">
        <v>17</v>
      </c>
      <c r="E3066" t="n">
        <v>51</v>
      </c>
      <c r="F3066">
        <f>HYPERLINK("https://www.reddit.com/r/diabetes/comments/682y43/t2_dietician_said_eat_more_carbs_what/")</f>
        <v/>
      </c>
      <c r="G3066" t="inlineStr">
        <is>
          <t>2017-04-28 07:26:06</t>
        </is>
      </c>
      <c r="H3066" t="inlineStr">
        <is>
          <t>Type 2</t>
        </is>
      </c>
    </row>
    <row r="3067">
      <c r="A3067" t="inlineStr">
        <is>
          <t>683711</t>
        </is>
      </c>
      <c r="B3067" t="inlineStr">
        <is>
          <t>Keto diet and keytones, how many is too much?</t>
        </is>
      </c>
      <c r="C3067" t="inlineStr">
        <is>
          <t>Recently started doing keto and so far I'm loving how well it helps with keeping my blood sugar under control. I take 20 units of lantus every 24 hours, and 1 unit of humalog for every 7 carbs, but with keto I maybe take 4 units of humalog a day at the most. So far protein either doesn't raise my blood sugar, it does and is really minimal, or my lantus covers it so I haven't needed to take any humalog with my meals unless it has some carbs. Should I be worried about entering DKA? I know that ketosis and ketoacidosis are different things, but how many ketones is to many?</t>
        </is>
      </c>
      <c r="D3067" t="n">
        <v>2</v>
      </c>
      <c r="E3067" t="n">
        <v>10</v>
      </c>
      <c r="F3067">
        <f>HYPERLINK("https://www.reddit.com/r/diabetes/comments/683711/keto_diet_and_keytones_how_many_is_too_much/")</f>
        <v/>
      </c>
      <c r="G3067" t="inlineStr">
        <is>
          <t>2017-04-28 08:07:00</t>
        </is>
      </c>
      <c r="H3067" t="inlineStr">
        <is>
          <t>Type 1</t>
        </is>
      </c>
    </row>
    <row r="3068">
      <c r="A3068" t="inlineStr">
        <is>
          <t>685b3h</t>
        </is>
      </c>
      <c r="B3068" t="inlineStr">
        <is>
          <t>First 3 month HbA1C results!</t>
        </is>
      </c>
      <c r="C3068" t="inlineStr">
        <is>
          <t xml:space="preserve">Well i started out my journey in January of this year at 7.9 and feeling pretty horrible in a lot of ways. 
My first test back I'm at 5.1! Dr cut my meds in half to 500 /50 Januet twice a day from the 1000/100 twice a day! On my way to needing no medication! </t>
        </is>
      </c>
      <c r="D3068" t="n">
        <v>9</v>
      </c>
      <c r="E3068" t="n">
        <v>8</v>
      </c>
      <c r="F3068">
        <f>HYPERLINK("https://www.reddit.com/r/diabetes/comments/685b3h/first_3_month_hba1c_results/")</f>
        <v/>
      </c>
      <c r="G3068" t="inlineStr">
        <is>
          <t>2017-04-28 13:43:41</t>
        </is>
      </c>
      <c r="H3068" t="inlineStr">
        <is>
          <t>Type 2</t>
        </is>
      </c>
    </row>
    <row r="3069">
      <c r="A3069" t="inlineStr">
        <is>
          <t>6865lm</t>
        </is>
      </c>
      <c r="B3069" t="inlineStr">
        <is>
          <t>Sleeping with a pump</t>
        </is>
      </c>
      <c r="C3069" t="inlineStr">
        <is>
          <t xml:space="preserve">I've been T1 for about 8-9 years now, pumping for 4... and no matter what I do I can't shake the sensation of sleeping with a brick in my pocket. I tend to move and roll in my sleep and nothing works to keep it in 1 place. I've tried loose under my pillow, in tight underwear, leg strap, free roaming pockets... I really need some new ideas. Reddit? </t>
        </is>
      </c>
      <c r="D3069" t="n">
        <v>2</v>
      </c>
      <c r="E3069" t="n">
        <v>10</v>
      </c>
      <c r="F3069">
        <f>HYPERLINK("https://www.reddit.com/r/diabetes/comments/6865lm/sleeping_with_a_pump/")</f>
        <v/>
      </c>
      <c r="G3069" t="inlineStr">
        <is>
          <t>2017-04-28 16:16:07</t>
        </is>
      </c>
      <c r="H3069" t="inlineStr">
        <is>
          <t>Type 1</t>
        </is>
      </c>
    </row>
    <row r="3070">
      <c r="A3070" t="inlineStr">
        <is>
          <t>686skb</t>
        </is>
      </c>
      <c r="B3070" t="inlineStr">
        <is>
          <t>T2 I thought I was doing so well, until my last A1C</t>
        </is>
      </c>
      <c r="C3070" t="inlineStr">
        <is>
          <t>When I was diagnosed, my doctor told me that if I could lose 50 pounds, it would make a significant difference.  I lost weight, but didn't really make a dent in that 50 pound goal until the past year.  I've lost about 20 pounds in the past year or so, which puts me about 35 or so below where I was when I was diagnosed.
My A1C has been really stable for the past 5 years, hovering at around 7.  As a result, I haven't been monitoring my daily levels, and I only have been getting the A1C tested every 6 months to a year.
It had been close to a year since my last one (7.1), and since I had lost so much weight since then, I was really excited to see where I was this week.  I've also been much better about the occasional sugary snack, and don't eat nearly as many sweets as I used to.  I've also been making an effort to be more physically active.
However, my A1C was 7.8.  Perhaps its an overreaction, but I was devastated.  
I feel like all my work was wasted, and the only option I have left is to be super strict on eliminating all major sources of carbs.  Experience has shown me that I really can only do an "all or nothing" approach to monitoring my food.  Counting exchanges, controlling portions, etc., have all resulted in my eventually getting more and more lenient.
My wife is concerned about my eating too much protein.  I've heard about keto diets, looked a bit at some of the research on high protein diets and diabetes, but the information I've seen seems contradictory.
Some research says high levels of protein can damage the kidneys, particularly for diabetics.  Other sources say there's not enough evidence to determine the long term impact of high protein diets on diabetics.  Others seem to imply that it's a great thing for keeping your blood sugar under control.
Any suggestions for where I should get started on finding out how to best approach my diet?  I'm going to see my doctor this week, and of course I'll ask him, but unfortunately I've once again had to change doctors (they keep leaving the area), so I've never met this doctor before, and have no idea if he is any good.</t>
        </is>
      </c>
      <c r="D3070" t="n">
        <v>9</v>
      </c>
      <c r="E3070" t="n">
        <v>33</v>
      </c>
      <c r="F3070">
        <f>HYPERLINK("https://www.reddit.com/r/diabetes/comments/686skb/t2_i_thought_i_was_doing_so_well_until_my_last_a1c/")</f>
        <v/>
      </c>
      <c r="G3070" t="inlineStr">
        <is>
          <t>2017-04-28 18:28:41</t>
        </is>
      </c>
      <c r="H3070" t="inlineStr">
        <is>
          <t>Type 2</t>
        </is>
      </c>
    </row>
    <row r="3071">
      <c r="A3071" t="inlineStr">
        <is>
          <t>68dfkl</t>
        </is>
      </c>
      <c r="B3071" t="inlineStr">
        <is>
          <t>Has anyone tried Victoza?</t>
        </is>
      </c>
      <c r="C3071" t="inlineStr">
        <is>
          <t xml:space="preserve">My Endo is suggesting we try Victoza.  Possibly because I am becoming very insulin resistant and the more insulin I take the more weight I seem to gain.
I've read that there are a ton of side effects, and also it is recommended that one does not use a Bolis insulin while using it.  (Basil is fine).
</t>
        </is>
      </c>
      <c r="D3071" t="n">
        <v>9</v>
      </c>
      <c r="E3071" t="n">
        <v>16</v>
      </c>
      <c r="F3071">
        <f>HYPERLINK("https://www.reddit.com/r/diabetes/comments/68dfkl/has_anyone_tried_victoza/")</f>
        <v/>
      </c>
      <c r="G3071" t="inlineStr">
        <is>
          <t>2017-04-29 20:15:03</t>
        </is>
      </c>
      <c r="H3071" t="inlineStr">
        <is>
          <t>Type 2</t>
        </is>
      </c>
    </row>
    <row r="3072">
      <c r="A3072" t="inlineStr">
        <is>
          <t>68f76i</t>
        </is>
      </c>
      <c r="B3072" t="inlineStr">
        <is>
          <t>Reactions to hypoglycemia</t>
        </is>
      </c>
      <c r="C3072" t="inlineStr">
        <is>
          <t>Hello
Lately I've been wondering a lot more what affects how people are affected by hypoglycemia
I've been T1 for 7 years now, and despite being told multiple times by my doctors how dangerous low blood sugar is, still have never had a low blood sugar so severe that I felt incapable of recognizing it or treating myself. I think the lowest I've been at was 24 mg/dL and it was obvious my sugar was low and it was easy to fix; didn't have any physical effects beyond slight tremors and had that immediately recognizable mental effect that I can best describe as a vague anxiety. I consistently recognize low blood sugars as soon as I get below 60 just because of that hard to explain effect it has on the way you think and process things around you.
Before going on a pump I used to just basically take a lot more insulin than I needed usually because I could reliably deal with hypoglycemia every time it happened, which resulted in consistently being on the lower end (I don't think I've ever had an A1C above 6.5%; I'm usually within 5.8-6.2). And yet, 7 years later, I still haven't gotten hypoglycemic unawareness, nor have I ever been so low that I felt that taking care of it would be impossible. Pretty much the only time it becomes difficult is when I'm just waking up, and even then every time that's happened, I noticed within 10 minutes that, hey, aimlessly wandering around feeling a persistent sense of foreboding doom PROBABLY means my sugar is low
So I guess what I'm asking is, does anyone know if there is anything that affects how people react to low blood sugar? I know a couple other diabetics, some of whom become completely helpless at like 60 mg/dL, and I've just been thinking what could possibly cause such a high variance in people's ability to notice and deal with hypoglycemia... the first thing I thought was that it's just a matter of time until you develop unawareness, until I heard about an 80 year old who was perfectly fine with blood sugars under 30... then I had no idea where to go from there lol
Has any research ever been done into this, or is the best thing we know right now just "people are different and have different tolerances/reactions/whatever"? Am I lucky for having this ability to deal with it, or is this the norm? My sample size of other diabetics I know is pretty small so I don't feel confident drawing a conclusion from that myself</t>
        </is>
      </c>
      <c r="D3072" t="n">
        <v>4</v>
      </c>
      <c r="E3072" t="n">
        <v>9</v>
      </c>
      <c r="F3072">
        <f>HYPERLINK("https://www.reddit.com/r/diabetes/comments/68f76i/reactions_to_hypoglycemia/")</f>
        <v/>
      </c>
      <c r="G3072" t="inlineStr">
        <is>
          <t>2017-04-30 05:21:19</t>
        </is>
      </c>
      <c r="H3072" t="inlineStr">
        <is>
          <t>Type 1</t>
        </is>
      </c>
    </row>
    <row r="3073">
      <c r="A3073" t="inlineStr">
        <is>
          <t>68g2lp</t>
        </is>
      </c>
      <c r="B3073" t="inlineStr">
        <is>
          <t>Going to start on the Dexcom G5 today...what are things you wished you knew when you first started?</t>
        </is>
      </c>
      <c r="C3073" t="inlineStr">
        <is>
          <t xml:space="preserve">I'm super excited to start using a CGM today. I've always had decent control but I have an active and busy lifestyle and I think this is going to make keeping my sugars under control a whole lot easier.
Are there any things you wished you knew about when you first started the CGM? 
People who exercise regularly - how do you find it doing it with the Dexcom? </t>
        </is>
      </c>
      <c r="D3073" t="n">
        <v>22</v>
      </c>
      <c r="E3073" t="n">
        <v>49</v>
      </c>
      <c r="F3073">
        <f>HYPERLINK("https://www.reddit.com/r/diabetes/comments/68g2lp/going_to_start_on_the_dexcom_g5_todaywhat_are/")</f>
        <v/>
      </c>
      <c r="G3073" t="inlineStr">
        <is>
          <t>2017-04-30 08:42:57</t>
        </is>
      </c>
      <c r="H3073" t="inlineStr">
        <is>
          <t>Type 1</t>
        </is>
      </c>
    </row>
    <row r="3074">
      <c r="A3074" t="inlineStr">
        <is>
          <t>68kcmk</t>
        </is>
      </c>
      <c r="B3074" t="inlineStr">
        <is>
          <t>Injection site rotation for really skinny people?</t>
        </is>
      </c>
      <c r="C3074" t="inlineStr">
        <is>
          <t>So I'm a pretty skinny dude.  Let's get it out of the way and say I understand that everyone else has the opposite problem, but I've been trying to put on weight for a good 20 years now, and it's just not going to happen.  As such, I barely have enough fat to inject into in my thighs and a small patch on my stomach.  I always do my basal into the butt just because of the amount of real estate. I'm not super comfortable with doing the backs of the arms because I've hit the triceps even with 4mm pen needles.  
What are my options here?  I'd really love to avoid the nastier site rotation issues.</t>
        </is>
      </c>
      <c r="D3074" t="n">
        <v>0</v>
      </c>
      <c r="E3074" t="n">
        <v>13</v>
      </c>
      <c r="F3074">
        <f>HYPERLINK("https://www.reddit.com/r/diabetes/comments/68kcmk/injection_site_rotation_for_really_skinny_people/")</f>
        <v/>
      </c>
      <c r="G3074" t="inlineStr">
        <is>
          <t>2017-04-30 22:59:24</t>
        </is>
      </c>
      <c r="H3074" t="inlineStr">
        <is>
          <t>Type 1</t>
        </is>
      </c>
    </row>
    <row r="3075">
      <c r="A3075" t="inlineStr">
        <is>
          <t>68keht</t>
        </is>
      </c>
      <c r="B3075" t="inlineStr">
        <is>
          <t>Blood sugar spiked to 26mmol/L (468mg/dl) for a short time. Should I take any action?</t>
        </is>
      </c>
      <c r="C3075" t="inlineStr">
        <is>
          <t>So I was out drinking last night with my friends and got pretty wasted. When we went to my friends place I took my blood sugar and it was 26mmol/L. I got pretty concerned and ate some rye bread and took a larger than normal dose of Novorapid. Within 30 minutes my blood sugar was already at 16, and around and hour after that (after I found my way home) it was at 7. Now, that's a very rapid drop so at that point I ate some more rye bread and a sugary yoghurt (didn't inject at all at this point) and kept monitoring my blood sugar for a while after that. 1 hour later my blood sugar had stayed at 7 and I went to bed. Now it's the following morning and my levels are completely normal again. 
The blood sugar wasn't that high for any more than 1 hour at most because I consumed all those sugary shots in a very short period of time but should I still be concerned? I am gonna drink more water than usual today just to be safe, but do I need to do anything else? Sorry if this is a stupid question, I was just diagnosed a bit over a month ago so this is all new to me. Thanks.</t>
        </is>
      </c>
      <c r="D3075" t="n">
        <v>14</v>
      </c>
      <c r="E3075" t="n">
        <v>30</v>
      </c>
      <c r="F3075">
        <f>HYPERLINK("https://www.reddit.com/r/diabetes/comments/68keht/blood_sugar_spiked_to_26mmoll_468mgdl_for_a_short/")</f>
        <v/>
      </c>
      <c r="G3075" t="inlineStr">
        <is>
          <t>2017-04-30 23:14:25</t>
        </is>
      </c>
      <c r="H3075" t="inlineStr">
        <is>
          <t>Type 1</t>
        </is>
      </c>
    </row>
    <row r="3076">
      <c r="A3076" t="inlineStr">
        <is>
          <t>68m5gz</t>
        </is>
      </c>
      <c r="B3076" t="inlineStr">
        <is>
          <t>I must be crazy but Cinnamon Toast Crunch seems to be helping me!</t>
        </is>
      </c>
      <c r="C3076" t="inlineStr">
        <is>
          <t xml:space="preserve">I know this is going to sound crazy and maybe it is, but I noticed something about a month ago and have been testing my theory at nights and it "seems" as illogical as it might be the for me eating a bowl of Cinnamon Toast Crunch in Soy Milk before bed with my Janumet. 
How I did my testing over a two week period. 
I tried on and off nights for a week. 
Before bed Blood sugars of around 120. On nights when I ate the cereal and tested in the AM I would average 110 in the AM. 
On nights where I didn't eat a bowl I would still take my pill but Id wake with a Blood sugar of 130-140. 
I tried seeing if it was just that I had something in my stomach and It was helping me so I tried a different cereal and it was higher in the AM. 
I spoke with my sister in law about this as she's a Dr. and she was worried that im probably spiking myself all night but on two occasions I woke at 3am and found my Blood sugars hovering around 120. 
I know it sounds crazy but is it possible that the Cinnamon is helping that much???
</t>
        </is>
      </c>
      <c r="D3076" t="n">
        <v>0</v>
      </c>
      <c r="E3076" t="n">
        <v>13</v>
      </c>
      <c r="F3076">
        <f>HYPERLINK("https://www.reddit.com/r/diabetes/comments/68m5gz/i_must_be_crazy_but_cinnamon_toast_crunch_seems/")</f>
        <v/>
      </c>
      <c r="G3076" t="inlineStr">
        <is>
          <t>2017-05-01 07:06:53</t>
        </is>
      </c>
      <c r="H3076" t="inlineStr">
        <is>
          <t>Type 2</t>
        </is>
      </c>
    </row>
    <row r="3077">
      <c r="A3077" t="inlineStr">
        <is>
          <t>68ovkt</t>
        </is>
      </c>
      <c r="B3077" t="inlineStr">
        <is>
          <t>Can You Come Out of the Honeymoon period &amp;amp; Then Go Back?</t>
        </is>
      </c>
      <c r="C3077" t="inlineStr">
        <is>
          <t>So a while ago for about two weeks out of nowhere my BG randomly started going higher and lower than normal. Going from high (8-9) to low (3-4) and I thought that I had come out of the honeymoon period so I phoned my diabetic nurse. She told me to do a no carb meal and then test my BG in 2 hours to see how it changed. After 2 hours I retested and it went up by 0.6, she told me on the phone depending on how it changed could mean I need to have more or less long acting insulin or possible change my insulin to carb ratio. 
But strangely the next day my BG started to level out and since then has been 100% perfect (except for one test). What happened?, did I come out of the honeymoon period and then go back in?, is that possible?</t>
        </is>
      </c>
      <c r="D3077" t="n">
        <v>3</v>
      </c>
      <c r="E3077" t="n">
        <v>1</v>
      </c>
      <c r="F3077">
        <f>HYPERLINK("https://www.reddit.com/r/diabetes/comments/68ovkt/can_you_come_out_of_the_honeymoon_period_then_go/")</f>
        <v/>
      </c>
      <c r="G3077" t="inlineStr">
        <is>
          <t>2017-05-01 14:26:54</t>
        </is>
      </c>
      <c r="H3077" t="inlineStr">
        <is>
          <t>Type 1</t>
        </is>
      </c>
    </row>
    <row r="3078">
      <c r="A3078" t="inlineStr">
        <is>
          <t>68ra03</t>
        </is>
      </c>
      <c r="B3078" t="inlineStr">
        <is>
          <t>How to live knowing you're not supposed to be alive?</t>
        </is>
      </c>
      <c r="C3078" t="inlineStr">
        <is>
          <t>Do any of you ever feel as if you are living on borrowed time? I've been struggling a lot with this idea, that I am not technically supposed to be alive right now, diabetes has tried to kill me more than once. I do not know how to find peace within this concept. Help?
Edit: Honestly thank you all for the lovely replies. It was really nice to read. I've been looking at this for awhile in a more religious/spiritual way. Medical science saved me, but if there is a God then according to natural order I'm not really supposed to be here. But it is heart-warming to see how many of you think of yourselves as lucky to be alive, even when you feel similarly to how I feel about the disease right now. Definitely will continue to try to look at it with a more positive outlook, and maybe get help as some of you suggested. I&amp;gt; ^ v</t>
        </is>
      </c>
      <c r="D3078" t="n">
        <v>20</v>
      </c>
      <c r="E3078" t="n">
        <v>22</v>
      </c>
      <c r="F3078">
        <f>HYPERLINK("https://www.reddit.com/r/diabetes/comments/68ra03/how_to_live_knowing_youre_not_supposed_to_be_alive/")</f>
        <v/>
      </c>
      <c r="G3078" t="inlineStr">
        <is>
          <t>2017-05-01 22:18:45</t>
        </is>
      </c>
      <c r="H3078" t="inlineStr">
        <is>
          <t>Type 1</t>
        </is>
      </c>
    </row>
    <row r="3079">
      <c r="A3079" t="inlineStr">
        <is>
          <t>68t4dh</t>
        </is>
      </c>
      <c r="B3079" t="inlineStr">
        <is>
          <t>NO Metformin = Constipation?</t>
        </is>
      </c>
      <c r="C3079" t="inlineStr">
        <is>
          <t xml:space="preserve">Has anyone been taken off of Metformin and become constipated?
My doctor took me off Metformin about 2 months ago because I'm now able to control my Type 2 with diet and exercise.  When I was on Metformin, I had a bowel movement every morning and I had no problem with passing a stool.
As soon as I was off Metformin, I became constipated. My bowel movements became very large and dry, even painful to pass.  It's been like this for 2 months now.  </t>
        </is>
      </c>
      <c r="D3079" t="n">
        <v>3</v>
      </c>
      <c r="E3079" t="n">
        <v>7</v>
      </c>
      <c r="F3079">
        <f>HYPERLINK("https://www.reddit.com/r/diabetes/comments/68t4dh/no_metformin_constipation/")</f>
        <v/>
      </c>
      <c r="G3079" t="inlineStr">
        <is>
          <t>2017-05-02 06:29:52</t>
        </is>
      </c>
      <c r="H3079" t="inlineStr">
        <is>
          <t>Type 2</t>
        </is>
      </c>
    </row>
    <row r="3080">
      <c r="A3080" t="inlineStr">
        <is>
          <t>68xg47</t>
        </is>
      </c>
      <c r="B3080" t="inlineStr">
        <is>
          <t>So I took my basal twice today.</t>
        </is>
      </c>
      <c r="C3080" t="inlineStr">
        <is>
          <t>6 juice boxes, three bottles of 10oz cranberry juice, and some ice cream over the past three hours, and I'm finally hanging above 70. About to walk to the grocery store for some 2 liters of soda as soon as I get to a high enough number that I feel comfortable doing so. 
Have Dexcom. Have sugar. Let's do this. 
Edit: apparently grammar isn't too good when you're low for two hours straight. 
Edit: Things got progressively weirder.  Sometime around midnight, it just.... stopped. I can't imagine there was another reason for this reaction that the double basal. But I tanked upwards of 225 carbs and only got up to about 250. There was a slow rise for 2 hours up to 280.  I started bolusing at 2am, and that only brought me down to 200. Dawn syndrome is keeping me right there currently.  I'm keeping an eye on things until this is all out of my system, but I definitely cannot explain this.  I took more insulin than I needed for dinner yesterday, but at my carb ratio, we're talking a difference of about 45 units that I can't account for. Bloodwork shows that I basically don't have a pancreas anymore, so I don't think it was that coming back for a last dance.</t>
        </is>
      </c>
      <c r="D3080" t="n">
        <v>20</v>
      </c>
      <c r="E3080" t="n">
        <v>13</v>
      </c>
      <c r="F3080">
        <f>HYPERLINK("https://www.reddit.com/r/diabetes/comments/68xg47/so_i_took_my_basal_twice_today/")</f>
        <v/>
      </c>
      <c r="G3080" t="inlineStr">
        <is>
          <t>2017-05-02 18:47:32</t>
        </is>
      </c>
      <c r="H3080" t="inlineStr">
        <is>
          <t>Type 1</t>
        </is>
      </c>
    </row>
    <row r="3081">
      <c r="A3081" t="inlineStr">
        <is>
          <t>68znkq</t>
        </is>
      </c>
      <c r="B3081" t="inlineStr">
        <is>
          <t>First DKA since diagnosis</t>
        </is>
      </c>
      <c r="C3081" t="inlineStr">
        <is>
          <t xml:space="preserve">Im type 1 since 2009 and uninsured. Well apparently I tested positive for the flu april 1st and was admitted to the hospital. I was throwing up any fluid. The vomiting wasnt because of the flu but because my sugars were at 850! I was so close to coma. I started going down hill hours after I got into the hospital. My temperature went all the way down to 92. They had to put me in a body warmer thing, it was terrifying. I dont remember alot of it. I ended up in the ICU for 7 days. I was using insulin I was buying at walmart trying to be my own doctor obviously I wasnt doing a good job (using novolin r and n). The hospital left me with a meter and one vial of 70/30 novolog. I ran out of that and now taking 70/30 novolin. My sugars since the hospital have actually been great! Ive been in the 90s and mid 100s and I couldnt be happier about it. I no longer have symptoms of neuropathy and my energy levels have gone up. This disease sucks! but Im so happy that my sugars have been great with cheap novolin from walmart.   
Edit: Question. What is the control liquid supposed to be when I test my meter? Is it different for each meter? I did a control test and the meter just says 109. 
</t>
        </is>
      </c>
      <c r="D3081" t="n">
        <v>3</v>
      </c>
      <c r="E3081" t="n">
        <v>10</v>
      </c>
      <c r="F3081">
        <f>HYPERLINK("https://www.reddit.com/r/diabetes/comments/68znkq/first_dka_since_diagnosis/")</f>
        <v/>
      </c>
      <c r="G3081" t="inlineStr">
        <is>
          <t>2017-05-03 04:06:03</t>
        </is>
      </c>
      <c r="H3081" t="inlineStr">
        <is>
          <t>Type 1</t>
        </is>
      </c>
    </row>
    <row r="3082">
      <c r="A3082" t="inlineStr">
        <is>
          <t>693ohi</t>
        </is>
      </c>
      <c r="B3082" t="inlineStr">
        <is>
          <t>Got my first pump!!</t>
        </is>
      </c>
      <c r="C3082" t="inlineStr">
        <is>
          <t>Hi all! Got my first pump in the mail, getting my training tomorrow!! I chose the Tandem t:slim X2 and have high hopes. I waffled back and forth between the Omnipod and Tandem... a lot. I'm nervous and excited about all of this, been quite a year, finally getting a CGM (G5) and now this, all in 5 months. 
So wish me luck and if there are any hints, tips, etc that anyone has, it would much appreciated!
😁</t>
        </is>
      </c>
      <c r="D3082" t="n">
        <v>9</v>
      </c>
      <c r="E3082" t="n">
        <v>18</v>
      </c>
      <c r="F3082">
        <f>HYPERLINK("https://www.reddit.com/r/diabetes/comments/693ohi/got_my_first_pump/")</f>
        <v/>
      </c>
      <c r="G3082" t="inlineStr">
        <is>
          <t>2017-05-03 15:28:07</t>
        </is>
      </c>
      <c r="H3082" t="inlineStr">
        <is>
          <t>Type 1</t>
        </is>
      </c>
    </row>
    <row r="3083">
      <c r="A3083" t="inlineStr">
        <is>
          <t>6940yx</t>
        </is>
      </c>
      <c r="B3083" t="inlineStr">
        <is>
          <t>Ladies, do your insulin needs go up the week before your time of the month?</t>
        </is>
      </c>
      <c r="C3083" t="inlineStr">
        <is>
          <t xml:space="preserve">Two months in a row now my blood sugars have been incredibly high the week before my period. Last month I didn't know what was going on and ended up in the hospital for ketones (per my docs recommendation). Thankfully it wasn't DKA but I couldn't seem to get my sugars down. This month it's happening again where I can't get my sugars to drop down despite pumping myself full of insulin. Like has been over 400 for the last 4 hours kind of high despite taking insulin. It's finally dropping after a site change and a 2 mile walk post taking insulin.
Does this happen to anyone else?! It's so annoying, I've never experienced anything like this before in my 20 years of being diabetic. </t>
        </is>
      </c>
      <c r="D3083" t="n">
        <v>12</v>
      </c>
      <c r="E3083" t="n">
        <v>18</v>
      </c>
      <c r="F3083">
        <f>HYPERLINK("https://www.reddit.com/r/diabetes/comments/6940yx/ladies_do_your_insulin_needs_go_up_the_week/")</f>
        <v/>
      </c>
      <c r="G3083" t="inlineStr">
        <is>
          <t>2017-05-03 16:32:31</t>
        </is>
      </c>
      <c r="H3083" t="inlineStr">
        <is>
          <t>Type 1</t>
        </is>
      </c>
    </row>
    <row r="3084">
      <c r="A3084" t="inlineStr">
        <is>
          <t>6975rc</t>
        </is>
      </c>
      <c r="B3084" t="inlineStr">
        <is>
          <t>How long is too long to leave insulin unrefrigerated?</t>
        </is>
      </c>
      <c r="C3084" t="inlineStr">
        <is>
          <t xml:space="preserve">I'm moving from NY to NC and driving down, I've got insulin in a cooler but The cooler only has ice packs in it..will it survive the 13 hour drive </t>
        </is>
      </c>
      <c r="D3084" t="n">
        <v>3</v>
      </c>
      <c r="E3084" t="n">
        <v>17</v>
      </c>
      <c r="F3084">
        <f>HYPERLINK("https://www.reddit.com/r/diabetes/comments/6975rc/how_long_is_too_long_to_leave_insulin/")</f>
        <v/>
      </c>
      <c r="G3084" t="inlineStr">
        <is>
          <t>2017-05-04 05:21:12</t>
        </is>
      </c>
      <c r="H3084" t="inlineStr">
        <is>
          <t>Type 1</t>
        </is>
      </c>
    </row>
    <row r="3085">
      <c r="A3085" t="inlineStr">
        <is>
          <t>69ckzd</t>
        </is>
      </c>
      <c r="B3085" t="inlineStr">
        <is>
          <t>Hey fellow type ones! What was your scariest low blood sugar moment and how were you saved?</t>
        </is>
      </c>
      <c r="C3085" t="inlineStr">
        <is>
          <t>-How low did you go? 
-Were you able to measure? 
-Did the experience change the way you mange?</t>
        </is>
      </c>
      <c r="D3085" t="n">
        <v>18</v>
      </c>
      <c r="E3085" t="n">
        <v>48</v>
      </c>
      <c r="F3085">
        <f>HYPERLINK("https://www.reddit.com/r/diabetes/comments/69ckzd/hey_fellow_type_ones_what_was_your_scariest_low/")</f>
        <v/>
      </c>
      <c r="G3085" t="inlineStr">
        <is>
          <t>2017-05-04 21:20:44</t>
        </is>
      </c>
      <c r="H3085" t="inlineStr">
        <is>
          <t>Type 1</t>
        </is>
      </c>
    </row>
    <row r="3086">
      <c r="A3086" t="inlineStr">
        <is>
          <t>69ejs4</t>
        </is>
      </c>
      <c r="B3086" t="inlineStr">
        <is>
          <t>Just moved to Korea and having trouble, any advice?</t>
        </is>
      </c>
      <c r="C3086" t="inlineStr">
        <is>
          <t>I moved to Korea a month ago to teach English, and in the months prior to that was diagnosed as type 2. Initially in Canada I was able to keep my numbers reasonable (around 7.0 after dinner). However since I've gotten to Korea that hasn't been the case. Obviously it is a challenge with the two main foods here being rice and pasta, but I've largely avoided both (unfortunately our lunch at school always comes with rice, which I eat an extremely small serving, only because there is little choice). My numbers at night here have lately been hovering between 9.0 and 10.0, with a random test a little under, but never anything more. I'm trying different things to eat, and working on exercising more, but with limited food choices, and no understanding of Korean at the moment, I'm kind of lost, so was wondering if anyone here has tried this, and has any advice?</t>
        </is>
      </c>
      <c r="D3086" t="n">
        <v>6</v>
      </c>
      <c r="E3086" t="n">
        <v>3</v>
      </c>
      <c r="F3086">
        <f>HYPERLINK("https://www.reddit.com/r/diabetes/comments/69ejs4/just_moved_to_korea_and_having_trouble_any_advice/")</f>
        <v/>
      </c>
      <c r="G3086" t="inlineStr">
        <is>
          <t>2017-05-05 06:05:47</t>
        </is>
      </c>
      <c r="H3086" t="inlineStr">
        <is>
          <t>Type 2</t>
        </is>
      </c>
    </row>
    <row r="3087">
      <c r="A3087" t="inlineStr">
        <is>
          <t>69gvyh</t>
        </is>
      </c>
      <c r="B3087" t="inlineStr">
        <is>
          <t>[Type 1] Looking for ideas as to what happened</t>
        </is>
      </c>
      <c r="C3087" t="inlineStr">
        <is>
          <t>I am not able to get to my doctor until the end of next week and was wanting the take of you guys here. I have been a T1 Diabetic for 8 years now and can not figure this out.
Last night I had a low blood sugar and as per normal as I felt it coming on and confirmed it (56 mg/dl) with my meter I drank half of my juice bottle (each bottle being 46 carbs). After a couple of minutes I was feeling worse so I checked again and was lower (48 mg/dl). I drink the rest of my juice and a couple minutes later no better. I drink another bottle of juice in panic and some candy lying around. I keep feeling worse and I am getting worried. That is the last thing I remember (this has never happened before). Next thing I know I am in the hospital parking lot quickly dressed and my wife is helping to the emergency room. It was 25 minutes later and she said I was spouting nonsense and that I drank 1 more juice in the car on the way. Since I was feeling better I tested and was 64mg/dl now and rising. So it took around 160 carbs and 30 minutes to bring me back up. I decide that I don't need to go in and waste the money and was fine. After a while I checked my sugars and was stabilized at 118 mg/dl.
I look back at why I would go low and cant figure it out. I took a decent amount of Humalog (heavy carb splurge) 5 hours ago and undertook insulin (because I have been losing weight and my ratios have changed) with a much lowered ratio to where my sugars should of been very high and take a correction after. My lantus should of also been worn off by this time too. I can't figure out why my sugars would not of raised or at least stabilized from drinking so much juice until 30 minutes later. It was almost like my sugar raises were delayed. 
This experience is the second one like it in the last month and the first one was similar in almost every way except for blacking out and that time I did not take as much insulin. I chalked the last one up as a fluke and maybe a weird batch of insulin. This time I was on a different batch. I have been coming over everything that has changed recently and trying to think of any commonalities but nothing is standing out other than I have been losing a decent amount of weight these last 4 months but I even calculated for that. I haven't had any issues with any other meal making me go low in a while and nothing this extreme.
My only thoughts were that for some reason I became hyper sensitive to insulin and my body was having trouble processing the sugar to my bloodstream. What do you guys think?
Edit: Thanks for all your input. You have given me a lot to look in to and to consider!</t>
        </is>
      </c>
      <c r="D3087" t="n">
        <v>3</v>
      </c>
      <c r="E3087" t="n">
        <v>9</v>
      </c>
      <c r="F3087">
        <f>HYPERLINK("https://www.reddit.com/r/diabetes/comments/69gvyh/type_1_looking_for_ideas_as_to_what_happened/")</f>
        <v/>
      </c>
      <c r="G3087" t="inlineStr">
        <is>
          <t>2017-05-05 12:46:49</t>
        </is>
      </c>
      <c r="H3087" t="inlineStr">
        <is>
          <t>Type 1</t>
        </is>
      </c>
    </row>
    <row r="3088">
      <c r="A3088" t="inlineStr">
        <is>
          <t>69iqxy</t>
        </is>
      </c>
      <c r="B3088" t="inlineStr">
        <is>
          <t>Am I coming out of honeymoon?</t>
        </is>
      </c>
      <c r="C3088" t="inlineStr">
        <is>
          <t xml:space="preserve">So, for the past few weeks, my sugars have been running higher than normal. Sure, I haven't been eating AS strictly, but even if I eat below my basal carb amount (45 carbs per meal before having to bolus) I still sometimes run high. My fasting glucose has also been higher some days, being 120-140 rather than 100-110.
I started taking insulin in December 2015, and I'm pretty sure honeymoon starts after you start taking insulin. My A1C has been really good (6.3 for about 9 months now) but I don't know anymore. I thought it was hormones, but I'm not on my period anymore and it's still running high.
I know there's no clear answer, but based on your experiences, does it sound like I'm coming out of honeymoon?
</t>
        </is>
      </c>
      <c r="D3088" t="n">
        <v>6</v>
      </c>
      <c r="E3088" t="n">
        <v>6</v>
      </c>
      <c r="F3088">
        <f>HYPERLINK("https://www.reddit.com/r/diabetes/comments/69iqxy/am_i_coming_out_of_honeymoon/")</f>
        <v/>
      </c>
      <c r="G3088" t="inlineStr">
        <is>
          <t>2017-05-05 18:45:13</t>
        </is>
      </c>
      <c r="H3088" t="inlineStr">
        <is>
          <t>Type 1</t>
        </is>
      </c>
    </row>
    <row r="3089">
      <c r="A3089" t="inlineStr">
        <is>
          <t>69slza</t>
        </is>
      </c>
      <c r="B3089" t="inlineStr">
        <is>
          <t>Type 2: Doc said I couldn't do it without meds....</t>
        </is>
      </c>
      <c r="C3089" t="inlineStr">
        <is>
          <t xml:space="preserve">33/M. Diagnosed in late Feb. after not having gotten a check up in 10+ years. Insurance plan was about to run out so I said "hey, let me go confirm that I'm all good...". Needless to say, my blood sugar was in the 300's, had high cholesterol and the beginning of background diabetic retinopathy. By the time I had gone back to the doctor to confirm diagnosis, I had already brought my BG down by half by eating low carb + taking walks after every meal. The doctor did not care about my progress, and insisted that I take metformin, some other diabetes-related med that I can't remember the name of, as well as a statin. I told her that I've never taken my diet seriously, and I just felt I deserved a shot at managing this without meds. Her response was along the lines of "no, you need Metformin now, and within a few years you'll be on insulin". I walked away feeling shitty, but stuck to my guns. I'll probably end up switching doctors, but can't wait to go back next month to show her she was wrong.
Incidentally, I've lost 16 lbs so far with another 10 to go to get to my ideal weight. I've now added intermittent fasting, as well as strength training 3x a week and look forward to seeing my insulin sensitivity improve as I build muscle. The 3 months prior to diagnosis I had stopped any form of exercise (for my winter hibernation) and ate a ridiculously bad diet consisting of daily Chinese Food, McDonalds, pastries, etc. 
I've had a few cheat meals here and there since going low carb. Last week I had 2 slices of pizza. 1 hr - 136, 2 hr - 122, 3 hr - 92 and stayed there for the remainder of the night. Woke up with fine fasting levels. By no means do I think I'm cured, but I am hoping to re-awaken some beta cells as I finally get myself into shape + continue eating healthy. 
PS: I've been testing nearly every waking hour since diagnosis. I use a Freestyle Precision Neo meter, so of course the numbers aren't perfect, but I trust they're fairly close. Had a hiccup at  Week 9 presumably because I was sick with a cold/flu type deal.
edit: sorry, my first post here, tried to include a graph - here's a link:
https://ibb.co/fQdNgQ </t>
        </is>
      </c>
      <c r="D3089" t="n">
        <v>11</v>
      </c>
      <c r="E3089" t="n">
        <v>29</v>
      </c>
      <c r="F3089">
        <f>HYPERLINK("https://www.reddit.com/r/diabetes/comments/69slza/type_2_doc_said_i_couldnt_do_it_without_meds/")</f>
        <v/>
      </c>
      <c r="G3089" t="inlineStr">
        <is>
          <t>2017-05-07 10:50:45</t>
        </is>
      </c>
      <c r="H3089" t="inlineStr">
        <is>
          <t>Type 2</t>
        </is>
      </c>
    </row>
    <row r="3090">
      <c r="A3090" t="inlineStr">
        <is>
          <t>69tv5h</t>
        </is>
      </c>
      <c r="B3090" t="inlineStr">
        <is>
          <t>Best method for large meal bolusing &amp;amp; hypothetical</t>
        </is>
      </c>
      <c r="C3090" t="inlineStr">
        <is>
          <t xml:space="preserve">Trying to wrap my head around carb absorption rates and wondering what the ideal way would be to bolus for this scenario to avoid any post-meal spiking?
Meal with 180g of carbs
Carb Absorption rate is 30g/hour
Carb Ratio of 1u:5g
Rapid-acting insulin with 2hr active time and 20 minute warm-up
I'm thinking 6u 20 minutes pre-meal, followed by a 30u 3-hour square wave taken 40 minutes after meal start. </t>
        </is>
      </c>
      <c r="D3090" t="n">
        <v>1</v>
      </c>
      <c r="E3090" t="n">
        <v>18</v>
      </c>
      <c r="F3090">
        <f>HYPERLINK("https://www.reddit.com/r/diabetes/comments/69tv5h/best_method_for_large_meal_bolusing_hypothetical/")</f>
        <v/>
      </c>
      <c r="G3090" t="inlineStr">
        <is>
          <t>2017-05-07 14:20:21</t>
        </is>
      </c>
      <c r="H3090" t="inlineStr">
        <is>
          <t>Type 1</t>
        </is>
      </c>
    </row>
    <row r="3091">
      <c r="A3091" t="inlineStr">
        <is>
          <t>69vsrg</t>
        </is>
      </c>
      <c r="B3091" t="inlineStr">
        <is>
          <t>Dexcom Follow (and Clarity) gaps?</t>
        </is>
      </c>
      <c r="C3091" t="inlineStr">
        <is>
          <t>Hey all. My wife has been using the Dexcom G5 for about a month now. Overall it's working great, but one issue I've noticed is that sometimes I get gaps in the data in the Follow app (and the gaps show up in Clarity as well), when there's no gap showing on her own Dexcom app. She's using her iPhone as the receiver. My only guess is that this happens when the iPhone has no internet connection or something? But the gaps seem too large for the rare times that would happen, and I'd expect it to just buffer and upload when it reconnects... Any ideas?</t>
        </is>
      </c>
      <c r="D3091" t="n">
        <v>1</v>
      </c>
      <c r="E3091" t="n">
        <v>7</v>
      </c>
      <c r="F3091">
        <f>HYPERLINK("https://www.reddit.com/r/diabetes/comments/69vsrg/dexcom_follow_and_clarity_gaps/")</f>
        <v/>
      </c>
      <c r="G3091" t="inlineStr">
        <is>
          <t>2017-05-07 20:45:18</t>
        </is>
      </c>
      <c r="H3091" t="inlineStr">
        <is>
          <t>Type 1.5/LADA</t>
        </is>
      </c>
    </row>
    <row r="3092">
      <c r="A3092" t="inlineStr">
        <is>
          <t>69zp9n</t>
        </is>
      </c>
      <c r="B3092" t="inlineStr">
        <is>
          <t>Omnipod extended bolus SUCCESS!</t>
        </is>
      </c>
      <c r="C3092" t="inlineStr">
        <is>
          <t>I am so excited to say that after years of struggling with high blood sugars, I've found a solution that works.  I have this sub to thank for this and I am so grateful.  I've been extending my bolus ever since I put two and two together regarding my slow digestion.  I'm still flying a little blind since I don't 100% understand how to calculate how much to take upfront and how long to extend, though.  Can anyone point me in the right direction of resources that can help me understand and utilize this feature better?  TIA!</t>
        </is>
      </c>
      <c r="D3092" t="n">
        <v>5</v>
      </c>
      <c r="E3092" t="n">
        <v>4</v>
      </c>
      <c r="F3092">
        <f>HYPERLINK("https://www.reddit.com/r/diabetes/comments/69zp9n/omnipod_extended_bolus_success/")</f>
        <v/>
      </c>
      <c r="G3092" t="inlineStr">
        <is>
          <t>2017-05-08 10:51:18</t>
        </is>
      </c>
      <c r="H3092" t="inlineStr">
        <is>
          <t>Type 1</t>
        </is>
      </c>
    </row>
    <row r="3093">
      <c r="A3093" t="inlineStr">
        <is>
          <t>69zqrk</t>
        </is>
      </c>
      <c r="B3093" t="inlineStr">
        <is>
          <t>Changing from Lantus to Tresiba tomorrow, pretty scared.</t>
        </is>
      </c>
      <c r="C3093" t="inlineStr">
        <is>
          <t>For those of you who have done this, what were the first few days like? Did your dose change? I wasn't really given any instructions.
I'm totally scared. The last time I changed insulins (nph to lantus) it was a nightmare. My blood is pretty great these days but cvs pulled the plug on lantus and my supply is finally gone.  
Type 1 of over 25 yrs, btw.</t>
        </is>
      </c>
      <c r="D3093" t="n">
        <v>7</v>
      </c>
      <c r="E3093" t="n">
        <v>15</v>
      </c>
      <c r="F3093">
        <f>HYPERLINK("https://www.reddit.com/r/diabetes/comments/69zqrk/changing_from_lantus_to_tresiba_tomorrow_pretty/")</f>
        <v/>
      </c>
      <c r="G3093" t="inlineStr">
        <is>
          <t>2017-05-08 10:58:09</t>
        </is>
      </c>
      <c r="H3093" t="inlineStr">
        <is>
          <t>Type 1</t>
        </is>
      </c>
    </row>
    <row r="3094">
      <c r="A3094" t="inlineStr">
        <is>
          <t>6a0f8e</t>
        </is>
      </c>
      <c r="B3094" t="inlineStr">
        <is>
          <t>Got my pump today - bolus questions</t>
        </is>
      </c>
      <c r="C3094" t="inlineStr">
        <is>
          <t>I had a bit of information overload today and either this wasn't covered well enough or I missed it, so I'm hoping some of you can shed some light on how to use the different types of bolus.
I could swear the person who set me up with the pump recommended usually using the 50/50 dual wave bolus for meals, but (and obviously after using this one) I'm doubting that. But I really don't know.
I know that the boluses that are more like 30/70 will be good for pizza, but how about on a day-to-day? I do understand that everyone is different, but just a basic explanation would be very much welcome!
Basically, can someone give me a rundown of ways to bolus. I'm using a Medtronic 640g if that matters at all. Please no dietary advice or holier-than-thou "I only eat 4g of carbs a day" - I am a normal person with a normal diet and I'm not going to change that.
My other question is whether the normal basal rate that's set kicks back in automatically after a temporary basal finishes? I assume so but again, I'm really new to this!</t>
        </is>
      </c>
      <c r="D3094" t="n">
        <v>8</v>
      </c>
      <c r="E3094" t="n">
        <v>12</v>
      </c>
      <c r="F3094">
        <f>HYPERLINK("https://www.reddit.com/r/diabetes/comments/6a0f8e/got_my_pump_today_bolus_questions/")</f>
        <v/>
      </c>
      <c r="G3094" t="inlineStr">
        <is>
          <t>2017-05-08 12:43:44</t>
        </is>
      </c>
      <c r="H3094" t="inlineStr">
        <is>
          <t>Type 1</t>
        </is>
      </c>
    </row>
    <row r="3095">
      <c r="A3095" t="inlineStr">
        <is>
          <t>6a2ski</t>
        </is>
      </c>
      <c r="B3095" t="inlineStr">
        <is>
          <t>Numbness, or pschying myself out?</t>
        </is>
      </c>
      <c r="C3095" t="inlineStr">
        <is>
          <t>Hello, this is my first post on this subreddit, so please be gentle. I'm not asking for a diagnosis or anything, as I AM seeing my doctor tomorrow, but I would like some opinions in the meantime.
In my right pinky-toe, it feels as though it's been desensitized. It's hard to describe. It's not tingly, and it doesn't even hurt, it just feels like it's healing from a second degree burn or something. It's noticeable on soft carpet. It feels weird.
This has happened since I almost blistered my toes at work wearing new shoes, so I've been assuming that that's what's been the cause of the weird feeling, like I really did give myself some sort of burn by wearing those shoes.
However, today it feels like I have a similar feeling in the tip of one of my fingers. Sort of. I still FEEL things with it just fine, but it has a similar... Weird feeling. Like it's slightly desensitized, but not completely numb.
But, I was under the impression that nerve damage begins with pain, or at least tingling. But maybe I'm wrong. Maybe I'm just psyching myself out, I don't know. Can numbness really be just... Suddenly desensitized feeling, like a rope burn with no rope burn?
edit: Oops the title has a typo in it... Good job, me.
edit 2: I saw my doctor today. He basically told me that there wasn't anything to worry about (yet) in my case because it's only really been a week or so of symptoms. He said, more or less, "come back if the symptoms persist for a long period of time and/or you start experiencing sharp pains or tingling", and he even said that, yes, it could have been my shoes, lol. He took a little pin like thing and slid it across the top of my feet and asked me if I felt it, and I did. He said diabetics with neuropathy usually don't feel it (and that they feel sharp pains and burning etc). So I guess in my case it's a matter of waiting to see if it goes away or gets worse. For now he said he wouldn't consider treatment just yet.
So I think, in conclusion, the longer you have these symptoms, the more likely you are to be considered for treatment / a diagnosis.</t>
        </is>
      </c>
      <c r="D3095" t="n">
        <v>1</v>
      </c>
      <c r="E3095" t="n">
        <v>5</v>
      </c>
      <c r="F3095">
        <f>HYPERLINK("https://www.reddit.com/r/diabetes/comments/6a2ski/numbness_or_pschying_myself_out/")</f>
        <v/>
      </c>
      <c r="G3095" t="inlineStr">
        <is>
          <t>2017-05-08 19:41:05</t>
        </is>
      </c>
      <c r="H3095" t="inlineStr">
        <is>
          <t>Type 1</t>
        </is>
      </c>
    </row>
    <row r="3096">
      <c r="A3096" t="inlineStr">
        <is>
          <t>6a4t4d</t>
        </is>
      </c>
      <c r="B3096" t="inlineStr">
        <is>
          <t>My immune system sucks</t>
        </is>
      </c>
      <c r="C3096" t="inlineStr">
        <is>
          <t>(Well, apart from the obvious fact that it destroyed my pancreas)
One day of a music festival and again, I've been having a cold for the past few days. Every time I try to get healthier by working out more, I catch something, fall off the track and have to start over again.
Anyone have an idea how to remedy this? I'm type 1, have been for about 5 years. Eat keto/paleo, numbers are under as perfect control  as I've ever seen them (A1c of 6,5 with about 1 hypo per month)... 
Kinda done with it really.</t>
        </is>
      </c>
      <c r="D3096" t="n">
        <v>17</v>
      </c>
      <c r="E3096" t="n">
        <v>19</v>
      </c>
      <c r="F3096">
        <f>HYPERLINK("https://www.reddit.com/r/diabetes/comments/6a4t4d/my_immune_system_sucks/")</f>
        <v/>
      </c>
      <c r="G3096" t="inlineStr">
        <is>
          <t>2017-05-09 04:28:47</t>
        </is>
      </c>
      <c r="H3096" t="inlineStr">
        <is>
          <t>Type 1</t>
        </is>
      </c>
    </row>
    <row r="3097">
      <c r="A3097" t="inlineStr">
        <is>
          <t>6aa56z</t>
        </is>
      </c>
      <c r="B3097" t="inlineStr">
        <is>
          <t>Dexcom Problems</t>
        </is>
      </c>
      <c r="C3097" t="inlineStr">
        <is>
          <t>So I've recently started to use the Dexcom G5 and I love it! Unfortunately the longest I've been able to keep a sensor attached is like 3 days max. The adhesive fails within a few days and especially after exercise. I'm a relatively hairy sweaty guy so I'm sure that's not helping either. Does anyone have any idea what I should be doing to fix this? It's so frustrating so any advice would be greatly appreciated.</t>
        </is>
      </c>
      <c r="D3097" t="n">
        <v>2</v>
      </c>
      <c r="E3097" t="n">
        <v>14</v>
      </c>
      <c r="F3097">
        <f>HYPERLINK("https://www.reddit.com/r/diabetes/comments/6aa56z/dexcom_problems/")</f>
        <v/>
      </c>
      <c r="G3097" t="inlineStr">
        <is>
          <t>2017-05-09 19:39:10</t>
        </is>
      </c>
      <c r="H3097" t="inlineStr">
        <is>
          <t>Type 1</t>
        </is>
      </c>
    </row>
    <row r="3098">
      <c r="A3098" t="inlineStr">
        <is>
          <t>6aa5st</t>
        </is>
      </c>
      <c r="B3098" t="inlineStr">
        <is>
          <t>Type 1 diabetic with insulin pump, is likely alcoholic</t>
        </is>
      </c>
      <c r="C3098" t="inlineStr">
        <is>
          <t xml:space="preserve">I need some advice/insight about my Girlfriend who is type 1 diabetic with an insulin pump, I think is an alcoholic. I have run across many people with drinking problems and she doesn’t seem to fit any mould. The best way to describe it is that she is a closet drinker. She is a moderate drinker around family or if we are out she will always limit herself to one glass of wine. She is not a partyer. She only drinks at night alone or with me. In the course of 1-2 hrs she will drink 1ltr bottle (4 glasses of wine) almost every night (5-6 out of 7 days).  I do like a drink myself but its usually 1 maybe 2 beers.
I didn’t notice at first because she never appears drunk or even different, its hard to tell she is impaired. We don’t go out to bars, she isn’t a mean or happy drunk, most evenings we are together we will watch TV and she will play online games (simple games like candy crush, she is not caught up in online life) and I know she does this almost every night at home alone (I count the empty bottles in the recycling ) as far as I know it has never affected her job, she doesn’t drive, she isn’t prone to being off sick with mysterious ailments etc.
To complicate matters she is a type1 diabetic, from what little I know it appears that diabetics should limit their drinking or not drink at all. What I think has enabled her is that she uses an insulin pump, she keeps her blood sugar tightly controlled.
I have noticed a few times she sets an alarm for 5 am (2hrs before she has to get up for work) which I think might be to catch a sugar drop after drinking.
What brought this drinking problem to light was last fall I noticed her drinking problem, she seemed to get drunk a few times, her blood sugar went off the rails, she had a DKA (Diabetic Ketone acidosis) which can kill, she was in the hospital for a week. Because of the few incidents before this happened I thought the drinking caused it, I was close to telling her Drs. Turns out her insulin pump was defective, it was replaced and she hasn’t had any kind of issue in 8 months since. If I had told the Drs it would have gone very badly for her, they don’t take kindly to this kind of thing.
To complicate matters she is very sensitive to criticism, I suggested we both join the gym and for some reason she thought I was I was telling her to join the gym because she is fat (I am noticeably bigger than she is, this is my issue).
The odd thing is that I don’t know why she drinks, she seems fairly happy but is not very self aware, she has some baggage but she doesn’t seem to be in touch with it or her feelings.  I thought at one point I could figure out what her pain is or the reason for drinking is but I have no idea, she is a tough nut to crack in that regard. My best guess is anxiety or she had issues and fell into drinking and cant stop, its habitual now. I keep putting off talking to her about it because our relationship is only getting better but I think she wont be able to handle confrontation over this, she is likely in some kind of denial, its possible she will deny she has any problem whatsoever and will hate me etc. I do wonder if she will sacrifice our relationship before admitting there is any kind problem. I feel serious about her, I think this needs to come out in the open but it could cause an irreparable rift so I am avoiding this issue  at this point and yet I cant let it go.
Time has gone by and life seems normal, her drinking does not seem to affect her life or mine but I can’t help but think her drinking will have long term consequences especially being diabetic. Or am I wrong about that ?
Any insight or thoughts on what’s going or how I might tackle this would be greatly appreciated.
TL:DR Type 1 Diabetic GF drinks a bottle of wine a night, closet alcoholic, doesn't impact her life or our relationship but worried about the future, uses insulin pump so blood sugar seems tightly controlled. GF in denial, not good with confrontation, not sure how to proceed.
</t>
        </is>
      </c>
      <c r="D3098" t="n">
        <v>0</v>
      </c>
      <c r="E3098" t="n">
        <v>5</v>
      </c>
      <c r="F3098">
        <f>HYPERLINK("https://www.reddit.com/r/diabetes/comments/6aa5st/type_1_diabetic_with_insulin_pump_is_likely/")</f>
        <v/>
      </c>
      <c r="G3098" t="inlineStr">
        <is>
          <t>2017-05-09 19:42:28</t>
        </is>
      </c>
      <c r="H3098" t="inlineStr">
        <is>
          <t>Type 1</t>
        </is>
      </c>
    </row>
    <row r="3099">
      <c r="A3099" t="inlineStr">
        <is>
          <t>6ah4uf</t>
        </is>
      </c>
      <c r="B3099" t="inlineStr">
        <is>
          <t>Alpha Lipoic Acid plus Acetyl-L-Carnitine supplements?</t>
        </is>
      </c>
      <c r="C3099" t="inlineStr">
        <is>
          <t>I did a search and did not find any discussion of ALA which was less than two years old.  I'm a stroke survivor trying to diet my way out of hypertension and t2 diabetes diagnoses who wonders if there is a supplement I need to be taking (besides eating cinnamon pills like candy).
tingling in hands scares me so I look up supplements for diabetic neuropathy and see ALA and ALCAR (pretty sure those are the right abbreviations).  ALA also shows up in supplements for stroke survivors and together they are supposed to do an even better job of controlling sugar and rebuilding nerves.  
My Notes, (sorry, I Googled for a summary but did not find anything?
"Alpha Lipoic Acid (200-600mg per day)
Alpha Lipoic Acid, found in spinach, broccoli and potatoes, has been shown to slow the progression of diabetic neuropathy in humans. It works in the hands, feet and in other places. Alpha Lipoic Acid has been successfully used in studies to treat constipation caused by diabetic nerve damage to the autonomous nervous system.
ALA may deplete thiamine, another nutrient that may be important for preventing and treating diabetic neuropathy. Your doctor can tell you if you are at risk of thiamine deficiency. If so, you should take a thiamine supplement when supplementing with ALA.
Since ALA helps your body use your own insulin better, it could bring down blood sugar rapidly. If you are already on sugar-lowering medications, do inform your doctor before you begin supplementing with ALA
Studies suggest that the most potent form of lipoic acid is R-dihydrolipoic acid.1,5 In recent years it has become possible to obtain R-dihydrolipoic acid as a dietary supplement, thus providing the body with the form of lipoic acid that is most readily available to cells and tissues.
As lipoic acid may lower blood glucose levels, individuals with diabetes or glucose intolerance should have their blood glucose monitored while taking lipoic acid. They should also consult their physician about adjusting their dose of anti-diabetic medication in order to avoid hypoglycemia.1
Vitamin D3 (800-2000 IU per day)
Magnesium: (360-1000 mg per day, depending on severity of deficiency)
Acetyl-L-Carnitine (500-1000 mg, 2-3 times per day)
Due to its ability to regenerate damaged nerves, as well as the fact that it is often found to be deficient in diabetics, Acetyl-L-Carnitine has been successfully used on people with diabetic neuropathy, in research studies. In a year-long study, patients receiving supplementation reported substantial relief from nerve pains. Carnitine also helps reduce the risk of Alzheimer’s. This is an added benefit for diabetics who have a greater risk of suffering from the dreaded cognitive disease.
The Linus Pauling Institute recommends taking ALCAR supplements in the range of 500 to 1,000 mg daily although oral L-carnitine supplements may contain as much as 2,000 mg per dose. Varying doses of L-carnitine may be required for the treatment of specific conditions and should be given under the supervision of a physician. For example, individuals who have suffered a heart attack may benefit from 4 g of ALCAR daily, while 2 to 4 g of ALCAR per day can significantly improve exercise performance in individuals with angina. Regardless of your condition, it is always advisable to follow your physicians recommendations regarding ALCAR supplementation."
My questions; are any of you taking theses supplements with what results?  Thank You.</t>
        </is>
      </c>
      <c r="D3099" t="n">
        <v>1</v>
      </c>
      <c r="E3099" t="n">
        <v>7</v>
      </c>
      <c r="F3099">
        <f>HYPERLINK("https://www.reddit.com/r/diabetes/comments/6ah4uf/alpha_lipoic_acid_plus_acetyllcarnitine/")</f>
        <v/>
      </c>
      <c r="G3099" t="inlineStr">
        <is>
          <t>2017-05-10 18:38:39</t>
        </is>
      </c>
      <c r="H3099" t="inlineStr">
        <is>
          <t>Type 2</t>
        </is>
      </c>
    </row>
    <row r="3100">
      <c r="A3100" t="inlineStr">
        <is>
          <t>6als8v</t>
        </is>
      </c>
      <c r="B3100" t="inlineStr">
        <is>
          <t>Quick Rant</t>
        </is>
      </c>
      <c r="C3100" t="inlineStr">
        <is>
          <t xml:space="preserve">So I'm visiting my parents and my brother and we went out to eat at an indian buffet. I get my food, sit down and get ready to give my shot. My brother, **who is a paramedic** says, "You should go do that in the bathroom."
I laughed it off, I never give shots in the bathroom, it's gross to me, plus it's a buffet, I'll probably have to give more shots because I have 0 self control. 
But my mom comes over and agrees with him. No one cared before, but now lots of people are looking at me. I get angry and tell them fine, I'll do it in the dirty bathroom. At this point I'm crying (not saying too much I cry at the drop of a hat) I go into the bathroom, not going into a stall because they're much too small. I give myself a shot and someone walks in and sees it. So much for shielding the innocent eyes of the public. 
It's my body that's failing, why is that embarrassing to my mother? I explained to her that by telling me to give a shot in the bathroom she really upset me, and she apologized, but still. After a year you'd think she'd get better. Then again she still thinks I need insulin if my sugar is low, and she comments on everything I eat, and gets irritated if I talk about it. Maybe it's a good thing I was diagnosed as an adult, it would probably have been too much of a drain on her if I was a kid. 
Ok, rant over. 
Edit: I do know that my mom really didn't understand, and I think she felt bad. My brother, I don't know where a paramedic gets the idea it's ok to say that to a diabetic. </t>
        </is>
      </c>
      <c r="D3100" t="n">
        <v>45</v>
      </c>
      <c r="E3100" t="n">
        <v>74</v>
      </c>
      <c r="F3100">
        <f>HYPERLINK("https://www.reddit.com/r/diabetes/comments/6als8v/quick_rant/")</f>
        <v/>
      </c>
      <c r="G3100" t="inlineStr">
        <is>
          <t>2017-05-11 10:54:19</t>
        </is>
      </c>
      <c r="H3100" t="inlineStr">
        <is>
          <t>Type 1</t>
        </is>
      </c>
    </row>
    <row r="3101">
      <c r="A3101" t="inlineStr">
        <is>
          <t>6alsjw</t>
        </is>
      </c>
      <c r="B3101" t="inlineStr">
        <is>
          <t>Where do you keep your Insulin pens when going out?</t>
        </is>
      </c>
      <c r="C3101" t="inlineStr">
        <is>
          <t>A question for my fellow male MDI diabetics: Where do you keep your pens when you go to a club or bar or something? I mean, I can't show up with one of [these atrocities](http://www.kickerbande.de/shop/images/product_images/info_images/eastpak_springer_black.jpg) (although I own one), a schoolbag's often not really an option either and I very rarely wear a suit to these occasions. 
So I really don't know where to put them, but I also don't wanna leave my insulin at home. So I usually opt to give my pens to a female friends to put in her bag, but more often than not we get seperated and I, again, don't have my insulin.
So: how do you guys do it?</t>
        </is>
      </c>
      <c r="D3101" t="n">
        <v>5</v>
      </c>
      <c r="E3101" t="n">
        <v>16</v>
      </c>
      <c r="F3101">
        <f>HYPERLINK("https://www.reddit.com/r/diabetes/comments/6alsjw/where_do_you_keep_your_insulin_pens_when_going_out/")</f>
        <v/>
      </c>
      <c r="G3101" t="inlineStr">
        <is>
          <t>2017-05-11 10:55:33</t>
        </is>
      </c>
      <c r="H3101" t="inlineStr">
        <is>
          <t>Type 1</t>
        </is>
      </c>
    </row>
    <row r="3102">
      <c r="A3102" t="inlineStr">
        <is>
          <t>6anztj</t>
        </is>
      </c>
      <c r="B3102" t="inlineStr">
        <is>
          <t>Reliable online supplier of lantus</t>
        </is>
      </c>
      <c r="C3102" t="inlineStr">
        <is>
          <t>My insurer, Medica, decided last week not to pay for lantus any longer.  I'm a little anxious about buying online, but now have no choice.  I found a canadian online pharmacist.  My question is: are others buying their lantus online, and what are your experiences?  Good?  Bad?  Ugly?</t>
        </is>
      </c>
      <c r="D3102" t="n">
        <v>1</v>
      </c>
      <c r="E3102" t="n">
        <v>4</v>
      </c>
      <c r="F3102">
        <f>HYPERLINK("https://www.reddit.com/r/diabetes/comments/6anztj/reliable_online_supplier_of_lantus/")</f>
        <v/>
      </c>
      <c r="G3102" t="inlineStr">
        <is>
          <t>2017-05-11 17:06:46</t>
        </is>
      </c>
      <c r="H3102" t="inlineStr">
        <is>
          <t>Type 1</t>
        </is>
      </c>
    </row>
    <row r="3103">
      <c r="A3103" t="inlineStr">
        <is>
          <t>6ap91u</t>
        </is>
      </c>
      <c r="B3103" t="inlineStr">
        <is>
          <t>Such a rough screw up</t>
        </is>
      </c>
      <c r="C3103" t="inlineStr">
        <is>
          <t>Today I was running 250+ all day. I finally decided to shower and get dressed, and then I took a nap on the couch. I woke up feeling even worse, and that's when I noticed my pump wasn't attached. Luckily it was only 2 hours so there was minimal damage, but I was hoping to sleep off the high and I woke up higher. So fun. 🙄🙃</t>
        </is>
      </c>
      <c r="D3103" t="n">
        <v>3</v>
      </c>
      <c r="E3103" t="n">
        <v>1</v>
      </c>
      <c r="F3103">
        <f>HYPERLINK("https://www.reddit.com/r/diabetes/comments/6ap91u/such_a_rough_screw_up/")</f>
        <v/>
      </c>
      <c r="G3103" t="inlineStr">
        <is>
          <t>2017-05-11 21:30:07</t>
        </is>
      </c>
      <c r="H3103" t="inlineStr">
        <is>
          <t>Type 1</t>
        </is>
      </c>
    </row>
    <row r="3104">
      <c r="A3104" t="inlineStr">
        <is>
          <t>6asf56</t>
        </is>
      </c>
      <c r="B3104" t="inlineStr">
        <is>
          <t>Best app for reminding to test? T1/2005/Pump</t>
        </is>
      </c>
      <c r="C3104" t="inlineStr">
        <is>
          <t>I really struggle with remembering/committing to testing before going to bed each night, which is resulting in me waking up with some really scary low blood sugars. Is there a mobile app that you use that you can set reminders on that help you to remember to test throughout the day?</t>
        </is>
      </c>
      <c r="D3104" t="n">
        <v>2</v>
      </c>
      <c r="E3104" t="n">
        <v>6</v>
      </c>
      <c r="F3104">
        <f>HYPERLINK("https://www.reddit.com/r/diabetes/comments/6asf56/best_app_for_reminding_to_test_t12005pump/")</f>
        <v/>
      </c>
      <c r="G3104" t="inlineStr">
        <is>
          <t>2017-05-12 09:40:12</t>
        </is>
      </c>
      <c r="H3104" t="inlineStr">
        <is>
          <t>Type 1</t>
        </is>
      </c>
    </row>
    <row r="3105">
      <c r="A3105" t="inlineStr">
        <is>
          <t>6auuw7</t>
        </is>
      </c>
      <c r="B3105" t="inlineStr">
        <is>
          <t>First Dose of Tanzeum</t>
        </is>
      </c>
      <c r="C3105" t="inlineStr">
        <is>
          <t>I've read the side effects and am a little nervous. I've adapted to the 2000mg metformin well enough, but one never knows...</t>
        </is>
      </c>
      <c r="D3105" t="n">
        <v>1</v>
      </c>
      <c r="E3105" t="n">
        <v>3</v>
      </c>
      <c r="F3105">
        <f>HYPERLINK("https://www.reddit.com/r/diabetes/comments/6auuw7/first_dose_of_tanzeum/")</f>
        <v/>
      </c>
      <c r="G3105" t="inlineStr">
        <is>
          <t>2017-05-12 16:48:11</t>
        </is>
      </c>
      <c r="H3105" t="inlineStr">
        <is>
          <t>Type 2</t>
        </is>
      </c>
    </row>
    <row r="3106">
      <c r="A3106" t="inlineStr">
        <is>
          <t>6auwwn</t>
        </is>
      </c>
      <c r="B3106" t="inlineStr">
        <is>
          <t>Military?</t>
        </is>
      </c>
      <c r="C3106" t="inlineStr">
        <is>
          <t>So I'm a 15 year old who was recently diagnosed with type 1 diabetes, and before now I wasn't interested in the military but now I am. I'm focused on going to law school and getting into the JAG program which is basically the military lawyers but I don't know if it's possible with my diabetes. Can anyone clarify?</t>
        </is>
      </c>
      <c r="D3106" t="n">
        <v>3</v>
      </c>
      <c r="E3106" t="n">
        <v>11</v>
      </c>
      <c r="F3106">
        <f>HYPERLINK("https://www.reddit.com/r/diabetes/comments/6auwwn/military/")</f>
        <v/>
      </c>
      <c r="G3106" t="inlineStr">
        <is>
          <t>2017-05-12 17:00:22</t>
        </is>
      </c>
      <c r="H3106" t="inlineStr">
        <is>
          <t>Type 1</t>
        </is>
      </c>
    </row>
    <row r="3107">
      <c r="A3107" t="inlineStr">
        <is>
          <t>6b10co</t>
        </is>
      </c>
      <c r="B3107" t="inlineStr">
        <is>
          <t>How much different is BGL control when you're under 200 as opposed to being over that?</t>
        </is>
      </c>
      <c r="C3107" t="inlineStr">
        <is>
          <t>I've taken some funky advice from an endo now and then and I'll be the first to admit that I've neglected my diabetes for years in terms of not reading up. I won't elaborate as to not turn this into a sob story, but it eventually lead me to an A1c of 12.5%.  
I took charge of the problem, took an academic leave and read up on everything I could find or buy. I've regained control of my diabetes over the last year and a half, particularly with regards to stable blood sugars. As it is in my flare, my A1c is now 9.5%. But in terms of glycaemia, I don't spend a lot of time below 180 and almost no below 160. 
Going below is a very significant step to me which I am extremely afraid to take. That is, I am able and willing to take the plunge, but I know I'll be in a different world in some sense - I want to know what I can expect. I am going to have some questions that might seem pedestrian to you, but I hope you can understand that knowing those answers to me is a very big deal. So please consider me a total newb, but don't be afraid to go into detail or terminology.
Here goes:
1. Do you tend to spike less after eating when your BGL is below 200 as opposed to when it is above it? By how much?
2. How much less insulin (in terms of TDD) percentage wise would you say you need when the BGL is below 200 if you were to follow the same diet? 
3. If you inject too much basal or bolus insulin, how much of a glycemic load would you say you can take without going too low assuming you are at a 100? To clarify: imagine you have surplus bolus IOB and your blood sugar is a 100. Can you ignore some surplus, or will it always make you low?
4. How dangerous are basal insulins in terms of their peaks and valleys? I mean: can you overdose slightly to better cover the entire day not worrying about the peak too much?
5. Does insulin factor (pt. of BGL drop per unit of insulin) diminish in any way or form when your blood sugar is low? I understand that there is no alpha cell response in T1s at all, right?
6. Does your body adopt to a basal insulin profile somehow? This is very hard to figure out being hyperglycaemic all the time, because of random things like going to the loo causing a lowering effect on BGL.
7. Is it safe to adopt a habit to inject a bit more basal insulin than it is needed to keep overnight BGL stable to instead have more stable BGLs during the day and assume a fall in BGL will always be similar throughout the night?
8. Do you think some of my assumptions are stupid? What other things can you talk about that are unique to being above 200mg/dl that I should not encounter below that?
Thanks a million. I know this thread reeks of stupidity on my part (by which I mean - please don't downvote purely because something I wrote is ridiculous, I am trying to learn, not educate). As I've mentioned, the last time I was under 200 consistently was back when my pancreas still produced insulin in reasonable quantities. I've never been below 250 all throughout the day as a "true" T1. The whole prospect is scary to me, especially hypos.</t>
        </is>
      </c>
      <c r="D3107" t="n">
        <v>7</v>
      </c>
      <c r="E3107" t="n">
        <v>12</v>
      </c>
      <c r="F3107">
        <f>HYPERLINK("https://www.reddit.com/r/diabetes/comments/6b10co/how_much_different_is_bgl_control_when_youre/")</f>
        <v/>
      </c>
      <c r="G3107" t="inlineStr">
        <is>
          <t>2017-05-13 16:52:37</t>
        </is>
      </c>
      <c r="H3107" t="inlineStr">
        <is>
          <t>Type 1</t>
        </is>
      </c>
    </row>
    <row r="3108">
      <c r="A3108" t="inlineStr">
        <is>
          <t>6b28vq</t>
        </is>
      </c>
      <c r="B3108" t="inlineStr">
        <is>
          <t>My body hates weekends</t>
        </is>
      </c>
      <c r="C3108" t="inlineStr">
        <is>
          <t xml:space="preserve">Apparently, my body hates weekends.
2 weekends ago, I spent the weekend constantly going low.  OK, not so bad, was more active than usual, can deal.
Last weekend, I spent the weekend going constantly low.  Not more active than usual, but that time of the month, so figured hormones.
This weekend?  Yep, you guessed it.  Constantly going low.  Can't blame activity, or hormones this time.  Getting on a x-country flight in 8 hours.  Can't keep a sane blood sugar.  FML.
Should add, its only weekends.  I'm fine during the week.  But come Friday night/Saturday morning. Boom.
</t>
        </is>
      </c>
      <c r="D3108" t="n">
        <v>2</v>
      </c>
      <c r="E3108" t="n">
        <v>7</v>
      </c>
      <c r="F3108">
        <f>HYPERLINK("https://www.reddit.com/r/diabetes/comments/6b28vq/my_body_hates_weekends/")</f>
        <v/>
      </c>
      <c r="G3108" t="inlineStr">
        <is>
          <t>2017-05-13 21:47:42</t>
        </is>
      </c>
      <c r="H3108" t="inlineStr">
        <is>
          <t>Type 1.5/LADA</t>
        </is>
      </c>
    </row>
    <row r="3109">
      <c r="A3109" t="inlineStr">
        <is>
          <t>6b7iqw</t>
        </is>
      </c>
      <c r="B3109" t="inlineStr">
        <is>
          <t>breakfast ideas</t>
        </is>
      </c>
      <c r="C3109" t="inlineStr">
        <is>
          <t xml:space="preserve">hey i am wondering if 
is steel cut oats or Greek yogurt (plain) is better for a person with high blood sugar and ways you can make them better or new ideas </t>
        </is>
      </c>
      <c r="D3109" t="n">
        <v>2</v>
      </c>
      <c r="E3109" t="n">
        <v>28</v>
      </c>
      <c r="F3109">
        <f>HYPERLINK("https://www.reddit.com/r/diabetes/comments/6b7iqw/breakfast_ideas/")</f>
        <v/>
      </c>
      <c r="G3109" t="inlineStr">
        <is>
          <t>2017-05-14 18:23:31</t>
        </is>
      </c>
      <c r="H3109" t="inlineStr">
        <is>
          <t>Type 2</t>
        </is>
      </c>
    </row>
    <row r="3110">
      <c r="A3110" t="inlineStr">
        <is>
          <t>6b8cm8</t>
        </is>
      </c>
      <c r="B3110" t="inlineStr">
        <is>
          <t>Recently diagnosed. Looking for help with diet.</t>
        </is>
      </c>
      <c r="C3110" t="inlineStr">
        <is>
          <t>Hello all.  I was recently diagnosed with type 2 diabetes.  I was wondering what you guys found to be challenging about complying with a new diet.  Any advice would also be helpful.  Thanks!</t>
        </is>
      </c>
      <c r="D3110" t="n">
        <v>3</v>
      </c>
      <c r="E3110" t="n">
        <v>25</v>
      </c>
      <c r="F3110">
        <f>HYPERLINK("https://www.reddit.com/r/diabetes/comments/6b8cm8/recently_diagnosed_looking_for_help_with_diet/")</f>
        <v/>
      </c>
      <c r="G3110" t="inlineStr">
        <is>
          <t>2017-05-14 21:28:17</t>
        </is>
      </c>
      <c r="H3110" t="inlineStr">
        <is>
          <t>Type 2</t>
        </is>
      </c>
    </row>
    <row r="3111">
      <c r="A3111" t="inlineStr">
        <is>
          <t>6bablr</t>
        </is>
      </c>
      <c r="B3111" t="inlineStr">
        <is>
          <t>X-Post from /r/diabetes_t1. Waiting for call from endo. Bent long term insulin needle last night--mild ketones w elevated blood sugar. What have you done?</t>
        </is>
      </c>
      <c r="C3111" t="inlineStr">
        <is>
          <t>EDIT: I meant "have you done this before?" and "what did you do to fix it?" Title looks stupid now.
Bent the needle while using an insulin pen for Basaglar last night. Saw some insulin leak out but figured, "Eh, shouldn't be too much". I do 30 units/night and it's 10 hours later and my blood sugar's elevated (215 mg/dL or ~11.9 mmoL when it should be 130 mg/dL or a norm of ~7.2 mmoL) and I'm throwing off minor ketones.
I figure she'll either get back to me with "just check every hour!" or she'll tell me to give a few long-term units now I suppose. Wish I knew how much insulin DIDN'T get through.
Anyone relate?
EDIT: left another message, this time long, on nurse's line 2 hrs after initial post. Waiting again and just doing frequent checks and short term corrections thanks to sliding scale and prior insulin pump basal knowledge.</t>
        </is>
      </c>
      <c r="D3111" t="n">
        <v>2</v>
      </c>
      <c r="E3111" t="n">
        <v>4</v>
      </c>
      <c r="F3111">
        <f>HYPERLINK("https://www.reddit.com/r/diabetes/comments/6bablr/xpost_from_rdiabetes_t1_waiting_for_call_from/")</f>
        <v/>
      </c>
      <c r="G3111" t="inlineStr">
        <is>
          <t>2017-05-15 06:17:17</t>
        </is>
      </c>
      <c r="H3111" t="inlineStr">
        <is>
          <t>Type 1</t>
        </is>
      </c>
    </row>
    <row r="3112">
      <c r="A3112" t="inlineStr">
        <is>
          <t>6bbdjp</t>
        </is>
      </c>
      <c r="B3112" t="inlineStr">
        <is>
          <t>Reverting from pump therapy to MDI?</t>
        </is>
      </c>
      <c r="C3112" t="inlineStr">
        <is>
          <t>I've been considering making the switch back for a while now. I've had elevated sugar levels for a few months on the pump. I believe that it's largely due to poor absorption in my stomach region. The way I see it, high sugars due to poor insulin uptake can be corrected more easily by injection, as opposed to a corrective dose with the pump into the same infusion site. Additionally, I've come up with the following pros and cons (for reverting): 
Pros
* no more tube dangling from body
* less expensive
* no risk of pump bring lost/stolen/break
* More flexibility for sites
* easier fitness/showering
Cons
* difficult to combo bolus
* less convenient 
* less dosage accuracy 
* no longer technically a cyborg 
Wondering if anyone's made the switch, or considered it. Appreciate any thoughts/opinions!</t>
        </is>
      </c>
      <c r="D3112" t="n">
        <v>7</v>
      </c>
      <c r="E3112" t="n">
        <v>12</v>
      </c>
      <c r="F3112">
        <f>HYPERLINK("https://www.reddit.com/r/diabetes/comments/6bbdjp/reverting_from_pump_therapy_to_mdi/")</f>
        <v/>
      </c>
      <c r="G3112" t="inlineStr">
        <is>
          <t>2017-05-15 09:22:49</t>
        </is>
      </c>
      <c r="H3112" t="inlineStr">
        <is>
          <t>Type 1</t>
        </is>
      </c>
    </row>
    <row r="3113">
      <c r="A3113" t="inlineStr">
        <is>
          <t>6bbq92</t>
        </is>
      </c>
      <c r="B3113" t="inlineStr">
        <is>
          <t>Producing too much Insulin</t>
        </is>
      </c>
      <c r="C3113" t="inlineStr">
        <is>
          <t xml:space="preserve">Hey guys, long story short I am t2, producing too much Insulin in my body. I keep getting hypos. I say t2 but first, i was put in the hospital with a 9.6% HbA1c and treated as type 1, for the past like 3 or 4 of them however it has been at 4.9% to 5.5%. That's all great but I am always having hypos. I can't even attempt to lose weight at this rate because every 2 hours I keep having a low. Even when I add carbs unless I add a massive boost. At the start when I had that 9.6% I had to use insulin but right now even if I eat like crap my blood is fine but damn eating normal is hard cause of the hypos every single day.
Really annoying now when I am taking my exams as well as trying to be healthy. People suggesting low carb? That would literally destory me in like 3 days lol. </t>
        </is>
      </c>
      <c r="D3113" t="n">
        <v>3</v>
      </c>
      <c r="E3113" t="n">
        <v>7</v>
      </c>
      <c r="F3113">
        <f>HYPERLINK("https://www.reddit.com/r/diabetes/comments/6bbq92/producing_too_much_insulin/")</f>
        <v/>
      </c>
      <c r="G3113" t="inlineStr">
        <is>
          <t>2017-05-15 10:18:52</t>
        </is>
      </c>
      <c r="H3113" t="inlineStr">
        <is>
          <t>Type 2</t>
        </is>
      </c>
    </row>
    <row r="3114">
      <c r="A3114" t="inlineStr">
        <is>
          <t>6bep8q</t>
        </is>
      </c>
      <c r="B3114" t="inlineStr">
        <is>
          <t>Inconsistant basal and bolus rates on MDI, Weird swings lasting about a week,</t>
        </is>
      </c>
      <c r="C3114" t="inlineStr">
        <is>
          <t>I suppose I'm just looking to see if anyone else has a similar experience till I have my next endo appointment next month.
Basically, I find that I can get my glucose levels under control for 2 or 3 weeks and I feel I'm doing good then suddenly I'll end up either having daily or multiple daily lows for a week or I'll end up struggling to keep my readings under 10mmol/L (180mg/dl) for a whole week. 
While my readings have been good I've tested my basal rate by not eating carbs for a few meals in a row and I'm confident that my bolus and correction ratios are correct.
I don't tend to have abnormal readings for just a day it seems to happen for about a week at a time.
I don't think I've been changing my exercise or eating habits and I don't think I've been particularly stressed when it happens so I'm not sure what causes is.
Does anyone else have similar experiences? Any ideas on what I can try to improve this?
Edit: I hope that makes sense, I've woke up having to go piss almost every hour tonight because of high levels and corrections don't seem to be working</t>
        </is>
      </c>
      <c r="D3114" t="n">
        <v>1</v>
      </c>
      <c r="E3114" t="n">
        <v>6</v>
      </c>
      <c r="F3114">
        <f>HYPERLINK("https://www.reddit.com/r/diabetes/comments/6bep8q/inconsistant_basal_and_bolus_rates_on_mdi_weird/")</f>
        <v/>
      </c>
      <c r="G3114" t="inlineStr">
        <is>
          <t>2017-05-15 19:01:27</t>
        </is>
      </c>
      <c r="H3114" t="inlineStr">
        <is>
          <t>Type 1</t>
        </is>
      </c>
    </row>
    <row r="3115">
      <c r="A3115" t="inlineStr">
        <is>
          <t>6bes16</t>
        </is>
      </c>
      <c r="B3115" t="inlineStr">
        <is>
          <t>Night from Hell.</t>
        </is>
      </c>
      <c r="C3115" t="inlineStr">
        <is>
          <t>So let me preface this with saying that it happened on Friday (since this is basically a TIFU except TDFMU (Today Diabetes Fucked Me Up).
19:30. Just got home, decided to make some Raisin and Spice Oatmeal with added raisins and brown sugar (it's just too good of an additional flavour to ignore). Test my blood sugar; 6.7mmol.  I count all my carbs, 90g for the 3 packets of instant oatmeal, 1/4c of raisins (30g), and 2tb of brown sugar (30g) so all said and done 150g of carbohydrates. Dial up the pen for my 10:1 ratio pump it up to 17, expel 2 to prime the needle tip, and inject my 15. Wait 5-10 minutes then consume my food.
20:00. I notice a slight low, but don't test for it as I can just feel it. Eat 2 packs of Black Forest Juicy Centre candies (23g of sugar per pack and 0g of fat). Typically this 46g of sugar would be more than sufficient in bringing my blood sugar back up, however let us bring out the meter numbers and take you on this wild ride.
20:49 decide to test again as I still feel low. 1.6mmol reads the meter, so I down 6 more packs of gummies (138g of sugar) and a can of sprite (42g?) so total so far is 226g of sugar, which should theoretically put me into quite the high blood sugar.... But lets keep reading the meter.
21:16 Meter will no longer read my blood sugar, just says LO.
21:23 1.3mmol. Decided I didn't trust it in my drunken (from the low) stupor, or I forgot... I don't remember. 21:29 1.7mmol. At this point, I've been low for an hour and a half. Time to hit up the hospital!
22:00ish Get to the hospital, blood sugar reads in at 0.8mmol (2 hours of low blood sugar at this point, sweating like I was wearing a winter parka in the middle of the Sahara desert, hands shaking like I've been operating a jackhammer all day and spotty vision to accompany it all. According to the nurses, I shouldn't be conscious with the 0.8, so I actually managed to freak them out a bit.
22:10 they come to my bed in Emerg and bring me 2 dextrose tablets and draw blood for the lab, and take another test strip which still reads 0.8.
22:25 they come back with a sandwich and an apple juice and tell me to eat it, despite me telling them about my 200g+ of sugar I've ingested in the last 2 and a half hours to try to bring up my blood sugar. Anyway, I decided to be a good patient and do as I am told, and eat it.
22:40 they come back and tell me the lab results show a 3.2 blood sugar, so at this point I was 3 hours low nearly. 
23:00 blood sugar come to 4.7 so they let me leave.
1:19 the next day. 20.7 blood sugar.... Take 4 units correction (which should drop is 16).
7:21 18.3 blood sugar...
So in a span of fewer than 12 hours I went from being on a severe low for several hours, to a severe high while I slept (being low that long is exhausting).
tl;dr: Had a low blood sugar that went so low my meter wouldn't read. Went to the hospital after an hour and a half of being low. Scared the nurses with how low my sugar was. After a total of 3 hours blood sugar rose again.
I think the thing that annoys me most is that no one asked me once what I think could've caused it, or tried to tell me what caused it. None of the nurses or doctors seemed to really care why, but just to get me back out of the hospital. I kind of wish I had found out what caused it. (I can assure you I only took the 15 units, and my long lasting insulin from the night before was only a single dose).</t>
        </is>
      </c>
      <c r="D3115" t="n">
        <v>28</v>
      </c>
      <c r="E3115" t="n">
        <v>27</v>
      </c>
      <c r="F3115">
        <f>HYPERLINK("https://www.reddit.com/r/diabetes/comments/6bes16/night_from_hell/")</f>
        <v/>
      </c>
      <c r="G3115" t="inlineStr">
        <is>
          <t>2017-05-15 19:17:02</t>
        </is>
      </c>
      <c r="H3115" t="inlineStr">
        <is>
          <t>Type 1</t>
        </is>
      </c>
    </row>
    <row r="3116">
      <c r="A3116" t="inlineStr">
        <is>
          <t>6bf9js</t>
        </is>
      </c>
      <c r="B3116" t="inlineStr">
        <is>
          <t>T2 Anyone on Biguanides or Sulphonylureas</t>
        </is>
      </c>
      <c r="C3116" t="inlineStr">
        <is>
          <t>Type 2 2017 here. Metformin side effect is making me confused and extremely drowsy. Might be lactic acidosis or something. 
It did reduce my blood sugar to 6.5 from 8.4.
Doctor reduced dosage by half and said will consider switching to either Biguanides or Sulphonylureas if reduced dosage doesn't work. However, she hinted at horrible side effects and did not want to elaborate. 
Has anyone taken either Biguanides or Sulphonylureas? Do they work better than metformin?</t>
        </is>
      </c>
      <c r="D3116" t="n">
        <v>2</v>
      </c>
      <c r="E3116" t="n">
        <v>4</v>
      </c>
      <c r="F3116">
        <f>HYPERLINK("https://www.reddit.com/r/diabetes/comments/6bf9js/t2_anyone_on_biguanides_or_sulphonylureas/")</f>
        <v/>
      </c>
      <c r="G3116" t="inlineStr">
        <is>
          <t>2017-05-15 21:00:43</t>
        </is>
      </c>
      <c r="H3116" t="inlineStr">
        <is>
          <t>Type 2</t>
        </is>
      </c>
    </row>
    <row r="3117">
      <c r="A3117" t="inlineStr">
        <is>
          <t>6bhfgc</t>
        </is>
      </c>
      <c r="B3117" t="inlineStr">
        <is>
          <t>Going high post-breakfast every morning</t>
        </is>
      </c>
      <c r="C3117" t="inlineStr">
        <is>
          <t>I'm really struggling with high blood sugar post-breakfast, and need help. I'm not seeing my nurse/doctor until June 1 because the nurse is away on vacation. This has been going on for months (and I've posted in here for help before, but I'm at the end of my rope here).
I eat breakfast, and about an hour later, I'm around 12 mmol. I've bolused earlier (like 30 minutes before). I've decreased my insulin:carb ratio (it's currently 3:1 in the morning). I've added 20% more insulin to my bolus, thinking it was a delayed dawn phenomenon thing. I've increased my bolus (it goes from .85 to 1.25 to counteract this high). I've had a different breakfast (usually whole wheat English muffin with peanut butter, I've had it without the peanut butter, or today I had homemade steel cut oats). I don't know what to do anymore, and I'm getting so frustrated!!! Any advice?
**Update:** so today I was 5.5 at 7:45 before my homemade steel cut oats breakfast. Ate, and 90 minutes later was 12.9 at 9:15. Two hours after breakfast was 9.6 at 9:45. Three hours after, now at 10:40, I'm 7.1.
So I guess everything was correct this morning, I just had a spike. I guess I could combat that by fiddling with my extended bolus? Today I did 50% upfront, and the other 50% extended over an hour.</t>
        </is>
      </c>
      <c r="D3117" t="n">
        <v>1</v>
      </c>
      <c r="E3117" t="n">
        <v>27</v>
      </c>
      <c r="F3117">
        <f>HYPERLINK("https://www.reddit.com/r/diabetes/comments/6bhfgc/going_high_postbreakfast_every_morning/")</f>
        <v/>
      </c>
      <c r="G3117" t="inlineStr">
        <is>
          <t>2017-05-16 06:22:18</t>
        </is>
      </c>
      <c r="H3117" t="inlineStr">
        <is>
          <t>Type 1</t>
        </is>
      </c>
    </row>
    <row r="3118">
      <c r="A3118" t="inlineStr">
        <is>
          <t>6bl31e</t>
        </is>
      </c>
      <c r="B3118" t="inlineStr">
        <is>
          <t>Newly diagnosed</t>
        </is>
      </c>
      <c r="C3118" t="inlineStr">
        <is>
          <t xml:space="preserve">Hi everyone I'm new here. I was diagnosed with type 1 diabetes last night. A bit about me. I'm a 22 year old male, always been relatively fit and healthy. No family history of diabetes so this was a shock. 
Looking back I had symptoms for several weeks but didn't notice. I think it started when I had the flu. About a week after I got better I started feeling tired and thirsty. There are a few reasons why this didn't alarm me. I was working 12 hour days 6 days a week, weather started getting hot, and I was doing physical training to prepare for Marine boot camp, though that dream is gone now. Considering everything going on in my life I thought it was normal to exhausted. 
Well I missed work this past week, I was incredibly tired. Then yesterday I started throwing up and ended up in the hospital. It's been overwhelming. If I'm honest I am a bit scared, the doctor told me all the things that could happen if I don't take care of myself. 
How difficult is it for you to control your blood sugars? I've read that it can be hard, specially when sick. 
How does it affect dating? I met this awesome guy not long ago, but I'm not sure when to tell him. I don't want to scare him away. 
Do you ever get depressed? 
Sorry for the long post, there's a lot going through my mind. 
EDIT: thanks everyone for the support and advice. It feels comforting knowing I'm not alone. </t>
        </is>
      </c>
      <c r="D3118" t="n">
        <v>8</v>
      </c>
      <c r="E3118" t="n">
        <v>22</v>
      </c>
      <c r="F3118">
        <f>HYPERLINK("https://www.reddit.com/r/diabetes/comments/6bl31e/newly_diagnosed/")</f>
        <v/>
      </c>
      <c r="G3118" t="inlineStr">
        <is>
          <t>2017-05-16 16:33:46</t>
        </is>
      </c>
      <c r="H3118" t="inlineStr">
        <is>
          <t>Type 1</t>
        </is>
      </c>
    </row>
    <row r="3119">
      <c r="A3119" t="inlineStr">
        <is>
          <t>6bmexo</t>
        </is>
      </c>
      <c r="B3119" t="inlineStr">
        <is>
          <t>Diabetes in College?</t>
        </is>
      </c>
      <c r="C3119" t="inlineStr">
        <is>
          <t>Hi, I am a 17 year old male who has been diagnosed for 4 going on 5 months now! I will be attending university in August and moving out to live in a dorm. I was just wondering if anyone has any tips for managing diabetes, storing supplies, or any other useful info that you can send my way! Thank you!!</t>
        </is>
      </c>
      <c r="D3119" t="n">
        <v>8</v>
      </c>
      <c r="E3119" t="n">
        <v>42</v>
      </c>
      <c r="F3119">
        <f>HYPERLINK("https://www.reddit.com/r/diabetes/comments/6bmexo/diabetes_in_college/")</f>
        <v/>
      </c>
      <c r="G3119" t="inlineStr">
        <is>
          <t>2017-05-16 20:54:58</t>
        </is>
      </c>
      <c r="H3119" t="inlineStr">
        <is>
          <t>Type 1</t>
        </is>
      </c>
    </row>
    <row r="3120">
      <c r="A3120" t="inlineStr">
        <is>
          <t>6bpg2x</t>
        </is>
      </c>
      <c r="B3120" t="inlineStr">
        <is>
          <t>Used to be T2 prediabetic (fasting glucose of 95 mg/dl), and had a lot of excessive thirst and sleep disturbances. Now I'm down to 82 mg/dl, but still having issues. Ideas?</t>
        </is>
      </c>
      <c r="C3120" t="inlineStr">
        <is>
          <t>Back in december, I was waking up ridiculously thirsty every morning, and even drinking 2+ liters of water wouldn't help and I would feel tired for the rest of the day. My fasting blood glucose was elevated to 95 mg/dl, so I stopped eating 3 pints of ice cream a week (...yeah), and my fasting glucose dropped to 82ish, and my symptoms went away. All was good.
But now in May, my fasting blood glucose is still at 82ish, but my extreme dehydration etc issues are back. Not sure what to do.
1) electrolyte intake: 1500mg Sodium, 3500 mg potassium, 200mg magnesium (Mg is a little low, but not terribly so).
2) Hydration: I've always needed to drink 2 liters of water every morning or else I get tired standing (maybe a future red flag...), so I drink 2 L in the morning, and a few glasses throughout the day.
3) If I drink a ton of water before bed, then it interrupts my sleep and I have to wake up to pee, but then I don't feel thirsty/bad in the morning. This solution messes up my sleep though, so not ideal.
Any ideas for what to tweak? Not looking for medical advice or a diagnosis, just points in the right direction.
Thanks!</t>
        </is>
      </c>
      <c r="D3120" t="n">
        <v>4</v>
      </c>
      <c r="E3120" t="n">
        <v>8</v>
      </c>
      <c r="F3120">
        <f>HYPERLINK("https://www.reddit.com/r/diabetes/comments/6bpg2x/used_to_be_t2_prediabetic_fasting_glucose_of_95/")</f>
        <v/>
      </c>
      <c r="G3120" t="inlineStr">
        <is>
          <t>2017-05-17 08:35:10</t>
        </is>
      </c>
      <c r="H3120" t="inlineStr">
        <is>
          <t>Type 2</t>
        </is>
      </c>
    </row>
    <row r="3121">
      <c r="A3121" t="inlineStr">
        <is>
          <t>6bruah</t>
        </is>
      </c>
      <c r="B3121" t="inlineStr">
        <is>
          <t>Hit 100 mg/dL today (for the first time in a long time)</t>
        </is>
      </c>
      <c r="C3121" t="inlineStr">
        <is>
          <t>Long time lurker, first time poster :)
I was diagnosed with Type 2 on 4/25. My fasting BG was 319 that morning, with my A1C coming in at a whopping 11.2. Doc immediately put me on Metformin (750 XR, working my way up to 3x daily). 
First thing I did after filling that prescription was get a subscription to One Drop, got the meter and started testing religiously. Second thing I did was fix my diet. Third thing I did was 30 min of exercise most days. My BG has been trending downwards ever since.
Today, my BG finally hit 100 (well, 101 but who's counting?). I'm willing to bet it hasn't been this close to normal for a long, long time. My goal is to eventually ween off of Metformin and control strictly with lifestyle.
This sub has been incredibly helpful and motivating. Thank you guys.</t>
        </is>
      </c>
      <c r="D3121" t="n">
        <v>12</v>
      </c>
      <c r="E3121" t="n">
        <v>14</v>
      </c>
      <c r="F3121">
        <f>HYPERLINK("https://www.reddit.com/r/diabetes/comments/6bruah/hit_100_mgdl_today_for_the_first_time_in_a_long/")</f>
        <v/>
      </c>
      <c r="G3121" t="inlineStr">
        <is>
          <t>2017-05-17 14:45:23</t>
        </is>
      </c>
      <c r="H3121" t="inlineStr">
        <is>
          <t>Type 2</t>
        </is>
      </c>
    </row>
    <row r="3122">
      <c r="A3122" t="inlineStr">
        <is>
          <t>6bw5s9</t>
        </is>
      </c>
      <c r="B3122" t="inlineStr">
        <is>
          <t>Scary night, last night....</t>
        </is>
      </c>
      <c r="C3122" t="inlineStr">
        <is>
          <t>My girlfriend, rarely takes NPH... yesterday she took NPH at 5pm. Well, around 9pm she was going to eat soup and drink some Powerade (she's sick, it's all she can eat). We dosed her for all the carbs and her blood sugar level (13 units of Humalog). Well, before she ate, she vomited and didn't want to eat anymore. Now, here she is having active Humalog and NPH, that we forgot about, right before bed. I felt like she was going to get low simply because she didn't eat anything, so I set the Powerade on her nightstand just in case. Well around 1 AM, I wake up to go to the bathroom and she's not in the bed... powerade is all gone, I thought maybe she might be in the kitchen. Well, not even 5 feet out from the bedroom door, she is laying face down with vomit everywhere. I thought maybe this might just be her stomach bug, but I double checked and took her blood sugar… 21mg/dL… I started freaking out, this is the lowest I have ever seen it, I didn't know what to do. Then, I remembered I had a glucagon pen in my nightstand drawer. A few minutes goes by and she wakes up, but she was so confused, she had no clue who I was. I asked her to eat some peanut butter with graham crackers. Now, here I sit, scared still and she has no recollection of last night. I don't know if I want to tell her, did I save her life?</t>
        </is>
      </c>
      <c r="D3122" t="n">
        <v>9</v>
      </c>
      <c r="E3122" t="n">
        <v>25</v>
      </c>
      <c r="F3122">
        <f>HYPERLINK("https://www.reddit.com/r/diabetes/comments/6bw5s9/scary_night_last_night/")</f>
        <v/>
      </c>
      <c r="G3122" t="inlineStr">
        <is>
          <t>2017-05-18 06:25:33</t>
        </is>
      </c>
      <c r="H3122" t="inlineStr">
        <is>
          <t>Type 1</t>
        </is>
      </c>
    </row>
    <row r="3123">
      <c r="A3123" t="inlineStr">
        <is>
          <t>6bwa92</t>
        </is>
      </c>
      <c r="B3123" t="inlineStr">
        <is>
          <t>I need to put this here...</t>
        </is>
      </c>
      <c r="C3123" t="inlineStr">
        <is>
          <t>I'm sorry to vent here, but I think this is the place to do it.
I've been a type 1 diabetic for 20 years.  I was diagnosed with I was 16, I am 36 now.  At first, I tried to check my blood sugar and watch what I ate, but my family wasn't too supportive (meaning that they still always ate out, and didn't really learn about carb counting).  I quickly felt bad when seeing the doctor because my blood sugar was still high, so I basically started just making up the numbers to make it look like I was doing good.  As the years went on, I started dealing with some heavy depression and pretty much stopped checking my blood sugar.  I still knew that I couldn't just binge on junk food and sugar because it made me feel like crap, so I stopped doing that.  
It's been like that for quite a while.  In the last 15 years, I was married, had 2 kids, and then divorced, and still dealt with some really heavy depression.  I didn't have insurance for the whole time, because I made too much for our state's healthcare but insurance wasn't offered at my job.  Therefore, I wasn't able to see an endo and just saw a regular "Community Health Clinic" doctor.  They would ask me how I felt and all that and I knew all the right answers to make them leave me alone.  They would tell me to adjust my insulin at some points, but being a diabetic for so long, I was WAY ahead of them and already doing that.  The problem was that I couldn't fake my A1C, so obviously they knew something was up.
Over the past year and a half, I've been feeling a lot worse.  Had to call into work a lot, and still suffering from depression.  Let me be clear, I am HORRIBLE and checking my blood sugar.  Sometimes, I'll get back in the zone and will check it often over a week or two, but I always go back to being lazy and not taking care of myself.
I'm pretty good at not eating high carb foods or junk food, though I'm not perfect.  Ever since I was little, I've been underweight, and I now weigh roughly 140 pounds.
Last night, I had a problem.  I basically pooped in my sleep.  That's incredibly embarrassing to admit, but hey, I'm a stranger on the Internet.  This isn't the first time it's happened, as it's happened about 3 or 4 times in the past year.  I started Googling it, and stumbled upon Chronic Kidney Disease which, I guess, it directly related to diabetes.  
So, I spent a good 2 hours crying my eyes out from fear.  I can't seem to get a handle on the depression and the diabetes, and I've been a diabetic for 20 years.  I worry about my kids, my kidneys, and my general health.  I don't exercise much, and I still rarely check my blood sugar.  It's almost like I'm in some kind of reverse honeymoon stage.
I really need some kind of support group or help in handling it, and I'm really ashamed to say that, since I should be an absolute pro since I've lived with this for 20 years.  I do have insurance now, but I still haven't found an endocrinologist yet.  Part of me is totally ashamed of what they might say to me if I find one.  There's still a big part of me that just feels guilty for fucking up this way.
I just need to know how to start, or if it's normal for some of us to be this way.  I desperately need to get a handle on it.  Do you guys have any advice?
Edit:  I'm sorry if this is rambling.  I'm at work and woke up at 2:00 AM with that shit and wasn't able to go back to sleep.
Edit #2:  Thank you guys SO, SO much for the responses.  I'm so glad I posted this, even though it's very embarrassing.  You've given me some hope and some places to start.  I think you guys may have saved a life today.</t>
        </is>
      </c>
      <c r="D3123" t="n">
        <v>5</v>
      </c>
      <c r="E3123" t="n">
        <v>28</v>
      </c>
      <c r="F3123">
        <f>HYPERLINK("https://www.reddit.com/r/diabetes/comments/6bwa92/i_need_to_put_this_here/")</f>
        <v/>
      </c>
      <c r="G3123" t="inlineStr">
        <is>
          <t>2017-05-18 06:48:16</t>
        </is>
      </c>
      <c r="H3123" t="inlineStr">
        <is>
          <t>Type 1</t>
        </is>
      </c>
    </row>
    <row r="3124">
      <c r="A3124" t="inlineStr">
        <is>
          <t>6bzmgv</t>
        </is>
      </c>
      <c r="B3124" t="inlineStr">
        <is>
          <t>5.5hbA1C at 9 months!</t>
        </is>
      </c>
      <c r="C3124" t="inlineStr">
        <is>
          <t>Just a little over 9 months ago I was diagnosed with T2 diabetes. My A1C was at 10.1%. I was really freaking out. As it turns out T2 runs in my family. I knew my Dad had it, but none of his brothers had it. It wasn't until post diagnosis that I found out all the uncles on my mom's side of the family had diabetes.  Either way, diet (keto), and and a crap ton of exercise and after 3 months I was off of metformin and down to 6.1A1C. I knew this check up was coming soon and I wanted so badly to be in the 5.X% club. I'm just super excited that I was able to do it. I haven't had a cheat day since my birthday so I'm going out for a slice of pizza and a 7mi run this weekend. I'll blow through half a bottle of test strips for "experimenting" sake and post back how I do. Thanks for all the encouragement from this sub!</t>
        </is>
      </c>
      <c r="D3124" t="n">
        <v>6</v>
      </c>
      <c r="E3124" t="n">
        <v>4</v>
      </c>
      <c r="F3124">
        <f>HYPERLINK("https://www.reddit.com/r/diabetes/comments/6bzmgv/55hba1c_at_9_months/")</f>
        <v/>
      </c>
      <c r="G3124" t="inlineStr">
        <is>
          <t>2017-05-18 15:26:02</t>
        </is>
      </c>
      <c r="H3124" t="inlineStr">
        <is>
          <t>Type 2</t>
        </is>
      </c>
    </row>
    <row r="3125">
      <c r="A3125" t="inlineStr">
        <is>
          <t>6bzsxq</t>
        </is>
      </c>
      <c r="B3125" t="inlineStr">
        <is>
          <t>Recently diagnosed by T2</t>
        </is>
      </c>
      <c r="C3125" t="inlineStr">
        <is>
          <t>Hi All,
I recently had my blood work done (3 weeks ago) and below are numbers
FBG = 131
HgA1C = 6.4
My PP suggested that I should start with Metformin 500mg once a day after breakfast. He says that I'm pre-diabetic and need to start the medicine. I didn't started the medicine yet but have started making changes to my diet and doing 30 mins of running/walking 3-4 days a week. What I have noticed is every morning before breakfast my BG is 111 to 130 range and before going to bed at night it's any where between 97 - 150. Does anybody else see the same swing? Hopefully this subreddit will help me in keeping things in check.</t>
        </is>
      </c>
      <c r="D3125" t="n">
        <v>2</v>
      </c>
      <c r="E3125" t="n">
        <v>3</v>
      </c>
      <c r="F3125">
        <f>HYPERLINK("https://www.reddit.com/r/diabetes/comments/6bzsxq/recently_diagnosed_by_t2/")</f>
        <v/>
      </c>
      <c r="G3125" t="inlineStr">
        <is>
          <t>2017-05-18 15:58:02</t>
        </is>
      </c>
      <c r="H3125" t="inlineStr">
        <is>
          <t>Type 2</t>
        </is>
      </c>
    </row>
    <row r="3126">
      <c r="A3126" t="inlineStr">
        <is>
          <t>6c4drh</t>
        </is>
      </c>
      <c r="B3126" t="inlineStr">
        <is>
          <t>How do you deal with diabetic burnout?</t>
        </is>
      </c>
      <c r="C3126" t="inlineStr">
        <is>
          <t>Hi, I've had type 1 diabetes for 17 years and I've gone through periods of burnout before (especially in high school and college) but I feel like I can't beat this slump. I'm 24 and I feel as if the problems associated with type 1 are already starting. However, nothing seems to push me enough lately to escape the burnout this time.
I know the disease is not a death sentence, but I hate it when people tell me, "at least you don't have something worse". I feel like I can see my whole life ahead of me but at the same time, feel very weighed down from the burden of daily management. Every day needs to be planned, every trip or out of the ordinary occurrence needs to be accounted for. 
How do you get back on track and deal with this?</t>
        </is>
      </c>
      <c r="D3126" t="n">
        <v>8</v>
      </c>
      <c r="E3126" t="n">
        <v>14</v>
      </c>
      <c r="F3126">
        <f>HYPERLINK("https://www.reddit.com/r/diabetes/comments/6c4drh/how_do_you_deal_with_diabetic_burnout/")</f>
        <v/>
      </c>
      <c r="G3126" t="inlineStr">
        <is>
          <t>2017-05-19 08:35:33</t>
        </is>
      </c>
      <c r="H3126" t="inlineStr">
        <is>
          <t>Type 1</t>
        </is>
      </c>
    </row>
    <row r="3127">
      <c r="A3127" t="inlineStr">
        <is>
          <t>6c4npa</t>
        </is>
      </c>
      <c r="B3127" t="inlineStr">
        <is>
          <t>Hey Guys, need some motivation</t>
        </is>
      </c>
      <c r="C3127" t="inlineStr">
        <is>
          <t xml:space="preserve">So I'm a trans diabetic guy. I've been taking pretty shitty care of my diabetes for the last few years and now, I can't start hormone therapy until I get my a1c down (I'm currently at 11 :///) 
I just need some help here.  No one I know is diabetic. I feel so lost and helpless. I did just submit for a dexcom 5 today though! 
What helps motivate you guys? Besides the obvious being alive snd healthy stuff. How do you push through the hopelessness of having this disease for 20+ years and knowing it'll never get better?
Edit: you guys are all wonderful </t>
        </is>
      </c>
      <c r="D3127" t="n">
        <v>8</v>
      </c>
      <c r="E3127" t="n">
        <v>11</v>
      </c>
      <c r="F3127">
        <f>HYPERLINK("https://www.reddit.com/r/diabetes/comments/6c4npa/hey_guys_need_some_motivation/")</f>
        <v/>
      </c>
      <c r="G3127" t="inlineStr">
        <is>
          <t>2017-05-19 09:18:43</t>
        </is>
      </c>
      <c r="H3127" t="inlineStr">
        <is>
          <t>Type 1</t>
        </is>
      </c>
    </row>
    <row r="3128">
      <c r="A3128" t="inlineStr">
        <is>
          <t>6c7gwt</t>
        </is>
      </c>
      <c r="B3128" t="inlineStr">
        <is>
          <t>What if any alcohol can I have?</t>
        </is>
      </c>
      <c r="C3128" t="inlineStr">
        <is>
          <t xml:space="preserve">Hey, 
First time posting. I was diagnosed on 4/27 with type 2. I've been doing really well with my diet (no/low carb, keto). Im proud of myself for not slipping up yet. 
I'm going out for the first time to a bar tonight since  I found out. Can I have any alcohol? Willing to give it up, but let's be honest, I'd rather not. But also not willing to risk my health any longer. 
Thanks! </t>
        </is>
      </c>
      <c r="D3128" t="n">
        <v>7</v>
      </c>
      <c r="E3128" t="n">
        <v>30</v>
      </c>
      <c r="F3128">
        <f>HYPERLINK("https://www.reddit.com/r/diabetes/comments/6c7gwt/what_if_any_alcohol_can_i_have/")</f>
        <v/>
      </c>
      <c r="G3128" t="inlineStr">
        <is>
          <t>2017-05-19 17:24:13</t>
        </is>
      </c>
      <c r="H3128" t="inlineStr">
        <is>
          <t>Type 2</t>
        </is>
      </c>
    </row>
    <row r="3129">
      <c r="A3129" t="inlineStr">
        <is>
          <t>6c82eg</t>
        </is>
      </c>
      <c r="B3129" t="inlineStr">
        <is>
          <t>Worst food to bolus for? And tips of how you pull it off.</t>
        </is>
      </c>
      <c r="C3129" t="inlineStr">
        <is>
          <t>I'm just interested in what your top foods that you loathe having to bolus for, and when you do, how do you get it right?
**My top 5 with strategies (if you could call them that)**
* Alcohol
* Pizza - 20g per slice with a dual wave
* Rice - Rage bolus
* Asian food (especially Chinese take-away) - Guestimated rage bolus
* Anything made of pastry (sweet or savory) - Surely at least 30-40g per serve</t>
        </is>
      </c>
      <c r="D3129" t="n">
        <v>7</v>
      </c>
      <c r="E3129" t="n">
        <v>29</v>
      </c>
      <c r="F3129">
        <f>HYPERLINK("https://www.reddit.com/r/diabetes/comments/6c82eg/worst_food_to_bolus_for_and_tips_of_how_you_pull/")</f>
        <v/>
      </c>
      <c r="G3129" t="inlineStr">
        <is>
          <t>2017-05-19 19:33:53</t>
        </is>
      </c>
      <c r="H3129" t="inlineStr">
        <is>
          <t>Type 1</t>
        </is>
      </c>
    </row>
    <row r="3130">
      <c r="A3130" t="inlineStr">
        <is>
          <t>6ch2tu</t>
        </is>
      </c>
      <c r="B3130" t="inlineStr">
        <is>
          <t>Insulin infusion site issues with the pump.</t>
        </is>
      </c>
      <c r="C3130" t="inlineStr">
        <is>
          <t>Hello,
I am hoping someone could give me some advice or any info with some issues I am having with the pump. 
BACKGROUND
I am on the Medtronic 630g as of 4/18/17 (my first pump). I am a type 1 diabetic 30 YO that was diagnosed at age 20 from a autoimmune disease (stomach infection) that killed off the beta cells. I am 5'11" weighing in at 152 lbs. I just quit drinking two weeks ago. ISSUES The insulin isn't being full delivered to me I believe. I have been running very high the last week and a half, but not consistently. I found when I change the infusion set the cannula is bent slightly or there is blood inside the cannula like I hit a capillary. I have taken my time now changing the unit out. I move around for my job a ton but I don't think that's the culprit. Is it possible quitting alcohol that thinned my blood could affect the blood in the cannula? I also got a tattoo on my stomach and chest (just the outline) but I have had issues on the lower back and I go in spots on my stomach that aren't tattooed. I see my educator on Wednesday to ask her some questions. I have actually ran out of sensor units due to them ripping out or sweating off but Medtronic is on back order. If anyone has general advice too I would love to hear it. I apologize if this is isn't formatted the best. Thank you for all the info.</t>
        </is>
      </c>
      <c r="D3130" t="n">
        <v>3</v>
      </c>
      <c r="E3130" t="n">
        <v>4</v>
      </c>
      <c r="F3130">
        <f>HYPERLINK("https://www.reddit.com/r/diabetes/comments/6ch2tu/insulin_infusion_site_issues_with_the_pump/")</f>
        <v/>
      </c>
      <c r="G3130" t="inlineStr">
        <is>
          <t>2017-05-21 08:25:00</t>
        </is>
      </c>
      <c r="H3130" t="inlineStr">
        <is>
          <t>Type 1</t>
        </is>
      </c>
    </row>
    <row r="3131">
      <c r="A3131" t="inlineStr">
        <is>
          <t>6ckzms</t>
        </is>
      </c>
      <c r="B3131" t="inlineStr">
        <is>
          <t>Sensor Pain</t>
        </is>
      </c>
      <c r="C3131" t="inlineStr">
        <is>
          <t xml:space="preserve">Hey all! Just got started on the entire sensor and I'm on my third rotation of switching it out and reconnecting. With my second sensor change I noticed that it was super painful (almost like I could feel it moving?). It became hard to sit and sleep because I was so worried about it hurting. I went to take it out today and it was bent slightly and there was blood backed up. I know this isn't normal but should I have taken it out at the first moment of pain? I'm trying to conserve these sensors as they are expensive. Please help me navigate what is "normal" with the enlite sensor! </t>
        </is>
      </c>
      <c r="D3131" t="n">
        <v>3</v>
      </c>
      <c r="E3131" t="n">
        <v>6</v>
      </c>
      <c r="F3131">
        <f>HYPERLINK("https://www.reddit.com/r/diabetes/comments/6ckzms/sensor_pain/")</f>
        <v/>
      </c>
      <c r="G3131" t="inlineStr">
        <is>
          <t>2017-05-21 20:52:26</t>
        </is>
      </c>
      <c r="H3131" t="inlineStr">
        <is>
          <t>Type 1</t>
        </is>
      </c>
    </row>
    <row r="3132">
      <c r="A3132" t="inlineStr">
        <is>
          <t>6cp712</t>
        </is>
      </c>
      <c r="B3132" t="inlineStr">
        <is>
          <t>I have been on 5 different prescriptions in the past few months and none of them seem to positively impact my blood sugar; now my fasting numbers are higher than ever and my A1C is creeping up; what the heck is going on?</t>
        </is>
      </c>
      <c r="C3132" t="inlineStr">
        <is>
          <t xml:space="preserve">Before I get started, I just want to throw out that Metformin is not an option for me. I tried for 4 years across multiple brands and varieties, and in the end it almost put me in the hospital. I know it's an unpopular opinion on this board, but I cannot tolerate that drug . Trust me, I'd be on it if I could; it was the only thing that seemed to work :(
Anyway, since quitting metformin I have tried a variety of medications to get my BG under control: glimeperide, Januvia, Farxiga, and the latest is Jardia. My daily carb intake ranges from 100-120 gms total (stats brought to you by MFP :D ). My last A1C was in January, and in spite of the holiday goodies it had fallen from 7.1 to 6.8 in two months. Then I had to quit meformin, and everything went crazy. 
The next drug I tried was Januvia. I used to cruise between 110 and 120 between meals, and that number jumped by an average of 10 points. Even worse was that my postprandial spikes were exponentially worse; a meal that used to bump me up by 20 now shot me up by 60 or more, and I stayed high for hours. On top of that, the pills also had a side effect of anxiety (as diagnosed by my therapist) so after 2.5 weeks I stopped Januvia. 
Next came glimeperide although my endo wanted to pass it over because she was certain it would give me lows. Thankfully it did not, so I tried it for a month. It either worked amazingly or horribly; sometimes I would stay between 90 and 110 for days, but other times I could not get under 160 no matter what I tried. On glimeperide, I seemed to have no ability to recover from spikes; a carb-y meal or session of hard exercise would spike me up to 200 or more, and it could take days to fall again. I  even tried doubling the dosage, but it had no effect.
I only tried Farxiga for a week because I was only given that many days of a sample. However, it didn't seem to do anything. Now I'm on Jardia, and I know it's doing something because I peeing about twice as much as before. However, none of my tests have varied outside 140-160 since I've started this drug (including fasting). I guess stability is good, but I need that to be about 50 lower lol.
I feel like I'm starting to run out of options here. My endo tested for antibodies and we verified that I'm not T1 or T1.5, and she seems unconcerned about my numbers and apparent resistance to any medication. However, I refuse to relax until my A1C is under 6.5. For the immediate future I'll find a way to cut carbs to under 100 gms daily, and once I'm recovered from a minor foot injury I'll get back to daily exercise. I'm also considering temporary (aka a few months) of Keto to lose some excess body fat and hopefully lower insulin resistance, but that diet is really hard for me to maintain. 
Has anyone had an experience like this? Is there something I might be doing that is rendering the medication inactive? I have enough pills that I could try combining some and see how they work together, but all of my doctors think that will give me serious lows. Any advice? </t>
        </is>
      </c>
      <c r="D3132" t="n">
        <v>5</v>
      </c>
      <c r="E3132" t="n">
        <v>53</v>
      </c>
      <c r="F3132">
        <f>HYPERLINK("https://www.reddit.com/r/diabetes/comments/6cp712/i_have_been_on_5_different_prescriptions_in_the/")</f>
        <v/>
      </c>
      <c r="G3132" t="inlineStr">
        <is>
          <t>2017-05-22 11:48:37</t>
        </is>
      </c>
      <c r="H3132" t="inlineStr">
        <is>
          <t>Type 2</t>
        </is>
      </c>
    </row>
    <row r="3133">
      <c r="A3133" t="inlineStr">
        <is>
          <t>6cuyz9</t>
        </is>
      </c>
      <c r="B3133" t="inlineStr">
        <is>
          <t>Anyone having this problem with their Dexcom CGM?</t>
        </is>
      </c>
      <c r="C3133" t="inlineStr">
        <is>
          <t>Our young daughter just got hers. However, it intermittently stops communicating with the reader. Especially when she's sleeping. This is obviously really concerning to us. Any advice?</t>
        </is>
      </c>
      <c r="D3133" t="n">
        <v>1</v>
      </c>
      <c r="E3133" t="n">
        <v>10</v>
      </c>
      <c r="F3133">
        <f>HYPERLINK("https://www.reddit.com/r/diabetes/comments/6cuyz9/anyone_having_this_problem_with_their_dexcom_cgm/")</f>
        <v/>
      </c>
      <c r="G3133" t="inlineStr">
        <is>
          <t>2017-05-23 07:26:04</t>
        </is>
      </c>
      <c r="H3133" t="inlineStr">
        <is>
          <t>Type 1</t>
        </is>
      </c>
    </row>
    <row r="3134">
      <c r="A3134" t="inlineStr">
        <is>
          <t>6cv2rl</t>
        </is>
      </c>
      <c r="B3134" t="inlineStr">
        <is>
          <t>CGM</t>
        </is>
      </c>
      <c r="C3134" t="inlineStr">
        <is>
          <t>I've been type 2 for about 2 years now.  When I am able to stick to the low carb I seem okay, but it seems every place (grocery, restaurant) is loaded with carbs.  Like its almost unavoidable.  I am tired of poking myself all the time.  Do you think insurance would cover a CGM for me?  I am not on insulin, 1000mg metformin 2x a day and glimeprimeride (cant remember dose).  
Diabetes sucks.</t>
        </is>
      </c>
      <c r="D3134" t="n">
        <v>4</v>
      </c>
      <c r="E3134" t="n">
        <v>11</v>
      </c>
      <c r="F3134">
        <f>HYPERLINK("https://www.reddit.com/r/diabetes/comments/6cv2rl/cgm/")</f>
        <v/>
      </c>
      <c r="G3134" t="inlineStr">
        <is>
          <t>2017-05-23 07:43:40</t>
        </is>
      </c>
      <c r="H3134" t="inlineStr">
        <is>
          <t>Type 2</t>
        </is>
      </c>
    </row>
    <row r="3135">
      <c r="A3135" t="inlineStr">
        <is>
          <t>6cvghn</t>
        </is>
      </c>
      <c r="B3135" t="inlineStr">
        <is>
          <t>Has anyone here not been able to get a job due to your diabetes?</t>
        </is>
      </c>
      <c r="C3135" t="inlineStr">
        <is>
          <t xml:space="preserve">I applied for this job, got an interview, nailed the interview and I'm pretty sure I should be expecting a phone call today about the job. Unfortunately the job is a delivery driver for a distributing company and I'm pretty sure it's DOT regulated. Some of you may not know this but having diabetes you do not pass a DOT physical. 
I know that you can speak to your Endocronologist and they can sign some sort of waiver thing saying that you're in good health and not a safety concern, but that won't work for me for 2 reasons
1. My last endo visit, my A1c was higher then it's ever been in 10 years.
2. I just moved from NY to NC and now I don't have health insurance until I lock down a job that offers it
I'm just really hoping it turns out this job doesn't require the DOT physical </t>
        </is>
      </c>
      <c r="D3135" t="n">
        <v>2</v>
      </c>
      <c r="E3135" t="n">
        <v>7</v>
      </c>
      <c r="F3135">
        <f>HYPERLINK("https://www.reddit.com/r/diabetes/comments/6cvghn/has_anyone_here_not_been_able_to_get_a_job_due_to/")</f>
        <v/>
      </c>
      <c r="G3135" t="inlineStr">
        <is>
          <t>2017-05-23 08:44:31</t>
        </is>
      </c>
      <c r="H3135" t="inlineStr">
        <is>
          <t>Type 1</t>
        </is>
      </c>
    </row>
    <row r="3136">
      <c r="A3136" t="inlineStr">
        <is>
          <t>6cwe3a</t>
        </is>
      </c>
      <c r="B3136" t="inlineStr">
        <is>
          <t>Should I correct for a late long-acting dose (MDI)?</t>
        </is>
      </c>
      <c r="C3136" t="inlineStr">
        <is>
          <t xml:space="preserve">Was an hour late taking my Tresiba and by the time I injected I was at 167 with an up arrow.  Now about 40 minutes later I'm at 228 with an up arrow.  Do you think I should correct with Humalog?  And if yes should I have done it sooner/at the same time as taking the long-acting? </t>
        </is>
      </c>
      <c r="D3136" t="n">
        <v>1</v>
      </c>
      <c r="E3136" t="n">
        <v>9</v>
      </c>
      <c r="F3136">
        <f>HYPERLINK("https://www.reddit.com/r/diabetes/comments/6cwe3a/should_i_correct_for_a_late_longacting_dose_mdi/")</f>
        <v/>
      </c>
      <c r="G3136" t="inlineStr">
        <is>
          <t>2017-05-23 11:06:23</t>
        </is>
      </c>
      <c r="H3136" t="inlineStr">
        <is>
          <t>Type 1</t>
        </is>
      </c>
    </row>
    <row r="3137">
      <c r="A3137" t="inlineStr">
        <is>
          <t>6d47qk</t>
        </is>
      </c>
      <c r="B3137" t="inlineStr">
        <is>
          <t>Unable to get blood sugar down for the past ~12 hours. Scared &amp;amp; frustrated. Do I go to the hospital?</t>
        </is>
      </c>
      <c r="C3137" t="inlineStr">
        <is>
          <t>So I've been unable to get my blood sugar in the normal range for about 12 hours.  Last night at about 10:50 pm I was 7.1 (all measurements in mmol/l)
at 12:25am I was 11.7
2:24 am I was 17.2 so I took  3.5u and went back to sleep
woke up at 19.2, needed to eat and go about my day so I had two pieces of toast and took 12.5u
~2 hours later, just tested again and I'm still 17.1 so I changed my rapid acting vial and took 6.5u
This is so scary and frustrating.  Should I go to the emergency room or something?  What would you do?</t>
        </is>
      </c>
      <c r="D3137" t="n">
        <v>3</v>
      </c>
      <c r="E3137" t="n">
        <v>7</v>
      </c>
      <c r="F3137">
        <f>HYPERLINK("https://www.reddit.com/r/diabetes/comments/6d47qk/unable_to_get_blood_sugar_down_for_the_past_12/")</f>
        <v/>
      </c>
      <c r="G3137" t="inlineStr">
        <is>
          <t>2017-05-24 11:59:07</t>
        </is>
      </c>
      <c r="H3137" t="inlineStr">
        <is>
          <t>Type 1</t>
        </is>
      </c>
    </row>
    <row r="3138">
      <c r="A3138" t="inlineStr">
        <is>
          <t>6d48qc</t>
        </is>
      </c>
      <c r="B3138" t="inlineStr">
        <is>
          <t>A1c went from 7.9 to 11 feeling very overwhelmed</t>
        </is>
      </c>
      <c r="C3138" t="inlineStr">
        <is>
          <t xml:space="preserve">The last few months I've been getting help for depression and anxiety. I never realized the toll it took on me health wise until today. I know it's not an excuse but trying to give a shit while depressed is a huge battle. I'm feeling mad at myself and a bit hopeless. Has anyone else dealt with this and more importantly gotten back to where you should be? </t>
        </is>
      </c>
      <c r="D3138" t="n">
        <v>2</v>
      </c>
      <c r="E3138" t="n">
        <v>7</v>
      </c>
      <c r="F3138">
        <f>HYPERLINK("https://www.reddit.com/r/diabetes/comments/6d48qc/a1c_went_from_79_to_11_feeling_very_overwhelmed/")</f>
        <v/>
      </c>
      <c r="G3138" t="inlineStr">
        <is>
          <t>2017-05-24 12:03:22</t>
        </is>
      </c>
      <c r="H3138" t="inlineStr">
        <is>
          <t>Type 1</t>
        </is>
      </c>
    </row>
    <row r="3139">
      <c r="A3139" t="inlineStr">
        <is>
          <t>6d7r31</t>
        </is>
      </c>
      <c r="B3139" t="inlineStr">
        <is>
          <t>Crippling lows more than once a day</t>
        </is>
      </c>
      <c r="C3139" t="inlineStr">
        <is>
          <t xml:space="preserve">My wife has crippling lows more than once a day. By crippling, I mean she cannot check or read her blood sugars, or that she cannot drink juice of her own accord (the cup needs to be held for her).  Does anyone have any advice? This has been going on for 15+ years, and is devastating for the kids, and brutal on our relationship.
EDIT: for my entire adult life, I've dealt with this, and it's been really tough on me, as well as my wife. The help and perspectives I've received here have been truly amazing. And most of this isn't new to me. But my family all question my judgement and normalize too. You all need to keep on keeping on doing this. It's a tremendous service. </t>
        </is>
      </c>
      <c r="D3139" t="n">
        <v>6</v>
      </c>
      <c r="E3139" t="n">
        <v>104</v>
      </c>
      <c r="F3139">
        <f>HYPERLINK("https://www.reddit.com/r/diabetes/comments/6d7r31/crippling_lows_more_than_once_a_day/")</f>
        <v/>
      </c>
      <c r="G3139" t="inlineStr">
        <is>
          <t>2017-05-24 22:45:28</t>
        </is>
      </c>
      <c r="H3139" t="inlineStr">
        <is>
          <t>Type 1</t>
        </is>
      </c>
    </row>
    <row r="3140">
      <c r="A3140" t="inlineStr">
        <is>
          <t>6d9yo8</t>
        </is>
      </c>
      <c r="B3140" t="inlineStr">
        <is>
          <t>Quick question about pump basal insulin.</t>
        </is>
      </c>
      <c r="C3140" t="inlineStr">
        <is>
          <t xml:space="preserve">I have a strong suspicion that my blood glucose should naturally fall to my renal threshold if my basals are set correctly. And that it should only stay steady when my kidneys aren't leaking glucose.
As it is right now, if my BGL is above 250, my blood glucose tends to stay steady over many hours, but it if's anywhere near the normal range, it slowly drifts upward to about 200. I have also found it extremely difficult to get my BGL below 180. Otherwise, I have almost *NO* ketones in my blood. That is 0.0mmol/l, 0.1mmol/l after a particularly fatty meal, no higher.
My endo says that if my basal insulin keeps my BGL steady at *any* level, then I am to not increase my dosage and won't prescribe me more insulin. But I have an increadibly strong suspicion that he is full of crap. 
Is my thinking pertaining to the BGL fall when over renal threshold due to glucose leaking into urine correct? I am so conflicted about increasing my dosage, because a professional says otherwise. But all literature I can find supports my understanding. Please advise.
Edit: Massive thanks to everyone who pointed me in the right direction. I started looking through the books I had and it seems that truly BGL should drop slightly on good basal dosage if it's above the renal threshold and below a threshold where diminished insulin sensitivity takes over. Here's what Gary Scheiner writes in his book "Think Like a Pancreas": https://imgur.com/a/7F6bm. </t>
        </is>
      </c>
      <c r="D3140" t="n">
        <v>1</v>
      </c>
      <c r="E3140" t="n">
        <v>35</v>
      </c>
      <c r="F3140">
        <f>HYPERLINK("https://www.reddit.com/r/diabetes/comments/6d9yo8/quick_question_about_pump_basal_insulin/")</f>
        <v/>
      </c>
      <c r="G3140" t="inlineStr">
        <is>
          <t>2017-05-25 07:30:40</t>
        </is>
      </c>
      <c r="H3140" t="inlineStr">
        <is>
          <t>Type 1</t>
        </is>
      </c>
    </row>
    <row r="3141">
      <c r="A3141" t="inlineStr">
        <is>
          <t>6da0ig</t>
        </is>
      </c>
      <c r="B3141" t="inlineStr">
        <is>
          <t>Just Had My First HBA1C Test Results!</t>
        </is>
      </c>
      <c r="C3141" t="inlineStr">
        <is>
          <t>So today I got my results for my first HBA1C test since being diagnosed as Type 1 Diabetic. My results were 5.4 which I was told was good but online it says for people without Diabetes it's between 4 &amp;amp; 5.6 so how do I have 5.4?</t>
        </is>
      </c>
      <c r="D3141" t="n">
        <v>1</v>
      </c>
      <c r="E3141" t="n">
        <v>5</v>
      </c>
      <c r="F3141">
        <f>HYPERLINK("https://www.reddit.com/r/diabetes/comments/6da0ig/just_had_my_first_hba1c_test_results/")</f>
        <v/>
      </c>
      <c r="G3141" t="inlineStr">
        <is>
          <t>2017-05-25 07:39:14</t>
        </is>
      </c>
      <c r="H3141" t="inlineStr">
        <is>
          <t>Type 1</t>
        </is>
      </c>
    </row>
    <row r="3142">
      <c r="A3142" t="inlineStr">
        <is>
          <t>6dasre</t>
        </is>
      </c>
      <c r="B3142" t="inlineStr">
        <is>
          <t>Lasting effects after keto?</t>
        </is>
      </c>
      <c r="C3142" t="inlineStr">
        <is>
          <t>It seems like so many of you have had significant success with keto. I'm wondering, have any of you tried keto and then stopped? Did the positive effects of short-term keto have any significant impact on your long-term management? Or, must you adopt a keto-based diet essentially for the rest of your life to see continued benefit?</t>
        </is>
      </c>
      <c r="D3142" t="n">
        <v>2</v>
      </c>
      <c r="E3142" t="n">
        <v>8</v>
      </c>
      <c r="F3142">
        <f>HYPERLINK("https://www.reddit.com/r/diabetes/comments/6dasre/lasting_effects_after_keto/")</f>
        <v/>
      </c>
      <c r="G3142" t="inlineStr">
        <is>
          <t>2017-05-25 09:40:19</t>
        </is>
      </c>
      <c r="H3142" t="inlineStr">
        <is>
          <t>Type 2</t>
        </is>
      </c>
    </row>
    <row r="3143">
      <c r="A3143" t="inlineStr">
        <is>
          <t>6dbc4j</t>
        </is>
      </c>
      <c r="B3143" t="inlineStr">
        <is>
          <t>What should I do until I get insurance back?</t>
        </is>
      </c>
      <c r="C3143" t="inlineStr">
        <is>
          <t>Hello. I'm starting to think I may have t2 diabetes. As I feel like my blood sugar is fairly low at times, drinking sugary stuff helps it and recently I've started working and the patterns are even more obvious. I'm fat and also I get the shakes, I pee a lot, and really I just think I have it.
Anyway I don't have insurance and I need to know how to deal with this until I do (I will hopefully have it back in under a month). Also I'm fat (266.6lbs (devil numbers in there too... figures)) and I'm 5 9, and trying to lose weight.
In the meantime is there a guide to telling (or guessing as close as possible) to if I do have diabetes, and how to manage it until I can see a real doctor?</t>
        </is>
      </c>
      <c r="D3143" t="n">
        <v>2</v>
      </c>
      <c r="E3143" t="n">
        <v>13</v>
      </c>
      <c r="F3143">
        <f>HYPERLINK("https://www.reddit.com/r/diabetes/comments/6dbc4j/what_should_i_do_until_i_get_insurance_back/")</f>
        <v/>
      </c>
      <c r="G3143" t="inlineStr">
        <is>
          <t>2017-05-25 11:03:24</t>
        </is>
      </c>
      <c r="H3143" t="inlineStr">
        <is>
          <t>Type 2</t>
        </is>
      </c>
    </row>
    <row r="3144">
      <c r="A3144" t="inlineStr">
        <is>
          <t>6de52e</t>
        </is>
      </c>
      <c r="B3144" t="inlineStr">
        <is>
          <t>Understanding the psychology of CGM</t>
        </is>
      </c>
      <c r="C3144" t="inlineStr">
        <is>
          <t>I'm really intereted in the psychology of using a CGM for other Type 1s.  I know mentally it has an effect on me and I don't use it all the time.  The more I use it, the less I obsess over it and use it as a tool instead of a game!  
How do you manage obsessing, checking constantly, getting competitive with yourself, carb-guilting to prevent spikes, etc. How do you feel when you're in between sensors or off the CGM?</t>
        </is>
      </c>
      <c r="D3144" t="n">
        <v>3</v>
      </c>
      <c r="E3144" t="n">
        <v>6</v>
      </c>
      <c r="F3144">
        <f>HYPERLINK("https://www.reddit.com/r/diabetes/comments/6de52e/understanding_the_psychology_of_cgm/")</f>
        <v/>
      </c>
      <c r="G3144" t="inlineStr">
        <is>
          <t>2017-05-25 19:09:34</t>
        </is>
      </c>
      <c r="H3144" t="inlineStr">
        <is>
          <t>Type 1</t>
        </is>
      </c>
    </row>
    <row r="3145">
      <c r="A3145" t="inlineStr">
        <is>
          <t>6de6w8</t>
        </is>
      </c>
      <c r="B3145" t="inlineStr">
        <is>
          <t>I am going on a trip with my Type I girl and I'm so damn excited.</t>
        </is>
      </c>
      <c r="C3145" t="inlineStr">
        <is>
          <t>Hey guys, I have been lurking for a while but I thought I might share the good news here and let you know about my plan. 
I really like this girl and I swear she's the best thing that happened to me. We just met a few months back and we will go to different countries in a few months so I don't know what the future holds but she is by far the best girl I've met in my life. 
I'm taking her to this nice home stay in the middle of a forested area a few hours away from the city. We will mainly stay in and have wine with cheese, watch documentaries and just enjoy each other's company. 
She loves dogs and elephants and this place has both. We'll go to an elephant camp and a Buddhist monastery and there might be a chance to do some river rafting too. 
She wants to see the sunrise so I've got a viewpoint lined up and we'll have some pot brownies as well. I'll warn her about the munchies so she can suitably prepare for it. She'll probably say no to the brownies, I think but that's okay. 
Is there anything else I need to prepare for? I know the six hour ride might be uncomfortable for her and we need to take breaks. Will the wine dehydrate her and lower her sugar level? Is there anything I can pack that will make the trip easier for her?
Any help would be most appreciated, folks. Corny pickup lines that work for you guys would be too ;)</t>
        </is>
      </c>
      <c r="D3145" t="n">
        <v>5</v>
      </c>
      <c r="E3145" t="n">
        <v>2</v>
      </c>
      <c r="F3145">
        <f>HYPERLINK("https://www.reddit.com/r/diabetes/comments/6de6w8/i_am_going_on_a_trip_with_my_type_i_girl_and_im/")</f>
        <v/>
      </c>
      <c r="G3145" t="inlineStr">
        <is>
          <t>2017-05-25 19:20:20</t>
        </is>
      </c>
      <c r="H3145" t="inlineStr">
        <is>
          <t>Type 1</t>
        </is>
      </c>
    </row>
    <row r="3146">
      <c r="A3146" t="inlineStr">
        <is>
          <t>6dl83h</t>
        </is>
      </c>
      <c r="B3146" t="inlineStr">
        <is>
          <t>Looking for New Endo Lehigh Valley PA Area</t>
        </is>
      </c>
      <c r="C3146" t="inlineStr">
        <is>
          <t>Hoping for some suggestions, and/or pointed in the right direction if I could be looking someplace else. 
My situation is, I have been with my Endo for a few years now. I went after a lot of years not having one, due to lack of insurance. So I just kind of went with it, and it was ok to a point. I did notice that things kept being pushed on me, like trying their over expensive diet shake program or you really should have a CGM. I finally relented, and got pushed into a CGM. That is another story, but I have a hate/kind of ok relationship with it. 
Well after that now every time I talk to someone there, the pump has been pushed on me along with other insulin's that were causing to much havoc with me. The fact that I am uncomfortable with it, and with some good reasons don't seem to stop the pressure. And let's not forget to mention, that I have seen the Endo only a couple of times, and seen several of his PA's and such a few times also. Never more then twice in a row. 
So a lot of it would be fine, if they bothered to keep good notes and a big thing actually listening me. I am one, I am good to try what a doctor says, but I have been doing this for so many years now and I know my body. That when I have concerns, I want to advise them, and would normally expect them to take it into consideration. Of course that doesn't happen here, I have raised issues with very high blood sugars starting after I stopped taking one of the pills they were giving me due to a side effect that couldn't be ignored. No one bothered to write this down, to take concern about it. Rather, they were more concerned about my lows at night which are not all the time and I have a general control over when it happens. Another issue which I have come across, and perhaps some other type 1 women here know what I am talking about. I have noticed my insulin stops being sensitive two weeks before my period. I have looked, I know I am not the only one out there with it. I have mentioned that many times to several of the PA's, and nope nothing written down no one going well perhaps we should try figuring this out. Only thing I get, let's throw more insulin at it but with a more expensive machine (pump). 
I had raised these concerns with them, writing an email asking for someone to work and listen to me. All I got from it is the Endo looking at my blood sugars, and then of course not bothering to look back at notes or asking or remembering what I have told them in the past what I do. They tell me to do something, that is close to what I do anyways and in some ways makes the times when I would get low sugars at night, even harder to deal with because I am taking more insulin at the normal times. Oh, and charge me for appointments, because they requested I send my sugars every two weeks so the doctor can look at them. So everytime I send them, they charge me. That never happened in the past. 
I am really done with these guys, I want a doctor that will hear me and work with me and not push an agenda. I am really trying to do better for myself, but it is difficult when I feel like I am continually saying the same thing and no one acknowledges it. 
Sorry for the long post, I am just very frustrated and want to move on. Any help is appreciated.</t>
        </is>
      </c>
      <c r="D3146" t="n">
        <v>2</v>
      </c>
      <c r="E3146" t="n">
        <v>6</v>
      </c>
      <c r="F3146">
        <f>HYPERLINK("https://www.reddit.com/r/diabetes/comments/6dl83h/looking_for_new_endo_lehigh_valley_pa_area/")</f>
        <v/>
      </c>
      <c r="G3146" t="inlineStr">
        <is>
          <t>2017-05-26 19:09:36</t>
        </is>
      </c>
      <c r="H3146" t="inlineStr">
        <is>
          <t>Type 1</t>
        </is>
      </c>
    </row>
    <row r="3147">
      <c r="A3147" t="inlineStr">
        <is>
          <t>6dllna</t>
        </is>
      </c>
      <c r="B3147" t="inlineStr">
        <is>
          <t>Looking for a good iPhone app</t>
        </is>
      </c>
      <c r="C3147" t="inlineStr">
        <is>
          <t>I'm looking for an app to download that can help me. I would like to be able to just put all of my information in it and it tell me how much insulin to do when I tell it my blood sugar and how many carbs I am eating, it would be a bonus if i could just lookup the food instead of manually inputting the carbs also maybe an insulin on board calculator. If anybody has had any success with an app with these types of features it would help a lot.</t>
        </is>
      </c>
      <c r="D3147" t="n">
        <v>1</v>
      </c>
      <c r="E3147" t="n">
        <v>2</v>
      </c>
      <c r="F3147">
        <f>HYPERLINK("https://www.reddit.com/r/diabetes/comments/6dllna/looking_for_a_good_iphone_app/")</f>
        <v/>
      </c>
      <c r="G3147" t="inlineStr">
        <is>
          <t>2017-05-26 20:35:25</t>
        </is>
      </c>
      <c r="H3147" t="inlineStr">
        <is>
          <t>Type 1</t>
        </is>
      </c>
    </row>
    <row r="3148">
      <c r="A3148" t="inlineStr">
        <is>
          <t>6dniai</t>
        </is>
      </c>
      <c r="B3148" t="inlineStr">
        <is>
          <t>For the folks who don't have a Dexcom and take their one dose of basal insulin at night, how do you know how much?</t>
        </is>
      </c>
      <c r="C3148" t="inlineStr">
        <is>
          <t>This can change frequently everyday depending on the amount of exercise in a day or how many carbs eaten throughout the day. So many factors which is the reason I ask.</t>
        </is>
      </c>
      <c r="D3148" t="n">
        <v>5</v>
      </c>
      <c r="E3148" t="n">
        <v>7</v>
      </c>
      <c r="F3148">
        <f>HYPERLINK("https://www.reddit.com/r/diabetes/comments/6dniai/for_the_folks_who_dont_have_a_dexcom_and_take/")</f>
        <v/>
      </c>
      <c r="G3148" t="inlineStr">
        <is>
          <t>2017-05-27 05:45:18</t>
        </is>
      </c>
      <c r="H3148" t="inlineStr">
        <is>
          <t>Type 1</t>
        </is>
      </c>
    </row>
    <row r="3149">
      <c r="A3149" t="inlineStr">
        <is>
          <t>6dnxzq</t>
        </is>
      </c>
      <c r="B3149" t="inlineStr">
        <is>
          <t>Worst Birthday Present</t>
        </is>
      </c>
      <c r="C3149" t="inlineStr">
        <is>
          <t>So last night our friends had a bond fire. Smores, beer, and good times were had well into the night. Due to said smores, misgauging a much earlier dinner, and an overly aggressive correction bolus later before bed, my surprise present to my wife at 2 am was her having to drag my ass out of bed for a glycogen shot.
&amp;amp;nbsp;
Luckily, the alcohol was out of my system by then, but I still ended up eating nearly a quarter box of thin mints, three spoonfuls of nutella, and a few glucose tabs. Out of all of that, I can remember the cookies and one spoonful.
&amp;amp;nbsp;
She also apparently made a call for an ambulance, but I had come to from the glycogen before she hung up and was able to dismiss them before the operator ended his list of questions. I've still got that mule-kick headache from everything, but I'll take that over an enraged significant other. All and all, I'm both very thankful and proud of how she managed to drag my ass back into the land of the living.</t>
        </is>
      </c>
      <c r="D3149" t="n">
        <v>27</v>
      </c>
      <c r="E3149" t="n">
        <v>15</v>
      </c>
      <c r="F3149">
        <f>HYPERLINK("https://www.reddit.com/r/diabetes/comments/6dnxzq/worst_birthday_present/")</f>
        <v/>
      </c>
      <c r="G3149" t="inlineStr">
        <is>
          <t>2017-05-27 07:24:05</t>
        </is>
      </c>
      <c r="H3149" t="inlineStr">
        <is>
          <t>Type 1</t>
        </is>
      </c>
    </row>
    <row r="3150">
      <c r="A3150" t="inlineStr">
        <is>
          <t>6ds7rp</t>
        </is>
      </c>
      <c r="B3150" t="inlineStr">
        <is>
          <t>How do I use U-200 Humalog insulin pens? Just got them, not sure how to work them.</t>
        </is>
      </c>
      <c r="C3150" t="inlineStr">
        <is>
          <t>If I take 10 units of U-100 do I take 5 units of U-200 or just dial in 10 units like normal because the pen calculates all that stuff for me?
Same for the U-300 Toujeo I got too</t>
        </is>
      </c>
      <c r="D3150" t="n">
        <v>4</v>
      </c>
      <c r="E3150" t="n">
        <v>6</v>
      </c>
      <c r="F3150">
        <f>HYPERLINK("https://www.reddit.com/r/diabetes/comments/6ds7rp/how_do_i_use_u200_humalog_insulin_pens_just_got/")</f>
        <v/>
      </c>
      <c r="G3150" t="inlineStr">
        <is>
          <t>2017-05-27 22:22:30</t>
        </is>
      </c>
      <c r="H3150" t="inlineStr">
        <is>
          <t>Type 1</t>
        </is>
      </c>
    </row>
    <row r="3151">
      <c r="A3151" t="inlineStr">
        <is>
          <t>6dvdjc</t>
        </is>
      </c>
      <c r="B3151" t="inlineStr">
        <is>
          <t>Shift work and humalog / Lantis</t>
        </is>
      </c>
      <c r="C3151" t="inlineStr">
        <is>
          <t xml:space="preserve">Hi there!
My partner is T1 and due to start night work tomorrow. I was just wondering if anybody has advice on how to use his pens. 
Tonight he'll sleep as normal and then tomorrow he'll rest for most of the day before going to work at 8PM tomorrow night. He gets 1 break (about 1am) and finishes "officially" at 8 (but they tend to let them home an hour early). 
Because he won't be sleeping tomorrow night, does he just not use his Lantis as he will be eating during the night and then use it when he gets home to go to sleep? It's his first time doing shift work and we're a little confused as to what to do.
Thanks in advance for any advice :) </t>
        </is>
      </c>
      <c r="D3151" t="n">
        <v>5</v>
      </c>
      <c r="E3151" t="n">
        <v>10</v>
      </c>
      <c r="F3151">
        <f>HYPERLINK("https://www.reddit.com/r/diabetes/comments/6dvdjc/shift_work_and_humalog_lantis/")</f>
        <v/>
      </c>
      <c r="G3151" t="inlineStr">
        <is>
          <t>2017-05-28 11:38:59</t>
        </is>
      </c>
      <c r="H3151" t="inlineStr">
        <is>
          <t>Type 1</t>
        </is>
      </c>
    </row>
    <row r="3152">
      <c r="A3152" t="inlineStr">
        <is>
          <t>6dy6b5</t>
        </is>
      </c>
      <c r="B3152" t="inlineStr">
        <is>
          <t>I'm so tired of being afraid of my MDI</t>
        </is>
      </c>
      <c r="C3152" t="inlineStr">
        <is>
          <t>Just need to vent. I'm so afraid of needles. Pushed through that and worked up to taking my glucose tests on my own back before I was on insulin, and when it was time to start insulin I did it even though it was scary.
But I feel like my fear of the injections is only getting worse every time. I'm getting so afraid and frustrated and inside my own head, and then when it's time for the next one I get afraid of getting afraid/frustrated/inside my head again and it just makes it worse. I've had trouble with clumsy hands from the start of MDI, this fear and panic is just making my hands shake and get sweaty and make everything so much worse.
I'm getting moved on to a pump within a week or two and I know I can hang in there until then but I really just wish I could get over this panic.</t>
        </is>
      </c>
      <c r="D3152" t="n">
        <v>4</v>
      </c>
      <c r="E3152" t="n">
        <v>20</v>
      </c>
      <c r="F3152">
        <f>HYPERLINK("https://www.reddit.com/r/diabetes/comments/6dy6b5/im_so_tired_of_being_afraid_of_my_mdi/")</f>
        <v/>
      </c>
      <c r="G3152" t="inlineStr">
        <is>
          <t>2017-05-28 21:11:22</t>
        </is>
      </c>
      <c r="H3152" t="inlineStr">
        <is>
          <t>Type 1</t>
        </is>
      </c>
    </row>
    <row r="3153">
      <c r="A3153" t="inlineStr">
        <is>
          <t>6dz4go</t>
        </is>
      </c>
      <c r="B3153" t="inlineStr">
        <is>
          <t>Diagnosed with Type 2 Diabetes last week... any tips?</t>
        </is>
      </c>
      <c r="C3153" t="inlineStr">
        <is>
          <t xml:space="preserve">I'm a 38 year old overweight woman who was diagnosed with Type 2 Diabetes last week. Dr. started me on 500mg Metformin twice a day &amp;amp; have a recheck in 3 months. My A1C jumped from 6.1 in January to 6.9 2 weeks ago. I'm a horrible bad picky eater &amp;amp; all this is overwhelming. Any tips would be greatly appreciated. </t>
        </is>
      </c>
      <c r="D3153" t="n">
        <v>5</v>
      </c>
      <c r="E3153" t="n">
        <v>13</v>
      </c>
      <c r="F3153">
        <f>HYPERLINK("https://www.reddit.com/r/diabetes/comments/6dz4go/diagnosed_with_type_2_diabetes_last_week_any_tips/")</f>
        <v/>
      </c>
      <c r="G3153" t="inlineStr">
        <is>
          <t>2017-05-29 01:24:27</t>
        </is>
      </c>
      <c r="H3153" t="inlineStr">
        <is>
          <t>Type 2</t>
        </is>
      </c>
    </row>
    <row r="3154">
      <c r="A3154" t="inlineStr">
        <is>
          <t>6e3fql</t>
        </is>
      </c>
      <c r="B3154" t="inlineStr">
        <is>
          <t>MiniMed 670G Vs DIYS closed loop systems</t>
        </is>
      </c>
      <c r="C3154" t="inlineStr">
        <is>
          <t xml:space="preserve">I am a recently diagnosed T1 and my endo has told me that he thinks I would be a great candidate for a pump.  This is very exciting but I am getting anxiety trying to decide which route to go.  
I am certain that I want to us some form of a closed loop system so as far as i can tell that leaves me with two options. The minimed 670g or a DIYS system using OPENAPS or similar.  I know the 670 is still in trial phase but it is expected to hit the market soon so I know that is a potential option for me.  
I am sure that no one has used both but I am hoping that anyone with experience with either could share how they feel about the current system they are using.  
Personally I am very excited about the minimed but I have heard that the systems aims to keep your BG at around 120 and i would prefer to be able to adjust that myself.  Does anyone know if that is possible?
Finally I just wanted to thank everyone that contributes to this sub.  I have found it incredibly helpful and hopeful that you take the time to share your experience with others.  If you are still reading at this point thanks for being a part of this community.
TLDR:  Anyone with experience with minimed 670g or other closed loop system share what you like and dislike about your set up.  
</t>
        </is>
      </c>
      <c r="D3154" t="n">
        <v>3</v>
      </c>
      <c r="E3154" t="n">
        <v>9</v>
      </c>
      <c r="F3154">
        <f>HYPERLINK("https://www.reddit.com/r/diabetes/comments/6e3fql/minimed_670g_vs_diys_closed_loop_systems/")</f>
        <v/>
      </c>
      <c r="G3154" t="inlineStr">
        <is>
          <t>2017-05-29 15:44:50</t>
        </is>
      </c>
      <c r="H3154" t="inlineStr">
        <is>
          <t>Type 1</t>
        </is>
      </c>
    </row>
    <row r="3155">
      <c r="A3155" t="inlineStr">
        <is>
          <t>6e5ppb</t>
        </is>
      </c>
      <c r="B3155" t="inlineStr">
        <is>
          <t>Pump sites and trouser lines</t>
        </is>
      </c>
      <c r="C3155" t="inlineStr">
        <is>
          <t>I keep stressing over where to place my sites because everywhere seems to interact with trousers! Am I bizarre for wearing my trousers here on my body https://i.imgur.com/3c7u7ES.jpg 
https://i.imgur.com/XvPAsKh.jpg
- and of course they slip down a bit or get pulled up a bit over the course of a day so they're likely to bump against pump sites above or below the waist band.
This feels really stupid to ask but I'm struggling to work out how much it matters that jeans rub against sites? I haven't tried my legs or upper but yet because I don't wear baggy jeans and am worried about the site getting fucked up but I assume I am being paranoid? Also I wear a rucksack every day for work which makes me worry about using my back for sites!
This has been a bigger adjustment than I predicted in some ways. I'm also reacting a bit to the Quickset cannulae, but when I tried the Sure-T it felt like something was stabbing me intermittently the whole time.</t>
        </is>
      </c>
      <c r="D3155" t="n">
        <v>1</v>
      </c>
      <c r="E3155" t="n">
        <v>10</v>
      </c>
      <c r="F3155">
        <f>HYPERLINK("https://www.reddit.com/r/diabetes/comments/6e5ppb/pump_sites_and_trouser_lines/")</f>
        <v/>
      </c>
      <c r="G3155" t="inlineStr">
        <is>
          <t>2017-05-29 23:43:30</t>
        </is>
      </c>
      <c r="H3155" t="inlineStr">
        <is>
          <t>Type 1</t>
        </is>
      </c>
    </row>
    <row r="3156">
      <c r="A3156" t="inlineStr">
        <is>
          <t>6e8b1u</t>
        </is>
      </c>
      <c r="B3156" t="inlineStr">
        <is>
          <t>Doctor prescribed me Metformin to assist with weight loss. Thoughts/advice?</t>
        </is>
      </c>
      <c r="C3156" t="inlineStr">
        <is>
          <t>Hey gang. I went to my doctor the other day to follow up on some test results and received some dope news. My lipids, kidney function, cholesterol are all normal, and my a1c is 6.8%! I have had diabetes for 14 years and this is the first time it has ever been under 7 so I am super happy about that! The only thing my doctor mentioned is that I need to get my weight down. My diet is pretty good, and I have been losing weight, but I'm still about 40 lbs overweight so he prescribed me Metformin to help. What do you guys think about that? Pros/cons? I haven't started it yet although I have the prescription filled and ready to go.</t>
        </is>
      </c>
      <c r="D3156" t="n">
        <v>3</v>
      </c>
      <c r="E3156" t="n">
        <v>57</v>
      </c>
      <c r="F3156">
        <f>HYPERLINK("https://www.reddit.com/r/diabetes/comments/6e8b1u/doctor_prescribed_me_metformin_to_assist_with/")</f>
        <v/>
      </c>
      <c r="G3156" t="inlineStr">
        <is>
          <t>2017-05-30 09:12:56</t>
        </is>
      </c>
      <c r="H3156" t="inlineStr">
        <is>
          <t>Type 1</t>
        </is>
      </c>
    </row>
    <row r="3157">
      <c r="A3157" t="inlineStr">
        <is>
          <t>6eayxn</t>
        </is>
      </c>
      <c r="B3157" t="inlineStr">
        <is>
          <t>37YoM, Newly diagnosed LADA, First Post Yay!</t>
        </is>
      </c>
      <c r="C3157" t="inlineStr">
        <is>
          <t xml:space="preserve">Hello all,
I've been lurking this subreddit for a bit and thought I'd introduce myself, ask for any suggestions and tell you my journey so far (so its a bit long). It all started for me back in 2014. I had not been feeling quite like myself for a while and lost my primary when he went out of my employers network. After some hee-hawing around trying to find a new one I was able to get an appointment but it was in mid-Oct. and that was months away. Gradually I felt more and more "off", drinking constantly and peeing even more, lack of energy, forgetting my glasses but hey I see alright." I should of seen all these signs, by the way I'm ashamed to admit it but I'm a RN of over 15 years. What brought me to our hospitals ER was the fact that I  had went month feeling like this and at the beginning of Oct. was doing a 12 hour shift and I felt like I had been drinking alcohol half the day. So I ended up going to the ER and my glucose was 548 with an A1C of 12 even. I'm 5'6" and was 135 lbs at that time. They gave me some insulin and a couple liters of fluids because they said I was severely dehydrated and then told me, "oh your type 2." I got a script for Metformin and was sent on my way and told to follow up with my new MD in a week. I was followed by her and did initially respond to the metformin, then had to increase the dose and even with excessive carb restriction was starting to get crazy highs with anything like a slice of wheat bread. Fast forward to the beginning of this month and I've went to my previous 135 lbs to 110 lbs soaking wet. Felt tired all the freaking time and she told me in the office, "I don't know what to do with you, I'm used to yelling at fat people to lose weight." She referred me to an Endo then and I was fortunate enough that they had an opening that very day. They took one look at me there and said your probably not type 2 and ordered a bunch of blood work. My c-peptide came back low at 0.6 and after almost a week my GAD antibodies came back positive. So right now I'm on Lantus one dose at night and a Novolog dose calculated by premeal glucose levels. The Endo told me that I need to gain weight and told me to eat 60-75 grams of carbs per meal. I still have mid 200's 2 hours after meals so I feel like there is a lot of tweaking that needs to be done still. I see them again in 2 weeks and am suppose to send my logs to them every week. So there you have it, that's where I'm at now, lord only knows how bad I've trashed my body to get to this point but at least I'm with a specialist now.
   I've been highly interested in the CGM's mentioned on this sub (never knew these existed, seen plenty of pumps though) and wonder if eventually when I do have some fat on me if it would be ideal to get one while trying to find what regime I need. Basically waiting for the ol' pancreas to crap out on me now.
</t>
        </is>
      </c>
      <c r="D3157" t="n">
        <v>6</v>
      </c>
      <c r="E3157" t="n">
        <v>6</v>
      </c>
      <c r="F3157">
        <f>HYPERLINK("https://www.reddit.com/r/diabetes/comments/6eayxn/37yom_newly_diagnosed_lada_first_post_yay/")</f>
        <v/>
      </c>
      <c r="G3157" t="inlineStr">
        <is>
          <t>2017-05-30 16:11:05</t>
        </is>
      </c>
      <c r="H3157" t="inlineStr">
        <is>
          <t>Type 1.5/LADA</t>
        </is>
      </c>
    </row>
    <row r="3158">
      <c r="A3158" t="inlineStr">
        <is>
          <t>6ehytl</t>
        </is>
      </c>
      <c r="B3158" t="inlineStr">
        <is>
          <t>T2 in the Peace Corps?</t>
        </is>
      </c>
      <c r="C3158" t="inlineStr">
        <is>
          <t>I am obese and don't have many symptoms of pre-diabetes or diabetes other than being a tired student and having dark inner thighs but I can't help but be extremely anxious about it as I am hoping to apply for the Peace Corps in August. I've recently started a strict diet which is why I'm thinking about this now. Does anyone know the protocol for T2 in the Peace Corps? I know they seem to be pretty strict for T1 but any knowledge would really help as I've worked myself up into quite a panic as I won't be able to see a doctor for a couple of weeks.</t>
        </is>
      </c>
      <c r="D3158" t="n">
        <v>1</v>
      </c>
      <c r="E3158" t="n">
        <v>0</v>
      </c>
      <c r="F3158">
        <f>HYPERLINK("https://www.reddit.com/r/diabetes/comments/6ehytl/t2_in_the_peace_corps/")</f>
        <v/>
      </c>
      <c r="G3158" t="inlineStr">
        <is>
          <t>2017-05-31 14:04:16</t>
        </is>
      </c>
      <c r="H3158" t="inlineStr">
        <is>
          <t>Type 2</t>
        </is>
      </c>
    </row>
    <row r="3159">
      <c r="A3159" t="inlineStr">
        <is>
          <t>6eiavq</t>
        </is>
      </c>
      <c r="B3159" t="inlineStr">
        <is>
          <t>Constant changing in dosage...</t>
        </is>
      </c>
      <c r="C3159" t="inlineStr">
        <is>
          <t>Well, we just got out of the hospital after my girlfriend was in, yet again, five days for DKA. Nothing new here, but we are conflicted on what to do...
Every single visit, typically on the last day, the hospital's Endocrinologist comes in and changes up her dosage...
Example:
Normal: 2units for every 50mg/dL over 150mg/dL
Change: 1unit for every 50mg/dL over 150mg/dL
Normal: 30units of Lantus once in the morning
Change: 25units of Lantus once in the morning
Normal: 1unit for 10g of carbs
Change: 1unit for 15g of carbs
I understand they are trying to lower her insulin intake, but this ultimately affects her, average, high blood sugars. Now, she isn't good at keeping her blood sugar stable, but the lower we go the less effective. We are now down to:
1unit for every 50mg/dL over 150mg/dL
20units of Lantus once a day
And 1unit for 15g of carbs
She never speaks up about anything, and I've had enough. I'm gonna say something, if and when, we go next. Any suggestions? Should we go back to her normal dosage and slowly taper down?</t>
        </is>
      </c>
      <c r="D3159" t="n">
        <v>7</v>
      </c>
      <c r="E3159" t="n">
        <v>16</v>
      </c>
      <c r="F3159">
        <f>HYPERLINK("https://www.reddit.com/r/diabetes/comments/6eiavq/constant_changing_in_dosage/")</f>
        <v/>
      </c>
      <c r="G3159" t="inlineStr">
        <is>
          <t>2017-05-31 14:56:34</t>
        </is>
      </c>
      <c r="H3159" t="inlineStr">
        <is>
          <t>Type 1</t>
        </is>
      </c>
    </row>
    <row r="3160">
      <c r="A3160" t="inlineStr">
        <is>
          <t>6ejn1w</t>
        </is>
      </c>
      <c r="B3160" t="inlineStr">
        <is>
          <t>Unexplained Highs Stress Related?</t>
        </is>
      </c>
      <c r="C3160" t="inlineStr">
        <is>
          <t>My last A1C a month ago was 6.8. My doctor wants me under 7, which I've been able to maintain for about 4 years. I started with an A1C of 14!  All of a sudden I'm getting reading between 250-300 first thing in the morning. My normal morning readings are 130-160. My numbers remain high all day. I started a statin a month ago. I stopped taking it a few days ago to see if that was the cause, but it isn't going down. I'm under extreme stress and anxiety right now for several reasons. Has stress ever raised your blood sugar  well over 100 points? I haven't done anything else differently.</t>
        </is>
      </c>
      <c r="D3160" t="n">
        <v>2</v>
      </c>
      <c r="E3160" t="n">
        <v>7</v>
      </c>
      <c r="F3160">
        <f>HYPERLINK("https://www.reddit.com/r/diabetes/comments/6ejn1w/unexplained_highs_stress_related/")</f>
        <v/>
      </c>
      <c r="G3160" t="inlineStr">
        <is>
          <t>2017-05-31 18:50:44</t>
        </is>
      </c>
      <c r="H3160" t="inlineStr">
        <is>
          <t>Type 2</t>
        </is>
      </c>
    </row>
    <row r="3161">
      <c r="A3161" t="inlineStr">
        <is>
          <t>6ejn4g</t>
        </is>
      </c>
      <c r="B3161" t="inlineStr">
        <is>
          <t>25, found out I have T2</t>
        </is>
      </c>
      <c r="C3161" t="inlineStr">
        <is>
          <t xml:space="preserve">This comes as no surprise to me as Ive eaten an incredible unhealthy diet. With plenty of soda and fast food before work. It's still slowly sinking into me that I now have a life time disease. Honestly it's scaring me the more I think of it and I now face the same challenge millions are dealing with. 
I don't want to take this without a fight. I'm well aware I can reverse this with proper excecise and a good diet. My A1C is 13.3 (!). My doc straight up told me I was on the way to the hospital if I don't change now and fast. 
I have a few questions ...
I am insured so I don't have plenty of money to throw around here. 
Is a blood sugar test machine with strips absolutely necessary? 
The way I see it... I am ultimately going to eat the same diet with or without the machine. Why spend extra if I'm going to be committed to change everything ? 
Also T2 can be reversed to where having normalized blood sugar levels is possible. But I would still have diabities. But why is that? Does that mean if I were to... Let's say go a week eating junk food thatd I'd be right back at high sugar levels ? 
Lastly
Even though I should avoid sugars. Is it perfectly fine to have fruits (not fruit juice) ? 
Any other tips and advice ? Thank you everyone. I feel much comfort being here with you rather than feeling alone in my family where I'm the only one with this. </t>
        </is>
      </c>
      <c r="D3161" t="n">
        <v>6</v>
      </c>
      <c r="E3161" t="n">
        <v>16</v>
      </c>
      <c r="F3161">
        <f>HYPERLINK("https://www.reddit.com/r/diabetes/comments/6ejn4g/25_found_out_i_have_t2/")</f>
        <v/>
      </c>
      <c r="G3161" t="inlineStr">
        <is>
          <t>2017-05-31 18:51:07</t>
        </is>
      </c>
      <c r="H3161" t="inlineStr">
        <is>
          <t>Type 2</t>
        </is>
      </c>
    </row>
    <row r="3162">
      <c r="A3162" t="inlineStr">
        <is>
          <t>6elq7u</t>
        </is>
      </c>
      <c r="B3162" t="inlineStr">
        <is>
          <t>Insulin not working?</t>
        </is>
      </c>
      <c r="C3162" t="inlineStr">
        <is>
          <t>So i ate a bit more for lunch than i was supposed to. Ok, a lot more. Did a blood test and hit 26 mmol. Ok, nothing to drastic, i'll just inject a correction dose.
Used my normal correction dose, continued on with my day, checking regularly.
It's been an hour now, and my blood sugar has only gone up. now sitting at 31 mmol.
what do
Update: threw out that insulin and grabbed some more from the fridge. Took a dose that is more than my normal correction. Grabbed jelly beans and a new pack of test strips. Ready to weather the storm.</t>
        </is>
      </c>
      <c r="D3162" t="n">
        <v>12</v>
      </c>
      <c r="E3162" t="n">
        <v>18</v>
      </c>
      <c r="F3162">
        <f>HYPERLINK("https://www.reddit.com/r/diabetes/comments/6elq7u/insulin_not_working/")</f>
        <v/>
      </c>
      <c r="G3162" t="inlineStr">
        <is>
          <t>2017-06-01 02:53:53</t>
        </is>
      </c>
      <c r="H3162" t="inlineStr">
        <is>
          <t>Type 1</t>
        </is>
      </c>
    </row>
    <row r="3163">
      <c r="A3163" t="inlineStr">
        <is>
          <t>6enwln</t>
        </is>
      </c>
      <c r="B3163" t="inlineStr">
        <is>
          <t>Super weird experience with stuck highs.</t>
        </is>
      </c>
      <c r="C3163" t="inlineStr">
        <is>
          <t>So today was a really weird day for me. 
I woke up at about 250. I figured I had a pretty good day yesterday calorie wise, so I decided to skip breakfast and do a correction bolus.
Lunchtime - 350. Okay, this is weird, I check for ketones - none in urine, but it's really weird to have BGL behave this way, I check for ketones in blood - 0.1mmol/l - not significant at all. Having already skipped breakfast and contemplating skipping lunch, I change my insulin pump insulin and the infusion set. Doesn't look like there's a problem with insulin delivery due to ketones, but I'm growing anxious. I eat a very light lunch (usually 50g carbs, now 10g), not much fats either, basically something like 400 calories overall. Inject the usual correction bolus + mealtime bolus for 10g. I work near laboratory equipment, so I do a CRP test - slightly elevated, but no significant infection or inflammation/bleeding - the marker is not very specific. 
Three hours pass and I'm at 300 still. By this time I've already injected about 13% of all my TDD as correction boluses, it's very weird. I'm not particularly thirsty and although urinating normally, there's not much glucose excreted (glucose in urine &amp;lt;2.5mmol/l). Besides, my GFR, creatine, BUN etc are very good. So everything is very unusual. I do a full correction bolus (now the correction boluses are 18% of my TDD).
It's dinner time and I'm back to about 250. Nothing makes sense. I decide to just not care for it and eat a carb based (faster digesting, 70g) dinner so I'd have time to correct before bed. Now it's 3.5hrs after my dinner and my BGL is 105 and there's 5-10mmol/l glucose in my urine. But basically my dose worked 100% as it should have.
I went all out today to find what was affecting my insulin factor or whatever,  but nothing, *NOTHING* helped bring my BGL down until I ate more carbs than I ever do.
I am so confused, I don't think I've ever been this lost with T1. And since I'm aiming for &amp;lt;8.5 A1C in June, these days really are troubling. Does anyone have any input?</t>
        </is>
      </c>
      <c r="D3163" t="n">
        <v>7</v>
      </c>
      <c r="E3163" t="n">
        <v>7</v>
      </c>
      <c r="F3163">
        <f>HYPERLINK("https://www.reddit.com/r/diabetes/comments/6enwln/super_weird_experience_with_stuck_highs/")</f>
        <v/>
      </c>
      <c r="G3163" t="inlineStr">
        <is>
          <t>2017-06-01 09:32:46</t>
        </is>
      </c>
      <c r="H3163" t="inlineStr">
        <is>
          <t>Type 1</t>
        </is>
      </c>
    </row>
    <row r="3164">
      <c r="A3164" t="inlineStr">
        <is>
          <t>6ep11y</t>
        </is>
      </c>
      <c r="B3164" t="inlineStr">
        <is>
          <t>My girlfriend (23) has diabetes and has never been drunk. Is there anything she needs to know about diabetes/alcohol as she starts drinking?</t>
        </is>
      </c>
      <c r="C3164" t="inlineStr">
        <is>
          <t>**Some background, if you're curious:**
My girlfriend is 23, and comes from a very sheltered situation. Home-schooled, strict Catholic family, etc. It's only in the past year or so that she's really started to get out, make friends, and have some experiences outside of her parents and siblings.
She's had alcohol before in very small amounts, but has never been drunk or close to it. She's said that her reasons, so far, for not drinking are primarily 1) she's never been much of a partier, and 2) she's worried about how it will affect her insulin/diabetes.
**My question:**
So, obviously, I'm having a lot of fun introducing my lady to new experiences. Mostly this pertains to social gatherings, concerts, bars, etc. But alcohol has come up as one thing on that list that should also be broached at some point.
I'm not really looking to "get her drunk" (okay, maybe just a little). But it's bound to come up at some point.
Is there anything we/she needs to know, about getting drunk and what affect that might have on her diabetes?
I assume having a glass of wine or two won't cause any problems, but I'm really in the dark here. What if we start doing jello shots at a club? I don't want to get into any situation that might be medically dangerous.</t>
        </is>
      </c>
      <c r="D3164" t="n">
        <v>14</v>
      </c>
      <c r="E3164" t="n">
        <v>31</v>
      </c>
      <c r="F3164">
        <f>HYPERLINK("https://www.reddit.com/r/diabetes/comments/6ep11y/my_girlfriend_23_has_diabetes_and_has_never_been/")</f>
        <v/>
      </c>
      <c r="G3164" t="inlineStr">
        <is>
          <t>2017-06-01 12:16:00</t>
        </is>
      </c>
      <c r="H3164" t="inlineStr">
        <is>
          <t>Type 1</t>
        </is>
      </c>
    </row>
    <row r="3165">
      <c r="A3165" t="inlineStr">
        <is>
          <t>6ex710</t>
        </is>
      </c>
      <c r="B3165" t="inlineStr">
        <is>
          <t>Update: Doctor prescribed me Metformin to assist with weight loss. Thoughts/advice?</t>
        </is>
      </c>
      <c r="C3165" t="inlineStr">
        <is>
          <t xml:space="preserve">Link to original post: https://www.reddit.com/r/diabetes/comments/6e8b1u/doctor_prescribed_me_metformin_to_assist_with/
Ok so, I decided to give it a go and I definitely regret the shit out of that decision. I was prescribed 1000mg 2x daily and I'm pretty sure that was way too much. I started it on Tuesday, and I felt okay. I was feeling a bit lethargic and headachy, but then yesterday, I started to experience intense stomach cramping, nausea, diarrhea and vomiting. I did a little research and learned that some of these symptoms are of the norm, but once I started puking, I freaked out. My doctor isn't in on Fridays, so I plan to call him on Monday to see what's going on, but until I speak to him, I'm going to hold off on taking the pills. Is this normal though? I was symptomatic of something called lactic acidosis which is a side effect of too high a metformin dosage. Since some of you are doctors, or may have experience with this sort of thing, what do you think happened and why? 
</t>
        </is>
      </c>
      <c r="D3165" t="n">
        <v>5</v>
      </c>
      <c r="E3165" t="n">
        <v>11</v>
      </c>
      <c r="F3165">
        <f>HYPERLINK("https://www.reddit.com/r/diabetes/comments/6ex710/update_doctor_prescribed_me_metformin_to_assist/")</f>
        <v/>
      </c>
      <c r="G3165" t="inlineStr">
        <is>
          <t>2017-06-02 14:09:40</t>
        </is>
      </c>
      <c r="H3165" t="inlineStr">
        <is>
          <t>Type 1</t>
        </is>
      </c>
    </row>
    <row r="3166">
      <c r="A3166" t="inlineStr">
        <is>
          <t>6f0x3a</t>
        </is>
      </c>
      <c r="B3166" t="inlineStr">
        <is>
          <t>Is it possible to be diagnosed with Type 1 diabetes mistakenly?</t>
        </is>
      </c>
      <c r="C3166" t="inlineStr">
        <is>
          <t>Hi, just received a letter from the hospital, where I was tested at, which confirms that I am a type 1 diabetic person.
Just wanted to ask whether it seems like I am type 1 given my circumstances.
Firstly, I am skinny and I am a teen and there are around 4 members in my family, who have diabetes. But, to my knowledge, they are all type 2 and they're skinny as well. However, they were diagnosed when they were middle aged. Given that my family nembers are type 2, shouldn't i be genetically prone to type 2?
I found out I was diabetic when I randomly asked my mother to test me on a glusose testing meter. I seriously never thought I was diabetic; I have some symptons, such as sleeping all the time, feeling thirsty etc. but I thought it was normal.  
From what I've read around on the internet, some type 1s , diagnosed at a later age, were diagnosed after they went to hospital. I am not sure, whether it was because I discovered it super early, but I never felt affected in anyway that could threaten my life. My blood sugar, when I first tested it was only around 9.3 and it went down to 5.8, once, after a day of exercising.
I pretty much thought that being type 1 without taking insulin was life threatening. I don't seem to be very affected thus far but if I am diagnosed as type 1, I will probably have to take injections or the pump.
So, I am wondering whether it's possible that I am type 1 (could i be type 2) and I am just super lucky things haven't progessed to a dangerous stage. I don't know much about type 1 at all, in fact I am probably most familiar with type 2 given my mother has it. 
Does anyone have a similar experience, where they don't feel so affected, but are diagnosed as type 1?
~~~~~~
EDIT:// Just wanted to write here (if any of you come back to this thread), thank you for all your comments. I was so confused about the hospital results; since i didn't understand what the tests were for. I now feel better equipped to ask a doctor questions about my condition</t>
        </is>
      </c>
      <c r="D3166" t="n">
        <v>12</v>
      </c>
      <c r="E3166" t="n">
        <v>36</v>
      </c>
      <c r="F3166">
        <f>HYPERLINK("https://www.reddit.com/r/diabetes/comments/6f0x3a/is_it_possible_to_be_diagnosed_with_type_1/")</f>
        <v/>
      </c>
      <c r="G3166" t="inlineStr">
        <is>
          <t>2017-06-03 05:20:21</t>
        </is>
      </c>
      <c r="H3166" t="inlineStr">
        <is>
          <t>Type 1</t>
        </is>
      </c>
    </row>
    <row r="3167">
      <c r="A3167" t="inlineStr">
        <is>
          <t>6f3md3</t>
        </is>
      </c>
      <c r="B3167" t="inlineStr">
        <is>
          <t>Can people share their insulin doses on keto with TID? Still getting lows and highs</t>
        </is>
      </c>
      <c r="C3167" t="inlineStr">
        <is>
          <t>Looking for keto + blood sugar tips, but if people use temp basals, decreased basals, have snacks at certain times etc. could be helpful.  I have a pump.
I've been on keto for 5 days, but I still get lows when I correct before bed.  I still get highs when I don't correct for having minimal carb meals (I assume protein and hormones or some crap).  But still my bg hasn't gone above 270 the entire time and stayed between 120-160 for most of the day, which is pretty awesome considering I've had 300, 400, 500, and even HI bgs within the past few weeks.
Thanks everyone.</t>
        </is>
      </c>
      <c r="D3167" t="n">
        <v>5</v>
      </c>
      <c r="E3167" t="n">
        <v>7</v>
      </c>
      <c r="F3167">
        <f>HYPERLINK("https://www.reddit.com/r/diabetes/comments/6f3md3/can_people_share_their_insulin_doses_on_keto_with/")</f>
        <v/>
      </c>
      <c r="G3167" t="inlineStr">
        <is>
          <t>2017-06-03 14:27:53</t>
        </is>
      </c>
      <c r="H3167" t="inlineStr">
        <is>
          <t>Type 1</t>
        </is>
      </c>
    </row>
    <row r="3168">
      <c r="A3168" t="inlineStr">
        <is>
          <t>6fa5mt</t>
        </is>
      </c>
      <c r="B3168" t="inlineStr">
        <is>
          <t>Newly Diagnosed T1</t>
        </is>
      </c>
      <c r="C3168" t="inlineStr">
        <is>
          <t>Hi, I'm in my mid 30s and was recently diagnosed T1 in the fall. I've had one A1C test so far that was 5.7, and everything is pretty under control so far. So last night I accidentally ripped off about a quarter of my small toe nail. It bled a few drops of blood, nothing crazy though. I soaked my foot and have been putting neosporin on it with a bandaid. Today the spot is a little red but thats about it. The initial cut is very tiny to the point where I can't see it. Is this something I can vigilantly monitor on my own or is a doctor visit in order? Thanks Reddit!</t>
        </is>
      </c>
      <c r="D3168" t="n">
        <v>17</v>
      </c>
      <c r="E3168" t="n">
        <v>9</v>
      </c>
      <c r="F3168">
        <f>HYPERLINK("https://www.reddit.com/r/diabetes/comments/6fa5mt/newly_diagnosed_t1/")</f>
        <v/>
      </c>
      <c r="G3168" t="inlineStr">
        <is>
          <t>2017-06-04 15:11:40</t>
        </is>
      </c>
      <c r="H3168" t="inlineStr">
        <is>
          <t>Type 1</t>
        </is>
      </c>
    </row>
    <row r="3169">
      <c r="A3169" t="inlineStr">
        <is>
          <t>6fblq5</t>
        </is>
      </c>
      <c r="B3169" t="inlineStr">
        <is>
          <t>extended intense exercise?</t>
        </is>
      </c>
      <c r="C3169" t="inlineStr">
        <is>
          <t xml:space="preserve">I took my 10yo T1 on a 40 mile bike ride this weekend and made an interesting observation.....
So, we started the day with a good breakfast, and he spiked pretty high, but as soon as we started biking, it pulled him down pretty good, and we stopped for snacks several times. 20 miles in, we stopped for lunch, which he bolused for, turned around and headed back.
Pretty soon he started pulling low again, so I gave him some snacks -- a pretty hefty amount of snacks, including about half a clif bar, and some nature valley s'more things, probably a good 40 carbs or so.....
He stayed around the low 90's all the way back, maybe another hour and a half of biking.
Then we stopped and loaded the bikes on the car and headed off for some ice cream. Pretty soon, his blood sugar hit around 200 -- and this was before the ice cream!
I figured 3 units for the ice cream, and another 2 to cover what was left of his snack, and that turns out to have hit the mark pretty good.
The question is really about the weird rise after we stopped -- am I correct in thinking that this is the snack, which kept him from crashing during exercise, but once the exercise stopped, it sent him soaring?
Something to think about next time we do a long bike ride. He's wanting to train for a century -- maybe a bit ambitious, but we'll try for a metric century this August.
</t>
        </is>
      </c>
      <c r="D3169" t="n">
        <v>1</v>
      </c>
      <c r="E3169" t="n">
        <v>9</v>
      </c>
      <c r="F3169">
        <f>HYPERLINK("https://www.reddit.com/r/diabetes/comments/6fblq5/extended_intense_exercise/")</f>
        <v/>
      </c>
      <c r="G3169" t="inlineStr">
        <is>
          <t>2017-06-04 19:53:38</t>
        </is>
      </c>
      <c r="H3169" t="inlineStr">
        <is>
          <t>Type 1</t>
        </is>
      </c>
    </row>
    <row r="3170">
      <c r="A3170" t="inlineStr">
        <is>
          <t>6feb0o</t>
        </is>
      </c>
      <c r="B3170" t="inlineStr">
        <is>
          <t>Sadness and Anger at Type 1 Diabetes</t>
        </is>
      </c>
      <c r="C3170" t="inlineStr">
        <is>
          <t>Hello all. I have newly started therapy for some self help and was discussing feelings towards my Type 1. I have had it for 10 years and have not ever really dealt with the anger and sadness that comes along with having a lifelong disease.  It is leaching over to other areas of my life.  My therapist suggest I reach out to the group to see how other people cope.
How do you cope with your anger, frustration and sadness about being a diabetic?  What keeps you positive?</t>
        </is>
      </c>
      <c r="D3170" t="n">
        <v>49</v>
      </c>
      <c r="E3170" t="n">
        <v>71</v>
      </c>
      <c r="F3170">
        <f>HYPERLINK("https://www.reddit.com/r/diabetes/comments/6feb0o/sadness_and_anger_at_type_1_diabetes/")</f>
        <v/>
      </c>
      <c r="G3170" t="inlineStr">
        <is>
          <t>2017-06-05 06:56:24</t>
        </is>
      </c>
      <c r="H3170" t="inlineStr">
        <is>
          <t>Type 1</t>
        </is>
      </c>
    </row>
    <row r="3171">
      <c r="A3171" t="inlineStr">
        <is>
          <t>6ffu7j</t>
        </is>
      </c>
      <c r="B3171" t="inlineStr">
        <is>
          <t>Has anyone really figured out sports / working out and type 1 diabetes?</t>
        </is>
      </c>
      <c r="C3171" t="inlineStr">
        <is>
          <t>I was diagnosed 5,5 years ago and slowly but steadily have been putting on some weight. My blood sugars are great, especially with the help of my CGM and keto diet, but working out is still a total pain.
It's starting to be a real nuisance where I can't even ride a bike or do something moderately active without getting drenched in sweat and/or going hypo. 
What do you guys do? Any experience or tips are very welcome.</t>
        </is>
      </c>
      <c r="D3171" t="n">
        <v>3</v>
      </c>
      <c r="E3171" t="n">
        <v>8</v>
      </c>
      <c r="F3171">
        <f>HYPERLINK("https://www.reddit.com/r/diabetes/comments/6ffu7j/has_anyone_really_figured_out_sports_working_out/")</f>
        <v/>
      </c>
      <c r="G3171" t="inlineStr">
        <is>
          <t>2017-06-05 10:54:38</t>
        </is>
      </c>
      <c r="H3171" t="inlineStr">
        <is>
          <t>Type 1</t>
        </is>
      </c>
    </row>
    <row r="3172">
      <c r="A3172" t="inlineStr">
        <is>
          <t>6fg72f</t>
        </is>
      </c>
      <c r="B3172" t="inlineStr">
        <is>
          <t>I keep hitting veins with my Lantus and almost dying. Am I doing something wrong?</t>
        </is>
      </c>
      <c r="C3172" t="inlineStr">
        <is>
          <t>I've only been diabetic a short time.  In that time, I've injected my lantus into my legs and hit a vein 3 times.  First time, I bottomed out at 28 before I started going back up.  Last time, I bottomed out at 42, and today, I caught it at 48.  I rarely hear of others having trouble with this.  Am I doing something wrong?  I have started taking 2 doses of Lantus instead of 1 to minimize risk, and I've been injecting into my buttcheeks.  
I'm planning on getting on a pump soon, does anyone have problems with this on a pump?</t>
        </is>
      </c>
      <c r="D3172" t="n">
        <v>10</v>
      </c>
      <c r="E3172" t="n">
        <v>22</v>
      </c>
      <c r="F3172">
        <f>HYPERLINK("https://www.reddit.com/r/diabetes/comments/6fg72f/i_keep_hitting_veins_with_my_lantus_and_almost/")</f>
        <v/>
      </c>
      <c r="G3172" t="inlineStr">
        <is>
          <t>2017-06-05 11:48:21</t>
        </is>
      </c>
      <c r="H3172" t="inlineStr">
        <is>
          <t>Type 1</t>
        </is>
      </c>
    </row>
    <row r="3173">
      <c r="A3173" t="inlineStr">
        <is>
          <t>6fhei2</t>
        </is>
      </c>
      <c r="B3173" t="inlineStr">
        <is>
          <t>Type 2 - H1C is in upper 9. Help?</t>
        </is>
      </c>
      <c r="C3173" t="inlineStr">
        <is>
          <t xml:space="preserve">I am currently looseing weight. I weigh 340 and I am 6'1" (man age 28). I have an a1c of 9.5 and was put on 4 medications. (Ill post latter the names). I need help trying to get my numbers down. (I can only check my numbers 1 time a day because my insurance does not cover that many strips). What should I do? I cut out bread and pasta, cut out soda, no sugar in my coffee, and only a little in my tea on the rare time I have it. What else can I do? I am worried also about my teeth, every time I go to the dentist they tell me, my teeth will get worse due to high sugars. my teeth are already wiggly!!! I live in NJ and am on Medicaid (should get a new tester) 
Sorry about the rant. </t>
        </is>
      </c>
      <c r="D3173" t="n">
        <v>11</v>
      </c>
      <c r="E3173" t="n">
        <v>10</v>
      </c>
      <c r="F3173">
        <f>HYPERLINK("https://www.reddit.com/r/diabetes/comments/6fhei2/type_2_h1c_is_in_upper_9_help/")</f>
        <v/>
      </c>
      <c r="G3173" t="inlineStr">
        <is>
          <t>2017-06-05 14:50:48</t>
        </is>
      </c>
      <c r="H3173" t="inlineStr">
        <is>
          <t>Type 2</t>
        </is>
      </c>
    </row>
    <row r="3174">
      <c r="A3174" t="inlineStr">
        <is>
          <t>6fhry2</t>
        </is>
      </c>
      <c r="B3174" t="inlineStr">
        <is>
          <t>After over a decade with T1, find myself slipping - how do I find my diabetes routine?</t>
        </is>
      </c>
      <c r="C3174" t="inlineStr">
        <is>
          <t>Hi All,
I am an adult in my early 40's with type 1 diabetes. For the last 10 years, I feel like I've been almost, but not quite, in control of my numbers. I just took a new job managing several support teams (much larger scope than I've ever handled), and the late night calls and pressure seems to have screwed up my already tenuous diabetic routine. All this "fire fighting" has brought bad habits - snacking, bolusing without testing, sometimes even forgetting to bolus and correcting afterwards. I am regularly surprised (and ashamed) to see my tests coming back in the 300's.
I am one of those people that gets lost in what they are doing and lose all sense of time. I get around this usually by setting alarms, having others remind me, etc. Any suggestions or best practices? Please feel free to direct me to the FAQ if there is one.
- What is the best system to alarm myself to test? I have a pump and an Android phone, I could use either
- How do I get myself to review my scores and check for trends? Should I set an alarm? Is that the sort of thing I could post on Reddit for a couple weeks to get me over the hump? Should I get a friend to be my diabetic confidant?
Thanks,
Joshua</t>
        </is>
      </c>
      <c r="D3174" t="n">
        <v>2</v>
      </c>
      <c r="E3174" t="n">
        <v>2</v>
      </c>
      <c r="F3174">
        <f>HYPERLINK("https://www.reddit.com/r/diabetes/comments/6fhry2/after_over_a_decade_with_t1_find_myself_slipping/")</f>
        <v/>
      </c>
      <c r="G3174" t="inlineStr">
        <is>
          <t>2017-06-05 15:51:44</t>
        </is>
      </c>
      <c r="H3174" t="inlineStr">
        <is>
          <t>Type 1</t>
        </is>
      </c>
    </row>
    <row r="3175">
      <c r="A3175" t="inlineStr">
        <is>
          <t>6fmhjl</t>
        </is>
      </c>
      <c r="B3175" t="inlineStr">
        <is>
          <t>Traveling in South America!</t>
        </is>
      </c>
      <c r="C3175" t="inlineStr">
        <is>
          <t>Hey everyone! Does anyone have experience traveling in South or Central America? I'll be spending the semester there next fall (the rainy season) and need any advice you can offer! I'm particularly worried about how humidity might affect my pump. Any tips to reduce moisture's effect on my pump and cgm?</t>
        </is>
      </c>
      <c r="D3175" t="n">
        <v>0</v>
      </c>
      <c r="E3175" t="n">
        <v>4</v>
      </c>
      <c r="F3175">
        <f>HYPERLINK("https://www.reddit.com/r/diabetes/comments/6fmhjl/traveling_in_south_america/")</f>
        <v/>
      </c>
      <c r="G3175" t="inlineStr">
        <is>
          <t>2017-06-06 08:28:52</t>
        </is>
      </c>
      <c r="H3175" t="inlineStr">
        <is>
          <t>Type 1</t>
        </is>
      </c>
    </row>
    <row r="3176">
      <c r="A3176" t="inlineStr">
        <is>
          <t>6folr0</t>
        </is>
      </c>
      <c r="B3176" t="inlineStr">
        <is>
          <t>Recently diagnosed with Type 1, still having a fairly hard time.</t>
        </is>
      </c>
      <c r="C3176" t="inlineStr">
        <is>
          <t>I have been diagnosed with Type 1 a little over two weeks ago. I have learned how to take care of myself and am still increasing my dosage of Lantus. I finally woke up in range this morning for the first time. I thought that it would make me feel excited, but today I have felt more sad and depressed than I have since my diagnosis. I hate the idea that I will never have my old life back and that I have to wake up earlier to make food for the day or plan what time I am going to eat what. I feel so stuck already. My husband has been very supportive and changed his diet as well. When I try to tell him how I feel, he says he is eating the same way and doesn't understand why I am upset. He doesn't understand that I HAVE to eat this way and have no choice in the matter. I am either hungry, or my stomach hurts from eating. This shit sucks.
I also just started my masters program yesterday, which I had hoped would take my mind off of how I am feeling, but it hasn't. I just needed to vent to some people who understand and hate this disease as much as I do.</t>
        </is>
      </c>
      <c r="D3176" t="n">
        <v>20</v>
      </c>
      <c r="E3176" t="n">
        <v>29</v>
      </c>
      <c r="F3176">
        <f>HYPERLINK("https://www.reddit.com/r/diabetes/comments/6folr0/recently_diagnosed_with_type_1_still_having_a/")</f>
        <v/>
      </c>
      <c r="G3176" t="inlineStr">
        <is>
          <t>2017-06-06 13:39:37</t>
        </is>
      </c>
      <c r="H3176" t="inlineStr">
        <is>
          <t>Type 1</t>
        </is>
      </c>
    </row>
    <row r="3177">
      <c r="A3177" t="inlineStr">
        <is>
          <t>6fq5bu</t>
        </is>
      </c>
      <c r="B3177" t="inlineStr">
        <is>
          <t>Hi, recently diagnosed with type 1, doctor says i should look for a cgm</t>
        </is>
      </c>
      <c r="C3177" t="inlineStr">
        <is>
          <t xml:space="preserve">sorry for my english, i am from mexico and after long time seeing  my doctor he say that to me,  and i dont know where start, because i live near the border is easy to me look on stores in USA or buy on amazon and it ship to my po box, but all the options i found look so expensive, any help or advice ? </t>
        </is>
      </c>
      <c r="D3177" t="n">
        <v>3</v>
      </c>
      <c r="E3177" t="n">
        <v>7</v>
      </c>
      <c r="F3177">
        <f>HYPERLINK("https://www.reddit.com/r/diabetes/comments/6fq5bu/hi_recently_diagnosed_with_type_1_doctor_says_i/")</f>
        <v/>
      </c>
      <c r="G3177" t="inlineStr">
        <is>
          <t>2017-06-06 18:01:52</t>
        </is>
      </c>
      <c r="H3177" t="inlineStr">
        <is>
          <t>Type 1</t>
        </is>
      </c>
    </row>
    <row r="3178">
      <c r="A3178" t="inlineStr">
        <is>
          <t>6fqg2x</t>
        </is>
      </c>
      <c r="B3178" t="inlineStr">
        <is>
          <t>Blood got sucked into my insulin pen - has this happened to anyone here?</t>
        </is>
      </c>
      <c r="C3178" t="inlineStr">
        <is>
          <t>I've been using the pre-filled insulin pens for about 3 years now and this is the first time this has ever happened.  I gave myself a normal Lantus dose and noticed that when I was removing the used needle there was a cloud of red blood floating inside the pen.
I have another week's worth of insulin left in this pen and I really don't want to have to toss it out, but I honestly have no idea if a small amount of my own blood in there is harmful or not.  Anyone have any idea?</t>
        </is>
      </c>
      <c r="D3178" t="n">
        <v>13</v>
      </c>
      <c r="E3178" t="n">
        <v>10</v>
      </c>
      <c r="F3178">
        <f>HYPERLINK("https://www.reddit.com/r/diabetes/comments/6fqg2x/blood_got_sucked_into_my_insulin_pen_has_this/")</f>
        <v/>
      </c>
      <c r="G3178" t="inlineStr">
        <is>
          <t>2017-06-06 18:57:45</t>
        </is>
      </c>
      <c r="H3178" t="inlineStr">
        <is>
          <t>Type 1</t>
        </is>
      </c>
    </row>
    <row r="3179">
      <c r="A3179" t="inlineStr">
        <is>
          <t>6fqnvj</t>
        </is>
      </c>
      <c r="B3179" t="inlineStr">
        <is>
          <t>The last 24 hours monitoring my 9 y.o. daughter's t1d.</t>
        </is>
      </c>
      <c r="C3179" t="inlineStr">
        <is>
          <t>Awakened at 12:30 AM by the CGM, which was vibrating, even though the setting was normal. It read 42 URGENT LOW, even though a finger stick read 163. I had just replaced the Dexcom the previous evening. Hard to get back to bed after that scare. 
This evening: daughter (who has lost dessert privileges) admits to me that she gave herself insulin so she could have something sweet. The problem is, she gave her 70-pound self 3.85 units rather than a single unit by accident! "I got distracted!" she admitted. Belly full of juice now, I've got my eyes glued to her numbers as she stabilizes. I scared her before she went to bed, and my wife consoled her. 
Has anyone had to deal with either the Dexcom issue or, scarily, a rebellious kid problem in a similar vein?</t>
        </is>
      </c>
      <c r="D3179" t="n">
        <v>2</v>
      </c>
      <c r="E3179" t="n">
        <v>18</v>
      </c>
      <c r="F3179">
        <f>HYPERLINK("https://www.reddit.com/r/diabetes/comments/6fqnvj/the_last_24_hours_monitoring_my_9_yo_daughters_t1d/")</f>
        <v/>
      </c>
      <c r="G3179" t="inlineStr">
        <is>
          <t>2017-06-06 19:36:47</t>
        </is>
      </c>
      <c r="H3179" t="inlineStr">
        <is>
          <t>Type 1</t>
        </is>
      </c>
    </row>
    <row r="3180">
      <c r="A3180" t="inlineStr">
        <is>
          <t>6fu9xp</t>
        </is>
      </c>
      <c r="B3180" t="inlineStr">
        <is>
          <t>tresiba vs tuejeo</t>
        </is>
      </c>
      <c r="C3180" t="inlineStr">
        <is>
          <t>who has tried both?  They seem like night and day different for me.  I used a full Tresiba sample pen, the last 10 days of which were a dream.  No dawn phenomenon, no taking a shot of novolog at 5am every morning.  It felt almost like a diabetes vacation.
But of course my insurance will not cover it, although they will cover tuejeo which costs nearly the same.
I am on my third week of tuejeo, and am like "what the hell is happening?!?" most nights it is like I did not take a basal injection at all.  I have been nearly 300 at 5 am for days.  I keep increasing my dose, and it is not making any noticeable difference. I know that most people end up dosing 20% more tuejeo than lantus, and I am at that level and am seriously considering throwing in the towel and going back to lantus.  Even though having difficulties with the morning dose of lantus is why I tried these other ones in the first place.
I am also considering buying the tresiba just out of pocket, as crazy as that is.  My diabetes has never been so easy, so in the background of my life as it was on tresiba.  Because my insurance won't play ball, I can't use the tresiba savings card, and even though my income is low enough for the patient assistance program, the fact that i have insurance disqualifies me.
Does anyone have any idea how to get this stuff for less than $500/month? 
I'll keep upping my tuejeo dose by 1 unit every 4 days, until I run out of the sample I suppose.  To give it a full fair test.  But wow, they do not seem like comparable drugs to me.</t>
        </is>
      </c>
      <c r="D3180" t="n">
        <v>1</v>
      </c>
      <c r="E3180" t="n">
        <v>12</v>
      </c>
      <c r="F3180">
        <f>HYPERLINK("https://www.reddit.com/r/diabetes/comments/6fu9xp/tresiba_vs_tuejeo/")</f>
        <v/>
      </c>
      <c r="G3180" t="inlineStr">
        <is>
          <t>2017-06-07 08:49:04</t>
        </is>
      </c>
      <c r="H3180" t="inlineStr">
        <is>
          <t>Type 1</t>
        </is>
      </c>
    </row>
    <row r="3181">
      <c r="A3181" t="inlineStr">
        <is>
          <t>6fuk4x</t>
        </is>
      </c>
      <c r="B3181" t="inlineStr">
        <is>
          <t>Frustrated As Hell!!!</t>
        </is>
      </c>
      <c r="C3181" t="inlineStr">
        <is>
          <t>I am going on a major rant about myself!  I can't see to get motivated and control my Type 2 disease.  I was diagnosed 7 May 2007 and have had my ups and downs.  My A1C as high as 12.5 down to 6.9 and everywhere in the middle.  Funny thing is, I know what needs to be done.  So, why in the hell can't I attack this head on?  I am interested in what motivates people and keeps them going.  I played soccer for 25 years and have 2 ACL surgeries to show for it, but that shouldn't be any excuse for not walking or some kind of movement.  I have wanted to post here for awhile, yet I haven't until now.  I look forward to your comments.  Thanks!</t>
        </is>
      </c>
      <c r="D3181" t="n">
        <v>3</v>
      </c>
      <c r="E3181" t="n">
        <v>11</v>
      </c>
      <c r="F3181">
        <f>HYPERLINK("https://www.reddit.com/r/diabetes/comments/6fuk4x/frustrated_as_hell/")</f>
        <v/>
      </c>
      <c r="G3181" t="inlineStr">
        <is>
          <t>2017-06-07 09:32:24</t>
        </is>
      </c>
      <c r="H3181" t="inlineStr">
        <is>
          <t>Type 2</t>
        </is>
      </c>
    </row>
    <row r="3182">
      <c r="A3182" t="inlineStr">
        <is>
          <t>6fy1h5</t>
        </is>
      </c>
      <c r="B3182" t="inlineStr">
        <is>
          <t>Cut my A1C almost in half in 4 months</t>
        </is>
      </c>
      <c r="C3182" t="inlineStr">
        <is>
          <t>31 Jan — A1C was 12.7%  
4 June — A1C was 6.9%
31 Jan — Random glucose was 304 mg/dl  
4 June — Random glucose was 118 mg/dl
Fuck you, diabetes! 
I am still eating low carb and hating it. I've allowed myself to eat "good" carbs like sweet potato, brown rice, quinoa, etc in moderation. I would definitely love to just eat 10 cupcakes at any given moment some days, but I remind myself I'd rather live 10 more years instead.
I'm trying to add more types of work outs into my day. Yesterday I climbed 3 flights of stairs all in one go and didn't have to stop in the middle or gasp for breath once I got to the top. A year ago I'd probably have wheezed out halfway up or needed to sit in my car for 5 mins and recover.  
I can now walk a mile in less than 20 minutes without having to stop. When I first started timing my walks, I was lucky to have a 28 minute pace and had to stop every 1/3 mile or so from cramps in my legs.
I know these are shitty achievements, but they're my achievements and I'm lapping my 300+ pound couch potato self ten times over. 
Say it with me now... Fuck you, diabetes!</t>
        </is>
      </c>
      <c r="D3182" t="n">
        <v>23</v>
      </c>
      <c r="E3182" t="n">
        <v>18</v>
      </c>
      <c r="F3182">
        <f>HYPERLINK("https://www.reddit.com/r/diabetes/comments/6fy1h5/cut_my_a1c_almost_in_half_in_4_months/")</f>
        <v/>
      </c>
      <c r="G3182" t="inlineStr">
        <is>
          <t>2017-06-07 19:03:31</t>
        </is>
      </c>
      <c r="H3182" t="inlineStr">
        <is>
          <t>Type 2</t>
        </is>
      </c>
    </row>
    <row r="3183">
      <c r="A3183" t="inlineStr">
        <is>
          <t>6g01ak</t>
        </is>
      </c>
      <c r="B3183" t="inlineStr">
        <is>
          <t>In how many hours can you get insulin sensitive?</t>
        </is>
      </c>
      <c r="C3183" t="inlineStr">
        <is>
          <t>When I haven't worked out in a long time and I then work out, usually after 4 hours insulin seems to work alot better, do I get sensitive to insulin or is this just because I worked out?</t>
        </is>
      </c>
      <c r="D3183" t="n">
        <v>1</v>
      </c>
      <c r="E3183" t="n">
        <v>3</v>
      </c>
      <c r="F3183">
        <f>HYPERLINK("https://www.reddit.com/r/diabetes/comments/6g01ak/in_how_many_hours_can_you_get_insulin_sensitive/")</f>
        <v/>
      </c>
      <c r="G3183" t="inlineStr">
        <is>
          <t>2017-06-08 03:04:53</t>
        </is>
      </c>
      <c r="H3183" t="inlineStr">
        <is>
          <t>Type 1</t>
        </is>
      </c>
    </row>
    <row r="3184">
      <c r="A3184" t="inlineStr">
        <is>
          <t>6g0th9</t>
        </is>
      </c>
      <c r="B3184" t="inlineStr">
        <is>
          <t>trying to get a handle on my sugar, why is it so high right now?</t>
        </is>
      </c>
      <c r="C3184" t="inlineStr">
        <is>
          <t>Diagnosed about 18 months ago, have a GI intolerance for MetFormin so I'm on Victoza and just added in Glipazide. Victoza worked so well back in December in terms of curbing cravings and helping me reduce my portions. Last summer, I lost about 15 pounds but my job is very cyclical (work 40 hours but am required to work up to 60 for a couple of months at a time) so I never get up from my desk, never make it to the gym and eat ordered in pizza during those times. The 15 lbs weight loss was mostly attributed to protein shakes in the morning (god, I don't ever want another protein shake, so disgusting) and water aerobics. I've gained almost all of it back so back on track I go... already gone to the gym 3x this week and I do the elliptical for 30 minutes.
how is it even possible that my sugar is 200 right now??
at 6:00 am (3 hours ago) I had breakfast and since I don't really like breakfast items, I had leftovers from dinner. I had a chicken sandwich.
-2 pieces of split top wheat bread and online it says there is 1g of sugar in each slice (would need to confirm the package home)
-1 chicken breast baked at home with no seasonings or anything
-1 teaspoon of Hellmann's Mayo (label says no sugar)
-1 teaspoon of mustard (label says no sugar)
-1 slice of cheese and it says there is 2g of sugar in each slice
I don't drink coffee so no sugar or cream there, I do drink iced tea w/ Sweet N Low and I've had two glasses this morning. 
I just don't understand! And all I want is to eat M&amp;amp;Ms.
Is there a way to get normal blood sugar readings with medication so I can still eat what I want?
EDIT: TY YOU EVERYONE. I Did forget that its about carbs and not sugar. Might be time to start counting carbs!
UPDATE: I checked the nutritional facts on the bread... 15g per slice which is 6% of DV. So having two pieces of bread is really unreasonable for me, huh??</t>
        </is>
      </c>
      <c r="D3184" t="n">
        <v>2</v>
      </c>
      <c r="E3184" t="n">
        <v>29</v>
      </c>
      <c r="F3184">
        <f>HYPERLINK("https://www.reddit.com/r/diabetes/comments/6g0th9/trying_to_get_a_handle_on_my_sugar_why_is_it_so/")</f>
        <v/>
      </c>
      <c r="G3184" t="inlineStr">
        <is>
          <t>2017-06-08 06:05:31</t>
        </is>
      </c>
      <c r="H3184" t="inlineStr">
        <is>
          <t>Type 2</t>
        </is>
      </c>
    </row>
    <row r="3185">
      <c r="A3185" t="inlineStr">
        <is>
          <t>6g2qxy</t>
        </is>
      </c>
      <c r="B3185" t="inlineStr">
        <is>
          <t>T1 for 34 years and just now decided to eat low carb</t>
        </is>
      </c>
      <c r="C3185" t="inlineStr">
        <is>
          <t>Wow - one week in and I feel like i've been cured. 
Let me explain. All my life i've eaten whenever, whatever, with no regard for the amount of carbs I eat. I just pump myself full of Novolog and thought it was no big deal. 
The past year i've been feeling like my body was falling apart and I just felt over all Ill all the time, felt like my body was giving up on me. With every meal I was forced to Bolus 16-25 units of Novolog (or more) because of what I was eating.
The problem was right in front of my face, but I never noticed it. I know it makes ZERO sense. My family eats very CARB HEAVY and I have been ignorant to how bad Carbs raised my sugars.
Eating very very low carb for just this one week I feel like a brand new person! I take little insulin now (sometimes I don't even need to bolus!) and I have all of this energy! Also my sugar levels no longer spike or drop ... very level around 130-150 (i know still on the high side but my A1C is 9 and I've always lived in the 200's thinking that was normal. 
I've lost a bit of weight already too!
Anyway hope this helps someone else. I know I love this feeling. Hope I can stick it out</t>
        </is>
      </c>
      <c r="D3185" t="n">
        <v>60</v>
      </c>
      <c r="E3185" t="n">
        <v>73</v>
      </c>
      <c r="F3185">
        <f>HYPERLINK("https://www.reddit.com/r/diabetes/comments/6g2qxy/t1_for_34_years_and_just_now_decided_to_eat_low/")</f>
        <v/>
      </c>
      <c r="G3185" t="inlineStr">
        <is>
          <t>2017-06-08 11:19:14</t>
        </is>
      </c>
      <c r="H3185" t="inlineStr">
        <is>
          <t>Type 1</t>
        </is>
      </c>
    </row>
    <row r="3186">
      <c r="A3186" t="inlineStr">
        <is>
          <t>6g4b3x</t>
        </is>
      </c>
      <c r="B3186" t="inlineStr">
        <is>
          <t>T1D a1c of 6.0 - anneversary</t>
        </is>
      </c>
      <c r="C3186" t="inlineStr">
        <is>
          <t>Hello
I got diagnosed on the 18th of may last year with an a1c of 15.7. In december I had lovered it down to 5.7 which the doctors thought was too low and now after a year i'm at 6.0.. she told me that she wanted me to be around 6.5-7. But that this was a good number IF i'm not getting a lot of lows. Now i've started using a little less insulin but i'm hovering at 6.5 to maybe 8.. i ofc feel okay but dont know about the damage.
What is your a1c? And i've been getting curious about pumps now... since they're free in Iceland (there is a list)
I play football(soccer) and my concerne is that I wont like the pump because of that.
Other than that I'm happy, and haply with my numbers. this isn't nearly as hard as I thought this would be and I wish I could tell that one year ago me that.
And i wanna thank you guys for this sub.. I love it.. Im mostly a lurker here and it helps me a lot!</t>
        </is>
      </c>
      <c r="D3186" t="n">
        <v>7</v>
      </c>
      <c r="E3186" t="n">
        <v>10</v>
      </c>
      <c r="F3186">
        <f>HYPERLINK("https://www.reddit.com/r/diabetes/comments/6g4b3x/t1d_a1c_of_60_anneversary/")</f>
        <v/>
      </c>
      <c r="G3186" t="inlineStr">
        <is>
          <t>2017-06-08 15:19:54</t>
        </is>
      </c>
      <c r="H3186" t="inlineStr">
        <is>
          <t>Type 1</t>
        </is>
      </c>
    </row>
    <row r="3187">
      <c r="A3187" t="inlineStr">
        <is>
          <t>6g4s91</t>
        </is>
      </c>
      <c r="B3187" t="inlineStr">
        <is>
          <t>Dexcom expiration?</t>
        </is>
      </c>
      <c r="C3187" t="inlineStr">
        <is>
          <t xml:space="preserve">I have Dexcom transmitters a 2 G5 sensors sitting in their original boxes from roughly late 2014 to earl 2015. Where can I find the expiration dates on them? There's an "SB 2016-07-30" listing on the back of some of them but that is the only date I can find. Is SB the expiration date?
EDIT: Deduced that that is in fact the expiration date so the next question is, are they still safe to use? I have transmitters that expired in 2016 (G5) and sensors that expired in 2015 (probably 3 full boxes worth). What is it about the sensors that expire? They are literally just adhesive and a needle. </t>
        </is>
      </c>
      <c r="D3187" t="n">
        <v>1</v>
      </c>
      <c r="E3187" t="n">
        <v>7</v>
      </c>
      <c r="F3187">
        <f>HYPERLINK("https://www.reddit.com/r/diabetes/comments/6g4s91/dexcom_expiration/")</f>
        <v/>
      </c>
      <c r="G3187" t="inlineStr">
        <is>
          <t>2017-06-08 16:45:36</t>
        </is>
      </c>
      <c r="H3187" t="inlineStr">
        <is>
          <t>Type 1</t>
        </is>
      </c>
    </row>
    <row r="3188">
      <c r="A3188" t="inlineStr">
        <is>
          <t>6g7yph</t>
        </is>
      </c>
      <c r="B3188" t="inlineStr">
        <is>
          <t>A promising future treatment?</t>
        </is>
      </c>
      <c r="C3188" t="inlineStr">
        <is>
          <t>[I saw this](https://www.facebook.com/9NewsAdelaide/videos/1711624019141560/), and thought for once it was actually somewhat promising sounding...
TL;DW: 
* Patch implanted into the skin which protects transplanted islet cells for ~100 days
* Human trials starting next year
It doesn't really go into specifics, i'm curious how they plan to go about sourcing islet cells, and indeed whether the islet cell availability would be a limiting factor which would mean this treatment would only be made available to *some* type 1's, e.g. children, similar to what Diabetes Australia did regarding CGM funding which has seen adult Type 1's forgotten about as usual...
It also didn't mention the cost...
Anyway, as with the possibility of 'smart insulin', i'm somewhat interested in this and will keep an eye on it, i've given up hoping for a cure, but i'm still hopeful for treatments that can automate the regulation of blood sugar...</t>
        </is>
      </c>
      <c r="D3188" t="n">
        <v>6</v>
      </c>
      <c r="E3188" t="n">
        <v>6</v>
      </c>
      <c r="F3188">
        <f>HYPERLINK("https://www.reddit.com/r/diabetes/comments/6g7yph/a_promising_future_treatment/")</f>
        <v/>
      </c>
      <c r="G3188" t="inlineStr">
        <is>
          <t>2017-06-09 05:00:40</t>
        </is>
      </c>
      <c r="H3188" t="inlineStr">
        <is>
          <t>Type 1</t>
        </is>
      </c>
    </row>
    <row r="3189">
      <c r="A3189" t="inlineStr">
        <is>
          <t>6g9m4z</t>
        </is>
      </c>
      <c r="B3189" t="inlineStr">
        <is>
          <t>28 Years</t>
        </is>
      </c>
      <c r="C3189" t="inlineStr">
        <is>
          <t>It was 28 years ago today that I was diagnosed as a Type 1 at 14 years old. I remember receiving my first shot of 70/30, 10 units, and it was the first night I had slept straight through in weeks. I was getting up to use the bathroom almost every hour before then.
It was a Friday and my endo came into his office both days of the weekend to give me insulin shots since they didn't have a CDE to teach me how to do my own until the following Monday. It is amazing how far caring for this disease has changed.
I started on Novolin 70/30 and a One Touch meter, the type that had the door you had to close and pray you don't move the meter lest you get an error and have to retest. Now, 28 years later, I'm on a T-slim, Dexcom G5 and use Humalog. I honestly never thought that my life would be this good after getting the diagnosis. My first lancing device was the guillotine which was quickly replaced. Shots were eventually replaced by a pump. Meters have come and gone, gotten smaller, and a heck of a lot faster. Insulin now can be giving right before a meal. Times have surely changed.  
I can't wait to see what comes next (come on true Artificial Pancreas!). That is why I celebrate every year on my diagnosis date...because I'm still here.</t>
        </is>
      </c>
      <c r="D3189" t="n">
        <v>48</v>
      </c>
      <c r="E3189" t="n">
        <v>11</v>
      </c>
      <c r="F3189">
        <f>HYPERLINK("https://www.reddit.com/r/diabetes/comments/6g9m4z/28_years/")</f>
        <v/>
      </c>
      <c r="G3189" t="inlineStr">
        <is>
          <t>2017-06-09 09:46:50</t>
        </is>
      </c>
      <c r="H3189" t="inlineStr">
        <is>
          <t>Type 1</t>
        </is>
      </c>
    </row>
    <row r="3190">
      <c r="A3190" t="inlineStr">
        <is>
          <t>6geonz</t>
        </is>
      </c>
      <c r="B3190" t="inlineStr">
        <is>
          <t>What do you do with your pump during sex?</t>
        </is>
      </c>
      <c r="C3190" t="inlineStr">
        <is>
          <t>I'm getting married soonish. Which raises the question, what the hell do I do with my pump during um...sessions. Right now, I tend to sleep in shorts and just stick the pump in a pocket. During...well, things...I usually just kind of juggle the pump around or disconnect it. But I don't want to be constantly disconnecting and reconnecting it or having to worry about it.
So...Thigh holsters? What do you guys do? (I'm a male, and have yet to embrace cross dressing, so stockings with specially made pockets aren't really my bag.)</t>
        </is>
      </c>
      <c r="D3190" t="n">
        <v>11</v>
      </c>
      <c r="E3190" t="n">
        <v>31</v>
      </c>
      <c r="F3190">
        <f>HYPERLINK("https://www.reddit.com/r/diabetes/comments/6geonz/what_do_you_do_with_your_pump_during_sex/")</f>
        <v/>
      </c>
      <c r="G3190" t="inlineStr">
        <is>
          <t>2017-06-10 04:02:07</t>
        </is>
      </c>
      <c r="H3190" t="inlineStr">
        <is>
          <t>Type 1</t>
        </is>
      </c>
    </row>
    <row r="3191">
      <c r="A3191" t="inlineStr">
        <is>
          <t>6gjb6a</t>
        </is>
      </c>
      <c r="B3191" t="inlineStr">
        <is>
          <t>Dexcom doesn't wake me up- ideas?</t>
        </is>
      </c>
      <c r="C3191" t="inlineStr">
        <is>
          <t>In the middle of the night, if my dexcom beeps because I'm low I don't wake up. My mom has to come wake me up herself. Does anyone have this problem and have suggestions so that I can wake up on my own?</t>
        </is>
      </c>
      <c r="D3191" t="n">
        <v>2</v>
      </c>
      <c r="E3191" t="n">
        <v>2</v>
      </c>
      <c r="F3191">
        <f>HYPERLINK("https://www.reddit.com/r/diabetes/comments/6gjb6a/dexcom_doesnt_wake_me_up_ideas/")</f>
        <v/>
      </c>
      <c r="G3191" t="inlineStr">
        <is>
          <t>2017-06-10 20:10:47</t>
        </is>
      </c>
      <c r="H3191" t="inlineStr">
        <is>
          <t>Type 1</t>
        </is>
      </c>
    </row>
    <row r="3192">
      <c r="A3192" t="inlineStr">
        <is>
          <t>6gp4uw</t>
        </is>
      </c>
      <c r="B3192" t="inlineStr">
        <is>
          <t>Type 1 issue with Omnipod PDM</t>
        </is>
      </c>
      <c r="C3192" t="inlineStr">
        <is>
          <t>So I fucked up by flipping a canoe and getting my PDM wrecked. I have an older model (UST200) but it won't connect to any of my pods while trying to get them started. Has anyone had this issue before? I was thinking that the new pods and the old PDM can't communicate because of the firmware or something.</t>
        </is>
      </c>
      <c r="D3192" t="n">
        <v>1</v>
      </c>
      <c r="E3192" t="n">
        <v>1</v>
      </c>
      <c r="F3192">
        <f>HYPERLINK("https://www.reddit.com/r/diabetes/comments/6gp4uw/type_1_issue_with_omnipod_pdm/")</f>
        <v/>
      </c>
      <c r="G3192" t="inlineStr">
        <is>
          <t>2017-06-11 18:13:29</t>
        </is>
      </c>
      <c r="H3192" t="inlineStr">
        <is>
          <t>Type 1</t>
        </is>
      </c>
    </row>
    <row r="3193">
      <c r="A3193" t="inlineStr">
        <is>
          <t>6gpvdf</t>
        </is>
      </c>
      <c r="B3193" t="inlineStr">
        <is>
          <t>Is it normal for the site of the blood test to hurt still after two days? My gf asks</t>
        </is>
      </c>
      <c r="C3193" t="inlineStr">
        <is>
          <t>Hi, I don't really know but I would like to ask you folks. I really hope she's okay.</t>
        </is>
      </c>
      <c r="D3193" t="n">
        <v>4</v>
      </c>
      <c r="E3193" t="n">
        <v>6</v>
      </c>
      <c r="F3193">
        <f>HYPERLINK("https://www.reddit.com/r/diabetes/comments/6gpvdf/is_it_normal_for_the_site_of_the_blood_test_to/")</f>
        <v/>
      </c>
      <c r="G3193" t="inlineStr">
        <is>
          <t>2017-06-11 20:48:43</t>
        </is>
      </c>
      <c r="H3193" t="inlineStr">
        <is>
          <t>Type 1</t>
        </is>
      </c>
    </row>
    <row r="3194">
      <c r="A3194" t="inlineStr">
        <is>
          <t>6gt1i4</t>
        </is>
      </c>
      <c r="B3194" t="inlineStr">
        <is>
          <t>Had no idea my morning basal is so far off</t>
        </is>
      </c>
      <c r="C3194" t="inlineStr">
        <is>
          <t>Today I skipped breakfast to check my morning basal rate and looks like I have dawn phenomenon. Went from 83 at 5am to 200 at 9:30. I must have been covering that with my breakfast bolus instead.
My plan is to increase my morning basal by a bit each day until it levels off. Looks like I'll be skipping breakfast for a while.
I'm going by this article, which is a huge help:
https://mysugr.com/basal-rate-testing/</t>
        </is>
      </c>
      <c r="D3194" t="n">
        <v>9</v>
      </c>
      <c r="E3194" t="n">
        <v>10</v>
      </c>
      <c r="F3194">
        <f>HYPERLINK("https://www.reddit.com/r/diabetes/comments/6gt1i4/had_no_idea_my_morning_basal_is_so_far_off/")</f>
        <v/>
      </c>
      <c r="G3194" t="inlineStr">
        <is>
          <t>2017-06-12 08:48:00</t>
        </is>
      </c>
      <c r="H3194" t="inlineStr">
        <is>
          <t>Type 1</t>
        </is>
      </c>
    </row>
    <row r="3195">
      <c r="A3195" t="inlineStr">
        <is>
          <t>6guxeh</t>
        </is>
      </c>
      <c r="B3195" t="inlineStr">
        <is>
          <t>[Type 1] At diagnosis my a1c was 15.8. 4 months later I'm at...</t>
        </is>
      </c>
      <c r="C3195" t="inlineStr">
        <is>
          <t>6.5! Super pumped.  Neuropathy is still a bitch but gotta celebrate the wins!
Couldn't have done it without this sub!</t>
        </is>
      </c>
      <c r="D3195" t="n">
        <v>26</v>
      </c>
      <c r="E3195" t="n">
        <v>13</v>
      </c>
      <c r="F3195">
        <f>HYPERLINK("https://www.reddit.com/r/diabetes/comments/6guxeh/type_1_at_diagnosis_my_a1c_was_158_4_months_later/")</f>
        <v/>
      </c>
      <c r="G3195" t="inlineStr">
        <is>
          <t>2017-06-12 13:30:38</t>
        </is>
      </c>
      <c r="H3195" t="inlineStr">
        <is>
          <t>Type 1</t>
        </is>
      </c>
    </row>
    <row r="3196">
      <c r="A3196" t="inlineStr">
        <is>
          <t>6gyirb</t>
        </is>
      </c>
      <c r="B3196" t="inlineStr">
        <is>
          <t>does anyone else have a ton of hypos when studying?</t>
        </is>
      </c>
      <c r="C3196" t="inlineStr">
        <is>
          <t>So I have started my studies again and basically have been having repeated hypos. When I was first diagnosed my doctors noticed this happening and I vaguely remember they said I should treat studying/hw/etc like exercise. Funnily enough the same thing happens when playing video games (my endo laughed when I told her that a weeks worth of hypos were thanks to Destiny). Doesn't happen when I'm a total couch potato watching tv so I think my basal is ok. Just seems to be when my brain is really committed.
Anyone go through the same thing and have any tips?
Thanks!</t>
        </is>
      </c>
      <c r="D3196" t="n">
        <v>9</v>
      </c>
      <c r="E3196" t="n">
        <v>13</v>
      </c>
      <c r="F3196">
        <f>HYPERLINK("https://www.reddit.com/r/diabetes/comments/6gyirb/does_anyone_else_have_a_ton_of_hypos_when_studying/")</f>
        <v/>
      </c>
      <c r="G3196" t="inlineStr">
        <is>
          <t>2017-06-13 01:10:30</t>
        </is>
      </c>
      <c r="H3196" t="inlineStr">
        <is>
          <t>Type 1</t>
        </is>
      </c>
    </row>
    <row r="3197">
      <c r="A3197" t="inlineStr">
        <is>
          <t>6h0qtq</t>
        </is>
      </c>
      <c r="B3197" t="inlineStr">
        <is>
          <t>Why I love keto</t>
        </is>
      </c>
      <c r="C3197" t="inlineStr">
        <is>
          <t>Restricting net carbs to less than 30g has a dramatic effect on my BG, particular the overnight when was previously a pain to keep level. I tend toward a vegetarian keto but do eat salmon, eggs and some dairy at the moment. https://imgur.com/gallery/q4Oq7</t>
        </is>
      </c>
      <c r="D3197" t="n">
        <v>20</v>
      </c>
      <c r="E3197" t="n">
        <v>27</v>
      </c>
      <c r="F3197">
        <f>HYPERLINK("https://www.reddit.com/r/diabetes/comments/6h0qtq/why_i_love_keto/")</f>
        <v/>
      </c>
      <c r="G3197" t="inlineStr">
        <is>
          <t>2017-06-13 08:53:47</t>
        </is>
      </c>
      <c r="H3197" t="inlineStr">
        <is>
          <t>Type 1.5/LADA</t>
        </is>
      </c>
    </row>
    <row r="3198">
      <c r="A3198" t="inlineStr">
        <is>
          <t>6h1bwz</t>
        </is>
      </c>
      <c r="B3198" t="inlineStr">
        <is>
          <t>I'm Fighting this Alone</t>
        </is>
      </c>
      <c r="C3198" t="inlineStr">
        <is>
          <t xml:space="preserve">Hi, my names David, I was diagnosed with Type 1 Diabetes when I was 9 and received a pump when I was 10. I've never really had any support in all of this, my parents just kind of guided me at first and then let me fly with it if I got high or low, I was simply told to handle it. 
I had Medicaid from the time I was born, but when I turned 19 I lost that, and neither of my parents really help me anymore. I live on my own and can't get insurance from them like others can until they're 26, but my pump supplies are beginning to dwindle, I've been running on leftovers that I've had since I turned 19, the insulin I have I thankfully get from my Endocrinologist. 
What I'm looking for here is the help, I just need some guidance in getting health insurance and maybe if I should go back to shots, not what I wanted, but I will. I can't get Medicaid or anything by myself, I've been denied three times already. 
I work at Walmart, I've been there 3 months and aren't eligible for insurance until after a year, but if I don't have medicine I won't make it that long lol. </t>
        </is>
      </c>
      <c r="D3198" t="n">
        <v>8</v>
      </c>
      <c r="E3198" t="n">
        <v>21</v>
      </c>
      <c r="F3198">
        <f>HYPERLINK("https://www.reddit.com/r/diabetes/comments/6h1bwz/im_fighting_this_alone/")</f>
        <v/>
      </c>
      <c r="G3198" t="inlineStr">
        <is>
          <t>2017-06-13 10:17:27</t>
        </is>
      </c>
      <c r="H3198" t="inlineStr">
        <is>
          <t>Type 1</t>
        </is>
      </c>
    </row>
    <row r="3199">
      <c r="A3199" t="inlineStr">
        <is>
          <t>6h1rmj</t>
        </is>
      </c>
      <c r="B3199" t="inlineStr">
        <is>
          <t>Type 1 diabetic recovering from chemo needs to gain weight</t>
        </is>
      </c>
      <c r="C3199" t="inlineStr">
        <is>
          <t>Hi, not sure where to post this so I'm posting to a few subreddits (suggestions welcome on where else to look).
My mother had surgery for pancreatic cancer ~1 year ago, and has just finished a tough round of chemotherapy. She's down to 90lbs.
Doctors have advised her to eat lots of rich food to gain weight. The trouble is that between her sensitive stomach (gut enzymes all screwed up ever since the surgery) and her type-1 diabetes, she's struggled to bring it up at all. Most foods seem to make her overfull and uncomfortable - her surgery was kind of like a gastric bypass. In the worst cases she develops horrible diarrhea and pain/ vomiting and is out of commission for the day. 
Considering the situation, her diabetologist says that gaining weight is more critical than keeping the blood sugar tightly controlled.
Do you have any advice on how to help her gain weight? I'm looking for anything at all - food, snacking strategies, medications, mental health treatments, calorie counts, etc. Anything you could offer would make such a difference.
tldr: help my type-1 diabetic mom gain weight following cancer treatment.</t>
        </is>
      </c>
      <c r="D3199" t="n">
        <v>7</v>
      </c>
      <c r="E3199" t="n">
        <v>29</v>
      </c>
      <c r="F3199">
        <f>HYPERLINK("https://www.reddit.com/r/diabetes/comments/6h1rmj/type_1_diabetic_recovering_from_chemo_needs_to/")</f>
        <v/>
      </c>
      <c r="G3199" t="inlineStr">
        <is>
          <t>2017-06-13 11:20:30</t>
        </is>
      </c>
      <c r="H3199" t="inlineStr">
        <is>
          <t>Type 1</t>
        </is>
      </c>
    </row>
    <row r="3200">
      <c r="A3200" t="inlineStr">
        <is>
          <t>6h2re4</t>
        </is>
      </c>
      <c r="B3200" t="inlineStr">
        <is>
          <t>T1D - Acceptable time in range?</t>
        </is>
      </c>
      <c r="C3200" t="inlineStr">
        <is>
          <t>Long story short, I was diagnosed with T1D in April (A1C of 13.1). I thought I've been managing okay on MDI, staying in range 90% of the time. Nightscout estimates my A1C at 6.0%. It'll be another month before I find out for sure.
So, I had my second endocrinologist appointment this morning. She spent 15 seconds looking over my CGM printouts, then ranted for five minutes about how I'm "running high" and need to get my numbers down. Never-mind I requested a CGM last month to improve my glucose levels, and am spending hours each day learning, monitoring, and reacting to conquer this thing.
A month ago, I was experiencing hypos after meals. So, I reduced my carb ratio from 1:10 grams to 1:12 grams. The postprandial hypos are gone. My median blood glucose over the past two weeks is 120 mg/dL, which from my understanding, is not that bad.
Is 90% of time in range as unacceptable as my endo makes it out to be? Did she have a bad morning, or have I misinterpreted my data?
http://blog.jseaber.com/wp-content/uploads/2017/06/Glucose-distribution-6-13-2017.png
http://blog.jseaber.com/wp-content/uploads/2017/06/glucose-2-weeks-ending-6-13-2017.png</t>
        </is>
      </c>
      <c r="D3200" t="n">
        <v>5</v>
      </c>
      <c r="E3200" t="n">
        <v>19</v>
      </c>
      <c r="F3200">
        <f>HYPERLINK("https://www.reddit.com/r/diabetes/comments/6h2re4/t1d_acceptable_time_in_range/")</f>
        <v/>
      </c>
      <c r="G3200" t="inlineStr">
        <is>
          <t>2017-06-13 13:49:20</t>
        </is>
      </c>
      <c r="H3200" t="inlineStr">
        <is>
          <t>Type 1</t>
        </is>
      </c>
    </row>
    <row r="3201">
      <c r="A3201" t="inlineStr">
        <is>
          <t>6h37cw</t>
        </is>
      </c>
      <c r="B3201" t="inlineStr">
        <is>
          <t>No Basal on vacation...</t>
        </is>
      </c>
      <c r="C3201" t="inlineStr">
        <is>
          <t>So. I was super excited to use my tresiba discount card, but I discovered that my endocrinologist hadn't actually prescribed any to me when I went to him, he just sort of... gave me a box in November. I wouldn't have minded if I wasn't trying to refill 4 hours before a flight across the country. Now I'm in a totally different city and I'm having trouble getting through to his office so I can get my danged insulin prescription. I take 7 units a day of tresiba, and I only have about 2 days worth left.I'm staying til Sunday. Any tips as to what I should do besides just keep calling their office?
EDIT: They got back to me, got my prescription! Thanks @rld14 for your generous offer; you're amazing!
Happily, I'm in New York City, so there's no shortage of pharmacies.</t>
        </is>
      </c>
      <c r="D3201" t="n">
        <v>5</v>
      </c>
      <c r="E3201" t="n">
        <v>8</v>
      </c>
      <c r="F3201">
        <f>HYPERLINK("https://www.reddit.com/r/diabetes/comments/6h37cw/no_basal_on_vacation/")</f>
        <v/>
      </c>
      <c r="G3201" t="inlineStr">
        <is>
          <t>2017-06-13 14:59:21</t>
        </is>
      </c>
      <c r="H3201" t="inlineStr">
        <is>
          <t>Type 1</t>
        </is>
      </c>
    </row>
    <row r="3202">
      <c r="A3202" t="inlineStr">
        <is>
          <t>6h3hcm</t>
        </is>
      </c>
      <c r="B3202" t="inlineStr">
        <is>
          <t>I'm so proud of myself!</t>
        </is>
      </c>
      <c r="C3202" t="inlineStr">
        <is>
          <t>So I'm a T1 whose posted here before, on both this account and some throwaways. I was diagnosed roughly 2.5 years ago and for the past 1 and a half years my A1C has been awful. It has been sitting at around 13 to be exact. I've been trying to work out and do other sports for the past 6 months, with little to no results because of my sugar levels. Around 1.5 months ago I said fuck it, after my A1C came out as 13.5 and I realized I only weighed 136 pounds (around 61.5 kilos) at 6'3 (192cm) and at the age of 17. I started eating more protein and less carbs. Started logging everything into this app called "myfitnesspal" and measured everything I ate, gram by gram. I started measuring my sugars every time I ate, and often 2 hours after, which is a huge improvement compared to the average 0.4 measurents/a day I had before. I made a meal and workout plan, which I've made sure I stick to till this day. Atm I work out 4 days a week, and go cycling or running at least twice a week. I've gained muscle really fast and my weight has gone up by around 18 pounds. (By the way, I'm wondering if this is too much or if it's natural to gain so much weight after basically being "drained" for over a year straight?) But the most important thing is that my A1C has dropped down to 9. I know there's still a long way to go, but I like to think that this progress is really good in such a short period of time. Anyways yeah, just wanted to share this since this is the best I've felt in years. I'll make sure to post some follow-up in a few months when I've battled those sugars down to 6s and 7s ;)</t>
        </is>
      </c>
      <c r="D3202" t="n">
        <v>24</v>
      </c>
      <c r="E3202" t="n">
        <v>14</v>
      </c>
      <c r="F3202">
        <f>HYPERLINK("https://www.reddit.com/r/diabetes/comments/6h3hcm/im_so_proud_of_myself/")</f>
        <v/>
      </c>
      <c r="G3202" t="inlineStr">
        <is>
          <t>2017-06-13 15:46:19</t>
        </is>
      </c>
      <c r="H3202" t="inlineStr">
        <is>
          <t>Type 1</t>
        </is>
      </c>
    </row>
    <row r="3203">
      <c r="A3203" t="inlineStr">
        <is>
          <t>6h4k8n</t>
        </is>
      </c>
      <c r="B3203" t="inlineStr">
        <is>
          <t>Can I bathe with the minimed 630?</t>
        </is>
      </c>
      <c r="C3203" t="inlineStr">
        <is>
          <t>Hello! On day 2 of this thing. I currently can't call my trainer and I wanted the advice of actual diabetics anyways.
Does anyone know if I can bathe with the pump still fully hooked up? We tried to practice detaching the pump from the infusion set (quick set type) but it wouldn't come off, it seems like they have recently changed the quick-set infusion set because it looked different from her sample. For the life of us we couldn't twist it off. 
Anyway I see on the site it says that it's waterproof "at the time of manufacture", but I've also seen that micro-cracks can appear which let water leak in. 
So...does that mean I can take a bath with it or not? Anyone have any experience with this?
Thank you for any help! :)</t>
        </is>
      </c>
      <c r="D3203" t="n">
        <v>2</v>
      </c>
      <c r="E3203" t="n">
        <v>4</v>
      </c>
      <c r="F3203">
        <f>HYPERLINK("https://www.reddit.com/r/diabetes/comments/6h4k8n/can_i_bathe_with_the_minimed_630/")</f>
        <v/>
      </c>
      <c r="G3203" t="inlineStr">
        <is>
          <t>2017-06-13 19:05:32</t>
        </is>
      </c>
      <c r="H3203" t="inlineStr">
        <is>
          <t>Type 1</t>
        </is>
      </c>
    </row>
    <row r="3204">
      <c r="A3204" t="inlineStr">
        <is>
          <t>6h4lnn</t>
        </is>
      </c>
      <c r="B3204" t="inlineStr">
        <is>
          <t>Amazing news just had to share how excited I am!</t>
        </is>
      </c>
      <c r="C3204" t="inlineStr">
        <is>
          <t xml:space="preserve">We met my son's kindergarten teacher today and found out that she was diagnosed as a T1 diabetic at 18 months just like he was! We are so relieved that we don't have to worry about his diabetes in his first year at school! It was such a burden off my shoulders hearing that.
</t>
        </is>
      </c>
      <c r="D3204" t="n">
        <v>65</v>
      </c>
      <c r="E3204" t="n">
        <v>12</v>
      </c>
      <c r="F3204">
        <f>HYPERLINK("https://www.reddit.com/r/diabetes/comments/6h4lnn/amazing_news_just_had_to_share_how_excited_i_am/")</f>
        <v/>
      </c>
      <c r="G3204" t="inlineStr">
        <is>
          <t>2017-06-13 19:13:07</t>
        </is>
      </c>
      <c r="H3204" t="inlineStr">
        <is>
          <t>Type 1</t>
        </is>
      </c>
    </row>
    <row r="3205">
      <c r="A3205" t="inlineStr">
        <is>
          <t>6h7355</t>
        </is>
      </c>
      <c r="B3205" t="inlineStr">
        <is>
          <t>What is your highest hyper?</t>
        </is>
      </c>
      <c r="C3205" t="inlineStr">
        <is>
          <t>Upon diagnosis (Type 1) my sister was at skyrocketing 27.0 blood glucose level. What is you highest hyper?</t>
        </is>
      </c>
      <c r="D3205" t="n">
        <v>8</v>
      </c>
      <c r="E3205" t="n">
        <v>51</v>
      </c>
      <c r="F3205">
        <f>HYPERLINK("https://www.reddit.com/r/diabetes/comments/6h7355/what_is_your_highest_hyper/")</f>
        <v/>
      </c>
      <c r="G3205" t="inlineStr">
        <is>
          <t>2017-06-14 05:12:20</t>
        </is>
      </c>
      <c r="H3205" t="inlineStr">
        <is>
          <t>Type 1</t>
        </is>
      </c>
    </row>
    <row r="3206">
      <c r="A3206" t="inlineStr">
        <is>
          <t>6h8byy</t>
        </is>
      </c>
      <c r="B3206" t="inlineStr">
        <is>
          <t>T1 diabetic with Medicaid having trouble finding an endocrinologist. (MI)</t>
        </is>
      </c>
      <c r="C3206" t="inlineStr">
        <is>
          <t>Hi Reddit,
Recently I was knocked off my family's insurance plan (blue care network) and was put on Medicaid due to it being inexpensive and not having the funds to afford anything else at this time. I'm a type 1 diabetic who was seeing the same endocrinologist since I was diagnosed over 10 years ago. 
I became active on Medicaid June 1st. Tried setting up a plan with blue cross complete but was denied (?) so now I am covered by Straight Healthy Michigan plan but was told I need to set up a plan with one of the Medicaid insurance plans asap. Unfortunately though, I haven't been able to find ANY endocrinologist within 30 miles of where I live that takes new patients with Medicaid. 
I'm not sure if there is a loophole somewhere here that I am missing. I didn't expect it to be this difficult to find a doctor, and what I'm most concerned about if finding a place that I will be able to refill my prescriptions from. Currently I have a Medtronic insulin pump, humalog insulin, and use Freestyle Lite test strips. 
I have called Medicaid multiple times and now they are unable to guide me in the right direction. They've given me names and numbers of multiple doctors offices who they claim take Medicaid, but every one of them says they don't, or don't take new patients when I do call them. 
If anyone on this sub takes the time to read this and has any insight, I would love a little bit of guidance. Right now I feel like I'm hitting a wall.
Thank you!</t>
        </is>
      </c>
      <c r="D3206" t="n">
        <v>8</v>
      </c>
      <c r="E3206" t="n">
        <v>18</v>
      </c>
      <c r="F3206">
        <f>HYPERLINK("https://www.reddit.com/r/diabetes/comments/6h8byy/t1_diabetic_with_medicaid_having_trouble_finding/")</f>
        <v/>
      </c>
      <c r="G3206" t="inlineStr">
        <is>
          <t>2017-06-14 08:46:39</t>
        </is>
      </c>
      <c r="H3206" t="inlineStr">
        <is>
          <t>Type 1</t>
        </is>
      </c>
    </row>
    <row r="3207">
      <c r="A3207" t="inlineStr">
        <is>
          <t>6hdmi2</t>
        </is>
      </c>
      <c r="B3207" t="inlineStr">
        <is>
          <t>Type 1 diet</t>
        </is>
      </c>
      <c r="C3207" t="inlineStr">
        <is>
          <t xml:space="preserve">
Hi guys 
My partner's sister was diagnosed with type 1 diabetes around two years ago (she was 14 at the time). They are both from Slovakia btw.
Her doctor put her on a very specific diet, where she has to eat a certain amount of carbohydrates at various intervals throughout the deal. 
The first meal is at 0500, the next is at 0900, then 1300,  1700 then finally at 2200. 
She has a list of foods that she is supposed to eat at those times and it appears to be very strict. 
I'm a nurse and have worked in Australia for many years. I've worked with many diabetes patients. I've never seen a diet like this. Is it normal? 
I have visited quite a few hospitals in Slovakia and they leave a lot to be desired (particularly with respect to hygiene). It makes me wonder if it's just because treatment in Slovakia isn't up to par compared to countries in the west. 
I've tried to get her parents to go to Germany for a second opinion, but they are taking everything the Slovak doctor says as gospel.
 I mean they literally wake up at 4am every morning to prepare the meal for her. It just seems like madness to me. 
Thanks for your help guys!
</t>
        </is>
      </c>
      <c r="D3207" t="n">
        <v>1</v>
      </c>
      <c r="E3207" t="n">
        <v>10</v>
      </c>
      <c r="F3207">
        <f>HYPERLINK("https://www.reddit.com/r/diabetes/comments/6hdmi2/type_1_diet/")</f>
        <v/>
      </c>
      <c r="G3207" t="inlineStr">
        <is>
          <t>2017-06-15 00:53:10</t>
        </is>
      </c>
      <c r="H3207" t="inlineStr">
        <is>
          <t>Type 1</t>
        </is>
      </c>
    </row>
    <row r="3208">
      <c r="A3208" t="inlineStr">
        <is>
          <t>6hej8k</t>
        </is>
      </c>
      <c r="B3208" t="inlineStr">
        <is>
          <t>Tips for avoiding lows during exercise?</t>
        </is>
      </c>
      <c r="C3208" t="inlineStr">
        <is>
          <t xml:space="preserve">My sugar drops a 120mg/dL in a 35 minute run. I have turned my basal off for two hours and it still drops. Right now I need to be above 200 to avoid a low, and have my basal off for 3 hours. I don't want to eat before running, yet want to avoid my sugar dropping so quickly.  
Any suggestions for a food that will hold my sugar but not sit heavily in my stomach? Any other suggestions?  </t>
        </is>
      </c>
      <c r="D3208" t="n">
        <v>7</v>
      </c>
      <c r="E3208" t="n">
        <v>17</v>
      </c>
      <c r="F3208">
        <f>HYPERLINK("https://www.reddit.com/r/diabetes/comments/6hej8k/tips_for_avoiding_lows_during_exercise/")</f>
        <v/>
      </c>
      <c r="G3208" t="inlineStr">
        <is>
          <t>2017-06-15 04:55:25</t>
        </is>
      </c>
      <c r="H3208" t="inlineStr">
        <is>
          <t>Type 1</t>
        </is>
      </c>
    </row>
    <row r="3209">
      <c r="A3209" t="inlineStr">
        <is>
          <t>6hh4cs</t>
        </is>
      </c>
      <c r="B3209" t="inlineStr">
        <is>
          <t>I'm a recent Type I, just turned 26, and I think I screwed up my switch from family insurance to Obamacare and probably now have it as a pre-existing condition. Just needed to confess somewhere where people could understand the magnitude of my fuckup.</t>
        </is>
      </c>
      <c r="C3209" t="inlineStr">
        <is>
          <t>I found out last night.  I thought I filed the last paperwork bits I needed, but apparently I didn't, or didn't do it right, and I didn't find out til after the form due date because I'm spending the summer out of town, and the dumbass forwarding me my mail wrote my current address wrong.
I spent the evening trying not to hyperventilate.  I'm currently unemployed and in some debt, and didn't know how I was going to afford Obamacare, let alone this.  Fortunately, I had a friend to help me stay calm and not do anything stupid.  I know I need to work out what to do next, but I just feel kind of paralyzed.
Edit:  I'm going off to scan and try to submit the missing documents anyways, so I won't be on reddit for a while.  I don't understand what I did wrong, but I'm sure I can work it out, and am not looking for advice.  I just needed to vent where people understand what it's like for your literal life to be hostage to the whimsies of bureaucracy.
Edit Edit:  Actually, I clearly have no idea what I'm doing, and advice is welcome, and thank you all</t>
        </is>
      </c>
      <c r="D3209" t="n">
        <v>7</v>
      </c>
      <c r="E3209" t="n">
        <v>7</v>
      </c>
      <c r="F3209">
        <f>HYPERLINK("https://www.reddit.com/r/diabetes/comments/6hh4cs/im_a_recent_type_i_just_turned_26_and_i_think_i/")</f>
        <v/>
      </c>
      <c r="G3209" t="inlineStr">
        <is>
          <t>2017-06-15 11:59:29</t>
        </is>
      </c>
      <c r="H3209" t="inlineStr">
        <is>
          <t>Type 1</t>
        </is>
      </c>
    </row>
    <row r="3210">
      <c r="A3210" t="inlineStr">
        <is>
          <t>6hjq67</t>
        </is>
      </c>
      <c r="B3210" t="inlineStr">
        <is>
          <t>I am so frustrated with my blood sugars</t>
        </is>
      </c>
      <c r="C3210" t="inlineStr">
        <is>
          <t xml:space="preserve">I have been struggling for over 2 years with blood sugars that just don't...work? I will be 95 before meals, give insulin 20-30 minutes before eating, and be fine at the 2 hour mark. THEN HELL BREAKS LOOSE and I end up at 500 at the three hour mark. It doesn't matter what I eat. It happens even on the keto diet where I am eating under 15 carbs a day. 
I am getting these huge sore spots under the skin where I inject, and I am taking massive amounts of insulin anyway. Is anyone else dealing with this? I am sitting here with a bg of 500 feeling disgusting and frustrated. </t>
        </is>
      </c>
      <c r="D3210" t="n">
        <v>4</v>
      </c>
      <c r="E3210" t="n">
        <v>28</v>
      </c>
      <c r="F3210">
        <f>HYPERLINK("https://www.reddit.com/r/diabetes/comments/6hjq67/i_am_so_frustrated_with_my_blood_sugars/")</f>
        <v/>
      </c>
      <c r="G3210" t="inlineStr">
        <is>
          <t>2017-06-15 19:19:34</t>
        </is>
      </c>
      <c r="H3210" t="inlineStr">
        <is>
          <t>Type 1</t>
        </is>
      </c>
    </row>
    <row r="3211">
      <c r="A3211" t="inlineStr">
        <is>
          <t>6hmo0g</t>
        </is>
      </c>
      <c r="B3211" t="inlineStr">
        <is>
          <t>Diabetes can't beat me.</t>
        </is>
      </c>
      <c r="C3211" t="inlineStr">
        <is>
          <t>It's been 3.5 years since I nearly died from ketoacidosis and was diagnosed with Type 1 Diabetes at 27 years old. My A1C was 12.1%.
My subsequent A1Cs have been: 5.7%, 5.7%, 5.4%, 5.2%, and yesterday's result - 5.4%.
Throughout this time I have made drastic changes to my diet, going from ultra low carb primal / paleo, to carb backloading, to giving up meat entirely and adapting a pescatarian diet. My control stayed consistent.
I get flamed for these posts as pride can easily come off as arrogance, and I don't give a shit. My health is the result of nothing but my own hard work, persistence, diligence, and self education so I feel like I get to gloat about it a bit.
I don't use a CGM or pump but test religiously, setting alarms to get up through the night, every night. I take up to 20 injections a day at as low as half unit amounts, because that's what it takes.
Barring comorbid diseases, control and health is up to you. Living with this disease is a massive nuissance, huge pain in the ass... Keeping complete control of this disease can be overwhelmingly tiresome. But that's what it takes if we want to live the life we want and deserve.
The universe doesn't owe us a god damned thing, nor does it feel the least bit sorry for you. The universe doesn't care why it's just hard right now, and will take your fucking eye sight. Or your heart. Or your feet. Or your 'insert anything tied to well being and being alive'.
Go check your sugars. Right now.</t>
        </is>
      </c>
      <c r="D3211" t="n">
        <v>21</v>
      </c>
      <c r="E3211" t="n">
        <v>31</v>
      </c>
      <c r="F3211">
        <f>HYPERLINK("https://www.reddit.com/r/diabetes/comments/6hmo0g/diabetes_cant_beat_me/")</f>
        <v/>
      </c>
      <c r="G3211" t="inlineStr">
        <is>
          <t>2017-06-16 06:55:41</t>
        </is>
      </c>
      <c r="H3211" t="inlineStr">
        <is>
          <t>Type 1</t>
        </is>
      </c>
    </row>
    <row r="3212">
      <c r="A3212" t="inlineStr">
        <is>
          <t>6hwh00</t>
        </is>
      </c>
      <c r="B3212" t="inlineStr">
        <is>
          <t>Apparently I made a BIG mistake...</t>
        </is>
      </c>
      <c r="C3212" t="inlineStr">
        <is>
          <t>I have T2 diabetes and I've had my A1C under control pretty well. Last blood work months ago I was at 5.0 -- so pretty happy. Well this time (last week) my A1C was 8.2 -- OUCH. So I started to look at what has changed...
I take Lantus. I hate the pens. I always jiggle the pen while dosing, so I end up bruising myself. I was later told that Lantus comes in vials, too. So I switched to vials.
I was getting knots in my mid-section at the injection point. I did some reading and learned that two things can cause the knots: needle too long on the syringe, and insulin too cold when injecting.
I did further research and found an article by a noted endocrinologist who talked about length of needle. I was using long needles (12.5 mm) because the pharmacist told me: "Big guys like you and me, we need a longer needle to get to the fat layer". Well, this doc's article said that basically that's bullshit, and his argument makes sense. Skin is only so thick. Fat people don't have a bunch of thicker skin, they have a thicker fat layer. Well, I've lost 60 pounds and I'm using these long needles. Doctor's article says "normal skin, until you age, is no more than 3mm thick -- so nobody, in reality, needs more than 3.5mm to clear the skin layer and reach the fat layer".
The shortest they had at Walmart (gotta buy those syringes where they are the cheapest, $11.99 for 100 rather than $20 or more for 100 elsewhere) is 8mm. I switched to the 8mm and I'm not getting the knots. 
But here's where I made the BIG mistake...
I was reading on the Sanofi web site (maker of Lantus) that Lantus should be refrigerated until opened for use. Then it can be stored at room temperature. Well, I started doing that a few months ago, and apparently it is NOT the best thing for me. My A1C and my daily testing numbers have gone up since I started storing my vials of Lantus outside the refrigerator once I opened them.
So I tossed my last vial (was almost empty anyhow) and got a new refill. Stored it in the fridge and kept it in the fridge and now my home testing of my blood sugar has dropped back down again. 
Will be waiting to see how my next A1C test turns out.
Anyhow, just sharing with you guys in case anyone else may be doing wrong what I was doing wrong. Love and prayers to all of you guys who are suffering from this like me.</t>
        </is>
      </c>
      <c r="D3212" t="n">
        <v>14</v>
      </c>
      <c r="E3212" t="n">
        <v>22</v>
      </c>
      <c r="F3212">
        <f>HYPERLINK("https://www.reddit.com/r/diabetes/comments/6hwh00/apparently_i_made_a_big_mistake/")</f>
        <v/>
      </c>
      <c r="G3212" t="inlineStr">
        <is>
          <t>2017-06-17 16:11:14</t>
        </is>
      </c>
      <c r="H3212" t="inlineStr">
        <is>
          <t>Type 2</t>
        </is>
      </c>
    </row>
    <row r="3213">
      <c r="A3213" t="inlineStr">
        <is>
          <t>6i1umm</t>
        </is>
      </c>
      <c r="B3213" t="inlineStr">
        <is>
          <t>Does anyone have experiences with Lyxumia?</t>
        </is>
      </c>
      <c r="C3213" t="inlineStr">
        <is>
          <t>Hi all, T2 since last august, the last 9 months my A1C was 5.2, very happy with that, this was with insuline and metformax, around 6 weeks ago i quit my basal injections (abasaglar) due to constant lows, the lows went mostly away, and my A1C was still good 6 weeks later.
Since thursday I've quit Humalog as well, and now I inject Lyxumia in the morning, an incretine booster. Now, since using it I feel like absolute shit, nausea, almost no desire to eat etc, anyone expreience with this medicine, does it get better? My numbers are good, so it works, and would love to stay in a system with no insuline. I read it supresses hunger a bit, so i'm guessing it is normal, but if it keeps feeling this strong I'll have to quit soon.
Thanks for your input :)</t>
        </is>
      </c>
      <c r="D3213" t="n">
        <v>2</v>
      </c>
      <c r="E3213" t="n">
        <v>12</v>
      </c>
      <c r="F3213">
        <f>HYPERLINK("https://www.reddit.com/r/diabetes/comments/6i1umm/does_anyone_have_experiences_with_lyxumia/")</f>
        <v/>
      </c>
      <c r="G3213" t="inlineStr">
        <is>
          <t>2017-06-18 13:30:28</t>
        </is>
      </c>
      <c r="H3213" t="inlineStr">
        <is>
          <t>Type 2</t>
        </is>
      </c>
    </row>
    <row r="3214">
      <c r="A3214" t="inlineStr">
        <is>
          <t>6i435z</t>
        </is>
      </c>
      <c r="B3214" t="inlineStr">
        <is>
          <t>T1 Getting Better? (pls help - this scares me)</t>
        </is>
      </c>
      <c r="C3214" t="inlineStr">
        <is>
          <t xml:space="preserve">TL;DR:  Requiring way less insulin than before despite eating statistically-significantly more carbs and no change in exercise or stress.  Feeling and reading low every day at least once.  Concerned and looking for help, advice, or just a "that's normal" response.
- Age 27, Male, 5'8" &amp;amp; 148 lbs (173 cm, 67 kg)
- Diagnosed type-1 in 2015 w/ A1c of 12.8% (~117 mmol/mol)
- Last A1c check (March) was 6.5% (~47 mmol/mol)
- MDI - Novolog &amp;amp; Tresiba (I have a 530G &amp;amp; CGM but I hate them)
Early last year I was still honeymooning but by late summer I was pretty much settled and had great control with a few highs and very rarely lows.  I've had to adjust for holidays and such but I've been on basically the same regimen since (32U Tresiba daily || 1-to-9 carb ratio || Corr. Factor 30).
However, about a month ago I started getting lows again despite no obvious changes in diet or lifestyle.  I have started eating/drinking more carbs than usual over the last 2 weeks, and have been decreasing my insulin intake, but I keep getting lows (I had a 54 and 72 at different points today).  I'm currently at (26U Tresiba daily || 1-to-22 carb ratio || Corr. factor 60), a significant difference.
I don't like getting lows, I'm sure no one does, but recently I've been getting so low so often that I'm starting to get scared every time I use insulin.  Are fluctuations in insulin production normally this drastic?
Thanks.
</t>
        </is>
      </c>
      <c r="D3214" t="n">
        <v>3</v>
      </c>
      <c r="E3214" t="n">
        <v>6</v>
      </c>
      <c r="F3214">
        <f>HYPERLINK("https://www.reddit.com/r/diabetes/comments/6i435z/t1_getting_better_pls_help_this_scares_me/")</f>
        <v/>
      </c>
      <c r="G3214" t="inlineStr">
        <is>
          <t>2017-06-18 20:57:41</t>
        </is>
      </c>
      <c r="H3214" t="inlineStr">
        <is>
          <t>Type 1</t>
        </is>
      </c>
    </row>
    <row r="3215">
      <c r="A3215" t="inlineStr">
        <is>
          <t>6i48fy</t>
        </is>
      </c>
      <c r="B3215" t="inlineStr">
        <is>
          <t>Diabetes successfully managed(?) but now thirsty &amp;amp; peeing a lot</t>
        </is>
      </c>
      <c r="C3215" t="inlineStr">
        <is>
          <t>Hi /r/diabetes,
I'm type 2 for maybe 10 years, managed by drugs. My blood metrics are OK (a1c is around 6-7). However last 2-3 weeks, I'm feeling more thirsty and peeing a lot. Getting up often at night to urinate too.
Can I get some advice? Could the drugs be not working all of a sudden? I can go to my Dr but what would the Dr do? 
I am not on a drug plan so swapping drugs around is possible but expensive if I have to play musical chairs with trying out other drugs.
Or is diet/weight a problem? (I need to lose a few pounds). Could this be making trouble?
I realize this is maybe an open ended question that may not have an answer but maybe I can get some ideas for the next step. Not asking for a diagnosis, just friendly advice.
Thanks</t>
        </is>
      </c>
      <c r="D3215" t="n">
        <v>10</v>
      </c>
      <c r="E3215" t="n">
        <v>7</v>
      </c>
      <c r="F3215">
        <f>HYPERLINK("https://www.reddit.com/r/diabetes/comments/6i48fy/diabetes_successfully_managed_but_now_thirsty/")</f>
        <v/>
      </c>
      <c r="G3215" t="inlineStr">
        <is>
          <t>2017-06-18 21:31:32</t>
        </is>
      </c>
      <c r="H3215" t="inlineStr">
        <is>
          <t>Type 2</t>
        </is>
      </c>
    </row>
    <row r="3216">
      <c r="A3216" t="inlineStr">
        <is>
          <t>6i4v5h</t>
        </is>
      </c>
      <c r="B3216" t="inlineStr">
        <is>
          <t>Question: type 2 here on Trulicity 1 a week and 1000mg of metformin a day. I have always been large.I was diagnosed in February. I've noticed now that I'm just no hungry. I have to force myself to eat something with my metformin or man I can get sick. Is this just the meds?</t>
        </is>
      </c>
      <c r="C3216" t="inlineStr">
        <is>
          <t xml:space="preserve">
Oh my A1C recently was 6.0.</t>
        </is>
      </c>
      <c r="D3216" t="n">
        <v>7</v>
      </c>
      <c r="E3216" t="n">
        <v>12</v>
      </c>
      <c r="F3216">
        <f>HYPERLINK("https://www.reddit.com/r/diabetes/comments/6i4v5h/question_type_2_here_on_trulicity_1_a_week_and/")</f>
        <v/>
      </c>
      <c r="G3216" t="inlineStr">
        <is>
          <t>2017-06-19 00:12:24</t>
        </is>
      </c>
      <c r="H3216" t="inlineStr">
        <is>
          <t>Type 2</t>
        </is>
      </c>
    </row>
    <row r="3217">
      <c r="A3217" t="inlineStr">
        <is>
          <t>6i7fvl</t>
        </is>
      </c>
      <c r="B3217" t="inlineStr">
        <is>
          <t>My dad's diabetes is 23 (canadian) and he feels dizzy, weak, hungry/thirsty and is flushed. He won't go to the hospital I'm lost and don't know what to do :(</t>
        </is>
      </c>
      <c r="C3217" t="inlineStr">
        <is>
          <t>He's a type 2 diabetic for a while now, his diabetes has been slowly increasing and the docs just keep upping his medication and it's not helping. He's unwell the past few days and today it's worse and he won't go get checked out I am so frustrated. Is this as bad as I think it is?</t>
        </is>
      </c>
      <c r="D3217" t="n">
        <v>15</v>
      </c>
      <c r="E3217" t="n">
        <v>17</v>
      </c>
      <c r="F3217">
        <f>HYPERLINK("https://www.reddit.com/r/diabetes/comments/6i7fvl/my_dads_diabetes_is_23_canadian_and_he_feels/")</f>
        <v/>
      </c>
      <c r="G3217" t="inlineStr">
        <is>
          <t>2017-06-19 09:17:29</t>
        </is>
      </c>
      <c r="H3217" t="inlineStr">
        <is>
          <t>Type 2</t>
        </is>
      </c>
    </row>
    <row r="3218">
      <c r="A3218" t="inlineStr">
        <is>
          <t>6iax84</t>
        </is>
      </c>
      <c r="B3218" t="inlineStr">
        <is>
          <t>A success story!</t>
        </is>
      </c>
      <c r="C3218" t="inlineStr">
        <is>
          <t>t2 diagnosed in January with a 12.6. 10 units of Lantus + 1000mg of metformin (2x 500mg pills with breakfast and dinner)
Cut carbs to 100-150 a day, only good carbs, tested 8 times a day, worked out 4 times a week. Resting was always under 100, rarely went above 120, even 1.5 hours after meals w/ 50g carbs. 
Slipped in the last month and went to about 200-250g carbs a day, and a fair bit of bad carbs in there. Resting was at 115ish while I was regularly hitting 160 after meals. 
Was VERY worried about my a1c test after fathers day and an unusual number of birthday parties in the past month. Plus a bachelor party where a group of 10 of us drank 600 beers in 3 days. 
Well... came back at 6.1 6 months to the day after my diagnosis! I am very happy and proud! Might be able to come off the insulin shots soon. So excited! I just cant get used to them. 
Wanted to thank this sub for all the information and support!</t>
        </is>
      </c>
      <c r="D3218" t="n">
        <v>9</v>
      </c>
      <c r="E3218" t="n">
        <v>4</v>
      </c>
      <c r="F3218">
        <f>HYPERLINK("https://www.reddit.com/r/diabetes/comments/6iax84/a_success_story/")</f>
        <v/>
      </c>
      <c r="G3218" t="inlineStr">
        <is>
          <t>2017-06-19 18:33:14</t>
        </is>
      </c>
      <c r="H3218" t="inlineStr">
        <is>
          <t>Type 2</t>
        </is>
      </c>
    </row>
    <row r="3219">
      <c r="A3219" t="inlineStr">
        <is>
          <t>6igiim</t>
        </is>
      </c>
      <c r="B3219" t="inlineStr">
        <is>
          <t>Help in fitting 3000 calories into a day?</t>
        </is>
      </c>
      <c r="C3219" t="inlineStr">
        <is>
          <t>Hey guys,
So I'm currently trying to gain weight.  It's kinda tough for me to get 3000 calories in a day without eating a shitload of carbs.  
Anyone have any suggestions?</t>
        </is>
      </c>
      <c r="D3219" t="n">
        <v>4</v>
      </c>
      <c r="E3219" t="n">
        <v>13</v>
      </c>
      <c r="F3219">
        <f>HYPERLINK("https://www.reddit.com/r/diabetes/comments/6igiim/help_in_fitting_3000_calories_into_a_day/")</f>
        <v/>
      </c>
      <c r="G3219" t="inlineStr">
        <is>
          <t>2017-06-20 12:50:05</t>
        </is>
      </c>
      <c r="H3219" t="inlineStr">
        <is>
          <t>Type 1</t>
        </is>
      </c>
    </row>
    <row r="3220">
      <c r="A3220" t="inlineStr">
        <is>
          <t>6igrd3</t>
        </is>
      </c>
      <c r="B3220" t="inlineStr">
        <is>
          <t>When do you inject your bolus before your meal?</t>
        </is>
      </c>
      <c r="C3220" t="inlineStr">
        <is>
          <t xml:space="preserve">So if I understand correctly, different types of insulin require different amounts of time to kick in and this is also different for everyone, as everyone is different? 
But I was just curious how long before your meal you inject your insulin? I'm using Novorapid with injection (and Levemir at night), which says insulin aspart on the penfill, before my meal, and my endo learned me to inject it when the food is actually on my plate, right before I start eating. Are you doing the same with this type of insulin? </t>
        </is>
      </c>
      <c r="D3220" t="n">
        <v>2</v>
      </c>
      <c r="E3220" t="n">
        <v>6</v>
      </c>
      <c r="F3220">
        <f>HYPERLINK("https://www.reddit.com/r/diabetes/comments/6igrd3/when_do_you_inject_your_bolus_before_your_meal/")</f>
        <v/>
      </c>
      <c r="G3220" t="inlineStr">
        <is>
          <t>2017-06-20 13:26:25</t>
        </is>
      </c>
      <c r="H3220" t="inlineStr">
        <is>
          <t>Type 1</t>
        </is>
      </c>
    </row>
    <row r="3221">
      <c r="A3221" t="inlineStr">
        <is>
          <t>6inaln</t>
        </is>
      </c>
      <c r="B3221" t="inlineStr">
        <is>
          <t>Getting used to normal Blood sugars or liver.</t>
        </is>
      </c>
      <c r="C3221" t="inlineStr">
        <is>
          <t>So I'll be diabetic for about 5 years come this august. I have hovered around 8-9 through college 2012-2016 and my most recent one out of school was 7.3. I have then started a new where I have been rocking a pretty high number for the past 8 months - somewhere around ~250mg/mol. Luckily I haven't had an problems or complications - other than anxiety(stomach ache,nervousness, feel nauseous, and head fog.) The anxiety symptoms would happen maybe once a week - I never had a real history of anxiety, but I think me being a self proclaimed hypochondriac, high blood sugar, and having diabetes itself caused that. Besides that anxiety - I have no problems, I actually feel better when I have high blood sugar in comparison to low. 
Next, I get a blood test done and the doc noted that I had slightly elevated bilirubin levels.
TOTAL PROTEIN	7.5 g/dl  |	6.3 - 8.3 g/dl
ALBUMIN	4.8 g/dl  |	4.0 - 5.4 g/dl
ALT	10 U/L  |	0 - 50 U/L
AST	14 U/L  |	9 - 53 U/L
ALKALINE PHOSPHATASE	80 U/L  |	35 - 129 U/L
BILIRUBIN, TOTAL	1.8 mg/dL  |	0.2 - 1.3 mg/dL
BILIRUBIN, DIRECT	0.4 mg/dL   |	0.0 - 0.3 mg/dL
The left value being mine and the right value being the average.
So recently I have been depressed about me having anxiety and high numbers, so these past 2 weeks I've been cracking down and trying to better my numbers. I usually sit around 100-160 now, with a few outliers in the morning(dawn phenomenon). 
When my blood sugars are in this level, I feel like shit at times. I feel very close symptoms to hypos, but I know they arent. My body  actually feels out of whack, I shake/shiver when I'm not cold, a get a little nauseous and sometimes headaches. All these symptoms trigger my anxiety, which drains me - then I slowly recover.
I have read that this happens to people who are normalizing their blood sugars after a period of being high. The only reason I am worried, is because I can't differentiate if my body as a whole is adjusting to normal blood sugars or if my liver is actually a problem. I wouldn't call it pain, but a pressure/feeling that makes me aware of my liver and the area around it. The feeling goes all over my mid section but at some points it feels like its centered only around my liver area. THIS LIVER FEELING ONLY HAPPENS WHEN I AM IN GOOD BLOOD SUGAR RANGE AND MY BODY HAS THAT HYPO FEELING. I have spoken to 2 doctors and taken 2 separate blood tests with similar results and the doctor said both times I am completely healthy. He said that i just have slightly elevated levels for an odd reason - or I have gilberts disease - which he said was benign.
I know this info is poorly put together...so, a TL;DR:
I am t1, who has lived with high blood sugar for a while. I am in the process of correcting them and I've been told your body goes out of whack/hypo feeling during this process. During that time of going out of whack I notice a feeling around my liver. With the numbers I just gave you guys, along with my info I provided, would it be worth going in to see my doc again, or just chalk this up as my body getting used to normal blood sugars.
Let me know if I need to clarify things! Thanks all</t>
        </is>
      </c>
      <c r="D3221" t="n">
        <v>1</v>
      </c>
      <c r="E3221" t="n">
        <v>5</v>
      </c>
      <c r="F3221">
        <f>HYPERLINK("https://www.reddit.com/r/diabetes/comments/6inaln/getting_used_to_normal_blood_sugars_or_liver/")</f>
        <v/>
      </c>
      <c r="G3221" t="inlineStr">
        <is>
          <t>2017-06-21 10:21:40</t>
        </is>
      </c>
      <c r="H3221" t="inlineStr">
        <is>
          <t>Type 1</t>
        </is>
      </c>
    </row>
    <row r="3222">
      <c r="A3222" t="inlineStr">
        <is>
          <t>6inpge</t>
        </is>
      </c>
      <c r="B3222" t="inlineStr">
        <is>
          <t>Basal rates are whack</t>
        </is>
      </c>
      <c r="C3222" t="inlineStr">
        <is>
          <t>How much does MDI basal usually vary?  I'm doing a drug study that has made mine change every couple of days, and being on Tresiba makes it even more frustrating. In the last 5 months I've gone from 18 to 5 to 30u, and everywhere in between.</t>
        </is>
      </c>
      <c r="D3222" t="n">
        <v>0</v>
      </c>
      <c r="E3222" t="n">
        <v>5</v>
      </c>
      <c r="F3222">
        <f>HYPERLINK("https://www.reddit.com/r/diabetes/comments/6inpge/basal_rates_are_whack/")</f>
        <v/>
      </c>
      <c r="G3222" t="inlineStr">
        <is>
          <t>2017-06-21 11:21:26</t>
        </is>
      </c>
      <c r="H3222" t="inlineStr">
        <is>
          <t>Type 1</t>
        </is>
      </c>
    </row>
    <row r="3223">
      <c r="A3223" t="inlineStr">
        <is>
          <t>6ipllb</t>
        </is>
      </c>
      <c r="B3223" t="inlineStr">
        <is>
          <t>I misread my insurance, now I'm basically done.</t>
        </is>
      </c>
      <c r="C3223" t="inlineStr">
        <is>
          <t>I made a mistake 6 months ago reading my insurance policy manual, and it turns out I'm not covered for a CGM because I don't have a pump. Today they finally notify me about this and how I owe $1,600. I don't know how I'm gonna pay that.
Also, besides the fact that I don't want a pump because I'm terrified of scarring and all the other pains of pumping, I can't afford both a CGM *and* a pump. I don't know what I'm gonna do because I'm hypoglycemic unaware, in addition to living alone and working alone every day.
I was doing okay for a while but now I don't know what to do. Things just keep getting harder and harder, without any reprieve. I keep getting more bills, I can't afford furniture for my tiny apartment or even clothes. I hate my job and I have no money for education or hobbies, let alone leisure. I can't afford therapy. There is no one in my life. I am utterly alone. It almost seems like I'm cursed or something. I just want to lie down and wait to die.</t>
        </is>
      </c>
      <c r="D3223" t="n">
        <v>16</v>
      </c>
      <c r="E3223" t="n">
        <v>13</v>
      </c>
      <c r="F3223">
        <f>HYPERLINK("https://www.reddit.com/r/diabetes/comments/6ipllb/i_misread_my_insurance_now_im_basically_done/")</f>
        <v/>
      </c>
      <c r="G3223" t="inlineStr">
        <is>
          <t>2017-06-21 16:19:02</t>
        </is>
      </c>
      <c r="H3223" t="inlineStr">
        <is>
          <t>Type 1</t>
        </is>
      </c>
    </row>
    <row r="3224">
      <c r="A3224" t="inlineStr">
        <is>
          <t>6iqf8w</t>
        </is>
      </c>
      <c r="B3224" t="inlineStr">
        <is>
          <t>Keto is beyond busted for diabetes control</t>
        </is>
      </c>
      <c r="C3224" t="inlineStr">
        <is>
          <t xml:space="preserve">I'm week 4 on keto diet.  I kinda started it on accident due to a pump failure and I hated taking injections for a bit lol, so I ate none of the carbs.  Kept it up and found it easier with a pump since I bolus 0.6U of insulin for lunch all the time.  
My blood sugars today:
7:50am:   98
12:30pm: 110
6:45pm:   90
9:33pm    88
If I keep this up, my 8.7 A1C will be a thing of the past.
It is also super easy to do as long as I stick to the plan of not eating carbs.  I feel better and do less diabetes management than I did before.  I haven't gotten any lows (except at night, need to figure that one out still) because I'm not taking much short acting insulin.  I really don't think I had a day this good in 10 years of diabetes, and not even on my honeymoon period.
I ate exactly 20g of net carbs today.  I wish I had a fancy cgm graph to show off, but alas :P.  </t>
        </is>
      </c>
      <c r="D3224" t="n">
        <v>52</v>
      </c>
      <c r="E3224" t="n">
        <v>68</v>
      </c>
      <c r="F3224">
        <f>HYPERLINK("https://www.reddit.com/r/diabetes/comments/6iqf8w/keto_is_beyond_busted_for_diabetes_control/")</f>
        <v/>
      </c>
      <c r="G3224" t="inlineStr">
        <is>
          <t>2017-06-21 18:48:19</t>
        </is>
      </c>
      <c r="H3224" t="inlineStr">
        <is>
          <t>Type 1</t>
        </is>
      </c>
    </row>
    <row r="3225">
      <c r="A3225" t="inlineStr">
        <is>
          <t>6irrcv</t>
        </is>
      </c>
      <c r="B3225" t="inlineStr">
        <is>
          <t>W H Y ???????</t>
        </is>
      </c>
      <c r="C3225" t="inlineStr">
        <is>
          <t>a couple hours ago I checked my BG a couple hours after eating dinner, 145 ok
checked it again about 30 minutes later, 125 sounds good
checked it again maybe 2 hours later 195????
20 minutes later 230?? 
what? I haven't eaten anything for maybe 5 hours why is my BG suddenly high?? I have had my pump plugged in the whole time, drinking water, new site put in this morning (but it has been working the whole day this far) 
Share ideas if you have any, but I'm mostly looking to rant thank u</t>
        </is>
      </c>
      <c r="D3225" t="n">
        <v>13</v>
      </c>
      <c r="E3225" t="n">
        <v>29</v>
      </c>
      <c r="F3225">
        <f>HYPERLINK("https://www.reddit.com/r/diabetes/comments/6irrcv/w_h_y/")</f>
        <v/>
      </c>
      <c r="G3225" t="inlineStr">
        <is>
          <t>2017-06-21 23:30:07</t>
        </is>
      </c>
      <c r="H3225" t="inlineStr">
        <is>
          <t>Type 1</t>
        </is>
      </c>
    </row>
    <row r="3226">
      <c r="A3226" t="inlineStr">
        <is>
          <t>6iuwmi</t>
        </is>
      </c>
      <c r="B3226" t="inlineStr">
        <is>
          <t>When is it safe to workout?</t>
        </is>
      </c>
      <c r="C3226" t="inlineStr">
        <is>
          <t>I want to go to the gym in the morning, is it safe for me to lift 3 hours after my injection to my breakfast? Or will something weird happen, pro-tips appreciated</t>
        </is>
      </c>
      <c r="D3226" t="n">
        <v>9</v>
      </c>
      <c r="E3226" t="n">
        <v>16</v>
      </c>
      <c r="F3226">
        <f>HYPERLINK("https://www.reddit.com/r/diabetes/comments/6iuwmi/when_is_it_safe_to_workout/")</f>
        <v/>
      </c>
      <c r="G3226" t="inlineStr">
        <is>
          <t>2017-06-22 10:10:35</t>
        </is>
      </c>
      <c r="H3226" t="inlineStr">
        <is>
          <t>Type 1</t>
        </is>
      </c>
    </row>
    <row r="3227">
      <c r="A3227" t="inlineStr">
        <is>
          <t>6j1u1u</t>
        </is>
      </c>
      <c r="B3227" t="inlineStr">
        <is>
          <t>First A1C Result Since Diagnosis: 4.9!!!</t>
        </is>
      </c>
      <c r="C3227" t="inlineStr">
        <is>
          <t>In March, I was hospitalized with DKA and diagnosed with T1D. At that time, my A1C was 11.5.
 I'm 28 years old, no family history of the beetus. 
Today, my first post-diagnosis A1C is 4.9! MDI and finger pricks, plus the unending support of my wonderful wife, have made a huge difference in my life. It's so good to feel normal again.</t>
        </is>
      </c>
      <c r="D3227" t="n">
        <v>31</v>
      </c>
      <c r="E3227" t="n">
        <v>15</v>
      </c>
      <c r="F3227">
        <f>HYPERLINK("https://www.reddit.com/r/diabetes/comments/6j1u1u/first_a1c_result_since_diagnosis_49/")</f>
        <v/>
      </c>
      <c r="G3227" t="inlineStr">
        <is>
          <t>2017-06-23 08:19:10</t>
        </is>
      </c>
      <c r="H3227" t="inlineStr">
        <is>
          <t>Type 1</t>
        </is>
      </c>
    </row>
    <row r="3228">
      <c r="A3228" t="inlineStr">
        <is>
          <t>6j26gc</t>
        </is>
      </c>
      <c r="B3228" t="inlineStr">
        <is>
          <t>Is there any reason why I shouldn't fill all of my reservoirs right now and have them ready in the fridge when I need them?</t>
        </is>
      </c>
      <c r="C3228" t="inlineStr">
        <is>
          <t>I've got a Medtronic pump and take novolog. Any reason I should avoid doing this? It seems like I run out of insulin at the worst times, usually when I'm sleeping and then have to wake up and make a new reservoir</t>
        </is>
      </c>
      <c r="D3228" t="n">
        <v>2</v>
      </c>
      <c r="E3228" t="n">
        <v>11</v>
      </c>
      <c r="F3228">
        <f>HYPERLINK("https://www.reddit.com/r/diabetes/comments/6j26gc/is_there_any_reason_why_i_shouldnt_fill_all_of_my/")</f>
        <v/>
      </c>
      <c r="G3228" t="inlineStr">
        <is>
          <t>2017-06-23 09:12:27</t>
        </is>
      </c>
      <c r="H3228" t="inlineStr">
        <is>
          <t>Type 1</t>
        </is>
      </c>
    </row>
    <row r="3229">
      <c r="A3229" t="inlineStr">
        <is>
          <t>6j7yz3</t>
        </is>
      </c>
      <c r="B3229" t="inlineStr">
        <is>
          <t>Why am I suddenly going low very quickly?</t>
        </is>
      </c>
      <c r="C3229" t="inlineStr">
        <is>
          <t>I've had two severe lows during/after meals today and I don't know what's causing my bg to drop so rapidly. What increases insulin absorption rate? I can't think of anything I've done differently from any other day. Both times I was eating before injecting (as opposed to usually eating after), and it still tanked me within like 30 minutes. I don't think I hit a muscle, especially not twice.
EDIT: my bolus requirements have been going down, maybe the small amount (2u) is absorbed faster than the normal 3-4u
EDIT 2: actually nevermind the second low was 3 units. Back to the drawing board.
SOLVED: I think my meal schedule was messed up. Used to 100 carbs at around the same times every day and I guess I've gotten into too much of a habit.</t>
        </is>
      </c>
      <c r="D3229" t="n">
        <v>9</v>
      </c>
      <c r="E3229" t="n">
        <v>25</v>
      </c>
      <c r="F3229">
        <f>HYPERLINK("https://www.reddit.com/r/diabetes/comments/6j7yz3/why_am_i_suddenly_going_low_very_quickly/")</f>
        <v/>
      </c>
      <c r="G3229" t="inlineStr">
        <is>
          <t>2017-06-24 05:44:21</t>
        </is>
      </c>
      <c r="H3229" t="inlineStr">
        <is>
          <t>Type 1</t>
        </is>
      </c>
    </row>
    <row r="3230">
      <c r="A3230" t="inlineStr">
        <is>
          <t>6j8qnx</t>
        </is>
      </c>
      <c r="B3230" t="inlineStr">
        <is>
          <t>Basal reductions on keto?</t>
        </is>
      </c>
      <c r="C3230" t="inlineStr">
        <is>
          <t xml:space="preserve">Has anyone else experienced basal reductions on Keto?  Pre-keto, I was on 18 units per day of basal.  Recently, with Keto, I was on 14.  Now, I'm down to 8.  Which is both awesome, and crazy.
Does this happen often with keto?  Should I expect it to continue?
</t>
        </is>
      </c>
      <c r="D3230" t="n">
        <v>1</v>
      </c>
      <c r="E3230" t="n">
        <v>6</v>
      </c>
      <c r="F3230">
        <f>HYPERLINK("https://www.reddit.com/r/diabetes/comments/6j8qnx/basal_reductions_on_keto/")</f>
        <v/>
      </c>
      <c r="G3230" t="inlineStr">
        <is>
          <t>2017-06-24 08:32:21</t>
        </is>
      </c>
      <c r="H3230" t="inlineStr">
        <is>
          <t>Type 1</t>
        </is>
      </c>
    </row>
    <row r="3231">
      <c r="A3231" t="inlineStr">
        <is>
          <t>6j8svz</t>
        </is>
      </c>
      <c r="B3231" t="inlineStr">
        <is>
          <t>Freestyle Libre - awesome tool, but how crazy is it for you? Do you know why?</t>
        </is>
      </c>
      <c r="C3231" t="inlineStr">
        <is>
          <t>Disclaimer: I really love my freestyle libre.  It removes SO much burden from diabetes management.
BUT... every so often, they go nuts on me, with the readings bottoming-out, or topping-out, despite BG readings being fine.
Does anyone know why this is?  Since the Libre takes readings from interstial fluid, and I'm on keto which can lead to dehydration if you're not careful (which I'm not -- my fault), I assume it's going nuts because I'm not getting enough fluid to the intercell skin areas it's trying to monitor.
Does that make sense?</t>
        </is>
      </c>
      <c r="D3231" t="n">
        <v>8</v>
      </c>
      <c r="E3231" t="n">
        <v>3</v>
      </c>
      <c r="F3231">
        <f>HYPERLINK("https://www.reddit.com/r/diabetes/comments/6j8svz/freestyle_libre_awesome_tool_but_how_crazy_is_it/")</f>
        <v/>
      </c>
      <c r="G3231" t="inlineStr">
        <is>
          <t>2017-06-24 08:44:10</t>
        </is>
      </c>
      <c r="H3231" t="inlineStr">
        <is>
          <t>Type 1</t>
        </is>
      </c>
    </row>
    <row r="3232">
      <c r="A3232" t="inlineStr">
        <is>
          <t>6jbj51</t>
        </is>
      </c>
      <c r="B3232" t="inlineStr">
        <is>
          <t>Can I drink a beer, just a single beer.</t>
        </is>
      </c>
      <c r="C3232" t="inlineStr">
        <is>
          <t>I've never drank before but have been wanting to try beer. What should I know about drinking beer with Diabetes? Is it at all possible?</t>
        </is>
      </c>
      <c r="D3232" t="n">
        <v>7</v>
      </c>
      <c r="E3232" t="n">
        <v>24</v>
      </c>
      <c r="F3232">
        <f>HYPERLINK("https://www.reddit.com/r/diabetes/comments/6jbj51/can_i_drink_a_beer_just_a_single_beer/")</f>
        <v/>
      </c>
      <c r="G3232" t="inlineStr">
        <is>
          <t>2017-06-24 17:30:28</t>
        </is>
      </c>
      <c r="H3232" t="inlineStr">
        <is>
          <t>Type 1</t>
        </is>
      </c>
    </row>
    <row r="3233">
      <c r="A3233" t="inlineStr">
        <is>
          <t>6jck1s</t>
        </is>
      </c>
      <c r="B3233" t="inlineStr">
        <is>
          <t>Had a bit of a breakdown today</t>
        </is>
      </c>
      <c r="C3233" t="inlineStr">
        <is>
          <t xml:space="preserve">I was diagnosed with type two diabetes about a month ago. It was question that I needed to buckle down and eat right. I cut the amount of carbs I eat down significantly, dropped soda and have been more active. I didn't realize how bad my numbers were last month until I signed up for a patient portal so I could see my results. I don't know why I wasn't in the hospital. My blood sugar 403, my A1C was 12.4% , my liver fuction counts were twice as high as they should be, my thyroid was 5.128 (I have Hatchimoto's), my sodium and  chloride were low. It was a mess. I am pissedny doctor only said mt results were bad, but only told me of the high A1C and low bicarb levels. He og ored my thyroid completely. I get the one problem at a time approach, but my thyroid needs to be addressed. I was so mad I had only lost a few pounds even though I am eating so much better. I have been so tiredand my chronic pain worse. I figured it was my blood sugar coming down. 
I was on Metformin for two weeks, but was so sick on it my doctor switched me to Januvia. He told me if my A1C wasn't under 7 he would up my dose from 50 to 100mg. I had my blood drawn on Thursday and yesterday his office called and said mt A1C is still high and to go up to 100mg. I am a bit pissed. Of course mt A1C is still high! It takes three months for it to come down and it jas only been 1! Considering it is an average and it was so high at first, there was no way my average would come down! I have been under 200 since two days after my diagnosis. I am never over 160 and am rarely close to it. The only time ny blood sugar is higher than it should be is my fasting and that is usually my highest reading for the day! I have been so good on my diet. I measure and count and decline food that will raise my blood sugar. I have been more active, but not as much as I would like to be partially because I had a bad cold a few weeks ago ans partly because the pain has been so bad it has taken everything in me to take care of my kids (they are 4.5 and almost 3). I feel like whatever activities I take for today I borrow from tomorrow to do. I hurt. I am exhausted. I am miserable. 
I have had chronic pain issues for years as well as health problems and it feels like I have lost any control I had over my life.  My one comfort was I could eat what I liked. Now I can't and it is a good part of the reason I habe diabetes. I know there is genetics. My grandpa on my mom's side had it, as well as his siblings and their kids. My grandma on my dad's side and her sister and one of her kids has it. My older sister has it. It was inevitable, but I hastened its arrival. I hate myself for it. I hate myself for being miserable. I know it is an adjustment. I know I am grieving the loss of my old life. I would be kind to anyone else feeling like this. But not to myself. I keeo telling myself it is just food and I need to get over it.
I am visiting my parents for the weekend and so I have no real ability to cook for myself. My mom's stove is terrible and her fridge is gross with no room for more food. My husband and I were deciding in lunch and I got surly. I didn't want to eat because I felt like it was all bad choices and I couldn't eat anything. My mom offered things I jad no way of making and it just pissed me off more. While she took the kids outside my husbandand I finally could talk. I broke down and ugly cried. I sobbed because it fwels like everything is getting worse instead of better. It feels like all my hard work is for nothing. I keep track of all my blood sugars, but I know my doctoe will barely glance at them and assume I am fudging the numbers. He asked mt husband it I was following my diet last time I went, like I was some child that wouldn't do what I should. I feel lile he trapped me because there was no way he wasn't going to bump up my medication. It feels lile a failure because I couldn't do enough to get it down no matter how impossible that may be. I know I need to find an endocrinologist because my case is complex and my doctor is not doing the best job managing it. I feel like he assumes I will be non complient and fail even though I have been trying my hardest.
On top of that, my sister keeps telling me I need to file for a medical marijuana license. Where she lives they are progressive and use it for many conditons. In mt state, there is a handful of conditions even then it is tough to get. If I apply they will deny me and it will get me flagged as a drug seeker. I have tried everything else I could. I can't take NSAIDS becauseof a neurological condition. If I get flagged I will never get help. No one wants to treat me as it is because my conditions will not get better. I feel shitty for being upset. I feel shitty physically. I feel so helpless. I feel like all I do is complain and I feel like shit for not getting over it sooner. 
I don't know what to do. I havean appointment with my PCP on Thursday. I can view my lab results on Tuesday. I plan to look for an endo on Monday and look at my results so I can talk to my doctor about them. But I still feel like I can't eat anything and I feel like I will always feel lile shit. I need something to go right and turn my mood around. I need some kind of victory.
Sorry for the rant. I am sure it has typos all over too and it is late and I am on my phone so I am going to just leave this as is. Thanks.for listening. You guys have been so supportive and it has really helped me in thos troubled time. I can't express how appreciative I am for that.
</t>
        </is>
      </c>
      <c r="D3233" t="n">
        <v>6</v>
      </c>
      <c r="E3233" t="n">
        <v>16</v>
      </c>
      <c r="F3233">
        <f>HYPERLINK("https://www.reddit.com/r/diabetes/comments/6jck1s/had_a_bit_of_a_breakdown_today/")</f>
        <v/>
      </c>
      <c r="G3233" t="inlineStr">
        <is>
          <t>2017-06-24 21:31:47</t>
        </is>
      </c>
      <c r="H3233" t="inlineStr">
        <is>
          <t>Type 2</t>
        </is>
      </c>
    </row>
    <row r="3234">
      <c r="A3234" t="inlineStr">
        <is>
          <t>6jcmbh</t>
        </is>
      </c>
      <c r="B3234" t="inlineStr">
        <is>
          <t>Dad!</t>
        </is>
      </c>
      <c r="C3234" t="inlineStr">
        <is>
          <t xml:space="preserve">My dad is type 1.5, long time bio chem focused dentist (bio mimetic bonding and restorative dentist) who just retired and is now reading and studying everything he can about dog behavior and dog training to train his own diabetic service animal! 
Meet Moses! He is 7 months old and already learning scenting for low blood glucose!
http://instagram.com/the_sugarfree_dog
He uses a dexcom CGM, and a pump, he's got a pretty great handle on his personal care and would love to help anyone with questions or fears about diabetes. 
</t>
        </is>
      </c>
      <c r="D3234" t="n">
        <v>2</v>
      </c>
      <c r="E3234" t="n">
        <v>13</v>
      </c>
      <c r="F3234">
        <f>HYPERLINK("https://www.reddit.com/r/diabetes/comments/6jcmbh/dad/")</f>
        <v/>
      </c>
      <c r="G3234" t="inlineStr">
        <is>
          <t>2017-06-24 21:47:41</t>
        </is>
      </c>
      <c r="H3234" t="inlineStr">
        <is>
          <t>Type 1.5/LADA</t>
        </is>
      </c>
    </row>
    <row r="3235">
      <c r="A3235" t="inlineStr">
        <is>
          <t>6ji1lz</t>
        </is>
      </c>
      <c r="B3235" t="inlineStr">
        <is>
          <t>CLA supplement and type 1 diabetes</t>
        </is>
      </c>
      <c r="C3235" t="inlineStr">
        <is>
          <t xml:space="preserve">ASKING SPECIFICALLY FOR TYPE ONE. 
I've been working out lately and I was told cla works as a great fat burner. Did some research and it suggests that diabetics might have a higher insulin resistance while on cla. Is this true? Are my facts right? Is there anything else I should know? 
Edit: so my friend who is also diabetic and taking crazy science classes informed me that this stuff makes your blood more acidic because the cla ups your keytone count. And is very bad for diabetics because we can't regulate our sugars. Also while I was on cla my blood sugars were very high and very hard to manage. So I stopped. </t>
        </is>
      </c>
      <c r="D3235" t="n">
        <v>1</v>
      </c>
      <c r="E3235" t="n">
        <v>2</v>
      </c>
      <c r="F3235">
        <f>HYPERLINK("https://www.reddit.com/r/diabetes/comments/6ji1lz/cla_supplement_and_type_1_diabetes/")</f>
        <v/>
      </c>
      <c r="G3235" t="inlineStr">
        <is>
          <t>2017-06-25 18:10:04</t>
        </is>
      </c>
      <c r="H3235" t="inlineStr">
        <is>
          <t>Type 1</t>
        </is>
      </c>
    </row>
    <row r="3236">
      <c r="A3236" t="inlineStr">
        <is>
          <t>6jot1g</t>
        </is>
      </c>
      <c r="B3236" t="inlineStr">
        <is>
          <t>T2 and Identification While Hiking</t>
        </is>
      </c>
      <c r="C3236" t="inlineStr">
        <is>
          <t>I'm a well controlled T2 on oral meds, diet and exercise. I'm currently planning a solo section hike of the Appalachian Trail in September. I'm going to be gone for two weeks and going a little over 170 miles.
Recently I've started working with a personal trainer to get myself in better shape and after our sessions I've started going low. Nothing extreme, just getting down into the 60's before I catch it. I'm working on figuring out how many carbs I need to take before I go to the gym. This has gotten me thinking about the hike. I've hiked all my life and I've used it as my main form of exercise since I was diagnosed. I've never been out for that long though. 
Should I wear a diabetic identification bracelets on my hike? If so is there one that's better than others for heavy outdoor use? I do carry hypo treatments (OK I carry a couple tubes of cake icing that I keep in my hammock with me). My main fear is going low at night in my sleep... though this has never really happened to me. I don't know if this is all in my head or if it's something that I should be worried about.
Thanks!</t>
        </is>
      </c>
      <c r="D3236" t="n">
        <v>2</v>
      </c>
      <c r="E3236" t="n">
        <v>6</v>
      </c>
      <c r="F3236">
        <f>HYPERLINK("https://www.reddit.com/r/diabetes/comments/6jot1g/t2_and_identification_while_hiking/")</f>
        <v/>
      </c>
      <c r="G3236" t="inlineStr">
        <is>
          <t>2017-06-26 16:23:13</t>
        </is>
      </c>
      <c r="H3236" t="inlineStr">
        <is>
          <t>Type 2</t>
        </is>
      </c>
    </row>
    <row r="3237">
      <c r="A3237" t="inlineStr">
        <is>
          <t>6js81j</t>
        </is>
      </c>
      <c r="B3237" t="inlineStr">
        <is>
          <t>Accidentally did rewind on pump while connected</t>
        </is>
      </c>
      <c r="C3237" t="inlineStr">
        <is>
          <t>Minimed 630. Having a hard time figuring out if that is going to cause a problem. Was in the first step of reservoir change and forgot to remove it.
Ty for any help!</t>
        </is>
      </c>
      <c r="D3237" t="n">
        <v>0</v>
      </c>
      <c r="E3237" t="n">
        <v>2</v>
      </c>
      <c r="F3237">
        <f>HYPERLINK("https://www.reddit.com/r/diabetes/comments/6js81j/accidentally_did_rewind_on_pump_while_connected/")</f>
        <v/>
      </c>
      <c r="G3237" t="inlineStr">
        <is>
          <t>2017-06-27 05:07:23</t>
        </is>
      </c>
      <c r="H3237" t="inlineStr">
        <is>
          <t>Type 1</t>
        </is>
      </c>
    </row>
    <row r="3238">
      <c r="A3238" t="inlineStr">
        <is>
          <t>6jssgg</t>
        </is>
      </c>
      <c r="B3238" t="inlineStr">
        <is>
          <t>Moving in the right direction</t>
        </is>
      </c>
      <c r="C3238" t="inlineStr">
        <is>
          <t xml:space="preserve">Last month I was diagnosed with type two diabetes. My A1C was 12.4%. Today it is 10.2% still not good, but I know it takes 3 months to go down. My blood sugars have been really good. I have not even been close to 200. I am worried becauae my bicarb dropped again. It is 19.  I see my doctor in two days. </t>
        </is>
      </c>
      <c r="D3238" t="n">
        <v>6</v>
      </c>
      <c r="E3238" t="n">
        <v>7</v>
      </c>
      <c r="F3238">
        <f>HYPERLINK("https://www.reddit.com/r/diabetes/comments/6jssgg/moving_in_the_right_direction/")</f>
        <v/>
      </c>
      <c r="G3238" t="inlineStr">
        <is>
          <t>2017-06-27 06:49:01</t>
        </is>
      </c>
      <c r="H3238" t="inlineStr">
        <is>
          <t>Type 2</t>
        </is>
      </c>
    </row>
    <row r="3239">
      <c r="A3239" t="inlineStr">
        <is>
          <t>6jtgge</t>
        </is>
      </c>
      <c r="B3239" t="inlineStr">
        <is>
          <t>keto / no carb diet works</t>
        </is>
      </c>
      <c r="C3239" t="inlineStr">
        <is>
          <t xml:space="preserve">3 months later the numbers are in and the keto worked wonder for me. was a type 2 for 25 years now considered pre diabetic to my endo .
HA1C 4.8
kidney function improved 
inflammation markers down significantly
i was taken off insulin as well .
</t>
        </is>
      </c>
      <c r="D3239" t="n">
        <v>14</v>
      </c>
      <c r="E3239" t="n">
        <v>16</v>
      </c>
      <c r="F3239">
        <f>HYPERLINK("https://www.reddit.com/r/diabetes/comments/6jtgge/keto_no_carb_diet_works/")</f>
        <v/>
      </c>
      <c r="G3239" t="inlineStr">
        <is>
          <t>2017-06-27 08:33:36</t>
        </is>
      </c>
      <c r="H3239" t="inlineStr">
        <is>
          <t>Type 2</t>
        </is>
      </c>
    </row>
    <row r="3240">
      <c r="A3240" t="inlineStr">
        <is>
          <t>6k9pd3</t>
        </is>
      </c>
      <c r="B3240" t="inlineStr">
        <is>
          <t>Help! Ill, can't eat, struggling with higher ketones.</t>
        </is>
      </c>
      <c r="C3240" t="inlineStr">
        <is>
          <t>I've been ill with the Coxsackie virus for two days. I am only able to eat 16% of my daily food (all liquid carbs, I'm a muscly person, my normal intake is 3700kcal, 600kcal now), eating produces very intense pain. I am able to manage my BGL at around 160, it's almost the best I can do. But my ketones are fluctuating between 0.6mmol/l and 0.9mmol/l in blood, 1+ (1.5mmol/l) to 2+ (4mmol/l) in urine. With high fever, all my fluid intake gets sweat out. And so it takes 6 or so hours to just get 0.9 to 0.6. 1.5 mmol/l would be suspected DKA.
ER care under my government's public insurance does not include IV dextrose in such cases, only when BGL is &amp;lt; 23.4. Insulin drip if BGL is &amp;gt; 400mg/dl. In my experience, DKA is treated with IV fluids only. As I am PWD, ER provides me with hard food (which I cannot eat). This would cause my health to deteriorate quickly.
Please give me some advice as I am out of my depth. I am armed to my teeth with BGL strips and blood ketone strips. But I can not eat much at all.
EDIT: My TDD has only decreased by 11%, even though I eat next to nothing. I am getting almost the same amount of insulin, it could be that my fat/muscle breakdown has increased. Do you agree or disagree? Can any keto people comment if they have ketones in urine and at what levels usually? I would be grateful beyond words. 
EDIT 2: Thank you everyone for helping me come up with a viable strategy for the 7-10 days to come.</t>
        </is>
      </c>
      <c r="D3240" t="n">
        <v>6</v>
      </c>
      <c r="E3240" t="n">
        <v>10</v>
      </c>
      <c r="F3240">
        <f>HYPERLINK("https://www.reddit.com/r/diabetes/comments/6k9pd3/help_ill_cant_eat_struggling_with_higher_ketones/")</f>
        <v/>
      </c>
      <c r="G3240" t="inlineStr">
        <is>
          <t>2017-06-29 10:02:23</t>
        </is>
      </c>
      <c r="H3240" t="inlineStr">
        <is>
          <t>Type 1</t>
        </is>
      </c>
    </row>
    <row r="3241">
      <c r="A3241" t="inlineStr">
        <is>
          <t>6k9sse</t>
        </is>
      </c>
      <c r="B3241" t="inlineStr">
        <is>
          <t>Today is my Dia-versarry</t>
        </is>
      </c>
      <c r="C3241" t="inlineStr">
        <is>
          <t xml:space="preserve">2 years ago I was on vacation in Hershey PA and I got badly sick. On 6/29/2015 I went into the ER and tested with a BG of 696, DKA, and an a1c of 11, and learned I was a type 1 diabetic. I was in the ICU 2 days and a normal hospital room for 3 more. 
Today, 6/29/2017, I am happy, healthy, and managing my diabetes and keeping my BG around 120 and have an a1c of 7.4 as of my last appointment. </t>
        </is>
      </c>
      <c r="D3241" t="n">
        <v>26</v>
      </c>
      <c r="E3241" t="n">
        <v>7</v>
      </c>
      <c r="F3241">
        <f>HYPERLINK("https://www.reddit.com/r/diabetes/comments/6k9sse/today_is_my_diaversarry/")</f>
        <v/>
      </c>
      <c r="G3241" t="inlineStr">
        <is>
          <t>2017-06-29 10:16:01</t>
        </is>
      </c>
      <c r="H3241" t="inlineStr">
        <is>
          <t>Type 1</t>
        </is>
      </c>
    </row>
    <row r="3242">
      <c r="A3242" t="inlineStr">
        <is>
          <t>6k9xrk</t>
        </is>
      </c>
      <c r="B3242" t="inlineStr">
        <is>
          <t>Update on Type 1 mother with pancreatic cancer trying to gain weight</t>
        </is>
      </c>
      <c r="C3242" t="inlineStr">
        <is>
          <t>Hello, I posted in here a few weeks ago to ask for advice on how to help my mother gain weight (and got some very good feedback). I wanted to give an update on the situation.
My mom has continued to lose weight, down from 93 to 88 lbs. Her hair has been coming out and her nails breaking off short, so we're all very concerned.
However, the doctors have said that the cause is likely pancreatic insufficiency, and increasing pancreatic enzyme would do a lot fix the problem. Basically her body wasn't able to properly absorb nutrients derived from fat. It also could be the cause of major stomach discomfort.
They advised her to not stress too much about high blood sugar - she still needs to treat it, but they want her running a little high (around 180) when she's trying to gain back weight. I assume the reason is to not risk going dangerously low while she's so thin and delicate. They also put her on the pipeline for getting a Dexcom CGM which I am very excited about!
We've also had success with the nutritional shake "ENU". I hope that will become a new family favorite in the home.
Thanks for all the support and advice you guys have given on things :)
EDIT - link to original post --&amp;gt; https://www.reddit.com/r/diabetes/comments/6h1rmj/type_1_diabetic_recovering_from_chemo_needs_to/?st=J4IPOWY7&amp;amp;sh=8be01ee2</t>
        </is>
      </c>
      <c r="D3242" t="n">
        <v>12</v>
      </c>
      <c r="E3242" t="n">
        <v>4</v>
      </c>
      <c r="F3242">
        <f>HYPERLINK("https://www.reddit.com/r/diabetes/comments/6k9xrk/update_on_type_1_mother_with_pancreatic_cancer/")</f>
        <v/>
      </c>
      <c r="G3242" t="inlineStr">
        <is>
          <t>2017-06-29 10:35:59</t>
        </is>
      </c>
      <c r="H3242" t="inlineStr">
        <is>
          <t>Type 1</t>
        </is>
      </c>
    </row>
    <row r="3243">
      <c r="A3243" t="inlineStr">
        <is>
          <t>6kc7io</t>
        </is>
      </c>
      <c r="B3243" t="inlineStr">
        <is>
          <t>Had my second A1C since diagnosis and it's 4.9!!!!</t>
        </is>
      </c>
      <c r="C3243" t="inlineStr">
        <is>
          <t>Whelp I have been logging in every hour to my primaries followmyhealth app and it just got posted.  4.9.  I couldn't be happier.  It feels like I have this diabetes type II under control.  I have lost a 106lbs.  Got myself into better shape than I have ever been in my entire life.  Even started hiking again.  Saturday marked my return to one of my favorite mountains on the AT, Bigelow, and it was like a dream come true.  I never thought I would see those heights again.  I was so depressed when I got diagnosed at the end of December, looks like diabetes was actually a new lease on life for me.  Here is hoping that tomorrow I go off metformin.</t>
        </is>
      </c>
      <c r="D3243" t="n">
        <v>53</v>
      </c>
      <c r="E3243" t="n">
        <v>10</v>
      </c>
      <c r="F3243">
        <f>HYPERLINK("https://www.reddit.com/r/diabetes/comments/6kc7io/had_my_second_a1c_since_diagnosis_and_its_49/")</f>
        <v/>
      </c>
      <c r="G3243" t="inlineStr">
        <is>
          <t>2017-06-29 16:27:18</t>
        </is>
      </c>
      <c r="H3243" t="inlineStr">
        <is>
          <t>Type 2</t>
        </is>
      </c>
    </row>
    <row r="3244">
      <c r="A3244" t="inlineStr">
        <is>
          <t>6kn98k</t>
        </is>
      </c>
      <c r="B3244" t="inlineStr">
        <is>
          <t>People complain about the heat...</t>
        </is>
      </c>
      <c r="C3244" t="inlineStr">
        <is>
          <t>But they don't have screwed up basals and infusion sites and sensors unglue themselves off because of sweat on top of all of it. At this rate I will run out of adhesion dressing.</t>
        </is>
      </c>
      <c r="D3244" t="n">
        <v>33</v>
      </c>
      <c r="E3244" t="n">
        <v>3</v>
      </c>
      <c r="F3244">
        <f>HYPERLINK("https://www.reddit.com/r/diabetes/comments/6kn98k/people_complain_about_the_heat/")</f>
        <v/>
      </c>
      <c r="G3244" t="inlineStr">
        <is>
          <t>2017-07-01 07:27:43</t>
        </is>
      </c>
      <c r="H3244" t="inlineStr">
        <is>
          <t>Type 1</t>
        </is>
      </c>
    </row>
    <row r="3245">
      <c r="A3245" t="inlineStr">
        <is>
          <t>6kqamy</t>
        </is>
      </c>
      <c r="B3245" t="inlineStr">
        <is>
          <t>Muscle Growth and T1D</t>
        </is>
      </c>
      <c r="C3245" t="inlineStr">
        <is>
          <t xml:space="preserve">So I've been lifting weights for about 5 years and I was diagnosed with t1d in December. Before diagnosis I typically weighed in around 165-170. At the time of diagnosis I weighed around 150. Now I took a little while to get back into a good routine but for the past 3-4 months I've been lifting and my muscle growth has been **insane**
I really don't understand. I weigh in at around 185 now and like no body fat (my ribs show). Im curious as to why. Has anyone else had this experience? Everything I read on the subject is pretty much saying the opposite, that it is harder to gain muscle. My workout intensity really hasn't changed much since before diagnosis. </t>
        </is>
      </c>
      <c r="D3245" t="n">
        <v>9</v>
      </c>
      <c r="E3245" t="n">
        <v>11</v>
      </c>
      <c r="F3245">
        <f>HYPERLINK("https://www.reddit.com/r/diabetes/comments/6kqamy/muscle_growth_and_t1d/")</f>
        <v/>
      </c>
      <c r="G3245" t="inlineStr">
        <is>
          <t>2017-07-01 16:51:23</t>
        </is>
      </c>
      <c r="H3245" t="inlineStr">
        <is>
          <t>Type 1</t>
        </is>
      </c>
    </row>
    <row r="3246">
      <c r="A3246" t="inlineStr">
        <is>
          <t>6kue98</t>
        </is>
      </c>
      <c r="B3246" t="inlineStr">
        <is>
          <t>I just had the scariest hypo I've ever had</t>
        </is>
      </c>
      <c r="C3246" t="inlineStr">
        <is>
          <t>I gotta share this with someone. I don't want to talk to my friends or family about it since they would just get worried.
I had been eating some foods that I didn't know the carbs for and so I had to guess and apparently my guess was at least few units too high as I found out around 3 hours later...
I had just gone to bed a moment ago and was fastly drifting asleep. However, just before I completely fell asleep I suddenly snapped awake, I could feel that my BS was lower than it ever had been. At this point I was still able to function enough to manage to grab my candy off my nightstand and eat a few of them. My condition however was deteriorating rapidly and after eating 5 of them (only about 10g of sugar) I was unable to keep going as my mind, vision, and muscles were all seemingly out of my control. So I just collapsed back to my bed and could do nothing but lie there. 
That's when it got really bad. Have you ever had that sense of dread and impeding doom when you are really low? The kind they describe sleep paralysis with? I didn't know hypoglycemia could cause that but apparently it can. I was absolutely horrified and couldn't even pinpoint the reason. It felt like there was some scary monster in my room or something that was going to attack me. I also started to twitch and shake. Everybody knows the feeling of falling you sometimes get when you are nearly asleep, snapping you awake. With every twitch I got that feeling, and those twitches came often. Probably every 5 seconds or so. I'm not sure, I couldn't really think, nor see... nor do anything. I was also sweating like a fountain. All I could do was lie there, on my side, looking forward but not really seeing anything, and weakly whisper "help" even though there was no one to hear it.
That must have lasted for about 15 minutes... then the sugar from those candies finally started to have a little effect and my condition improved enough so that I managed to get control of myself and eat some more candy. After that I lied down for a while and then went to eat some proper food.
I wish I never have to experience that again. All my previous hypos have been mild and even the worst ones have only caused weakness and slower thinking. This was something completely different and I fear what would have happened if I hadn't been able to eat those few candies before I collapsed.</t>
        </is>
      </c>
      <c r="D3246" t="n">
        <v>42</v>
      </c>
      <c r="E3246" t="n">
        <v>42</v>
      </c>
      <c r="F3246">
        <f>HYPERLINK("https://www.reddit.com/r/diabetes/comments/6kue98/i_just_had_the_scariest_hypo_ive_ever_had/")</f>
        <v/>
      </c>
      <c r="G3246" t="inlineStr">
        <is>
          <t>2017-07-02 10:20:45</t>
        </is>
      </c>
      <c r="H3246" t="inlineStr">
        <is>
          <t>Type 1</t>
        </is>
      </c>
    </row>
    <row r="3247">
      <c r="A3247" t="inlineStr">
        <is>
          <t>6kwk4o</t>
        </is>
      </c>
      <c r="B3247" t="inlineStr">
        <is>
          <t>Do any of you have neuropathy that is expressed through muscle twitching?</t>
        </is>
      </c>
      <c r="C3247" t="inlineStr">
        <is>
          <t xml:space="preserve">Over the last month I've noticed a twitching that has been moving through out my body, but that is concentrated in my legs. Sometimes it will be an eyelid or a finger, but mostly it is leg and toes. 
I won't be able to get into my doc for a week or two, but I'm wondering if this is how neuropathy is showing in me? I know some people get some form of benign muscle twitching, and I feel like this might be that, because the twitching stops when the muscle is in use (I don't notice it at all when I'm up and about, but moreso when I lay down) and there is no pain, but what do I know. I know that metformin can cause B12 deficiencies, but my doctor doesn't seem to think that is the case with me as he says that occurs after having been on the drug for many years. But I do have a test ordered to check. 
I have noticed that I haven't been as able to detect a low as I was able to some months ago before the twitching started, which also makes me think maybe this is neuropathy. 
</t>
        </is>
      </c>
      <c r="D3247" t="n">
        <v>2</v>
      </c>
      <c r="E3247" t="n">
        <v>8</v>
      </c>
      <c r="F3247">
        <f>HYPERLINK("https://www.reddit.com/r/diabetes/comments/6kwk4o/do_any_of_you_have_neuropathy_that_is_expressed/")</f>
        <v/>
      </c>
      <c r="G3247" t="inlineStr">
        <is>
          <t>2017-07-02 17:04:21</t>
        </is>
      </c>
      <c r="H3247" t="inlineStr">
        <is>
          <t>Type 2</t>
        </is>
      </c>
    </row>
    <row r="3248">
      <c r="A3248" t="inlineStr">
        <is>
          <t>6kxrc3</t>
        </is>
      </c>
      <c r="B3248" t="inlineStr">
        <is>
          <t>Looking into getting a pump, I want to hear from people who've had experience</t>
        </is>
      </c>
      <c r="C3248" t="inlineStr">
        <is>
          <t>So I've recently been researching pumps and I was hoping to get some guidance from folks who have had experience using a pump or with multiple pumps who can compare them. Based on what I've read, my top two choices are Tslim and Omnipod. I like the sleek design and interface of the Tslim, looks like a smartphone instead of some kind of pager or some strange device. But I like the tubeless and watertight aspects of the Omnipod. Is the tubeless aspect enough of a difference that it should tip me towards the Omnipod even if I'm leaning a bit towards the Tslim? Also, I'm very skinny (5'11 and 120 lb) and I've had no problems with a Dexcom on my arm but could it be an issue with a pump? Would one pump be a better option over another because of this? And finally, I'm still in my honeymoon, which my endo expects to last roughly two years (diagnosed February of this year), so would a pump even be recommended or should I plan on waiting until my pancreas pooters out the rest of the way?
I guess there's a lot of questions there but I appreciate any response from anyone who can give me any insight/advice. Thanks!
EDIT: Thanks everyone for sharing and answering my questions. I've just gotten the process started for a tslim! Super excited. Thanks for the guidance</t>
        </is>
      </c>
      <c r="D3248" t="n">
        <v>10</v>
      </c>
      <c r="E3248" t="n">
        <v>15</v>
      </c>
      <c r="F3248">
        <f>HYPERLINK("https://www.reddit.com/r/diabetes/comments/6kxrc3/looking_into_getting_a_pump_i_want_to_hear_from/")</f>
        <v/>
      </c>
      <c r="G3248" t="inlineStr">
        <is>
          <t>2017-07-02 21:25:04</t>
        </is>
      </c>
      <c r="H3248" t="inlineStr">
        <is>
          <t>Type 1</t>
        </is>
      </c>
    </row>
    <row r="3249">
      <c r="A3249" t="inlineStr">
        <is>
          <t>6kzg56</t>
        </is>
      </c>
      <c r="B3249" t="inlineStr">
        <is>
          <t>Thinking about getting a pump</t>
        </is>
      </c>
      <c r="C3249" t="inlineStr">
        <is>
          <t>Hi there,
I have been diagnosed 2 years ago with T1, and I find that I struggle more and more with my BG. It seems to be random at times and I wake up with 250 although I purposly overdosed Bolus... Then again I can't get much lower the whole morning...
So I guess that means Honeymoon is slowly coming to an end now. I talked to my Doc already that I'm not happy with my readings, but since my HbA1c is still at 6.5 he says I'm perfectly fine. Half a year ago I used to be between 5.9 and 5.7, so that is why I am not satisfied with the readings.
Anyway, I think I would like to have a pump finally. If things go on like this, I need a new medication plan anyway, and I feel a pump would make daily life a lot easier. But the thing is, I really have no idea about pumps... When there is still some insulin left in the tube, does it go to waste when changing it? Also I really like the idea of a wireless pump like the Omnipad, but does the Insulin also go to waste when replacing the pod? And I heard the remote is really uncomfortable, is that true? 
Are there any pumps you can recommend looking into, and why? Unfortunately, the tslim is not available in Germany, so that is not an option for me.
Thank you guys for your help :)</t>
        </is>
      </c>
      <c r="D3249" t="n">
        <v>7</v>
      </c>
      <c r="E3249" t="n">
        <v>8</v>
      </c>
      <c r="F3249">
        <f>HYPERLINK("https://www.reddit.com/r/diabetes/comments/6kzg56/thinking_about_getting_a_pump/")</f>
        <v/>
      </c>
      <c r="G3249" t="inlineStr">
        <is>
          <t>2017-07-03 04:54:34</t>
        </is>
      </c>
      <c r="H3249" t="inlineStr">
        <is>
          <t>Type 1</t>
        </is>
      </c>
    </row>
    <row r="3250">
      <c r="A3250" t="inlineStr">
        <is>
          <t>6lc2b2</t>
        </is>
      </c>
      <c r="B3250" t="inlineStr">
        <is>
          <t>How did your honeymoon end? Does this sound like the end of a honeymoon period to you?</t>
        </is>
      </c>
      <c r="C3250" t="inlineStr">
        <is>
          <t>So for a couple months I've been using an I:C ration of 1:18 and 3 units of Tresiba a day. The last few days I've been running higher than usual and today was especially bad. I was running a little high in the morning so I took an extra unit with breakfast and I spiked up to about 275 at the peak, the highest I've been since leaving the hospital. After a rollercoaster-type day (not at home all day, had to eyeball carbs) I sat down for dinner and tried a slightly adjusted ratio, I did 4 units for 60g of carbs for a 1:15 and ended up about 50mg/dl higher, riding steady now. Based on that I'm going to try 1:12 or 1:13 next time I eat. 
But the whole point of this is that I'm wondering what caused the sudden change since it was so consistent for months. My first thought was my honeymoon ending but that would be a bit earlier than expected (dx in february, 20yo) and I thought the change would have been a bit more drastic? 18 to 13 isn't as big of a change as I would expect. I plan on getting in contact with my endo once she's back in the office but for now I'm curious what your experiences were with the honeymoon, was it sudden or a little more gradual? Or could this be something else entirely?</t>
        </is>
      </c>
      <c r="D3250" t="n">
        <v>3</v>
      </c>
      <c r="E3250" t="n">
        <v>6</v>
      </c>
      <c r="F3250">
        <f>HYPERLINK("https://www.reddit.com/r/diabetes/comments/6lc2b2/how_did_your_honeymoon_end_does_this_sound_like/")</f>
        <v/>
      </c>
      <c r="G3250" t="inlineStr">
        <is>
          <t>2017-07-04 22:21:52</t>
        </is>
      </c>
      <c r="H3250" t="inlineStr">
        <is>
          <t>Type 1</t>
        </is>
      </c>
    </row>
    <row r="3251">
      <c r="A3251" t="inlineStr">
        <is>
          <t>6le4st</t>
        </is>
      </c>
      <c r="B3251" t="inlineStr">
        <is>
          <t>last a1c was 7.2... time to tweak my meds again.</t>
        </is>
      </c>
      <c r="C3251" t="inlineStr">
        <is>
          <t xml:space="preserve">I've been in the 6.6-6.8 range for a long time. Then, my a1c 6 months ago was 7.1. I started exercising more and eating better and managed to get back to 6.7 3 months ago. Just got my most recent a1c and it was 7.2 (though my other labs were better this time around). I've set a basal pattern in my pump that's roughly 10% above what my normal basal pattern is and will be using that for a while to see how things react. I'm also going to manually add 10% to what the bolus wizard suggests. this is what I was doing the last time I modified my settings. I did the alternate basal pattern and manually added a percentage to the bolus for around 3-6 months before committing the changes to the pump itself just to make sure I wasn't going low too frequently with it. I should probably be seeing an endo instead of managing my settings myself, but I'm always that guy who wants to handle everything on his own.   
Probably the biggest thing I need to do is stop drinking so much. </t>
        </is>
      </c>
      <c r="D3251" t="n">
        <v>4</v>
      </c>
      <c r="E3251" t="n">
        <v>10</v>
      </c>
      <c r="F3251">
        <f>HYPERLINK("https://www.reddit.com/r/diabetes/comments/6le4st/last_a1c_was_72_time_to_tweak_my_meds_again/")</f>
        <v/>
      </c>
      <c r="G3251" t="inlineStr">
        <is>
          <t>2017-07-05 06:51:15</t>
        </is>
      </c>
      <c r="H3251" t="inlineStr">
        <is>
          <t>Type 1</t>
        </is>
      </c>
    </row>
    <row r="3252">
      <c r="A3252" t="inlineStr">
        <is>
          <t>6leikm</t>
        </is>
      </c>
      <c r="B3252" t="inlineStr">
        <is>
          <t>Lab fasting glucose wildly different from glucometer!</t>
        </is>
      </c>
      <c r="C3252" t="inlineStr">
        <is>
          <t>Hey guys,
Feel free to read [my previous post](https://www.reddit.com/r/diabetes/comments/69slza/type_2_doc_said_i_couldnt_do_it_without_meds/) for a bit more on my story.
The good news is, my a1c has gone down from 13.0 to 5.0 in 4 months. No meds, just low carb for the most part, and exercise (200x pushups, crunches, squats, dips 3x a week, 20 min HIIT cardio 3x a week, alternating with steady state jogging).
The weird news is, my fasting glucose according to the lab was 40 points lower than the glucometer reading I took about 10 minutes prior to the lab blood test. I had around 110 on the glucometer (would have to check for exact number), but the lab came back as 69. 
If you read my previous post, you'll see I test religiously, usually around 15 times a day. My glucometer is very consistent with itself. I'll test up to 3 times per sitting, and the readings are super close.
So what gives? Anyone else have this experience?
Sidenote, I took the C-peptide + GAD antibodies tests. Apparently I'm in the normal ranges for both (although the C-peptide was on the low side - 0.81). Granted I had been fasting for 15 hours or so - should I be concerned here?
Thanks in advance! And as my username says, F diabetes.</t>
        </is>
      </c>
      <c r="D3252" t="n">
        <v>3</v>
      </c>
      <c r="E3252" t="n">
        <v>9</v>
      </c>
      <c r="F3252">
        <f>HYPERLINK("https://www.reddit.com/r/diabetes/comments/6leikm/lab_fasting_glucose_wildly_different_from/")</f>
        <v/>
      </c>
      <c r="G3252" t="inlineStr">
        <is>
          <t>2017-07-05 07:56:02</t>
        </is>
      </c>
      <c r="H3252" t="inlineStr">
        <is>
          <t>Type 2</t>
        </is>
      </c>
    </row>
    <row r="3253">
      <c r="A3253" t="inlineStr">
        <is>
          <t>6lfitl</t>
        </is>
      </c>
      <c r="B3253" t="inlineStr">
        <is>
          <t>Type 1 - Intermittent Fasting Morning BG Spikes</t>
        </is>
      </c>
      <c r="C3253" t="inlineStr">
        <is>
          <t xml:space="preserve">As a type one Diabetic, I have been giving intermittent fasting a shot. I wake up with good readings (around 6 mmol/L at 9am); however, around once I eat my first meal I notice a large spike in my blood sugars (around 13 mmol/L at 2pm). I am currently on an MDI regime.
I am not too sure what to do. I thought of injecting a little bit of fast acting insulin to prevent ketones from lack of insulin (1 unit at 9am with a 1:10 insulin-to-carb ratio), but this made me go from a 7mmol/L to a 4mmol/L. Perhaps do I need to reduce it to half a unit?
Any advice would be greatly appreciated for I am not too sure on how to manage my sugars in this situation?  </t>
        </is>
      </c>
      <c r="D3253" t="n">
        <v>1</v>
      </c>
      <c r="E3253" t="n">
        <v>6</v>
      </c>
      <c r="F3253">
        <f>HYPERLINK("https://www.reddit.com/r/diabetes/comments/6lfitl/type_1_intermittent_fasting_morning_bg_spikes/")</f>
        <v/>
      </c>
      <c r="G3253" t="inlineStr">
        <is>
          <t>2017-07-05 10:29:50</t>
        </is>
      </c>
      <c r="H3253" t="inlineStr">
        <is>
          <t>Type 1</t>
        </is>
      </c>
    </row>
    <row r="3254">
      <c r="A3254" t="inlineStr">
        <is>
          <t>6lgjhj</t>
        </is>
      </c>
      <c r="B3254" t="inlineStr">
        <is>
          <t>Basaglar: Placebo or Real Insulin? Is anyone having success with it?</t>
        </is>
      </c>
      <c r="C3254" t="inlineStr">
        <is>
          <t>Long story short, my insurance took the cheap route and cut off Lantus due to Basaglar.
I started it up 4 days ago after I finished up the Lantus stash I had, and it has been an utter trainwreck.
I can only help but feel like I'm injecting nothing but water into my system as the so-called 1:1 replacement of Basaglar and Lantus is a complete joke.
Nice, steady lines in the 80-120 range have now been replaced by 1u Rapid injections every 2 hours just to keep myself below 160. I have read similar stories across the Internet.
Is anyone having success with the switch over to Basaglar? I'm beginning to think the FDA dropped the ball on this since they allowed it to get accepted without trials based on it's "bio-similarities" to Lantus. I really hate being the guinea pig here, and I can't go back to Lantus without the insurance help.
Very frustrated with this whole thing. Just looking to see if anyone has made the switch with few problems, and if they had to make adjustments to the basal dose or their rapid ratios.
ETA: Anyone tried the Sanofi RX card? It says I can use it with commercial insurance, but not sure how those programs work.</t>
        </is>
      </c>
      <c r="D3254" t="n">
        <v>2</v>
      </c>
      <c r="E3254" t="n">
        <v>16</v>
      </c>
      <c r="F3254">
        <f>HYPERLINK("https://www.reddit.com/r/diabetes/comments/6lgjhj/basaglar_placebo_or_real_insulin_is_anyone_having/")</f>
        <v/>
      </c>
      <c r="G3254" t="inlineStr">
        <is>
          <t>2017-07-05 13:01:00</t>
        </is>
      </c>
      <c r="H3254" t="inlineStr">
        <is>
          <t>Type 1</t>
        </is>
      </c>
    </row>
    <row r="3255">
      <c r="A3255" t="inlineStr">
        <is>
          <t>6lifvz</t>
        </is>
      </c>
      <c r="B3255" t="inlineStr">
        <is>
          <t>Any Type 1s forgoing insulin while on Keto?</t>
        </is>
      </c>
      <c r="C3255" t="inlineStr">
        <is>
          <t xml:space="preserve">After a rough few months post diagnosis (August 2016) I was able to control my BG with Lantus, Humalog and what I considered a LC diet (40-80g daily) to what I thought was great success (numbers in the 70-130 range 99% time)  I was using 25u Lantus, 8-10u Humalog a day, and my last A1C was 5.7. 
As I was having trouble losing the last 20/30 lbs to reach my goal weight I decided to start Keto last week.
I've read plenty of posts here where type 1s on Keto dramatically reduce their TDD on LC so I opted to lower to only 15 units of Lantus and forgo Humalog bolus as I've never needed to bolus for protein so far and no meal had over 12g of carbs which 1 unit would cover.
Day 1 and 2: 50g Fat, 40g protein, 10g carbs. No exercise. BG readings all between 70-82.
Based on those numbers and knowing I was going to work out the next few days I lowered my Lantus to 10u. Also by day 2 I was showing "moderate" ketones.
Day 3-4: 50g Fat, 40g protein, 15g carbs.
HIIT 45 min ea day. BG readings 65-81. (However that 65 did not feel at all hypo) 
Lowered to 5u of Lantus. 
Day 5 (today): 40g of fat, 40g protein, 15g of carbs. BG: 71, 64, 68, 73. (No exercise today).
It's almost bedtime and I'm debating whether to forgo my Lantus now because of the numbers I got today and my plans to do weights/HIIT tomorrow. 
Any other type 1 been able to completely forgo insulin while on keto/exercise?
My c-peptide was 0.5 on a 128mg/dl 16 hour fast BG last month and my GAD65 was &amp;gt;250 so I know I may be honeymooning and producing some insulin on my own as my diagnosis is relatively recent. Could this be why? 
It would be great to be able to go without insulin, the hypo/hyper rollercoaster, the changing I:C ratios etc. even if only for a while and it would also be a great motivator to keep exercising/low carbing, maybe even better motivator than the 8lbs I've lost this past week! 
</t>
        </is>
      </c>
      <c r="D3255" t="n">
        <v>0</v>
      </c>
      <c r="E3255" t="n">
        <v>10</v>
      </c>
      <c r="F3255">
        <f>HYPERLINK("https://www.reddit.com/r/diabetes/comments/6lifvz/any_type_1s_forgoing_insulin_while_on_keto/")</f>
        <v/>
      </c>
      <c r="G3255" t="inlineStr">
        <is>
          <t>2017-07-05 18:17:50</t>
        </is>
      </c>
      <c r="H3255" t="inlineStr">
        <is>
          <t>Type 1</t>
        </is>
      </c>
    </row>
    <row r="3256">
      <c r="A3256" t="inlineStr">
        <is>
          <t>6lkevf</t>
        </is>
      </c>
      <c r="B3256" t="inlineStr">
        <is>
          <t>Tandem t:slim X2 + Dexcom G5 versus Medtronic 670G</t>
        </is>
      </c>
      <c r="C3256" t="inlineStr">
        <is>
          <t>Newly diagnosed T1 diabetic. Which one should I get? Both are of no cost to me.
Is Medtronic likely to release a new pump within the next 4 years?
How likely is Tandem to release updates to the X2 that (1) allow it to receive CGM data from the G5 and (2) add the automated basal delivery algorithm?
Will the G6 require no fingerstick calibrations?
How often do people get occlusion alarms with the t:slim X2?
How is the Enlite 3 sensor? Does anyone know its MARD?
The 670G pump seems quite bulky to me (it is over twice(!) the volume of the t:slim).
EDIT: I spoke with Tandem rep:
* G5 communication update likely Jan/Feb 2018
* Hybrid closed loop algorithm likely Q3 2018</t>
        </is>
      </c>
      <c r="D3256" t="n">
        <v>3</v>
      </c>
      <c r="E3256" t="n">
        <v>17</v>
      </c>
      <c r="F3256">
        <f>HYPERLINK("https://www.reddit.com/r/diabetes/comments/6lkevf/tandem_tslim_x2_dexcom_g5_versus_medtronic_670g/")</f>
        <v/>
      </c>
      <c r="G3256" t="inlineStr">
        <is>
          <t>2017-07-06 01:21:29</t>
        </is>
      </c>
      <c r="H3256" t="inlineStr">
        <is>
          <t>Type 1</t>
        </is>
      </c>
    </row>
    <row r="3257">
      <c r="A3257" t="inlineStr">
        <is>
          <t>6lo9s1</t>
        </is>
      </c>
      <c r="B3257" t="inlineStr">
        <is>
          <t>T2 - Question about Metformin</t>
        </is>
      </c>
      <c r="C3257" t="inlineStr">
        <is>
          <t xml:space="preserve">Is it something I'll have to take for the rest of my life or can I drop it once I reduce my A1C with typical good eating and exercise ? </t>
        </is>
      </c>
      <c r="D3257" t="n">
        <v>6</v>
      </c>
      <c r="E3257" t="n">
        <v>6</v>
      </c>
      <c r="F3257">
        <f>HYPERLINK("https://www.reddit.com/r/diabetes/comments/6lo9s1/t2_question_about_metformin/")</f>
        <v/>
      </c>
      <c r="G3257" t="inlineStr">
        <is>
          <t>2017-07-06 12:45:02</t>
        </is>
      </c>
      <c r="H3257" t="inlineStr">
        <is>
          <t>Type 2</t>
        </is>
      </c>
    </row>
    <row r="3258">
      <c r="A3258" t="inlineStr">
        <is>
          <t>6lqiy4</t>
        </is>
      </c>
      <c r="B3258" t="inlineStr">
        <is>
          <t>Alternatives to Metformin?</t>
        </is>
      </c>
      <c r="C3258" t="inlineStr">
        <is>
          <t xml:space="preserve">So, metformin has been working really well for me since I was diagnosed in March. Unfortunately, my doctor checked my liver levels, and they are not good at all. I have always been on the high side of normal, since I am overweight. I am also on plaquenil for my rheumatoid arthritis, which can affect the liver. 
However, 2 weeks ago my doctor ran the liver test, and it came back almost triple. So I have been off of metformin for a week or so and just had my liver check again. The levels are down, which means she will probably keep me off of it. 
Does anyone know of a good alternative that I might try? I am just trying to be prepared for my appointment next week. Since being off metformin, my numbers have risen some, but not significantly. While on the metformin, I was able to bring down my A1C from 12.1 at diagnosis to 6.5 2 weeks ago. I have changed my eating habits some, but I am not sure it will be enough on its own. </t>
        </is>
      </c>
      <c r="D3258" t="n">
        <v>4</v>
      </c>
      <c r="E3258" t="n">
        <v>6</v>
      </c>
      <c r="F3258">
        <f>HYPERLINK("https://www.reddit.com/r/diabetes/comments/6lqiy4/alternatives_to_metformin/")</f>
        <v/>
      </c>
      <c r="G3258" t="inlineStr">
        <is>
          <t>2017-07-06 18:50:32</t>
        </is>
      </c>
      <c r="H3258" t="inlineStr">
        <is>
          <t>Type 2</t>
        </is>
      </c>
    </row>
    <row r="3259">
      <c r="A3259" t="inlineStr">
        <is>
          <t>6lts6p</t>
        </is>
      </c>
      <c r="B3259" t="inlineStr">
        <is>
          <t>Late Stage Complications Regardless of Glucose Level Management?</t>
        </is>
      </c>
      <c r="C3259" t="inlineStr">
        <is>
          <t>*This thread may potentially be depressing for those with depression due to their diabetes depending on the answers as it is a touchy subject.*
Hey everyone, my fiancé is a t1d since she was 7 (is 21 now) and when we first started dating I did a lot of research into what I needed to be prepared for later in life. In all of my research, both recently and back then, pretty much every paper or article talks about the complications if the levels are poorly managed, but rarely do I find anything about what may happen even if her a1c is great throughout her life. I'm curious if anyone else knows about what issues she may face even with an excellent a1c. I'd rather be prepared or try to focus on prevention rather than it being too late down the road.</t>
        </is>
      </c>
      <c r="D3259" t="n">
        <v>6</v>
      </c>
      <c r="E3259" t="n">
        <v>20</v>
      </c>
      <c r="F3259">
        <f>HYPERLINK("https://www.reddit.com/r/diabetes/comments/6lts6p/late_stage_complications_regardless_of_glucose/")</f>
        <v/>
      </c>
      <c r="G3259" t="inlineStr">
        <is>
          <t>2017-07-07 06:52:52</t>
        </is>
      </c>
      <c r="H3259" t="inlineStr">
        <is>
          <t>Type 1</t>
        </is>
      </c>
    </row>
    <row r="3260">
      <c r="A3260" t="inlineStr">
        <is>
          <t>6lzvhq</t>
        </is>
      </c>
      <c r="B3260" t="inlineStr">
        <is>
          <t>Type 2 - 3 Months in..</t>
        </is>
      </c>
      <c r="C3260" t="inlineStr">
        <is>
          <t xml:space="preserve">Just got my 3 month blood results back.
I had to do a celebratory post.
No Diabetes Drugs some for the cholesterol.
Down to Diet and exercise now I just have to keep it up. 
Also Today recorded 15Kilos lost.
Not looking forward to 3 months time when I have to pay full price for test strips as in Australia its "not needed" for Type 2's that are not on insulin.
Test | 22/03/17 | 03/07/17
----|--------|--------
Glucose Fasting | 14.2 | 5.7
Cholesterol | 6.2 | 3.4
HbA1c | 9.4 | 5.5
Triglycerides | 20.2 | 1.9
Ratios Cho/HDL | 18.0 | 5.7
</t>
        </is>
      </c>
      <c r="D3260" t="n">
        <v>4</v>
      </c>
      <c r="E3260" t="n">
        <v>12</v>
      </c>
      <c r="F3260">
        <f>HYPERLINK("https://www.reddit.com/r/diabetes/comments/6lzvhq/type_2_3_months_in/")</f>
        <v/>
      </c>
      <c r="G3260" t="inlineStr">
        <is>
          <t>2017-07-08 01:12:12</t>
        </is>
      </c>
      <c r="H3260" t="inlineStr">
        <is>
          <t>Type 2</t>
        </is>
      </c>
    </row>
    <row r="3261">
      <c r="A3261" t="inlineStr">
        <is>
          <t>6m0bx5</t>
        </is>
      </c>
      <c r="B3261" t="inlineStr">
        <is>
          <t>How do we define hypos?</t>
        </is>
      </c>
      <c r="C3261" t="inlineStr">
        <is>
          <t>I was listening to a medical podcast the other day that defined clinical hypos as those below 54 mg/dl. 70 was just when you should start treating lows. Is the 70 just to avoid hypo unawareness and provide a good buffer?</t>
        </is>
      </c>
      <c r="D3261" t="n">
        <v>5</v>
      </c>
      <c r="E3261" t="n">
        <v>20</v>
      </c>
      <c r="F3261">
        <f>HYPERLINK("https://www.reddit.com/r/diabetes/comments/6m0bx5/how_do_we_define_hypos/")</f>
        <v/>
      </c>
      <c r="G3261" t="inlineStr">
        <is>
          <t>2017-07-08 03:38:40</t>
        </is>
      </c>
      <c r="H3261" t="inlineStr">
        <is>
          <t>Type 1</t>
        </is>
      </c>
    </row>
    <row r="3262">
      <c r="A3262" t="inlineStr">
        <is>
          <t>6m1icp</t>
        </is>
      </c>
      <c r="B3262" t="inlineStr">
        <is>
          <t>hypertension type1 diabetic</t>
        </is>
      </c>
      <c r="C3262" t="inlineStr">
        <is>
          <t xml:space="preserve">I dont know where to turn to. I'm 5'10 male 29 years old. Back in 2016 I weighed 192lbs and every time I would have my blood pressure checked it would always come back mildly high. I thought that my weight might have been causing the issue. Since October my wife and I have gone to the gym and I've lost almost 30lbs but the numbers are still the same. Without taking an ACE Inhibitor my numbers are somewhere around 140/80. With Ace inhibitor sometimes my numbers are 135/80. I feel as though this is still high and I want to get the number lower to prevent future complications with my disease but I dont know what to do anymore. My salt intake is low, I switched to a pescatarian diet but mostly vegetarian. I dont hardly drink alcohol and I am at a normal BMI. Is this just something I am forced to live with because of my disease? </t>
        </is>
      </c>
      <c r="D3262" t="n">
        <v>4</v>
      </c>
      <c r="E3262" t="n">
        <v>17</v>
      </c>
      <c r="F3262">
        <f>HYPERLINK("https://www.reddit.com/r/diabetes/comments/6m1icp/hypertension_type1_diabetic/")</f>
        <v/>
      </c>
      <c r="G3262" t="inlineStr">
        <is>
          <t>2017-07-08 08:19:21</t>
        </is>
      </c>
      <c r="H3262" t="inlineStr">
        <is>
          <t>Type 1</t>
        </is>
      </c>
    </row>
    <row r="3263">
      <c r="A3263" t="inlineStr">
        <is>
          <t>6m4gs2</t>
        </is>
      </c>
      <c r="B3263" t="inlineStr">
        <is>
          <t>Before I was officially diagnosed with diabetes something odd happened. (It has to do with urine)</t>
        </is>
      </c>
      <c r="C3263" t="inlineStr">
        <is>
          <t>I noticed when cleaning my toilet there were crystals of a sort or something like kosher salt.
Any ideas what they cost have been?</t>
        </is>
      </c>
      <c r="D3263" t="n">
        <v>2</v>
      </c>
      <c r="E3263" t="n">
        <v>2</v>
      </c>
      <c r="F3263">
        <f>HYPERLINK("https://www.reddit.com/r/diabetes/comments/6m4gs2/before_i_was_officially_diagnosed_with_diabetes/")</f>
        <v/>
      </c>
      <c r="G3263" t="inlineStr">
        <is>
          <t>2017-07-08 17:18:47</t>
        </is>
      </c>
      <c r="H3263" t="inlineStr">
        <is>
          <t>Type 2</t>
        </is>
      </c>
    </row>
    <row r="3264">
      <c r="A3264" t="inlineStr">
        <is>
          <t>6m9w0j</t>
        </is>
      </c>
      <c r="B3264" t="inlineStr">
        <is>
          <t>Is there such a thing as "too much carbs"?</t>
        </is>
      </c>
      <c r="C3264" t="inlineStr">
        <is>
          <t>I (Type 1 Diabetic for 3 years) have recently switched to a vegan diet, and been told from friends that are doctors (but no dietitians...) that vegan is unhealthy because they fear I am eating too much carbs. Im kind of sceptic since I thought it doesnt matter as long as my sugar is low and I inject enough insulin..</t>
        </is>
      </c>
      <c r="D3264" t="n">
        <v>1</v>
      </c>
      <c r="E3264" t="n">
        <v>16</v>
      </c>
      <c r="F3264">
        <f>HYPERLINK("https://www.reddit.com/r/diabetes/comments/6m9w0j/is_there_such_a_thing_as_too_much_carbs/")</f>
        <v/>
      </c>
      <c r="G3264" t="inlineStr">
        <is>
          <t>2017-07-09 13:51:21</t>
        </is>
      </c>
      <c r="H3264" t="inlineStr">
        <is>
          <t>Type 1</t>
        </is>
      </c>
    </row>
    <row r="3265">
      <c r="A3265" t="inlineStr">
        <is>
          <t>6makrt</t>
        </is>
      </c>
      <c r="B3265" t="inlineStr">
        <is>
          <t>Biggest bolus ever</t>
        </is>
      </c>
      <c r="C3265" t="inlineStr">
        <is>
          <t xml:space="preserve">What was the biggest bolus you've ever taken at once? If I can remember back when I took shots, I would eat a whole box of Kraft Mac&amp;amp;Cheese and I think I would have to take like 18 units of Novolog for it not including correction lol. Now I'm on the pump I don't think I've gone over 7 units.......yet </t>
        </is>
      </c>
      <c r="D3265" t="n">
        <v>3</v>
      </c>
      <c r="E3265" t="n">
        <v>15</v>
      </c>
      <c r="F3265">
        <f>HYPERLINK("https://www.reddit.com/r/diabetes/comments/6makrt/biggest_bolus_ever/")</f>
        <v/>
      </c>
      <c r="G3265" t="inlineStr">
        <is>
          <t>2017-07-09 15:53:24</t>
        </is>
      </c>
      <c r="H3265" t="inlineStr">
        <is>
          <t>Type 1</t>
        </is>
      </c>
    </row>
    <row r="3266">
      <c r="A3266" t="inlineStr">
        <is>
          <t>6mb9pu</t>
        </is>
      </c>
      <c r="B3266" t="inlineStr">
        <is>
          <t>Injected my basal twice - wtf do I do?</t>
        </is>
      </c>
      <c r="C3266" t="inlineStr">
        <is>
          <t>Injected my Lantus dose of 9 units at my regular time, 6pm. Forgot that I had done that and around 8:30pm injected another 9 units. 
What do I do to not die?
Also, I have a Dexcom so that'll cover alerting me when I go too low. 
UPDATE: blood sugars stayed stable around 5 throughout the night. Interestingly, I can eat without bolusing and there's no spike in my BS. This has been an interesting insight into how different insulins work.</t>
        </is>
      </c>
      <c r="D3266" t="n">
        <v>5</v>
      </c>
      <c r="E3266" t="n">
        <v>8</v>
      </c>
      <c r="F3266">
        <f>HYPERLINK("https://www.reddit.com/r/diabetes/comments/6mb9pu/injected_my_basal_twice_wtf_do_i_do/")</f>
        <v/>
      </c>
      <c r="G3266" t="inlineStr">
        <is>
          <t>2017-07-09 18:07:13</t>
        </is>
      </c>
      <c r="H3266" t="inlineStr">
        <is>
          <t>Type 1</t>
        </is>
      </c>
    </row>
    <row r="3267">
      <c r="A3267" t="inlineStr">
        <is>
          <t>6md2t7</t>
        </is>
      </c>
      <c r="B3267" t="inlineStr">
        <is>
          <t>From pre-diabetes, Type 2 diabetes and reversing disease with Keto diet.</t>
        </is>
      </c>
      <c r="C3267" t="inlineStr">
        <is>
          <t xml:space="preserve">Last year in May, I received pre-diabetes diagnose and a month later the confirmation of T2D. My weight was around 80kg, 1.67 height, 53 yrs age. I went on the internet to search for information on how-to, and if there was a chance to reverse the disease. 
In preparation, I started setting myself up to follow diabetes diet not very enthusiastic. However, it was after reading a Reddit comment thread here. Which led to a turning point I like to share with you. 
Few posts in the long thread had caught my eye, where members shared of totally reversing diabetes and losing weight with Keto diet. I thought to myself, yeah right! Prior to reading these posts I never even had heard about Ketogenic lifestyle, let alone Keto diet. 
Today I would like to salute and say a big thank you to these members posting their experience (at the time I hadn't subscribed to Reddit yet). Because, as result of reading these messages it triggered a notion. A turning point to abandon diabetes meal plan for following Keto diet.
Without exaggeration, I lost 10kg during the first three months, not only the weight. I also surprised diabetes check-up having lowered my sugar levels to normal as well as my cholesterol levels LDL/HDL, triglycerides.
To adapt to Keto sure wasn’t easy, after losing the first 10kg the real struggle began. For keto to have the body become fat adapted, but even more to find my balance in embracing ketogenic lifestyle. 
Which means I made my fair share of mistake and bumps in following the diet. Enduring physical ailments as frozen shoulder. Not one side but both sides almost a year apart, that by itself apparently is a fast recovery. Since most patients will have a far longer recovery period and you are considered lucky with one side. I belong to the small group of patients with both shoulders affected.
Today, my weight has come down to 65 kg. Although a year older and hopefully wiser I look and feel better. Thanks to the posters!!
I am sharing this in the hope I can help others that these posts were not a hoax! Keto diet can help reversing diabetes if you are determined and follow through. 
</t>
        </is>
      </c>
      <c r="D3267" t="n">
        <v>7</v>
      </c>
      <c r="E3267" t="n">
        <v>26</v>
      </c>
      <c r="F3267">
        <f>HYPERLINK("https://www.reddit.com/r/diabetes/comments/6md2t7/from_prediabetes_type_2_diabetes_and_reversing/")</f>
        <v/>
      </c>
      <c r="G3267" t="inlineStr">
        <is>
          <t>2017-07-10 00:59:52</t>
        </is>
      </c>
      <c r="H3267" t="inlineStr">
        <is>
          <t>Type 2</t>
        </is>
      </c>
    </row>
    <row r="3268">
      <c r="A3268" t="inlineStr">
        <is>
          <t>6mf4ei</t>
        </is>
      </c>
      <c r="B3268" t="inlineStr">
        <is>
          <t>Penis won't work, levels aren't going down, I have a fever, help</t>
        </is>
      </c>
      <c r="C3268" t="inlineStr">
        <is>
          <t>I'm a T1.5, 28 years old, been diabetic four years on NovoLog, Lantus and Metformin.
A1c is 8.3, trying to get a CGM so I can get it down to sub-6.5
Over fourth of July I went on a diabetes vacation and had lots of fast food, fried chicken and Smirnoff Ices. This was a terrible plan because now my body is so insulin resistant. I also have a massive boil/abcess growing on my groin after this.
Last ten days I have tried have sex three times with my fianceé and it has worked out horribly. First two times my dick got hard but not hard enough to fuck. Yesterday it didn't get hard at all. This is depressing and humiliating although my fianceé was very kind and understanding and *ahem* she still got hers so she wasn't upset at all.
I also feel like my body is fighting off the infection (I have headaches and fever, accidentally took a five hour nap yesterday) from the boil/abcess. 
My BG levels are staying permanently high. They were 320 before bed (unusually high obviously) even after a day of good diet and regular injections. First thing this morning, it was 215. High but not unusual, sometimes I get Dawn phenomenon thing going on and have to play with my Lantus doses. However it was 230 before breakfast (just beef jerky and string cheese, trying no carb it until everything is normal), and 200 two hours afterwards. With correction doses and everything, literally nothing is bringing my levels sub-200. 
Is it because I'm sick? Is my penis broken forever or is it just psychological/stress/infection related?</t>
        </is>
      </c>
      <c r="D3268" t="n">
        <v>2</v>
      </c>
      <c r="E3268" t="n">
        <v>10</v>
      </c>
      <c r="F3268">
        <f>HYPERLINK("https://www.reddit.com/r/diabetes/comments/6mf4ei/penis_wont_work_levels_arent_going_down_i_have_a/")</f>
        <v/>
      </c>
      <c r="G3268" t="inlineStr">
        <is>
          <t>2017-07-10 08:23:30</t>
        </is>
      </c>
      <c r="H3268" t="inlineStr">
        <is>
          <t>Type 1.5/LADA</t>
        </is>
      </c>
    </row>
    <row r="3269">
      <c r="A3269" t="inlineStr">
        <is>
          <t>6mf4n2</t>
        </is>
      </c>
      <c r="B3269" t="inlineStr">
        <is>
          <t>Working Out With Type 1 Diabetes</t>
        </is>
      </c>
      <c r="C3269" t="inlineStr">
        <is>
          <t xml:space="preserve">Hi r/diabetes I'm 27 and I just got a dexcom g5 back in April, and I'm feeling confident enough to start working out. I was always afraid of being unable to tell if i was low or not during exercise and the g5 has finally made me feel safe doing it. I'm thinking I want to try lifting and I've got an appointment with a trainer today at the gym but I was wondering if anyone had any sort of tips or things you've learned from your own experiences exercising. 
Specifically i was wondering: 
How long do you workout? 
How often? 
What do you use to stay hydrated?
Do you have any carbs before, during, or after exercise? 
If so, what kind of carbs do you use and how many?
What blood sugar do you like to be at before you start exercising?
Anything else you might have learned that you think maybe be useful?
Thanks in advance.
Side Note: Getting the dexcom g5 has made such a big difference for me! I went from a 9.8 to a 6.6 a1c without changing my diet or routine and I'm hoping to bring it down even more with changes in my diet and with exercise. A 9.8 a1c is an average of 234, my 90 day average with the dexcom is 143 and my 30 day is 123 and 7 day is 118.  After 15 years with diabetes, the g5 has been probably the first thing that's made me feel like I'm actually getting close to having a "normal" life (or at least as close to normal as one can be with this disease).  I would highly encourage anyone to get a CGM if it's financially feasible for you. 
</t>
        </is>
      </c>
      <c r="D3269" t="n">
        <v>18</v>
      </c>
      <c r="E3269" t="n">
        <v>21</v>
      </c>
      <c r="F3269">
        <f>HYPERLINK("https://www.reddit.com/r/diabetes/comments/6mf4n2/working_out_with_type_1_diabetes/")</f>
        <v/>
      </c>
      <c r="G3269" t="inlineStr">
        <is>
          <t>2017-07-10 08:24:22</t>
        </is>
      </c>
      <c r="H3269" t="inlineStr">
        <is>
          <t>Type 1</t>
        </is>
      </c>
    </row>
    <row r="3270">
      <c r="A3270" t="inlineStr">
        <is>
          <t>6mfpre</t>
        </is>
      </c>
      <c r="B3270" t="inlineStr">
        <is>
          <t>Do any other T1Ds suffer from sleep-eating?</t>
        </is>
      </c>
      <c r="C3270" t="inlineStr">
        <is>
          <t xml:space="preserve">Woke up this morning with a muffin wrapper plastered to my pillow. I sleepwalk pretty often and will usually find evidence of late night snacking and my blood sugar sitting higher than optimal in the morning. I have tried a low carb snack before bed and it doesn't seem to help. I'm a healthy weight (140 pounds , 5'10). I've noticed that it happens more frequently when I'm stressed out. Just wondering if anyone else has ever had this problem and how they deal with it. </t>
        </is>
      </c>
      <c r="D3270" t="n">
        <v>4</v>
      </c>
      <c r="E3270" t="n">
        <v>7</v>
      </c>
      <c r="F3270">
        <f>HYPERLINK("https://www.reddit.com/r/diabetes/comments/6mfpre/do_any_other_t1ds_suffer_from_sleepeating/")</f>
        <v/>
      </c>
      <c r="G3270" t="inlineStr">
        <is>
          <t>2017-07-10 09:54:23</t>
        </is>
      </c>
      <c r="H3270" t="inlineStr">
        <is>
          <t>Type 1</t>
        </is>
      </c>
    </row>
    <row r="3271">
      <c r="A3271" t="inlineStr">
        <is>
          <t>6mm9zo</t>
        </is>
      </c>
      <c r="B3271" t="inlineStr">
        <is>
          <t>I waited almost a year to see a gastrointesinologist while suffering with "gastroparesis." Turns out it was just extreme B12 deficiency and my doctor sat on the results for a few months before deciding to tell me.</t>
        </is>
      </c>
      <c r="C3271" t="inlineStr">
        <is>
          <t xml:space="preserve">I guess this is a rant. My life is filled with incompetent/uncaring medical professionals and I'm still extremely pissed off. I'm doing much better since I started B12 supplements but having to deal with this shit has been horrible. 
If you suffer from gastroparesis it might be worth it to get your B12 levels tested.  </t>
        </is>
      </c>
      <c r="D3271" t="n">
        <v>45</v>
      </c>
      <c r="E3271" t="n">
        <v>29</v>
      </c>
      <c r="F3271">
        <f>HYPERLINK("https://www.reddit.com/r/diabetes/comments/6mm9zo/i_waited_almost_a_year_to_see_a/")</f>
        <v/>
      </c>
      <c r="G3271" t="inlineStr">
        <is>
          <t>2017-07-11 06:42:46</t>
        </is>
      </c>
      <c r="H3271" t="inlineStr">
        <is>
          <t>Type 1</t>
        </is>
      </c>
    </row>
    <row r="3272">
      <c r="A3272" t="inlineStr">
        <is>
          <t>6mns4b</t>
        </is>
      </c>
      <c r="B3272" t="inlineStr">
        <is>
          <t>One touch ultra-mini reading fluctuation. 590+</t>
        </is>
      </c>
      <c r="C3272" t="inlineStr">
        <is>
          <t xml:space="preserve">My mother has been highly diabetic all her life (read 200+). Today her post breakfast readings ranged from 592, "HIGH", 520, 490. same blood sample showed readings 592 and 520. is that even possible to get those fluctuations? I tried it on myself and it showed 88. I immediately gave her an insulin shot and contacted her doctor. he asked her to admit take another reading and admit. </t>
        </is>
      </c>
      <c r="D3272" t="n">
        <v>5</v>
      </c>
      <c r="E3272" t="n">
        <v>4</v>
      </c>
      <c r="F3272">
        <f>HYPERLINK("https://www.reddit.com/r/diabetes/comments/6mns4b/one_touch_ultramini_reading_fluctuation_590/")</f>
        <v/>
      </c>
      <c r="G3272" t="inlineStr">
        <is>
          <t>2017-07-11 10:33:09</t>
        </is>
      </c>
      <c r="H3272" t="inlineStr">
        <is>
          <t>Type 2</t>
        </is>
      </c>
    </row>
    <row r="3273">
      <c r="A3273" t="inlineStr">
        <is>
          <t>6mo23m</t>
        </is>
      </c>
      <c r="B3273" t="inlineStr">
        <is>
          <t>Problems Accessing/Affording Insulin: Looking to Interview Adults with T1D in the U.S.</t>
        </is>
      </c>
      <c r="C3273" t="inlineStr">
        <is>
          <t>Hi r/diabetes! My name is Samantha and I've been T1D for 25 years. I am currently a rising 2nd year MPH student at Yale University and I am looking to interview adults with type 1 diabetes in the U.S. who have had problems accessing or affording insulin. My thesis seeks to understand and describe how members of our community cope when faced with these challenges and the specific circumstances that contribute to insulin access problems. The T1D patient advocacy organization T1International has posted some more information on their website about my study if you are interested in learning more:
https://www.t1international.com/blog/2017/07/08/recruiting-usa-insulin-access-study/
I am particularly interested in speaking with older adults ages 40-65 as a majority of the participants thus far have been in their 20s and 30s. If you fall into this category or know someone who might be willing to share their story with me, please let me know! I can be reached at samantha.willner at yale.edu or you can message me directly through Reddit.
I'm very grateful for your support in helping me advance this research, which I hope will lead to important public policy changes for those of us with T1D. Thank you!</t>
        </is>
      </c>
      <c r="D3273" t="n">
        <v>13</v>
      </c>
      <c r="E3273" t="n">
        <v>17</v>
      </c>
      <c r="F3273">
        <f>HYPERLINK("https://www.reddit.com/r/diabetes/comments/6mo23m/problems_accessingaffording_insulin_looking_to/")</f>
        <v/>
      </c>
      <c r="G3273" t="inlineStr">
        <is>
          <t>2017-07-11 11:13:13</t>
        </is>
      </c>
      <c r="H3273" t="inlineStr">
        <is>
          <t>Type 1</t>
        </is>
      </c>
    </row>
    <row r="3274">
      <c r="A3274" t="inlineStr">
        <is>
          <t>6mqtgy</t>
        </is>
      </c>
      <c r="B3274" t="inlineStr">
        <is>
          <t>T1 Diabetes, building muscle, new pump?</t>
        </is>
      </c>
      <c r="C3274" t="inlineStr">
        <is>
          <t>I've had T1 my entire life, and now that I'm starting a "new life" (new job, new city, new me, allegedly haha), I was wondering if there are any plans/apps/sites/books out there that cater to diabetics that are trying to lose fat and gain muscle? Something that kinda provides a nutrition plan and a workout plan would be great! I'm not trying to get "jacked" or anything, just live a healthier lifestyle, lose some fat, and gain some muscle in the process.
Also, along with this ~new life~, I'm getting a new Endocrin, and I was thinking that a new pump system might help me control everything better. I have the Minimed 630G now, but the one thing I absolutely HATE is the alerts and how they work on the 630--I would like something like the Dexcom G5 that talks to your phone natively. The alerts on the 630G to me are super annoying, and I just don't use the CGM anymore because of it (to me, they're super intrusive and annoying), and Minimed has their connect thing, but thats some more hardware to carry around, and it doesn't send alerts through your phone either. Does anyone have any recommendations for a CGM/Pump system where the CGM integrates with the pump, but also talks to your phone? To the best of my knowledge, only the G5 does this at this time. Would prefer to stay with Apple, and I work in tech, so I love cutting edge!!
Thanks!</t>
        </is>
      </c>
      <c r="D3274" t="n">
        <v>9</v>
      </c>
      <c r="E3274" t="n">
        <v>10</v>
      </c>
      <c r="F3274">
        <f>HYPERLINK("https://www.reddit.com/r/diabetes/comments/6mqtgy/t1_diabetes_building_muscle_new_pump/")</f>
        <v/>
      </c>
      <c r="G3274" t="inlineStr">
        <is>
          <t>2017-07-11 18:40:48</t>
        </is>
      </c>
      <c r="H3274" t="inlineStr">
        <is>
          <t>Type 1</t>
        </is>
      </c>
    </row>
    <row r="3275">
      <c r="A3275" t="inlineStr">
        <is>
          <t>6mqvlf</t>
        </is>
      </c>
      <c r="B3275" t="inlineStr">
        <is>
          <t>Did anyone else have amazing numbers during their honeymoon?</t>
        </is>
      </c>
      <c r="C3275" t="inlineStr">
        <is>
          <t>My numbers are incredibly stable, taking 7 units of lantus every morning and 3 units of novolog  at each meal (9 units total per day) and my numbers have been between 85 and 150 all the time (even after eating cake.) Is this normal? I think I might have caught my T1 very early as I was antibody negative.</t>
        </is>
      </c>
      <c r="D3275" t="n">
        <v>2</v>
      </c>
      <c r="E3275" t="n">
        <v>3</v>
      </c>
      <c r="F3275">
        <f>HYPERLINK("https://www.reddit.com/r/diabetes/comments/6mqvlf/did_anyone_else_have_amazing_numbers_during_their/")</f>
        <v/>
      </c>
      <c r="G3275" t="inlineStr">
        <is>
          <t>2017-07-11 18:51:44</t>
        </is>
      </c>
      <c r="H3275" t="inlineStr">
        <is>
          <t>Type 1.5/LADA</t>
        </is>
      </c>
    </row>
    <row r="3276">
      <c r="A3276" t="inlineStr">
        <is>
          <t>6murxn</t>
        </is>
      </c>
      <c r="B3276" t="inlineStr">
        <is>
          <t>Since we are sharing Diabetes tattoos</t>
        </is>
      </c>
      <c r="C3276" t="inlineStr">
        <is>
          <t xml:space="preserve">Here is my [Nurse Diabetty](http://imgur.com/a/fuONK)  I did on my 20th year of T1, which was 11 years ago. </t>
        </is>
      </c>
      <c r="D3276" t="n">
        <v>16</v>
      </c>
      <c r="E3276" t="n">
        <v>6</v>
      </c>
      <c r="F3276">
        <f>HYPERLINK("https://www.reddit.com/r/diabetes/comments/6murxn/since_we_are_sharing_diabetes_tattoos/")</f>
        <v/>
      </c>
      <c r="G3276" t="inlineStr">
        <is>
          <t>2017-07-12 08:45:04</t>
        </is>
      </c>
      <c r="H3276" t="inlineStr">
        <is>
          <t>Type 1</t>
        </is>
      </c>
    </row>
    <row r="3277">
      <c r="A3277" t="inlineStr">
        <is>
          <t>6mvdeo</t>
        </is>
      </c>
      <c r="B3277" t="inlineStr">
        <is>
          <t>Spotty vision when hypoglycemic</t>
        </is>
      </c>
      <c r="C3277" t="inlineStr">
        <is>
          <t>Hi,
I just want to make sure it's normal to have difficulty reading documents when my blood sugar is low?
Sitting trying to read a document and my vision is very spotty, I forget if this is normal.
Thanks.</t>
        </is>
      </c>
      <c r="D3277" t="n">
        <v>6</v>
      </c>
      <c r="E3277" t="n">
        <v>11</v>
      </c>
      <c r="F3277">
        <f>HYPERLINK("https://www.reddit.com/r/diabetes/comments/6mvdeo/spotty_vision_when_hypoglycemic/")</f>
        <v/>
      </c>
      <c r="G3277" t="inlineStr">
        <is>
          <t>2017-07-12 10:13:16</t>
        </is>
      </c>
      <c r="H3277" t="inlineStr">
        <is>
          <t>Type 1</t>
        </is>
      </c>
    </row>
    <row r="3278">
      <c r="A3278" t="inlineStr">
        <is>
          <t>6mxw5r</t>
        </is>
      </c>
      <c r="B3278" t="inlineStr">
        <is>
          <t>Frustrated in research: Do Kidney Transplants alleviate diabetes, or WORSEN it?</t>
        </is>
      </c>
      <c r="C3278" t="inlineStr">
        <is>
          <t>A real WTF question buried in the fine print of anyone researching potential kidney transplants is that the rejection inhibitors can CAUSE / WORSEN diabetes. WTF??? I'm trying to find reasons to be a donor, but making things worse in the recipient is not helping my motive, and the explanations are neither upfront nor clear. If you strip away all the 'eat healthy because health' language, can a person who receives a transplant go back to a normal diet? Or will their diabetes get worse? And what are those odds? This needs to be much, much more straightforward in the diabetes / donor FAQs. "The stress of surgery and exposure to immunosuppression medications have metabolic effects and can cause or worsen preexisting hyperglycemia." https://www.ncbi.nlm.nih.gov/pmc/articles/PMC2666437/</t>
        </is>
      </c>
      <c r="D3278" t="n">
        <v>0</v>
      </c>
      <c r="E3278" t="n">
        <v>4</v>
      </c>
      <c r="F3278">
        <f>HYPERLINK("https://www.reddit.com/r/diabetes/comments/6mxw5r/frustrated_in_research_do_kidney_transplants/")</f>
        <v/>
      </c>
      <c r="G3278" t="inlineStr">
        <is>
          <t>2017-07-12 16:43:42</t>
        </is>
      </c>
      <c r="H3278" t="inlineStr">
        <is>
          <t>Type 2</t>
        </is>
      </c>
    </row>
    <row r="3279">
      <c r="A3279" t="inlineStr">
        <is>
          <t>6n08ok</t>
        </is>
      </c>
      <c r="B3279" t="inlineStr">
        <is>
          <t>Glucose tablets vs table sugar</t>
        </is>
      </c>
      <c r="C3279" t="inlineStr">
        <is>
          <t>Hello everyone,
I recently switched from eating glucose tablets to normal (sucrose) sugar cubes when I'm low. Mostly because it comes in a cardboard box I can recycle and glucose tablets are always individually wrapped in plastic, but also they are a lot cheaper (1€ for 1kg of sugar cubes).
Now I'm wondering is there any medical issue I could get myself into because of not using glucose but sucrose? Is there any substantial difference in the time my blood sugar levels need to go normal again between these two?</t>
        </is>
      </c>
      <c r="D3279" t="n">
        <v>1</v>
      </c>
      <c r="E3279" t="n">
        <v>9</v>
      </c>
      <c r="F3279">
        <f>HYPERLINK("https://www.reddit.com/r/diabetes/comments/6n08ok/glucose_tablets_vs_table_sugar/")</f>
        <v/>
      </c>
      <c r="G3279" t="inlineStr">
        <is>
          <t>2017-07-13 01:03:10</t>
        </is>
      </c>
      <c r="H3279" t="inlineStr">
        <is>
          <t>Type 1</t>
        </is>
      </c>
    </row>
    <row r="3280">
      <c r="A3280" t="inlineStr">
        <is>
          <t>6n1weu</t>
        </is>
      </c>
      <c r="B3280" t="inlineStr">
        <is>
          <t>WTF?!</t>
        </is>
      </c>
      <c r="C3280" t="inlineStr">
        <is>
          <t>The past two days my blood sugar has been higher than normal (still in range). I am still only taking a nightly insulin as I am in my honeymoon phase. To try to bring my BG to the low 100s, I have been eating even lower carb than normal. Yesterday I ate eggs with cheese, and my BG shot up by 50! I continue to eat low or no carbs with a spike of around 50 every time! Anyone have any idea why this could be happening?!</t>
        </is>
      </c>
      <c r="D3280" t="n">
        <v>3</v>
      </c>
      <c r="E3280" t="n">
        <v>32</v>
      </c>
      <c r="F3280">
        <f>HYPERLINK("https://www.reddit.com/r/diabetes/comments/6n1weu/wtf/")</f>
        <v/>
      </c>
      <c r="G3280" t="inlineStr">
        <is>
          <t>2017-07-13 07:20:55</t>
        </is>
      </c>
      <c r="H3280" t="inlineStr">
        <is>
          <t>Type 1</t>
        </is>
      </c>
    </row>
    <row r="3281">
      <c r="A3281" t="inlineStr">
        <is>
          <t>6n25hn</t>
        </is>
      </c>
      <c r="B3281" t="inlineStr">
        <is>
          <t>Heavy labor job coming up, worried about managing my T1</t>
        </is>
      </c>
      <c r="C3281" t="inlineStr">
        <is>
          <t>Starting a pretty heavy job in a few weeks (Amazon factory) And for 5 hours IL be pretty much be non-stop working. Anyone here doing/did the same and have any tips for staying alive?</t>
        </is>
      </c>
      <c r="D3281" t="n">
        <v>2</v>
      </c>
      <c r="E3281" t="n">
        <v>4</v>
      </c>
      <c r="F3281">
        <f>HYPERLINK("https://www.reddit.com/r/diabetes/comments/6n25hn/heavy_labor_job_coming_up_worried_about_managing/")</f>
        <v/>
      </c>
      <c r="G3281" t="inlineStr">
        <is>
          <t>2017-07-13 08:02:38</t>
        </is>
      </c>
      <c r="H3281" t="inlineStr">
        <is>
          <t>Type 1</t>
        </is>
      </c>
    </row>
    <row r="3282">
      <c r="A3282" t="inlineStr">
        <is>
          <t>6n3pe2</t>
        </is>
      </c>
      <c r="B3282" t="inlineStr">
        <is>
          <t>Cuba</t>
        </is>
      </c>
      <c r="C3282" t="inlineStr">
        <is>
          <t>My mom, dad and I (all Austrians) are playing with the idea to fly to Cuba for a week next year. I (18m) am diabetic for a year and a half as of this moment and am currently using NovoRapid and Insulatard via MDI. Any advice / experience - generally and especially in regards to diabetes?</t>
        </is>
      </c>
      <c r="D3282" t="n">
        <v>1</v>
      </c>
      <c r="E3282" t="n">
        <v>5</v>
      </c>
      <c r="F3282">
        <f>HYPERLINK("https://www.reddit.com/r/diabetes/comments/6n3pe2/cuba/")</f>
        <v/>
      </c>
      <c r="G3282" t="inlineStr">
        <is>
          <t>2017-07-13 11:54:26</t>
        </is>
      </c>
      <c r="H3282" t="inlineStr">
        <is>
          <t>Type 1</t>
        </is>
      </c>
    </row>
    <row r="3283">
      <c r="A3283" t="inlineStr">
        <is>
          <t>6n4hux</t>
        </is>
      </c>
      <c r="B3283" t="inlineStr">
        <is>
          <t>Pre-pregnancy with Type 1?</t>
        </is>
      </c>
      <c r="C3283" t="inlineStr">
        <is>
          <t>So I'm getting married in a couple of months and we are going to start trying for a baby at the beginning of next year. I'm trying to get my health care team lined up now so I am totally ready to go when the time comes. I have:
* Met with an OB/GYN at the local women's health practice. At first she didn't think she could supervise a pregnant Type 1 and that I couldn't deliver at the local hospital (where my endo is based) but after consulting with her practice group, she said she would be happy to treat me as long as I'm in good control. I was happy to hear that since I really liked her and I don't see why I should have to go to a tertiary care hospital just for my regular non-diabetes-related prenatal appointments.
* Met with my endo, confirmed my A1c is fine at 6.3 to start trying to conceive, but she would like it to be a smidge lower with a smaller standard deviation. I recently got the 630G with CGM which should make this easier. My TSH is too high for pregnancy right now at 4.9 and she's increasing my levothyroxine dosage.
* My OB/GYN referred me to a maternal-fetal medicine specialist at the high-level hospital (aka not the local hospital where I'd preferably deliver) for a pre-conception consult. I believe that the intention would be for me to see her regularly throughout pregnancy, but only to address issues related to the pregnancy being high-risk, not for general prenatal care.
Formerly or currently pregnant type 1s, anything else I should do or think of before actually conceiving? Is there anything you wish you had done or anyone you wish you had or hadn't met with first? Of course, as I write this, I'm chasing down a stubborn 200+ high blood sugar that came out of nowhere, so any general help or advice (like that one 200 won't ruin my future baby forever) would be great, too.</t>
        </is>
      </c>
      <c r="D3283" t="n">
        <v>12</v>
      </c>
      <c r="E3283" t="n">
        <v>5</v>
      </c>
      <c r="F3283">
        <f>HYPERLINK("https://www.reddit.com/r/diabetes/comments/6n4hux/prepregnancy_with_type_1/")</f>
        <v/>
      </c>
      <c r="G3283" t="inlineStr">
        <is>
          <t>2017-07-13 13:58:13</t>
        </is>
      </c>
      <c r="H3283" t="inlineStr">
        <is>
          <t>Type 1</t>
        </is>
      </c>
    </row>
    <row r="3284">
      <c r="A3284" t="inlineStr">
        <is>
          <t>6n7fyr</t>
        </is>
      </c>
      <c r="B3284" t="inlineStr">
        <is>
          <t>Keto spikes</t>
        </is>
      </c>
      <c r="C3284" t="inlineStr">
        <is>
          <t>Need some help. I've been doing Keto for around 6 months now and have seen some fantastic sugars, however recently I feel they have been a little raised (6-7s). Last night, I ate dinner which contained 6g carbs, 40g fat, and 60g protein. Two hours post meal I tested as 5.6. Another two hours later I was 6.9, so gave myself 0.5 units. This morning I've just woken at 7.8! 
Side note: I use Medtronic 640g and used a dual wave over 1 hour.</t>
        </is>
      </c>
      <c r="D3284" t="n">
        <v>1</v>
      </c>
      <c r="E3284" t="n">
        <v>3</v>
      </c>
      <c r="F3284">
        <f>HYPERLINK("https://www.reddit.com/r/diabetes/comments/6n7fyr/keto_spikes/")</f>
        <v/>
      </c>
      <c r="G3284" t="inlineStr">
        <is>
          <t>2017-07-13 23:59:38</t>
        </is>
      </c>
      <c r="H3284" t="inlineStr">
        <is>
          <t>Type 1</t>
        </is>
      </c>
    </row>
    <row r="3285">
      <c r="A3285" t="inlineStr">
        <is>
          <t>6n9h1n</t>
        </is>
      </c>
      <c r="B3285" t="inlineStr">
        <is>
          <t>Does anyone ever see this pattern?</t>
        </is>
      </c>
      <c r="C3285" t="inlineStr">
        <is>
          <t xml:space="preserve">I was diagnosed with Diabetes Type 2 when i was 16 years old. My doctor told me the past two years my kidneys have shown weak numbers. i started realizing days that my glucose numbers are "Low" and I'm eating healthy, I don't pass any gas or have irregular Bowel Movements. But he days that my numbers are high, the gas that is passed is unbearable and the bowel movements are irregular. is there something that i should be worried about?  </t>
        </is>
      </c>
      <c r="D3285" t="n">
        <v>3</v>
      </c>
      <c r="E3285" t="n">
        <v>13</v>
      </c>
      <c r="F3285">
        <f>HYPERLINK("https://www.reddit.com/r/diabetes/comments/6n9h1n/does_anyone_ever_see_this_pattern/")</f>
        <v/>
      </c>
      <c r="G3285" t="inlineStr">
        <is>
          <t>2017-07-14 07:45:49</t>
        </is>
      </c>
      <c r="H3285" t="inlineStr">
        <is>
          <t>Type 2</t>
        </is>
      </c>
    </row>
    <row r="3286">
      <c r="A3286" t="inlineStr">
        <is>
          <t>6nac22</t>
        </is>
      </c>
      <c r="B3286" t="inlineStr">
        <is>
          <t>I control my diabetes, I do not allow it to control me...</t>
        </is>
      </c>
      <c r="C3286" t="inlineStr">
        <is>
          <t>So it has been a while since I posted... Life, vacation, work, etc... But today I needed to take the time just to sit down a write.
A semi brief history: I started keto in December. Prior to starting a ketogenic lifestyle, I was an out of control T1.5 Diabetic. I followed an ADA diet but it was not working. I watched what I ate and tried to do everything by the book. I mean I am a doctor after all, I SHOULD know what to do. However, I used over 1,200 units of insulin a day to get my blood glucose numbers to about 165mg/dl (Ya, that is not a mistype. One thousand two hundred units a day). I had gained about 50lbs in a year (most of that in 2 months) from the increased insulin therapy. I had NAFLD/NASH with an enlarged liver about 2x the size it should be and an enlarged spleen about 1.5x the size it should be. I had out of control GI issues, autonomic neuropathy, neurological tremors... I was a mess.
For the past 7 months, I have held to a strict ketogenic lifestyle (note: I will not use Diet to describe my journey). I am a Nephrology surgeon myself so I am lucky to be able to monitor my progress on an almost daily basis. Initially, in the first month or two, I lost about 8-10lbs but then stopped. Both through at home blood tests and lab tests I was unable to produce any ketones. Over the past 7 months, I had tried every variation of keto I could. I did IF for a bit, fat fasts, ultra low carb (about 5-10 total carbs a day), etc. Each step I kept detailed notes and scientific data. I have been followed by one of the best cardiologists in the country, one of the top hepatologist, a lipidologist, and a top endocrinologist. Each professional has poked, prodded, tested, tested again, and scanned my body each step of the way. I have had 5 liver biopsies, 4 MRIs (plus one new MMRI), 2 CTs, over 55 blood panels, a partridge and a pear tree. I have yet to figure out what the bill (if I were to have a bill) would have been so far but I estimate it would be in the area of about $250,000 or so.
Each step along the way I would like to think we learned something, but to be honest, there were plenty of months of frustration. In 7 months, after my initial 8-10lbs of weight loss, I did not gain or lose any significant weight. I did not measure any ketones at all. The victories that I hung my hat on was the decreased need for insulin. Over that time frame, I had dropped my exogenous insulin from the prior 1,200 units a day to about 150 units. My A1C was 5.2% and my average glucose number throughout the day was about 85mg/dl. I have had no need to take a bolus dose of insulin for any meal over the past 7 months. So that kept me chugging along even though I could not get a scale victory at all.
Well, that was until this past 2 weeks. I just returned from a 3-week vacation overseas. My ketogenic lifestyle was actually very easy to maintain (I was a bit worried). I continued to slowly decrease my daily insulin... 100 units a day... 90 a day... 81 a day.... 73 a day. At the 81 unit a day mark I got on the scale and I had lost 5 lbs. "Ok, maybe I lost a bit of water weight, it will go up tomorrow". The next day I had lost another 1lb. Over that week I continued to maintain the loss or lose a bit more. Next came the drop to 73 units a day and I continued to lose. So yesterday I did a blood ketone test and it read 0.5. "Wait, I am producing ketones? After 7 months I am finally fucking producing ketones?" I would be lying if I did not tell you that I did a bit of a victory lap around my kitchen.
So.. Long and short of it, I can finally say that maybe, just maybe, I am in ketosis! So I might have set the record for the longest induction phases into ketosis but I am finally here!!!
Oh, yeah, and a quick update on the other medical issues. The liver has decreased in size but still not normal. The NAFLD/NASH has improved and been downgraded from a stage 2 to a stage 1b. The autonomic neuropathy is still there. As a matter of fact, about 6-7 weeks ago I had a gangrenous appendicitis that went on for weeks without me feeling it but I am hoping maybe I am turning into Deadpool and the lack of feeling will just be my Marvel super power! My neurological tremors have resolved which is huge for a surgeon. I am pretty much off of any cholesterol medications. I still require a bit of heart medication for a genetic sinus tachycardia but not much is needed for blood pressure. The GI issues have been resolved for the most part. All in all, I am in ALMOST perfect health. If you compared my chart 7 months ago to my chart now, you would honestly think they were on 2 different people!
Stay the course people. When you think about cheating, don't! Stop telling yourself you are on a "diet" because diets don't work. And when you stop making gains just remember that sooner or later, your body WILL start to cooperate! None of this is easy and no one promised you that it would be. But you are more than the sum of your carbs!
Above all, my motto has been a simple one: "I control my diabetes, I do not allow it to control me!" I have made diabetes my bitch and will continue to do so!</t>
        </is>
      </c>
      <c r="D3286" t="n">
        <v>20</v>
      </c>
      <c r="E3286" t="n">
        <v>24</v>
      </c>
      <c r="F3286">
        <f>HYPERLINK("https://www.reddit.com/r/diabetes/comments/6nac22/i_control_my_diabetes_i_do_not_allow_it_to/")</f>
        <v/>
      </c>
      <c r="G3286" t="inlineStr">
        <is>
          <t>2017-07-14 10:00:39</t>
        </is>
      </c>
      <c r="H3286" t="inlineStr">
        <is>
          <t>Type 1.5/LADA</t>
        </is>
      </c>
    </row>
    <row r="3287">
      <c r="A3287" t="inlineStr">
        <is>
          <t>6nafql</t>
        </is>
      </c>
      <c r="B3287" t="inlineStr">
        <is>
          <t>Anyone notice a blood glucose correlation with bupropion (Wellbutrin) or armodafinil?</t>
        </is>
      </c>
      <c r="C3287" t="inlineStr">
        <is>
          <t>My fasting BG jumped about 10 points to low-120s the last 5-6 days. Cut out all the mangoes and lychees I was eating but still in the same range. The only other thing that changed was I stopped taking a low dose of bupropion (75mg) for ADD, to see if that had anything to do with the shoulder pain that refused to go away. The shoulder pain is still there (probably related to the elbow/tennis elbow pain from repetitive stress, my other hypothesis), and the spike started maybe 5-6 days later so not clear there is a connection. I switched to low-dose armodafinil (some Nuvigil samples I had lying around) for the ADD but that was only the last 2-3 days, so again the overlap is not convincing. Wondering if anyone else on ADD drugs encountered any side-effects on BG.... jump from a 14-day average of 114 to 7-day average of 122 is maybe not a big deal but I'd like to eliminate obvious/potential culprits before I flip the be-worried switch....</t>
        </is>
      </c>
      <c r="D3287" t="n">
        <v>1</v>
      </c>
      <c r="E3287" t="n">
        <v>6</v>
      </c>
      <c r="F3287">
        <f>HYPERLINK("https://www.reddit.com/r/diabetes/comments/6nafql/anyone_notice_a_blood_glucose_correlation_with/")</f>
        <v/>
      </c>
      <c r="G3287" t="inlineStr">
        <is>
          <t>2017-07-14 10:15:59</t>
        </is>
      </c>
      <c r="H3287" t="inlineStr">
        <is>
          <t>Type 2</t>
        </is>
      </c>
    </row>
    <row r="3288">
      <c r="A3288" t="inlineStr">
        <is>
          <t>6natwm</t>
        </is>
      </c>
      <c r="B3288" t="inlineStr">
        <is>
          <t>670g sensor issues</t>
        </is>
      </c>
      <c r="C3288" t="inlineStr">
        <is>
          <t xml:space="preserve">Is anyone else having problems putting the new sensor into the old sites that we were told would work? When I try to push the sensor into the connector it only goes to the first ring before stopping. So now the sensor is loose and won't form a seal. Link for reference:  https://imgur.com/a/saC62
So does anyone have ideas on what I can do here?
Edit: The old sites were the ones I used with the 630g </t>
        </is>
      </c>
      <c r="D3288" t="n">
        <v>2</v>
      </c>
      <c r="E3288" t="n">
        <v>8</v>
      </c>
      <c r="F3288">
        <f>HYPERLINK("https://www.reddit.com/r/diabetes/comments/6natwm/670g_sensor_issues/")</f>
        <v/>
      </c>
      <c r="G3288" t="inlineStr">
        <is>
          <t>2017-07-14 11:16:05</t>
        </is>
      </c>
      <c r="H3288" t="inlineStr">
        <is>
          <t>Type 1</t>
        </is>
      </c>
    </row>
    <row r="3289">
      <c r="A3289" t="inlineStr">
        <is>
          <t>6nd9ek</t>
        </is>
      </c>
      <c r="B3289" t="inlineStr">
        <is>
          <t>I'm honestly not sure if I should stop taking insulin.</t>
        </is>
      </c>
      <c r="C3289" t="inlineStr">
        <is>
          <t>I was diagnosed (suspected type 1) during a four day hospital stay for ketoacidosis in late May after feeling absolutely awful for about two weeks leading up to me not being able to eat or stand for more than a few minutes. The doctor seeing me during my stay put me on 60 units (I believe that's ml) of Lantus daily and 1-3 units of Humalog before meals depending on my blood glucose level before each meal. I kept at this for about a week and a half with my levels at between 160 and 280 before I saw my current doctor who, confused by this, put me on 38 units of Lantus daily and Humalog as needed based on my meal's carbs at a ml:g ratio of 1:10. A week of this put me at levels from 120-180. A second visit had him tell me to switch the ratio to 1:8 and that got me at 70-100 and I've been fine since.
However, after a while, I started having near-constant lows at work, regularly hitting 60's between meals. I would just eat a few sweet tarts and go on with my day and be mostly fine. It got worse about two-three weeks ago and I switched my ratio to 1:9 but still had frequent lows. 
About a week ago, I forgot my Humalog and monitor at home and decided I'd just go on with my day without it and correct when I got home. This was right after payday where me and my coworker get pizza and cookies and I decided I didn't really want to miss out just because of this. I had two slices of a large pizza, a slice of cookie pizza, half a strawberry soda, a Mr. Good Bar and some sweet tarts before realizing just how much sugar I had (and dumping the rest of the soda). When I got home, I was almost terrified to actually check my blood sugar since this was way more sugar than I was eating even when I was in the 200's regularly while still taking insulin so I was shocked when I checked it and it came up at 96. I didn't know what to really think of it but I continued taking my insulin for dinner and for the next week. 
Yesterday, I forgot it again and while I didn't have the same kind of meal, it still stayed normal. I had remembered my monitor that time so I checked frequently and I was fine all day. Last night, I forgot my Lantus and today, I decided to purposely avoid taking my Humalog. Again, everything fine except for around noon, a couple of hours after breakfast, I actually *crashed* pretty hard. I kept track of it and what I ate and wrote it down:
10:00 AM - 76 mg/dL
Breakfast: Oreo O's - 1 Cup, Peanuts in-shell, 1/2 cup
12:00 PM - 54 mg/dL
I had about fifteen sweet tarts to try to correct this. Also ate a small bag of sun chips because I felt so hungry.
2:20 PM - 78 mg/dL
Lunch: cup of zucchini, cup of squash, 1/2 cup carrots, Chik Fil A grilled chicken ranch club, 1/2 cup cherries, Coke Zero vanilla
4:22 PM - 80 mg/dL
had half a pack of skittles at 5.
5:21 - 109 mg/dL
6:10 - 82 mg/dL
Dinner: BBQ pork ribs, 1/2 cup busch's baked beans, 1 cup sweet potatoes, 1/2 cup Halo Top Strawberry ice cream
7:46 - 93 mg/dL
Looking over this, this all looks very normal to me, except for the crash of course. All of this without taking any insulin whatsoever. Honestly, I'm kind of afraid to take it again because of how low I might get with it if it's getting down to the low 50's without.
Can anyone explain what might be going on? Should I go back to what I was taking before or continue not doing anything and monitoring my blood sugar?</t>
        </is>
      </c>
      <c r="D3289" t="n">
        <v>0</v>
      </c>
      <c r="E3289" t="n">
        <v>4</v>
      </c>
      <c r="F3289">
        <f>HYPERLINK("https://www.reddit.com/r/diabetes/comments/6nd9ek/im_honestly_not_sure_if_i_should_stop_taking/")</f>
        <v/>
      </c>
      <c r="G3289" t="inlineStr">
        <is>
          <t>2017-07-14 18:25:31</t>
        </is>
      </c>
      <c r="H3289" t="inlineStr">
        <is>
          <t>Type 1</t>
        </is>
      </c>
    </row>
    <row r="3290">
      <c r="A3290" t="inlineStr">
        <is>
          <t>6nj38k</t>
        </is>
      </c>
      <c r="B3290" t="inlineStr">
        <is>
          <t>Do you think its the amount of carbs eaten, or a high GI/II of the carbs that has a larger impact on worsening insulin sensitivity?</t>
        </is>
      </c>
      <c r="C3290" t="inlineStr">
        <is>
          <t>Topic.
I've been wondering about this, as it seems my insulin sensitivity has been getting worse for the past few months (I was pre-diabetic, but now I've gotten my morning fasting glucose down a bit below 100 mg/dl).
When I used to look at longer-term trends of how what I ate affected my morning fasting glucose, in the past I felt that as long as I ate relatively low GI foods (eg brown rice), my fasting glucose didn't worsen even if I ate a lot of brown rice.
Whereas recently I've been having the experience that brown rice has indeed been worsening my insulin sensitivity. Its kind of scary, and I'm trying to figure out how to interpret that.
I'm new to this, so I was just kind of curious to understand your guys' perspective.</t>
        </is>
      </c>
      <c r="D3290" t="n">
        <v>2</v>
      </c>
      <c r="E3290" t="n">
        <v>9</v>
      </c>
      <c r="F3290">
        <f>HYPERLINK("https://www.reddit.com/r/diabetes/comments/6nj38k/do_you_think_its_the_amount_of_carbs_eaten_or_a/")</f>
        <v/>
      </c>
      <c r="G3290" t="inlineStr">
        <is>
          <t>2017-07-15 16:32:31</t>
        </is>
      </c>
      <c r="H3290" t="inlineStr">
        <is>
          <t>Type 2</t>
        </is>
      </c>
    </row>
    <row r="3291">
      <c r="A3291" t="inlineStr">
        <is>
          <t>6nkvj6</t>
        </is>
      </c>
      <c r="B3291" t="inlineStr">
        <is>
          <t>I've just returned from the most amazing experience in my whole life for the 5th year in a row and I need to make sure you all know about it (long inside)</t>
        </is>
      </c>
      <c r="C3291" t="inlineStr">
        <is>
          <t>So, I attend yearly, a camp for T1D's, sounds like a run of the mill thing I know but hear me out. It's called Camp STIX and it is unlike anything I've ever been to or heard of in my life. I first attended when I was I camper in 2012 and oh my lord it was life changing. It's hard to describe honestly, it sounds sappy, you're reading it on the internet, it's hard to think I'm not exaggerating. This camp does everything any other camp does but more importantly it's campers number one every year. Last year and this year I got to be a staff member for a group of 9 year olds and by the end of the week these kids were tougher than I was at 11. Because we believe in campers number one we get to guide campers from ages 9 to 17 into a healthy life style that keeps them in touch with their diabetes. At camp Stix, everyone is welcome, there are no fights, no discrimination, just all around positivity. We make sure that our campers know that even with diabetes, they can do whatever they want to, we tell them every time we need to that they have diabetes, but diabetes doesn't have us. If I keep writing about this it'll go on forever but I encourage anyone from everywhere to make the trip and see this camp in person and in action.</t>
        </is>
      </c>
      <c r="D3291" t="n">
        <v>3</v>
      </c>
      <c r="E3291" t="n">
        <v>5</v>
      </c>
      <c r="F3291">
        <f>HYPERLINK("https://www.reddit.com/r/diabetes/comments/6nkvj6/ive_just_returned_from_the_most_amazing/")</f>
        <v/>
      </c>
      <c r="G3291" t="inlineStr">
        <is>
          <t>2017-07-15 23:33:10</t>
        </is>
      </c>
      <c r="H3291" t="inlineStr">
        <is>
          <t>Type 1</t>
        </is>
      </c>
    </row>
    <row r="3292">
      <c r="A3292" t="inlineStr">
        <is>
          <t>6nmb1p</t>
        </is>
      </c>
      <c r="B3292" t="inlineStr">
        <is>
          <t>Losing weight, but plateau too long.</t>
        </is>
      </c>
      <c r="C3292" t="inlineStr">
        <is>
          <t>Hey! I have a quick question. Well, it's kind of long, but I don't think it should be too hard to answer for anyone who's been T1 and overweight. 
So basically since about this time last year I've been losing fat. At the start, I weighed 128kg or 280lbs. I was kind of athletic and could run 4km easy. My endo put me on a 1000kcal deficit, which I meticulously calculated for and lost 10kg or 22lbs in about 6 months. Great!
Around the holiday season though, my weight loss stopped. I was still on the deficit and really meticulous with my calculations. It seems I have reached the plateau of water retention or whatever it's called. So my endo argued for doubling down, that is, 2000kcal deficit. At that point (and now) my TDEE (edited from: BMR x Activity) is around 3700kcal. I only eat 1700kcal at this point. I lost 2kg in 6 months, so 4.5lbs perhaps. But I feel absolutely horrible, my insulin resistance shot up from 9g/u to 3g/u, I can't exercise anymore, because my blood pressure spikes and I get exhausted immediately, if I do an outdoor activity for a day or so, I get incredibly sore and have my BGL drop like hell (eating 40g-120g just to cover everything). My body temperature has lowered to between 94 and 96F.
I think I am eating too little, perhaps (and I know this might be ridiculous) I am starving somewhat. I've visited my endo yesterday and she told me to go to 2500kcal deficit, but I already have incredible food cravings and feel markedly better immediately after eating. I will fall asleep if I have to go without food for 8 hours. But I will not lose weight.
Should I eat more? Should I go back to the deficit that made me lose weight, even though it would constitute technically eating more? I am afraid to waste time as the progress I've made was very hard.
Now, some people might recognise me around here as the guy who lives in a post soviet country and has been through 6 endos in two years who are clueless about what Bernstein or Scheiner would have to say in diabetes treatment. They don't know what ketosis is and one told me to take aspirin before my A1c, because that would make it better. Those who didn't, that's been my short introduction. Please forgive my cluelessness on some of the topics that you hold self explanatory. Thanks for any help!
Edit: this study probably describes what I'm in: https://www.ncbi.nlm.nih.gov/pubmed/19198647. It states that with caloric restrictions larger than 25% of TDEE, the TDEE itself will adjust, in turn causing lethargy and lower body temperature, but also preventing weight loss. Another study I found states that cortisol levels increase with drastic caloric restrictions, prompting higher insulin response. While this pathway does not apply to me, it is obvious that a decrease in exercise (which has become impossible) and an increase in insulin dosage has made the situation more complicated in more ways than one. However, I can't exercise a lot anymore, and my insulin sensitivity is what it is. This is really troubling.
It looks like the only way out of this is truly by starvation, followed by a particularly gradual increase in caloric intake and strenuous exercise. I don't know if I'll be able to cheat my metabolism and completely avoid rebound weight, but if I starve out another 10kg, surely it will not jump back immediately? Could anyone comment on this radical strategy?</t>
        </is>
      </c>
      <c r="D3292" t="n">
        <v>2</v>
      </c>
      <c r="E3292" t="n">
        <v>13</v>
      </c>
      <c r="F3292">
        <f>HYPERLINK("https://www.reddit.com/r/diabetes/comments/6nmb1p/losing_weight_but_plateau_too_long/")</f>
        <v/>
      </c>
      <c r="G3292" t="inlineStr">
        <is>
          <t>2017-07-16 06:49:36</t>
        </is>
      </c>
      <c r="H3292" t="inlineStr">
        <is>
          <t>Type 1</t>
        </is>
      </c>
    </row>
    <row r="3293">
      <c r="A3293" t="inlineStr">
        <is>
          <t>6nt0xs</t>
        </is>
      </c>
      <c r="B3293" t="inlineStr">
        <is>
          <t>What do you wish you knew before you got a CGM? I'm getting a loaner today.</t>
        </is>
      </c>
      <c r="C3293" t="inlineStr">
        <is>
          <t>My endo is letting me borrow a CGM for a week starting today. I believe it will be a Dexcom. What advice do you have for a rookie trying to decide if I should get one?</t>
        </is>
      </c>
      <c r="D3293" t="n">
        <v>6</v>
      </c>
      <c r="E3293" t="n">
        <v>31</v>
      </c>
      <c r="F3293">
        <f>HYPERLINK("https://www.reddit.com/r/diabetes/comments/6nt0xs/what_do_you_wish_you_knew_before_you_got_a_cgm_im/")</f>
        <v/>
      </c>
      <c r="G3293" t="inlineStr">
        <is>
          <t>2017-07-17 06:22:17</t>
        </is>
      </c>
      <c r="H3293" t="inlineStr">
        <is>
          <t>Type 1</t>
        </is>
      </c>
    </row>
    <row r="3294">
      <c r="A3294" t="inlineStr">
        <is>
          <t>6nvz2s</t>
        </is>
      </c>
      <c r="B3294" t="inlineStr">
        <is>
          <t>Relationships and living with a type 1 diabetic</t>
        </is>
      </c>
      <c r="C3294" t="inlineStr">
        <is>
          <t xml:space="preserve">I've been with my wife now for 10 years this year, she's been type 1 since the age of 12 she's 32 now. 
I remember the first thing that caught my eye with her was why she had this huge needle on break at work and why it was being injected into her stomach, so I asked my friend and he said "ohhh she's diabetic". 
I literally knew nothing about diabetes, she was so intriguing too me, we worked nights together and one thing led to another and we ended up dating. She told me a few weeks in that her blood drops low regularly and that her fits was pretty bad, she wasn't looking after herself that well putting insulin on her test strips so it would raise her levels for the doctors. 
The first fit she had was nothing I'd ever witnessed before, what was more shocking was I didn't panic I listened to her asked her what she needed and sat with her. 
There's been worse fits over the years (always lows) she's forgot who I was, threw the toaster at me, I've walked in and found her lying on the kitchen floor with our dog licking jam off of her fingers, I had to call the ambulance out when we bought our son home the first night because it had dropped to 1.5 and I couldn't bring her round, carried her home when we took the dog a walk and she felt low. 
We have 3 kids now, a house, still the same dog and I still find her as interesting, beautiful, funny and intriguing as I did the first time I saw her, a lot has changed she has a pump now and is being tested for a pancreas transplant or islet transplant. 
The point is I'm over the moon she may be getting the transplant but I wouldn't have changed the past ten years for anything, if anyone reads this and has any questions I'll answer them, or if you are reading and are type 1 or 2, I respect everything you go through the highs and lows 😉 </t>
        </is>
      </c>
      <c r="D3294" t="n">
        <v>60</v>
      </c>
      <c r="E3294" t="n">
        <v>42</v>
      </c>
      <c r="F3294">
        <f>HYPERLINK("https://www.reddit.com/r/diabetes/comments/6nvz2s/relationships_and_living_with_a_type_1_diabetic/")</f>
        <v/>
      </c>
      <c r="G3294" t="inlineStr">
        <is>
          <t>2017-07-17 13:54:14</t>
        </is>
      </c>
      <c r="H3294" t="inlineStr">
        <is>
          <t>Type 1</t>
        </is>
      </c>
    </row>
    <row r="3295">
      <c r="A3295" t="inlineStr">
        <is>
          <t>6nxcb2</t>
        </is>
      </c>
      <c r="B3295" t="inlineStr">
        <is>
          <t>Need help/advice</t>
        </is>
      </c>
      <c r="C3295" t="inlineStr">
        <is>
          <t>I've spent the last week on the dexcom g5 for the first time. I've searched through Dexcom's tutorials, downloaded two different programs and I still can't figure out how to get info from my device to my computer. I've contacted dexcom's tech support. Their suggestion was to uninstall and reinstall the program. Which one?! 
If any one has mastered this and can step by step it for me. I'd appreciate it. I didn't used to think I was technologically incompetent. But here we are. 
Edit: my phone auto corrected dexcom to deacon. 😂
Edit: Solved, how in the comments</t>
        </is>
      </c>
      <c r="D3295" t="n">
        <v>2</v>
      </c>
      <c r="E3295" t="n">
        <v>4</v>
      </c>
      <c r="F3295">
        <f>HYPERLINK("https://www.reddit.com/r/diabetes/comments/6nxcb2/need_helpadvice/")</f>
        <v/>
      </c>
      <c r="G3295" t="inlineStr">
        <is>
          <t>2017-07-17 17:42:01</t>
        </is>
      </c>
      <c r="H3295" t="inlineStr">
        <is>
          <t>Type 1</t>
        </is>
      </c>
    </row>
    <row r="3296">
      <c r="A3296" t="inlineStr">
        <is>
          <t>6ny2xx</t>
        </is>
      </c>
      <c r="B3296" t="inlineStr">
        <is>
          <t>Concern about morning glucose levels</t>
        </is>
      </c>
      <c r="C3296" t="inlineStr">
        <is>
          <t>I managed to get my shit together relatively quickly after my dx in January, started eating low carb and making a huge effort to be more active. My glucose readings steadily came down and I've been getting great readings throughout the day now, usually at or below 100 before I eat, and I rarely go above 160 after a meal now. Awesome! 
But my fasting glucose in the morning is still garbage. I still struggle to get below 130 most mornings. I've brought this up with my endo twice since my dx and she keeps saying to increase my nightly insulin (Levemir) every 3 days until I am consistently getting sub-120 readings in the morning. The problem is, once my dose goes above 26-28 units, my glucose readings start to go up every morning. I was steadily going up by 2 every three days, like she told me to do, and I was up to 44 units a night before I decided to stop increasing my dosage and actually went back down to 20, which is what I was getting my best morning readings with.
I have told my endo twice now the more insulin I take, the higher my glucose is in the mornings. She said "that's not how it's supposed to work" and again told me to keep increasing. I said I *know* that's not how it works, which is why I'm wondering if something else is going on.
She said it's probably just a reaction to something I'm eating and keep increasing my Levemir dose. I told her I wasn't eating sugary or high carb foods at all, and especially not at night, and reminded her I was doing a low carb diet. She just said "that's not how it's supposed to work, it's got to be something you're eating at night."
At this time, we hadn't gotten my 3 month blood work results back, so maybe she assumed I was yet another fatty with T2 and a A1C of 12+ who was continuing to eat ice cream every day. But I'm pretty sure it's not a reaction to my food, because I was eating essentially no carbs at the time and eating almost the exact same thing every day to try and rule out food as the cause.
It's not possible for insulin to cause your glucose to **rise**... right? I'm not crazy, am I? What could possibly be causing this? Should I be worried about 130-140 fasting levels in the morning if my numbers are fantastic for the rest of the day?
Is my endo not listening to me or am I doing something wrong? Should I be worried about my liver/kidneys?
Edit to add medication info:  
Morning (7-8 am)  
1000mg metformin ER  
Nora BE
Calcium/Vitamin D, Potassium, and Magnesium supplement 
Evening (9-11pm)
1000mg metformin ER  
Prenatal vitamin 
24u Levemir</t>
        </is>
      </c>
      <c r="D3296" t="n">
        <v>1</v>
      </c>
      <c r="E3296" t="n">
        <v>16</v>
      </c>
      <c r="F3296">
        <f>HYPERLINK("https://www.reddit.com/r/diabetes/comments/6ny2xx/concern_about_morning_glucose_levels/")</f>
        <v/>
      </c>
      <c r="G3296" t="inlineStr">
        <is>
          <t>2017-07-17 20:00:20</t>
        </is>
      </c>
      <c r="H3296" t="inlineStr">
        <is>
          <t>Type 2</t>
        </is>
      </c>
    </row>
    <row r="3297">
      <c r="A3297" t="inlineStr">
        <is>
          <t>6nysot</t>
        </is>
      </c>
      <c r="B3297" t="inlineStr">
        <is>
          <t>Trying for better control, things are a mess!</t>
        </is>
      </c>
      <c r="C3297" t="inlineStr">
        <is>
          <t>I've been type 1 for 22 years and right now I treat with MDI. I haven't had access to a regular endocrinologist or a good team for years due to where I was living. At my worst, I think my A1C was 10.7, but on my own, I was able to get it down to around 8 for the past 3 years and to 7.9 last year around this time. My husband and I made a big move so that I could access better care and now I have an amazing team with doc, nurse, dietician, and even a social worker to help me get in better control. 
So now I'm trying to get below the elusive 7 threshold and I even though my Lantus has been reduced by almost 1/3rd to avoid night time lows, I'm now having multiple lows throughout the day and night. Not what I expected at all. It's hard to get out of bed many mornings (I experienced that a bit before, but I feel like its happening a lot more now).
I think the main reason is that I had been under-estimating carbs before and now that I'm being really meticulous about the accuracy of my carb counting, my insulin to carb ratios (for Humalog) probably need adjusting. Yesterday, I fell to 3.1 in the early afternoon and treated with 20 carbs and 30 minutes later I was only up to 3.6! Then I was 8.9 before bed with no active insulin and I woke up at 1:30 with a 2.1. I ate 60 carbs then, in part because of that crazy "I'm going to die" feeling and in part out of reasonably not wanting to die when I went back to sleep. Needless to say I woke up at 14.9. 
Anyway, just wanted to vent. I sort of feel like "not doing so great" with an 8.0 A1C was actually okay for me. Way less ups and downs, which is really hard on my body. I'm sure things will improve once my ratios are changed (I'll be emailing my nurse tomorrow), but 4-5 lows per day is horrible!</t>
        </is>
      </c>
      <c r="D3297" t="n">
        <v>7</v>
      </c>
      <c r="E3297" t="n">
        <v>7</v>
      </c>
      <c r="F3297">
        <f>HYPERLINK("https://www.reddit.com/r/diabetes/comments/6nysot/trying_for_better_control_things_are_a_mess/")</f>
        <v/>
      </c>
      <c r="G3297" t="inlineStr">
        <is>
          <t>2017-07-17 22:31:56</t>
        </is>
      </c>
      <c r="H3297" t="inlineStr">
        <is>
          <t>Type 1</t>
        </is>
      </c>
    </row>
    <row r="3298">
      <c r="A3298" t="inlineStr">
        <is>
          <t>6o0iho</t>
        </is>
      </c>
      <c r="B3298" t="inlineStr">
        <is>
          <t>Think I have Gastroparesis what helps with yours?</t>
        </is>
      </c>
      <c r="C3298" t="inlineStr">
        <is>
          <t>Okay so I'm 22 and have been diabetic 18 years, It's not been well controlled in my teenage years, but my last a1c was 7.8% so it's decently controlled now.
For the past 2 months, I've been ill a lot. probably 15-20 times in 60 days, usualy in the morning I will wake up with diarrhoea and will vomit undigested food with a foul smell and eggy burps. very unpleasant
I have been the doctor and he said it probably wasn't gastroparesis and tested my stool and blood for certain bugs, all of which came back negative. 
I am going to the gastro doctor but I am waiting to hear when my appt is and I need to start eating as I'm losing a lot of weight.
I find that if I only eat very small amounts that I am fine, which is what I've had to resort to in order to get to work without being ill, however, I've lost a lot of weight this past 2 months and it's not good.
So I'm just wondering if anyone thats had this for a while can tell me what they eat/drink and in general what you do to manage this problem.www</t>
        </is>
      </c>
      <c r="D3298" t="n">
        <v>2</v>
      </c>
      <c r="E3298" t="n">
        <v>7</v>
      </c>
      <c r="F3298">
        <f>HYPERLINK("https://www.reddit.com/r/diabetes/comments/6o0iho/think_i_have_gastroparesis_what_helps_with_yours/")</f>
        <v/>
      </c>
      <c r="G3298" t="inlineStr">
        <is>
          <t>2017-07-18 05:43:02</t>
        </is>
      </c>
      <c r="H3298" t="inlineStr">
        <is>
          <t>Type 1</t>
        </is>
      </c>
    </row>
    <row r="3299">
      <c r="A3299" t="inlineStr">
        <is>
          <t>6o1t34</t>
        </is>
      </c>
      <c r="B3299" t="inlineStr">
        <is>
          <t>Should I try for a pump?</t>
        </is>
      </c>
      <c r="C3299" t="inlineStr">
        <is>
          <t xml:space="preserve">Hi folks! Been T1 since Oct. 2005. My last A1C was 8. I just graduated from college a year ago, and now that I'm an "adult" i really want to focus on managing and controlling my diabetes. I've always had doctors talk to me about the pump, but I've been using insulin pens for humalog and lantus for years. 
I've always been uncomfortable with the idea of having a device connected to my body, but in your collective experience, Reddit, do you think a pump is the right choice? Is it easier to carry and whatnot than I'm making it out to be? Thanks so much! </t>
        </is>
      </c>
      <c r="D3299" t="n">
        <v>1</v>
      </c>
      <c r="E3299" t="n">
        <v>7</v>
      </c>
      <c r="F3299">
        <f>HYPERLINK("https://www.reddit.com/r/diabetes/comments/6o1t34/should_i_try_for_a_pump/")</f>
        <v/>
      </c>
      <c r="G3299" t="inlineStr">
        <is>
          <t>2017-07-18 09:17:29</t>
        </is>
      </c>
      <c r="H3299" t="inlineStr">
        <is>
          <t>Type 1</t>
        </is>
      </c>
    </row>
    <row r="3300">
      <c r="A3300" t="inlineStr">
        <is>
          <t>6o39b8</t>
        </is>
      </c>
      <c r="B3300" t="inlineStr">
        <is>
          <t>High everytime I wake up</t>
        </is>
      </c>
      <c r="C3300" t="inlineStr">
        <is>
          <t>My sugar spikes up  9 mmol/l whenever I wake up, doesn't matter if I sleep 1 hour or 8 hours, its always the same thing, does anybody know why this happens? I've been really high too, even if I inject a perfect amount, using novorapid.</t>
        </is>
      </c>
      <c r="D3300" t="n">
        <v>1</v>
      </c>
      <c r="E3300" t="n">
        <v>9</v>
      </c>
      <c r="F3300">
        <f>HYPERLINK("https://www.reddit.com/r/diabetes/comments/6o39b8/high_everytime_i_wake_up/")</f>
        <v/>
      </c>
      <c r="G3300" t="inlineStr">
        <is>
          <t>2017-07-18 12:51:35</t>
        </is>
      </c>
      <c r="H3300" t="inlineStr">
        <is>
          <t>Type 1</t>
        </is>
      </c>
    </row>
    <row r="3301">
      <c r="A3301" t="inlineStr">
        <is>
          <t>6o725h</t>
        </is>
      </c>
      <c r="B3301" t="inlineStr">
        <is>
          <t>Experience going from Medtronic 530g to 640g</t>
        </is>
      </c>
      <c r="C3301" t="inlineStr">
        <is>
          <t>So, as far as I can tell my new pump is: larger, heavier, MUCH less comfortable to wear (only takes 3ml reservoirs, shittier clip), louder, takes more button clicks to use, and too inflexible to use mg/dl (so now I have to switch to mmol/l). Next week I'll get the sensor which is nearly but not quite as good as the one Dexcom put out five or so years ago. In exchange, I get dual boluses that can be adjusted in 15 minute increments instead of 30 and a screen that's equivalent to my ipod from 2005.
I sure hope this sensor is worth it. Fuck Medtronic, never again.</t>
        </is>
      </c>
      <c r="D3301" t="n">
        <v>3</v>
      </c>
      <c r="E3301" t="n">
        <v>7</v>
      </c>
      <c r="F3301">
        <f>HYPERLINK("https://www.reddit.com/r/diabetes/comments/6o725h/experience_going_from_medtronic_530g_to_640g/")</f>
        <v/>
      </c>
      <c r="G3301" t="inlineStr">
        <is>
          <t>2017-07-19 01:00:47</t>
        </is>
      </c>
      <c r="H3301" t="inlineStr">
        <is>
          <t>Type 1</t>
        </is>
      </c>
    </row>
    <row r="3302">
      <c r="A3302" t="inlineStr">
        <is>
          <t>6o7o3e</t>
        </is>
      </c>
      <c r="B3302" t="inlineStr">
        <is>
          <t>Anyone else with Sjogren's Syndrome (or other auto-immune comorbidities?)</t>
        </is>
      </c>
      <c r="C3302" t="inlineStr">
        <is>
          <t xml:space="preserve">TL;DR, Acheivement Unlocked: found obscure disease on WebMD and actually have it. 
I've been dealing with some pretty awful dry eye, so in looking up information on how to cure it, an auto immune disease called Sjogren's Syndrome kept being mentioned.  It attacks the salivary glands and tear ducts, as well as other moisture producing glands. Auto immune stuff kind of being our thing, I had my endo add it to my blood test just to rule it out, and I tested positive for one of the two antibodies. I'm still waiting for a rhuematologist to confirm. Oh well. 
What other fun comorbidities should I be on the look out for in the future?  I kind of feel like having them run a full panel for every disease out there at this point. </t>
        </is>
      </c>
      <c r="D3302" t="n">
        <v>4</v>
      </c>
      <c r="E3302" t="n">
        <v>15</v>
      </c>
      <c r="F3302">
        <f>HYPERLINK("https://www.reddit.com/r/diabetes/comments/6o7o3e/anyone_else_with_sjogrens_syndrome_or_other/")</f>
        <v/>
      </c>
      <c r="G3302" t="inlineStr">
        <is>
          <t>2017-07-19 03:45:15</t>
        </is>
      </c>
      <c r="H3302" t="inlineStr">
        <is>
          <t>Type 1</t>
        </is>
      </c>
    </row>
    <row r="3303">
      <c r="A3303" t="inlineStr">
        <is>
          <t>6o805z</t>
        </is>
      </c>
      <c r="B3303" t="inlineStr">
        <is>
          <t>Fasting,Ketosis and Fat</t>
        </is>
      </c>
      <c r="C3303" t="inlineStr">
        <is>
          <t>Where can I go to learn about why it is ok to eat animal fat as part of a fasting - ketosis,low carb regimen ?
I have always heard animal fat clogged arteries and promoted heart disease,impaired glucose absorption through cell wall.
Help please.</t>
        </is>
      </c>
      <c r="D3303" t="n">
        <v>4</v>
      </c>
      <c r="E3303" t="n">
        <v>9</v>
      </c>
      <c r="F3303">
        <f>HYPERLINK("https://www.reddit.com/r/diabetes/comments/6o805z/fastingketosis_and_fat/")</f>
        <v/>
      </c>
      <c r="G3303" t="inlineStr">
        <is>
          <t>2017-07-19 05:03:52</t>
        </is>
      </c>
      <c r="H3303" t="inlineStr">
        <is>
          <t>Type 1</t>
        </is>
      </c>
    </row>
    <row r="3304">
      <c r="A3304" t="inlineStr">
        <is>
          <t>6o8ecm</t>
        </is>
      </c>
      <c r="B3304" t="inlineStr">
        <is>
          <t>I try and keep up with the times</t>
        </is>
      </c>
      <c r="C3304" t="inlineStr">
        <is>
          <t>So, I have an android phone, but also have an iPad. I use a Dexcom with share and G4, but know Dexcom is in approval for G5 approval or has been approved. The app is available via android but it wouldn't link with my G5 sensor. Any updates on android availability so I don't need the extra device in my pocket ? Do I need to use the G5 sensor in order to use Dexcom clarity reports and share features?</t>
        </is>
      </c>
      <c r="D3304" t="n">
        <v>1</v>
      </c>
      <c r="E3304" t="n">
        <v>8</v>
      </c>
      <c r="F3304">
        <f>HYPERLINK("https://www.reddit.com/r/diabetes/comments/6o8ecm/i_try_and_keep_up_with_the_times/")</f>
        <v/>
      </c>
      <c r="G3304" t="inlineStr">
        <is>
          <t>2017-07-19 06:18:58</t>
        </is>
      </c>
      <c r="H3304" t="inlineStr">
        <is>
          <t>Type 1</t>
        </is>
      </c>
    </row>
    <row r="3305">
      <c r="A3305" t="inlineStr">
        <is>
          <t>6o9nqj</t>
        </is>
      </c>
      <c r="B3305" t="inlineStr">
        <is>
          <t>Experiences with Anthem and 670g insulin pump?</t>
        </is>
      </c>
      <c r="C3305" t="inlineStr">
        <is>
          <t>Hi all. I am a part of the priority upgrade program for the 670g, but I have Anthem as my insurance provider, and they are not covering it due to them qualifying it as exploratory equipment, but not a medical necessity. 
My Endo is writing me a letter, and i'm going through the appeals process right now to try to get it covered, but I was wondering if anyone else had any experiences dealing with this before. Thanks!</t>
        </is>
      </c>
      <c r="D3305" t="n">
        <v>2</v>
      </c>
      <c r="E3305" t="n">
        <v>3</v>
      </c>
      <c r="F3305">
        <f>HYPERLINK("https://www.reddit.com/r/diabetes/comments/6o9nqj/experiences_with_anthem_and_670g_insulin_pump/")</f>
        <v/>
      </c>
      <c r="G3305" t="inlineStr">
        <is>
          <t>2017-07-19 09:34:22</t>
        </is>
      </c>
      <c r="H3305" t="inlineStr">
        <is>
          <t>Type 1</t>
        </is>
      </c>
    </row>
    <row r="3306">
      <c r="A3306" t="inlineStr">
        <is>
          <t>6odjol</t>
        </is>
      </c>
      <c r="B3306" t="inlineStr">
        <is>
          <t>Dexcom G4 insertion hurts really bad :(. Any tips?</t>
        </is>
      </c>
      <c r="C3306" t="inlineStr">
        <is>
          <t xml:space="preserve">Once the site is in, it is fine for me.  But upon initial insertion, sometimes it hurts REALLY BAD.  I insert pumps all the time and that never hurts.  I think it is the 45 degree insertion that does it.  I am scared to put things on my skin to make it easier, for fear it will change my numbers.
</t>
        </is>
      </c>
      <c r="D3306" t="n">
        <v>5</v>
      </c>
      <c r="E3306" t="n">
        <v>7</v>
      </c>
      <c r="F3306">
        <f>HYPERLINK("https://www.reddit.com/r/diabetes/comments/6odjol/dexcom_g4_insertion_hurts_really_bad_any_tips/")</f>
        <v/>
      </c>
      <c r="G3306" t="inlineStr">
        <is>
          <t>2017-07-19 19:59:59</t>
        </is>
      </c>
      <c r="H3306" t="inlineStr">
        <is>
          <t>Type 1</t>
        </is>
      </c>
    </row>
    <row r="3307">
      <c r="A3307" t="inlineStr">
        <is>
          <t>6oh9tt</t>
        </is>
      </c>
      <c r="B3307" t="inlineStr">
        <is>
          <t>Please help me help him! New diagnosis, trying to be a good support.</t>
        </is>
      </c>
      <c r="C3307" t="inlineStr">
        <is>
          <t xml:space="preserve">My boyfriend was recently diagnosed with type 2 diabetes. We immediately changed our diet to very low (almost no) carb. He is also on medication (metformin and another one) I'm looking for good resources so that I can support him as best as possible. He shares the info he gets from doctors and we are going to a diabetes lifestyle class offered by our local hospital next week, but I want a head start. Can you share books / sites / tricks etc that will help me support him through the learning phase but also in the long run. Thanks! </t>
        </is>
      </c>
      <c r="D3307" t="n">
        <v>11</v>
      </c>
      <c r="E3307" t="n">
        <v>31</v>
      </c>
      <c r="F3307">
        <f>HYPERLINK("https://www.reddit.com/r/diabetes/comments/6oh9tt/please_help_me_help_him_new_diagnosis_trying_to/")</f>
        <v/>
      </c>
      <c r="G3307" t="inlineStr">
        <is>
          <t>2017-07-20 09:14:45</t>
        </is>
      </c>
      <c r="H3307" t="inlineStr">
        <is>
          <t>Type 2</t>
        </is>
      </c>
    </row>
    <row r="3308">
      <c r="A3308" t="inlineStr">
        <is>
          <t>6oioaq</t>
        </is>
      </c>
      <c r="B3308" t="inlineStr">
        <is>
          <t>Help! I need tips on detaching/reattaching the minimed quick-set infusion set</t>
        </is>
      </c>
      <c r="C3308" t="inlineStr">
        <is>
          <t>Edit: I gave up and am switching out the infusion set but any advice is still appreciated, not being able to detach these is a huge pain.
Everyone in my care team seems to struggle with this new type of infusion set, I guess it used to be different. I managed to unscrew it once but couldn't get it back on.
It looks just like the quick-set infusion set pictured here
https://www.medtronicdiabetes.com/products/infusion-sets
I have an insulin blockage warning now after a visit with the endo, the nurses tried to remove it so they could download data off my pump. But I think they didn't put it back on quite right because now it seems a little blocked.
Does anyone have tips for these darn things? It seems like they updated the model to be harder to accidentally remove, but also harder to attach/detach in the first place.
Thank you for any help.</t>
        </is>
      </c>
      <c r="D3308" t="n">
        <v>2</v>
      </c>
      <c r="E3308" t="n">
        <v>7</v>
      </c>
      <c r="F3308">
        <f>HYPERLINK("https://www.reddit.com/r/diabetes/comments/6oioaq/help_i_need_tips_on_detachingreattaching_the/")</f>
        <v/>
      </c>
      <c r="G3308" t="inlineStr">
        <is>
          <t>2017-07-20 12:36:58</t>
        </is>
      </c>
      <c r="H3308" t="inlineStr">
        <is>
          <t>Type 1</t>
        </is>
      </c>
    </row>
    <row r="3309">
      <c r="A3309" t="inlineStr">
        <is>
          <t>6ojma4</t>
        </is>
      </c>
      <c r="B3309" t="inlineStr">
        <is>
          <t>How am I supposed to talk to an endocrinologist about possible nerve damage?</t>
        </is>
      </c>
      <c r="C3309" t="inlineStr">
        <is>
          <t>I was diagnosed with T1 when I was around 11 and I remember having pain in my limbs and feeling like I'm getting stabbed with a hundred needles since I was 8 or 9. Recently, I've become 99 percent sure that it's somehow related to my diabetes because it's much worse when I blood sugar is high. I wouldn't usually want to bring it up, but it's getting really painful and it's getting hard to move. I'm nervous about getting yelled at or blamed for it. How should I bring this up? Also, I'm 17 and my parents aren't taking this seriously and think I'm overreacting, so I don't know how to talk to them about this either.</t>
        </is>
      </c>
      <c r="D3309" t="n">
        <v>6</v>
      </c>
      <c r="E3309" t="n">
        <v>7</v>
      </c>
      <c r="F3309">
        <f>HYPERLINK("https://www.reddit.com/r/diabetes/comments/6ojma4/how_am_i_supposed_to_talk_to_an_endocrinologist/")</f>
        <v/>
      </c>
      <c r="G3309" t="inlineStr">
        <is>
          <t>2017-07-20 15:00:03</t>
        </is>
      </c>
      <c r="H3309" t="inlineStr">
        <is>
          <t>Type 1</t>
        </is>
      </c>
    </row>
    <row r="3310">
      <c r="A3310" t="inlineStr">
        <is>
          <t>6onnfx</t>
        </is>
      </c>
      <c r="B3310" t="inlineStr">
        <is>
          <t>Dexcom G4/G5</t>
        </is>
      </c>
      <c r="C3310" t="inlineStr">
        <is>
          <t>So I'm preparing for a backpacking trip at the end of the year, and I think it would be wise to make use of CGM given the nature of the trip (unfortunately paid out of pocket, so CGM is being reserved for special occasions). The trip will be just over 3 months, and I plan on using CGM for a month or so prior to 'prepare' and get to grips with the technology.
I'm tossing up between the Dexcom G4 and G5. While the G4 would be more cost effective, due to the 6m+ battery life as opposed to the 3m G5 life, I have heard conflicting information with regard to accuracy (in particular, the 'lag time'). I guess I'm looking for any sort of comparison between the accuracy of the two. Of course, if there is a big enough difference, the extra cost might be worthwhile.
I would love to hear peoples thoughts and experiences.</t>
        </is>
      </c>
      <c r="D3310" t="n">
        <v>3</v>
      </c>
      <c r="E3310" t="n">
        <v>4</v>
      </c>
      <c r="F3310">
        <f>HYPERLINK("https://www.reddit.com/r/diabetes/comments/6onnfx/dexcom_g4g5/")</f>
        <v/>
      </c>
      <c r="G3310" t="inlineStr">
        <is>
          <t>2017-07-21 05:41:46</t>
        </is>
      </c>
      <c r="H3310" t="inlineStr">
        <is>
          <t>Type 1</t>
        </is>
      </c>
    </row>
    <row r="3311">
      <c r="A3311" t="inlineStr">
        <is>
          <t>6oof9c</t>
        </is>
      </c>
      <c r="B3311" t="inlineStr">
        <is>
          <t>Does it matter when you wake up or workout?</t>
        </is>
      </c>
      <c r="C3311" t="inlineStr">
        <is>
          <t>If you would be to wake up on different times every day and to work out very randomly would it have an effect on your sugar? Compared to a strict routine.</t>
        </is>
      </c>
      <c r="D3311" t="n">
        <v>15</v>
      </c>
      <c r="E3311" t="n">
        <v>10</v>
      </c>
      <c r="F3311">
        <f>HYPERLINK("https://www.reddit.com/r/diabetes/comments/6oof9c/does_it_matter_when_you_wake_up_or_workout/")</f>
        <v/>
      </c>
      <c r="G3311" t="inlineStr">
        <is>
          <t>2017-07-21 07:57:19</t>
        </is>
      </c>
      <c r="H3311" t="inlineStr">
        <is>
          <t>Type 1</t>
        </is>
      </c>
    </row>
    <row r="3312">
      <c r="A3312" t="inlineStr">
        <is>
          <t>6oq6vv</t>
        </is>
      </c>
      <c r="B3312" t="inlineStr">
        <is>
          <t>Best A1C in 25 years. Thanks xDrip</t>
        </is>
      </c>
      <c r="C3312" t="inlineStr">
        <is>
          <t>5.5. Lowest my A1C has been since the last time a Trudeau was prime minister. 
This wasn't caused by too many lows and I don't do keto. I give the credit to xDrip on my watch. With my BG right in front of my face all the time it's so easy to do constant minor corrections and stay on target.</t>
        </is>
      </c>
      <c r="D3312" t="n">
        <v>6</v>
      </c>
      <c r="E3312" t="n">
        <v>2</v>
      </c>
      <c r="F3312">
        <f>HYPERLINK("https://www.reddit.com/r/diabetes/comments/6oq6vv/best_a1c_in_25_years_thanks_xdrip/")</f>
        <v/>
      </c>
      <c r="G3312" t="inlineStr">
        <is>
          <t>2017-07-21 12:23:19</t>
        </is>
      </c>
      <c r="H3312" t="inlineStr">
        <is>
          <t>Type 1</t>
        </is>
      </c>
    </row>
    <row r="3313">
      <c r="A3313" t="inlineStr">
        <is>
          <t>6oq8xe</t>
        </is>
      </c>
      <c r="B3313" t="inlineStr">
        <is>
          <t>670G Test Vs 630G</t>
        </is>
      </c>
      <c r="C3313" t="inlineStr">
        <is>
          <t xml:space="preserve">I have been a pumper for over a decade. I started with the Sof Sensors then ditched everything for a long time until I used the Dexcom which restored my faith in CGMs. Only 6 months later insurance struck a deal with Medtronic and I was no longer allowed to buy Dexcom under insurance. December I bought the 630G because of the upgrade program and started using the enlight sensor. Today I received my final batch of 670G things and have the Guardian Sensor inserted and ready to go. I am actually going to keep both sensors on and report back tomorrow. 
Hopefully this thing will be as good as Medtronic says. </t>
        </is>
      </c>
      <c r="D3313" t="n">
        <v>16</v>
      </c>
      <c r="E3313" t="n">
        <v>22</v>
      </c>
      <c r="F3313">
        <f>HYPERLINK("https://www.reddit.com/r/diabetes/comments/6oq8xe/670g_test_vs_630g/")</f>
        <v/>
      </c>
      <c r="G3313" t="inlineStr">
        <is>
          <t>2017-07-21 12:32:30</t>
        </is>
      </c>
      <c r="H3313" t="inlineStr">
        <is>
          <t>Type 1</t>
        </is>
      </c>
    </row>
    <row r="3314">
      <c r="A3314" t="inlineStr">
        <is>
          <t>6oxsed</t>
        </is>
      </c>
      <c r="B3314" t="inlineStr">
        <is>
          <t>Operator error with bad insulin?</t>
        </is>
      </c>
      <c r="C3314" t="inlineStr">
        <is>
          <t>Last night, I started staying high so I changed my infusion set. After so, I continued to stay high and had trouble reaching my target, I thought I had a bad site again as I used an area with very little fat. I already had a reservoir full of insulin so I once again went to a go to site I knew worked. Hours pass again and I start to feel sick now. I check BG and it was 400!. I'm thinking to myself wtf!, everything is new, so I bolus and bolus and nothing. And then it hits me........I did not fill my tubing when switching sets, I just connected to reservoir and filled the cannula. This whole time I was pumping air!!! So I filled the tubing and cleared all active insulin and began the correction process again. I woke up to a BG of 209 and now i am still fighting to get in range. Is my insulin bad? I've yet to come across bad insulin,  just bad sites. Any recommendations? All my settings before today worked as usual....except today! I feel so sick, no food all day, feel like ketones are just eating my body on top of the high BG!!!</t>
        </is>
      </c>
      <c r="D3314" t="n">
        <v>1</v>
      </c>
      <c r="E3314" t="n">
        <v>1</v>
      </c>
      <c r="F3314">
        <f>HYPERLINK("https://www.reddit.com/r/diabetes/comments/6oxsed/operator_error_with_bad_insulin/")</f>
        <v/>
      </c>
      <c r="G3314" t="inlineStr">
        <is>
          <t>2017-07-22 15:15:00</t>
        </is>
      </c>
      <c r="H3314" t="inlineStr">
        <is>
          <t>Type 1</t>
        </is>
      </c>
    </row>
    <row r="3315">
      <c r="A3315" t="inlineStr">
        <is>
          <t>6p3yc2</t>
        </is>
      </c>
      <c r="B3315" t="inlineStr">
        <is>
          <t>Diabetes and the smell of sweat/body odor</t>
        </is>
      </c>
      <c r="C3315" t="inlineStr">
        <is>
          <t>Hello,
I am pre-diabetic and have noticed over the past several months that whenever I sweat or get hot my body odor smells very pungent, but not like BO. It smells like mildew or a damp towel that has been sitting in the dryer for a long time, or a floral arrangement that has been sitting in the same water for a while. Is this a sign of Diabetes/ketosis? I always thought the smell was more from stress/anxiety, but the more I read, I'm starting to think I may Type 2 Diabetes maybe if Type 1. 
Does anyone have similar experiences?</t>
        </is>
      </c>
      <c r="D3315" t="n">
        <v>2</v>
      </c>
      <c r="E3315" t="n">
        <v>10</v>
      </c>
      <c r="F3315">
        <f>HYPERLINK("https://www.reddit.com/r/diabetes/comments/6p3yc2/diabetes_and_the_smell_of_sweatbody_odor/")</f>
        <v/>
      </c>
      <c r="G3315" t="inlineStr">
        <is>
          <t>2017-07-23 14:20:04</t>
        </is>
      </c>
      <c r="H3315" t="inlineStr">
        <is>
          <t>Type 2</t>
        </is>
      </c>
    </row>
    <row r="3316">
      <c r="A3316" t="inlineStr">
        <is>
          <t>6p4chp</t>
        </is>
      </c>
      <c r="B3316" t="inlineStr">
        <is>
          <t>Probably a dumb question.</t>
        </is>
      </c>
      <c r="C3316" t="inlineStr">
        <is>
          <t>Just curious as to if someone without diabetes will ever have a blood sugar above 150 or does the body's insulin kick in before that? lets say me and a friend both ate the same carbs and checked it in an hour would they be relatively the same or different since I don't naturally produce a lot of insulin as a type 1.
ANOTHER REALLY DUMB QUESTION: also really stupid question I thought of in bed.... back then they used leeches and shit for everything (im talking way back) do you think leeches would of somewhat controlled diabetes by ofc sucking blood same for bloodletting they did that alot back then would those of been effective at all lol.</t>
        </is>
      </c>
      <c r="D3316" t="n">
        <v>5</v>
      </c>
      <c r="E3316" t="n">
        <v>10</v>
      </c>
      <c r="F3316">
        <f>HYPERLINK("https://www.reddit.com/r/diabetes/comments/6p4chp/probably_a_dumb_question/")</f>
        <v/>
      </c>
      <c r="G3316" t="inlineStr">
        <is>
          <t>2017-07-23 15:29:22</t>
        </is>
      </c>
      <c r="H3316" t="inlineStr">
        <is>
          <t>Type 1</t>
        </is>
      </c>
    </row>
    <row r="3317">
      <c r="A3317" t="inlineStr">
        <is>
          <t>6p9u2z</t>
        </is>
      </c>
      <c r="B3317" t="inlineStr">
        <is>
          <t>end-of-honeymoon roller coaster</t>
        </is>
      </c>
      <c r="C3317" t="inlineStr">
        <is>
          <t>Pancake is coming out of honeymoon and we're trying to find the new correct dosing ratios. Yesterday we were traveling and didn't know the carbs in our restaurant foods. Here are his outlandish BG measurements:
- breakfast time: 182
- lunchtime: 413 (oops!)
- late afternoon: 69 (oops oops!)
- bedtime: 225
And a tip for others going through a transition: carbs magnify mistakes. If the carb ratio is wrong, higher carbs means a bigger error in bolus. Choosing foods that are a little lower in carbs makes the transition period a little less wild.</t>
        </is>
      </c>
      <c r="D3317" t="n">
        <v>8</v>
      </c>
      <c r="E3317" t="n">
        <v>18</v>
      </c>
      <c r="F3317">
        <f>HYPERLINK("https://www.reddit.com/r/diabetes/comments/6p9u2z/endofhoneymoon_roller_coaster/")</f>
        <v/>
      </c>
      <c r="G3317" t="inlineStr">
        <is>
          <t>2017-07-24 10:18:10</t>
        </is>
      </c>
      <c r="H3317" t="inlineStr">
        <is>
          <t>Type 1</t>
        </is>
      </c>
    </row>
    <row r="3318">
      <c r="A3318" t="inlineStr">
        <is>
          <t>6pbaiv</t>
        </is>
      </c>
      <c r="B3318" t="inlineStr">
        <is>
          <t>High Carb (Starch) Low Fat diet results thread.</t>
        </is>
      </c>
      <c r="C3318" t="inlineStr">
        <is>
          <t>Just interested in hearing the results of those who eat a high carb diet of predominantly starches (little to no refined sugar or fructose) and low fat and protein. 
It would be especially interesting to hear from someone who has/is doing a ketogenic diet to see how the diets compare. I'm currently doing keto and it has been a vast improvement from my old Standard American Diet, but I would  love to switch to a HCLF diet for environmental and ethical reasons.
Any input or links to information is appreciated!</t>
        </is>
      </c>
      <c r="D3318" t="n">
        <v>0</v>
      </c>
      <c r="E3318" t="n">
        <v>16</v>
      </c>
      <c r="F3318">
        <f>HYPERLINK("https://www.reddit.com/r/diabetes/comments/6pbaiv/high_carb_starch_low_fat_diet_results_thread/")</f>
        <v/>
      </c>
      <c r="G3318" t="inlineStr">
        <is>
          <t>2017-07-24 13:50:36</t>
        </is>
      </c>
      <c r="H3318" t="inlineStr">
        <is>
          <t>Type 1</t>
        </is>
      </c>
    </row>
    <row r="3319">
      <c r="A3319" t="inlineStr">
        <is>
          <t>6pf8nz</t>
        </is>
      </c>
      <c r="B3319" t="inlineStr">
        <is>
          <t>Humalog consumption</t>
        </is>
      </c>
      <c r="C3319" t="inlineStr">
        <is>
          <t xml:space="preserve">Im just trying to get an idea from other type 1's. If you use humalog, how much will you use on any average day? I got diagnosed Oct. 2016, out of the blue...fortunate enough to have parents with good coverage. After the "honeymoon period" it feels like I use an ungodly amount. While it's not an issue right now (insulin is free under insurance) with the bullshit healthcare stuff going on right now I fear I won't be able to keep up with how much I use. To get an idea I wake up and my blood sugar is almost always 250-300 (dawn phenomenon) so it takes about 20-30 units to wrangle it back down to 100-150. In addition to starting the day off with a large injection I then have to worry about how much I need for other meals. I've been getting better about sticking to boring low carb, high protein meals but there have been days where I just don't have time to prepare meals like that and end up grabbing McDonald's or something and I'll use like 100 units over the course of the day. Anyone else have a problem with how much humalog they use? Thanks in advance for sharing and if you wanna vent about how much you hate t1 I'll totally sit here and talk to you about it. Still not at peace with my diagnosis :( I hope to god a cure comes soon as this disease is slowly ruining my life. So much to fear and worry about! Thanks again </t>
        </is>
      </c>
      <c r="D3319" t="n">
        <v>3</v>
      </c>
      <c r="E3319" t="n">
        <v>16</v>
      </c>
      <c r="F3319">
        <f>HYPERLINK("https://www.reddit.com/r/diabetes/comments/6pf8nz/humalog_consumption/")</f>
        <v/>
      </c>
      <c r="G3319" t="inlineStr">
        <is>
          <t>2017-07-25 03:20:17</t>
        </is>
      </c>
      <c r="H3319" t="inlineStr">
        <is>
          <t>Type 1</t>
        </is>
      </c>
    </row>
    <row r="3320">
      <c r="A3320" t="inlineStr">
        <is>
          <t>6pgjr6</t>
        </is>
      </c>
      <c r="B3320" t="inlineStr">
        <is>
          <t>Protein Spikes</t>
        </is>
      </c>
      <c r="C3320" t="inlineStr">
        <is>
          <t xml:space="preserve">I'll keep this brief. I follow a Keto diet, and whilst my sugars are much more controlled, I suffer from spikes after high protein meals, which I will usually consume twice a day for lunch and dinner (around 40-60g). I use a dual wave 50/50% over 2 hours, however I still spike. I've tried the wave over 1 hours, 1.5 and even 4, but nothing seems to work. Can anyone make a suggestion because it really makes me feel bad when I spike to 7.0/8.0 now days .
Thanks </t>
        </is>
      </c>
      <c r="D3320" t="n">
        <v>5</v>
      </c>
      <c r="E3320" t="n">
        <v>16</v>
      </c>
      <c r="F3320">
        <f>HYPERLINK("https://www.reddit.com/r/diabetes/comments/6pgjr6/protein_spikes/")</f>
        <v/>
      </c>
      <c r="G3320" t="inlineStr">
        <is>
          <t>2017-07-25 07:40:35</t>
        </is>
      </c>
      <c r="H3320" t="inlineStr">
        <is>
          <t>Type 1</t>
        </is>
      </c>
    </row>
    <row r="3321">
      <c r="A3321" t="inlineStr">
        <is>
          <t>6pgqnj</t>
        </is>
      </c>
      <c r="B3321" t="inlineStr">
        <is>
          <t>Ex-pre diabetic: I now have healthy fasting sugar levels (~82 mg/dl most days), but I feel very grey and fatigued for days if I have a high GI meal... red flag?</t>
        </is>
      </c>
      <c r="C3321" t="inlineStr">
        <is>
          <t>Hey guys. I was pre-diabetic back in December, due to me having three pints of ice cream a week for about six months. Bad decisions. My fasting glucose got to about ~100 mg/dl, and then I put the dampers on.
It used to be that if I had ice cream or other high-GI food, I would feel grey, fatigued, and my mouth would be dry for a few days afterwards. But the threshold for high-GI has started dropping: it used to just be ice cream and candy, but then suddenly brown rice has started giving me the same problem.
I know brown rice isn't a low-GI food, but until a week ago I could always eat brown rice without it making me feel grey, fatigued, and thirsty for days afterward, but now I can't.
Its kind of alarming. Has anybody had experience with these kinds of symptoms, or progression like this?</t>
        </is>
      </c>
      <c r="D3321" t="n">
        <v>0</v>
      </c>
      <c r="E3321" t="n">
        <v>7</v>
      </c>
      <c r="F3321">
        <f>HYPERLINK("https://www.reddit.com/r/diabetes/comments/6pgqnj/expre_diabetic_i_now_have_healthy_fasting_sugar/")</f>
        <v/>
      </c>
      <c r="G3321" t="inlineStr">
        <is>
          <t>2017-07-25 08:09:47</t>
        </is>
      </c>
      <c r="H3321" t="inlineStr">
        <is>
          <t>Type 2</t>
        </is>
      </c>
    </row>
    <row r="3322">
      <c r="A3322" t="inlineStr">
        <is>
          <t>6pgwl3</t>
        </is>
      </c>
      <c r="B3322" t="inlineStr">
        <is>
          <t>Switching from pens to the pump</t>
        </is>
      </c>
      <c r="C3322" t="inlineStr">
        <is>
          <t>Hello fellow type 1 diabetics, I just want to ask some things about the pump to get info on the process switching from the pen to the pump (the preferred types, why you’re comfortable with yours, benefits and disadvantages, mental health concerns, etc.). I’m 15 and I’ve had diabetes for 2 and a half years now and I just got out of a meeting explaining the functions of each one but I wanted to do some more research to get opinions from people like me who actually have the beetus. Any info or experiences you’d like to share would be very helpful and I’d greatly appreciate it! Thanks!</t>
        </is>
      </c>
      <c r="D3322" t="n">
        <v>8</v>
      </c>
      <c r="E3322" t="n">
        <v>3</v>
      </c>
      <c r="F3322">
        <f>HYPERLINK("https://www.reddit.com/r/diabetes/comments/6pgwl3/switching_from_pens_to_the_pump/")</f>
        <v/>
      </c>
      <c r="G3322" t="inlineStr">
        <is>
          <t>2017-07-25 08:34:30</t>
        </is>
      </c>
      <c r="H3322" t="inlineStr">
        <is>
          <t>Type 1</t>
        </is>
      </c>
    </row>
    <row r="3323">
      <c r="A3323" t="inlineStr">
        <is>
          <t>6phgyg</t>
        </is>
      </c>
      <c r="B3323" t="inlineStr">
        <is>
          <t>Have you noticed a reading that is different based on the finger you use?</t>
        </is>
      </c>
      <c r="C3323" t="inlineStr">
        <is>
          <t>I am type 2, and have been for a while, but I am just noticing either my meter is broken, the strips are bad (expire in november), or my readings are different based on the finger I choose to prick.
Today, I wanted to test a few things around readings. Washing my hands with different soaps, using paper towels vs using a clean towel to dry my hands off, and I am testing a new energy bar called Quest (I'm sure you guys have already heard of it, but I'm testing to see how it effects me).
I tested using my middle finger and got X. 10 mins later, I tested using the same hand, but ring finger and got x + 27. Tested yet again on the index finger of the same hand 5 minutes later, and got X - 7. A 34 point swing in a matter of 15 mins and with nothing to eat or drink seems really strange to me.
I will keep testing, but I wanted to see if any of you guys have had similar experiences? I will be bringing it up with my dr when I meet with her next month.</t>
        </is>
      </c>
      <c r="D3323" t="n">
        <v>3</v>
      </c>
      <c r="E3323" t="n">
        <v>7</v>
      </c>
      <c r="F3323">
        <f>HYPERLINK("https://www.reddit.com/r/diabetes/comments/6phgyg/have_you_noticed_a_reading_that_is_different/")</f>
        <v/>
      </c>
      <c r="G3323" t="inlineStr">
        <is>
          <t>2017-07-25 09:56:03</t>
        </is>
      </c>
      <c r="H3323" t="inlineStr">
        <is>
          <t>Type 2</t>
        </is>
      </c>
    </row>
    <row r="3324">
      <c r="A3324" t="inlineStr">
        <is>
          <t>6piram</t>
        </is>
      </c>
      <c r="B3324" t="inlineStr">
        <is>
          <t>What can I do to protect my feet?</t>
        </is>
      </c>
      <c r="C3324" t="inlineStr">
        <is>
          <t xml:space="preserve">I'm 25, male. Type 1. I've had diabetes for almost 10 years. I've never had issues with my feet, but lately they've been hurting. I got a new job working in a very cold environments(-20°F- 30°F) which requires me to wear company issued steel toe boots. I don't know if my feet have been bothering me because of the boots, or if it has to do with the cold (although my feet never really get cold). I honestly think it's just because the boots are uncomfortable but i don't know for sure 
But is there anything I can do to help protect my feet, definitely don't wanna lose any of my little piggies. </t>
        </is>
      </c>
      <c r="D3324" t="n">
        <v>17</v>
      </c>
      <c r="E3324" t="n">
        <v>27</v>
      </c>
      <c r="F3324">
        <f>HYPERLINK("https://www.reddit.com/r/diabetes/comments/6piram/what_can_i_do_to_protect_my_feet/")</f>
        <v/>
      </c>
      <c r="G3324" t="inlineStr">
        <is>
          <t>2017-07-25 12:56:30</t>
        </is>
      </c>
      <c r="H3324" t="inlineStr">
        <is>
          <t>Type 1</t>
        </is>
      </c>
    </row>
    <row r="3325">
      <c r="A3325" t="inlineStr">
        <is>
          <t>6pj63l</t>
        </is>
      </c>
      <c r="B3325" t="inlineStr">
        <is>
          <t>Alternative diets to keto for T1.</t>
        </is>
      </c>
      <c r="C3325" t="inlineStr">
        <is>
          <t>Just curious to hear from people who manage their diabetes well whilst eating a non ketogenic diet.
How many carbs do you eat? How much fat do you eat? How is your insulin sensitivity? How active are you? Do you have more hypos/hypers? How is the diet you are on compare to previous diets you've tried (especially keto)?
Any responses are appreciated!</t>
        </is>
      </c>
      <c r="D3325" t="n">
        <v>3</v>
      </c>
      <c r="E3325" t="n">
        <v>19</v>
      </c>
      <c r="F3325">
        <f>HYPERLINK("https://www.reddit.com/r/diabetes/comments/6pj63l/alternative_diets_to_keto_for_t1/")</f>
        <v/>
      </c>
      <c r="G3325" t="inlineStr">
        <is>
          <t>2017-07-25 13:56:54</t>
        </is>
      </c>
      <c r="H3325" t="inlineStr">
        <is>
          <t>Type 1</t>
        </is>
      </c>
    </row>
    <row r="3326">
      <c r="A3326" t="inlineStr">
        <is>
          <t>6pl1ob</t>
        </is>
      </c>
      <c r="B3326" t="inlineStr">
        <is>
          <t>Started low carb a couple of days ago...</t>
        </is>
      </c>
      <c r="C3326" t="inlineStr">
        <is>
          <t>G'day all,
Have been trying out a low carb (less than 15g per meal) diet for the last 2 days. Although it hasn't been long I've been loving not needing to bolus before meals! 
One thing I've found is that my basal (Levemir) requirements have dropped significantly (by around 20%). My sugars have been extremely stable between 4-6.5mmol (currently using the freestyle libre) which is unheard of for me! Will need further fine tuning as I'm still having a few lows which didn't happen previously.
Has anyone else had the same experience? 
Anyone know of any long term issues with continuing this diet?</t>
        </is>
      </c>
      <c r="D3326" t="n">
        <v>14</v>
      </c>
      <c r="E3326" t="n">
        <v>17</v>
      </c>
      <c r="F3326">
        <f>HYPERLINK("https://www.reddit.com/r/diabetes/comments/6pl1ob/started_low_carb_a_couple_of_days_ago/")</f>
        <v/>
      </c>
      <c r="G3326" t="inlineStr">
        <is>
          <t>2017-07-25 19:13:19</t>
        </is>
      </c>
      <c r="H3326" t="inlineStr">
        <is>
          <t>Type 1</t>
        </is>
      </c>
    </row>
    <row r="3327">
      <c r="A3327" t="inlineStr">
        <is>
          <t>6poo6i</t>
        </is>
      </c>
      <c r="B3327" t="inlineStr">
        <is>
          <t>670g Update</t>
        </is>
      </c>
      <c r="C3327" t="inlineStr">
        <is>
          <t>This is an update from 
https://www.reddit.com/r/diabetes/comments/6oq8xe/670g_test_vs_630g/
My 670g is just spot on. I would highly recommend anyone who is considering one to get one. I have officially turned off high alarms and rapid rise alerts because there is no reason. The 670g will micro bolus them out of existence without me doing anything. I am really starting to appreciate that shield icon. 
Just check my BG a few minutes ago. Pump CGM: 154. Meter: 154. That was my first calibration since last night.
http://imgur.com/a/8QIVg</t>
        </is>
      </c>
      <c r="D3327" t="n">
        <v>6</v>
      </c>
      <c r="E3327" t="n">
        <v>15</v>
      </c>
      <c r="F3327">
        <f>HYPERLINK("https://www.reddit.com/r/diabetes/comments/6poo6i/670g_update/")</f>
        <v/>
      </c>
      <c r="G3327" t="inlineStr">
        <is>
          <t>2017-07-26 08:11:24</t>
        </is>
      </c>
      <c r="H3327" t="inlineStr">
        <is>
          <t>Type 1</t>
        </is>
      </c>
    </row>
    <row r="3328">
      <c r="A3328" t="inlineStr">
        <is>
          <t>6pr5qg</t>
        </is>
      </c>
      <c r="B3328" t="inlineStr">
        <is>
          <t>Newly Diagnosed College Student (T1D) :'(</t>
        </is>
      </c>
      <c r="C3328" t="inlineStr">
        <is>
          <t>Greetings r/diabetes.
This is my first post here and I guess I'm just looking for some helpful info, and/or any words of encouragement would be greatly appreciated.
I am a senior in college and I just found out this summer that I have T1D. I guess what I'm scared the most is the life expectancy and complications from this. I read online that our lives are shortened by 12 years, plus a bunch of complications in our kidneys, heart, vision... Does this apply to everyone with T1D regardless of how we take care of ourselves? I'm still trying to process all this, it's so overwhelming.
I'm 5'4 and 115 lbs and always have been pretty healthy; but I do like to eat ice cream/pancakes/cookies etc etc. Does T1D mean that I can no longer eat as many carbs as I used to, or just that I have to be able to match them with my insulin pretty well? Did you guys have to do (or suggest) any major diet changes?
Thank you in advance for any helpful tips.
(edited for clarity)</t>
        </is>
      </c>
      <c r="D3328" t="n">
        <v>8</v>
      </c>
      <c r="E3328" t="n">
        <v>43</v>
      </c>
      <c r="F3328">
        <f>HYPERLINK("https://www.reddit.com/r/diabetes/comments/6pr5qg/newly_diagnosed_college_student_t1d/")</f>
        <v/>
      </c>
      <c r="G3328" t="inlineStr">
        <is>
          <t>2017-07-26 14:11:20</t>
        </is>
      </c>
      <c r="H3328" t="inlineStr">
        <is>
          <t>Type 1</t>
        </is>
      </c>
    </row>
    <row r="3329">
      <c r="A3329" t="inlineStr">
        <is>
          <t>6pvara</t>
        </is>
      </c>
      <c r="B3329" t="inlineStr">
        <is>
          <t>Steroid meds... :(</t>
        </is>
      </c>
      <c r="C3329" t="inlineStr">
        <is>
          <t>Yesterday, I was diagnosed with costochondritis after a rib injury (I honestly thought it was broken) I was prescribed pregnisone to help with the swelling. I took the first 3 pills as prescribed, took my lantus and went to bed with a BG of 135.
This morning I woke up extremely nauseous with a BG of 345 and ketones.
I've taken a bunch of novolog and increased my lantus dose temporarily to bring my BG down, but this is still going to be an annoying week.
AGH!!!</t>
        </is>
      </c>
      <c r="D3329" t="n">
        <v>8</v>
      </c>
      <c r="E3329" t="n">
        <v>9</v>
      </c>
      <c r="F3329">
        <f>HYPERLINK("https://www.reddit.com/r/diabetes/comments/6pvara/steroid_meds/")</f>
        <v/>
      </c>
      <c r="G3329" t="inlineStr">
        <is>
          <t>2017-07-27 04:27:06</t>
        </is>
      </c>
      <c r="H3329" t="inlineStr">
        <is>
          <t>Type 1</t>
        </is>
      </c>
    </row>
    <row r="3330">
      <c r="A3330" t="inlineStr">
        <is>
          <t>6pvuho</t>
        </is>
      </c>
      <c r="B3330" t="inlineStr">
        <is>
          <t>Make your voice heard! We are looking for people with T2D in NYC to participate in research studies</t>
        </is>
      </c>
      <c r="C3330" t="inlineStr">
        <is>
          <t>Hi r/diabetes! I am a researcher in NYC, and my lab is doing a wave of new studies for type 2 diabetes. One is with a mobile application for managing medication and blood glucose levels, so naturally I wanted to get people like you who already value tech involved early on. If you're in the New York metro area, we'd love to have you join the study - and you'd get $150 as a thank you (staggered over 2-3 hour-long visits) for your participation.
This research is important because many diabetes apps and devices don't go directly to people with diabetes for their input before they've already been built out, and by then it's too late to incorporate their feedback. This is an opportunity to amplify your voice as a person who has the lived expertise of diabetes, and to use a pretty cool app :) 
**You may be eligible to participate, if you**
* Have type 2 diabetes
* Own an iOS or Android smart phone
* Use a blood glucose meter
* Regularly take insulin by injection
* Are over the age of 18
* Live in the New York metro area
* Read, write, and speak in English
*For more information or to schedule a confidential phone screening, please contact us at C4C@HITLAB.org or 917-349-2528. If you know other people who may be interested outside of the sub, feel free to pass our info along!*
*HITLAB, an independent research group, is recruiting participants for a research study testing the use of a smart phone application for people with type 2 diabetes. We are conducting this research study to collect user feedback on this application. Your participation in this study is completely voluntary. We are HIPPA compliant and your information and identity will be protected. If you complete the study, which includes 2 or 3 in-person visits, you will receive $150 as compensation.*</t>
        </is>
      </c>
      <c r="D3330" t="n">
        <v>4</v>
      </c>
      <c r="E3330" t="n">
        <v>3</v>
      </c>
      <c r="F3330">
        <f>HYPERLINK("https://www.reddit.com/r/diabetes/comments/6pvuho/make_your_voice_heard_we_are_looking_for_people/")</f>
        <v/>
      </c>
      <c r="G3330" t="inlineStr">
        <is>
          <t>2017-07-27 06:17:42</t>
        </is>
      </c>
      <c r="H3330" t="inlineStr">
        <is>
          <t>Type 2</t>
        </is>
      </c>
    </row>
    <row r="3331">
      <c r="A3331" t="inlineStr">
        <is>
          <t>6px7c4</t>
        </is>
      </c>
      <c r="B3331" t="inlineStr">
        <is>
          <t>Reverse Honeymoon</t>
        </is>
      </c>
      <c r="C3331" t="inlineStr">
        <is>
          <t xml:space="preserve">Good news Everyone!  3 years almost to the day since I was discharged from the hospital (story on the 9.5 week stay here: http://imgur.com/a/3X3XE ) and my Pancreas has finally decided to get it's act together.  My Basel has dropped from 22 Units of Levimir to 15 in the past week and is steadily dropping at 1 unit every 2 days.  The constant lows have sucked, but otherwise this is awesome!  I was taking 36 units 2 years ago, until I had a distal  pancreatectomy  and splenectomy in Jan 2016.  I had a drain in for 10 weeks, and they ended up giving me a sandostatin shot to slow the pancreas juices which dropped my needs down to the 20's. At this rate, I could be off Basel and just using some bolus for carb heavy meals in a month!   </t>
        </is>
      </c>
      <c r="D3331" t="n">
        <v>18</v>
      </c>
      <c r="E3331" t="n">
        <v>12</v>
      </c>
      <c r="F3331">
        <f>HYPERLINK("https://www.reddit.com/r/diabetes/comments/6px7c4/reverse_honeymoon/")</f>
        <v/>
      </c>
      <c r="G3331" t="inlineStr">
        <is>
          <t>2017-07-27 09:45:38</t>
        </is>
      </c>
      <c r="H3331" t="inlineStr">
        <is>
          <t>Type 1</t>
        </is>
      </c>
    </row>
    <row r="3332">
      <c r="A3332" t="inlineStr">
        <is>
          <t>6q5z3u</t>
        </is>
      </c>
      <c r="B3332" t="inlineStr">
        <is>
          <t>Question for T1's on Keto</t>
        </is>
      </c>
      <c r="C3332" t="inlineStr">
        <is>
          <t xml:space="preserve">I recently received an A1c that I'm not all that happy about. I have done a few fasts now to recalibrate basals and ICs. However I'd like to take the next step towards improving my diabetic health. I've heard and seen great things about the keto diet but there's one thing holding me back... my weight. I'm pretty underweight so I was wondering if anyone had experience with weight and their keto diet and tips for food to maintain weight. Thanks. 
</t>
        </is>
      </c>
      <c r="D3332" t="n">
        <v>5</v>
      </c>
      <c r="E3332" t="n">
        <v>11</v>
      </c>
      <c r="F3332">
        <f>HYPERLINK("https://www.reddit.com/r/diabetes/comments/6q5z3u/question_for_t1s_on_keto/")</f>
        <v/>
      </c>
      <c r="G3332" t="inlineStr">
        <is>
          <t>2017-07-28 12:03:46</t>
        </is>
      </c>
      <c r="H3332" t="inlineStr">
        <is>
          <t>Type 1</t>
        </is>
      </c>
    </row>
    <row r="3333">
      <c r="A3333" t="inlineStr">
        <is>
          <t>6q9qr9</t>
        </is>
      </c>
      <c r="B3333" t="inlineStr">
        <is>
          <t>Can I get rid of my dependency on diabetic drugs with exercise?</t>
        </is>
      </c>
      <c r="C3333" t="inlineStr">
        <is>
          <t>I realize I should actually consult my doctor about this but it's the weekend and I won't be able to talk to her until Monday. You fine people on r/diabetes will do! I apologize if my thoughts are rather scatterbrained and just me rambling but it's been keeping me up for the past hours and I just need to get it off my chest!
I have been a type 2 diabetic for over 6 years now. Started on insulin glargine about 2 years ago and then added Victoza about a year ago. I haven’t seen my doctor in like months and my last check on my A1C was about 8. However, I’ve been eating like crap for the past 3 months and I rarely check my blood sugar. The times I do, I would only check them in the morning and at night and they would be roughly around 7.5-10 mmol/L. I am Canadian and signed up with the Ontario Drug Benefit but my deductible is never hit with the amount of insulin, test strips, metformin. Victoza is unfortunately not covered under ODB and does not go toward the deductible and therefore I pay for it out of pocket. However, I just can’t bear to pay for it anymore because it’s so god damn expensive (250 for a month’s supply). Also, cost of living around Toronto is just shooting up and my salary isn’t catching up fast enough. 
I feel like the desire for me to not pay for these diabetic will finally get my ass into the gym and work towards controlling my blood sugar through sheer willpower to exercise. However, I felt like this 6 months ago and my ass hasn’t stepped foot in the gym yet. I’m 27 and about 300 pounds and I’m just sick of paying for these medications. 
Therefore, I want to ask you fine folks, will moderately intense to intense exercise negate my need for the injections I take? Note that I realize that my diet is also a huge part I need to fix. I was blind to think that I could do good by controlling my blood sugar with diet and medication alone. However, I want to live my life without depending on these drug anymore. Any kinds of words of wisdom will be much appreciated!
**TL:DR: Spending too damn much on meds, need help to stop dependency on insulin and Victoza.**</t>
        </is>
      </c>
      <c r="D3333" t="n">
        <v>3</v>
      </c>
      <c r="E3333" t="n">
        <v>8</v>
      </c>
      <c r="F3333">
        <f>HYPERLINK("https://www.reddit.com/r/diabetes/comments/6q9qr9/can_i_get_rid_of_my_dependency_on_diabetic_drugs/")</f>
        <v/>
      </c>
      <c r="G3333" t="inlineStr">
        <is>
          <t>2017-07-29 00:32:24</t>
        </is>
      </c>
      <c r="H3333" t="inlineStr">
        <is>
          <t>Type 2</t>
        </is>
      </c>
    </row>
    <row r="3334">
      <c r="A3334" t="inlineStr">
        <is>
          <t>6qf3k8</t>
        </is>
      </c>
      <c r="B3334" t="inlineStr">
        <is>
          <t>So the diabetes APRN I've been with for 10 years, who pulled me from the brink of death... is retiring. I'm lost.</t>
        </is>
      </c>
      <c r="C3334" t="inlineStr">
        <is>
          <t xml:space="preserve">I'm in an emotional tailspin. To be able to trust and confide in someone like her after 15 years of fear and blame and incompetence from doctors... I don't know if I'm just venting or asking for advice. I've been crying for 45 minutes. 
Anyone else here specifically if you go to Yale ... I give zero fucks about privacy at this point. I just need a friend or an ear of something. </t>
        </is>
      </c>
      <c r="D3334" t="n">
        <v>2</v>
      </c>
      <c r="E3334" t="n">
        <v>7</v>
      </c>
      <c r="F3334">
        <f>HYPERLINK("https://www.reddit.com/r/diabetes/comments/6qf3k8/so_the_diabetes_aprn_ive_been_with_for_10_years/")</f>
        <v/>
      </c>
      <c r="G3334" t="inlineStr">
        <is>
          <t>2017-07-29 19:50:27</t>
        </is>
      </c>
      <c r="H3334" t="inlineStr">
        <is>
          <t>Type 1</t>
        </is>
      </c>
    </row>
    <row r="3335">
      <c r="A3335" t="inlineStr">
        <is>
          <t>6qihg1</t>
        </is>
      </c>
      <c r="B3335" t="inlineStr">
        <is>
          <t>Shelf-life of non-refrigerated insulin?</t>
        </is>
      </c>
      <c r="C3335" t="inlineStr">
        <is>
          <t xml:space="preserve">Going on a month-long bike ride, should I be worried about my insulin (humalog and lantus) 'going bad'? It'll be kept in a bag with environmental temperatures ranging between 10-45 degC. If this is an issue, are there any precautions or insulation methods I should consider?
Thanks,
</t>
        </is>
      </c>
      <c r="D3335" t="n">
        <v>6</v>
      </c>
      <c r="E3335" t="n">
        <v>18</v>
      </c>
      <c r="F3335">
        <f>HYPERLINK("https://www.reddit.com/r/diabetes/comments/6qihg1/shelflife_of_nonrefrigerated_insulin/")</f>
        <v/>
      </c>
      <c r="G3335" t="inlineStr">
        <is>
          <t>2017-07-30 10:07:31</t>
        </is>
      </c>
      <c r="H3335" t="inlineStr">
        <is>
          <t>Type 1</t>
        </is>
      </c>
    </row>
    <row r="3336">
      <c r="A3336" t="inlineStr">
        <is>
          <t>6qjyvx</t>
        </is>
      </c>
      <c r="B3336" t="inlineStr">
        <is>
          <t>ELI5: How was Medtronic able to get FDA approval for 670g while Dexcom, Omnipod, t:slim etc. take forever.</t>
        </is>
      </c>
      <c r="C3336" t="inlineStr">
        <is>
          <t>People keep saying that the enlite sensors were really terrible in terms of accuracy.  How is it that Medtronic was able to get approval so quickly off of their new ones?  and dose insulin off of it as well?  And why do the other manufacturers lag behind in terms of closed loop approvals?</t>
        </is>
      </c>
      <c r="D3336" t="n">
        <v>8</v>
      </c>
      <c r="E3336" t="n">
        <v>7</v>
      </c>
      <c r="F3336">
        <f>HYPERLINK("https://www.reddit.com/r/diabetes/comments/6qjyvx/eli5_how_was_medtronic_able_to_get_fda_approval/")</f>
        <v/>
      </c>
      <c r="G3336" t="inlineStr">
        <is>
          <t>2017-07-30 14:17:06</t>
        </is>
      </c>
      <c r="H3336" t="inlineStr">
        <is>
          <t>Type 1</t>
        </is>
      </c>
    </row>
    <row r="3337">
      <c r="A3337" t="inlineStr">
        <is>
          <t>6qps27</t>
        </is>
      </c>
      <c r="B3337" t="inlineStr">
        <is>
          <t>Recently diagnosed with LADA, looking for resources and advice.</t>
        </is>
      </c>
      <c r="C3337" t="inlineStr">
        <is>
          <t>Hello all, I went in for a physical last week and it was discovered that I had blood sugar level of 320 and an A1C of 11. The doctor said those levels were in line with type 2 diabetes. This was very surprising because I am in my 30s, am a normal weight, exercise, and eat healthy. I started testing my blood sugar and taking Metformin and long lasting insulin last week to get my blood sugar under control. The doctor took another blood test to rule out type 1. She called me back today to tell me that my GAD lvl is 93 which means that I am a type 1 diabetic.
I am pretty shocked with this recent turn of events. I want to learn as much as possible and am hoping that you all have some advice and resources. I am going to an endocrinologist at the end of August and my doctor is already mentioning getting an insulin pump. I already eat Paleo, for the most part, and stay away from grains and sugar. Looking for diet advice, I have added back some dairy and further cut my carb intake. Ugh, this is just a lot to take in.
To add another complication, my husband and I just decided to try to get pregnant. We have put that on hold for now until my blood sugar is under control.</t>
        </is>
      </c>
      <c r="D3337" t="n">
        <v>13</v>
      </c>
      <c r="E3337" t="n">
        <v>21</v>
      </c>
      <c r="F3337">
        <f>HYPERLINK("https://www.reddit.com/r/diabetes/comments/6qps27/recently_diagnosed_with_lada_looking_for/")</f>
        <v/>
      </c>
      <c r="G3337" t="inlineStr">
        <is>
          <t>2017-07-31 10:03:07</t>
        </is>
      </c>
      <c r="H3337" t="inlineStr">
        <is>
          <t>Type 1.5/LADA</t>
        </is>
      </c>
    </row>
    <row r="3338">
      <c r="A3338" t="inlineStr">
        <is>
          <t>6qxryz</t>
        </is>
      </c>
      <c r="B3338" t="inlineStr">
        <is>
          <t>Switched to Lantus from Levemir. Not sure how to transition.</t>
        </is>
      </c>
      <c r="C3338" t="inlineStr">
        <is>
          <t>I was splitting levemir 10am morning 10pm night and it worked well since one dose would give me lows upon waking up. Now that I ran out of Levemir and got switched to Lantus I am not sure how to do this. Is the ratio 1:1?
If I took 20 Levemir do I do 20 Lantus? 
A long time ago I would do one lantus shot at night but after so long of splitting Levemir I feel uneasy doing so much Lantus at once at night for a once a day thing instead of splitting but I am concerned about highs since I had a severe problem with high bad blood sugar and really high insulin usage for carbs.
Its been under tight control for the past few months and I am afraid screwing up this Levemir to Lantus transition will mess it all up.
I always do single day injections at night because I wake with really high BG or go high soon after waking. For the past many many years. Morning injections run out by the time I wake the next day. Split worked becuase the night injection was more then the morning.</t>
        </is>
      </c>
      <c r="D3338" t="n">
        <v>2</v>
      </c>
      <c r="E3338" t="n">
        <v>4</v>
      </c>
      <c r="F3338">
        <f>HYPERLINK("https://www.reddit.com/r/diabetes/comments/6qxryz/switched_to_lantus_from_levemir_not_sure_how_to/")</f>
        <v/>
      </c>
      <c r="G3338" t="inlineStr">
        <is>
          <t>2017-08-01 10:26:22</t>
        </is>
      </c>
      <c r="H3338" t="inlineStr">
        <is>
          <t>Type 1</t>
        </is>
      </c>
    </row>
    <row r="3339">
      <c r="A3339" t="inlineStr">
        <is>
          <t>6qykl1</t>
        </is>
      </c>
      <c r="B3339" t="inlineStr">
        <is>
          <t>I made a video on some inside tips on how to save money on drugs</t>
        </is>
      </c>
      <c r="C3339" t="inlineStr">
        <is>
          <t>https://www.youtube.com/watch?v=x2QJTx_W_70</t>
        </is>
      </c>
      <c r="D3339" t="n">
        <v>2</v>
      </c>
      <c r="E3339" t="n">
        <v>2</v>
      </c>
      <c r="F3339">
        <f>HYPERLINK("https://www.reddit.com/r/diabetes/comments/6qykl1/i_made_a_video_on_some_inside_tips_on_how_to_save/")</f>
        <v/>
      </c>
      <c r="G3339" t="inlineStr">
        <is>
          <t>2017-08-01 12:19:52</t>
        </is>
      </c>
      <c r="H3339" t="inlineStr">
        <is>
          <t>Type 2</t>
        </is>
      </c>
    </row>
    <row r="3340">
      <c r="A3340" t="inlineStr">
        <is>
          <t>6qzrgf</t>
        </is>
      </c>
      <c r="B3340" t="inlineStr">
        <is>
          <t>JDRF needs your help to sign a petition to let insurance companies know that they need to provide coverage that works for people with T1D. #Coverage2Control. (X-post r/T1D)</t>
        </is>
      </c>
      <c r="C3340" t="inlineStr">
        <is>
          <t>JDRF is calling on insurance companies to provide these three things that will help people with type 1 diabetes (T1D) control the disease. **Affordability** - Keep out-of-pocket insurance costs predictable and reasonable for insulin and diabetes management tools. **Choice** - Give people the freedom to choose the insulin pump that’s right for them. **Coverage** - Cover all life-saving technology, including the artificial pancreas.
For more information and the link to the petition, see this [link](http://www.jdrf.org/get-involved/jdrf-advocacy/coverage2control/). It should take no more than 5 minutes!</t>
        </is>
      </c>
      <c r="D3340" t="n">
        <v>105</v>
      </c>
      <c r="E3340" t="n">
        <v>54</v>
      </c>
      <c r="F3340">
        <f>HYPERLINK("https://www.reddit.com/r/diabetes/comments/6qzrgf/jdrf_needs_your_help_to_sign_a_petition_to_let/")</f>
        <v/>
      </c>
      <c r="G3340" t="inlineStr">
        <is>
          <t>2017-08-01 15:18:02</t>
        </is>
      </c>
      <c r="H3340" t="inlineStr">
        <is>
          <t>Type 1</t>
        </is>
      </c>
    </row>
    <row r="3341">
      <c r="A3341" t="inlineStr">
        <is>
          <t>6r1e25</t>
        </is>
      </c>
      <c r="B3341" t="inlineStr">
        <is>
          <t>Do I have to wait 24hrs before switching long acting insulins?</t>
        </is>
      </c>
      <c r="C3341" t="inlineStr">
        <is>
          <t>Or is it safe to switch?
I do split doses and am going to lantus from levemir but my levimir ran out this morning and all I have is lantus now, do I skip tonight and wake up high to make sure all levemir is out of my system or is it safe to just take the lantus?</t>
        </is>
      </c>
      <c r="D3341" t="n">
        <v>1</v>
      </c>
      <c r="E3341" t="n">
        <v>3</v>
      </c>
      <c r="F3341">
        <f>HYPERLINK("https://www.reddit.com/r/diabetes/comments/6r1e25/do_i_have_to_wait_24hrs_before_switching_long/")</f>
        <v/>
      </c>
      <c r="G3341" t="inlineStr">
        <is>
          <t>2017-08-01 20:04:34</t>
        </is>
      </c>
      <c r="H3341" t="inlineStr">
        <is>
          <t>Type 1</t>
        </is>
      </c>
    </row>
    <row r="3342">
      <c r="A3342" t="inlineStr">
        <is>
          <t>6r4fx9</t>
        </is>
      </c>
      <c r="B3342" t="inlineStr">
        <is>
          <t>Great control but bad leg cramps. What gives?</t>
        </is>
      </c>
      <c r="C3342" t="inlineStr">
        <is>
          <t>I've heard of other type 1's having issues with really bad leg cramps but they usually have very poor control or had very high blood sugar at the time.
My most recent A1C was 5.7 and I've been under 6.5 since diagnosis a couple years ago. I just had some pretty painful leg cramps at work (and this happens a few times a week in both my legs and feet). My blood sugar was definitely higher than I'd like when I checked (180), I drank some caffeine and had no idea that this raised blood sugar until I looked at the other post on the front page but now that explains a lot lol. But usually when type 1's say they're getting leg cramps from high blood sugar they mean like 400 or more mg/dl.
Anyone know what's going on and how I can prevent them in the future? Thanks!</t>
        </is>
      </c>
      <c r="D3342" t="n">
        <v>4</v>
      </c>
      <c r="E3342" t="n">
        <v>24</v>
      </c>
      <c r="F3342">
        <f>HYPERLINK("https://www.reddit.com/r/diabetes/comments/6r4fx9/great_control_but_bad_leg_cramps_what_gives/")</f>
        <v/>
      </c>
      <c r="G3342" t="inlineStr">
        <is>
          <t>2017-08-02 07:14:37</t>
        </is>
      </c>
      <c r="H3342" t="inlineStr">
        <is>
          <t>Type 1</t>
        </is>
      </c>
    </row>
    <row r="3343">
      <c r="A3343" t="inlineStr">
        <is>
          <t>6r4sw8</t>
        </is>
      </c>
      <c r="B3343" t="inlineStr">
        <is>
          <t>Experience with general anesthesia</t>
        </is>
      </c>
      <c r="C3343" t="inlineStr">
        <is>
          <t>Hi!
I'm a type LADA (2014), 29F and looking to get sterilized through tubal ligation. I'm on MDI as of January 2017 and managed to bring my A1C down from 58/7.5% to 50/6.7% in 6 months, and I expect it to be even lower on my next checkup, so I consider myself well controlled. 
I'm not so much worried about the procedure to get my tubes tied as I am about the general anesthesia, which is why I haven't spoken to my GP about it yet. I've never had to be put under in my life, but now as a diabetic I am increasingly nervous about the idea. I'm just wondering what people's experiences have been like for surgeries where this is necessary, and what you should be on the lookout for? Anything of importance to talk about with the surgeon or the people who monitor you throughout the surgery?</t>
        </is>
      </c>
      <c r="D3343" t="n">
        <v>3</v>
      </c>
      <c r="E3343" t="n">
        <v>13</v>
      </c>
      <c r="F3343">
        <f>HYPERLINK("https://www.reddit.com/r/diabetes/comments/6r4sw8/experience_with_general_anesthesia/")</f>
        <v/>
      </c>
      <c r="G3343" t="inlineStr">
        <is>
          <t>2017-08-02 08:09:42</t>
        </is>
      </c>
      <c r="H3343" t="inlineStr">
        <is>
          <t>Type 1.5/LADA</t>
        </is>
      </c>
    </row>
    <row r="3344">
      <c r="A3344" t="inlineStr">
        <is>
          <t>6ric6h</t>
        </is>
      </c>
      <c r="B3344" t="inlineStr">
        <is>
          <t>Just hit a milestone.....</t>
        </is>
      </c>
      <c r="C3344" t="inlineStr">
        <is>
          <t>Some how I hit a low of 20 and acted normal with it except my friends and family that was there freaked out.</t>
        </is>
      </c>
      <c r="D3344" t="n">
        <v>5</v>
      </c>
      <c r="E3344" t="n">
        <v>6</v>
      </c>
      <c r="F3344">
        <f>HYPERLINK("https://www.reddit.com/r/diabetes/comments/6ric6h/just_hit_a_milestone/")</f>
        <v/>
      </c>
      <c r="G3344" t="inlineStr">
        <is>
          <t>2017-08-03 22:05:25</t>
        </is>
      </c>
      <c r="H3344" t="inlineStr">
        <is>
          <t>Type 1</t>
        </is>
      </c>
    </row>
    <row r="3345">
      <c r="A3345" t="inlineStr">
        <is>
          <t>6rm686</t>
        </is>
      </c>
      <c r="B3345" t="inlineStr">
        <is>
          <t>Abnormally high blood sugars lately.</t>
        </is>
      </c>
      <c r="C3345" t="inlineStr">
        <is>
          <t xml:space="preserve">For the past 24 hours or so, my bs has not dropped below 198 and has been on average around 230. I thought it was just from eating some fatty foods but then I woke up this morning and I was 230, without ketones. Decided to have cereal, gave insulin (before I ate), drank some water and then went to mow a few lawns. I came back and Checked my bs and it was freaking 418. Despite being 418 I still have no ketones, why is this? I suspected it to be my pump not working but I would have ketones if that were the case right, is it possible for the omnipod to leak just a bit but still deliver some insulin? I've developed a little cough, nothing significant, so I don't think that would be the cause of 400s. Anyone with this experience? I changed my pod, and gave insulin and I'm now drinking water, but what the hell? 418?!! My bs had been so good lately and I was looking forward to seeing an a1c improvement. Btw I'm 17 if that makes a difference. </t>
        </is>
      </c>
      <c r="D3345" t="n">
        <v>2</v>
      </c>
      <c r="E3345" t="n">
        <v>12</v>
      </c>
      <c r="F3345">
        <f>HYPERLINK("https://www.reddit.com/r/diabetes/comments/6rm686/abnormally_high_blood_sugars_lately/")</f>
        <v/>
      </c>
      <c r="G3345" t="inlineStr">
        <is>
          <t>2017-08-04 10:47:16</t>
        </is>
      </c>
      <c r="H3345" t="inlineStr">
        <is>
          <t>Type 1</t>
        </is>
      </c>
    </row>
    <row r="3346">
      <c r="A3346" t="inlineStr">
        <is>
          <t>6rsl8o</t>
        </is>
      </c>
      <c r="B3346" t="inlineStr">
        <is>
          <t>BG High in the Morning, Normal All day then high before Bed!, what should I increase?</t>
        </is>
      </c>
      <c r="C3346" t="inlineStr">
        <is>
          <t>So a couple of weeks ago I came come out of the honeymoon period since my BG was just all over the place &amp; I was always taking correction doses to keep it lower. After realizing that the honeymoon period was over I started changing my insulin to carb ratio. After constantly dropping it until the my BG was normal I final found the right ratio (1 unit for every 6g) but even though my BG is normal all day it's always 7ish in the morning and then before I go to bed. Does this mean I need to increase my Levemir before I go to bed or do I need another Levemir shot in the morning?</t>
        </is>
      </c>
      <c r="D3346" t="n">
        <v>1</v>
      </c>
      <c r="E3346" t="n">
        <v>2</v>
      </c>
      <c r="F3346">
        <f>HYPERLINK("https://www.reddit.com/r/diabetes/comments/6rsl8o/bg_high_in_the_morning_normal_all_day_then_high/")</f>
        <v/>
      </c>
      <c r="G3346" t="inlineStr">
        <is>
          <t>2017-08-05 09:12:27</t>
        </is>
      </c>
      <c r="H3346" t="inlineStr">
        <is>
          <t>Type 1</t>
        </is>
      </c>
    </row>
    <row r="3347">
      <c r="A3347" t="inlineStr">
        <is>
          <t>6rt6nj</t>
        </is>
      </c>
      <c r="B3347" t="inlineStr">
        <is>
          <t>Is there any advantage to taking a probiotic as a T1?</t>
        </is>
      </c>
      <c r="C3347" t="inlineStr">
        <is>
          <t xml:space="preserve">With all the recent discussion of gut microbes playing a role in T1 and such, is there any real benefit to taking a probiotic as a T1?  Would it calm the immune response potentially?  or are any side effects are just not worth it.  
</t>
        </is>
      </c>
      <c r="D3347" t="n">
        <v>1</v>
      </c>
      <c r="E3347" t="n">
        <v>14</v>
      </c>
      <c r="F3347">
        <f>HYPERLINK("https://www.reddit.com/r/diabetes/comments/6rt6nj/is_there_any_advantage_to_taking_a_probiotic_as_a/")</f>
        <v/>
      </c>
      <c r="G3347" t="inlineStr">
        <is>
          <t>2017-08-05 10:54:32</t>
        </is>
      </c>
      <c r="H3347" t="inlineStr">
        <is>
          <t>Type 1</t>
        </is>
      </c>
    </row>
    <row r="3348">
      <c r="A3348" t="inlineStr">
        <is>
          <t>6ruhse</t>
        </is>
      </c>
      <c r="B3348" t="inlineStr">
        <is>
          <t>I thought I had finally figured out my workouts, but I guess not</t>
        </is>
      </c>
      <c r="C3348" t="inlineStr">
        <is>
          <t>I started cycling back around the beginning of May, having not really worked out before then. I had issues with my blood sugar or running out of energy in the middle of my rides since then.
Either I would:
1. Run my blood sugar really high during the workout and feel like shit, but it would drop post workout. I didn't have issues with running out of energy during my rides.
2. Run my blood sugar normal during the workout, but reduce my basal significantly. This always had me running out of energy really early in the ride.
3. Run my blood sugar normal, with a regular bolus. I got lows, but didn't really run out of energy.
I decided to experiment with drinking regular Gatorade during my rides instead. Today I thought I had finally found my sweet spot. I had about 90g of carbs from the Gatorade that I didn't bolus for a ~4 hr ride, along with a small lunch that I bolused for normally.  I felt a little high during the ride, but that might just have been the heat. When I got back home, I had a BG of 105 - perfect.
Except then I ate some dinner and my BG had dropped to 65 about 3 hours after the ride.  I think next time I go out, I'm going to do pretty much the same thing, except drop my basal post-ride for ~4 hours by 50%.  I'm also going to be talking to my endo about a CGM to help with this sort of stuff.</t>
        </is>
      </c>
      <c r="D3348" t="n">
        <v>3</v>
      </c>
      <c r="E3348" t="n">
        <v>9</v>
      </c>
      <c r="F3348">
        <f>HYPERLINK("https://www.reddit.com/r/diabetes/comments/6ruhse/i_thought_i_had_finally_figured_out_my_workouts/")</f>
        <v/>
      </c>
      <c r="G3348" t="inlineStr">
        <is>
          <t>2017-08-05 14:45:47</t>
        </is>
      </c>
      <c r="H3348" t="inlineStr">
        <is>
          <t>Type 1</t>
        </is>
      </c>
    </row>
    <row r="3349">
      <c r="A3349" t="inlineStr">
        <is>
          <t>6ry326</t>
        </is>
      </c>
      <c r="B3349" t="inlineStr">
        <is>
          <t>Medtronic 670G vs Omnipod with CGM</t>
        </is>
      </c>
      <c r="C3349" t="inlineStr">
        <is>
          <t xml:space="preserve">Hi all,
I'm very new at this (diagnosed a couple months ago), and I'm getting a pump and a CGM soon. I'm not sure if I should get the new artificial pancreas 670G or the Omnipod with a CGM. From what I've heard the 670G would be great as it is a closed loop system, but I'm just not sure if I can deal with how heavy the pump is plus the tubes. I really like the idea of not having any tubes, and the fact that the pod is very discrete is a huge plus. Any thoughts or helpful advice? How did you guys choose your pump? 
Thank you so much in advance, this community has been so helpful for me!
</t>
        </is>
      </c>
      <c r="D3349" t="n">
        <v>3</v>
      </c>
      <c r="E3349" t="n">
        <v>29</v>
      </c>
      <c r="F3349">
        <f>HYPERLINK("https://www.reddit.com/r/diabetes/comments/6ry326/medtronic_670g_vs_omnipod_with_cgm/")</f>
        <v/>
      </c>
      <c r="G3349" t="inlineStr">
        <is>
          <t>2017-08-06 05:25:49</t>
        </is>
      </c>
      <c r="H3349" t="inlineStr">
        <is>
          <t>Type 1</t>
        </is>
      </c>
    </row>
    <row r="3350">
      <c r="A3350" t="inlineStr">
        <is>
          <t>6ryspw</t>
        </is>
      </c>
      <c r="B3350" t="inlineStr">
        <is>
          <t>I'm type 2 and want to get my a1c down from 9?</t>
        </is>
      </c>
      <c r="C3350" t="inlineStr">
        <is>
          <t>I'm male 28 years old i weigh 330lbs use to be close to 400lbs. I'm trying to get my sugars down. What should I do? I also have high cholesterol. I know its the snacking and lack of movement that is killing me. I also have high depression and low testosterone. help!! I want to live to 90 years old!!</t>
        </is>
      </c>
      <c r="D3350" t="n">
        <v>5</v>
      </c>
      <c r="E3350" t="n">
        <v>16</v>
      </c>
      <c r="F3350">
        <f>HYPERLINK("https://www.reddit.com/r/diabetes/comments/6ryspw/im_type_2_and_want_to_get_my_a1c_down_from_9/")</f>
        <v/>
      </c>
      <c r="G3350" t="inlineStr">
        <is>
          <t>2017-08-06 08:02:52</t>
        </is>
      </c>
      <c r="H3350" t="inlineStr">
        <is>
          <t>Type 2</t>
        </is>
      </c>
    </row>
    <row r="3351">
      <c r="A3351" t="inlineStr">
        <is>
          <t>6s67m3</t>
        </is>
      </c>
      <c r="B3351" t="inlineStr">
        <is>
          <t>Strategies to lower my blood sugar without feeling like I'm crashing</t>
        </is>
      </c>
      <c r="C3351" t="inlineStr">
        <is>
          <t>Hey all, I'd like to get some advice. My sugars have been high for a long, long time. I'm currently on Metformin 1000mg twice daily with meals, and Invokana 300mg once daily. My last a1c actually increased, from 10.4 to 11.2%. I know, this is killing me. I'd like to get it down. I've had some success in the past with low-carb/keto type diets, combined with my medication, and had my a1c down to 6%... once. My problem now is, with my sugars being so high, that when I take my Invokana and my sugars start to drop, I literally feel like I'm dying. I tend to overcorrect by stuffing anything in to my face to make that go away, and it works... but I obviously am never able to get my sugar down. 
What strategies would anyone have to slowly ease me down to a more normal level. I try to go hardcore and go super low carb, thinking I can get my a1c from 11.2 down to 6 in three months. I have read of other people doing this, and I wish I could, but I just don't think it would work for me. 
* Should I try to just ease in to it, like go from 11.2 to 9 to 7 to 6 or something like that? 
* Would you split Invokana? 
* Would you skip the Invokana and just reduce the carbs and wait for them to eventually come down? I feel like if I did it that way, it would take WEEKS or more to get to a "normal" level.
* Combination of any of the above?
Any advice appreciated.</t>
        </is>
      </c>
      <c r="D3351" t="n">
        <v>3</v>
      </c>
      <c r="E3351" t="n">
        <v>22</v>
      </c>
      <c r="F3351">
        <f>HYPERLINK("https://www.reddit.com/r/diabetes/comments/6s67m3/strategies_to_lower_my_blood_sugar_without/")</f>
        <v/>
      </c>
      <c r="G3351" t="inlineStr">
        <is>
          <t>2017-08-07 08:22:53</t>
        </is>
      </c>
      <c r="H3351" t="inlineStr">
        <is>
          <t>Type 2</t>
        </is>
      </c>
    </row>
    <row r="3352">
      <c r="A3352" t="inlineStr">
        <is>
          <t>6sea0d</t>
        </is>
      </c>
      <c r="B3352" t="inlineStr">
        <is>
          <t>T1D - Sleeping Issues: Taking longer and longer to fall asleep. Help Appreciated!</t>
        </is>
      </c>
      <c r="C3352" t="inlineStr">
        <is>
          <t>Lately, ever since I've been going to bed, it takes me longer and longer to get to sleep. 
It started out fine at first, being only 10-15 minutes before I was asleep. But now it sometimes takes up to 1-2 hours. 
As far as I know, I haven't changed much in my diet, and I don't have any symptoms like RLS. I get a moderate amount of exercise as well.
Perhaps it's because of stress or overwork, but I was wondering if this has happened to any of you before? I'd love to hear your advice, and strategies for overcoming this. 
Thanks in advance!</t>
        </is>
      </c>
      <c r="D3352" t="n">
        <v>6</v>
      </c>
      <c r="E3352" t="n">
        <v>9</v>
      </c>
      <c r="F3352">
        <f>HYPERLINK("https://www.reddit.com/r/diabetes/comments/6sea0d/t1d_sleeping_issues_taking_longer_and_longer_to/")</f>
        <v/>
      </c>
      <c r="G3352" t="inlineStr">
        <is>
          <t>2017-08-08 08:37:20</t>
        </is>
      </c>
      <c r="H3352" t="inlineStr">
        <is>
          <t>Type 1</t>
        </is>
      </c>
    </row>
    <row r="3353">
      <c r="A3353" t="inlineStr">
        <is>
          <t>6snamo</t>
        </is>
      </c>
      <c r="B3353" t="inlineStr">
        <is>
          <t>Question about keytones</t>
        </is>
      </c>
      <c r="C3353" t="inlineStr">
        <is>
          <t>Hey guys, 
I'm a T1 and have a question about keytones: Is it possible to have keytones without being in the "throwing up and unable to breathe genuinely might die" stage of DKA?  I've had DKA once and it was horrible, ended up having an ambulance called but I've seen a few casual mentions of keytones around here and I'm curious about what this means.
Also I'm thinking I may have them because I've felt genuinely pretty shitty for a long time without any real reason. 
Any insight in this is really appreciated, thanks!</t>
        </is>
      </c>
      <c r="D3353" t="n">
        <v>3</v>
      </c>
      <c r="E3353" t="n">
        <v>22</v>
      </c>
      <c r="F3353">
        <f>HYPERLINK("https://www.reddit.com/r/diabetes/comments/6snamo/question_about_keytones/")</f>
        <v/>
      </c>
      <c r="G3353" t="inlineStr">
        <is>
          <t>2017-08-09 11:04:17</t>
        </is>
      </c>
      <c r="H3353" t="inlineStr">
        <is>
          <t>Type 1</t>
        </is>
      </c>
    </row>
    <row r="3354">
      <c r="A3354" t="inlineStr">
        <is>
          <t>6sog85</t>
        </is>
      </c>
      <c r="B3354" t="inlineStr">
        <is>
          <t>Switching from Novolog to Humalog? Questions.</t>
        </is>
      </c>
      <c r="C3354" t="inlineStr">
        <is>
          <t xml:space="preserve">Short background of my diabetes. I've been T1 for 12-ish years was diagnosed when I was a teenager, was on vials for a while, then moved to pens and have been on Novolog/Lantis since then. I called in a script today and they told me my provider won't likely cover my Novolog anymore but will cover/want me to try Humalog. I've never been on this insulin and was wondering if anyone else on here has switched from one to the other. </t>
        </is>
      </c>
      <c r="D3354" t="n">
        <v>2</v>
      </c>
      <c r="E3354" t="n">
        <v>9</v>
      </c>
      <c r="F3354">
        <f>HYPERLINK("https://www.reddit.com/r/diabetes/comments/6sog85/switching_from_novolog_to_humalog_questions/")</f>
        <v/>
      </c>
      <c r="G3354" t="inlineStr">
        <is>
          <t>2017-08-09 13:55:24</t>
        </is>
      </c>
      <c r="H3354" t="inlineStr">
        <is>
          <t>Type 1</t>
        </is>
      </c>
    </row>
    <row r="3355">
      <c r="A3355" t="inlineStr">
        <is>
          <t>6sox12</t>
        </is>
      </c>
      <c r="B3355" t="inlineStr">
        <is>
          <t>Just got approved for a Dexcom!</t>
        </is>
      </c>
      <c r="C3355" t="inlineStr">
        <is>
          <t>I just got a call from Dexcom with the great news that I've been approved through my insurance for a CGM. And since I've already met my deductible for the year, it's covered 100%! I'm really excited. I've been exercising a lot more lately, and it's been such a pain having to constantly check my sugar before, during, and after to make sure I'm not suddenly dropping. And I've been getting a lot of delayed nighttime lows.
I was wary of getting a CGM for the longest time, partially because I'm a pretty slim guy and don't have a lot of real estate on my body, but I've finally decided to take the plunge. I'm hoping I'll be able to get xDrip to work, too.
Next on my list is to see if I'm able to get a new pump (hopefully t:slim). I'm doubtful about that, though, because I just got my new Accu-Chek last year, only to find out recently that they announced back in January that they're no longer selling pumps in the U.S. Even though they're still covering current users until the warranty is up, I'm hoping my insurance might consider it an extenuating circumstance or something and let me switch for a not-unreasonable amount of money.</t>
        </is>
      </c>
      <c r="D3355" t="n">
        <v>51</v>
      </c>
      <c r="E3355" t="n">
        <v>18</v>
      </c>
      <c r="F3355">
        <f>HYPERLINK("https://www.reddit.com/r/diabetes/comments/6sox12/just_got_approved_for_a_dexcom/")</f>
        <v/>
      </c>
      <c r="G3355" t="inlineStr">
        <is>
          <t>2017-08-09 15:07:08</t>
        </is>
      </c>
      <c r="H3355" t="inlineStr">
        <is>
          <t>Type 1</t>
        </is>
      </c>
    </row>
    <row r="3356">
      <c r="A3356" t="inlineStr">
        <is>
          <t>6ssga4</t>
        </is>
      </c>
      <c r="B3356" t="inlineStr">
        <is>
          <t>What are the chances of me passing diabetes on?</t>
        </is>
      </c>
      <c r="C3356" t="inlineStr">
        <is>
          <t>Statistically, what are the odds of my son getting diagnosed with type 1 diabetes? I, his mother, have it (for 23y), his dad does not</t>
        </is>
      </c>
      <c r="D3356" t="n">
        <v>4</v>
      </c>
      <c r="E3356" t="n">
        <v>9</v>
      </c>
      <c r="F3356">
        <f>HYPERLINK("https://www.reddit.com/r/diabetes/comments/6ssga4/what_are_the_chances_of_me_passing_diabetes_on/")</f>
        <v/>
      </c>
      <c r="G3356" t="inlineStr">
        <is>
          <t>2017-08-10 03:32:27</t>
        </is>
      </c>
      <c r="H3356" t="inlineStr">
        <is>
          <t>Type 1</t>
        </is>
      </c>
    </row>
    <row r="3357">
      <c r="A3357" t="inlineStr">
        <is>
          <t>6svgh1</t>
        </is>
      </c>
      <c r="B3357" t="inlineStr">
        <is>
          <t>Medtronic has bought out Accu-Chek</t>
        </is>
      </c>
      <c r="C3357" t="inlineStr">
        <is>
          <t>[Just got this letter in the mail today](http://i.imgur.com/ZAiwgp2.jpg). I know there aren't a lot of Accu-Chek users here, but consolidation and loss of choice is never a great thing. I was going to try and jump ship anyway after I learned of Accu-Chek's decision in January to stop selling pumps in the U.S.
What's annoying is that I just upgraded my pump last year. Had I known this was going to happen, I would've jumped ship then. I wonder if my insurance company would be willing to waive the remaining years left on my current warranty so I can switch to a T:slim. I'm getting a Dexcom soon, and the future integration would be nice (plus I really love the design of their pump).</t>
        </is>
      </c>
      <c r="D3357" t="n">
        <v>4</v>
      </c>
      <c r="E3357" t="n">
        <v>13</v>
      </c>
      <c r="F3357">
        <f>HYPERLINK("https://www.reddit.com/r/diabetes/comments/6svgh1/medtronic_has_bought_out_accuchek/")</f>
        <v/>
      </c>
      <c r="G3357" t="inlineStr">
        <is>
          <t>2017-08-10 11:53:12</t>
        </is>
      </c>
      <c r="H3357" t="inlineStr">
        <is>
          <t>Type 1</t>
        </is>
      </c>
    </row>
    <row r="3358">
      <c r="A3358" t="inlineStr">
        <is>
          <t>6svuaq</t>
        </is>
      </c>
      <c r="B3358" t="inlineStr">
        <is>
          <t>Lowered A1c from 7.1 to 6.5!</t>
        </is>
      </c>
      <c r="C3358" t="inlineStr">
        <is>
          <t>Finally out of the sevens!
Edit: My most upvoted post ever! Thanks!</t>
        </is>
      </c>
      <c r="D3358" t="n">
        <v>105</v>
      </c>
      <c r="E3358" t="n">
        <v>9</v>
      </c>
      <c r="F3358">
        <f>HYPERLINK("https://www.reddit.com/r/diabetes/comments/6svuaq/lowered_a1c_from_71_to_65/")</f>
        <v/>
      </c>
      <c r="G3358" t="inlineStr">
        <is>
          <t>2017-08-10 12:48:47</t>
        </is>
      </c>
      <c r="H3358" t="inlineStr">
        <is>
          <t>Type 1</t>
        </is>
      </c>
    </row>
    <row r="3359">
      <c r="A3359" t="inlineStr">
        <is>
          <t>6sx4wz</t>
        </is>
      </c>
      <c r="B3359" t="inlineStr">
        <is>
          <t>Curious about Fasting Blood Glucose Test Accuracy (as preformed by Doctor)?</t>
        </is>
      </c>
      <c r="C3359" t="inlineStr">
        <is>
          <t>Hello, I'm a  guy, I'm somewhat overweight, and was going to the bathroom a lot, and drinking a lot of water as a result, my family has no history of diabetes, but I wanted to be safe.
Because of this, I went to my doctor who set up a fasting blood test at the lab, so I went the 12 hours without food or drink, and went in and had it done. The results came back completely normal (blood glucose was 72), and my doctor assured me that it was normal. The thirst decreased and now is fine, I had a UTI, and am on anti-biotics for that.
Sorry for the length, but basically what I am asking is a fasting blood glucose test as done by my qualified health care provider accurate? I just want to be sure.</t>
        </is>
      </c>
      <c r="D3359" t="n">
        <v>1</v>
      </c>
      <c r="E3359" t="n">
        <v>3</v>
      </c>
      <c r="F3359">
        <f>HYPERLINK("https://www.reddit.com/r/diabetes/comments/6sx4wz/curious_about_fasting_blood_glucose_test_accuracy/")</f>
        <v/>
      </c>
      <c r="G3359" t="inlineStr">
        <is>
          <t>2017-08-10 16:07:43</t>
        </is>
      </c>
      <c r="H3359" t="inlineStr">
        <is>
          <t>Type 2</t>
        </is>
      </c>
    </row>
    <row r="3360">
      <c r="A3360" t="inlineStr">
        <is>
          <t>6szqme</t>
        </is>
      </c>
      <c r="B3360" t="inlineStr">
        <is>
          <t>My BG has been doing something very funky this night. What might have caused this?</t>
        </is>
      </c>
      <c r="C3360" t="inlineStr">
        <is>
          <t>Hi!
I started a pump vacation about 2 weeks ago, so I'm currently on MDI (novorapid + Tresiba). Yesterday I finally received a replacement transmitter for my sensor, so I put it on to see what my BG was doing at night.
I gotta say that I am thoroughly confused by my nightly BG. Have a look at [this image](http://i.imgur.com/8MBwDq1.jpg) of my night. It was bouncing between 2.5 mmol/L (~45 mg/dL) and 10 mmol/L (~180 mg/dL) at a pretty neat interval of once per hour.
So my question is: What the hell caused this and how do I make it not do this?</t>
        </is>
      </c>
      <c r="D3360" t="n">
        <v>2</v>
      </c>
      <c r="E3360" t="n">
        <v>13</v>
      </c>
      <c r="F3360">
        <f>HYPERLINK("https://www.reddit.com/r/diabetes/comments/6szqme/my_bg_has_been_doing_something_very_funky_this/")</f>
        <v/>
      </c>
      <c r="G3360" t="inlineStr">
        <is>
          <t>2017-08-11 01:04:16</t>
        </is>
      </c>
      <c r="H3360" t="inlineStr">
        <is>
          <t>Type 1</t>
        </is>
      </c>
    </row>
    <row r="3361">
      <c r="A3361" t="inlineStr">
        <is>
          <t>6t159h</t>
        </is>
      </c>
      <c r="B3361" t="inlineStr">
        <is>
          <t>Traveling with Diabetes</t>
        </is>
      </c>
      <c r="C3361" t="inlineStr">
        <is>
          <t xml:space="preserve">Does anyone have any experience traveling with T1D? I'm planning for an extended trip at the end of the year, and would love to hear some stories and/or tips that people have picked up.
As I'll be spending a few months backpacking through Europe, I'm particularly keen to hear how others have managed food/hypo treatments/insulin while packing light and hopping between countries.
</t>
        </is>
      </c>
      <c r="D3361" t="n">
        <v>24</v>
      </c>
      <c r="E3361" t="n">
        <v>48</v>
      </c>
      <c r="F3361">
        <f>HYPERLINK("https://www.reddit.com/r/diabetes/comments/6t159h/traveling_with_diabetes/")</f>
        <v/>
      </c>
      <c r="G3361" t="inlineStr">
        <is>
          <t>2017-08-11 06:29:49</t>
        </is>
      </c>
      <c r="H3361" t="inlineStr">
        <is>
          <t>Type 1</t>
        </is>
      </c>
    </row>
    <row r="3362">
      <c r="A3362" t="inlineStr">
        <is>
          <t>6t2xzw</t>
        </is>
      </c>
      <c r="B3362" t="inlineStr">
        <is>
          <t>Looking for advice from people who live with type 2</t>
        </is>
      </c>
      <c r="C3362" t="inlineStr">
        <is>
          <t>My partner just had a complete physical examination and is getting his fasting GTT done right now. I work for the doctor who examined him and it looks like he's going to get the diagnosis of type two, based on the results so far. His fasting a1c is 6.2 and fasting insulin level is 52.9 (normal range is 1-24 uU/mL). He also has low testosterone and other lab results indicative of symptoms of type 2. My question is not medically related, per se, it's more geared toward the people who live with this diagnosis. He's not taking it seriously and keeps shrugging it off, saying "I'll just eat more vegetables." Can you guys give me some advice on how to talk to him, to make him see how serious this is? What daily tips or lifestyle changes have you implemented to manage your levels? What made you realize you need to start taking your health seriously?</t>
        </is>
      </c>
      <c r="D3362" t="n">
        <v>9</v>
      </c>
      <c r="E3362" t="n">
        <v>18</v>
      </c>
      <c r="F3362">
        <f>HYPERLINK("https://www.reddit.com/r/diabetes/comments/6t2xzw/looking_for_advice_from_people_who_live_with_type/")</f>
        <v/>
      </c>
      <c r="G3362" t="inlineStr">
        <is>
          <t>2017-08-11 11:04:19</t>
        </is>
      </c>
      <c r="H3362" t="inlineStr">
        <is>
          <t>Type 2</t>
        </is>
      </c>
    </row>
    <row r="3363">
      <c r="A3363" t="inlineStr">
        <is>
          <t>6t5k4r</t>
        </is>
      </c>
      <c r="B3363" t="inlineStr">
        <is>
          <t>Can anyone recommend a supportive adult endo in Philadelphia?</t>
        </is>
      </c>
      <c r="C3363" t="inlineStr">
        <is>
          <t xml:space="preserve">I am almost 22 and I guess it's beyond time to switch to an adult T1 endocrinologist from my current children's endo. (Dx'd at 17)
My current endo is amazing. She's incredibly nice, and does not come near to chastising me if I have a high spell. I'd prefer to keep it that way and transition to an endo that is understanding, caring, and overall will help me stay in control.  Any experience from fellow Philadelphians? Would prefer to stay in the city, however will compromise distance if it seems right. 
</t>
        </is>
      </c>
      <c r="D3363" t="n">
        <v>3</v>
      </c>
      <c r="E3363" t="n">
        <v>4</v>
      </c>
      <c r="F3363">
        <f>HYPERLINK("https://www.reddit.com/r/diabetes/comments/6t5k4r/can_anyone_recommend_a_supportive_adult_endo_in/")</f>
        <v/>
      </c>
      <c r="G3363" t="inlineStr">
        <is>
          <t>2017-08-11 18:11:11</t>
        </is>
      </c>
      <c r="H3363" t="inlineStr">
        <is>
          <t>Type 1</t>
        </is>
      </c>
    </row>
    <row r="3364">
      <c r="A3364" t="inlineStr">
        <is>
          <t>6t62kp</t>
        </is>
      </c>
      <c r="B3364" t="inlineStr">
        <is>
          <t>I'm riding the JDFR LaCrosse Ride for a Cure tomorrow</t>
        </is>
      </c>
      <c r="C3364" t="inlineStr">
        <is>
          <t xml:space="preserve">Anyone else here riding? I'm going for the full century. </t>
        </is>
      </c>
      <c r="D3364" t="n">
        <v>8</v>
      </c>
      <c r="E3364" t="n">
        <v>13</v>
      </c>
      <c r="F3364">
        <f>HYPERLINK("https://www.reddit.com/r/diabetes/comments/6t62kp/im_riding_the_jdfr_lacrosse_ride_for_a_cure/")</f>
        <v/>
      </c>
      <c r="G3364" t="inlineStr">
        <is>
          <t>2017-08-11 19:54:43</t>
        </is>
      </c>
      <c r="H3364" t="inlineStr">
        <is>
          <t>Type 1</t>
        </is>
      </c>
    </row>
    <row r="3365">
      <c r="A3365" t="inlineStr">
        <is>
          <t>6t7y14</t>
        </is>
      </c>
      <c r="B3365" t="inlineStr">
        <is>
          <t>Stomach Flu</t>
        </is>
      </c>
      <c r="C3365" t="inlineStr">
        <is>
          <t>Hey guys,
So I've been throwing up on and off for the past 12 hours, nothing but stomach acid. My bloodsugar hasn't been over 11 the entire time, but I'm showing moderate ketones (1.0). I havent been able to eat ANYTHING in a little less than 24 hours, so is it safe to assume that the ketones are more from fasting and not eating than the sickness? i have a terrible pain in my stomach, but otherwise im able to move around moderately, and slept nice big 4 hour chunks overnight.
Other than upping my insulin, any other advice for stomach flu?  (I'm still drinking water as much as I can, and I know i'm going to send my partner out to get me some popsicles to suck on...)</t>
        </is>
      </c>
      <c r="D3365" t="n">
        <v>2</v>
      </c>
      <c r="E3365" t="n">
        <v>10</v>
      </c>
      <c r="F3365">
        <f>HYPERLINK("https://www.reddit.com/r/diabetes/comments/6t7y14/stomach_flu/")</f>
        <v/>
      </c>
      <c r="G3365" t="inlineStr">
        <is>
          <t>2017-08-12 04:26:35</t>
        </is>
      </c>
      <c r="H3365" t="inlineStr">
        <is>
          <t>Type 1</t>
        </is>
      </c>
    </row>
    <row r="3366">
      <c r="A3366" t="inlineStr">
        <is>
          <t>6tak8x</t>
        </is>
      </c>
      <c r="B3366" t="inlineStr">
        <is>
          <t>Please help, i need a third opinion..</t>
        </is>
      </c>
      <c r="C3366" t="inlineStr">
        <is>
          <t>So I recently spoke about this with my parents and they believe my insulin levels are out of wack because one armpit is way darker than the other. Aside from this, EVERYtime I eat something, whether sugar or no sugar, water excluded, I get light headed/a bit dizzy but not to the point where I have to sit down. I do have a slightly warmer head and sometimes I do feel pulsing in my head.
So I asked my doctor about this and he said that this is fine because this is my first time losing 10+ lbs. Now let me tell you that this is not true at all. I went on a journey once and lost 30 in 3 months but gained it back due to depression, now back to the main point. I don't know what to do, or how to tackle what I am feeling.
I am prediabetic. I believe I have hypothyroidism but my doctor is way too ignorant to believe so. I am on metformin 1000, 1 in the morning 1 at night. Topiramate, 1 in morning 1 at night. 
I have been eating right and doing light exercise. My BMI is in the 40 range and I am a male. 
Any help? Suggestions? Advice?</t>
        </is>
      </c>
      <c r="D3366" t="n">
        <v>0</v>
      </c>
      <c r="E3366" t="n">
        <v>14</v>
      </c>
      <c r="F3366">
        <f>HYPERLINK("https://www.reddit.com/r/diabetes/comments/6tak8x/please_help_i_need_a_third_opinion/")</f>
        <v/>
      </c>
      <c r="G3366" t="inlineStr">
        <is>
          <t>2017-08-12 12:52:53</t>
        </is>
      </c>
      <c r="H3366" t="inlineStr">
        <is>
          <t>Type 2</t>
        </is>
      </c>
    </row>
    <row r="3367">
      <c r="A3367" t="inlineStr">
        <is>
          <t>6tbbyf</t>
        </is>
      </c>
      <c r="B3367" t="inlineStr">
        <is>
          <t>Potentially stupid question from a type-2 newbie.</t>
        </is>
      </c>
      <c r="C3367" t="inlineStr">
        <is>
          <t xml:space="preserve">Hi,
    I was diagnosed with type-2 diabetes about a month ago.   After consulting with my doctor, I switched to a diabetes-friendly diet, started taking metformin and measuring my blood sugar four times a day.  I've driven my average blood sugar down to 110 mg/dL which I know isn't perfect but is better than where it was.  I do have one question that I was hoping you folks can answer.
I've been lancing myself 4 times a day and with the exception of washing and drying my hands first,  I really haven't done anything else.   Should I be cleaning the wound and putting liquid bandage on them when I'm done?  They stop bleeding in seconds so I haven't been bothering but I'm wondering if I'm setting myself up for colds/flus/whatevers.  Thoughts?
Thanks.
</t>
        </is>
      </c>
      <c r="D3367" t="n">
        <v>3</v>
      </c>
      <c r="E3367" t="n">
        <v>5</v>
      </c>
      <c r="F3367">
        <f>HYPERLINK("https://www.reddit.com/r/diabetes/comments/6tbbyf/potentially_stupid_question_from_a_type2_newbie/")</f>
        <v/>
      </c>
      <c r="G3367" t="inlineStr">
        <is>
          <t>2017-08-12 15:10:27</t>
        </is>
      </c>
      <c r="H3367" t="inlineStr">
        <is>
          <t>Type 2</t>
        </is>
      </c>
    </row>
    <row r="3368">
      <c r="A3368" t="inlineStr">
        <is>
          <t>6tby4c</t>
        </is>
      </c>
      <c r="B3368" t="inlineStr">
        <is>
          <t>Was a type 2, now a type 1.5</t>
        </is>
      </c>
      <c r="C3368" t="inlineStr">
        <is>
          <t>Back in 2008 I was getting sick and was on the verge of losing my job. Went to a new doctor and BAM diabetic doctor prescribed and got into see a really great guy. My life started to turn around, weight was slowly shedding off and my vision even seemed to be getting better. That only lasted so long however...
Within 2010 I was moved from the doctor to one of his nursing staff, her and I butted heads. I couldn't seem to get her to understand that I didn't know why my numbers were starting to creep up. We argued, I got sent to nutritionists. We argued more and she claimed I was just binge eating sweets, that I was constantly carb loading, that I wasn't working out like I said. At least time I was on a business walking route delivering mail. 7 miles a day, 5 days a week...except that didn't seem to be enough for her. I gave detailed food logs, nope must be lying or not writing down everything. Hell I was slowly being pushed into a eating disorder. So...I stopped going. Only made a appt when I had to get new prescriptions for my mail order...so every 9 months or so. I stopped trying to please her and even though I made a appt with someone else, I always seemed to get her.
Then I just stopped altogether, 2015...who cared anymore. My numbers continued to be bad, my diet was so restrictive I cried at seeing restaurant food, I cried at not being able to indulge at family holiday meals. I started to spiral in depression just because I was giving up. First my meds ran out, then after pokes and prods I would get new ones, took them once every few days...maybe....if the numbers were particularly bad. I didn't care.
Then my world came crashing down in 2016, Mom died. Even tho I was married...I was alone. My husband, bless his heart, couldn't help and even hurt. He agreed with the evil lady, helped her berate me on my life happenings. He didn't stand up for me against his ex, didn't try to get his kids to even talk to me, and basically I was alone. (His bipolar/depression is being treated, he recently gave me a letter expressing how sorry and horrified he is of how that happened. I still hurt but I know he's trying, now.)
Then I got a move to a new office. Not driving 83 miles one way to work anymore. Now walking 10-12 miles a day, 5 days a week. Can actually be at home and awake during times I can get chores done. And lo and behold, I got a new diabetic doctor. I didn't want to go but when the doctor herself calls you and says please...well, I couldn't be rude.
So I head in and she listens, really listened. Says that she hates how people who really need help are just shuffled to the side, hates how when we try and something seems wrong we're blamed. So she ordered tests and then called me to come in to talk to her.
It wasn't my fault.
I was doing things right.
I was misdiagnosed. After being on corrected medications I know what it feels like to have a 70 reading on my meter. I'm watching my stomach deflate, my feet don't hurt after work so much I want to curl up and cry, I can stay awake all day, I can tolerate more temperatures now. Hell....my acne is even clearing up and my eye brows are growing back in.
And the most joyous thing...I can make family recipes now. I can make Mom's favorite and eat with her portrait, remembering her. Because I know that when I get done I won't be crying because I hurt because my body hates me at a over 400 reading.
 So for all you type 2's out there remember, if your doing it right and it's all still going wrong. Find out if your one of the unlucky ones whose body has shifted into type 1 categories.</t>
        </is>
      </c>
      <c r="D3368" t="n">
        <v>28</v>
      </c>
      <c r="E3368" t="n">
        <v>23</v>
      </c>
      <c r="F3368">
        <f>HYPERLINK("https://www.reddit.com/r/diabetes/comments/6tby4c/was_a_type_2_now_a_type_15/")</f>
        <v/>
      </c>
      <c r="G3368" t="inlineStr">
        <is>
          <t>2017-08-12 17:09:04</t>
        </is>
      </c>
      <c r="H3368" t="inlineStr">
        <is>
          <t>Type 1.5/LADA</t>
        </is>
      </c>
    </row>
    <row r="3369">
      <c r="A3369" t="inlineStr">
        <is>
          <t>6tc1b9</t>
        </is>
      </c>
      <c r="B3369" t="inlineStr">
        <is>
          <t>Considering an upgrade.</t>
        </is>
      </c>
      <c r="C3369" t="inlineStr">
        <is>
          <t>I received an email from my Medtronic representative today that I'm eligible for the 670g and I'm considering it as a replacement for my paradigm that's now out of warranty. The pump will only be $700 so I'm thinking about getting it. My endocrinologist has said a few times that Dexcom cgms (which I currently use) are more accurate than the Medtronic ones. Does anyone have the 670g and use Dexcom sensors? Or would it be better to use Medtronic's cgm (these aren't available to ship out until the end of the year anyway because of a lack of inventory).
I'd love any feedback/comments anyone may have. Thanks!</t>
        </is>
      </c>
      <c r="D3369" t="n">
        <v>1</v>
      </c>
      <c r="E3369" t="n">
        <v>5</v>
      </c>
      <c r="F3369">
        <f>HYPERLINK("https://www.reddit.com/r/diabetes/comments/6tc1b9/considering_an_upgrade/")</f>
        <v/>
      </c>
      <c r="G3369" t="inlineStr">
        <is>
          <t>2017-08-12 17:26:07</t>
        </is>
      </c>
      <c r="H3369" t="inlineStr">
        <is>
          <t>Type 1</t>
        </is>
      </c>
    </row>
    <row r="3370">
      <c r="A3370" t="inlineStr">
        <is>
          <t>6te6se</t>
        </is>
      </c>
      <c r="B3370" t="inlineStr">
        <is>
          <t>T1's who are on keto diet, I need some help.</t>
        </is>
      </c>
      <c r="C3370" t="inlineStr">
        <is>
          <t xml:space="preserve">So I'm seriously looking into a keto diet for the weight loss and blood sugar management, as well as the possibility of it helping my PCOS. I'm a 24 year old woman, been a type 1 for about 16 years. Has anyone else done the keto diet? I'm wondering what the risk of nutritional ketosis building into dka is. Most of the evidence says as long as I'm maintaining a healthy diet I'll be alright, but I'm concerned. My other question is how to treat lows on the diet. Does it completely derail your progress if you have one of those stubborn lows? Any help is appreciated. </t>
        </is>
      </c>
      <c r="D3370" t="n">
        <v>18</v>
      </c>
      <c r="E3370" t="n">
        <v>20</v>
      </c>
      <c r="F3370">
        <f>HYPERLINK("https://www.reddit.com/r/diabetes/comments/6te6se/t1s_who_are_on_keto_diet_i_need_some_help/")</f>
        <v/>
      </c>
      <c r="G3370" t="inlineStr">
        <is>
          <t>2017-08-13 02:14:18</t>
        </is>
      </c>
      <c r="H3370" t="inlineStr">
        <is>
          <t>Type 1</t>
        </is>
      </c>
    </row>
    <row r="3371">
      <c r="A3371" t="inlineStr">
        <is>
          <t>6tfcac</t>
        </is>
      </c>
      <c r="B3371" t="inlineStr">
        <is>
          <t>Checks BG</t>
        </is>
      </c>
      <c r="C3371" t="inlineStr">
        <is>
          <t xml:space="preserve">I'm new to this..  I just diagnosed with Type 2 diabates..  Doctor expalin that i need check my BG daily.. but he states that 4 checks  per week in the morning and 3 (2hrs) post meal.  I was confused about it.. with strips are  being expensive..I thought why no 4 checks per day like everyone does.  and the log books states.  How does that work?  if i get too low and i need to check ? 
can anyone explain to me about it? </t>
        </is>
      </c>
      <c r="D3371" t="n">
        <v>8</v>
      </c>
      <c r="E3371" t="n">
        <v>9</v>
      </c>
      <c r="F3371">
        <f>HYPERLINK("https://www.reddit.com/r/diabetes/comments/6tfcac/checks_bg/")</f>
        <v/>
      </c>
      <c r="G3371" t="inlineStr">
        <is>
          <t>2017-08-13 07:24:28</t>
        </is>
      </c>
      <c r="H3371" t="inlineStr">
        <is>
          <t>Type 2</t>
        </is>
      </c>
    </row>
    <row r="3372">
      <c r="A3372" t="inlineStr">
        <is>
          <t>6thi1w</t>
        </is>
      </c>
      <c r="B3372" t="inlineStr">
        <is>
          <t>Newly-diagnosed Type 2: just not feeling hungry...</t>
        </is>
      </c>
      <c r="C3372" t="inlineStr">
        <is>
          <t>Hi all
I'm a newly diagnosed Type 2 (far as I know - more tests to follow just in case I'm a late onset Type 1) and finding it really hard to get into the swing of a low carb, high fat diet. I haven't got a glucose meter yet (waiting for second doctor appointment this week) so really feel like I'm winging it.
At the moment I'm finding it really difficult to get enough fats into my diet, hell even enough protein. I'm eating until I'm not hungry any more but I'm still way below the kind of calories I should be consuming (FYI I am 6'1" and around 260lbs so figure around 1700-1900 a day?). I'm just not that hungry. I'm topping out at around 900 a day if I'm lucky e.g. today I ate:
**Breakfast**: cup of coffee, 50ml semi-skimmed milk, half a banana (I know, carb-heavy but honestly I don't know what *else* to eat at breakfast. I'm not a cooked breakfast person)
**Lunch**: whole chicken breast, some spinach and green bell pepper in an egg pancake/tortilla made with butter
**Dinner**: 200g beef mince, 1/4 can of chopped tomatoes, various spices, more green bell pepper etc to make a chilli. Added 25g rice even though I know I shouldn't just to bulk it up. Whacked the sauce full of cheese. Still only managed to eat half of it.
I feel completely listless and not hungry at all, most of the time. This has been a huge blow to me, after 10 years of poor eating and watching my weight creep up but doing nothing about it. There is definitely a psychological component because I feel like this is absolutely my fault.
On the plus side I haven't missed any of the sweets, crisps or other junk food I used to eat so I'm fairly confident I will be able to keep to a healthy diet once I work out how. Again, how do people manage to consume like 150g of fat a day? Or protein? Even a whole chicken breast and 200g mince only came to 94g protein. How do you get your calories up without really calorie-dense foods like pasta and bread??</t>
        </is>
      </c>
      <c r="D3372" t="n">
        <v>5</v>
      </c>
      <c r="E3372" t="n">
        <v>16</v>
      </c>
      <c r="F3372">
        <f>HYPERLINK("https://www.reddit.com/r/diabetes/comments/6thi1w/newlydiagnosed_type_2_just_not_feeling_hungry/")</f>
        <v/>
      </c>
      <c r="G3372" t="inlineStr">
        <is>
          <t>2017-08-13 13:22:44</t>
        </is>
      </c>
      <c r="H3372" t="inlineStr">
        <is>
          <t>Type 2</t>
        </is>
      </c>
    </row>
    <row r="3373">
      <c r="A3373" t="inlineStr">
        <is>
          <t>6tmify</t>
        </is>
      </c>
      <c r="B3373" t="inlineStr">
        <is>
          <t>T1 Vacation concerns - Pumps and water</t>
        </is>
      </c>
      <c r="C3373" t="inlineStr">
        <is>
          <t xml:space="preserve">Hey all, Just wanted to start out by saying I've talked with my Doctor. Just looking to gather some info, which this sub is good for :)
So I'm going on a 7 day trip to Dominican and am a little more concerned with my Basal than I am with my Bolus. Two of my biggest concerns are 
A) Being in the water all day with my pump. 
B) Going on a Catamaran for approx 8 hours.  
I'm know my One Touch Ping is water proof, however, I'm afraid water could find its way in over a period of time being in the water. The same concern goes for the day spent on the Catamaran. I would be taking it off probably 10 times that day, for about 30-45 mins each time. My solution was to take long acting insulin via pen for the duration of my trip (or just for that long Catamaran day)  and only use my pump to Bolus my food. I just assumed having a does of long acting in me would be more effective than taking my pump on and off throughout the day while making corrections.  I have a lot of experience with pens/ mimicking the pump via injection and i already have the appropriate long acting dosage for myself. (Lantus)  I would love to hear some thoughts on this. </t>
        </is>
      </c>
      <c r="D3373" t="n">
        <v>3</v>
      </c>
      <c r="E3373" t="n">
        <v>8</v>
      </c>
      <c r="F3373">
        <f>HYPERLINK("https://www.reddit.com/r/diabetes/comments/6tmify/t1_vacation_concerns_pumps_and_water/")</f>
        <v/>
      </c>
      <c r="G3373" t="inlineStr">
        <is>
          <t>2017-08-14 06:48:33</t>
        </is>
      </c>
      <c r="H3373" t="inlineStr">
        <is>
          <t>Type 1</t>
        </is>
      </c>
    </row>
    <row r="3374">
      <c r="A3374" t="inlineStr">
        <is>
          <t>6tppcl</t>
        </is>
      </c>
      <c r="B3374" t="inlineStr">
        <is>
          <t>Any backpackers with type 1 diabetes? What t1d tips do you have for the backcountry?</t>
        </is>
      </c>
      <c r="C3374" t="inlineStr">
        <is>
          <t>I'll be making an attempt to summit Mt. Whitney in three weeks and appreciate any and all advice folks have to offer for a successful summit (generally, and related specifically to type 1 diabetes). I was dx'd in 2014 and wear an Omnipod and Dexcom G5 CGM. I'm improving my glucose control post-grad school (last A1C% at 6.5%) and have been focusing on improving my insulin sensitivity so I reduce the risk of over-correcting on the trail. We'll be splitting the trip between two days (group of 4 including myself), taking one day to acclimatize before summiting. I've never bought glucagon before (cost-prohibitive to me during school) and am wondering if I should bring some for this trip. I'd also like to get a sense of how many backup supplies to bring (insulin, sensors, pods, etc.) before reaching overkill. I'm trying to go as light as possible while also being realistic about the necessity of my medical supplies. Details surrounding snacks are especially appreciated (particularly balanced vegan snacks if possible). Thanks!</t>
        </is>
      </c>
      <c r="D3374" t="n">
        <v>7</v>
      </c>
      <c r="E3374" t="n">
        <v>12</v>
      </c>
      <c r="F3374">
        <f>HYPERLINK("https://www.reddit.com/r/diabetes/comments/6tppcl/any_backpackers_with_type_1_diabetes_what_t1d/")</f>
        <v/>
      </c>
      <c r="G3374" t="inlineStr">
        <is>
          <t>2017-08-14 14:44:14</t>
        </is>
      </c>
      <c r="H3374" t="inlineStr">
        <is>
          <t>Type 1</t>
        </is>
      </c>
    </row>
    <row r="3375">
      <c r="A3375" t="inlineStr">
        <is>
          <t>6tpwnk</t>
        </is>
      </c>
      <c r="B3375" t="inlineStr">
        <is>
          <t>Going to the gym with type1 diabetes</t>
        </is>
      </c>
      <c r="C3375" t="inlineStr">
        <is>
          <t xml:space="preserve">Does anyone have good tips for going to the gym with Type 1 diabetes? I'm 14 and was diagnosed last year and I want to start going to the gym because I'm too skinny.
I know to take snacks with me and I might make my blood sugar a bit higher before going but is there any other good advice anyone has? Thanks </t>
        </is>
      </c>
      <c r="D3375" t="n">
        <v>3</v>
      </c>
      <c r="E3375" t="n">
        <v>14</v>
      </c>
      <c r="F3375">
        <f>HYPERLINK("https://www.reddit.com/r/diabetes/comments/6tpwnk/going_to_the_gym_with_type1_diabetes/")</f>
        <v/>
      </c>
      <c r="G3375" t="inlineStr">
        <is>
          <t>2017-08-14 15:15:53</t>
        </is>
      </c>
      <c r="H3375" t="inlineStr">
        <is>
          <t>Type 1</t>
        </is>
      </c>
    </row>
    <row r="3376">
      <c r="A3376" t="inlineStr">
        <is>
          <t>6tvdfh</t>
        </is>
      </c>
      <c r="B3376" t="inlineStr">
        <is>
          <t>App for integrating Omnipod, Dexcom, nutrition and exercise</t>
        </is>
      </c>
      <c r="C3376" t="inlineStr">
        <is>
          <t>So I am finally in a good place with taking control of my diabetes. I am on Omnipod and Dexcom, working with a nutritionist, and a personal trainer. I feel great about this. I'm wondering if there is an app that will allow me to import and enter data for all of these elements. A notes field would be great. I was looking at Glooko but I would love to know more about it and/or what others are using. Does such an app exist or am I looking for a unicorn? Thanks in advance!</t>
        </is>
      </c>
      <c r="D3376" t="n">
        <v>1</v>
      </c>
      <c r="E3376" t="n">
        <v>4</v>
      </c>
      <c r="F3376">
        <f>HYPERLINK("https://www.reddit.com/r/diabetes/comments/6tvdfh/app_for_integrating_omnipod_dexcom_nutrition_and/")</f>
        <v/>
      </c>
      <c r="G3376" t="inlineStr">
        <is>
          <t>2017-08-15 09:46:31</t>
        </is>
      </c>
      <c r="H3376" t="inlineStr">
        <is>
          <t>Type 1</t>
        </is>
      </c>
    </row>
    <row r="3377">
      <c r="A3377" t="inlineStr">
        <is>
          <t>6tvhzj</t>
        </is>
      </c>
      <c r="B3377" t="inlineStr">
        <is>
          <t>Low sugar scare with youngest, is there a way to have a 'remote alarm' for Medtronic (630)?</t>
        </is>
      </c>
      <c r="C3377" t="inlineStr">
        <is>
          <t xml:space="preserve">Daughter is 14 and will sleep right through an hour of beeping and buzzing from her pump.  Usually it's because she forgot to calibrate, but sometimes it's due to a low and the pump pausing basal.
Last night I heard the pump alarm, went in to check and it read 27!  Looking at her chart there was a huge peak to 350 or so a couple hours prior, she corrected and then (over)corrected again about an hour later.   She still had .6U onboard.  I woke her up, gave her a glucose tab and some water with a couple tsp of sugar mixed in and got her into the 70's in about 15 minutes. 
This is the first real scare we've had and I feel like if I hadn't heard that alarm at 1am from down the hall, there could have been serious health implications.  So my question is how to make sure that we get some redundant alarming?  
(obviously we have to talk to her about what happened the night before, but that's a separate matter)
Thanks
</t>
        </is>
      </c>
      <c r="D3377" t="n">
        <v>6</v>
      </c>
      <c r="E3377" t="n">
        <v>10</v>
      </c>
      <c r="F3377">
        <f>HYPERLINK("https://www.reddit.com/r/diabetes/comments/6tvhzj/low_sugar_scare_with_youngest_is_there_a_way_to/")</f>
        <v/>
      </c>
      <c r="G3377" t="inlineStr">
        <is>
          <t>2017-08-15 10:04:00</t>
        </is>
      </c>
      <c r="H3377" t="inlineStr">
        <is>
          <t>Type 1</t>
        </is>
      </c>
    </row>
    <row r="3378">
      <c r="A3378" t="inlineStr">
        <is>
          <t>6tx5ec</t>
        </is>
      </c>
      <c r="B3378" t="inlineStr">
        <is>
          <t>Fighting the Good Fight</t>
        </is>
      </c>
      <c r="C3378" t="inlineStr">
        <is>
          <t xml:space="preserve">To all, first time poster here, and I encourage all to tell their stories. Having had diabetes for thirty years, every day is a battle, but it is a war worth winning.  Keep fighting the good fight, and you will make progress.  My latest numbers from my annual physical last weeK: a1c - 6.2%; bp - 120/70; LDL - 65, HDL - 62; triglycerides - 36.
</t>
        </is>
      </c>
      <c r="D3378" t="n">
        <v>18</v>
      </c>
      <c r="E3378" t="n">
        <v>5</v>
      </c>
      <c r="F3378">
        <f>HYPERLINK("https://www.reddit.com/r/diabetes/comments/6tx5ec/fighting_the_good_fight/")</f>
        <v/>
      </c>
      <c r="G3378" t="inlineStr">
        <is>
          <t>2017-08-15 13:59:26</t>
        </is>
      </c>
      <c r="H3378" t="inlineStr">
        <is>
          <t>Type 2</t>
        </is>
      </c>
    </row>
    <row r="3379">
      <c r="A3379" t="inlineStr">
        <is>
          <t>6txazh</t>
        </is>
      </c>
      <c r="B3379" t="inlineStr">
        <is>
          <t>Is this a decent noob description of Insulin Resistance leading to T2?</t>
        </is>
      </c>
      <c r="C3379" t="inlineStr">
        <is>
          <t xml:space="preserve">A young person loves sweets... candy, cakes, soft drinks.  He consumes them throughout his youth, teens, &amp; twenties **yet remains thin**.  *"I can eat all this stuff and I never gain weight"*.
Then in his 30's .. with the same raging sweet tooth... he suddenly starts gaining a lot of weight.  What happened?  
Edited version: Insulin resistance: insulin sends a message to the cells in the body to let sugar in, but those cells have become deaf (resistant) to the message from the insulin? Is this because those cells were bombarded for so long by so much insulin needed for the sweets?  Was he destroying his cells ability to use insulin during those younger years when everything seemed ok?
</t>
        </is>
      </c>
      <c r="D3379" t="n">
        <v>6</v>
      </c>
      <c r="E3379" t="n">
        <v>10</v>
      </c>
      <c r="F3379">
        <f>HYPERLINK("https://www.reddit.com/r/diabetes/comments/6txazh/is_this_a_decent_noob_description_of_insulin/")</f>
        <v/>
      </c>
      <c r="G3379" t="inlineStr">
        <is>
          <t>2017-08-15 14:22:54</t>
        </is>
      </c>
      <c r="H3379" t="inlineStr">
        <is>
          <t>Type 2</t>
        </is>
      </c>
    </row>
    <row r="3380">
      <c r="A3380" t="inlineStr">
        <is>
          <t>6txess</t>
        </is>
      </c>
      <c r="B3380" t="inlineStr">
        <is>
          <t>Increasingly relevant question...</t>
        </is>
      </c>
      <c r="C3380" t="inlineStr">
        <is>
          <t>How are us T1s going to get insulin when the nukes start flying? Once supply lines deteriorate, I don't know how I'm going to stay alive. 
Should I just adopt a keto diet and hope? Should I go all Mad Max and siphon working beta cells from my captured foes like a pancreas vampire? Is there an insulin bunker somewhere secret? 
What are you guys going to do? I doubt I'm the only one thinking about this.</t>
        </is>
      </c>
      <c r="D3380" t="n">
        <v>29</v>
      </c>
      <c r="E3380" t="n">
        <v>54</v>
      </c>
      <c r="F3380">
        <f>HYPERLINK("https://www.reddit.com/r/diabetes/comments/6txess/increasingly_relevant_question/")</f>
        <v/>
      </c>
      <c r="G3380" t="inlineStr">
        <is>
          <t>2017-08-15 14:39:28</t>
        </is>
      </c>
      <c r="H3380" t="inlineStr">
        <is>
          <t>Type 1</t>
        </is>
      </c>
    </row>
    <row r="3381">
      <c r="A3381" t="inlineStr">
        <is>
          <t>6tyxd6</t>
        </is>
      </c>
      <c r="B3381" t="inlineStr">
        <is>
          <t>Could you stay alive with only fast acting insulin?</t>
        </is>
      </c>
      <c r="C3381" t="inlineStr">
        <is>
          <t xml:space="preserve">Lets say, the nukes fall, and all I have left is novorapid for example, am I going to survive or hit dka? </t>
        </is>
      </c>
      <c r="D3381" t="n">
        <v>1</v>
      </c>
      <c r="E3381" t="n">
        <v>13</v>
      </c>
      <c r="F3381">
        <f>HYPERLINK("https://www.reddit.com/r/diabetes/comments/6tyxd6/could_you_stay_alive_with_only_fast_acting_insulin/")</f>
        <v/>
      </c>
      <c r="G3381" t="inlineStr">
        <is>
          <t>2017-08-15 18:58:11</t>
        </is>
      </c>
      <c r="H3381" t="inlineStr">
        <is>
          <t>Type 1</t>
        </is>
      </c>
    </row>
    <row r="3382">
      <c r="A3382" t="inlineStr">
        <is>
          <t>6tz386</t>
        </is>
      </c>
      <c r="B3382" t="inlineStr">
        <is>
          <t>Blood sugar levels and testing.</t>
        </is>
      </c>
      <c r="C3382" t="inlineStr">
        <is>
          <t>So I was diagnosed with type 1 just a little under a month ago.  I have completely changed my lifestyle and have a positive attitude towards controlling and balancing everything.  
So tonight I take my blood sugar and it read 195.  I use the bathroom and wash my hands and decide to check it again...167!  Is it normal for this big of a swing to happen?  I always use an alcohol pad to clean my finger before testing, but do not go out of my way to wash my hands.  Did washing my hands actually help get me a more accurate reading?  Or do meters have that big of a plus/minus?</t>
        </is>
      </c>
      <c r="D3382" t="n">
        <v>6</v>
      </c>
      <c r="E3382" t="n">
        <v>7</v>
      </c>
      <c r="F3382">
        <f>HYPERLINK("https://www.reddit.com/r/diabetes/comments/6tz386/blood_sugar_levels_and_testing/")</f>
        <v/>
      </c>
      <c r="G3382" t="inlineStr">
        <is>
          <t>2017-08-15 19:27:46</t>
        </is>
      </c>
      <c r="H3382" t="inlineStr">
        <is>
          <t>Type 1</t>
        </is>
      </c>
    </row>
    <row r="3383">
      <c r="A3383" t="inlineStr">
        <is>
          <t>6u4es5</t>
        </is>
      </c>
      <c r="B3383" t="inlineStr">
        <is>
          <t>Retinopathy and anxiety</t>
        </is>
      </c>
      <c r="C3383" t="inlineStr">
        <is>
          <t>So last week during a routine check at the opthalmologist, I was diagnosed with severe non-proliferative retinopathy. I have had mild retinopathy that shows up sometimes and not others for the past 9 years. It was a total shock to find out that it was suddenly severe (seen through an angiogram and not the regular dilation - the microscope just didn't detect it). I had just got my eyes checked in January and was told that the retinopathy was mild. 
Since I want to get pregnant, my ophthalmologist recommended that I do laser treatment before trying to conceive, so I got my first treatment during the same appointment and have 3 more scheduled every other week. 
Today, I was reading articles on my phone and suddenly, my vision goes blurry and the words look like they are moving a little on the page. Now, disclaimer here, I also have anxiety that has been acting up a little bit lately, and I remember when I was first diagnosed with the anxiety about 5 or 6 years ago, experiencing vision changes. 
I called my ophthalmologist and I'm waiting for her to call me back just to be safe, and I'm just trying to keep calm.
I feel like this new diagnosis isn't helping my anxiety and I also have a feeling of not trusting myself - are these symptoms "real"? But then, what if they are real and somehow the laser surgery damaged my eyes? That doesn't seem likely and I couldn't find anything in the resources my doc gave me about side effects of surgery - does anyone have some info on this?</t>
        </is>
      </c>
      <c r="D3383" t="n">
        <v>1</v>
      </c>
      <c r="E3383" t="n">
        <v>4</v>
      </c>
      <c r="F3383">
        <f>HYPERLINK("https://www.reddit.com/r/diabetes/comments/6u4es5/retinopathy_and_anxiety/")</f>
        <v/>
      </c>
      <c r="G3383" t="inlineStr">
        <is>
          <t>2017-08-16 12:21:11</t>
        </is>
      </c>
      <c r="H3383" t="inlineStr">
        <is>
          <t>Type 1</t>
        </is>
      </c>
    </row>
    <row r="3384">
      <c r="A3384" t="inlineStr">
        <is>
          <t>6uad9j</t>
        </is>
      </c>
      <c r="B3384" t="inlineStr">
        <is>
          <t>Snacks for our babysitter?</t>
        </is>
      </c>
      <c r="C3384" t="inlineStr">
        <is>
          <t xml:space="preserve">Hey everyone!  
Our new babysitter has type 1 diabetes (she's got a cool little continuous glucose monitor). She is going to spend Saturday night watching over our sleeping kids and we wanted to set out some snacks/frozen pizza for her to make.  
Are there anything I should keep in mind about which snacks I can set out? 
I'm sorry I'm slightly ignorant about the whole topic :/ I only had to content with gestational diabetes so far. </t>
        </is>
      </c>
      <c r="D3384" t="n">
        <v>3</v>
      </c>
      <c r="E3384" t="n">
        <v>20</v>
      </c>
      <c r="F3384">
        <f>HYPERLINK("https://www.reddit.com/r/diabetes/comments/6uad9j/snacks_for_our_babysitter/")</f>
        <v/>
      </c>
      <c r="G3384" t="inlineStr">
        <is>
          <t>2017-08-17 07:36:47</t>
        </is>
      </c>
      <c r="H3384" t="inlineStr">
        <is>
          <t>Type 1</t>
        </is>
      </c>
    </row>
    <row r="3385">
      <c r="A3385" t="inlineStr">
        <is>
          <t>6uc6yj</t>
        </is>
      </c>
      <c r="B3385" t="inlineStr">
        <is>
          <t>A few questions about Natural control of BG if you would be so kind.</t>
        </is>
      </c>
      <c r="C3385" t="inlineStr">
        <is>
          <t xml:space="preserve">Howdy all,. so I was diagnosed about 2 years ago with T2 and I immediately started Keto/super low carb for a good year. 
My fasting BG went down to like 89-90 or so and I was feeling fine. About 6 months ago I started feeling bad because I had slipped back into eating carbs, I still never touch sweets, deserts, sugar, soda etc. but I would eat Pizza, pasta, bread and rice. 
I bought a BG meter about 2 months ago my fasting BG was 260 so I immediately stopped eating carbs completely and started taking supplements. 
Turmeric, Vitamin B, B12, Cinnamon, Vitamin D, Black Seed Oil, Dandelion root and a host of other supplements. Since then my BG has dropped significantly from the 200's to steady around 120 and goes up to 150 after a meal. I'm nearly Keto these days I do eat a little carbs but 
I try and keep it under 50g a day along with taking my supplements every day. My question is this: Since my sugar intake is very low and I am taking supplements ( which have me feeling great BTW) I'm wondering if I should still be worried that my BG is a little high. I am doing everything right as far as diet and I do not want to end up on Metforman or other drugs again. How worried should I be with a BG of 120-150 considering my diet and lifestyle?
Thanks a lot! </t>
        </is>
      </c>
      <c r="D3385" t="n">
        <v>1</v>
      </c>
      <c r="E3385" t="n">
        <v>5</v>
      </c>
      <c r="F3385">
        <f>HYPERLINK("https://www.reddit.com/r/diabetes/comments/6uc6yj/a_few_questions_about_natural_control_of_bg_if/")</f>
        <v/>
      </c>
      <c r="G3385" t="inlineStr">
        <is>
          <t>2017-08-17 12:01:33</t>
        </is>
      </c>
      <c r="H3385" t="inlineStr">
        <is>
          <t>Type 2</t>
        </is>
      </c>
    </row>
    <row r="3386">
      <c r="A3386" t="inlineStr">
        <is>
          <t>6uemfk</t>
        </is>
      </c>
      <c r="B3386" t="inlineStr">
        <is>
          <t>Do you guys get flu shots?</t>
        </is>
      </c>
      <c r="C3386" t="inlineStr">
        <is>
          <t>I picked up some meds (non-diabetic) at the pharmacy today. The CPhT told me the 2017 flu shot was in and my insurance covered. I opted out, for the moment, since I've never had one before and I wanted to consult with my Endo first. I don't want to risk any heinous side effects (allergic reaction, inconsistent bg, death, etc.) if it's not really worth my while, and I'd like to gauge how many of us get it.
...I'm also slightly apprehensive that Supreme Leader *(Donald Drumpf)* will try to kill the sick to abolish the Affordable Care Act, and I don't have a ton of faith in the FDA at this moment.
For reference: I'm T1, was diagnosed 3 years ago, am only 28, and almost never get sick.
Do you all get the shot each year?</t>
        </is>
      </c>
      <c r="D3386" t="n">
        <v>1</v>
      </c>
      <c r="E3386" t="n">
        <v>34</v>
      </c>
      <c r="F3386">
        <f>HYPERLINK("https://www.reddit.com/r/diabetes/comments/6uemfk/do_you_guys_get_flu_shots/")</f>
        <v/>
      </c>
      <c r="G3386" t="inlineStr">
        <is>
          <t>2017-08-17 18:27:28</t>
        </is>
      </c>
      <c r="H3386" t="inlineStr">
        <is>
          <t>Type 1</t>
        </is>
      </c>
    </row>
    <row r="3387">
      <c r="A3387" t="inlineStr">
        <is>
          <t>6ueppk</t>
        </is>
      </c>
      <c r="B3387" t="inlineStr">
        <is>
          <t>Is an artificial pancreas something that might become available to diabetics anytime soon?</t>
        </is>
      </c>
      <c r="C3387" t="inlineStr">
        <is>
          <t>I'm 26 years old. I'm type 1 and have had diabetes for 10 years (10 years to the day actually). My A1c hasn't been where it should be in probably 7-8 years. I use a pump yet I still absolutely suck at diabetes. I hate everything about it. I have no motivation to change my ways and be better at diabetes..i see myself in the next 10 years just shutting down completely from the disease and my lack of effort and motivation to control it.
I just wonder if it would ever be possible for me to get an artificial pancreas. It's pretty much the only way I see myself living past 35. 
I didn't mean for this post to sound terribly pathetic and depressing, it's just that i attempt to be a better diabetic and at the end of the day I just think, fuck it who cares</t>
        </is>
      </c>
      <c r="D3387" t="n">
        <v>3</v>
      </c>
      <c r="E3387" t="n">
        <v>16</v>
      </c>
      <c r="F3387">
        <f>HYPERLINK("https://www.reddit.com/r/diabetes/comments/6ueppk/is_an_artificial_pancreas_something_that_might/")</f>
        <v/>
      </c>
      <c r="G3387" t="inlineStr">
        <is>
          <t>2017-08-17 18:44:48</t>
        </is>
      </c>
      <c r="H3387" t="inlineStr">
        <is>
          <t>Type 1</t>
        </is>
      </c>
    </row>
    <row r="3388">
      <c r="A3388" t="inlineStr">
        <is>
          <t>6umvgl</t>
        </is>
      </c>
      <c r="B3388" t="inlineStr">
        <is>
          <t>Did being a diabetic affect your career path?</t>
        </is>
      </c>
      <c r="C3388" t="inlineStr">
        <is>
          <t>I became an engineer because my parents told me I had to find a good paying job that provided decent health insurance or else I'd be miserable. I'm not sure what I would've become if I were normal.
I'm in the US btw.</t>
        </is>
      </c>
      <c r="D3388" t="n">
        <v>15</v>
      </c>
      <c r="E3388" t="n">
        <v>26</v>
      </c>
      <c r="F3388">
        <f>HYPERLINK("https://www.reddit.com/r/diabetes/comments/6umvgl/did_being_a_diabetic_affect_your_career_path/")</f>
        <v/>
      </c>
      <c r="G3388" t="inlineStr">
        <is>
          <t>2017-08-18 20:36:53</t>
        </is>
      </c>
      <c r="H3388" t="inlineStr">
        <is>
          <t>Type 1</t>
        </is>
      </c>
    </row>
    <row r="3389">
      <c r="A3389" t="inlineStr">
        <is>
          <t>6uq86n</t>
        </is>
      </c>
      <c r="B3389" t="inlineStr">
        <is>
          <t>Feeling down.</t>
        </is>
      </c>
      <c r="C3389" t="inlineStr">
        <is>
          <t xml:space="preserve">Lately I can't stop thinking about the complications of diabetes. I'm already depressed and really don't see the point in taking care of myself, but I also don't want to die due to this disease. I'd rather kill myself than have a leg amputated or die of a heart attack. I love food to much to go on a low carb diet, and I don't want to increase my dose because then I'll gain weight. I hate this disease. And my blood sugars are horrible. Usually ranging from 6-12 (on a bad day, I'm a stress eater). Sorry for the rant. I just have no one to relate to. </t>
        </is>
      </c>
      <c r="D3389" t="n">
        <v>9</v>
      </c>
      <c r="E3389" t="n">
        <v>18</v>
      </c>
      <c r="F3389">
        <f>HYPERLINK("https://www.reddit.com/r/diabetes/comments/6uq86n/feeling_down/")</f>
        <v/>
      </c>
      <c r="G3389" t="inlineStr">
        <is>
          <t>2017-08-19 10:08:07</t>
        </is>
      </c>
      <c r="H3389" t="inlineStr">
        <is>
          <t>Type 1</t>
        </is>
      </c>
    </row>
    <row r="3390">
      <c r="A3390" t="inlineStr">
        <is>
          <t>6usbcl</t>
        </is>
      </c>
      <c r="B3390" t="inlineStr">
        <is>
          <t>Whole Grain vs White Bread?</t>
        </is>
      </c>
      <c r="C3390" t="inlineStr">
        <is>
          <t xml:space="preserve">So my grandfather is a Type 2 diabetic and for a long time hasn't been incredibly cautious about what he eats in regards to sugars and fats. Recently he has begun to lose sight in his left eye and has started to take his diabetic restrictions far more serious and we're trying to cut back on his sugar intake. 
While I was grocery shopping I noticed that the white bread of a brand we normally buy has 2g of sugar while the whole wheat bread of that brand had 3g of sugar. Should I still purchase the whole wheat for him? Thanks x </t>
        </is>
      </c>
      <c r="D3390" t="n">
        <v>1</v>
      </c>
      <c r="E3390" t="n">
        <v>7</v>
      </c>
      <c r="F3390">
        <f>HYPERLINK("https://www.reddit.com/r/diabetes/comments/6usbcl/whole_grain_vs_white_bread/")</f>
        <v/>
      </c>
      <c r="G3390" t="inlineStr">
        <is>
          <t>2017-08-19 16:21:12</t>
        </is>
      </c>
      <c r="H3390" t="inlineStr">
        <is>
          <t>Type 2</t>
        </is>
      </c>
    </row>
    <row r="3391">
      <c r="A3391" t="inlineStr">
        <is>
          <t>6usyq5</t>
        </is>
      </c>
      <c r="B3391" t="inlineStr">
        <is>
          <t>Exercise increasing insulin sensitivity substantially?</t>
        </is>
      </c>
      <c r="C3391" t="inlineStr">
        <is>
          <t>I understand fully that regular exercise will increase insulin sensitivity and even to a reasonable degree how that might happen in skeletal muscles via GLUT expression.
However, I would like to know a realistic extent to which that might happen.
I've been mostly sedentary for more than three years. Last week I've started building a habit of exercise by doing just a few pushups, situps and some other light exercise every time I wash my hands at home (which I do 6-8 times per day). My muscles started aching on day three or so, so definitely I would expect that those GLUT proteins were stepping it up. However, my dosage got really messed up. I mean, I'm at a point now where I eat about 50g of carbs per day (EDIT: clarification - without bolusing) just to keep steady BGLs. This is something like 15-20% of my total daily energy intake.
I got so scared and thought that my kidneys were failing or something (as if insulin was not lost with urine anymore). I did a creatinine test, as well as urine protein. All good.
Is it reasonable to expect such large changes in insulin sensitivity or is something very wrong happening here? Once again, we're talking about 15-20% changes with no palpable muscle gain as of yet.</t>
        </is>
      </c>
      <c r="D3391" t="n">
        <v>4</v>
      </c>
      <c r="E3391" t="n">
        <v>21</v>
      </c>
      <c r="F3391">
        <f>HYPERLINK("https://www.reddit.com/r/diabetes/comments/6usyq5/exercise_increasing_insulin_sensitivity/")</f>
        <v/>
      </c>
      <c r="G3391" t="inlineStr">
        <is>
          <t>2017-08-19 18:23:04</t>
        </is>
      </c>
      <c r="H3391" t="inlineStr">
        <is>
          <t>Type 1</t>
        </is>
      </c>
    </row>
    <row r="3392">
      <c r="A3392" t="inlineStr">
        <is>
          <t>6uukqa</t>
        </is>
      </c>
      <c r="B3392" t="inlineStr">
        <is>
          <t>Calculating extended bolus</t>
        </is>
      </c>
      <c r="C3392" t="inlineStr">
        <is>
          <t>How do you guys calculate how much insulin to give now, and how much for extended bolus, based on trends after the meals and ofc the ingredients and nutrition information ?
And how big of a role does it play in avg sugar levels ?</t>
        </is>
      </c>
      <c r="D3392" t="n">
        <v>3</v>
      </c>
      <c r="E3392" t="n">
        <v>3</v>
      </c>
      <c r="F3392">
        <f>HYPERLINK("https://www.reddit.com/r/diabetes/comments/6uukqa/calculating_extended_bolus/")</f>
        <v/>
      </c>
      <c r="G3392" t="inlineStr">
        <is>
          <t>2017-08-20 00:55:41</t>
        </is>
      </c>
      <c r="H3392" t="inlineStr">
        <is>
          <t>Type 1</t>
        </is>
      </c>
    </row>
    <row r="3393">
      <c r="A3393" t="inlineStr">
        <is>
          <t>6uwvoh</t>
        </is>
      </c>
      <c r="B3393" t="inlineStr">
        <is>
          <t>Diagnosed with type 2 in March, I've been following a diet and exercise regularly, am I doing something wrong?</t>
        </is>
      </c>
      <c r="C3393" t="inlineStr">
        <is>
          <t xml:space="preserve">(I'm 23, 6ft1) I was diagnosed as a type 2 diabetic in early March. Since then I've taken my health seriously. At the time I was 400lbs, and my blood sugar levels were around 190 fasting, and around 150-170 after meals. 
EDIT: I forgot to add something important  SORRY!  I had my thyroid taken out at 15, and have been on synthroid ever since.
I started at 1000mg daily(2 pills, one during breakfast,and one after dinner) the change in energy was astounding. after another doctor visit 3 months later, I was eventually upped to 2000mg daily on metformin. After a week I went back to the doctor, because basically taking the 2000mg made me feel like I had a bad flu and could not get anything done, and actually raised my sugar to around 210-220 fasting, and 190's after meals.  I was told to go back to 1000mg until I see a specialist again.
For exercise I walk daily, 5 miles a day, 7 days a week, and have dropped 100 lbs, (weighed myself yesterday)  yet my blood sugar is still high, Breakfast and lunch is usually small, and not even a full meal, dinner is when i eat 
 a full meal. I avoid red meats, and carbs,  an average meal for me, is some type of non starchy vegetable, and either fish or chicken, and at most I drink 4 cans of coke zero a week, usually with my dinners.
There is my history, am I doing something wrong? It's been a month since I've went back to taking 1000mg, I feel more energetic again, but my levels are actually higher now. I see a specialist again in a week, I don't wish to go back to 2000MG Metformin, but I have a bad feeling that's the only thing that could help.  
Also  I've read about how much sleep affects blood sugar levels, is there any truth to that? I have a horrible dented mattress and wake up multiple times a night for a little more than a month now. 
</t>
        </is>
      </c>
      <c r="D3393" t="n">
        <v>3</v>
      </c>
      <c r="E3393" t="n">
        <v>15</v>
      </c>
      <c r="F3393">
        <f>HYPERLINK("https://www.reddit.com/r/diabetes/comments/6uwvoh/diagnosed_with_type_2_in_march_ive_been_following/")</f>
        <v/>
      </c>
      <c r="G3393" t="inlineStr">
        <is>
          <t>2017-08-20 10:07:44</t>
        </is>
      </c>
      <c r="H3393" t="inlineStr">
        <is>
          <t>Type 2</t>
        </is>
      </c>
    </row>
    <row r="3394">
      <c r="A3394" t="inlineStr">
        <is>
          <t>6v471d</t>
        </is>
      </c>
      <c r="B3394" t="inlineStr">
        <is>
          <t>Freestyle Libre Sensor falling off?</t>
        </is>
      </c>
      <c r="C3394" t="inlineStr">
        <is>
          <t xml:space="preserve">Anyone who's used the freestyle libre sensors have any tips to prevent them falling off? I seemed to do the application right but the sensor still fell off today about 1 week after application. 
Is there anything I can do to prevent this in future or anyone have any personal tips? Thanks :) </t>
        </is>
      </c>
      <c r="D3394" t="n">
        <v>2</v>
      </c>
      <c r="E3394" t="n">
        <v>6</v>
      </c>
      <c r="F3394">
        <f>HYPERLINK("https://www.reddit.com/r/diabetes/comments/6v471d/freestyle_libre_sensor_falling_off/")</f>
        <v/>
      </c>
      <c r="G3394" t="inlineStr">
        <is>
          <t>2017-08-21 09:47:46</t>
        </is>
      </c>
      <c r="H3394" t="inlineStr">
        <is>
          <t>Type 1</t>
        </is>
      </c>
    </row>
    <row r="3395">
      <c r="A3395" t="inlineStr">
        <is>
          <t>6v5kcf</t>
        </is>
      </c>
      <c r="B3395" t="inlineStr">
        <is>
          <t>Newly diagnosed with Type 2. Looking for some advice</t>
        </is>
      </c>
      <c r="C3395" t="inlineStr">
        <is>
          <t>Hey everyone. I was just recently diagnosed with Type 2 (I was diagnosed on Thursday so Very recent) and I am kind of looking for some advice about the whole thing. I have several question and am looking for some pointers or whatever experience you all can bestow on me. 
It's no secret that I am not at the weight I should be, I do not necessarily eat unhealthily or snack or whatever. It's more a case of not enough vegetables and portion size. 
How do you know to plan what you eat? Like I know I need to cut way down on sugars and such, but also salt apparently. I get the no added salt and all but how do know what amount is too much sodium/salt when buying products, says sauces or prepared meats? Or even just a friend cooking a meal. 
I hope I am making sense and not asking anything too dumb :p 
Anyway thanks to anyone who can help. And even if any of you have some advice for newbie I will take it! :)</t>
        </is>
      </c>
      <c r="D3395" t="n">
        <v>7</v>
      </c>
      <c r="E3395" t="n">
        <v>17</v>
      </c>
      <c r="F3395">
        <f>HYPERLINK("https://www.reddit.com/r/diabetes/comments/6v5kcf/newly_diagnosed_with_type_2_looking_for_some/")</f>
        <v/>
      </c>
      <c r="G3395" t="inlineStr">
        <is>
          <t>2017-08-21 12:53:21</t>
        </is>
      </c>
      <c r="H3395" t="inlineStr">
        <is>
          <t>Type 2</t>
        </is>
      </c>
    </row>
    <row r="3396">
      <c r="A3396" t="inlineStr">
        <is>
          <t>6v5vj3</t>
        </is>
      </c>
      <c r="B3396" t="inlineStr">
        <is>
          <t>Paperwork filed for a dexcom G5!!!</t>
        </is>
      </c>
      <c r="C3396" t="inlineStr">
        <is>
          <t xml:space="preserve">Just so excited I had to share. I'm switching from the enlite sensor to the G5. The paperwork was filed today so my fingers are crossed my insurance doesn't put up a bunch of red tape on the process. So ready to kick the Enlite to the curb and have accurate CGM readings. </t>
        </is>
      </c>
      <c r="D3396" t="n">
        <v>28</v>
      </c>
      <c r="E3396" t="n">
        <v>6</v>
      </c>
      <c r="F3396">
        <f>HYPERLINK("https://www.reddit.com/r/diabetes/comments/6v5vj3/paperwork_filed_for_a_dexcom_g5/")</f>
        <v/>
      </c>
      <c r="G3396" t="inlineStr">
        <is>
          <t>2017-08-21 13:36:01</t>
        </is>
      </c>
      <c r="H3396" t="inlineStr">
        <is>
          <t>Type 1</t>
        </is>
      </c>
    </row>
    <row r="3397">
      <c r="A3397" t="inlineStr">
        <is>
          <t>6v6ref</t>
        </is>
      </c>
      <c r="B3397" t="inlineStr">
        <is>
          <t>Started on a pump today, I hate how my diabetes team is doing it.</t>
        </is>
      </c>
      <c r="C3397" t="inlineStr">
        <is>
          <t xml:space="preserve">I started on a pump today, I guess this is good.  I’ve got a brand new Tslim sticking out of my body now.
However, I haven’t hated my “diabetes team” this much since I had to fight (a different team) tooth and nail to get a dexcom.
I’m furious that I have to use their ratio (which, as far as I can tell was pulled out of a magic oyster the sky) for insulin to carbs and my correction dose.  It’s insulting.  I know what my insulin to carb and insulin to protein ratios are, and what my correction dose it.  My NP simply wouldn’t listen.  I haven’t carb counted in over a year either because I eat extremely low carb, BUT I ‘need’ to have the pump do all the calculations for me.  I know what my insulin doses should be for certain foods, and the number on the pump sure as shit isn’t it.
I have never been so insulted about my diabetes management in my life.  Because of my job, if I don’t have stable blood glucose levels in about a week, I’m going to have to rip out the pump and wait until winter to reattach it. I KNOW the correction and bolus calculations are GOING TO BE WRONG, so it’ll take a few days to even begin to be able to start to address my basal rate.
Any tips or advice on what to do?
</t>
        </is>
      </c>
      <c r="D3397" t="n">
        <v>10</v>
      </c>
      <c r="E3397" t="n">
        <v>21</v>
      </c>
      <c r="F3397">
        <f>HYPERLINK("https://www.reddit.com/r/diabetes/comments/6v6ref/started_on_a_pump_today_i_hate_how_my_diabetes/")</f>
        <v/>
      </c>
      <c r="G3397" t="inlineStr">
        <is>
          <t>2017-08-21 15:50:50</t>
        </is>
      </c>
      <c r="H3397" t="inlineStr">
        <is>
          <t>Type 1</t>
        </is>
      </c>
    </row>
    <row r="3398">
      <c r="A3398" t="inlineStr">
        <is>
          <t>6v7bk7</t>
        </is>
      </c>
      <c r="B3398" t="inlineStr">
        <is>
          <t>A1c = 5.8%!</t>
        </is>
      </c>
      <c r="C3398" t="inlineStr">
        <is>
          <t xml:space="preserve">The day has finally come that I can join the &amp;lt;6 A1c club! I dropped from an A1c of 6.3 to 5.8 over three months. I owe a lot of this to getting on the Dexcom since June and going on lazy keto for the past month. This community has also been such a supportive and positive resource for me. Thanks to all. </t>
        </is>
      </c>
      <c r="D3398" t="n">
        <v>82</v>
      </c>
      <c r="E3398" t="n">
        <v>17</v>
      </c>
      <c r="F3398">
        <f>HYPERLINK("https://www.reddit.com/r/diabetes/comments/6v7bk7/a1c_58/")</f>
        <v/>
      </c>
      <c r="G3398" t="inlineStr">
        <is>
          <t>2017-08-21 17:21:24</t>
        </is>
      </c>
      <c r="H3398" t="inlineStr">
        <is>
          <t>Type 1</t>
        </is>
      </c>
    </row>
    <row r="3399">
      <c r="A3399" t="inlineStr">
        <is>
          <t>6v7cd0</t>
        </is>
      </c>
      <c r="B3399" t="inlineStr">
        <is>
          <t>Questions about type 1</t>
        </is>
      </c>
      <c r="C3399" t="inlineStr">
        <is>
          <t>I hope this is okay to ask here. I completely understand if this is more a place to come together than for others to be asking possibly stupid/insensitive/hurtful questions. If so, just lemme know and I'll delete it.
My mom was a very brittle t1 diabetic with many complications that come with that including severe neuropathy that ruined her life and any possible happiness, congestive heart failure, terrifying near-death hypos at least every two weeks, kidney disease + dialysis where every type of access would quickly get infected + become life-threatening, and transplant wasn't an option due to general poor health and MRSA. A ton of mental health issues because of all of this, too.
I was her and my young brother's caretaker from ages 9 to 18 until she died. We were extremely close and we had been through so much shit I thought she could survive anything. I have many problems now and think about it all constantly. I'm extremely depressed and don't want to live without her. I started therapy recently and now I have some big questions that I can't ask her but I really need to know the answers to understand and process a lot of what has happened to us. 
1) Do hypos cause you pain? If so how bad is it and where do you hurt? 
2) Do you still feel scared when that happens even when you aren't really making sense anymore? How aware are you of what's happening at that point? Do you know when you're having seizures?
3) Do you remember what people say to you when that happens? How much do you remember afterwards?
4) Is it common for doctors to not "believe in" some diabetics just being brittle and to assume you just aren't trying? Or is that not the normal attitude?
5) Is it still common for parents to send newly diagnosed children to diabetic "camps"? Did you go to one?
6) Do any other diabetics eventually become desensitized to the sensations that tell them something is wrong, until the point where it's too late for them to do anything and collapse? 
I hope none of this is hurtful, upsetting, or out of touch. If so please let me know and I will immediately remove it.</t>
        </is>
      </c>
      <c r="D3399" t="n">
        <v>8</v>
      </c>
      <c r="E3399" t="n">
        <v>14</v>
      </c>
      <c r="F3399">
        <f>HYPERLINK("https://www.reddit.com/r/diabetes/comments/6v7cd0/questions_about_type_1/")</f>
        <v/>
      </c>
      <c r="G3399" t="inlineStr">
        <is>
          <t>2017-08-21 17:25:14</t>
        </is>
      </c>
      <c r="H3399" t="inlineStr">
        <is>
          <t>Type 1</t>
        </is>
      </c>
    </row>
    <row r="3400">
      <c r="A3400" t="inlineStr">
        <is>
          <t>6v8pcf</t>
        </is>
      </c>
      <c r="B3400" t="inlineStr">
        <is>
          <t>New Diabetic. T:Slim-X2 or OmniPod?</t>
        </is>
      </c>
      <c r="C3400" t="inlineStr">
        <is>
          <t>I was diagnosed some months ago at 28 with type one, so I have no experience with insulin pumps, but i’m eager to get one soon.
I’m terribly dived between Tandem’s T:Slim-X2 and Insulet’s Omnipod. Does anyone have anyone have any knowledge, suggestions, or pros and cons to share? I love the fact that the OmniPod is tubeless, as i’m very active, and a nursing student that’s constantly on the go. However, Tandem’s set up seems so modern and user friendly. As I said, I’m extremely divided, so any suggestions will help. Thanks! :)</t>
        </is>
      </c>
      <c r="D3400" t="n">
        <v>2</v>
      </c>
      <c r="E3400" t="n">
        <v>4</v>
      </c>
      <c r="F3400">
        <f>HYPERLINK("https://www.reddit.com/r/diabetes/comments/6v8pcf/new_diabetic_tslimx2_or_omnipod/")</f>
        <v/>
      </c>
      <c r="G3400" t="inlineStr">
        <is>
          <t>2017-08-21 21:31:53</t>
        </is>
      </c>
      <c r="H3400" t="inlineStr">
        <is>
          <t>Type 1</t>
        </is>
      </c>
    </row>
    <row r="3401">
      <c r="A3401" t="inlineStr">
        <is>
          <t>6v9prc</t>
        </is>
      </c>
      <c r="B3401" t="inlineStr">
        <is>
          <t>Managing pump and cgm data (not Tidepool)</t>
        </is>
      </c>
      <c r="C3401" t="inlineStr">
        <is>
          <t>We are parents of a recently diagnosed son with Type 1. Our son has just turned 4 and was diagnosed in May this year. We were lucky enough to get him on a pump (Medtronic 640) before we left the hospital 10 days after the initial diganosis and have been managing quite well. 
About a month ago, he got a CGM (Dexcom G5) and we went from "ok, we've got this sorted" to "omg, we don't have this under control at all" after seeing the way his blood sugars behave in between boluses. We are learning to manage him better all the time and having all the data is definitely helping. 
I'm finding it very frustrating to have to swap between the Medtronic Care Portal which captures the pump and finger prick data, and the Dexcom diasend to see the CGM data. It seems there is no way to view all this data together. To compound it all, the interface for Carelink looks like it has come straight from the 90's, it runs via a clunky java embedded object inside a page that demands it only be viewed in Internet Explorer. Uploading the data from the pump is a clunky process too. The meter plugs in via USB, then connects to the pump via bluetooth (the active range seems to be only a foot which makes it harder than it should be) The system then uploads the data from the pump. Surely after a decade or so of insulin pumping, there would be a less laborious way to get the data than this?
We looked at Tidepool, which looks fantastic but is only available to US carelink clients (we are in Australia). Tidepool support said we may be able to set up a US Medtronic account but it seems the only way to do this is to geo spoof the carelink site (and lose access to the existing data we, and our care team have accumulated so far).
I'm a bit of a tech nerd, so we've set up an instance of Nightscout and got it all running, but it only pulls in the CGM data when there's an active session (ie. a browser is displaying a nightscout session) so there are gaps in the data and it is difficult to review. I've tried downloading the data as a csv and running it through some nightscout import modules I found on github but it's hit and miss. Lots of date errors and fudging code behind the scenes to get it to work. The way I have it now, at best we download the data every few days from both carelink and diasend and import that to Nightscout. 
Anyway, sorry for the long winded whinge. I guess I just wanted to know how experienced users are collecting and using their data and what's the best practice for getting all your pump and CGM data in one place.</t>
        </is>
      </c>
      <c r="D3401" t="n">
        <v>1</v>
      </c>
      <c r="E3401" t="n">
        <v>16</v>
      </c>
      <c r="F3401">
        <f>HYPERLINK("https://www.reddit.com/r/diabetes/comments/6v9prc/managing_pump_and_cgm_data_not_tidepool/")</f>
        <v/>
      </c>
      <c r="G3401" t="inlineStr">
        <is>
          <t>2017-08-22 01:48:53</t>
        </is>
      </c>
      <c r="H3401" t="inlineStr">
        <is>
          <t>Type 1</t>
        </is>
      </c>
    </row>
    <row r="3402">
      <c r="A3402" t="inlineStr">
        <is>
          <t>6vedkx</t>
        </is>
      </c>
      <c r="B3402" t="inlineStr">
        <is>
          <t>New to the USA (Australian T1 needs help to get CGM and navigate your healthcare system!)</t>
        </is>
      </c>
      <c r="C3402" t="inlineStr">
        <is>
          <t xml:space="preserve">Hi r/diabetes,
I've decided to come to the US for graduate school. My school offers a fairly decent health insurance package (it's underwritten by Cigna). I enrolled into my health care plan last week, and visited my school clinic to get referrals for specialists. 
I naively thought that I would see an endocrinologist before my supply of CGM ran out, but my appointment isn't until Nov 8. Needless to say, graduate school is going to be so much harder without CGM, and my endocrinologist in Australia can vouch for me regarding how important CGM is for my overall control. 
I've called Medtronic who are unable to help me without a prescription. I've also called the university Health Clinic who are very confused about how to help me. I've also tried getting in touch with JDRF, and the American Diabetes Association who don't offer this particular sort of advice.
I gather I can see a medical doctor to get a prescription, but that obviously doesn't help me to make sure that it's covered by my insurance. 
So my question is essentially, how should I go about getting a prescription to maximise my chances of getting it covered by insurance? Does it have to be from an endocrinologist who has a good grasp of my history, or can it be any medical doctor? 
Sorry for the rambling post, and let me know if I can provide any other details!
</t>
        </is>
      </c>
      <c r="D3402" t="n">
        <v>7</v>
      </c>
      <c r="E3402" t="n">
        <v>8</v>
      </c>
      <c r="F3402">
        <f>HYPERLINK("https://www.reddit.com/r/diabetes/comments/6vedkx/new_to_the_usa_australian_t1_needs_help_to_get/")</f>
        <v/>
      </c>
      <c r="G3402" t="inlineStr">
        <is>
          <t>2017-08-22 14:51:02</t>
        </is>
      </c>
      <c r="H3402" t="inlineStr">
        <is>
          <t>Type 1</t>
        </is>
      </c>
    </row>
    <row r="3403">
      <c r="A3403" t="inlineStr">
        <is>
          <t>6vgnp5</t>
        </is>
      </c>
      <c r="B3403" t="inlineStr">
        <is>
          <t>Seeking Advice/Help</t>
        </is>
      </c>
      <c r="C3403" t="inlineStr">
        <is>
          <t>Hey guys, I need help! I currently am an 18 year-old male living with Type 1 Diabetes in San Diego and I'd like to get as much information as I can on insurance and what I can do to make living with Diabetes as smooth and economically easier to do. Please and thank you! I dont know where else to reach out other than this place. Thanks guys</t>
        </is>
      </c>
      <c r="D3403" t="n">
        <v>1</v>
      </c>
      <c r="E3403" t="n">
        <v>3</v>
      </c>
      <c r="F3403">
        <f>HYPERLINK("https://www.reddit.com/r/diabetes/comments/6vgnp5/seeking_advicehelp/")</f>
        <v/>
      </c>
      <c r="G3403" t="inlineStr">
        <is>
          <t>2017-08-22 21:33:19</t>
        </is>
      </c>
      <c r="H3403" t="inlineStr">
        <is>
          <t>Type 1</t>
        </is>
      </c>
    </row>
    <row r="3404">
      <c r="A3404" t="inlineStr">
        <is>
          <t>6vjjwd</t>
        </is>
      </c>
      <c r="B3404" t="inlineStr">
        <is>
          <t>I wanna have sensor in my stomach</t>
        </is>
      </c>
      <c r="C3404" t="inlineStr">
        <is>
          <t>So reacently i got my sensor but i dont want to have it in my arm becuse i dont like it. can i put it in stomach or anywhere else. tnx</t>
        </is>
      </c>
      <c r="D3404" t="n">
        <v>1</v>
      </c>
      <c r="E3404" t="n">
        <v>8</v>
      </c>
      <c r="F3404">
        <f>HYPERLINK("https://www.reddit.com/r/diabetes/comments/6vjjwd/i_wanna_have_sensor_in_my_stomach/")</f>
        <v/>
      </c>
      <c r="G3404" t="inlineStr">
        <is>
          <t>2017-08-23 08:05:37</t>
        </is>
      </c>
      <c r="H3404" t="inlineStr">
        <is>
          <t>Type 1</t>
        </is>
      </c>
    </row>
    <row r="3405">
      <c r="A3405" t="inlineStr">
        <is>
          <t>6vjpjf</t>
        </is>
      </c>
      <c r="B3405" t="inlineStr">
        <is>
          <t>Don't understand this low</t>
        </is>
      </c>
      <c r="C3405" t="inlineStr">
        <is>
          <t xml:space="preserve">Had a low I don't understand last night.
Ate dinner at 9:40 PM. 
All numbers US.
Dinner was chicken &amp;amp; noodles (just like it sounds, kind of a soup) and broccoli with parm cheese. 2 Hershey kisses after. I probably should have stayed awake to test again after the glucose, but I always get really tired when recovering from a low, and it was bedtime already.
I'm not on sliding scale yet. 24 units is my standard mealtime dosage. Been on insulin for about three years now. 
When I saw the 73 (normal bedtime check and dosage), I ate half a peanut butter sandwich to try and stave off any lows in the middle of the night. Guess I caught it too late. 
Most of the time I can figure out why I go low. I got too physical, or didn't eat enough carbs. But not on this one. There wasn't any unusual physical activity that would have caused the low. The only thing I can figure is that the aspart hit late because I injected in my arm. Does that make any sense?
Time | Test | Insulin | Location
----|----|-------|--------
2140 | 152 | 24 aspart | Arm
2327 | 73 | 70 detemir | belly 
2343 | 54 | 4x glucose tabs |  
0915 | 177 |    | 
</t>
        </is>
      </c>
      <c r="D3405" t="n">
        <v>2</v>
      </c>
      <c r="E3405" t="n">
        <v>7</v>
      </c>
      <c r="F3405">
        <f>HYPERLINK("https://www.reddit.com/r/diabetes/comments/6vjpjf/dont_understand_this_low/")</f>
        <v/>
      </c>
      <c r="G3405" t="inlineStr">
        <is>
          <t>2017-08-23 08:28:31</t>
        </is>
      </c>
      <c r="H3405" t="inlineStr">
        <is>
          <t>Type 2</t>
        </is>
      </c>
    </row>
    <row r="3406">
      <c r="A3406" t="inlineStr">
        <is>
          <t>6vmce4</t>
        </is>
      </c>
      <c r="B3406" t="inlineStr">
        <is>
          <t>Sugar dropping from walking?</t>
        </is>
      </c>
      <c r="C3406" t="inlineStr">
        <is>
          <t>Is this possible? I checked my sugar 2 hours and 30 minutes after my lunch, and it was 16.2 mmol/L which is pretty high, so I went out for a 2 hour long walk, came home, checked again, and my sugar was at 7.8 mmol/L.
Was just wondering if this is normal? I don't think it's supposed to drop it *that* much.</t>
        </is>
      </c>
      <c r="D3406" t="n">
        <v>1</v>
      </c>
      <c r="E3406" t="n">
        <v>8</v>
      </c>
      <c r="F3406">
        <f>HYPERLINK("https://www.reddit.com/r/diabetes/comments/6vmce4/sugar_dropping_from_walking/")</f>
        <v/>
      </c>
      <c r="G3406" t="inlineStr">
        <is>
          <t>2017-08-23 14:55:08</t>
        </is>
      </c>
      <c r="H3406" t="inlineStr">
        <is>
          <t>Type 1</t>
        </is>
      </c>
    </row>
    <row r="3407">
      <c r="A3407" t="inlineStr">
        <is>
          <t>6vp4yp</t>
        </is>
      </c>
      <c r="B3407" t="inlineStr">
        <is>
          <t>Quick question for the guys?</t>
        </is>
      </c>
      <c r="C3407" t="inlineStr">
        <is>
          <t xml:space="preserve">Yeah, the title is kind of weird, but oh well. 
So I've been a diabetic for roughly twelve years at this point, with the anniversary being in less than a month. I know all the ins and outs, but one question has been bugging me. 
You see, I'm a transguy, and I've used little satchels and my backpack since I was six to carry my diabetes supplies around. But seeing a guy lugging a satchel around is slightly odd. 
I suppose I'm asking how do you guys carry everything? Put your meter in your pocket or something? What about at concerts; do you just leave your meter in the car? I'm rambling but y'all get the picture. 
Thanks guys. </t>
        </is>
      </c>
      <c r="D3407" t="n">
        <v>1</v>
      </c>
      <c r="E3407" t="n">
        <v>13</v>
      </c>
      <c r="F3407">
        <f>HYPERLINK("https://www.reddit.com/r/diabetes/comments/6vp4yp/quick_question_for_the_guys/")</f>
        <v/>
      </c>
      <c r="G3407" t="inlineStr">
        <is>
          <t>2017-08-23 23:54:39</t>
        </is>
      </c>
      <c r="H3407" t="inlineStr">
        <is>
          <t>Type 1</t>
        </is>
      </c>
    </row>
    <row r="3408">
      <c r="A3408" t="inlineStr">
        <is>
          <t>6vvgn8</t>
        </is>
      </c>
      <c r="B3408" t="inlineStr">
        <is>
          <t>Was I wrong to leave work?</t>
        </is>
      </c>
      <c r="C3408" t="inlineStr">
        <is>
          <t>Just feeling worried about whether or not I made the right call, still new to this in many ways even after a year +.
For the first time at work my pump fell off of its clip and hit the floor, tearing the set out with it. Normally the seal seems to hold if it gets yanked, but I guess not this time. I realized that I left my set change supplies at home and that my backup pen's little clicker wasn't working right, so I asked to go home rather than try to tough it out another 4 hours.
My work was understanding, but my boss was a Type 1 diabetic for many years before a pancreatic transplant and sometimes I worry about doing something he would see as unnecessary, where everyone else just is okay with it out of ignorance.</t>
        </is>
      </c>
      <c r="D3408" t="n">
        <v>22</v>
      </c>
      <c r="E3408" t="n">
        <v>33</v>
      </c>
      <c r="F3408">
        <f>HYPERLINK("https://www.reddit.com/r/diabetes/comments/6vvgn8/was_i_wrong_to_leave_work/")</f>
        <v/>
      </c>
      <c r="G3408" t="inlineStr">
        <is>
          <t>2017-08-24 18:41:41</t>
        </is>
      </c>
      <c r="H3408" t="inlineStr">
        <is>
          <t>Type 1</t>
        </is>
      </c>
    </row>
    <row r="3409">
      <c r="A3409" t="inlineStr">
        <is>
          <t>6vvy0x</t>
        </is>
      </c>
      <c r="B3409" t="inlineStr">
        <is>
          <t>Should I be worried about my alcohol consumption and diabetes?</t>
        </is>
      </c>
      <c r="C3409" t="inlineStr">
        <is>
          <t xml:space="preserve">Not looking for a diagnosis here - I've already contacted my healthcare provider, but I wanted to see if anyone knows whether this sort of lifestyle could be putting myself at risk. 
I was looking through the results from my physical today and I noticed that my fasting blood glucose was 99mg/dl and my triglycerides are 160mg/dl. Considering that pre-diabetes starts at 100mg/dl and triglycerides are considered borderline high at the level they are now, I became a bit concerned.
I'm 23, no real history of diabetes (my grandma got it at 80). I am by no means overweight - in fact I was underweight until recently. I'm 5'6" and weigh 135.4lbs. Over the past year I started consuming a fair amount of beer - there were long stretches during which I'd have 3-5 beers a night 5 nights a week. I never really considered myself an excessive drinker though because I have never blacked out, only threw up twice (and once was only after two beers, they just gave me an upset stomach), and have only perhaps five times in my entire life drank anything over 5 beers in one sitting. I almost always cap out at 5 beers, rarely 6. 
I began worrying about this because I'm experiencing frequent urination and I know that can be a sign. Granted, I'm also a pretty bad hypochondriac, which is one of the reasons I started drinking more. I tend to get really bad anxiety about a health concern and then drink to calm myself. Right now I would usually do that, but I'm terrified that the next beer could be the one that sends me over the line, even though I know that's not how it works. 
Basic question here is this: is drinking 3-5 beers a night 5 nights a week for say, a year and a half enough to put me at risk of pre-diabetes or type 2 diabetes? </t>
        </is>
      </c>
      <c r="D3409" t="n">
        <v>4</v>
      </c>
      <c r="E3409" t="n">
        <v>33</v>
      </c>
      <c r="F3409">
        <f>HYPERLINK("https://www.reddit.com/r/diabetes/comments/6vvy0x/should_i_be_worried_about_my_alcohol_consumption/")</f>
        <v/>
      </c>
      <c r="G3409" t="inlineStr">
        <is>
          <t>2017-08-24 20:16:21</t>
        </is>
      </c>
      <c r="H3409" t="inlineStr">
        <is>
          <t>Type 2</t>
        </is>
      </c>
    </row>
    <row r="3410">
      <c r="A3410" t="inlineStr">
        <is>
          <t>6vw98c</t>
        </is>
      </c>
      <c r="B3410" t="inlineStr">
        <is>
          <t>I just got my Eagle Scout rank!</t>
        </is>
      </c>
      <c r="C3410" t="inlineStr">
        <is>
          <t>I posted  here ~7 months ago about my [Eagle Scout project](https://www.reddit.com/r/diabetes/comments/5o1lfy/a_bracelet_i_made/?st=J6RDCO30&amp;amp;sh=f9502cd2), and it is now finished! Thank you all for the support.</t>
        </is>
      </c>
      <c r="D3410" t="n">
        <v>52</v>
      </c>
      <c r="E3410" t="n">
        <v>10</v>
      </c>
      <c r="F3410">
        <f>HYPERLINK("https://www.reddit.com/r/diabetes/comments/6vw98c/i_just_got_my_eagle_scout_rank/")</f>
        <v/>
      </c>
      <c r="G3410" t="inlineStr">
        <is>
          <t>2017-08-24 21:22:32</t>
        </is>
      </c>
      <c r="H3410" t="inlineStr">
        <is>
          <t>Type 1</t>
        </is>
      </c>
    </row>
    <row r="3411">
      <c r="A3411" t="inlineStr">
        <is>
          <t>6w18ge</t>
        </is>
      </c>
      <c r="B3411" t="inlineStr">
        <is>
          <t>Diabetes in Spain????</t>
        </is>
      </c>
      <c r="C3411" t="inlineStr">
        <is>
          <t>Im moving to Spain from Canada in a few months with a visa, Im looking for help with how to get benefits for my supplies, and suggestions. Im a bit scared to be away but found they have both humolog and lantus insulin there so that is good! I have about 6-7 months of insulin and supplies stocked up now too!</t>
        </is>
      </c>
      <c r="D3411" t="n">
        <v>1</v>
      </c>
      <c r="E3411" t="n">
        <v>2</v>
      </c>
      <c r="F3411">
        <f>HYPERLINK("https://www.reddit.com/r/diabetes/comments/6w18ge/diabetes_in_spain/")</f>
        <v/>
      </c>
      <c r="G3411" t="inlineStr">
        <is>
          <t>2017-08-25 13:45:44</t>
        </is>
      </c>
      <c r="H3411" t="inlineStr">
        <is>
          <t>Type 1</t>
        </is>
      </c>
    </row>
    <row r="3412">
      <c r="A3412" t="inlineStr">
        <is>
          <t>6w4h6x</t>
        </is>
      </c>
      <c r="B3412" t="inlineStr">
        <is>
          <t>Anyone else getting tired of this shit?</t>
        </is>
      </c>
      <c r="C3412" t="inlineStr">
        <is>
          <t xml:space="preserve">I've had type 1 diabetes for about 3 years now, so far I have been managing it relatively fine. Yesterday I ate a large dinner at a friend's, went home, checked my blood sugar: it was 48. I ate a bowl of cereal and went to bed.
A few hours later, I woke up to use the bathroom (a bad sign.) I checked my sugar: 495. That's the highest I've ever had, previously my highest was 467. I quickly took some insulin and drank a lot of water, and my sugar eventually went down. Does anyone else just feel hopeless when it comes to this condition? I feel like there will never be a cure and I'll be stuck with this for my entire life. </t>
        </is>
      </c>
      <c r="D3412" t="n">
        <v>46</v>
      </c>
      <c r="E3412" t="n">
        <v>41</v>
      </c>
      <c r="F3412">
        <f>HYPERLINK("https://www.reddit.com/r/diabetes/comments/6w4h6x/anyone_else_getting_tired_of_this_shit/")</f>
        <v/>
      </c>
      <c r="G3412" t="inlineStr">
        <is>
          <t>2017-08-26 01:20:39</t>
        </is>
      </c>
      <c r="H3412" t="inlineStr">
        <is>
          <t>Type 1</t>
        </is>
      </c>
    </row>
    <row r="3413">
      <c r="A3413" t="inlineStr">
        <is>
          <t>6w569p</t>
        </is>
      </c>
      <c r="B3413" t="inlineStr">
        <is>
          <t>How much effort do you put into controlling your condition?</t>
        </is>
      </c>
      <c r="C3413" t="inlineStr">
        <is>
          <t xml:space="preserve">So, I've had an appointment at my doctor's office yesterday and a staff gave me some interesting new insights.
I recently started CGM and we discussed my BS curves. I was under the impression that, according to the statistics, I don't really have it under control as much as I should. She looked at the data, looked at me and congratulated me on how well I was coping.
I was confused - I do have spikes every once in a while and am thoroughly frustrated with how unpredictable my blood sugar can be, to which she responded:
"Of course, you can always try to be a little better and more precise. But that means even more effort and time you could use otherwise." She mentioned patients who come close to non-diabetic blood sugar levels. But all they do was diabetes management, it has become their main focus in life.
I'd really appreciate your perspective. I'm under the impression that everything I do wrong now will sooner or later kick me in the gut. 
How well do you try to manage it? When do you reach a point where you say, "Okay, this is it. I can't do anything more." 
</t>
        </is>
      </c>
      <c r="D3413" t="n">
        <v>8</v>
      </c>
      <c r="E3413" t="n">
        <v>25</v>
      </c>
      <c r="F3413">
        <f>HYPERLINK("https://www.reddit.com/r/diabetes/comments/6w569p/how_much_effort_do_you_put_into_controlling_your/")</f>
        <v/>
      </c>
      <c r="G3413" t="inlineStr">
        <is>
          <t>2017-08-26 05:00:32</t>
        </is>
      </c>
      <c r="H3413" t="inlineStr">
        <is>
          <t>Type 1</t>
        </is>
      </c>
    </row>
    <row r="3414">
      <c r="A3414" t="inlineStr">
        <is>
          <t>6w76xh</t>
        </is>
      </c>
      <c r="B3414" t="inlineStr">
        <is>
          <t>Cedar Point</t>
        </is>
      </c>
      <c r="C3414" t="inlineStr">
        <is>
          <t>Since I've been diagnosed with diabetes (type 1), I never go to cedar point.  It is an amusement park for those who don't know.  On the millennium force, you can't bring bags.  You have to pay for a locker.  Also, I heard you can't wear pumps on rides because of the magnets.  I feel it is hard to go there with all the  food on injections.
Do people w/ diabetes go to cedar point?  Are there things you can do that can make the experience better?  Does the place have accommodations for people w/disabilities/diabetes?  Thanks in advance.</t>
        </is>
      </c>
      <c r="D3414" t="n">
        <v>1</v>
      </c>
      <c r="E3414" t="n">
        <v>8</v>
      </c>
      <c r="F3414">
        <f>HYPERLINK("https://www.reddit.com/r/diabetes/comments/6w76xh/cedar_point/")</f>
        <v/>
      </c>
      <c r="G3414" t="inlineStr">
        <is>
          <t>2017-08-26 11:27:47</t>
        </is>
      </c>
      <c r="H3414" t="inlineStr">
        <is>
          <t>Type 1</t>
        </is>
      </c>
    </row>
    <row r="3415">
      <c r="A3415" t="inlineStr">
        <is>
          <t>6w8cf7</t>
        </is>
      </c>
      <c r="B3415" t="inlineStr">
        <is>
          <t>I'm having irregular periods and yeast infections</t>
        </is>
      </c>
      <c r="C3415" t="inlineStr">
        <is>
          <t>I had my period about a week early last month and i take birth control
I havent been using my insulin lately ( my fault, I know) And i realized last night i was getting a yeast infection. Which is very common if i skip insulin for several days
I'm not supposed to be on my period for 2.5 more weeks i have two full rows of birth control left and I noticed I am ON MY PERIOD again.
The only thing i can think of is, its because I havent been taking my insulin. Is this common? I couldnt find anything on google.
I have LADA (diabetes 1.5)</t>
        </is>
      </c>
      <c r="D3415" t="n">
        <v>0</v>
      </c>
      <c r="E3415" t="n">
        <v>5</v>
      </c>
      <c r="F3415">
        <f>HYPERLINK("https://www.reddit.com/r/diabetes/comments/6w8cf7/im_having_irregular_periods_and_yeast_infections/")</f>
        <v/>
      </c>
      <c r="G3415" t="inlineStr">
        <is>
          <t>2017-08-26 14:47:56</t>
        </is>
      </c>
      <c r="H3415" t="inlineStr">
        <is>
          <t>Type 1.5/LADA</t>
        </is>
      </c>
    </row>
    <row r="3416">
      <c r="A3416" t="inlineStr">
        <is>
          <t>6wc86i</t>
        </is>
      </c>
      <c r="B3416" t="inlineStr">
        <is>
          <t>Newbie Pump Questions</t>
        </is>
      </c>
      <c r="C3416" t="inlineStr">
        <is>
          <t>Hi everyone, 
I'm new to Reddit and diabetes. I was diagnosed with T1D about a week ago. It's been a whirlwind of shock and horror, which has given way to frantic research because I'm super type A. 
Anyway, I have my first consultation with an endocrinologist next week. I am trying to figure out the best insulin delivery system for myself. I'm currently fairly fit and active. I'm on a LCHF (Ketoish) diet, and I hate needles (ugh). 
I think I would like to get a pump and a CGM because that seems to be the best set up to control this jerk of a disease. Any thoughts on this? Too early for a pump? Which pump might be best? Any help would be really appreciated, as I'm feeling pretty overwhelmed by the whole thing. Thanks!</t>
        </is>
      </c>
      <c r="D3416" t="n">
        <v>3</v>
      </c>
      <c r="E3416" t="n">
        <v>19</v>
      </c>
      <c r="F3416">
        <f>HYPERLINK("https://www.reddit.com/r/diabetes/comments/6wc86i/newbie_pump_questions/")</f>
        <v/>
      </c>
      <c r="G3416" t="inlineStr">
        <is>
          <t>2017-08-27 06:43:51</t>
        </is>
      </c>
      <c r="H3416" t="inlineStr">
        <is>
          <t>Type 1</t>
        </is>
      </c>
    </row>
    <row r="3417">
      <c r="A3417" t="inlineStr">
        <is>
          <t>6wds0t</t>
        </is>
      </c>
      <c r="B3417" t="inlineStr">
        <is>
          <t>where can I buy one Lantus Solostar?</t>
        </is>
      </c>
      <c r="C3417" t="inlineStr">
        <is>
          <t>insurance will kick in in one week, but I need to have one to hold me over.</t>
        </is>
      </c>
      <c r="D3417" t="n">
        <v>0</v>
      </c>
      <c r="E3417" t="n">
        <v>7</v>
      </c>
      <c r="F3417">
        <f>HYPERLINK("https://www.reddit.com/r/diabetes/comments/6wds0t/where_can_i_buy_one_lantus_solostar/")</f>
        <v/>
      </c>
      <c r="G3417" t="inlineStr">
        <is>
          <t>2017-08-27 11:20:27</t>
        </is>
      </c>
      <c r="H3417" t="inlineStr">
        <is>
          <t>Type 2</t>
        </is>
      </c>
    </row>
    <row r="3418">
      <c r="A3418" t="inlineStr">
        <is>
          <t>6whjbn</t>
        </is>
      </c>
      <c r="B3418" t="inlineStr">
        <is>
          <t>Can I use the Dexcom G5 sensor on my arm?</t>
        </is>
      </c>
      <c r="C3418" t="inlineStr">
        <is>
          <t>Specifically, around the tricep area. It probably wouldn't be such a problem now because I'm bulking at 14% body fat, but when I cut down to 7% in a few months would it still be feasible?</t>
        </is>
      </c>
      <c r="D3418" t="n">
        <v>0</v>
      </c>
      <c r="E3418" t="n">
        <v>9</v>
      </c>
      <c r="F3418">
        <f>HYPERLINK("https://www.reddit.com/r/diabetes/comments/6whjbn/can_i_use_the_dexcom_g5_sensor_on_my_arm/")</f>
        <v/>
      </c>
      <c r="G3418" t="inlineStr">
        <is>
          <t>2017-08-27 22:55:46</t>
        </is>
      </c>
      <c r="H3418" t="inlineStr">
        <is>
          <t>Type 1</t>
        </is>
      </c>
    </row>
    <row r="3419">
      <c r="A3419" t="inlineStr">
        <is>
          <t>6wjk1g</t>
        </is>
      </c>
      <c r="B3419" t="inlineStr">
        <is>
          <t>Experiences with Fiasp?</t>
        </is>
      </c>
      <c r="C3419" t="inlineStr">
        <is>
          <t>Hey guys,
So I was recommended Fiasp by someone on my healthcare team.  Anyone tried it?  How was your experience?
I'm currently on Novorapid &amp;amp; Toujeo.  Fiasp would be replacing my Novorapid.</t>
        </is>
      </c>
      <c r="D3419" t="n">
        <v>2</v>
      </c>
      <c r="E3419" t="n">
        <v>9</v>
      </c>
      <c r="F3419">
        <f>HYPERLINK("https://www.reddit.com/r/diabetes/comments/6wjk1g/experiences_with_fiasp/")</f>
        <v/>
      </c>
      <c r="G3419" t="inlineStr">
        <is>
          <t>2017-08-28 07:00:14</t>
        </is>
      </c>
      <c r="H3419" t="inlineStr">
        <is>
          <t>Type 1</t>
        </is>
      </c>
    </row>
    <row r="3420">
      <c r="A3420" t="inlineStr">
        <is>
          <t>6wrrf8</t>
        </is>
      </c>
      <c r="B3420" t="inlineStr">
        <is>
          <t>Just upgraded. Type 2 &amp;gt; Type 1</t>
        </is>
      </c>
      <c r="C3420" t="inlineStr">
        <is>
          <t>It's been getting harder to control my BGs. I've been on Glic for a few months while the GAD test results were processed. They came back positive so I guess I fit into that LADA category and will be switching to insulin. My levels are stable at the minute so I choose to wait until I see the specialists before I get my first pen and start a routine. That will happen within the month.  
I have mixed feelings about this. On the one hand, I've had to be so strict with food as a type 2. You can't correct your levels with metformin / Glic. They take time to have an effect and are long(ish) lasting. If I peak, I peak for hours, or days (9mmol is still a peak!). No fruit, no pasta, no bread, no chips!  
As a type 1, I can correct for a mistake / indulgence. My menu is open to things I haven't eaten to two years. Apples, Bananas... pasta! I'm both excited and terrified.  
Excited because I have the tools to cheat diabetes.  
Insulin will change my life for the better.  
Terrified because I will have lows and it will be scarey.  
Insulin will change my life for the worse.  
I guess they cancel each other out and I should be Stoic about the whole thing. Either way, I'm 34 now and a cure is only 10 years away...</t>
        </is>
      </c>
      <c r="D3420" t="n">
        <v>25</v>
      </c>
      <c r="E3420" t="n">
        <v>37</v>
      </c>
      <c r="F3420">
        <f>HYPERLINK("https://www.reddit.com/r/diabetes/comments/6wrrf8/just_upgraded_type_2_type_1/")</f>
        <v/>
      </c>
      <c r="G3420" t="inlineStr">
        <is>
          <t>2017-08-29 08:00:00</t>
        </is>
      </c>
      <c r="H3420" t="inlineStr">
        <is>
          <t>Type 1.5/LADA</t>
        </is>
      </c>
    </row>
    <row r="3421">
      <c r="A3421" t="inlineStr">
        <is>
          <t>6wsewq</t>
        </is>
      </c>
      <c r="B3421" t="inlineStr">
        <is>
          <t>Any good diabetes YouTube channels?</t>
        </is>
      </c>
      <c r="C3421" t="inlineStr">
        <is>
          <t>Looking for some channels that maybe review products, or diabetes news? 
Thanks!</t>
        </is>
      </c>
      <c r="D3421" t="n">
        <v>1</v>
      </c>
      <c r="E3421" t="n">
        <v>4</v>
      </c>
      <c r="F3421">
        <f>HYPERLINK("https://www.reddit.com/r/diabetes/comments/6wsewq/any_good_diabetes_youtube_channels/")</f>
        <v/>
      </c>
      <c r="G3421" t="inlineStr">
        <is>
          <t>2017-08-29 09:36:15</t>
        </is>
      </c>
      <c r="H3421" t="inlineStr">
        <is>
          <t>Type 1</t>
        </is>
      </c>
    </row>
    <row r="3422">
      <c r="A3422" t="inlineStr">
        <is>
          <t>6wu0pi</t>
        </is>
      </c>
      <c r="B3422" t="inlineStr">
        <is>
          <t>t:slim just arrived, how do I get started?</t>
        </is>
      </c>
      <c r="C3422" t="inlineStr">
        <is>
          <t>After a long time waiting I just got my t:slim sooner than expected. This is my first pump, is it something I can do on my own with some tutorial videos like with Dexcom or should I wait until I can get in with my endo?</t>
        </is>
      </c>
      <c r="D3422" t="n">
        <v>4</v>
      </c>
      <c r="E3422" t="n">
        <v>3</v>
      </c>
      <c r="F3422">
        <f>HYPERLINK("https://www.reddit.com/r/diabetes/comments/6wu0pi/tslim_just_arrived_how_do_i_get_started/")</f>
        <v/>
      </c>
      <c r="G3422" t="inlineStr">
        <is>
          <t>2017-08-29 13:29:21</t>
        </is>
      </c>
      <c r="H3422" t="inlineStr">
        <is>
          <t>Type 1</t>
        </is>
      </c>
    </row>
    <row r="3423">
      <c r="A3423" t="inlineStr">
        <is>
          <t>6wx8gf</t>
        </is>
      </c>
      <c r="B3423" t="inlineStr">
        <is>
          <t>Facing the consequences of my carelessness (Type 1 Diabetic)</t>
        </is>
      </c>
      <c r="C3423" t="inlineStr">
        <is>
          <t xml:space="preserve">Hello folks, I'm new to this subreddit and to reddit as well. Anyways, I'd just like to impart some advice to younger T1 diabetics or newly diagnosed T1s. I'm a male, currently 26 years of age and I've lived with this disease since the age of 5. In the beginning, it was all daunting and overwhelming, but over the years, I became accustomed to the concept of a steady insulin regimen. The problem was that I so desperately tried to distance myself from this disease that I spent numerous years neglecting my blood sugars and A1c levels. I had always considered the possibility of developing complications in my late adolescence and early 20s, but never imagined it would happen to me. Over the past 3 years, I received news that there were some apparent "changes" in my eyes. I should have paid closer attention to this as a wake up call. This past year, I was informed I am suffering from severe proliferative diabetic retinopathy. I'm fairly devastated, but not all that surprised to be entirely honest. Whether or not the damage can be reversed at this point isn't entirely clear to me, but I fear the odds aren't in my favor. I'm not seeking sympathy here, but I urge other T1s to be extremely vigilant over this disease and their A1cs. That's all for now. Take care, folks. </t>
        </is>
      </c>
      <c r="D3423" t="n">
        <v>37</v>
      </c>
      <c r="E3423" t="n">
        <v>10</v>
      </c>
      <c r="F3423">
        <f>HYPERLINK("https://www.reddit.com/r/diabetes/comments/6wx8gf/facing_the_consequences_of_my_carelessness_type_1/")</f>
        <v/>
      </c>
      <c r="G3423" t="inlineStr">
        <is>
          <t>2017-08-29 23:02:36</t>
        </is>
      </c>
      <c r="H3423" t="inlineStr">
        <is>
          <t>Type 1</t>
        </is>
      </c>
    </row>
    <row r="3424">
      <c r="A3424" t="inlineStr">
        <is>
          <t>6wztgw</t>
        </is>
      </c>
      <c r="B3424" t="inlineStr">
        <is>
          <t>Question about 670g Auto Mode &amp;amp; Microbasal</t>
        </is>
      </c>
      <c r="C3424" t="inlineStr">
        <is>
          <t>I've been doing some research into my choices for a new pump and wanted to know about the microbasal/auto mode on the 670g. I read that once the pump is switched into auto mode, it automatically aims for a blood sugar of 120. 
My questions are: does the microbasal in auto mode replace the "normal" basal patterns in entirety? The microbasal is instead of basal patterns, not in addition to, correct? So with that, does the microbasal only dose to get me to 120mg/dl? What if I normally hover around 80-100 instead of 120? Do i just tell the pump I ate a few carbs for a bolus to get me down/keep me around 80? I'm kind of confused about how that works, just because ideally, I'd like to keep my sugars lower than 120 (on a low carb diet currently and have pretty steady sugars).
Thanks!</t>
        </is>
      </c>
      <c r="D3424" t="n">
        <v>1</v>
      </c>
      <c r="E3424" t="n">
        <v>5</v>
      </c>
      <c r="F3424">
        <f>HYPERLINK("https://www.reddit.com/r/diabetes/comments/6wztgw/question_about_670g_auto_mode_microbasal/")</f>
        <v/>
      </c>
      <c r="G3424" t="inlineStr">
        <is>
          <t>2017-08-30 08:18:42</t>
        </is>
      </c>
      <c r="H3424" t="inlineStr">
        <is>
          <t>Type 1</t>
        </is>
      </c>
    </row>
    <row r="3425">
      <c r="A3425" t="inlineStr">
        <is>
          <t>6x0c65</t>
        </is>
      </c>
      <c r="B3425" t="inlineStr">
        <is>
          <t>Numbers are creeping up (glucophage question, too)</t>
        </is>
      </c>
      <c r="C3425" t="inlineStr">
        <is>
          <t>I was diagnosed type II last September with a 10.6.  It was a huge shock as there is no diabetes in my family (not to mention they didn't tell me that they were testing for it).  Doc put me on 1000 metformin twice a day (which I was lucky enough to tolerate well).  I then made immediate changes and by December on my recheck, I was 6.4.
Here's the issue...I have to have a knee replacement and since the pain has gotten really bad, my activity level has settled at sedentary.  Surgery isn't until December (good doctor = long wait).  Am going to a new family MD this week and wondering if I should ask to be put back on the glucophage.  My bg numbers aren't terrible but they are running about 20 points higher than what I was used to - both fasting and post-meal.  Have hit a few 200s too, which I wasn't doing anymore before the pain started.
Any advice would be appreciated as this is still relatively new to me.  Am starting to get down on myself :(</t>
        </is>
      </c>
      <c r="D3425" t="n">
        <v>3</v>
      </c>
      <c r="E3425" t="n">
        <v>12</v>
      </c>
      <c r="F3425">
        <f>HYPERLINK("https://www.reddit.com/r/diabetes/comments/6x0c65/numbers_are_creeping_up_glucophage_question_too/")</f>
        <v/>
      </c>
      <c r="G3425" t="inlineStr">
        <is>
          <t>2017-08-30 09:33:23</t>
        </is>
      </c>
      <c r="H3425" t="inlineStr">
        <is>
          <t>Type 2</t>
        </is>
      </c>
    </row>
    <row r="3426">
      <c r="A3426" t="inlineStr">
        <is>
          <t>6x764e</t>
        </is>
      </c>
      <c r="B3426" t="inlineStr">
        <is>
          <t>Of course the pump we really want is the ONE our insurance won't cover!</t>
        </is>
      </c>
      <c r="C3426" t="inlineStr">
        <is>
          <t xml:space="preserve">My son just turned 5 and we're finally ready to get him a pump. We really wanted the Omnipod because there is no cord for him to get wrapped up in or be tempted to pull out, and he swims a LOT in the summer, and it would be nice to let him keep getting his insulin as he swims. 
We have private insurance through work (HAP), and then Michigan has a program for kids with diseases (through Medicaid) that covers 100% of what my insurance covers, but for some reason Omnipod is the only one not covered by Medicaid. Makes no sense. 
I have no idea what pump I should look at now. Medtronic would be nice because it can have an integrated CGM, but the CGM portion isn't covered my Medicaid either. 
Any thoughts on what would be good for a 5 year old? The less he has to wear on his body the better. He's starting kindergarden and I'd like for as much to stay with the teachers as possible so there's less chance of him losing something. </t>
        </is>
      </c>
      <c r="D3426" t="n">
        <v>25</v>
      </c>
      <c r="E3426" t="n">
        <v>30</v>
      </c>
      <c r="F3426">
        <f>HYPERLINK("https://www.reddit.com/r/diabetes/comments/6x764e/of_course_the_pump_we_really_want_is_the_one_our/")</f>
        <v/>
      </c>
      <c r="G3426" t="inlineStr">
        <is>
          <t>2017-08-31 07:25:15</t>
        </is>
      </c>
      <c r="H3426" t="inlineStr">
        <is>
          <t>Type 1</t>
        </is>
      </c>
    </row>
    <row r="3427">
      <c r="A3427" t="inlineStr">
        <is>
          <t>6xaguo</t>
        </is>
      </c>
      <c r="B3427" t="inlineStr">
        <is>
          <t>Getting A1C Down</t>
        </is>
      </c>
      <c r="C3427" t="inlineStr">
        <is>
          <t>My wife is type 1 (as you may have seen if you read my Gastroparesis thread). Her A1C was very high when younger due to some eating disorders and issues managing. In the past years she’s gotten back on track and has been watching everything closely, but the A1C level always seems to be high (9 currently). What can I do in our daily life to help her? Better snacks? Healthier foods?
She does shots, and hasn’t wanted a continuous monitor because it hurts to wear. We’re currently getting a bunch of tests done at May Clinic for her gastroparesis, so I’m sure they will give us some tips as well.
Anything I can do to help would be great. Thanks</t>
        </is>
      </c>
      <c r="D3427" t="n">
        <v>1</v>
      </c>
      <c r="E3427" t="n">
        <v>5</v>
      </c>
      <c r="F3427">
        <f>HYPERLINK("https://www.reddit.com/r/diabetes/comments/6xaguo/getting_a1c_down/")</f>
        <v/>
      </c>
      <c r="G3427" t="inlineStr">
        <is>
          <t>2017-08-31 15:51:19</t>
        </is>
      </c>
      <c r="H3427" t="inlineStr">
        <is>
          <t>Type 1</t>
        </is>
      </c>
    </row>
    <row r="3428">
      <c r="A3428" t="inlineStr">
        <is>
          <t>6xav39</t>
        </is>
      </c>
      <c r="B3428" t="inlineStr">
        <is>
          <t>I just can't eat anything</t>
        </is>
      </c>
      <c r="C3428" t="inlineStr">
        <is>
          <t>Its what it feels like. I can only eat so many vegetables and I'm a vegetarian so I basically have no options for snacks or food. I feel like I'm starving and slowly am becoming repulsed to food. My life is over at 22 and there will never be a cure to T2. Just what can I do?</t>
        </is>
      </c>
      <c r="D3428" t="n">
        <v>1</v>
      </c>
      <c r="E3428" t="n">
        <v>11</v>
      </c>
      <c r="F3428">
        <f>HYPERLINK("https://www.reddit.com/r/diabetes/comments/6xav39/i_just_cant_eat_anything/")</f>
        <v/>
      </c>
      <c r="G3428" t="inlineStr">
        <is>
          <t>2017-08-31 17:00:40</t>
        </is>
      </c>
      <c r="H3428" t="inlineStr">
        <is>
          <t>Type 2</t>
        </is>
      </c>
    </row>
    <row r="3429">
      <c r="A3429" t="inlineStr">
        <is>
          <t>6xgpq8</t>
        </is>
      </c>
      <c r="B3429" t="inlineStr">
        <is>
          <t>Tell us about your habits and health as a person with type 2 diabetes (Research survey, $10)</t>
        </is>
      </c>
      <c r="C3429" t="inlineStr">
        <is>
          <t>The Center for Advanced Hindsight at Duke University is recruiting participants for a survey about your life and experiences!
Thank you for your interest in this survey about life with type 2 diabetes. We are working to learn more about what living with diabetes is like. We want to make new programs that will make living with diabetes easier. We want your ideas! The programs we make will be based on what we learn from people like you.
The survey will take about 60 minutes (1 hour) to do.  Please make sure you have the time and energy to focus and give thoughtful, complete answers. The survey is set up with breaks along the way so you can stretch and clear your head, but we ask that you complete the survey within 24 hours of beginning it.
We are paying people who take this survey $10 as an Amazon gift card. If you do not complete the survey, we cannot pay you.
If you are interested, please follow the link below. 
https://duke.qualtrics.com/jfe/form/SV_bju72uhP2DWbf81
If you have any questions, you can message us here or contact Project Coordinator Lindsay Juarez at lindsay.juarez@duke.edu</t>
        </is>
      </c>
      <c r="D3429" t="n">
        <v>8</v>
      </c>
      <c r="E3429" t="n">
        <v>13</v>
      </c>
      <c r="F3429">
        <f>HYPERLINK("https://www.reddit.com/r/diabetes/comments/6xgpq8/tell_us_about_your_habits_and_health_as_a_person/")</f>
        <v/>
      </c>
      <c r="G3429" t="inlineStr">
        <is>
          <t>2017-09-01 12:07:27</t>
        </is>
      </c>
      <c r="H3429" t="inlineStr">
        <is>
          <t>Type 2</t>
        </is>
      </c>
    </row>
    <row r="3430">
      <c r="A3430" t="inlineStr">
        <is>
          <t>6xhehl</t>
        </is>
      </c>
      <c r="B3430" t="inlineStr">
        <is>
          <t>How will anabolic steroids affect me with type 1?</t>
        </is>
      </c>
      <c r="C3430" t="inlineStr">
        <is>
          <t>I'm 19 years old and have been consistently working out for nearly 3 years now, and have had type 1 since I was 14. I feel like I hit my limit as to how much I can gain and have made the choice to use AS. I was wondering if anybody knew how this will affect everything overall for me and if anybody has any experience with it, I haven't found much.</t>
        </is>
      </c>
      <c r="D3430" t="n">
        <v>0</v>
      </c>
      <c r="E3430" t="n">
        <v>15</v>
      </c>
      <c r="F3430">
        <f>HYPERLINK("https://www.reddit.com/r/diabetes/comments/6xhehl/how_will_anabolic_steroids_affect_me_with_type_1/")</f>
        <v/>
      </c>
      <c r="G3430" t="inlineStr">
        <is>
          <t>2017-09-01 13:55:10</t>
        </is>
      </c>
      <c r="H3430" t="inlineStr">
        <is>
          <t>Type 1</t>
        </is>
      </c>
    </row>
    <row r="3431">
      <c r="A3431" t="inlineStr">
        <is>
          <t>6xhk6x</t>
        </is>
      </c>
      <c r="B3431" t="inlineStr">
        <is>
          <t>Experiences with eating 2 meals a day.</t>
        </is>
      </c>
      <c r="C3431" t="inlineStr">
        <is>
          <t>I've recently become interested in dropping down to a 2 meal a day strategy to help simplify my BGL. For me my blood sugars are more or less of a complete mystery for about 2 to 3 hours post meal. I count all my carbs, calories and eat a whole foods plant based diet but my sugars still manage to make no sense during this period. The only times they are truly stable are for those few hours between meals (with the help of a few micro adjustments like a few skittles or a single unit here and there).
I'm interested to hear your advice and experiences embarking on such a diet. How was your hunger levels? Did it eventually get easier/harder? How hard was it to get your caloric intake and micronutrients? How many hypos/hypers would you have? Would you recommend and if so do you have any tips? 
Thanks so much for any responses!</t>
        </is>
      </c>
      <c r="D3431" t="n">
        <v>2</v>
      </c>
      <c r="E3431" t="n">
        <v>11</v>
      </c>
      <c r="F3431">
        <f>HYPERLINK("https://www.reddit.com/r/diabetes/comments/6xhk6x/experiences_with_eating_2_meals_a_day/")</f>
        <v/>
      </c>
      <c r="G3431" t="inlineStr">
        <is>
          <t>2017-09-01 14:20:19</t>
        </is>
      </c>
      <c r="H3431" t="inlineStr">
        <is>
          <t>Type 1</t>
        </is>
      </c>
    </row>
    <row r="3432">
      <c r="A3432" t="inlineStr">
        <is>
          <t>6xhvx0</t>
        </is>
      </c>
      <c r="B3432" t="inlineStr">
        <is>
          <t>[RANT] I miss food</t>
        </is>
      </c>
      <c r="C3432" t="inlineStr">
        <is>
          <t>Last year I was diagnosed T2 with an A1C of 6.5, and have been on strict keto ever since. I've lost 36kg and my numbers are non-diabetic with no meds. This is great!
This is the part I feel ashamed about: 
Despite my success, I'm miserable and resentful inside. I hate not being able to eat what I like. I was a foodie, and my life of regimented, restricted eating and testing feels joyless now. My social life has suffered, too, as I can no longer try new restaurants with friends without special ordering and getting eyerolls. I'm 31, and I can't imagine the rest of my life being like this. I know I should be GRATEFUL for my current control, and I feel like an entitled twat. I'm sorry for posting this, but I needed to get it off my chest.</t>
        </is>
      </c>
      <c r="D3432" t="n">
        <v>7</v>
      </c>
      <c r="E3432" t="n">
        <v>9</v>
      </c>
      <c r="F3432">
        <f>HYPERLINK("https://www.reddit.com/r/diabetes/comments/6xhvx0/rant_i_miss_food/")</f>
        <v/>
      </c>
      <c r="G3432" t="inlineStr">
        <is>
          <t>2017-09-01 15:13:27</t>
        </is>
      </c>
      <c r="H3432" t="inlineStr">
        <is>
          <t>Type 2</t>
        </is>
      </c>
    </row>
    <row r="3433">
      <c r="A3433" t="inlineStr">
        <is>
          <t>6xjqy4</t>
        </is>
      </c>
      <c r="B3433" t="inlineStr">
        <is>
          <t>Sorry to ask again. Possible type 2 misdiagnosis.</t>
        </is>
      </c>
      <c r="C3433" t="inlineStr">
        <is>
          <t>Like the flair says, husband is supposedly type 2 diabetic. He was diagnosed during a terrible bout of influenza + 3-4 secondary infections that almost took his life. He had lost a pretty serious amount of weight during his sickness, and they took his a1c, they were at 16.something. 
We don't have a lot of money, so we do what we can to eat as little carbs as possible. He's not eating the best, but he's not eating terribly either. No sweets, soda, or too many refined or simple carbs. His sugars after a meal are around 20 (sometimes a bit more or less), fasting sugars in the am at about 15-17... Even after eating nothing for long periods of time, he's still high.
He's taking several medications, Invokana, Sitaglipin+Metformin long release, and a statin for high LDL (but that was a problem before). It doesn't seem to help. The doc keeps telling him he's not trying enough, so he hates going back to see him. 
I've been worried about type 1 from the start, because of how this all started. I'm a nutritionist, and I've never had a client with such terrible diabetes weigh as little as he does (6'3, maybe 225 lbs) or have as few bad nutritional habits. He's not even 33 yet! 
We're just wondering how to talk to his doctor about this. Last time we tried, he was dismissed very quickly, and we'd like to know how his doc is so sure he's type 2 so we can be at peace with it. The appointments are rushed, and we want to be sure his treatment is adequate. 
How would you go about having this conversation? Do you guys think we're crazy to even suspect this?</t>
        </is>
      </c>
      <c r="D3433" t="n">
        <v>9</v>
      </c>
      <c r="E3433" t="n">
        <v>12</v>
      </c>
      <c r="F3433">
        <f>HYPERLINK("https://www.reddit.com/r/diabetes/comments/6xjqy4/sorry_to_ask_again_possible_type_2_misdiagnosis/")</f>
        <v/>
      </c>
      <c r="G3433" t="inlineStr">
        <is>
          <t>2017-09-01 21:26:39</t>
        </is>
      </c>
      <c r="H3433" t="inlineStr">
        <is>
          <t>Type 2</t>
        </is>
      </c>
    </row>
    <row r="3434">
      <c r="A3434" t="inlineStr">
        <is>
          <t>6xkj4h</t>
        </is>
      </c>
      <c r="B3434" t="inlineStr">
        <is>
          <t>t:slim X2 software update integrates with dexcom - anyone else got it?</t>
        </is>
      </c>
      <c r="C3434" t="inlineStr">
        <is>
          <t>I got an email from tandem 2 days ago telling me there is an available update for my t:slim X2 to enable dexcom G5 integration. I hooked my t:slim to my computer and ran the Tandem Device Updater and started the update. It had some personalized update code which I had to enter in the pump during the update. Now my t:slim also functions as a dexcom G5 receiver. A little redundant I think as I use my iPhone to view my dexcom data. There is no direct integration of the pump and dexcom data afaik; no low glucose insulin cutoff or anything like that. When giving a bolus I still manually have to enter my BG; would be nice if it pulled the most current G5 reading for the BG value. 
Anyone else seen this update? Any thoughts, reactions, comments?</t>
        </is>
      </c>
      <c r="D3434" t="n">
        <v>8</v>
      </c>
      <c r="E3434" t="n">
        <v>15</v>
      </c>
      <c r="F3434">
        <f>HYPERLINK("https://www.reddit.com/r/diabetes/comments/6xkj4h/tslim_x2_software_update_integrates_with_dexcom/")</f>
        <v/>
      </c>
      <c r="G3434" t="inlineStr">
        <is>
          <t>2017-09-02 01:04:36</t>
        </is>
      </c>
      <c r="H3434" t="inlineStr">
        <is>
          <t>Type 1</t>
        </is>
      </c>
    </row>
    <row r="3435">
      <c r="A3435" t="inlineStr">
        <is>
          <t>6xr6lf</t>
        </is>
      </c>
      <c r="B3435" t="inlineStr">
        <is>
          <t>Need help and support for my newly diagnosed partner</t>
        </is>
      </c>
      <c r="C3435" t="inlineStr">
        <is>
          <t xml:space="preserve">He was diagnosed just a few days ago, with Type 1 diabetes at age 26. The doctor at the hospital was very direct to the point, and essentially said that my boyfriend's life will be difficult from now on. He started crying, a lot. 
Then he seemed to be in better spirits when he came back home. He said, "I'll just have the same foods as before, just in moderation and make compromises,". But later he noticed I was focusing on something exceptionally much, on Skype. Unwilling to lie, I sent him this comment chain: https://www.reddit.com/r/diabetes/comments/6wrrf8/just_upgraded_type_2_type_1/dmaktez/
He looked so fucking miserable for the rest of the call, then ended it and told me goodnight, but later sent me FB messages about how his life is now 100% ruined and that his food hobby is over. "No more pizza," he mentioned. 
I'm so worried about him. He really loved food, and I remember us going out to noodle restaurants and hot pot spots, and he loved watching food channels on YouTube. Whenever we met up it was a tradition to hit up McDonald's or Wendy's and just have a cheerful dinner. 
I really need emergency links and articles and advice on how to help him. I had offered to "make those as occasional treats at home", with more keto-friendly ingredients, in the FB conversation, but I don't think it registered. Also tried to tell him he can still splurge occasionally if he takes more insulin. 
Please help. I'm really worried and heart broken.
</t>
        </is>
      </c>
      <c r="D3435" t="n">
        <v>2</v>
      </c>
      <c r="E3435" t="n">
        <v>30</v>
      </c>
      <c r="F3435">
        <f>HYPERLINK("https://www.reddit.com/r/diabetes/comments/6xr6lf/need_help_and_support_for_my_newly_diagnosed/")</f>
        <v/>
      </c>
      <c r="G3435" t="inlineStr">
        <is>
          <t>2017-09-02 21:20:47</t>
        </is>
      </c>
      <c r="H3435" t="inlineStr">
        <is>
          <t>Type 1</t>
        </is>
      </c>
    </row>
    <row r="3436">
      <c r="A3436" t="inlineStr">
        <is>
          <t>6xutxk</t>
        </is>
      </c>
      <c r="B3436" t="inlineStr">
        <is>
          <t>During an eight hour feeding window, while intermittent fasting, is it better to consume three separate meals or eat small bites throughout?</t>
        </is>
      </c>
      <c r="C3436" t="inlineStr">
        <is>
          <t xml:space="preserve">Hi, just wondering if eating "small bites" throughout a feeding window without separating meals into "breakfast lunch dinner" will lead to lower glucose during fasting hours than eating meals separately, with an hour or two between breakfast lunch and dinner. 
The goal is to reach the lowest glucose levels possible for an extended period of time during the fasting period...
Thoughts? Thanks </t>
        </is>
      </c>
      <c r="D3436" t="n">
        <v>2</v>
      </c>
      <c r="E3436" t="n">
        <v>8</v>
      </c>
      <c r="F3436">
        <f>HYPERLINK("https://www.reddit.com/r/diabetes/comments/6xutxk/during_an_eight_hour_feeding_window_while/")</f>
        <v/>
      </c>
      <c r="G3436" t="inlineStr">
        <is>
          <t>2017-09-03 11:24:18</t>
        </is>
      </c>
      <c r="H3436" t="inlineStr">
        <is>
          <t>Type 2</t>
        </is>
      </c>
    </row>
    <row r="3437">
      <c r="A3437" t="inlineStr">
        <is>
          <t>6xva6l</t>
        </is>
      </c>
      <c r="B3437" t="inlineStr">
        <is>
          <t>Woke up this morning and my thumb was numb</t>
        </is>
      </c>
      <c r="C3437" t="inlineStr">
        <is>
          <t xml:space="preserve">26 years old. type 1. I woke up this morning and my thumb was numb. It felt like I had slept on my hand and it was just asleep..have been up and moving around for a few hours now and it's still feeling pretty numb..BG was 106 this morning. Is this a diabetes thing or some other kind of thing? I've never experienced anything like this and its kinda freaking me out </t>
        </is>
      </c>
      <c r="D3437" t="n">
        <v>2</v>
      </c>
      <c r="E3437" t="n">
        <v>7</v>
      </c>
      <c r="F3437">
        <f>HYPERLINK("https://www.reddit.com/r/diabetes/comments/6xva6l/woke_up_this_morning_and_my_thumb_was_numb/")</f>
        <v/>
      </c>
      <c r="G3437" t="inlineStr">
        <is>
          <t>2017-09-03 12:41:03</t>
        </is>
      </c>
      <c r="H3437" t="inlineStr">
        <is>
          <t>Type 1</t>
        </is>
      </c>
    </row>
    <row r="3438">
      <c r="A3438" t="inlineStr">
        <is>
          <t>6xyqzk</t>
        </is>
      </c>
      <c r="B3438" t="inlineStr">
        <is>
          <t>How to bolus for fat on a ketogenic diet.</t>
        </is>
      </c>
      <c r="C3438" t="inlineStr">
        <is>
          <t xml:space="preserve">Hello all. Type 1 on a very low carb, ketogenic diet, and also on Bernstein's regimen. Macros are 15 g of carbs, 120 g of protein and 250 g of fat/day. 
I recently found out that fat may have a small contribution to my blood sugar. I do fasting experiments to titrate my basal. Although basal is on spot, I find that after 7-8 hours of a heavy fat, medium protein meal, my blood sugar rises (whereas when I completely skip the meal, it does not). 
This made sense to me. According to this diagram:
https://diabetesmealplans.com/wp-content/uploads/2015/05/carb-protein-fat.jpg
fat takes considerably more time to effect blood sugar. If only 10% of fat (the glycerol part) is converted to blood sugar, then out of 250 grams of fat a day I take 25 g of glucose, which will raise my blood sugar by 125 mg/dl. The problem is that I cannot bolus for this rise at the time of the meal.
What I do now is that I correct with an extra bolus if necessary, 8-10 hours after a meal. Anyone else has dealt with this problem? possible solutions? </t>
        </is>
      </c>
      <c r="D3438" t="n">
        <v>2</v>
      </c>
      <c r="E3438" t="n">
        <v>5</v>
      </c>
      <c r="F3438">
        <f>HYPERLINK("https://www.reddit.com/r/diabetes/comments/6xyqzk/how_to_bolus_for_fat_on_a_ketogenic_diet/")</f>
        <v/>
      </c>
      <c r="G3438" t="inlineStr">
        <is>
          <t>2017-09-03 23:50:32</t>
        </is>
      </c>
      <c r="H3438" t="inlineStr">
        <is>
          <t>Type 1</t>
        </is>
      </c>
    </row>
    <row r="3439">
      <c r="A3439" t="inlineStr">
        <is>
          <t>6xzgaq</t>
        </is>
      </c>
      <c r="B3439" t="inlineStr">
        <is>
          <t>Hello all new here</t>
        </is>
      </c>
      <c r="C3439" t="inlineStr">
        <is>
          <t>So i'm new to this subreddit and am a type 1 diabetic since age 16, am 28 now. I am using protophane and actrapid, 2x protophane once in morning and once at 9pm and actrapid 3 time a day before each meal. I have found that its much more controllable sticking to a routine when it comes to your meals(like try to eat same foods every month), anyone else also experience this? If i change my diet just slightly my blood sugar spikes badly and then i have to struggle to maintain it again. Its like i'm so damn sensetive to anything i eat.</t>
        </is>
      </c>
      <c r="D3439" t="n">
        <v>5</v>
      </c>
      <c r="E3439" t="n">
        <v>3</v>
      </c>
      <c r="F3439">
        <f>HYPERLINK("https://www.reddit.com/r/diabetes/comments/6xzgaq/hello_all_new_here/")</f>
        <v/>
      </c>
      <c r="G3439" t="inlineStr">
        <is>
          <t>2017-09-04 02:59:25</t>
        </is>
      </c>
      <c r="H3439" t="inlineStr">
        <is>
          <t>Type 1</t>
        </is>
      </c>
    </row>
    <row r="3440">
      <c r="A3440" t="inlineStr">
        <is>
          <t>6y15tx</t>
        </is>
      </c>
      <c r="B3440" t="inlineStr">
        <is>
          <t>I recently started seeing a girl with type 1. What should I know?</t>
        </is>
      </c>
      <c r="C3440" t="inlineStr">
        <is>
          <t>I started to do some research online, but there is just so much information out there. I need a good starting point... Perhaps a few people would like to share? Or maybe direct me to a good resource?
Thanks in advance for the help!</t>
        </is>
      </c>
      <c r="D3440" t="n">
        <v>10</v>
      </c>
      <c r="E3440" t="n">
        <v>25</v>
      </c>
      <c r="F3440">
        <f>HYPERLINK("https://www.reddit.com/r/diabetes/comments/6y15tx/i_recently_started_seeing_a_girl_with_type_1_what/")</f>
        <v/>
      </c>
      <c r="G3440" t="inlineStr">
        <is>
          <t>2017-09-04 08:58:22</t>
        </is>
      </c>
      <c r="H3440" t="inlineStr">
        <is>
          <t>Type 1</t>
        </is>
      </c>
    </row>
    <row r="3441">
      <c r="A3441" t="inlineStr">
        <is>
          <t>6y23zh</t>
        </is>
      </c>
      <c r="B3441" t="inlineStr">
        <is>
          <t>Questions about blood glucose levels and rapidity of drop</t>
        </is>
      </c>
      <c r="C3441" t="inlineStr">
        <is>
          <t>I'll start by mentioning that I am an expat residing (due to job) in a country with absolutely shit medical care, so "ask your doctor" is not merely useless, it is actually harmful.  The quacks here can't even spot broken bones on X-rays, speaking from experience.
I was diagnosed as T2 six months ago with a fasting glucose level of about 400.  I confirmed it myself, so for once the quacks guessed right.  (The advice I was given by the hospital nutritionist was insane -- "eat twelve servings of carbohydrates per day to stabilize your blood sugar levels," I shit you not.)  Since then I have lost about a third of my excess weight via a low-carb diet and my blood glucose levels have dropped to about 110 wake-up/fasting (drops below 100 after walking around).  When eating low-carb meals, I stay under about 140.  Note, this is without any medication any longer;  they put me on three drugs initially, but after the levels dropped to near-normal I stopped taking them.
Tonight I ate a "normal" restaurant meal, deep-fried battered stuff, for the first time in a while.  At roughly two hours from start-of-meal, my blood glucose was 169.  Twenty minutes later at two hours from end-of-meal, it had dropped to 129.  I'm a little surprised by the sharp dropoff.  (It's not really clear to me what the "two hour" mark is for testing.)
I feel like there's still some insulin resistance since my wakeup glucose levels are over 100, but I'm not even close to the mess I was in six months ago.
Does this put me in "prediabetes" camp or "no longer diabetic" camp?  Is it normal to have such a sharp dropoff?  Thanks for any help.</t>
        </is>
      </c>
      <c r="D3441" t="n">
        <v>2</v>
      </c>
      <c r="E3441" t="n">
        <v>12</v>
      </c>
      <c r="F3441">
        <f>HYPERLINK("https://www.reddit.com/r/diabetes/comments/6y23zh/questions_about_blood_glucose_levels_and_rapidity/")</f>
        <v/>
      </c>
      <c r="G3441" t="inlineStr">
        <is>
          <t>2017-09-04 11:20:43</t>
        </is>
      </c>
      <c r="H3441" t="inlineStr">
        <is>
          <t>Type 2</t>
        </is>
      </c>
    </row>
    <row r="3442">
      <c r="A3442" t="inlineStr">
        <is>
          <t>6y36oy</t>
        </is>
      </c>
      <c r="B3442" t="inlineStr">
        <is>
          <t>What to eat when you're having a low but on a diet?</t>
        </is>
      </c>
      <c r="C3442" t="inlineStr">
        <is>
          <t xml:space="preserve">Hi guys, I'm a type 1 diabetic and currently I'm on a low carb diet because I've gained 10 lbs and would like to lose them. I've been eating healthy but I've been avoiding things with high carbs problem is, i've been getting a lot of lows now and I just want to know what is the healthiest thing that I can have that would bring my blood sugar up but won't really affect my diet? Should I just stick to glucose tablets or maybe juice? </t>
        </is>
      </c>
      <c r="D3442" t="n">
        <v>6</v>
      </c>
      <c r="E3442" t="n">
        <v>18</v>
      </c>
      <c r="F3442">
        <f>HYPERLINK("https://www.reddit.com/r/diabetes/comments/6y36oy/what_to_eat_when_youre_having_a_low_but_on_a_diet/")</f>
        <v/>
      </c>
      <c r="G3442" t="inlineStr">
        <is>
          <t>2017-09-04 14:06:25</t>
        </is>
      </c>
      <c r="H3442" t="inlineStr">
        <is>
          <t>Type 1</t>
        </is>
      </c>
    </row>
    <row r="3443">
      <c r="A3443" t="inlineStr">
        <is>
          <t>6y3y45</t>
        </is>
      </c>
      <c r="B3443" t="inlineStr">
        <is>
          <t>Different types of Insulin questions</t>
        </is>
      </c>
      <c r="C3443" t="inlineStr">
        <is>
          <t>A little background before I ask this, I've been T1 for almost 20 years now. I'm currently in the process of going to a new Endo. I've been a Humalog/Lantus user for at least 10 years. Lately I feel like I've been using way to much Humalog. Now I know there's probably a ton of reason's for this and my endo will help me figure it out. 
BUT, with that being said, I want to ask what other Insulin combo's are out there. What's new, does anyone have any experiences with a better fast or long acting insulin? I'm sure there are many out there and I'll ask my endo about them, but I'd like to hear some reviews from someone actually using them. 
Thanks!</t>
        </is>
      </c>
      <c r="D3443" t="n">
        <v>2</v>
      </c>
      <c r="E3443" t="n">
        <v>12</v>
      </c>
      <c r="F3443">
        <f>HYPERLINK("https://www.reddit.com/r/diabetes/comments/6y3y45/different_types_of_insulin_questions/")</f>
        <v/>
      </c>
      <c r="G3443" t="inlineStr">
        <is>
          <t>2017-09-04 16:11:59</t>
        </is>
      </c>
      <c r="H3443" t="inlineStr">
        <is>
          <t>Type 1</t>
        </is>
      </c>
    </row>
    <row r="3444">
      <c r="A3444" t="inlineStr">
        <is>
          <t>6y4mh2</t>
        </is>
      </c>
      <c r="B3444" t="inlineStr">
        <is>
          <t>[type 1]Serious possible good problem?</t>
        </is>
      </c>
      <c r="C3444" t="inlineStr">
        <is>
          <t>So without making this a wall of text I am 100% a type 1 diabetic was not misdiagnosed with that out of the way now.
I have not been taking my humalog before meals because I have been dropping to dangerous lows past couple days. 30s and even once a 20 according to my meter and have only continued to take my levemir once a day at bed 16 units. However I am dropping dangerous lows with my levemir now woke up 4 hours after taking my levemir with a blood sugar of 30 and drinking 50 carbs of soda and checking it 30 minutes later having a blood sugar of 127 and I was like okay crises averted deciding to set my alarm for 1 hour to check it again incase I went back to bed and woke up with another low 1 HOUR after drinking 50 carbs it was another 30 like 37 or something but you get the idea which I then fixed with another bottle of soda.
Drinking one soda would of skyrocketed me a week ago above 150.
That was like 10 hours ago and since then before eating any of my meals I have skipped my humalog and have been going through test strips like nothing checking every 10 minutes after eating a 80 carb breakfast it didnt go over 120 and then droped to 60 1 hour after eating.
I have gone trough an entire gatorade and 2 cans of pepsi since 4pm today to now in which I just now ate dinner which was 100 carbs and the highest it got to was another 120 it was like 124 if u want the exact number and then AGAIN 1 hour after it drops to 70. I DIDNT EVEN TAKE HUMALOG.
Whats going on???? I only took my levimir of 16 units last night which I was taking for the past 6 months with no problems same dosage. I have not changed my physical activity or anything or stress nothings different.
I have been chugging down carbs all day today I cant call my doctor because todays labor day but I will be calling tomorrow.
I am thinking of skipping my levimir tonight and just paying VERY CLOSE attention to my blood sugar all night if it goes above 120 I will take it but if it doesn't I just wont take it.
Am I going through another honeymoon phase?? I've had more carbs in this one day than I've had all week.</t>
        </is>
      </c>
      <c r="D3444" t="n">
        <v>2</v>
      </c>
      <c r="E3444" t="n">
        <v>7</v>
      </c>
      <c r="F3444">
        <f>HYPERLINK("https://www.reddit.com/r/diabetes/comments/6y4mh2/type_1serious_possible_good_problem/")</f>
        <v/>
      </c>
      <c r="G3444" t="inlineStr">
        <is>
          <t>2017-09-04 18:13:23</t>
        </is>
      </c>
      <c r="H3444" t="inlineStr">
        <is>
          <t>Type 1</t>
        </is>
      </c>
    </row>
    <row r="3445">
      <c r="A3445" t="inlineStr">
        <is>
          <t>6yb0tk</t>
        </is>
      </c>
      <c r="B3445" t="inlineStr">
        <is>
          <t>Freestyle Libre to Diasend/Glooko</t>
        </is>
      </c>
      <c r="C3445" t="inlineStr">
        <is>
          <t>Ok so, I recently got a Libre Freestyle (love it by the way) and previously I've been uploading my pumps data to Diasend so my diabetic educator can see it remotely. Obviously I'd love to get my Libre data on there to coincide with my pump data.
Here's the kicker, the Librelink app doesn't exist in Australia because screw us right. Has anyone got any ideas for a workaround? What are my fellow Aussies doing with their Libre data if it's not possible to upload it somewhere? I'm using the glimp app on my phone which still doesn't get my data on to diasend. Who'd have thought Diabetes would be so complicated.. /s</t>
        </is>
      </c>
      <c r="D3445" t="n">
        <v>1</v>
      </c>
      <c r="E3445" t="n">
        <v>3</v>
      </c>
      <c r="F3445">
        <f>HYPERLINK("https://www.reddit.com/r/diabetes/comments/6yb0tk/freestyle_libre_to_diasendglooko/")</f>
        <v/>
      </c>
      <c r="G3445" t="inlineStr">
        <is>
          <t>2017-09-05 14:11:36</t>
        </is>
      </c>
      <c r="H3445" t="inlineStr">
        <is>
          <t>Type 1</t>
        </is>
      </c>
    </row>
    <row r="3446">
      <c r="A3446" t="inlineStr">
        <is>
          <t>6yce6c</t>
        </is>
      </c>
      <c r="B3446" t="inlineStr">
        <is>
          <t>Has anyone lived abroad for over 6 months with Type 1 diabetes?</t>
        </is>
      </c>
      <c r="C3446" t="inlineStr">
        <is>
          <t>I'm currently going on a year in SE Asia but it's been difficult without a doubt and my situation is favorable.
-I'm on my parent's insurance still, which is quite good, so they mail out pump/CGM supplies
-I can get insulin and basic supplies here, but nothing pump/CGM related
-Technically.....for prescription sake, I need to see my doctor in the US to renew them at least once per year. And it's costly to return home, but we saved up enough supplies for me to stay until March or April.
Being on my parent's insurance, it's difficult, but not impossible. However, when I turn 26, I know the situation is different, where insurance is through the employer and perhaps more expensive. Also, even if the country you go to has good insurance or prices for diabetics, you still have to return home and get coverage immediately.
So what are your experiences living abroad? Is it possible to do this consistently with diabetes? I'm a teacher so I have opportunity to do lots of TEFL teaching and would love to continue.
Hoping to see if there are other experiences here.</t>
        </is>
      </c>
      <c r="D3446" t="n">
        <v>1</v>
      </c>
      <c r="E3446" t="n">
        <v>2</v>
      </c>
      <c r="F3446">
        <f>HYPERLINK("https://www.reddit.com/r/diabetes/comments/6yce6c/has_anyone_lived_abroad_for_over_6_months_with/")</f>
        <v/>
      </c>
      <c r="G3446" t="inlineStr">
        <is>
          <t>2017-09-05 18:09:45</t>
        </is>
      </c>
      <c r="H3446" t="inlineStr">
        <is>
          <t>Type 1</t>
        </is>
      </c>
    </row>
    <row r="3447">
      <c r="A3447" t="inlineStr">
        <is>
          <t>6yd97m</t>
        </is>
      </c>
      <c r="B3447" t="inlineStr">
        <is>
          <t>How do I maintain glucose levels through 50 miles of cycling?</t>
        </is>
      </c>
      <c r="C3447" t="inlineStr">
        <is>
          <t>I just started my modern-day cycling adventures a few months ago. I rode a lot as a kid, but skipped about 25-30 years. Now I'm 43 and a Type 1 (insulin-dependent) diabetic. So far, the farthest I've ridden at one time is 12.5 miles, but I'm usually riding 10 to 12 miles three or four times a week. 
This Saturday, a buddy and I are going on the High Tressel Trail near Des Moines, which is 25.6 miles long... and then back to the car (yielding a 51.2-mile ride). I'm told the trail is pretty flat, and we'll be stopping a few times along the way for breaks and lunch. 
I'm nervous about my blood sugar levels, though. During those 10- to 12-mile rides, I can drop 40 to 60 points easily. I have a continuous glucose monitor so I'll be able to keep an eye on things, but I'd rather not have to stop a bunch of extra times or quit the ride altogether (leaving us stranded or making him ride back alone to get the car). 
So, what should I eat before and during the ride? Should I try to get my blood sugar as high as 200 or 250 or ____ before starting the ride, or just concentrate on keeping it around 150 throughout? I'll have glucose tablets and maybe even juice on hand for emergencies, but I'd rather not ride the roller coaster of highs and lows. 
Any advice is greatly appreciated!</t>
        </is>
      </c>
      <c r="D3447" t="n">
        <v>1</v>
      </c>
      <c r="E3447" t="n">
        <v>5</v>
      </c>
      <c r="F3447">
        <f>HYPERLINK("https://www.reddit.com/r/diabetes/comments/6yd97m/how_do_i_maintain_glucose_levels_through_50_miles/")</f>
        <v/>
      </c>
      <c r="G3447" t="inlineStr">
        <is>
          <t>2017-09-05 20:53:26</t>
        </is>
      </c>
      <c r="H3447" t="inlineStr">
        <is>
          <t>Type 1</t>
        </is>
      </c>
    </row>
    <row r="3448">
      <c r="A3448" t="inlineStr">
        <is>
          <t>6ye9a8</t>
        </is>
      </c>
      <c r="B3448" t="inlineStr">
        <is>
          <t>BGL raising in afternoon for 'no reason'?</t>
        </is>
      </c>
      <c r="C3448" t="inlineStr">
        <is>
          <t>Hi /r/diabetes,
For the past 2-weeks my BGL has suddenly started raising in the afternoon: between 3pm and 6pm it will raise by about 6-8mmol (i.e., 108-144). Like the dawn phenomenon except at the wrong time?
Taking an extra dose of Novorapid at 3pm avoids this, but I am weirded out it's happening at all.
I eat the same three keto meals for lunch over and over and know exactly how much Novorapid to take for each. I eat lunch at about 12-1pm and would previously drop to a comfy 5mmol (i.e., 90) and stay there until dinner. I tried skipping lunch but it still occurred. I had a carby lunch one day just for fun and it REALLY spiked (23mmol / 414), same as how eating carbs in the morning used to send my levels sky high pre-keto.
BGL is totally as I'd expect it to be at all other times - I don't have a CGM but check 8x+/day usually. Yesterday I checked each 30-minutes literally all day and it was fine except for the 3pm spike.
I started back doing about 20-30 minutes of cardio most days 6-weeks ago and had to lower my Lantus about 15% after a few days, but not since, and like I said this spike only began about 2-weeks ago.
A few ideas:
(1)  Possibly a delayed rebound from a hypo I'm sleeping through but have no evidence of this (e.g., waking up super tired/sweaty), but I haven't set alarms and checked overnight. In the past when I have and treated had night hypos, I would wake up high, not go high later in the day.
(2) A weird second dawn phenomenon?
(3) Witchcraft?
Any ideas? Never experienced this in my nearly 20-yrs of Diabetes! Thanks!</t>
        </is>
      </c>
      <c r="D3448" t="n">
        <v>6</v>
      </c>
      <c r="E3448" t="n">
        <v>13</v>
      </c>
      <c r="F3448">
        <f>HYPERLINK("https://www.reddit.com/r/diabetes/comments/6ye9a8/bgl_raising_in_afternoon_for_no_reason/")</f>
        <v/>
      </c>
      <c r="G3448" t="inlineStr">
        <is>
          <t>2017-09-06 00:54:59</t>
        </is>
      </c>
      <c r="H3448" t="inlineStr">
        <is>
          <t>Type 1</t>
        </is>
      </c>
    </row>
    <row r="3449">
      <c r="A3449" t="inlineStr">
        <is>
          <t>6yebba</t>
        </is>
      </c>
      <c r="B3449" t="inlineStr">
        <is>
          <t>Injection sites to avoid Lantus Lows...Any Suggestions?</t>
        </is>
      </c>
      <c r="C3449" t="inlineStr">
        <is>
          <t xml:space="preserve">My 14 year old daughter was diagnosed almost three months ago.  She is very thin and does not have alot fat to inject into.  Considering the dangers of possible Lantus Lows if she accidentally injects into a blood vessel, what areas of her body would be less likely to inject into a blood vessel?  </t>
        </is>
      </c>
      <c r="D3449" t="n">
        <v>1</v>
      </c>
      <c r="E3449" t="n">
        <v>3</v>
      </c>
      <c r="F3449">
        <f>HYPERLINK("https://www.reddit.com/r/diabetes/comments/6yebba/injection_sites_to_avoid_lantus_lowsany/")</f>
        <v/>
      </c>
      <c r="G3449" t="inlineStr">
        <is>
          <t>2017-09-06 01:11:08</t>
        </is>
      </c>
      <c r="H3449" t="inlineStr">
        <is>
          <t>Type 1</t>
        </is>
      </c>
    </row>
    <row r="3450">
      <c r="A3450" t="inlineStr">
        <is>
          <t>6yfhwk</t>
        </is>
      </c>
      <c r="B3450" t="inlineStr">
        <is>
          <t>Splitting up lantus doses, please help?</t>
        </is>
      </c>
      <c r="C3450" t="inlineStr">
        <is>
          <t>Sup lads and lasses? Lol 
Anyways, I take 20u of lantus everyday at 9pm. As of recently, I noticed my blood sugars tend to go high at certain parts of the day. My doctor mentioned taking more basal to cover it and I also so people mentioning "splitting" up their basal doses. This is where I get confused. So I have a few questions I'm hoping you all could answer.
1. Isn't lantus a "24 hour" background insulin?
2. Following the question above, how would splitting up 20u of lantus into other doses be beneficial? I don't see the math behind putting 10u of lantus in me at 9pm then put another 10u in me at 9am. 
I hope this made sense lol. Thanks as always!</t>
        </is>
      </c>
      <c r="D3450" t="n">
        <v>2</v>
      </c>
      <c r="E3450" t="n">
        <v>11</v>
      </c>
      <c r="F3450">
        <f>HYPERLINK("https://www.reddit.com/r/diabetes/comments/6yfhwk/splitting_up_lantus_doses_please_help/")</f>
        <v/>
      </c>
      <c r="G3450" t="inlineStr">
        <is>
          <t>2017-09-06 06:06:02</t>
        </is>
      </c>
      <c r="H3450" t="inlineStr">
        <is>
          <t>Type 1</t>
        </is>
      </c>
    </row>
    <row r="3451">
      <c r="A3451" t="inlineStr">
        <is>
          <t>6yfo1u</t>
        </is>
      </c>
      <c r="B3451" t="inlineStr">
        <is>
          <t>sugar vs alternatives</t>
        </is>
      </c>
      <c r="C3451" t="inlineStr">
        <is>
          <t>Hi all, I was just diagnosed last week Type 2 and am trying to wrap my head around things. I'm setting up an appointment with a nutrionist for some help but in the meantime I've been trying to find some good snacks I can have.
The main issue I'm running into is if I find something made with all natural ingredients it will have real sugar with lets say 4-6 grams. A similar item made with sugar alternatives will have, lets say 1-2 grams.
I've never been a fan of sugar alternatives but maybe I need to be now? Is there a general consensus on which better?
Thanks for any help you can provide.</t>
        </is>
      </c>
      <c r="D3451" t="n">
        <v>1</v>
      </c>
      <c r="E3451" t="n">
        <v>15</v>
      </c>
      <c r="F3451">
        <f>HYPERLINK("https://www.reddit.com/r/diabetes/comments/6yfo1u/sugar_vs_alternatives/")</f>
        <v/>
      </c>
      <c r="G3451" t="inlineStr">
        <is>
          <t>2017-09-06 06:38:17</t>
        </is>
      </c>
      <c r="H3451" t="inlineStr">
        <is>
          <t>Type 2</t>
        </is>
      </c>
    </row>
    <row r="3452">
      <c r="A3452" t="inlineStr">
        <is>
          <t>6yftod</t>
        </is>
      </c>
      <c r="B3452" t="inlineStr">
        <is>
          <t>Dr wants me to see his nurse... is that normal?</t>
        </is>
      </c>
      <c r="C3452" t="inlineStr">
        <is>
          <t>I was setting up my 6 month checkup this morning and the receptionist said that my doc is urging his patients to see the nurse practitioner to free up his time. I have always seen him and he seems very thorough.
Is there a reason I should see the nurse instead of the doctor? Seems like for a simple cold or a sprained ankle that might be OK, but for something as serious as diabetes I think that needs the doctors attention.</t>
        </is>
      </c>
      <c r="D3452" t="n">
        <v>1</v>
      </c>
      <c r="E3452" t="n">
        <v>13</v>
      </c>
      <c r="F3452">
        <f>HYPERLINK("https://www.reddit.com/r/diabetes/comments/6yftod/dr_wants_me_to_see_his_nurse_is_that_normal/")</f>
        <v/>
      </c>
      <c r="G3452" t="inlineStr">
        <is>
          <t>2017-09-06 07:06:30</t>
        </is>
      </c>
      <c r="H3452" t="inlineStr">
        <is>
          <t>Type 2</t>
        </is>
      </c>
    </row>
    <row r="3453">
      <c r="A3453" t="inlineStr">
        <is>
          <t>6yh9oy</t>
        </is>
      </c>
      <c r="B3453" t="inlineStr">
        <is>
          <t>Has anyone been approved for the 670G MiniMed under Anthem?</t>
        </is>
      </c>
      <c r="C3453" t="inlineStr">
        <is>
          <t xml:space="preserve">I recently found out Anthem denied the request and I'll be going through the appeal process soon. 
I attempted to search online to see other people's experiences and what to expect, but didn't find anything too helpful. 
In addition to my doctor writing a letter, would it help if I did too? I have some additional health issues that I feel would greatly benefit from a closed loop pump (I've been diabetic since I was seven and was diagnosed with hereditary chronic pancreatitis at 18 and had my pancreas removed in 2013 at 20 yrs old). 
Anthem is saying it is "investigational" but I feel a 24 yr old with no pancreas would really benefit from an "aritificial pancreas". Well, everyone with type 1 would really benefit with this system but I guess Anthem just wants to be difficult... </t>
        </is>
      </c>
      <c r="D3453" t="n">
        <v>2</v>
      </c>
      <c r="E3453" t="n">
        <v>3</v>
      </c>
      <c r="F3453">
        <f>HYPERLINK("https://www.reddit.com/r/diabetes/comments/6yh9oy/has_anyone_been_approved_for_the_670g_minimed/")</f>
        <v/>
      </c>
      <c r="G3453" t="inlineStr">
        <is>
          <t>2017-09-06 10:54:11</t>
        </is>
      </c>
      <c r="H3453" t="inlineStr">
        <is>
          <t>Type 1</t>
        </is>
      </c>
    </row>
    <row r="3454">
      <c r="A3454" t="inlineStr">
        <is>
          <t>6ymqpf</t>
        </is>
      </c>
      <c r="B3454" t="inlineStr">
        <is>
          <t>Metformin causing bad dreams</t>
        </is>
      </c>
      <c r="C3454" t="inlineStr">
        <is>
          <t xml:space="preserve">Type 2 diagnosed last year and treated only with pills. Recently been put in 500mg metformin which is causing me really bad dreams, usually involving death. For example last night i was trampled to death by a horse. Sounds hilarious but I assure you it's quite terrifying. I was wondering if anyone else has had this and if it goes away or if I should ask for something else? </t>
        </is>
      </c>
      <c r="D3454" t="n">
        <v>1</v>
      </c>
      <c r="E3454" t="n">
        <v>7</v>
      </c>
      <c r="F3454">
        <f>HYPERLINK("https://www.reddit.com/r/diabetes/comments/6ymqpf/metformin_causing_bad_dreams/")</f>
        <v/>
      </c>
      <c r="G3454" t="inlineStr">
        <is>
          <t>2017-09-07 04:59:12</t>
        </is>
      </c>
      <c r="H3454" t="inlineStr">
        <is>
          <t>Type 2</t>
        </is>
      </c>
    </row>
    <row r="3455">
      <c r="A3455" t="inlineStr">
        <is>
          <t>6yoiy9</t>
        </is>
      </c>
      <c r="B3455" t="inlineStr">
        <is>
          <t>Insulin post back to MDI: how?</t>
        </is>
      </c>
      <c r="C3455" t="inlineStr">
        <is>
          <t>I'm a T2 PWD who's been on insulin pump therapy since 2011, and love it.  Changed my life.  However, I was on MDI prior to that.  I'm going on a trip to Europe next week and was unable to get a loaner pump from the mfr. So I'm taking all my old MDI stuff as backups. I have no idea anymore about how to figure out basal and bolus now that my pump settings automatically deliver the appropriate amount. So my question is: does anyone have any kind of instructions or guidelines about how to go back to MDI after using a pump.  Specifically, how do I know how much basal is left in my system before bolusing?  Thanks.</t>
        </is>
      </c>
      <c r="D3455" t="n">
        <v>1</v>
      </c>
      <c r="E3455" t="n">
        <v>6</v>
      </c>
      <c r="F3455">
        <f>HYPERLINK("https://www.reddit.com/r/diabetes/comments/6yoiy9/insulin_post_back_to_mdi_how/")</f>
        <v/>
      </c>
      <c r="G3455" t="inlineStr">
        <is>
          <t>2017-09-07 10:01:05</t>
        </is>
      </c>
      <c r="H3455" t="inlineStr">
        <is>
          <t>Type 2</t>
        </is>
      </c>
    </row>
    <row r="3456">
      <c r="A3456" t="inlineStr">
        <is>
          <t>6yqzb5</t>
        </is>
      </c>
      <c r="B3456" t="inlineStr">
        <is>
          <t>Walmart type R dosing vs Humalog</t>
        </is>
      </c>
      <c r="C3456" t="inlineStr">
        <is>
          <t xml:space="preserve">This has probably been asked a thousand times but..
I'm going to have to run Relion R from Walmart for 48 hours until I get more Humalog. 
Should I change my dosage? I know I'll have to take it a lot earlier than Humalog. 
Thanks for any help </t>
        </is>
      </c>
      <c r="D3456" t="n">
        <v>1</v>
      </c>
      <c r="E3456" t="n">
        <v>12</v>
      </c>
      <c r="F3456">
        <f>HYPERLINK("https://www.reddit.com/r/diabetes/comments/6yqzb5/walmart_type_r_dosing_vs_humalog/")</f>
        <v/>
      </c>
      <c r="G3456" t="inlineStr">
        <is>
          <t>2017-09-07 16:26:12</t>
        </is>
      </c>
      <c r="H3456" t="inlineStr">
        <is>
          <t>Type 1</t>
        </is>
      </c>
    </row>
    <row r="3457">
      <c r="A3457" t="inlineStr">
        <is>
          <t>6ys4v3</t>
        </is>
      </c>
      <c r="B3457" t="inlineStr">
        <is>
          <t>The ship is going down 5.7 &amp;lt; 5.0</t>
        </is>
      </c>
      <c r="C3457" t="inlineStr">
        <is>
          <t>Woot I just got my A1C test results back and the levels keep going down. My last test result was 5.5 today's result is 5.0 not what I was expecting at all. Im pretty excited to tell you the truth in the results explanation it said that a reading less than 5.7% is  consistent with the absence of diabetes.</t>
        </is>
      </c>
      <c r="D3457" t="n">
        <v>14</v>
      </c>
      <c r="E3457" t="n">
        <v>8</v>
      </c>
      <c r="F3457">
        <f>HYPERLINK("https://www.reddit.com/r/diabetes/comments/6ys4v3/the_ship_is_going_down_57_50/")</f>
        <v/>
      </c>
      <c r="G3457" t="inlineStr">
        <is>
          <t>2017-09-07 19:59:59</t>
        </is>
      </c>
      <c r="H3457" t="inlineStr">
        <is>
          <t>Type 2</t>
        </is>
      </c>
    </row>
    <row r="3458">
      <c r="A3458" t="inlineStr">
        <is>
          <t>6yv6la</t>
        </is>
      </c>
      <c r="B3458" t="inlineStr">
        <is>
          <t>TSlim x2 update question. Not re-connecting to Dexcom</t>
        </is>
      </c>
      <c r="C3458" t="inlineStr">
        <is>
          <t xml:space="preserve">Hi! We updated our daughters pump two days ago, and it has been connected to the dexcom fine, but lost signal while she was sleeping, and hasn't reconnected for the last three hours. Anyone have any tricks to reconnect it to the dexcom? Her first day of school is today, and it would be great to have that for recess. Thanks! </t>
        </is>
      </c>
      <c r="D3458" t="n">
        <v>2</v>
      </c>
      <c r="E3458" t="n">
        <v>7</v>
      </c>
      <c r="F3458">
        <f>HYPERLINK("https://www.reddit.com/r/diabetes/comments/6yv6la/tslim_x2_update_question_not_reconnecting_to/")</f>
        <v/>
      </c>
      <c r="G3458" t="inlineStr">
        <is>
          <t>2017-09-08 07:42:09</t>
        </is>
      </c>
      <c r="H3458" t="inlineStr">
        <is>
          <t>Type 1</t>
        </is>
      </c>
    </row>
    <row r="3459">
      <c r="A3459" t="inlineStr">
        <is>
          <t>6ywemz</t>
        </is>
      </c>
      <c r="B3459" t="inlineStr">
        <is>
          <t>I'm proud of my a1c</t>
        </is>
      </c>
      <c r="C3459" t="inlineStr">
        <is>
          <t xml:space="preserve">I got my results back. 6.0! I know it's not as low as some here, but I worked my butt off. In 2013 my a1c was over 10. I'm proud of where I am today. </t>
        </is>
      </c>
      <c r="D3459" t="n">
        <v>100</v>
      </c>
      <c r="E3459" t="n">
        <v>17</v>
      </c>
      <c r="F3459">
        <f>HYPERLINK("https://www.reddit.com/r/diabetes/comments/6ywemz/im_proud_of_my_a1c/")</f>
        <v/>
      </c>
      <c r="G3459" t="inlineStr">
        <is>
          <t>2017-09-08 10:54:45</t>
        </is>
      </c>
      <c r="H3459" t="inlineStr">
        <is>
          <t>Type 1</t>
        </is>
      </c>
    </row>
    <row r="3460">
      <c r="A3460" t="inlineStr">
        <is>
          <t>6z2xnm</t>
        </is>
      </c>
      <c r="B3460" t="inlineStr">
        <is>
          <t>Sleep. It's kinda important.</t>
        </is>
      </c>
      <c r="C3460" t="inlineStr">
        <is>
          <t>Recently saw my doctor, who was the progress I had made losing 35 pounds or so doing OMAD, bringing my A1C from 7.1 to 6.5. Unfortunately, my blood pressure was higher, so he doubled my blood pressure medication.
Unfortunately doubling the blood pressure medication (Losartan) had a nasty side effect: it gave me insomnia. Of course, I was taking it right before bed, which I now realize wasn't a good idea. I also immediately noticed much higher blood glucose readings. I'm hoping that switching the medication to morning versus evening will reduce the insomnia.
Anyone else have a similar experience?</t>
        </is>
      </c>
      <c r="D3460" t="n">
        <v>5</v>
      </c>
      <c r="E3460" t="n">
        <v>5</v>
      </c>
      <c r="F3460">
        <f>HYPERLINK("https://www.reddit.com/r/diabetes/comments/6z2xnm/sleep_its_kinda_important/")</f>
        <v/>
      </c>
      <c r="G3460" t="inlineStr">
        <is>
          <t>2017-09-09 10:21:58</t>
        </is>
      </c>
      <c r="H3460" t="inlineStr">
        <is>
          <t>Type 2</t>
        </is>
      </c>
    </row>
    <row r="3461">
      <c r="A3461" t="inlineStr">
        <is>
          <t>6zbw0p</t>
        </is>
      </c>
      <c r="B3461" t="inlineStr">
        <is>
          <t>Thin, fit, and eat mostly low card diet- yet still have high morning glucose numbers?</t>
        </is>
      </c>
      <c r="C3461" t="inlineStr">
        <is>
          <t xml:space="preserve">I am 38, I exercise (lift weights and do cardio) 3-4 times a week, eat a mostly healthy diet low in carbs, especially refined carbs, and am lean enough to have mostly visible abs, and I do not take any medications....yet my fasting glucose numbers in the morning are always elevated. It is puzzling. 
For the past few years on my annual physical blood test, my glucose numbers have been anywhere from 105 - 118. My a1c is normally around 5.2 though. I always have the blood work done shortly after waking up in the morning. 
I bought myself a glucometer and have been checking it out over the past few months. Shortly after waking my fasted glucose number is always in the prediabetic range. My 2 hour post meal readings are usually far under 140, sometimes as low as 80 - 100, and my random glucose readings are usually alright as well (80s). 
My postprandial and random glucose readings are usually good, but my morning / fasted glucose numbers are high. I am not sure what to make of these numbers. My doctor just says "eat fewer carbs," but since I am already eating very low carb that advice isn't exactly helpful. 
It seems as though I am affected by the dawn phenomenon, but considering my other numbers are good I don't know what to make of it. All of the advice of losing weight, exercise more, and eat right are all things I've already been doing most of my life. 
</t>
        </is>
      </c>
      <c r="D3461" t="n">
        <v>0</v>
      </c>
      <c r="E3461" t="n">
        <v>8</v>
      </c>
      <c r="F3461">
        <f>HYPERLINK("https://www.reddit.com/r/diabetes/comments/6zbw0p/thin_fit_and_eat_mostly_low_card_diet_yet_still/")</f>
        <v/>
      </c>
      <c r="G3461" t="inlineStr">
        <is>
          <t>2017-09-10 17:04:45</t>
        </is>
      </c>
      <c r="H3461" t="inlineStr">
        <is>
          <t>Type 2</t>
        </is>
      </c>
    </row>
    <row r="3462">
      <c r="A3462" t="inlineStr">
        <is>
          <t>6zclhg</t>
        </is>
      </c>
      <c r="B3462" t="inlineStr">
        <is>
          <t>The year is 2022: Viacyte VC-02 Direct is released. Which would you choose? Insulin therapy or Anti Rejection?</t>
        </is>
      </c>
      <c r="C3462" t="inlineStr">
        <is>
          <t>If you had a choice, which would you choose and why?
Viacyte VC-02 is a graft thing that transplants islets, but it requires anti rejection drugs so they don't go bye bye.  Meanwhile traditional insulin therapy is the alternative (maybe better closed loops in 2022, but yeh, same stuff).</t>
        </is>
      </c>
      <c r="D3462" t="n">
        <v>14</v>
      </c>
      <c r="E3462" t="n">
        <v>22</v>
      </c>
      <c r="F3462">
        <f>HYPERLINK("https://www.reddit.com/r/diabetes/comments/6zclhg/the_year_is_2022_viacyte_vc02_direct_is_released/")</f>
        <v/>
      </c>
      <c r="G3462" t="inlineStr">
        <is>
          <t>2017-09-10 19:19:29</t>
        </is>
      </c>
      <c r="H3462" t="inlineStr">
        <is>
          <t>Type 1</t>
        </is>
      </c>
    </row>
    <row r="3463">
      <c r="A3463" t="inlineStr">
        <is>
          <t>6zcm4y</t>
        </is>
      </c>
      <c r="B3463" t="inlineStr">
        <is>
          <t>Regaining lost weight</t>
        </is>
      </c>
      <c r="C3463" t="inlineStr">
        <is>
          <t xml:space="preserve">Diagnosed as type 2 three weeks ago. I lost about 25 lbs beforehand over the course if two three months. So as I understand it weight loss is normal for those with very high bg levels and my a1c was over 14. Since then other than really cuting my carbs to around 100g 
carbs I eat as usually did. If anything I'm eating more since I'm consistently eating breakfast and lunch whereas I use to skip meals. Though I have cut my drinking way down. My bg levels have been normalish for most of that time very few test over 200 so my meds and diet changes seem to be working. But with even with my levels down my body seems to be stuck in neutral. It's not even that I want to put a lot if it back. It'd just be comforting to see SOME movement and feel like I'm in control and that there is nothing else wrong with me. Is this normal? Having lost a parent to cancer that didn't show signs until it's was too late my biggest fear is something sneaking up on me.  </t>
        </is>
      </c>
      <c r="D3463" t="n">
        <v>0</v>
      </c>
      <c r="E3463" t="n">
        <v>9</v>
      </c>
      <c r="F3463">
        <f>HYPERLINK("https://www.reddit.com/r/diabetes/comments/6zcm4y/regaining_lost_weight/")</f>
        <v/>
      </c>
      <c r="G3463" t="inlineStr">
        <is>
          <t>2017-09-10 19:22:57</t>
        </is>
      </c>
      <c r="H3463" t="inlineStr">
        <is>
          <t>Type 2</t>
        </is>
      </c>
    </row>
    <row r="3464">
      <c r="A3464" t="inlineStr">
        <is>
          <t>6zfas3</t>
        </is>
      </c>
      <c r="B3464" t="inlineStr">
        <is>
          <t>Bloodsugar always high after a meal for no reason</t>
        </is>
      </c>
      <c r="C3464" t="inlineStr">
        <is>
          <t>For no reason my sugar goes usually from 7.0 mmol/L to 18.5 mmol/L after a meal, i dont understand, I inject perfectly, and even sometimes inject some fixing with the meal, and still it goes insanely high like that, theres no logic behind this, help please</t>
        </is>
      </c>
      <c r="D3464" t="n">
        <v>0</v>
      </c>
      <c r="E3464" t="n">
        <v>23</v>
      </c>
      <c r="F3464">
        <f>HYPERLINK("https://www.reddit.com/r/diabetes/comments/6zfas3/bloodsugar_always_high_after_a_meal_for_no_reason/")</f>
        <v/>
      </c>
      <c r="G3464" t="inlineStr">
        <is>
          <t>2017-09-11 06:11:18</t>
        </is>
      </c>
      <c r="H3464" t="inlineStr">
        <is>
          <t>Type 1</t>
        </is>
      </c>
    </row>
    <row r="3465">
      <c r="A3465" t="inlineStr">
        <is>
          <t>6zfltn</t>
        </is>
      </c>
      <c r="B3465" t="inlineStr">
        <is>
          <t>Are those 3-day clense things safe for Type 1s, or diabetics at all for that matter?</t>
        </is>
      </c>
      <c r="C3465" t="inlineStr">
        <is>
          <t xml:space="preserve">[One of these things](https://www.vitaminshoppe.com/p/3-day-cleanse-total-body-reset/rw-1103?mr:trackingCode=90C1C6F8-6990-E611-80F1-00505694403D&amp;amp;mr:referralID=NA&amp;amp;sourceType=sc&amp;amp;source=SHOP&amp;amp;acqsource=adlucent&amp;amp;utm_source=Shopping&amp;amp;utm_medium=CSE&amp;amp;utm_campaign=Renew%20Life&amp;amp;utm_content=RW-1103&amp;amp;gclid=EAIaIQobChMIz6L4l6Od1gIVBDFpCh1YxQ39EAYYBSABEgKXwvD_BwE) , I want to use one but am not sure if it will poorly affect my sugar.   
Many thanks for any input. </t>
        </is>
      </c>
      <c r="D3465" t="n">
        <v>0</v>
      </c>
      <c r="E3465" t="n">
        <v>13</v>
      </c>
      <c r="F3465">
        <f>HYPERLINK("https://www.reddit.com/r/diabetes/comments/6zfltn/are_those_3day_clense_things_safe_for_type_1s_or/")</f>
        <v/>
      </c>
      <c r="G3465" t="inlineStr">
        <is>
          <t>2017-09-11 07:08:09</t>
        </is>
      </c>
      <c r="H3465" t="inlineStr">
        <is>
          <t>Type 1</t>
        </is>
      </c>
    </row>
    <row r="3466">
      <c r="A3466" t="inlineStr">
        <is>
          <t>6zhgxw</t>
        </is>
      </c>
      <c r="B3466" t="inlineStr">
        <is>
          <t>Keep forgetting my long-acting insulin. Any experience or tips on remembering to do it?</t>
        </is>
      </c>
      <c r="C3466" t="inlineStr">
        <is>
          <t>I've had type 1 for about 12 years now and I have always been good about remembering to inject my Lantus in the evenings/early in the night. In the past week, however, I've forgotten to give my Lantus maybe 4 times, two days in a row at one point. 
I have an alarm on my phone, which sometimes helps, but recently I've been having lows or impending lows when the alarm goes off, so I can't take the injection. Then I forget to do it and fall asleep.
Have any of you had this problem? What did you do to deal with it? Please let me know.</t>
        </is>
      </c>
      <c r="D3466" t="n">
        <v>1</v>
      </c>
      <c r="E3466" t="n">
        <v>11</v>
      </c>
      <c r="F3466">
        <f>HYPERLINK("https://www.reddit.com/r/diabetes/comments/6zhgxw/keep_forgetting_my_longacting_insulin_any/")</f>
        <v/>
      </c>
      <c r="G3466" t="inlineStr">
        <is>
          <t>2017-09-11 11:56:39</t>
        </is>
      </c>
      <c r="H3466" t="inlineStr">
        <is>
          <t>Type 1</t>
        </is>
      </c>
    </row>
    <row r="3467">
      <c r="A3467" t="inlineStr">
        <is>
          <t>6zjp3t</t>
        </is>
      </c>
      <c r="B3467" t="inlineStr">
        <is>
          <t>BG range avg per month and 15 days.</t>
        </is>
      </c>
      <c r="C3467" t="inlineStr">
        <is>
          <t xml:space="preserve">i just want to know what is the BG range for normal day for T2  for a day and 15 days and 30 days avg..  I just want to know i have been losing 15 pounds with a month n half since i got diagnosed with T2.  I'm trying to eat low carb diet and went to gym.  sometimes i noticed my weight has been going up or staying same for couple of days.  i get 45 g of Carb every day .. something i'm missing of?  i drink 64 oz of water everyday. </t>
        </is>
      </c>
      <c r="D3467" t="n">
        <v>1</v>
      </c>
      <c r="E3467" t="n">
        <v>4</v>
      </c>
      <c r="F3467">
        <f>HYPERLINK("https://www.reddit.com/r/diabetes/comments/6zjp3t/bg_range_avg_per_month_and_15_days/")</f>
        <v/>
      </c>
      <c r="G3467" t="inlineStr">
        <is>
          <t>2017-09-11 18:04:09</t>
        </is>
      </c>
      <c r="H3467" t="inlineStr">
        <is>
          <t>Type 2</t>
        </is>
      </c>
    </row>
    <row r="3468">
      <c r="A3468" t="inlineStr">
        <is>
          <t>6zk3va</t>
        </is>
      </c>
      <c r="B3468" t="inlineStr">
        <is>
          <t>Just got back from my 3 month follow up appointment - doctor told me I need to be less crazy about controlling my blood sugar</t>
        </is>
      </c>
      <c r="C3468" t="inlineStr">
        <is>
          <t>... or else I might put him out of a job.  He actually thanked me for my diligence and enthusiasm in controlling my blood sugar.  He told me that I am doing a better job at it than he is.
Fasting Blood Glucose: 123 -&amp;gt; 82 (mg/dL)
Fasting Insulin: 12 -&amp;gt; 2.9 (uIU/mL)
A1C: 7.5 -&amp;gt; 5.3
HOMA-IR: 3.9 -&amp;gt; 0.6
Creatinine (blood serum): 1.28 -&amp;gt; 1.01 (mg/dL)
Weight: 178 -&amp;gt; 156 (lbs)
Height: 5'11"
I should note that 2 weeks after diagnosis, my a1c was at 5.1, so my first blood result may have gotten screwed up somehow.  My second blood test was done by a different company from my first (Boston Heart Diagnostics for the first blood test, Lab Corp for the second).
I achieved my results by ~~following the ADA guidelines:~~ test to see which foods work for you and which foods don't (EDIT: turns out the ADA guidelines don't actually explicitly mention this).  When I try a food I have never had since diagnosis, I test myself before eating, 30 minutes, 45 minutes, 60 minutes, 90 minutes and 180 minutes after eating.  I ended up with a relatively low carb diet, but not low enough by /r/keto standards.  
For breakfast, I have greek yogurt (Oikos Triple Zero brand - sweetened with stevia instead of sugars), sausage and eggs, or a frozen box of sausage, egg and potato scramble.  The amount of potatos in the frozen box meal don't seem to cause me any significant problems in my blood sugars.
For lunch, I usually have a bottle of soylent (37g of carbs in a single sitting which excludes me from the keto club).  I allow myself to cheat once a week, maybe twice, and go out to eat with my coworkers.  I try to eat a low carb item on the menu when I do this, though.
For dinner, I usually alternate between salad and fish (frozen filets that I heat up in the oven).  When I eat salad, I occasionally cook up some chunks of chicken in a frying pan with the juice from a fruit cup.  I mix in the remaining fruit and the chicken into the salad for a satisfying meal to help beat the carb cravings.
For snacks, I eat cheese sticks, beef sticks and cashews.
For desert, I eat home-made ice cream on occasion.  All that fat from the cream and whole milk slows the sugar down enough to keep my blood sugars under control for the most part.  I have also experimented with Agave nectar (90% fructose, so it has a very low glycemic index) and stevia which keep my blood sugar even lower (under 120, even).  Note that agave nectar is apparently the devil's sweetener and stevia gives the ice cream a bitter after taste, so I might just stick with sugar and keep ice cream as an occasional treat.</t>
        </is>
      </c>
      <c r="D3468" t="n">
        <v>17</v>
      </c>
      <c r="E3468" t="n">
        <v>20</v>
      </c>
      <c r="F3468">
        <f>HYPERLINK("https://www.reddit.com/r/diabetes/comments/6zk3va/just_got_back_from_my_3_month_follow_up/")</f>
        <v/>
      </c>
      <c r="G3468" t="inlineStr">
        <is>
          <t>2017-09-11 19:17:20</t>
        </is>
      </c>
      <c r="H3468" t="inlineStr">
        <is>
          <t>Type 2</t>
        </is>
      </c>
    </row>
    <row r="3469">
      <c r="A3469" t="inlineStr">
        <is>
          <t>6zku1f</t>
        </is>
      </c>
      <c r="B3469" t="inlineStr">
        <is>
          <t>When is the hard stop for OmniPod?</t>
        </is>
      </c>
      <c r="C3469" t="inlineStr">
        <is>
          <t>My pod expires in a couple hours and I still have more than 50u in my pod so I'd like to get a little more out of this one, and delay the change.
I read somewhere that it will keep going but beep periodically until 80 hours.
Is this true? Should I just suck it up and change it now so I'm not beeping all night?</t>
        </is>
      </c>
      <c r="D3469" t="n">
        <v>1</v>
      </c>
      <c r="E3469" t="n">
        <v>3</v>
      </c>
      <c r="F3469">
        <f>HYPERLINK("https://www.reddit.com/r/diabetes/comments/6zku1f/when_is_the_hard_stop_for_omnipod/")</f>
        <v/>
      </c>
      <c r="G3469" t="inlineStr">
        <is>
          <t>2017-09-11 21:47:10</t>
        </is>
      </c>
      <c r="H3469" t="inlineStr">
        <is>
          <t>Type 1.5/LADA</t>
        </is>
      </c>
    </row>
    <row r="3470">
      <c r="A3470" t="inlineStr">
        <is>
          <t>6zp7t3</t>
        </is>
      </c>
      <c r="B3470" t="inlineStr">
        <is>
          <t>Never realized how much heat affects BGL</t>
        </is>
      </c>
      <c r="C3470" t="inlineStr">
        <is>
          <t>Most of Miami is still without power and it's been in the low 90s during the day/upper 80s at night.
I'm having a really hard time keeping my BGL normal because of it. Having to eat whatever the supermarket has, which is mostly grapes and pre-made sandwiches, is not the best diet, but it's that or snack foods.
Air conditioning has spoiled us here in the sub-tropics.
Is this type of reaction normal in weather like this?</t>
        </is>
      </c>
      <c r="D3470" t="n">
        <v>4</v>
      </c>
      <c r="E3470" t="n">
        <v>22</v>
      </c>
      <c r="F3470">
        <f>HYPERLINK("https://www.reddit.com/r/diabetes/comments/6zp7t3/never_realized_how_much_heat_affects_bgl/")</f>
        <v/>
      </c>
      <c r="G3470" t="inlineStr">
        <is>
          <t>2017-09-12 12:22:07</t>
        </is>
      </c>
      <c r="H3470" t="inlineStr">
        <is>
          <t>Type 1</t>
        </is>
      </c>
    </row>
    <row r="3471">
      <c r="A3471" t="inlineStr">
        <is>
          <t>6zs23s</t>
        </is>
      </c>
      <c r="B3471" t="inlineStr">
        <is>
          <t>Starting ramipril for kidneys, worried blood pressure will drop too low</t>
        </is>
      </c>
      <c r="C3471" t="inlineStr">
        <is>
          <t xml:space="preserve">I'm always worried over side effects from meds. The pharmacist didn't say there were many. But seeing as ramipril is a blood pressure medication also used for kidneys, I'm worried it will drop my blood pressure too low. 
My blood pressure is already usually on the lower-normal side. But obviously am starting at a really low dose. 
Anyone have experience like this?
Tia </t>
        </is>
      </c>
      <c r="D3471" t="n">
        <v>2</v>
      </c>
      <c r="E3471" t="n">
        <v>0</v>
      </c>
      <c r="F3471">
        <f>HYPERLINK("https://www.reddit.com/r/diabetes/comments/6zs23s/starting_ramipril_for_kidneys_worried_blood/")</f>
        <v/>
      </c>
      <c r="G3471" t="inlineStr">
        <is>
          <t>2017-09-12 20:23:39</t>
        </is>
      </c>
      <c r="H3471" t="inlineStr">
        <is>
          <t>Type 1</t>
        </is>
      </c>
    </row>
    <row r="3472">
      <c r="A3472" t="inlineStr">
        <is>
          <t>6zsxo5</t>
        </is>
      </c>
      <c r="B3472" t="inlineStr">
        <is>
          <t>Help asap</t>
        </is>
      </c>
      <c r="C3472" t="inlineStr">
        <is>
          <t xml:space="preserve">I took my levemir(24hour) like 5 hours ago and my blood sugars steadily climbing up. Do I take more? Its almost hitting 200.
</t>
        </is>
      </c>
      <c r="D3472" t="n">
        <v>3</v>
      </c>
      <c r="E3472" t="n">
        <v>7</v>
      </c>
      <c r="F3472">
        <f>HYPERLINK("https://www.reddit.com/r/diabetes/comments/6zsxo5/help_asap/")</f>
        <v/>
      </c>
      <c r="G3472" t="inlineStr">
        <is>
          <t>2017-09-12 23:51:09</t>
        </is>
      </c>
      <c r="H3472" t="inlineStr">
        <is>
          <t>Type 1</t>
        </is>
      </c>
    </row>
    <row r="3473">
      <c r="A3473" t="inlineStr">
        <is>
          <t>6zuk2e</t>
        </is>
      </c>
      <c r="B3473" t="inlineStr">
        <is>
          <t>Blood Sugar Spikes if I cheat on Low Carb</t>
        </is>
      </c>
      <c r="C3473" t="inlineStr">
        <is>
          <t>Sometimes I cheat on my low carb diet. I try to avoid it but it happens. However whenever I do I find my blood sugar spikes and what I would normally bolus on a regular carb diet doesn't work. Does anyone get this? Does it go away?</t>
        </is>
      </c>
      <c r="D3473" t="n">
        <v>1</v>
      </c>
      <c r="E3473" t="n">
        <v>7</v>
      </c>
      <c r="F3473">
        <f>HYPERLINK("https://www.reddit.com/r/diabetes/comments/6zuk2e/blood_sugar_spikes_if_i_cheat_on_low_carb/")</f>
        <v/>
      </c>
      <c r="G3473" t="inlineStr">
        <is>
          <t>2017-09-13 06:34:19</t>
        </is>
      </c>
      <c r="H3473" t="inlineStr">
        <is>
          <t>Type 1</t>
        </is>
      </c>
    </row>
    <row r="3474">
      <c r="A3474" t="inlineStr">
        <is>
          <t>6zv998</t>
        </is>
      </c>
      <c r="B3474" t="inlineStr">
        <is>
          <t>I crumbled...</t>
        </is>
      </c>
      <c r="C3474" t="inlineStr">
        <is>
          <t xml:space="preserve">Had no where else to go with this....I just crumbled completely. 
I'm a type 2 diabetic and have just eaten a lot of sweets and ice cream. I didn't even enjoy it, I just shovelled them in. I feel like shit and I feel so goddamn guilty I let this happen.
Sorry, just needed to rant.
</t>
        </is>
      </c>
      <c r="D3474" t="n">
        <v>6</v>
      </c>
      <c r="E3474" t="n">
        <v>15</v>
      </c>
      <c r="F3474">
        <f>HYPERLINK("https://www.reddit.com/r/diabetes/comments/6zv998/i_crumbled/")</f>
        <v/>
      </c>
      <c r="G3474" t="inlineStr">
        <is>
          <t>2017-09-13 08:25:48</t>
        </is>
      </c>
      <c r="H3474" t="inlineStr">
        <is>
          <t>Type 2</t>
        </is>
      </c>
    </row>
    <row r="3475">
      <c r="A3475" t="inlineStr">
        <is>
          <t>6zvvh8</t>
        </is>
      </c>
      <c r="B3475" t="inlineStr">
        <is>
          <t>Pump experiences: Omnipod vs. Medtronic 630G?</t>
        </is>
      </c>
      <c r="C3475" t="inlineStr">
        <is>
          <t>Hi all! I'm looking into going onto my first pump and my options are an Omnipod or a Medtronic Minimed 630G. I think that choosing a pump often seems to come down to personal preference but I was wondering if people had any experience with either of these pumps that may help me make my decision. Both pros and cons would be appreciated, as well as any experiences dealing with the companies themselves for troubleshooting, warranty issues, etc.
Thank you!!</t>
        </is>
      </c>
      <c r="D3475" t="n">
        <v>4</v>
      </c>
      <c r="E3475" t="n">
        <v>27</v>
      </c>
      <c r="F3475">
        <f>HYPERLINK("https://www.reddit.com/r/diabetes/comments/6zvvh8/pump_experiences_omnipod_vs_medtronic_630g/")</f>
        <v/>
      </c>
      <c r="G3475" t="inlineStr">
        <is>
          <t>2017-09-13 09:57:31</t>
        </is>
      </c>
      <c r="H3475" t="inlineStr">
        <is>
          <t>Type 1</t>
        </is>
      </c>
    </row>
    <row r="3476">
      <c r="A3476" t="inlineStr">
        <is>
          <t>6zw20b</t>
        </is>
      </c>
      <c r="B3476" t="inlineStr">
        <is>
          <t>Is there an ideal time to take Metformin?</t>
        </is>
      </c>
      <c r="C3476" t="inlineStr">
        <is>
          <t xml:space="preserve">My elderly mother has been prescribed two 500 mg pills twice daily...just wondering if ideally they should be eaten around meals, before meals, or even staggered individually throughout the day? (We are able to control her diet/schedule quite well if there were ideal times to maximize Metformin's effectiveness...)
Thanks </t>
        </is>
      </c>
      <c r="D3476" t="n">
        <v>2</v>
      </c>
      <c r="E3476" t="n">
        <v>9</v>
      </c>
      <c r="F3476">
        <f>HYPERLINK("https://www.reddit.com/r/diabetes/comments/6zw20b/is_there_an_ideal_time_to_take_metformin/")</f>
        <v/>
      </c>
      <c r="G3476" t="inlineStr">
        <is>
          <t>2017-09-13 10:23:26</t>
        </is>
      </c>
      <c r="H3476" t="inlineStr">
        <is>
          <t>Type 2</t>
        </is>
      </c>
    </row>
    <row r="3477">
      <c r="A3477" t="inlineStr">
        <is>
          <t>6zwc81</t>
        </is>
      </c>
      <c r="B3477" t="inlineStr">
        <is>
          <t>Some Questions to my brethren from 'I Hate my Pancreas' club</t>
        </is>
      </c>
      <c r="C3477" t="inlineStr">
        <is>
          <t>Hi guys, had my 4 month followup today, all good with A1C of 5.7. My doc changed my meds though. He replaced Metforming 500 mg twice a day to Metformin ER 1000 mg once a day. Do you guys have an idea whats the difference between the two and any benefits from this change? Secondly he has asked my next A1C check to be non fasting, would you guys know why is that? Thanks in Advance.</t>
        </is>
      </c>
      <c r="D3477" t="n">
        <v>1</v>
      </c>
      <c r="E3477" t="n">
        <v>12</v>
      </c>
      <c r="F3477">
        <f>HYPERLINK("https://www.reddit.com/r/diabetes/comments/6zwc81/some_questions_to_my_brethren_from_i_hate_my/")</f>
        <v/>
      </c>
      <c r="G3477" t="inlineStr">
        <is>
          <t>2017-09-13 11:04:32</t>
        </is>
      </c>
      <c r="H3477" t="inlineStr">
        <is>
          <t>Type 2</t>
        </is>
      </c>
    </row>
    <row r="3478">
      <c r="A3478" t="inlineStr">
        <is>
          <t>6zxmc2</t>
        </is>
      </c>
      <c r="B3478" t="inlineStr">
        <is>
          <t>Support and resources for type 1 diabetics who struggle with eating disorders</t>
        </is>
      </c>
      <c r="C3478" t="inlineStr">
        <is>
          <t>[We Are Diabetes](http://www.wearediabetes.org/index.php) is a US based nonprofit that offers support and resources for T1Ds who are struggling with eating disorders. If any type 1s on this forum are struggling with diabulimia, or any other type of eating disorder you should definitely check them out!</t>
        </is>
      </c>
      <c r="D3478" t="n">
        <v>7</v>
      </c>
      <c r="E3478" t="n">
        <v>1</v>
      </c>
      <c r="F3478">
        <f>HYPERLINK("https://www.reddit.com/r/diabetes/comments/6zxmc2/support_and_resources_for_type_1_diabetics_who/")</f>
        <v/>
      </c>
      <c r="G3478" t="inlineStr">
        <is>
          <t>2017-09-13 14:13:52</t>
        </is>
      </c>
      <c r="H3478" t="inlineStr">
        <is>
          <t>Type 1</t>
        </is>
      </c>
    </row>
    <row r="3479">
      <c r="A3479" t="inlineStr">
        <is>
          <t>700ojb</t>
        </is>
      </c>
      <c r="B3479" t="inlineStr">
        <is>
          <t>Am I right in thinking something is off with my T1 cousin taking very large amounts of Lantus?</t>
        </is>
      </c>
      <c r="C3479" t="inlineStr">
        <is>
          <t>So, I'm a 20-year T1.  I have a little cousin, 16 years old, who was diagnosed T1 about 2 or 3 years ago.  He also has celiac disease as well if that's relevant.
Well, his mother told me the other day that he's currently taking *70 units* of Lantus a day.
Now, I don't know many other T1s.  I know for myself, even after having to increase dosage a bit over the years, I'm only up to taking 14 units of Lantus a day.  70 sounds insane and would probably hospitalize me if I ever took that much.
Am I right in thinking something is off with having to take that amount of Lantus?  I mean, I know the kid is 16 and doesn't watch his diet or control his blood sugar like he should, but *still.*  Isn't 70 units of Lantus something a T2 would have to take?  
Is it possible he has double diabetes or extreme insulin resistance or something?  I will say his mother is religious about taking him to the doctor and his endo, so...  I haven't really said anything because I figured if his endo was comfortable with him taking that much it wasn't any of my business.  But my curiosity is getting the better of me.</t>
        </is>
      </c>
      <c r="D3479" t="n">
        <v>1</v>
      </c>
      <c r="E3479" t="n">
        <v>16</v>
      </c>
      <c r="F3479">
        <f>HYPERLINK("https://www.reddit.com/r/diabetes/comments/700ojb/am_i_right_in_thinking_something_is_off_with_my/")</f>
        <v/>
      </c>
      <c r="G3479" t="inlineStr">
        <is>
          <t>2017-09-14 00:11:26</t>
        </is>
      </c>
      <c r="H3479" t="inlineStr">
        <is>
          <t>Type 1</t>
        </is>
      </c>
    </row>
    <row r="3480">
      <c r="A3480" t="inlineStr">
        <is>
          <t>703m2n</t>
        </is>
      </c>
      <c r="B3480" t="inlineStr">
        <is>
          <t>Should I really be worried about these results?</t>
        </is>
      </c>
      <c r="C3480" t="inlineStr">
        <is>
          <t>Last week I had a bunch of blood tests the only thing that came back irregular was my blood glucose test. My blood sugar level was 6.4mmol/L (115.2mg/dL). I didn't realise I was getting a blood glucose test so I ate breakfast about 60 - 90 minutes prior to getting my bloods taken. Looking at ranges online this seems to be in the normal range for a non-diabetic after eating. 
I went back this morning to do a proper fasted blood glucose test and they also did HbA1c test to test my blood sugar levels over the past 3 months. This is the first time I have had this test.
My query is when I explained to the nurse I had had breakfast before having my blood test last week which would explain why it was high she told me that even having eaten (tea and two slices of wholemeal toast with jam) my blood sugar was still too high and it looks like I have type two diabeates and they are just doing these other tests to confirm the diagnosis.
I am obese and 40 (female) but I think my blood sugar is normal for someone who just ate breakfast and that she is wrong to think these results indicate diabetes?</t>
        </is>
      </c>
      <c r="D3480" t="n">
        <v>3</v>
      </c>
      <c r="E3480" t="n">
        <v>17</v>
      </c>
      <c r="F3480">
        <f>HYPERLINK("https://www.reddit.com/r/diabetes/comments/703m2n/should_i_really_be_worried_about_these_results/")</f>
        <v/>
      </c>
      <c r="G3480" t="inlineStr">
        <is>
          <t>2017-09-14 10:06:31</t>
        </is>
      </c>
      <c r="H3480" t="inlineStr">
        <is>
          <t>Type 2</t>
        </is>
      </c>
    </row>
    <row r="3481">
      <c r="A3481" t="inlineStr">
        <is>
          <t>7080ff</t>
        </is>
      </c>
      <c r="B3481" t="inlineStr">
        <is>
          <t>T1s what would you do for this situation</t>
        </is>
      </c>
      <c r="C3481" t="inlineStr">
        <is>
          <t>* Starting point: 141 BG 
* Took 3 units of Humalog
* Waited about 20 minutes
* Ate a grilled cheese that I guessed to be 35g carbs plus 2 beers 5g carbs each (I've been using about a 1:15 ratio)
* 1 hour out: 122 BG (hey I'm awesome)
* 2 hours out: 241 BG (hmmm...not so awesome) straight across/flat arrow on dexcom
* Walked for 30 minutes: 236 straight across/flat arrow on dexcom
Any idea where I went wrong and what would you do to correct at this point?</t>
        </is>
      </c>
      <c r="D3481" t="n">
        <v>3</v>
      </c>
      <c r="E3481" t="n">
        <v>14</v>
      </c>
      <c r="F3481">
        <f>HYPERLINK("https://www.reddit.com/r/diabetes/comments/7080ff/t1s_what_would_you_do_for_this_situation/")</f>
        <v/>
      </c>
      <c r="G3481" t="inlineStr">
        <is>
          <t>2017-09-14 22:59:45</t>
        </is>
      </c>
      <c r="H3481" t="inlineStr">
        <is>
          <t>Type 1</t>
        </is>
      </c>
    </row>
    <row r="3482">
      <c r="A3482" t="inlineStr">
        <is>
          <t>70cqx1</t>
        </is>
      </c>
      <c r="B3482" t="inlineStr">
        <is>
          <t>X-Post from /r/diabetes_t1: People who have gotten constant infections on the insulin pump....did you try both metal and Teflon cannulas?</t>
        </is>
      </c>
      <c r="C3482" t="inlineStr">
        <is>
          <t>After 5 years, I went off of my insulin pump because within the final year or so I suddenly started to develop itchy, welt-y sites that developed pus. The cannulas ended up always getting clogged and since I never spotted bubbles I'm guessing the pus has to do with it.
I realized now that since most of the years I went infection-free, this could possibly be a Teflon allergy that I developed. Or maybe not. I'm not sure.
I use the pens now but am curious about going back on my pump, and I'm looking to hear from anybody that has alternated between Teflon and metal cannulas, perhaps someone else who is also prone to infections, so I can make a decision whether or not to go back on my pump. I don't know where to find data about whether or not metal cannulas make a difference in terms of site infections.
Also: I did not use any sort of adhesive, so it can't be that. I did use chlorhexadrine (sp?) in the shower to sanitize the site in addition to alcohol wipes.</t>
        </is>
      </c>
      <c r="D3482" t="n">
        <v>0</v>
      </c>
      <c r="E3482" t="n">
        <v>0</v>
      </c>
      <c r="F3482">
        <f>HYPERLINK("https://www.reddit.com/r/diabetes/comments/70cqx1/xpost_from_rdiabetes_t1_people_who_have_gotten/")</f>
        <v/>
      </c>
      <c r="G3482" t="inlineStr">
        <is>
          <t>2017-09-15 14:03:31</t>
        </is>
      </c>
      <c r="H3482" t="inlineStr">
        <is>
          <t>Type 1</t>
        </is>
      </c>
    </row>
    <row r="3483">
      <c r="A3483" t="inlineStr">
        <is>
          <t>70fkyw</t>
        </is>
      </c>
      <c r="B3483" t="inlineStr">
        <is>
          <t>Cutaneous abscess</t>
        </is>
      </c>
      <c r="C3483" t="inlineStr">
        <is>
          <t>I have a cutaneous abscess on my left thigh. It has opened and has drained very lightly over the course of a few days now but has not really shrunk or changed in any way. It keeps scabbing closed then opening up again when I put peroxide on it. Freaking myself the fuck out because I have generally always had poor control of my diabetes and googling "diabetic abscess" obviously didn't convince me to lend faith to the notion that I might not have my fucking leg amputated. Just freaking out real bad.
It's relatively small. The opening itself is probably about 90% the size of a typical syringe plunger if you can imagine that size at all. It is not black or necrotic in any way and it doesn't really hurt, just feels itchy sometimes. Do I need to go to a clinic, see my doctor, get I&amp;amp;D done? Any advice is greatly appreciated.</t>
        </is>
      </c>
      <c r="D3483" t="n">
        <v>3</v>
      </c>
      <c r="E3483" t="n">
        <v>9</v>
      </c>
      <c r="F3483">
        <f>HYPERLINK("https://www.reddit.com/r/diabetes/comments/70fkyw/cutaneous_abscess/")</f>
        <v/>
      </c>
      <c r="G3483" t="inlineStr">
        <is>
          <t>2017-09-16 00:08:42</t>
        </is>
      </c>
      <c r="H3483" t="inlineStr">
        <is>
          <t>Type 1</t>
        </is>
      </c>
    </row>
    <row r="3484">
      <c r="A3484" t="inlineStr">
        <is>
          <t>70g7p5</t>
        </is>
      </c>
      <c r="B3484" t="inlineStr">
        <is>
          <t>Site Issues - Help!</t>
        </is>
      </c>
      <c r="C3484" t="inlineStr">
        <is>
          <t>I'm new to this, diabetes AND pump. And we've already established that I need to site change every 2 days because the third day is a MESS for my sugars, but today I only got 24 hours out of a cannula before my sugar started to very very slowly rise ( dex with a flat arrow as it was rising over 4/5 hours without any food intake ), and no corrections were helping apart from the correction I took with a Novorapid pen before I had to rush into an appointment this morning as my levels had hit 16 post breakfast. The cannula wasn't kinked or anything, though it did look half empty when I pulled it out --- huge gnarly bruise under that site too. So i'm thinking absorption issues might be at play here, but wtf? surely i shouldn't need to change cannula's EVERY day. and side note, I was using the Medtronic iPort Advance when I was on MDI (same cannula length, inserter and soft cannula ), and would get three days easy! wah, my brain hurts</t>
        </is>
      </c>
      <c r="D3484" t="n">
        <v>3</v>
      </c>
      <c r="E3484" t="n">
        <v>2</v>
      </c>
      <c r="F3484">
        <f>HYPERLINK("https://www.reddit.com/r/diabetes/comments/70g7p5/site_issues_help/")</f>
        <v/>
      </c>
      <c r="G3484" t="inlineStr">
        <is>
          <t>2017-09-16 03:36:56</t>
        </is>
      </c>
      <c r="H3484" t="inlineStr">
        <is>
          <t>Type 1</t>
        </is>
      </c>
    </row>
    <row r="3485">
      <c r="A3485" t="inlineStr">
        <is>
          <t>70lk58</t>
        </is>
      </c>
      <c r="B3485" t="inlineStr">
        <is>
          <t>How do you know if you injected into a vein or through a vein?</t>
        </is>
      </c>
      <c r="C3485" t="inlineStr">
        <is>
          <t>Blood came out and i got a bruise on the spot instantly, did I inject into a vein or through my vein? Will I go low how fast?</t>
        </is>
      </c>
      <c r="D3485" t="n">
        <v>1</v>
      </c>
      <c r="E3485" t="n">
        <v>3</v>
      </c>
      <c r="F3485">
        <f>HYPERLINK("https://www.reddit.com/r/diabetes/comments/70lk58/how_do_you_know_if_you_injected_into_a_vein_or/")</f>
        <v/>
      </c>
      <c r="G3485" t="inlineStr">
        <is>
          <t>2017-09-16 21:27:53</t>
        </is>
      </c>
      <c r="H3485" t="inlineStr">
        <is>
          <t>Type 1</t>
        </is>
      </c>
    </row>
    <row r="3486">
      <c r="A3486" t="inlineStr">
        <is>
          <t>70nf3q</t>
        </is>
      </c>
      <c r="B3486" t="inlineStr">
        <is>
          <t>Sudden change in morning blood sugars?</t>
        </is>
      </c>
      <c r="C3486" t="inlineStr">
        <is>
          <t>I've been struggling with morning highs this week and wanted to crowdsource some help.
I've had the type 1 beetus since 1987 (so most of my life) and I've gotten pretty good at managing the disease. My a1c at my last endo visit was 5.5. 
But, the past week I've been having some really strange and frustrating readings and I don't know what to do or what's causing it.
I go to bed with a normal blood sugar, then wake up in the high 200s. 
My typical mornings I wake up between 60-120, but the last few nights have been drastically different. 
A few examples from the last 2 nights:
11:45pm - before bed: 50 (had a granola bar, 14g of carbs)
2:07am - 121
2:43am - 131
8:30am - 225
12:53am - 88
1:27am - 96
4:44am - 123
8:07am - 258
This is baffling to me as not a whole lot has changed in my life in the past week to cause such a drastic shift. 
Do y'all have any thoughts or tips?
TL:DR - My body is trying harder than usual to kill me. [insert grumpy face here]</t>
        </is>
      </c>
      <c r="D3486" t="n">
        <v>3</v>
      </c>
      <c r="E3486" t="n">
        <v>5</v>
      </c>
      <c r="F3486">
        <f>HYPERLINK("https://www.reddit.com/r/diabetes/comments/70nf3q/sudden_change_in_morning_blood_sugars/")</f>
        <v/>
      </c>
      <c r="G3486" t="inlineStr">
        <is>
          <t>2017-09-17 06:16:30</t>
        </is>
      </c>
      <c r="H3486" t="inlineStr">
        <is>
          <t>Type 1</t>
        </is>
      </c>
    </row>
    <row r="3487">
      <c r="A3487" t="inlineStr">
        <is>
          <t>70rgbu</t>
        </is>
      </c>
      <c r="B3487" t="inlineStr">
        <is>
          <t>Insulin needs changing--just the weather?</t>
        </is>
      </c>
      <c r="C3487" t="inlineStr">
        <is>
          <t>The last few weeks I've started being affected more by dawn phenomenon, ending up in the 200s or even 300 even with a basal amount that is perfect all day (haven't started my pump yet but I will on Tuesday!). My spikes have been more frequent and higher as well. I got my first 'HIGH' reading on Dexcom today! Also, I've upped my basal from 3 to 7 which is good during the day but not overnight. I've never really had problems with dawn phenomenon before this. Could it just be because its starting to get cooler? Or does it look like my honeymoon period starting to end?</t>
        </is>
      </c>
      <c r="D3487" t="n">
        <v>1</v>
      </c>
      <c r="E3487" t="n">
        <v>2</v>
      </c>
      <c r="F3487">
        <f>HYPERLINK("https://www.reddit.com/r/diabetes/comments/70rgbu/insulin_needs_changingjust_the_weather/")</f>
        <v/>
      </c>
      <c r="G3487" t="inlineStr">
        <is>
          <t>2017-09-17 17:30:19</t>
        </is>
      </c>
      <c r="H3487" t="inlineStr">
        <is>
          <t>Type 1</t>
        </is>
      </c>
    </row>
    <row r="3488">
      <c r="A3488" t="inlineStr">
        <is>
          <t>70s4jh</t>
        </is>
      </c>
      <c r="B3488" t="inlineStr">
        <is>
          <t>Help with xDrip+ and Dexcom g5</t>
        </is>
      </c>
      <c r="C3488" t="inlineStr">
        <is>
          <t xml:space="preserve">I just received my Dexcom g5. The first thing I tried to do was to pair it with my current Android phone. The official app is "not tested" on my device and therefore I couldn't install it. I was able to install it on my previous phone, an Samsung s5. Both the s5 and the dexcom reciever have been working well. I only want to carry one device, my current phone, a ZTE Axon 7 Mini. I came across xDrip+ as an alternative and I installed it on my Axon. I set up xDrip+ as best as I could and it seemed to pair with the transmitter but I have not been able to receive readings. Any help would be greatly appreciated.
Short version: I want to use my Dexcom g5 with my ZTE Axon 7 Mini using xDrip+ but it is not working correctly. The phone is running Android 7.1.1. </t>
        </is>
      </c>
      <c r="D3488" t="n">
        <v>8</v>
      </c>
      <c r="E3488" t="n">
        <v>8</v>
      </c>
      <c r="F3488">
        <f>HYPERLINK("https://www.reddit.com/r/diabetes/comments/70s4jh/help_with_xdrip_and_dexcom_g5/")</f>
        <v/>
      </c>
      <c r="G3488" t="inlineStr">
        <is>
          <t>2017-09-17 19:31:53</t>
        </is>
      </c>
      <c r="H3488" t="inlineStr">
        <is>
          <t>Type 1</t>
        </is>
      </c>
    </row>
    <row r="3489">
      <c r="A3489" t="inlineStr">
        <is>
          <t>70s5r7</t>
        </is>
      </c>
      <c r="B3489" t="inlineStr">
        <is>
          <t>Glycated HbA1c &amp;amp; insulin</t>
        </is>
      </c>
      <c r="C3489" t="inlineStr">
        <is>
          <t>Is there any relation between elevated HbA1c and high insulin levels? Does the pancreas pump insulin in response to A1C, not just free glucose.</t>
        </is>
      </c>
      <c r="D3489" t="n">
        <v>1</v>
      </c>
      <c r="E3489" t="n">
        <v>3</v>
      </c>
      <c r="F3489">
        <f>HYPERLINK("https://www.reddit.com/r/diabetes/comments/70s5r7/glycated_hba1c_insulin/")</f>
        <v/>
      </c>
      <c r="G3489" t="inlineStr">
        <is>
          <t>2017-09-17 19:38:14</t>
        </is>
      </c>
      <c r="H3489" t="inlineStr">
        <is>
          <t>Type 2</t>
        </is>
      </c>
    </row>
    <row r="3490">
      <c r="A3490" t="inlineStr">
        <is>
          <t>70spso</t>
        </is>
      </c>
      <c r="B3490" t="inlineStr">
        <is>
          <t>Omnipod pros and cons?</t>
        </is>
      </c>
      <c r="C3490" t="inlineStr">
        <is>
          <t>I am considering getting the Omnipod insulin pump and would like to hear some opinions. I play lots of sports so the fact that it is tubeless really appeals to me.
For those of you who have used the omnipod, what are your favourite and least favourite things about it? For people who have tried the omnipod as well as other pumps, which did you prefer?</t>
        </is>
      </c>
      <c r="D3490" t="n">
        <v>3</v>
      </c>
      <c r="E3490" t="n">
        <v>9</v>
      </c>
      <c r="F3490">
        <f>HYPERLINK("https://www.reddit.com/r/diabetes/comments/70spso/omnipod_pros_and_cons/")</f>
        <v/>
      </c>
      <c r="G3490" t="inlineStr">
        <is>
          <t>2017-09-17 21:29:58</t>
        </is>
      </c>
      <c r="H3490" t="inlineStr">
        <is>
          <t>Type 1</t>
        </is>
      </c>
    </row>
    <row r="3491">
      <c r="A3491" t="inlineStr">
        <is>
          <t>70sxgm</t>
        </is>
      </c>
      <c r="B3491" t="inlineStr">
        <is>
          <t>Are flavored teas OK for a T2?</t>
        </is>
      </c>
      <c r="C3491" t="inlineStr">
        <is>
          <t>Hi /r/diabetes,
So I was diagnosed with t2 today. :/ While I understand that I will have to alter my food considerably, I was wondering about flavored teas - the loose leaf kind. Does anyone drink them, and do they effect your BGs? Is stuff like this okay? e.g,
https://www.harney.com/products/genmaicha (has toasted rice kernels in, but you don't actually drink them?)
https://www.harney.com/products/hot-cinnamon-spice-tea (has sweet cloves?)
http://www.tealeaves.com/eros (has orange oil)
http://www.adagio.com/signature_blend/blend.html?blend=19184 (ginger root seems to have carbs?)
I have a huge collection and am used to drinking these teas quite frequently, but now am feeling scared to... I don't add sugar or milk. Any advice would be appreciated. Thank you!</t>
        </is>
      </c>
      <c r="D3491" t="n">
        <v>3</v>
      </c>
      <c r="E3491" t="n">
        <v>11</v>
      </c>
      <c r="F3491">
        <f>HYPERLINK("https://www.reddit.com/r/diabetes/comments/70sxgm/are_flavored_teas_ok_for_a_t2/")</f>
        <v/>
      </c>
      <c r="G3491" t="inlineStr">
        <is>
          <t>2017-09-17 22:16:32</t>
        </is>
      </c>
      <c r="H3491" t="inlineStr">
        <is>
          <t>Type 2</t>
        </is>
      </c>
    </row>
    <row r="3492">
      <c r="A3492" t="inlineStr">
        <is>
          <t>70vqkx</t>
        </is>
      </c>
      <c r="B3492" t="inlineStr">
        <is>
          <t>Is it harder to lose weight if you have type 2 diabetes because of the need for sugar?</t>
        </is>
      </c>
      <c r="C3492" t="inlineStr">
        <is>
          <t>Yes I understand weight loss is about calories in vs calories out.  I've lost weight by eating 1200 cals a day and doing cardio.  But this post isn't about me, it's about my mother.  My mother is as an asian female who's 61 years old.  She's 5'0 145 pounds.  Her tdee is about 1500.  It's low because of her age and height.  I tell her how she has to count calories to lose weight but its harder because with type 2 diabetes you have to eat when you need sugar.  She has to eat 3 meals a day.  Any advice?</t>
        </is>
      </c>
      <c r="D3492" t="n">
        <v>1</v>
      </c>
      <c r="E3492" t="n">
        <v>6</v>
      </c>
      <c r="F3492">
        <f>HYPERLINK("https://www.reddit.com/r/diabetes/comments/70vqkx/is_it_harder_to_lose_weight_if_you_have_type_2/")</f>
        <v/>
      </c>
      <c r="G3492" t="inlineStr">
        <is>
          <t>2017-09-18 08:28:51</t>
        </is>
      </c>
      <c r="H3492" t="inlineStr">
        <is>
          <t>Type 2</t>
        </is>
      </c>
    </row>
    <row r="3493">
      <c r="A3493" t="inlineStr">
        <is>
          <t>710ll4</t>
        </is>
      </c>
      <c r="B3493" t="inlineStr">
        <is>
          <t>Has anyone here had laser treatment for retinopathy?</t>
        </is>
      </c>
      <c r="C3493" t="inlineStr">
        <is>
          <t>Went to the ophthalmologist today for the first time in a while, and he says he's noticed the signs of some retinopathy in my eyes. As far as I know my vision is fine, and he didn't seem too worried, but he scheduled me for laser treatment. When I asked him how severe the situation was, he said it was 1 out of 5. 
Anyway I wanted to know a little more about the treatment, and the general consensus online seems to be that needing the procedure done means it is rather serious. Not too worried, I'm just getting mixed signals here.
What I want to know is, has anyone had any experience with this, and have you noticed any short or long term side effects from the treatment? I'm seeing a lot about loss of peripheral vision and trouble seeing in the dark. Was it a one time and you're good thing, or am I looking at the start of a long line of eye treatments?
Been type 1 for 14 years btw. Pretty average A1C's and whatnot, nothing crazy high except some bad parts during puberty.</t>
        </is>
      </c>
      <c r="D3493" t="n">
        <v>5</v>
      </c>
      <c r="E3493" t="n">
        <v>10</v>
      </c>
      <c r="F3493">
        <f>HYPERLINK("https://www.reddit.com/r/diabetes/comments/710ll4/has_anyone_here_had_laser_treatment_for/")</f>
        <v/>
      </c>
      <c r="G3493" t="inlineStr">
        <is>
          <t>2017-09-18 21:24:18</t>
        </is>
      </c>
      <c r="H3493" t="inlineStr">
        <is>
          <t>Type 1</t>
        </is>
      </c>
    </row>
    <row r="3494">
      <c r="A3494" t="inlineStr">
        <is>
          <t>718uk9</t>
        </is>
      </c>
      <c r="B3494" t="inlineStr">
        <is>
          <t>Alternatives to Lantus/Optisulin/basaglar</t>
        </is>
      </c>
      <c r="C3494" t="inlineStr">
        <is>
          <t xml:space="preserve">Are there any other long acting insulin 24 hr? </t>
        </is>
      </c>
      <c r="D3494" t="n">
        <v>1</v>
      </c>
      <c r="E3494" t="n">
        <v>5</v>
      </c>
      <c r="F3494">
        <f>HYPERLINK("https://www.reddit.com/r/diabetes/comments/718uk9/alternatives_to_lantusoptisulinbasaglar/")</f>
        <v/>
      </c>
      <c r="G3494" t="inlineStr">
        <is>
          <t>2017-09-19 21:55:12</t>
        </is>
      </c>
      <c r="H3494" t="inlineStr">
        <is>
          <t>Type 1</t>
        </is>
      </c>
    </row>
    <row r="3495">
      <c r="A3495" t="inlineStr">
        <is>
          <t>71asaq</t>
        </is>
      </c>
      <c r="B3495" t="inlineStr">
        <is>
          <t>Soliqua users out there?</t>
        </is>
      </c>
      <c r="C3495" t="inlineStr">
        <is>
          <t xml:space="preserve">Is anyone else trying Soliqua? What ws your experience with it, if so? I've started it on endo's advice and am still working on getting a dose that will keep my BG levels reasonable. </t>
        </is>
      </c>
      <c r="D3495" t="n">
        <v>1</v>
      </c>
      <c r="E3495" t="n">
        <v>0</v>
      </c>
      <c r="F3495">
        <f>HYPERLINK("https://www.reddit.com/r/diabetes/comments/71asaq/soliqua_users_out_there/")</f>
        <v/>
      </c>
      <c r="G3495" t="inlineStr">
        <is>
          <t>2017-09-20 05:40:26</t>
        </is>
      </c>
      <c r="H3495" t="inlineStr">
        <is>
          <t>Type 1.5/LADA</t>
        </is>
      </c>
    </row>
    <row r="3496">
      <c r="A3496" t="inlineStr">
        <is>
          <t>71b1c3</t>
        </is>
      </c>
      <c r="B3496" t="inlineStr">
        <is>
          <t>IOS 11 concerns</t>
        </is>
      </c>
      <c r="C3496" t="inlineStr">
        <is>
          <t>I have a dexcom g5 and I'm in the middle of the week long cycle of keeping it on. I'm wondering if upgrading my phone to iOS 11 will stop the sensor or make the phone stop receiving daa from the transmitter.  Had anyone tried it yet?</t>
        </is>
      </c>
      <c r="D3496" t="n">
        <v>6</v>
      </c>
      <c r="E3496" t="n">
        <v>17</v>
      </c>
      <c r="F3496">
        <f>HYPERLINK("https://www.reddit.com/r/diabetes/comments/71b1c3/ios_11_concerns/")</f>
        <v/>
      </c>
      <c r="G3496" t="inlineStr">
        <is>
          <t>2017-09-20 06:25:07</t>
        </is>
      </c>
      <c r="H3496" t="inlineStr">
        <is>
          <t>Type 1</t>
        </is>
      </c>
    </row>
    <row r="3497">
      <c r="A3497" t="inlineStr">
        <is>
          <t>71ct21</t>
        </is>
      </c>
      <c r="B3497" t="inlineStr">
        <is>
          <t>Good News!</t>
        </is>
      </c>
      <c r="C3497" t="inlineStr">
        <is>
          <t xml:space="preserve">I got my new HbA1c results back today. 
From 82, 3 months ago, all the way down to...44!
I am fairly chuffed with myself to tell the truth. 
</t>
        </is>
      </c>
      <c r="D3497" t="n">
        <v>10</v>
      </c>
      <c r="E3497" t="n">
        <v>9</v>
      </c>
      <c r="F3497">
        <f>HYPERLINK("https://www.reddit.com/r/diabetes/comments/71ct21/good_news/")</f>
        <v/>
      </c>
      <c r="G3497" t="inlineStr">
        <is>
          <t>2017-09-20 10:48:49</t>
        </is>
      </c>
      <c r="H3497" t="inlineStr">
        <is>
          <t>Type 2</t>
        </is>
      </c>
    </row>
    <row r="3498">
      <c r="A3498" t="inlineStr">
        <is>
          <t>71d727</t>
        </is>
      </c>
      <c r="B3498" t="inlineStr">
        <is>
          <t>Update: can you go from type 2 to type 1 + weight gain</t>
        </is>
      </c>
      <c r="C3498" t="inlineStr">
        <is>
          <t>After a lengthy stay in the hospital and following up with my endocrinologist, it turns out I am a type 1 diabetic. 
I have a lot of research to do on the topic especially on diet and researching how pumps work. I'm to follow up with the endo on 10/4 to discuss a pump if I can get my blood sugar under control. Right now it's still in the 400s. 
My biggest fear is gaining weight now that I am on insulin 4 times a day (novalog 3xs lantus once at bedtime). 
Does anyone have tips on how to prevent weight gain? I know it seems vain but I've read about a lot of people gaining weight on insulin. I don't want to be one of those people. Is it OK to go low carb? Like keto for instance? I met with a dietician who wants me to eat 150g of carbs a day. That seems high to me. 
What are your thoughts?</t>
        </is>
      </c>
      <c r="D3498" t="n">
        <v>4</v>
      </c>
      <c r="E3498" t="n">
        <v>19</v>
      </c>
      <c r="F3498">
        <f>HYPERLINK("https://www.reddit.com/r/diabetes/comments/71d727/update_can_you_go_from_type_2_to_type_1_weight/")</f>
        <v/>
      </c>
      <c r="G3498" t="inlineStr">
        <is>
          <t>2017-09-20 11:42:00</t>
        </is>
      </c>
      <c r="H3498" t="inlineStr">
        <is>
          <t>Type 1</t>
        </is>
      </c>
    </row>
    <row r="3499">
      <c r="A3499" t="inlineStr">
        <is>
          <t>71ede6</t>
        </is>
      </c>
      <c r="B3499" t="inlineStr">
        <is>
          <t>Am I going to go blind?</t>
        </is>
      </c>
      <c r="C3499" t="inlineStr">
        <is>
          <t>Kind of cross posting from /r/type2diabetes because it's not super active, sorry if that's not allowed
I've had a really bad few days with my food choices, eating super high density high carb foods. Today my vision is really bad, so blurry I can barely read a poster on the other side of the room. I also have health anxiety (a great thing to add to my T2 diagnosis for sure) and I feel like my vision is never going to get better.
Does anyone experience short term vision impairment? Am I losing my mind?
Also, less concerning but still in my mind, my left big toe has been numb for like 2 hours and it hasn't gotten much better. Is this temporary too? Or should I make a Dr appointment?
Sorry if this is an annoying post, I'm only 22 and have been diagnosed T2 for just less than a year and I'm still trying to navigate it.</t>
        </is>
      </c>
      <c r="D3499" t="n">
        <v>7</v>
      </c>
      <c r="E3499" t="n">
        <v>15</v>
      </c>
      <c r="F3499">
        <f>HYPERLINK("https://www.reddit.com/r/diabetes/comments/71ede6/am_i_going_to_go_blind/")</f>
        <v/>
      </c>
      <c r="G3499" t="inlineStr">
        <is>
          <t>2017-09-20 14:27:16</t>
        </is>
      </c>
      <c r="H3499" t="inlineStr">
        <is>
          <t>Type 2</t>
        </is>
      </c>
    </row>
    <row r="3500">
      <c r="A3500" t="inlineStr">
        <is>
          <t>71hkof</t>
        </is>
      </c>
      <c r="B3500" t="inlineStr">
        <is>
          <t>Social Stigmas and Diabetes Jokes</t>
        </is>
      </c>
      <c r="C3500" t="inlineStr">
        <is>
          <t>I don't want to say I'm embarrassed to tell people I'm diabetic, because I'm not, but I do find myself waiting as long as possible to tell new people just so I can enjoy the judgement free time. Once it's known, it's almost like I can feel the respect slipping away and the judgements racing through their heads. As far as we've come, I still feel like society views diabetes the same way they view lung cancer: something we deserve for our poor lifestyle choices.  And diabetes jokes literally make my blood boil. Aside from most of them being medically inaccurate and based on stereotypes, I just find it incredibly insensitive to joke about serious medical conditions. 
Thanks for reading my rant. How do you deal with the social stigma that comes with diabetes?</t>
        </is>
      </c>
      <c r="D3500" t="n">
        <v>8</v>
      </c>
      <c r="E3500" t="n">
        <v>11</v>
      </c>
      <c r="F3500">
        <f>HYPERLINK("https://www.reddit.com/r/diabetes/comments/71hkof/social_stigmas_and_diabetes_jokes/")</f>
        <v/>
      </c>
      <c r="G3500" t="inlineStr">
        <is>
          <t>2017-09-21 00:30:37</t>
        </is>
      </c>
      <c r="H3500" t="inlineStr">
        <is>
          <t>Type 1</t>
        </is>
      </c>
    </row>
    <row r="3501">
      <c r="A3501" t="inlineStr">
        <is>
          <t>71k5ra</t>
        </is>
      </c>
      <c r="B3501" t="inlineStr">
        <is>
          <t>Extra Dexcom G5 Mobile/G4 Platinum Sensor</t>
        </is>
      </c>
      <c r="C3501" t="inlineStr">
        <is>
          <t xml:space="preserve">Not sure if this is the place to post, but this month I had a week overlap on my Dexcom sensor shipment. I have an extra sensor still sealed that will be expiring on 12-21-2017. 
I'm willing to send this out to someone who needs an extra one and I'll take care of the shipping. Unfortunately I'll only be able to ship within the US.   Let me know if you need this. </t>
        </is>
      </c>
      <c r="D3501" t="n">
        <v>1</v>
      </c>
      <c r="E3501" t="n">
        <v>3</v>
      </c>
      <c r="F3501">
        <f>HYPERLINK("https://www.reddit.com/r/diabetes/comments/71k5ra/extra_dexcom_g5_mobileg4_platinum_sensor/")</f>
        <v/>
      </c>
      <c r="G3501" t="inlineStr">
        <is>
          <t>2017-09-21 09:08:44</t>
        </is>
      </c>
      <c r="H3501" t="inlineStr">
        <is>
          <t>Type 1</t>
        </is>
      </c>
    </row>
    <row r="3502">
      <c r="A3502" t="inlineStr">
        <is>
          <t>71lz3g</t>
        </is>
      </c>
      <c r="B3502" t="inlineStr">
        <is>
          <t>20 years.</t>
        </is>
      </c>
      <c r="C3502" t="inlineStr">
        <is>
          <t>It looks like I finally made it. As of today, I have lived with type 1 diabetes for 20 years. Next year I could buy my diabetes a drink if I wanted. I really don’t; we don’t get along, but that’s not the point. If I was a more “deep” person, I’d type up a long, personal essay on how I’m using this disease as an opportunity to better myself and to motivate others, but I can’t. Trust me, I tried. 20 years seems like the kind of milestone where I’d write something like that.
I couldn’t do it because 1, I complain too much to be motivational, and 2, I really have nothing to compare this to. I was diagnosed with diabetes when I was 5 years old. You know what I was doing at 5 years old? Kindergarten. My only frame of reference to what a “normal” life is without diabetes was back when I was learning the ABCs. I couldn’t even cross the street yet.
I lived with type 1 diabetes throughout my entire childhood. Basically everything in my life was influenced by diabetes in some way or another. I mean I guess I could envision a life where I didn’t have diabetes, but there’s no point. For example, I didn’t really play sports growing up due to diabetes. Constant low blood sugars made lots of physical activity insanely difficult. Let’s say I didn’t have diabetes and played football instead. I would have never joined Boy Scouts since I joined scouts specifically because my mom wouldn’t let me play sports, and I would have never joined marching band due to the obvious time conflicts.
Well crap, there goes half my friends right there.
Maybe I could have been an awesome D1 athlete, or maybe I could have gotten crushed by some 300lb defensive lineman and would now be a living pancake. Maybe I could have gotten that pilot job that I wanted as a kid. Who knows? There’s no point in trying to envision a life without diabetes because so much could be different. There’s too many variables. Would I have gone to College? Would I have met my girlfriend? Would I be fat?
Who cares?
Here’s to 20 more years of a “normal” life with diabetes. (You know, “normal.” Like having to stab myself repeatedly every time I have to eat.) If a cure is discovered sometime soon, I’ll gladly take it. If not, I’ll just continue living my life as “normal” as possible. It’s seemed to work so far.</t>
        </is>
      </c>
      <c r="D3502" t="n">
        <v>58</v>
      </c>
      <c r="E3502" t="n">
        <v>36</v>
      </c>
      <c r="F3502">
        <f>HYPERLINK("https://www.reddit.com/r/diabetes/comments/71lz3g/20_years/")</f>
        <v/>
      </c>
      <c r="G3502" t="inlineStr">
        <is>
          <t>2017-09-21 13:26:53</t>
        </is>
      </c>
      <c r="H3502" t="inlineStr">
        <is>
          <t>Type 1</t>
        </is>
      </c>
    </row>
    <row r="3503">
      <c r="A3503" t="inlineStr">
        <is>
          <t>71oof2</t>
        </is>
      </c>
      <c r="B3503" t="inlineStr">
        <is>
          <t>Succeeding in life, but pushing everything away!</t>
        </is>
      </c>
      <c r="C3503" t="inlineStr">
        <is>
          <t>I have had a determined life, pushing my life to the limits, and never letting my Type 1 bring me down.... I have traveled the world, had a successful career and have great friends. 
I find after being so close to death a few times, and always having mood swings, all I want is to be a good person though. I find though, my diabetes makes me negative at life sometimes, I see myself sometimes when I'm actually happy and realize this is what life can be. Then I wake up at 2 am with my blood either low or high, dexcom beeping at me, drag my ass to work, everyone asking me why I'm always mad in the mornings ( sometimes I'm crawling from death to make it to work). I just find I'm always pushing people away that love me, because I know how hard it is, my mood changes, my burden my blah blah blah. Sorry does anyone else just push????</t>
        </is>
      </c>
      <c r="D3503" t="n">
        <v>3</v>
      </c>
      <c r="E3503" t="n">
        <v>8</v>
      </c>
      <c r="F3503">
        <f>HYPERLINK("https://www.reddit.com/r/diabetes/comments/71oof2/succeeding_in_life_but_pushing_everything_away/")</f>
        <v/>
      </c>
      <c r="G3503" t="inlineStr">
        <is>
          <t>2017-09-21 21:19:49</t>
        </is>
      </c>
      <c r="H3503" t="inlineStr">
        <is>
          <t>Type 1</t>
        </is>
      </c>
    </row>
    <row r="3504">
      <c r="A3504" t="inlineStr">
        <is>
          <t>71rgfg</t>
        </is>
      </c>
      <c r="B3504" t="inlineStr">
        <is>
          <t>Need Urgent Advice</t>
        </is>
      </c>
      <c r="C3504" t="inlineStr">
        <is>
          <t>Type 1. 
Hello. I left my city to travel home (3 hour train journey) today. 
Halfway through, I had just finished eating lunch (60-70 grams of carbohydrates) when I realised I don’t have my fast-acting NovaRapid insulin. I had left it at home, and wouldn’t be able to go back and get it. Fortunately I have some spares at home where I am heading, but I won’t be there for another 2 hours.. my blood sugar has already spiked to 17.4 mmol. 
My question is - how f*cked am I? I can’t check ketones because I don’t have the strips. My blood sugar is still rising from all the carbs I had at lunch. In desperation I put in 5 units of Levemir insulin (which I didn’t forget) but I’m not sure that was the right thing to do. Any advice? Is it worth stopping at the next stop and finding the nearest hospital or should I just wait until I finish my journey?
Any advice appreciated. 
EDIT: Thanks for all the advice guys, really. I’m back home now, and I was able to get someone to drop off some insulin at the station and pick me up from there, shot 9 units straight away. At 9.4mmol now and dropping. I’ll keep in mind that extra 5 units of Levemir, maybe using less tonight for my usual dose. 
This is why I love communities like this. I needed advice and got it from people with the same experiences. Thanks again and try to avoid making the same mistake I did! Stay safe!</t>
        </is>
      </c>
      <c r="D3504" t="n">
        <v>11</v>
      </c>
      <c r="E3504" t="n">
        <v>15</v>
      </c>
      <c r="F3504">
        <f>HYPERLINK("https://www.reddit.com/r/diabetes/comments/71rgfg/need_urgent_advice/")</f>
        <v/>
      </c>
      <c r="G3504" t="inlineStr">
        <is>
          <t>2017-09-22 07:48:19</t>
        </is>
      </c>
      <c r="H3504" t="inlineStr">
        <is>
          <t>Type 1</t>
        </is>
      </c>
    </row>
    <row r="3505">
      <c r="A3505" t="inlineStr">
        <is>
          <t>71sz59</t>
        </is>
      </c>
      <c r="B3505" t="inlineStr">
        <is>
          <t>Feeling like an alien</t>
        </is>
      </c>
      <c r="C3505" t="inlineStr">
        <is>
          <t xml:space="preserve">Hey I've posted on here a few times. I'm doing better than I was in my previous posts but lately i haven't been able to shake the feeling of not being able to truly relate to most people. Even if I love a person and have known them for years, all I can think about is how they have no way of understanding what I go through on a daily basis. I feel like a fucking alien. My blood sugar control has been alright lately, I just find it really hard to handle that statistically 1 in 300 people understand what I go through. I recently met another T1 diabetic in a non-diabetes setting for the first time, and while it was great to meet someone I clicked with AND is diabetic, in my 6 years of being diabetic and his 20(!) this was the first time this happened for either of us. Ironically I didn't realize how alone I was until I met another one. This isn't really going anywhere, just a melancholy rant I suppose. I've been realizing that this isn't something you come to terms with once, it's something you come to terms with from the second you wake up to when you fall asleep every day. </t>
        </is>
      </c>
      <c r="D3505" t="n">
        <v>14</v>
      </c>
      <c r="E3505" t="n">
        <v>13</v>
      </c>
      <c r="F3505">
        <f>HYPERLINK("https://www.reddit.com/r/diabetes/comments/71sz59/feeling_like_an_alien/")</f>
        <v/>
      </c>
      <c r="G3505" t="inlineStr">
        <is>
          <t>2017-09-22 11:31:51</t>
        </is>
      </c>
      <c r="H3505" t="inlineStr">
        <is>
          <t>Type 1</t>
        </is>
      </c>
    </row>
    <row r="3506">
      <c r="A3506" t="inlineStr">
        <is>
          <t>71vqyp</t>
        </is>
      </c>
      <c r="B3506" t="inlineStr">
        <is>
          <t>Ultra 2 + Medtronic 630G</t>
        </is>
      </c>
      <c r="C3506" t="inlineStr">
        <is>
          <t xml:space="preserve">Hi T1Ds!
I’m wondering if there’s a way I can see my diabetes data on my computer. I’m a visual learner and it helps to see a graph. Is there a usb cord I can buy to look up data from my ultra 2 meter? I know about carelink but my insurance doesn’t cover bayer strips so I can’t use the meter that came with my 630g. Similarly, is there a way I can look up data from my pump? Let me know! </t>
        </is>
      </c>
      <c r="D3506" t="n">
        <v>1</v>
      </c>
      <c r="E3506" t="n">
        <v>4</v>
      </c>
      <c r="F3506">
        <f>HYPERLINK("https://www.reddit.com/r/diabetes/comments/71vqyp/ultra_2_medtronic_630g/")</f>
        <v/>
      </c>
      <c r="G3506" t="inlineStr">
        <is>
          <t>2017-09-22 19:31:50</t>
        </is>
      </c>
      <c r="H3506" t="inlineStr">
        <is>
          <t>Type 1</t>
        </is>
      </c>
    </row>
    <row r="3507">
      <c r="A3507" t="inlineStr">
        <is>
          <t>71w4e3</t>
        </is>
      </c>
      <c r="B3507" t="inlineStr">
        <is>
          <t>One small step for diabetes, one giant leap for us!!!</t>
        </is>
      </c>
      <c r="C3507" t="inlineStr">
        <is>
          <t>Hello all, you may remember me/us... I have the girlfriend that has been diabetic for about 10 years. She was just constantly depressed, running high, and in DKA. We spent from January-June in the hospital... a lot of you told me it would be best if I let her go on her own. I decided to to stick with her though. 
Now here we are!!!
I’m now happy to say she has gotten a Dexcom CGM!!! I know it’s nothing huge to some of you, but to me this means the world. She’s finally caring about herself. I believe it’s the change in her primary and endo; both new people, and she really likes them.
Her blood sugar use to, on average, run in the upper 400-500, now she is running around 130-170. We are doing so much better.
Thank you for all the support! I will keep everyone updated. Fingers crossed for her wanting to try a pump in a year or two.
Edit: Thank you sooo much for all the support guys! I cannot stop smiling !</t>
        </is>
      </c>
      <c r="D3507" t="n">
        <v>81</v>
      </c>
      <c r="E3507" t="n">
        <v>27</v>
      </c>
      <c r="F3507">
        <f>HYPERLINK("https://www.reddit.com/r/diabetes/comments/71w4e3/one_small_step_for_diabetes_one_giant_leap_for_us/")</f>
        <v/>
      </c>
      <c r="G3507" t="inlineStr">
        <is>
          <t>2017-09-22 20:53:45</t>
        </is>
      </c>
      <c r="H3507" t="inlineStr">
        <is>
          <t>Type 1</t>
        </is>
      </c>
    </row>
    <row r="3508">
      <c r="A3508" t="inlineStr">
        <is>
          <t>71yjlp</t>
        </is>
      </c>
      <c r="B3508" t="inlineStr">
        <is>
          <t>sensor wire</t>
        </is>
      </c>
      <c r="C3508" t="inlineStr">
        <is>
          <t>what happens to the sensor wire on Dexcom G5 when you change sensors? does it desolve?</t>
        </is>
      </c>
      <c r="D3508" t="n">
        <v>2</v>
      </c>
      <c r="E3508" t="n">
        <v>7</v>
      </c>
      <c r="F3508">
        <f>HYPERLINK("https://www.reddit.com/r/diabetes/comments/71yjlp/sensor_wire/")</f>
        <v/>
      </c>
      <c r="G3508" t="inlineStr">
        <is>
          <t>2017-09-23 07:25:17</t>
        </is>
      </c>
      <c r="H3508" t="inlineStr">
        <is>
          <t>Type 1</t>
        </is>
      </c>
    </row>
    <row r="3509">
      <c r="A3509" t="inlineStr">
        <is>
          <t>726nmm</t>
        </is>
      </c>
      <c r="B3509" t="inlineStr">
        <is>
          <t>Thank you for this site, and thank all of you for helping!</t>
        </is>
      </c>
      <c r="C3509" t="inlineStr">
        <is>
          <t>This site has helped me in many ways, at night I read all your posts and it is the only place were people actually understand me!!! 
I just wanted to thank this community and want to tell all of you that you all help me! Keep on trucking fellow diabetics! Pancreas or no pancreas we are killing it!</t>
        </is>
      </c>
      <c r="D3509" t="n">
        <v>41</v>
      </c>
      <c r="E3509" t="n">
        <v>6</v>
      </c>
      <c r="F3509">
        <f>HYPERLINK("https://www.reddit.com/r/diabetes/comments/726nmm/thank_you_for_this_site_and_thank_all_of_you_for/")</f>
        <v/>
      </c>
      <c r="G3509" t="inlineStr">
        <is>
          <t>2017-09-24 11:07:51</t>
        </is>
      </c>
      <c r="H3509" t="inlineStr">
        <is>
          <t>Type 1</t>
        </is>
      </c>
    </row>
    <row r="3510">
      <c r="A3510" t="inlineStr">
        <is>
          <t>727m0w</t>
        </is>
      </c>
      <c r="B3510" t="inlineStr">
        <is>
          <t>DKA symptoms</t>
        </is>
      </c>
      <c r="C3510" t="inlineStr">
        <is>
          <t xml:space="preserve">Does anyone ever experience DKA symptoms after having a cold/flu? I think my cold is gone, but, I'm experiencing extreme nausea. It's very awful. I'm taking small 2u doses every hour. Keeping an eye on my blood sugar. Is this common?
I have to work tomorrow and I do not want to lose my hours. </t>
        </is>
      </c>
      <c r="D3510" t="n">
        <v>8</v>
      </c>
      <c r="E3510" t="n">
        <v>8</v>
      </c>
      <c r="F3510">
        <f>HYPERLINK("https://www.reddit.com/r/diabetes/comments/727m0w/dka_symptoms/")</f>
        <v/>
      </c>
      <c r="G3510" t="inlineStr">
        <is>
          <t>2017-09-24 13:37:49</t>
        </is>
      </c>
      <c r="H3510" t="inlineStr">
        <is>
          <t>Type 1</t>
        </is>
      </c>
    </row>
    <row r="3511">
      <c r="A3511" t="inlineStr">
        <is>
          <t>729zmq</t>
        </is>
      </c>
      <c r="B3511" t="inlineStr">
        <is>
          <t>Options for continuous blood sugar monitor.</t>
        </is>
      </c>
      <c r="C3511" t="inlineStr">
        <is>
          <t>I've had T1D for a few years now, and want to find a continuous monitor. I have looked into Dexcom, but it is too pricey for me even with insurance. I am also using the pen and would prefer to stay on it. What would you guys recommend?</t>
        </is>
      </c>
      <c r="D3511" t="n">
        <v>2</v>
      </c>
      <c r="E3511" t="n">
        <v>8</v>
      </c>
      <c r="F3511">
        <f>HYPERLINK("https://www.reddit.com/r/diabetes/comments/729zmq/options_for_continuous_blood_sugar_monitor/")</f>
        <v/>
      </c>
      <c r="G3511" t="inlineStr">
        <is>
          <t>2017-09-24 20:45:26</t>
        </is>
      </c>
      <c r="H3511" t="inlineStr">
        <is>
          <t>Type 1</t>
        </is>
      </c>
    </row>
    <row r="3512">
      <c r="A3512" t="inlineStr">
        <is>
          <t>72cjef</t>
        </is>
      </c>
      <c r="B3512" t="inlineStr">
        <is>
          <t>Goodbye Glucose Buddy, back to Excel</t>
        </is>
      </c>
      <c r="C3512" t="inlineStr">
        <is>
          <t>Their recent iPhone update was quite disruptive, as it changed the display of everything.  I could no longer find the log display, which is what I wanted to see.  Plus I was forced to enroll with my name and e-mail, when all I wanted to do was plug in the numbers for a quick display.  After tediously entering the last month's worth of numbers from my BG meter, only to see a confusing interpretation, I deleted the app, and I'm back to entering the numbers in Excel.</t>
        </is>
      </c>
      <c r="D3512" t="n">
        <v>1</v>
      </c>
      <c r="E3512" t="n">
        <v>3</v>
      </c>
      <c r="F3512">
        <f>HYPERLINK("https://www.reddit.com/r/diabetes/comments/72cjef/goodbye_glucose_buddy_back_to_excel/")</f>
        <v/>
      </c>
      <c r="G3512" t="inlineStr">
        <is>
          <t>2017-09-25 06:50:59</t>
        </is>
      </c>
      <c r="H3512" t="inlineStr">
        <is>
          <t>Type 2</t>
        </is>
      </c>
    </row>
    <row r="3513">
      <c r="A3513" t="inlineStr">
        <is>
          <t>72cjy8</t>
        </is>
      </c>
      <c r="B3513" t="inlineStr">
        <is>
          <t>T2 Curry bad for diabetes?</t>
        </is>
      </c>
      <c r="C3513" t="inlineStr">
        <is>
          <t>I switched from salad to vegetarian curry for about a month and my abscess seems to be flaring back up.
Has anyone successfully taken curry daily while controlling blood sugar?</t>
        </is>
      </c>
      <c r="D3513" t="n">
        <v>0</v>
      </c>
      <c r="E3513" t="n">
        <v>13</v>
      </c>
      <c r="F3513">
        <f>HYPERLINK("https://www.reddit.com/r/diabetes/comments/72cjy8/t2_curry_bad_for_diabetes/")</f>
        <v/>
      </c>
      <c r="G3513" t="inlineStr">
        <is>
          <t>2017-09-25 06:53:45</t>
        </is>
      </c>
      <c r="H3513" t="inlineStr">
        <is>
          <t>Type 2</t>
        </is>
      </c>
    </row>
    <row r="3514">
      <c r="A3514" t="inlineStr">
        <is>
          <t>72crna</t>
        </is>
      </c>
      <c r="B3514" t="inlineStr">
        <is>
          <t>I can't remember to bolus before eating anymore. (Insulin Pump T1D)</t>
        </is>
      </c>
      <c r="C3514" t="inlineStr">
        <is>
          <t xml:space="preserve">I probably forget 20-30% of the time - by forget, I mean, I would eat and the 15 minutes later remember to tet my blood sugar and bolus - but the entire September, for some reason, my blood sugars have been either in the keytone levels. I am 20, have had diabetes for 18 years A1C around 7.9-9.0%  but I have never been this out of control in a really long time.
I guess I am just seeking some ways I can control my issue of forgetting to test. There hasn't been any changes in my life. 
I also have have the new Medtronic PUMP with the Dexcom CGM. I am waiting for the "class" so I can start using it. 
Thank you. </t>
        </is>
      </c>
      <c r="D3514" t="n">
        <v>16</v>
      </c>
      <c r="E3514" t="n">
        <v>34</v>
      </c>
      <c r="F3514">
        <f>HYPERLINK("https://www.reddit.com/r/diabetes/comments/72crna/i_cant_remember_to_bolus_before_eating_anymore/")</f>
        <v/>
      </c>
      <c r="G3514" t="inlineStr">
        <is>
          <t>2017-09-25 07:29:04</t>
        </is>
      </c>
      <c r="H3514" t="inlineStr">
        <is>
          <t>Type 1</t>
        </is>
      </c>
    </row>
    <row r="3515">
      <c r="A3515" t="inlineStr">
        <is>
          <t>72d4ls</t>
        </is>
      </c>
      <c r="B3515" t="inlineStr">
        <is>
          <t>T2 - A little high in the morning</t>
        </is>
      </c>
      <c r="C3515" t="inlineStr">
        <is>
          <t xml:space="preserve">Last a1c was 6.6 but expect it to drop as back on Metformin (after being off for a while) and exercise and diet is improved. 
My BG levels are pretty well in range most of the day.  Usually between 80-95.  Even PP rarely spike to more than 120, never more than 140.  The only readings I get out of range are first thing in AM.  
I'm intermittent fasting, so last meal is roughly 8 p.m.  The PP numbers after dinner are what I'd expect.  Sometimes I take a reading prior to going to sleep and I'm under 100.  But in the morning I'll be 115-120ish  
Currently taking 500mg of Metformin ER 2x per day (1 in morning 1 in evening).  Metformin is well tolerated -  Should I ask to go to 2000mg/day?  </t>
        </is>
      </c>
      <c r="D3515" t="n">
        <v>0</v>
      </c>
      <c r="E3515" t="n">
        <v>2</v>
      </c>
      <c r="F3515">
        <f>HYPERLINK("https://www.reddit.com/r/diabetes/comments/72d4ls/t2_a_little_high_in_the_morning/")</f>
        <v/>
      </c>
      <c r="G3515" t="inlineStr">
        <is>
          <t>2017-09-25 08:24:17</t>
        </is>
      </c>
      <c r="H3515" t="inlineStr">
        <is>
          <t>Type 2</t>
        </is>
      </c>
    </row>
    <row r="3516">
      <c r="A3516" t="inlineStr">
        <is>
          <t>72eksv</t>
        </is>
      </c>
      <c r="B3516" t="inlineStr">
        <is>
          <t>No significant change since medicine increase</t>
        </is>
      </c>
      <c r="C3516" t="inlineStr">
        <is>
          <t xml:space="preserve">I was diagnosed on July 26th of this year as a Type 2 (11.6 A1c). My doctor put me on 1000mg of metformin, not ER that I know of, at least my prescription doesn't say ER. After a second visit he bumped me up to 1500mg a day and we saw my sugars drop even more. On 1500mg I was hanging around 140-150 for my fasting numbers in the morning. Last week I had a dietitian appointment and  even though my new A1c is 7.6, she recommended that we increase my meds again to 2000mg a day. Since the increase, I've not seen any significant change in my numbers from before, granted it's only been 5 days in total worth of taking the new dosage. I'm wondering if I should change my medicine pattern or just give it some more time to work. I take 1000mg in the morning and 1000mg in the evening after dinner. 
*Side note: I have been tested to see if I need insulin and I'm a no as of right now. I go back for a full work up on Nov. 1 and I'm wondering if I should mention the weekly injections we spoke briefly about before if my numbers are still the same. He didn't feel comfortable putting me on them because he was worried it would cause me to drop too low. </t>
        </is>
      </c>
      <c r="D3516" t="n">
        <v>0</v>
      </c>
      <c r="E3516" t="n">
        <v>9</v>
      </c>
      <c r="F3516">
        <f>HYPERLINK("https://www.reddit.com/r/diabetes/comments/72eksv/no_significant_change_since_medicine_increase/")</f>
        <v/>
      </c>
      <c r="G3516" t="inlineStr">
        <is>
          <t>2017-09-25 11:52:45</t>
        </is>
      </c>
      <c r="H3516" t="inlineStr">
        <is>
          <t>Type 2</t>
        </is>
      </c>
    </row>
    <row r="3517">
      <c r="A3517" t="inlineStr">
        <is>
          <t>72fek4</t>
        </is>
      </c>
      <c r="B3517" t="inlineStr">
        <is>
          <t>The battery on my blood glucose meter died so I changed it and now all my readings are off.</t>
        </is>
      </c>
      <c r="C3517" t="inlineStr">
        <is>
          <t>The battery died last night so I changed it and put in a new one. I knew something was wrong when it said I was in the 300's. I have never ever been in the 300's and I was diagnosed with type 2 about three years ago. I went and retested myself and the number went down to about 170. 
Still I wanted to be sure so I retested a third time and the number went back up to about 200. Each time I made sure I had washed and dried my hands. This morning I went to test similar problem again three times over again. My numbers are always between 90-130 the most I have seen my numbers go up is 150. But to be in the 200-300 range and over has never been my case and to have the meter give me three readings that were so far off has also never happened. It only happened after I changed the battery on my meter never before. Anyone else ever have this problem? How did you resolve it? Also if it helps I am using the freesyle lite meter.</t>
        </is>
      </c>
      <c r="D3517" t="n">
        <v>0</v>
      </c>
      <c r="E3517" t="n">
        <v>5</v>
      </c>
      <c r="F3517">
        <f>HYPERLINK("https://www.reddit.com/r/diabetes/comments/72fek4/the_battery_on_my_blood_glucose_meter_died_so_i/")</f>
        <v/>
      </c>
      <c r="G3517" t="inlineStr">
        <is>
          <t>2017-09-25 13:52:24</t>
        </is>
      </c>
      <c r="H3517" t="inlineStr">
        <is>
          <t>Type 2</t>
        </is>
      </c>
    </row>
    <row r="3518">
      <c r="A3518" t="inlineStr">
        <is>
          <t>72ft8m</t>
        </is>
      </c>
      <c r="B3518" t="inlineStr">
        <is>
          <t>Recently diagnosed with T1.5/LADA. Scared and overwhelmed.</t>
        </is>
      </c>
      <c r="C3518" t="inlineStr">
        <is>
          <t>I'm going to try to make the details of this as brief as possible. Last month, my primary care doctor rather abruptly diagnosed me with type 2 diabetes and lectured me on the importance of diet and exercise. Given the fact that I am a fairly young (23) group fitness instructor with a normal BMI (And yes, I know that not all T2 cases are due to poor diet/inactivity this was a knee-jerk reaction), something about my doctor's diagnosis and eagerness to put me on insulin and/or metformin felt very wrong... so I sought a second opinion from an endocrinologist. Two weeks ago, an A1C test and some sort of antibodies test (I'm fuzzy on the names for all of those tests) brought my endo and his PA to the conclusion that I have LADA, and needed to be put on insulin (Levemir in the evening, Novolog before meals, if that matters) right away. 
I'm just so overwhelmed with everything, especially the insulin and my diet. I beat myself up when my sugar is too high, and I wait for the sky to fall when it's low enough that I'm instructed not to take insulin. Carb counting freaks me out. I overcompensate when my sugar is too high and I *think* I'm eating a lot of carbs and then an hour later I end up breaking out in a sweat and my sugar drops down to the mid 40s. I'm sure it takes time to get the numbers right, and I certainly won't get it right after a week or so on the medicine, but it feels like I'm serving as my own guinea pig and it's unnerving. I don't want to make a mistake. I often find myself so scared of eating, so scared of having a high, so scared of gaining weight now that my body will actually have insulin to metabolize my food, that sometimes I'd rather just not eat at all. Sometimes I feel envious of the rest of the world for not having to worry about this stuff that I'd rather eat whatever the hell I want out of sheer spite. 
I'm not used to this. I never had to worry about what I was eating or monitoring my carb intake and I have no clue what I'm doing. I feel guilty and anxious every time I eat or think about eating. This feeling has only intensified after meeting with a dietician. I feel completely powerless. You can probably tell I know approximately zero things about diabetes, so I'm sorry if there are any inaccuracies or if I've offended anyone. 
I don't really know what I'm looking for here. Advice, I guess?</t>
        </is>
      </c>
      <c r="D3518" t="n">
        <v>3</v>
      </c>
      <c r="E3518" t="n">
        <v>13</v>
      </c>
      <c r="F3518">
        <f>HYPERLINK("https://www.reddit.com/r/diabetes/comments/72ft8m/recently_diagnosed_with_t15lada_scared_and/")</f>
        <v/>
      </c>
      <c r="G3518" t="inlineStr">
        <is>
          <t>2017-09-25 14:55:04</t>
        </is>
      </c>
      <c r="H3518" t="inlineStr">
        <is>
          <t>Type 1.5/LADA</t>
        </is>
      </c>
    </row>
    <row r="3519">
      <c r="A3519" t="inlineStr">
        <is>
          <t>72g8cn</t>
        </is>
      </c>
      <c r="B3519" t="inlineStr">
        <is>
          <t>My son is finally getting a pump tomorrow and it's 100% covered!</t>
        </is>
      </c>
      <c r="C3519" t="inlineStr">
        <is>
          <t>He was diagnosed at 1.5 years old and he just turned 5. He's finally getting a pump now that my insurance combined with Medicaid (Michigan kvvers Medicaid for kids with diseases) the pump, strips, and all other supplies are completely covered! He's getting a T:Slim X2 and they're shipping it in the morning!
I am so excited to have better control over this disease, and to have the debt lifted from my shoulders!
Thanks to all who suggested this pump, I really think I'm gonna like it!</t>
        </is>
      </c>
      <c r="D3519" t="n">
        <v>87</v>
      </c>
      <c r="E3519" t="n">
        <v>18</v>
      </c>
      <c r="F3519">
        <f>HYPERLINK("https://www.reddit.com/r/diabetes/comments/72g8cn/my_son_is_finally_getting_a_pump_tomorrow_and_its/")</f>
        <v/>
      </c>
      <c r="G3519" t="inlineStr">
        <is>
          <t>2017-09-25 16:03:07</t>
        </is>
      </c>
      <c r="H3519" t="inlineStr">
        <is>
          <t>Type 1</t>
        </is>
      </c>
    </row>
    <row r="3520">
      <c r="A3520" t="inlineStr">
        <is>
          <t>72gw5b</t>
        </is>
      </c>
      <c r="B3520" t="inlineStr">
        <is>
          <t>2 questions for other diabetics</t>
        </is>
      </c>
      <c r="C3520" t="inlineStr">
        <is>
          <t>Hello, I have two questions, but first some qualifying information. I'm a 20 year old guy, currently around 260lbs. I've been struggling with keeping my blood glucose down (I usually wake up and go to sleep around 220s).
First, I need insertion site suggestions. I have scar tissue build up on my front sides, right above my pelvis, as well as my butt. I've tried my legs for awhile but it doesn't seem to have that much of a better effect. Is there a certain rotation schedule that you'd recommend to ensure that the insulin gets absorbed effectively?
Second, I'm trying to figure out when to bolus before eating. I'm around 20 minutes but my blood sugar still spikes after eating. Do you think I'm eating too much, not bolusing enough, or not bolusing early enough?</t>
        </is>
      </c>
      <c r="D3520" t="n">
        <v>2</v>
      </c>
      <c r="E3520" t="n">
        <v>8</v>
      </c>
      <c r="F3520">
        <f>HYPERLINK("https://www.reddit.com/r/diabetes/comments/72gw5b/2_questions_for_other_diabetics/")</f>
        <v/>
      </c>
      <c r="G3520" t="inlineStr">
        <is>
          <t>2017-09-25 17:55:26</t>
        </is>
      </c>
      <c r="H3520" t="inlineStr">
        <is>
          <t>Type 1</t>
        </is>
      </c>
    </row>
    <row r="3521">
      <c r="A3521" t="inlineStr">
        <is>
          <t>72k134</t>
        </is>
      </c>
      <c r="B3521" t="inlineStr">
        <is>
          <t>T2 If sugar high how to lower?</t>
        </is>
      </c>
      <c r="C3521" t="inlineStr">
        <is>
          <t>I had posted that my blood sugar is high because I foolishly was eating curry vegetables and okra for a while.
I am currently on extended release Metformin 750mg daily. Other than just taking that medicine, is there anything I can do to lower my blood sugar?</t>
        </is>
      </c>
      <c r="D3521" t="n">
        <v>1</v>
      </c>
      <c r="E3521" t="n">
        <v>54</v>
      </c>
      <c r="F3521">
        <f>HYPERLINK("https://www.reddit.com/r/diabetes/comments/72k134/t2_if_sugar_high_how_to_lower/")</f>
        <v/>
      </c>
      <c r="G3521" t="inlineStr">
        <is>
          <t>2017-09-26 05:33:44</t>
        </is>
      </c>
      <c r="H3521" t="inlineStr">
        <is>
          <t>Type 2</t>
        </is>
      </c>
    </row>
    <row r="3522">
      <c r="A3522" t="inlineStr">
        <is>
          <t>72nesf</t>
        </is>
      </c>
      <c r="B3522" t="inlineStr">
        <is>
          <t>I finally have insurance</t>
        </is>
      </c>
      <c r="C3522" t="inlineStr">
        <is>
          <t xml:space="preserve">And everything is covered, including test strips and needle tips! I have never been happier. </t>
        </is>
      </c>
      <c r="D3522" t="n">
        <v>65</v>
      </c>
      <c r="E3522" t="n">
        <v>9</v>
      </c>
      <c r="F3522">
        <f>HYPERLINK("https://www.reddit.com/r/diabetes/comments/72nesf/i_finally_have_insurance/")</f>
        <v/>
      </c>
      <c r="G3522" t="inlineStr">
        <is>
          <t>2017-09-26 13:59:20</t>
        </is>
      </c>
      <c r="H3522" t="inlineStr">
        <is>
          <t>Type 1</t>
        </is>
      </c>
    </row>
    <row r="3523">
      <c r="A3523" t="inlineStr">
        <is>
          <t>72r8ma</t>
        </is>
      </c>
      <c r="B3523" t="inlineStr">
        <is>
          <t>Well This Sucks</t>
        </is>
      </c>
      <c r="C3523" t="inlineStr">
        <is>
          <t xml:space="preserve">It started in 1999 and while I have had my moments, I've recently been trying really hard, I play football (soccer) 4 times a week (Saturday league) I hit the gym on off days, I aim to eat less than 50g of carbs a day. 
Yesterday I went for the eye test, and the kicker is that i have 20/20 vision. 
The doc says i need laser surgery (min 5 operations in each eye), urgently. I shall be losing my peripheral vision (as part of this) and I am currently at risk of going blind in either eye at any moment. 
Diabetes sucks. </t>
        </is>
      </c>
      <c r="D3523" t="n">
        <v>13</v>
      </c>
      <c r="E3523" t="n">
        <v>11</v>
      </c>
      <c r="F3523">
        <f>HYPERLINK("https://www.reddit.com/r/diabetes/comments/72r8ma/well_this_sucks/")</f>
        <v/>
      </c>
      <c r="G3523" t="inlineStr">
        <is>
          <t>2017-09-27 02:54:09</t>
        </is>
      </c>
      <c r="H3523" t="inlineStr">
        <is>
          <t>Type 1</t>
        </is>
      </c>
    </row>
    <row r="3524">
      <c r="A3524" t="inlineStr">
        <is>
          <t>72t04o</t>
        </is>
      </c>
      <c r="B3524" t="inlineStr">
        <is>
          <t>My 10yo daughter has just been diagnosed with T1D. Any tips from people who have made the same mistakes we are about to learn from?</t>
        </is>
      </c>
      <c r="C3524" t="inlineStr">
        <is>
          <t xml:space="preserve">So my daughter went into hospital last Friday with DKA, bg of 26, ketones at 6.5 and low pH.  We are now home and feeling good, but we have a long way to go ahead of us - we really want her to have a "normal" childhood, eating and playing the same as she always has (she isn't much of a sweet-tooth luckily) and don't want food to become a "thing" for her - she will have enough pressure on her as a young woman as it is without another angle of unrealistic food goals.
So, would anyone be able to give us some top-tips for how to support her in the best way? Things to look out for, avoid or remember? This time last week I knew next to nothing about diabetes, but I guess that's how all of us started in this "club"! </t>
        </is>
      </c>
      <c r="D3524" t="n">
        <v>8</v>
      </c>
      <c r="E3524" t="n">
        <v>109</v>
      </c>
      <c r="F3524">
        <f>HYPERLINK("https://www.reddit.com/r/diabetes/comments/72t04o/my_10yo_daughter_has_just_been_diagnosed_with_t1d/")</f>
        <v/>
      </c>
      <c r="G3524" t="inlineStr">
        <is>
          <t>2017-09-27 08:27:56</t>
        </is>
      </c>
      <c r="H3524" t="inlineStr">
        <is>
          <t>Type 1</t>
        </is>
      </c>
    </row>
    <row r="3525">
      <c r="A3525" t="inlineStr">
        <is>
          <t>72teka</t>
        </is>
      </c>
      <c r="B3525" t="inlineStr">
        <is>
          <t>Appeal help?</t>
        </is>
      </c>
      <c r="C3525" t="inlineStr">
        <is>
          <t>Would any of you guys be willing to read and critiqe my appeal for the absurd price of my dexcom g5?</t>
        </is>
      </c>
      <c r="D3525" t="n">
        <v>1</v>
      </c>
      <c r="E3525" t="n">
        <v>4</v>
      </c>
      <c r="F3525">
        <f>HYPERLINK("https://www.reddit.com/r/diabetes/comments/72teka/appeal_help/")</f>
        <v/>
      </c>
      <c r="G3525" t="inlineStr">
        <is>
          <t>2017-09-27 09:25:41</t>
        </is>
      </c>
      <c r="H3525" t="inlineStr">
        <is>
          <t>Type 1</t>
        </is>
      </c>
    </row>
    <row r="3526">
      <c r="A3526" t="inlineStr">
        <is>
          <t>72tlt6</t>
        </is>
      </c>
      <c r="B3526" t="inlineStr">
        <is>
          <t>Goddamn it</t>
        </is>
      </c>
      <c r="C3526" t="inlineStr">
        <is>
          <t>Went to bed at 140, hadn't eaten in hours, no insulin on-board. Wake up, 300. The night before I had a perfect 110 all night, plus I have just changed my infusion sight. Anyway it's still not gone down, changing infusion sight for the second time to see if that helps. Fuck this noise tho, I have a physics exam coming up.</t>
        </is>
      </c>
      <c r="D3526" t="n">
        <v>4</v>
      </c>
      <c r="E3526" t="n">
        <v>5</v>
      </c>
      <c r="F3526">
        <f>HYPERLINK("https://www.reddit.com/r/diabetes/comments/72tlt6/goddamn_it/")</f>
        <v/>
      </c>
      <c r="G3526" t="inlineStr">
        <is>
          <t>2017-09-27 09:55:11</t>
        </is>
      </c>
      <c r="H3526" t="inlineStr">
        <is>
          <t>Type 1</t>
        </is>
      </c>
    </row>
    <row r="3527">
      <c r="A3527" t="inlineStr">
        <is>
          <t>72tp2v</t>
        </is>
      </c>
      <c r="B3527" t="inlineStr">
        <is>
          <t>Weigh gain woes and how to correct them.</t>
        </is>
      </c>
      <c r="C3527" t="inlineStr">
        <is>
          <t>Hey guys,
I've had t1d for a little under a year, and recently started basalglar/humalog. It wasn't long after that my body started ballooning and I'm writing to ask if the vets know any way to counter the weight gain associated with insulin. Any and all help is appreciated!</t>
        </is>
      </c>
      <c r="D3527" t="n">
        <v>2</v>
      </c>
      <c r="E3527" t="n">
        <v>8</v>
      </c>
      <c r="F3527">
        <f>HYPERLINK("https://www.reddit.com/r/diabetes/comments/72tp2v/weigh_gain_woes_and_how_to_correct_them/")</f>
        <v/>
      </c>
      <c r="G3527" t="inlineStr">
        <is>
          <t>2017-09-27 10:08:24</t>
        </is>
      </c>
      <c r="H3527" t="inlineStr">
        <is>
          <t>Type 1</t>
        </is>
      </c>
    </row>
    <row r="3528">
      <c r="A3528" t="inlineStr">
        <is>
          <t>72zlbo</t>
        </is>
      </c>
      <c r="B3528" t="inlineStr">
        <is>
          <t>Which apps do you use to track your carbs and mealtime insulin?</t>
        </is>
      </c>
      <c r="C3528" t="inlineStr">
        <is>
          <t>Hey everyone,
I want to start taking my diabetes tracking more seriously and I'm looking for a good app to track look-up and track the carbs I consume and to log my mealtime insulin with. I don't really need this app to be able to log blood glucose as my FreeStyle Libre takes care of that.
Here is a list of things I am looking for in this app:
* look-up the carbs in various kinds of foods
* log the carbs eat I consume in a meal
* log the insulin I injected during this meal
* if possible, export this data so that I can work with it</t>
        </is>
      </c>
      <c r="D3528" t="n">
        <v>1</v>
      </c>
      <c r="E3528" t="n">
        <v>6</v>
      </c>
      <c r="F3528">
        <f>HYPERLINK("https://www.reddit.com/r/diabetes/comments/72zlbo/which_apps_do_you_use_to_track_your_carbs_and/")</f>
        <v/>
      </c>
      <c r="G3528" t="inlineStr">
        <is>
          <t>2017-09-28 04:56:35</t>
        </is>
      </c>
      <c r="H3528" t="inlineStr">
        <is>
          <t>Type 1</t>
        </is>
      </c>
    </row>
    <row r="3529">
      <c r="A3529" t="inlineStr">
        <is>
          <t>730ile</t>
        </is>
      </c>
      <c r="B3529" t="inlineStr">
        <is>
          <t>Edgepark bill 6 months after ordering?</t>
        </is>
      </c>
      <c r="C3529" t="inlineStr">
        <is>
          <t xml:space="preserve">I have an Edgepark bill for $1600 that I received after my insurance denied me. The whole denial process took 6 months without my knowledge. I would not have purchased from Edgepark if I had known I wasn’t covered. Is there anything I can do? They won’t negotiate at all, and won’t give me a payment plan longer than 12 months. Really frustrating. My insurance won’t reverse the decision. Thanks. </t>
        </is>
      </c>
      <c r="D3529" t="n">
        <v>4</v>
      </c>
      <c r="E3529" t="n">
        <v>16</v>
      </c>
      <c r="F3529">
        <f>HYPERLINK("https://www.reddit.com/r/diabetes/comments/730ile/edgepark_bill_6_months_after_ordering/")</f>
        <v/>
      </c>
      <c r="G3529" t="inlineStr">
        <is>
          <t>2017-09-28 07:42:10</t>
        </is>
      </c>
      <c r="H3529" t="inlineStr">
        <is>
          <t>Type 1</t>
        </is>
      </c>
    </row>
    <row r="3530">
      <c r="A3530" t="inlineStr">
        <is>
          <t>731t30</t>
        </is>
      </c>
      <c r="B3530" t="inlineStr">
        <is>
          <t>SF Bay Area Paid Research Opportunity - We'd love to speak to you</t>
        </is>
      </c>
      <c r="C3530" t="inlineStr">
        <is>
          <t xml:space="preserve">We’re a major wearables/activity tracker company in San Francisco and we need your help!
We’re looking for people with diabetes to come to our office in downtown SF and provide some informal feedback on concepts in the works to bring blood sugar data into our app.  One of our goals in this is to involve the community in developing this feature.  If you have diabetes and you currently use a fitness tracker or smartwatch of any kind, we want to hear from you.  Sessions are only one hour and will be taking place Wednesday 10/4 through Wednesday 10/11.  If selected, participants will receive a $75 Amazon gift card upon completion of the in-person discussion session.  And of course any and all health information will be completely voluntarily disclosed.  Interested?  Take this 2 minute survey to find out if you’re eligible:  https://research.qualtrics.com/jfe/form/SV_1CfmAcmuWOYVuVn
If you know someone else who would be interested, please send them this link as well!
</t>
        </is>
      </c>
      <c r="D3530" t="n">
        <v>5</v>
      </c>
      <c r="E3530" t="n">
        <v>0</v>
      </c>
      <c r="F3530">
        <f>HYPERLINK("https://www.reddit.com/r/diabetes/comments/731t30/sf_bay_area_paid_research_opportunity_wed_love_to/")</f>
        <v/>
      </c>
      <c r="G3530" t="inlineStr">
        <is>
          <t>2017-09-28 10:52:40</t>
        </is>
      </c>
      <c r="H3530" t="inlineStr">
        <is>
          <t>Type 2</t>
        </is>
      </c>
    </row>
    <row r="3531">
      <c r="A3531" t="inlineStr">
        <is>
          <t>7338om</t>
        </is>
      </c>
      <c r="B3531" t="inlineStr">
        <is>
          <t>Back On Pump</t>
        </is>
      </c>
      <c r="C3531" t="inlineStr">
        <is>
          <t xml:space="preserve">
So I recently got a Dexcom G5 and decided I would go back on my old One Touch Ping insulin pump for tighter control. 
It was manufactured in April 2012 and I stopped using it in January 2013. I had been on a pump for many years but was getting lazy (forgetting to bolus) and forced myself to regulate my schedule and go back on shots. 
So here we are now, the pump is working just fine and Animas wants me to buy a new one as this one is out of warranty. 
I've told them no as all they have is the Ping or the Vibe, and seeing as the Vibe uses the Dexcom G4 that doesn't make much sense to move to. 
So I figured I would try it out and see if I can get and maintain the control I want before purchasing a new pump (looking at the Tandem pumps right now but want to see if Animas comes out with anything interesting). 
Does using the pump I have (out of warranty) seem like a good idea? Or should I just buy a new pump?
</t>
        </is>
      </c>
      <c r="D3531" t="n">
        <v>1</v>
      </c>
      <c r="E3531" t="n">
        <v>6</v>
      </c>
      <c r="F3531">
        <f>HYPERLINK("https://www.reddit.com/r/diabetes/comments/7338om/back_on_pump/")</f>
        <v/>
      </c>
      <c r="G3531" t="inlineStr">
        <is>
          <t>2017-09-28 14:27:56</t>
        </is>
      </c>
      <c r="H3531" t="inlineStr">
        <is>
          <t>Type 1</t>
        </is>
      </c>
    </row>
    <row r="3532">
      <c r="A3532" t="inlineStr">
        <is>
          <t>734tkp</t>
        </is>
      </c>
      <c r="B3532" t="inlineStr">
        <is>
          <t>Endo is considering prescribing me metformin for insulin resistance. I'm a type 1 of average/healthy weight. Anyone have any experience with this?</t>
        </is>
      </c>
      <c r="C3532" t="inlineStr">
        <is>
          <t xml:space="preserve">Hey guys, 
I had an appointment with my endocrinologist today, and she mentioned that metformin might be something I should consider. I'm type 1, and I'm on lantus (15 units taken each night) and humalog. The doctor thinks metformin might help with my insulin resistance. I'm super resistant in the morning, with a carb:insulin of about 3:1, or maybe even closer to 2:1. Resistance goes down at lunch for a ratio of about 9:1, then increases in the evening to about 7:1. If I check my sugar when I wake up, then check it an hour later after not eating, it is always significantly higher. The dawn phenomenon is real, folks. 
However, the endocrinologist seemed to not be sure about prescribing me metformin due to the fact that I do not fit the typical bill for insulin resistance. I'm about 5'5" and float consistently between 145 and 150 lbs, and I have a waist measurement of about 29". I definitely carry all excess weight in my hips. From what she said, it seems that metformin is typically indicated for type 1s when they have (1) insulin resistance and (2) truncal obesity. 
Is there anyone out there with a similar situation who has given this a try? Did it help you at all? Or do you think my doc is jumping the gun a bit on the insulin resistance? I'm also only 25 years old, though I don't know if that factors in at all.
All feedback is appreciated. Thanks in advance! </t>
        </is>
      </c>
      <c r="D3532" t="n">
        <v>2</v>
      </c>
      <c r="E3532" t="n">
        <v>17</v>
      </c>
      <c r="F3532">
        <f>HYPERLINK("https://www.reddit.com/r/diabetes/comments/734tkp/endo_is_considering_prescribing_me_metformin_for/")</f>
        <v/>
      </c>
      <c r="G3532" t="inlineStr">
        <is>
          <t>2017-09-28 18:59:54</t>
        </is>
      </c>
      <c r="H3532" t="inlineStr">
        <is>
          <t>Type 1</t>
        </is>
      </c>
    </row>
    <row r="3533">
      <c r="A3533" t="inlineStr">
        <is>
          <t>73a3cq</t>
        </is>
      </c>
      <c r="B3533" t="inlineStr">
        <is>
          <t>Just got diagnosed T2 and freaking out a bit how fast things are moving - advice?</t>
        </is>
      </c>
      <c r="C3533" t="inlineStr">
        <is>
          <t xml:space="preserve">I had gone to my doctor because I had been feeling tired a lot - I would sleep a full 8 hours and wake up ready for a nap.  And I could sleep for another 5-6 hours easily and still not feel rested.  I'd go through some days in a daze not being able to concentrate, or have to pull over while driving because my eyes wouldn't stay open.  I know I would also drink a lot of water, and still feel thirsty, and have to pee a lot.
&amp;amp;nbsp;
We did a bunch of blood tests.  B12, Thyroid, and Iron were fine, but my blood sugar was really high:
&amp;amp;nbsp;
* Blood Glucose 25.5 mmol/L on a random test (2 hours after I had lunch).
* A1C Hemoglobin 11.8%
* Doctor had the nurse call me and told me to go to the hospital if I had any severe symptoms.  
* I went and picked up a Contour Next One glucose meter and strips that day, and started testing.  Annoyingly there is an [Android 8.0 Oreo bug](https://www.reddit.com/r/diabetes/comments/6xpp5v/psa_android_oreo_breaks_contour_next_one_sync/) that broke pairing with my Pixel XL, so I can't use the mobile app yet.
* Fasting level 18.2 mmol/L, Pre-meal low 14.5 mmol/L, Post meal 24.0 mmol/L.  So I'm consistently high, with spikes into dangerous levels.
* Doctor just let me know that she wants me to start on Metaformin AND Januvia. I'll be picking up prescriptions after work.  I've been reading on this subreddit about the symptoms and I am pretty apprehensive about taking these both.
&amp;amp;nbsp;
On the one hand, I expected this to happen someday.  It's in my family - both my parents, my grandmother, and my aunt have T2 Diabetes.  But the last time I got my blood sugar checked using their meter a year or so ago, it was around 5 mmol/L.  I don't drink soda or juice frequently, I home cook a lot of food, and I do try to eat healthy, but I indulge a lot.  I am overweight and need to exercise more, but I had been too busy with my work schedule.  I'm going to have to make a lot of life changes to fit in the gym, preparing better meals, and avoiding a lot of food.
&amp;amp;nbsp;
On the other hand, is this too high too suddenly?  Did my pancreas just give up?  I wonder if some of my other medication might be the trigger here.  I don't have my values from last year, but I had my blood sugar checked before I started on Abilify and Cipralex for depression.  I've read that Abilify can cause high blood glucose and T2 diabetes.  I don't think it's completely to blame, but I'll be asking my doctor if I should look at changing medication.  
&amp;amp;nbsp;
Overall this is just happening too fast.  I am doing as much research as I can, reading up on what this all means.  I read the [D-Day](http://loraldiabetes.blogspot.com.au/2006/10/d-day.html) post, and a few other articles on that website.  I'm scouring the net and reading a lot from this subreddit.  
&amp;amp;nbsp;
I'd appreciate any advice on how to deal with this all.  </t>
        </is>
      </c>
      <c r="D3533" t="n">
        <v>4</v>
      </c>
      <c r="E3533" t="n">
        <v>30</v>
      </c>
      <c r="F3533">
        <f>HYPERLINK("https://www.reddit.com/r/diabetes/comments/73a3cq/just_got_diagnosed_t2_and_freaking_out_a_bit_how/")</f>
        <v/>
      </c>
      <c r="G3533" t="inlineStr">
        <is>
          <t>2017-09-29 12:24:42</t>
        </is>
      </c>
      <c r="H3533" t="inlineStr">
        <is>
          <t>Type 2</t>
        </is>
      </c>
    </row>
    <row r="3534">
      <c r="A3534" t="inlineStr">
        <is>
          <t>73a9t1</t>
        </is>
      </c>
      <c r="B3534" t="inlineStr">
        <is>
          <t>Finally feeling full but disgusted with myself</t>
        </is>
      </c>
      <c r="C3534" t="inlineStr">
        <is>
          <t>Ate half a thin crust pepperoni pizza, I feel full but gross and disgusted with myself!</t>
        </is>
      </c>
      <c r="D3534" t="n">
        <v>1</v>
      </c>
      <c r="E3534" t="n">
        <v>7</v>
      </c>
      <c r="F3534">
        <f>HYPERLINK("https://www.reddit.com/r/diabetes/comments/73a9t1/finally_feeling_full_but_disgusted_with_myself/")</f>
        <v/>
      </c>
      <c r="G3534" t="inlineStr">
        <is>
          <t>2017-09-29 12:51:52</t>
        </is>
      </c>
      <c r="H3534" t="inlineStr">
        <is>
          <t>Type 2</t>
        </is>
      </c>
    </row>
    <row r="3535">
      <c r="A3535" t="inlineStr">
        <is>
          <t>73ag8d</t>
        </is>
      </c>
      <c r="B3535" t="inlineStr">
        <is>
          <t>Just had my first "bad" low during a workout; how do I dose carbs in the future to prevent this?</t>
        </is>
      </c>
      <c r="C3535" t="inlineStr">
        <is>
          <t xml:space="preserve">First off, I'm T2 so this probably won't seem bad to you T1 folks. However, I very rarely dip below 105, so it felt HORRIBLE to me, lol. 
I skipped dinner last night because I wasn't really feeling hungry, and for breakfast this morning I had celery sticks with peanutbutter and some string cheese for a total of 17 carbs. At 9:47, my blood sugar was 146. Fast forward to 11:00 AM and I headed to the gym at work for some strength training. No one else showed up to my group workout, so the trainer let me lift much heavier weights than normal. 45 minutes into the workout, I started getting a little dizzy but it wasn't that bad. 10 minutes later and I kept losing count of my reps and doing the wrong move in the middle of a set. During weight lifting sessions, my blood sugar usually flies up to 170 or higher and stays there for 2 or 3 hours, then plummets to 120 (depending on what I have for lunch, of course). Conditioning also raises my blood sugar, but it will start falling again late into the session.
The dizziness and stupidity (not sure how else to describe it) went from annoying to debilitating in 15 minutes, and I couldn't even walk to the locker room. The trainers dragged me to a chair and gave me a bottle of orange juice, and I drank about 8 oz. Once I was steady enough to walk, I went and hid in a shower stall until the dizziness had abated enough to get dressed. My blood sugar was 92. 
I'm pretty sure it was the drop in blood sugar that made me feel awful, not the actual number. Either way, I still feel terrible (and embarrassed). The orange juice was a mistake because I'm now at 213 and rising, and I have no idea how to get it down. I am SO GLAD I don't have T1, and I really feel for you guys. These intense spikes are horrible! If anyone has advice on how to dose carbs for working out, I'd love to hear it. I seem to feel way better during exercise if I eat some complex carbs (think steel cut oats) beforehand, but of course that trashes my blood sugar. Any ideas of what to do? </t>
        </is>
      </c>
      <c r="D3535" t="n">
        <v>2</v>
      </c>
      <c r="E3535" t="n">
        <v>32</v>
      </c>
      <c r="F3535">
        <f>HYPERLINK("https://www.reddit.com/r/diabetes/comments/73ag8d/just_had_my_first_bad_low_during_a_workout_how_do/")</f>
        <v/>
      </c>
      <c r="G3535" t="inlineStr">
        <is>
          <t>2017-09-29 13:20:04</t>
        </is>
      </c>
      <c r="H3535" t="inlineStr">
        <is>
          <t>Type 2</t>
        </is>
      </c>
    </row>
    <row r="3536">
      <c r="A3536" t="inlineStr">
        <is>
          <t>73chy4</t>
        </is>
      </c>
      <c r="B3536" t="inlineStr">
        <is>
          <t>What's your binge food</t>
        </is>
      </c>
      <c r="C3536" t="inlineStr">
        <is>
          <t>Since my diagnosis I can't stuff myself like I used to. Portions and portion control rule, but every Friday now and then I wanna stuff my face and watch movies. 
What do you like to chow down on?</t>
        </is>
      </c>
      <c r="D3536" t="n">
        <v>10</v>
      </c>
      <c r="E3536" t="n">
        <v>18</v>
      </c>
      <c r="F3536">
        <f>HYPERLINK("https://www.reddit.com/r/diabetes/comments/73chy4/whats_your_binge_food/")</f>
        <v/>
      </c>
      <c r="G3536" t="inlineStr">
        <is>
          <t>2017-09-29 19:30:10</t>
        </is>
      </c>
      <c r="H3536" t="inlineStr">
        <is>
          <t>Type 1</t>
        </is>
      </c>
    </row>
    <row r="3537">
      <c r="A3537" t="inlineStr">
        <is>
          <t>73ek4j</t>
        </is>
      </c>
      <c r="B3537" t="inlineStr">
        <is>
          <t>Low carb diet questions</t>
        </is>
      </c>
      <c r="C3537" t="inlineStr">
        <is>
          <t>After hearing about how a low carb diet is easier to manage with diabetes, I have decided to give it a shot. All the previous posts about how low carb diets are better are pretty much dead on and my blood sugars are far more constant than I could have ever hoped for. I still eat a few carbs, but probably only about 50 a day. 
I am on a pump, and I don't have an endo right now, so I wanted to ask two quick questions for those who have changed to a low carb diet. When you changed your diet, did you have to lower your basal rate? And did you have to change your ration of carbs to insulin as well? I have already lowered my basal rate a bit, though I am still going low overnight so I am constantly adjusting that. I haven't changed my bolus ratio yet, but I am wondering if that is something I should look at doing as well.</t>
        </is>
      </c>
      <c r="D3537" t="n">
        <v>8</v>
      </c>
      <c r="E3537" t="n">
        <v>11</v>
      </c>
      <c r="F3537">
        <f>HYPERLINK("https://www.reddit.com/r/diabetes/comments/73ek4j/low_carb_diet_questions/")</f>
        <v/>
      </c>
      <c r="G3537" t="inlineStr">
        <is>
          <t>2017-09-30 05:09:33</t>
        </is>
      </c>
      <c r="H3537" t="inlineStr">
        <is>
          <t>Type 1</t>
        </is>
      </c>
    </row>
    <row r="3538">
      <c r="A3538" t="inlineStr">
        <is>
          <t>73fiyd</t>
        </is>
      </c>
      <c r="B3538" t="inlineStr">
        <is>
          <t>Weird overnight sugars.</t>
        </is>
      </c>
      <c r="C3538" t="inlineStr">
        <is>
          <t xml:space="preserve">So last night at about 10pm I had a couple pills hey cinnamon rolls. I know, it’s not the greatest thing to do, but it’s Friday so turn down for what. I took my insulin, waited a little bit, and ate them. Then eventually my sugar was starting to dip. I thought, weird, so I ate another which should’ve been enough to raise I plus take an extra unit, but I didn’t take the extra unit. Sugar stayed around 60/70ish and so started my weird night. All night my Dexcom woke me up saying low or urgent low blood sugar. I’d eat a fruit snack, go back to bed and wake up to it around 80. It would stay there for a while it seemed and then would dip and I’d hear the alarm again. This happened like 4 times or so all night. I’d eat a fruit snack to raise it, not take insulin, and then soon it would warn me of low blood sugar again. I just woke up a little bit ago expecting to have a sugar close to 200 after last night but my sugar is 82. Correction, just checked and now it’s 111. Anyways. I don’t know what to think of this. My sugar should be sky high. Does anyone know what’s up? I’m starting to have that “maybe my body cured itself” thought that I’m always wrong about. </t>
        </is>
      </c>
      <c r="D3538" t="n">
        <v>4</v>
      </c>
      <c r="E3538" t="n">
        <v>3</v>
      </c>
      <c r="F3538">
        <f>HYPERLINK("https://www.reddit.com/r/diabetes/comments/73fiyd/weird_overnight_sugars/")</f>
        <v/>
      </c>
      <c r="G3538" t="inlineStr">
        <is>
          <t>2017-09-30 08:30:43</t>
        </is>
      </c>
      <c r="H3538" t="inlineStr">
        <is>
          <t>Type 1</t>
        </is>
      </c>
    </row>
    <row r="3539">
      <c r="A3539" t="inlineStr">
        <is>
          <t>73gctw</t>
        </is>
      </c>
      <c r="B3539" t="inlineStr">
        <is>
          <t>Info about afrezza</t>
        </is>
      </c>
      <c r="C3539" t="inlineStr">
        <is>
          <t>Have one of my quarterly check ups Monday and thinking about switching short acting insulin’s. Do any of y’all have experience or knowledge about afrezza? Advice or anything to pass along would be appreciated!</t>
        </is>
      </c>
      <c r="D3539" t="n">
        <v>8</v>
      </c>
      <c r="E3539" t="n">
        <v>37</v>
      </c>
      <c r="F3539">
        <f>HYPERLINK("https://www.reddit.com/r/diabetes/comments/73gctw/info_about_afrezza/")</f>
        <v/>
      </c>
      <c r="G3539" t="inlineStr">
        <is>
          <t>2017-09-30 10:51:08</t>
        </is>
      </c>
      <c r="H3539" t="inlineStr">
        <is>
          <t>Type 1</t>
        </is>
      </c>
    </row>
    <row r="3540">
      <c r="A3540" t="inlineStr">
        <is>
          <t>73hh3y</t>
        </is>
      </c>
      <c r="B3540" t="inlineStr">
        <is>
          <t>Pump Use for Children Who Manipulate Settings</t>
        </is>
      </c>
      <c r="C3540" t="inlineStr">
        <is>
          <t>I need info on a pump that is either locked with a passcode or can be controlled only remotely. This is for a patient who is intelligent but has behavioral issues who will consistently suspend his bolus delivery or put new temp basal settings. I found the medtronic 640, which has a remote and Block Mode...but it doesn't prevent the user from stopping bolus delivery, so that's pretty pointless. Even something as simple as a numbered passcode would be perfect. Is there anything like that out there? 
It seems like this situation shouldn't be THAT unique, but it has been incredibly frustrating to try and find anything. Thanks for any help you can give.</t>
        </is>
      </c>
      <c r="D3540" t="n">
        <v>11</v>
      </c>
      <c r="E3540" t="n">
        <v>42</v>
      </c>
      <c r="F3540">
        <f>HYPERLINK("https://www.reddit.com/r/diabetes/comments/73hh3y/pump_use_for_children_who_manipulate_settings/")</f>
        <v/>
      </c>
      <c r="G3540" t="inlineStr">
        <is>
          <t>2017-09-30 14:00:54</t>
        </is>
      </c>
      <c r="H3540" t="inlineStr">
        <is>
          <t>Type 1</t>
        </is>
      </c>
    </row>
    <row r="3541">
      <c r="A3541" t="inlineStr">
        <is>
          <t>73iam5</t>
        </is>
      </c>
      <c r="B3541" t="inlineStr">
        <is>
          <t>Possible Diabetes?</t>
        </is>
      </c>
      <c r="C3541" t="inlineStr">
        <is>
          <t xml:space="preserve">I'm 22 now and this was the age my mom was diagnosed with type 1 diabetes, so I became extremely vigilant about it. I happen to be extremely obese. About 3 months ago I weighed 275 lbs and now I am at 245 lbs. I decided to start monitoring my blood sugar levels to see if my obese lifestyle led me to develop type 2 diabetes or not. So when I get up in the morning my fasting blood sugar level is around 120 mg/dl. However, after not eating for 2 hours, my blood sugar level goes down to 100 mg/dl. After I eat, usually the blood sugar level goes up to 155 mg/dl after 2 hours. I usually eat a sandwich with honey wheat bread (4 slices). However, in the next hour it drops to 133 mg/dl. Then an hour later it drops to 108 and then to 93. At 93, I feel extremely hypoglycemic. Once I decided to go on a bike ride while I was at 93 mg/dl, my blood sugar went down to 85 mg/dl, but when I came back home, I snacked on anything possible, and my level spiked to 118 mg/dl. 
Is it time to get concerned about diabetes, or can I manage this while I continue to lose weight. I increased my physical activity to 1.5 hrs of biking every day. 
I'm afraid to go to the doctor because when I get of my parents' insurance plan, I don't want this to be a pre-existing condition. </t>
        </is>
      </c>
      <c r="D3541" t="n">
        <v>0</v>
      </c>
      <c r="E3541" t="n">
        <v>6</v>
      </c>
      <c r="F3541">
        <f>HYPERLINK("https://www.reddit.com/r/diabetes/comments/73iam5/possible_diabetes/")</f>
        <v/>
      </c>
      <c r="G3541" t="inlineStr">
        <is>
          <t>2017-09-30 16:29:50</t>
        </is>
      </c>
      <c r="H3541" t="inlineStr">
        <is>
          <t>Type 2</t>
        </is>
      </c>
    </row>
    <row r="3542">
      <c r="A3542" t="inlineStr">
        <is>
          <t>73kr13</t>
        </is>
      </c>
      <c r="B3542" t="inlineStr">
        <is>
          <t>Holy cow! Dexcom is amazing!</t>
        </is>
      </c>
      <c r="C3542" t="inlineStr">
        <is>
          <t>This is Total shit post but I unexpectedly got my dexcom three days earlier than I expected. Now I can't stay asleep as I'm constantly looking at my receiver/phone. This system is a game changer. Just needed to vent that out.</t>
        </is>
      </c>
      <c r="D3542" t="n">
        <v>47</v>
      </c>
      <c r="E3542" t="n">
        <v>40</v>
      </c>
      <c r="F3542">
        <f>HYPERLINK("https://www.reddit.com/r/diabetes/comments/73kr13/holy_cow_dexcom_is_amazing/")</f>
        <v/>
      </c>
      <c r="G3542" t="inlineStr">
        <is>
          <t>2017-10-01 02:28:30</t>
        </is>
      </c>
      <c r="H3542" t="inlineStr">
        <is>
          <t>Type 1</t>
        </is>
      </c>
    </row>
    <row r="3543">
      <c r="A3543" t="inlineStr">
        <is>
          <t>73lo6d</t>
        </is>
      </c>
      <c r="B3543" t="inlineStr">
        <is>
          <t>Today is my 18th diabirthday!</t>
        </is>
      </c>
      <c r="C3543" t="inlineStr">
        <is>
          <t>Happy diabirthday, pancreas! You're still a piece of shit, but I guess we're just stuck with each other.</t>
        </is>
      </c>
      <c r="D3543" t="n">
        <v>78</v>
      </c>
      <c r="E3543" t="n">
        <v>6</v>
      </c>
      <c r="F3543">
        <f>HYPERLINK("https://www.reddit.com/r/diabetes/comments/73lo6d/today_is_my_18th_diabirthday/")</f>
        <v/>
      </c>
      <c r="G3543" t="inlineStr">
        <is>
          <t>2017-10-01 06:39:15</t>
        </is>
      </c>
      <c r="H3543" t="inlineStr">
        <is>
          <t>Type 1</t>
        </is>
      </c>
    </row>
    <row r="3544">
      <c r="A3544" t="inlineStr">
        <is>
          <t>73moyn</t>
        </is>
      </c>
      <c r="B3544" t="inlineStr">
        <is>
          <t>My diet: I don't know what I'm doing. T2, pregnant, on insulin</t>
        </is>
      </c>
      <c r="C3544" t="inlineStr">
        <is>
          <t xml:space="preserve">Questions: what is a good rule to thumb as to the ratio between fat, protein, and carbs? I find that too much fat, even with few carbs, will not only spike me after a meal, but keep my 2 hour number very similar to my 1 hour number. The pro is, I actually feel full, and that rarely happens. When I get a good post meal, it's because I ate a salad. But I'm absolutely starving an hour later, heck, 30 minutes later. 
Next: does anyone find meat and cheese bad for their numbers? I know there are low carb staples but in my experience they also make my numbers high. Am I just not watching some ratio closely enough?
Finally, I am so hungry all the time. I'm pregnant, so it's worse, but even before I was, I was low carb for about 6 months, and always hungry. All the stories I hear of low carb is that nobody's ever hungry anymore, which is not the case for me. What should I be focusing on to make me actually feel full for more than an hour at a time? 
Thanks, if you made it this far. </t>
        </is>
      </c>
      <c r="D3544" t="n">
        <v>2</v>
      </c>
      <c r="E3544" t="n">
        <v>15</v>
      </c>
      <c r="F3544">
        <f>HYPERLINK("https://www.reddit.com/r/diabetes/comments/73moyn/my_diet_i_dont_know_what_im_doing_t2_pregnant_on/")</f>
        <v/>
      </c>
      <c r="G3544" t="inlineStr">
        <is>
          <t>2017-10-01 09:43:27</t>
        </is>
      </c>
      <c r="H3544" t="inlineStr">
        <is>
          <t>Type 2</t>
        </is>
      </c>
    </row>
    <row r="3545">
      <c r="A3545" t="inlineStr">
        <is>
          <t>73n2ex</t>
        </is>
      </c>
      <c r="B3545" t="inlineStr">
        <is>
          <t>Transitioning Dexcom Share from family to significant other</t>
        </is>
      </c>
      <c r="C3545" t="inlineStr">
        <is>
          <t xml:space="preserve">Hey guys,
So this is a very specific question that might not apply to a lot of you, but I wanted to see if anyone had any advice. I’m 23 years old and have been wearing some version of dexcom (currently g5) for about 3/4 years now. When I got it initially, I was in undergrad near home, and so I set up the share feature with my mom (to give her peace of mind, easy and close contact during low episodes, etc.) A year and a half ago I moved rather far away from home for grad school and am residing in the same city as my girlfriend of a year. 
My mom is an awesome lady who loves me very much. However, she can be a little overly invested in my dexcom readings. Basically any time I drop even a little low (like, 79 low) she gives me a phone call or sends a text. Same if it goes high. And her being so far away from me now, there’s really nothing practical she can do in an emergency situation. I know I could give both her and my girlfriend access to the dexcom data, but I’d like to try and foster a little more independence from her. I feel like I can give my mom some peace of mind by giving my girlfriend access to the data, but I know she’ll probably be stressed if I ask to remove her from my dexcom share completely. Does this make me sound like a horrible person? Please put me in my place if it does. It doesn’t annoy me that much, but I feel like I’m now an adult who is financially responsible for my medical needs (still on her insurance, but I pay for my supplies), and it might be an appropriate time to have a discussion with her about this. Has anyone gone through this process before? Or is it not weird to be a grown adult who gets frequent check ups from their mom about their blood sugar? 
</t>
        </is>
      </c>
      <c r="D3545" t="n">
        <v>4</v>
      </c>
      <c r="E3545" t="n">
        <v>14</v>
      </c>
      <c r="F3545">
        <f>HYPERLINK("https://www.reddit.com/r/diabetes/comments/73n2ex/transitioning_dexcom_share_from_family_to/")</f>
        <v/>
      </c>
      <c r="G3545" t="inlineStr">
        <is>
          <t>2017-10-01 10:43:54</t>
        </is>
      </c>
      <c r="H3545" t="inlineStr">
        <is>
          <t>Type 1</t>
        </is>
      </c>
    </row>
    <row r="3546">
      <c r="A3546" t="inlineStr">
        <is>
          <t>73p18i</t>
        </is>
      </c>
      <c r="B3546" t="inlineStr">
        <is>
          <t>Diabetes Management (Tableau public viz)</t>
        </is>
      </c>
      <c r="C3546" t="inlineStr">
        <is>
          <t>I am creating an analysis in Tableau using the data from my Freestyle Libre and im wondering if anyone else has done similar things who might have suggestions
So far the data from my libre reader has been saved since the first ever recorded result, I am working on a program which puts this into an SQL database as eventually the old values start being overwritten.
Some of the analysis is purely for me so will not be helpful to others if they download this Viz
Feel free to criticize the analysis or suggest improvements, right now im covering the basics but hope to improve it
https://public.tableau.com/views/DiabetesManagement/Analysis?:embed=y&amp;amp;:display_count=yes&amp;amp;publish=yes</t>
        </is>
      </c>
      <c r="D3546" t="n">
        <v>2</v>
      </c>
      <c r="E3546" t="n">
        <v>2</v>
      </c>
      <c r="F3546">
        <f>HYPERLINK("https://www.reddit.com/r/diabetes/comments/73p18i/diabetes_management_tableau_public_viz/")</f>
        <v/>
      </c>
      <c r="G3546" t="inlineStr">
        <is>
          <t>2017-10-01 16:07:44</t>
        </is>
      </c>
      <c r="H3546" t="inlineStr">
        <is>
          <t>Type 1</t>
        </is>
      </c>
    </row>
    <row r="3547">
      <c r="A3547" t="inlineStr">
        <is>
          <t>73peit</t>
        </is>
      </c>
      <c r="B3547" t="inlineStr">
        <is>
          <t>Anyone else out there under 25 with confirmed T2?</t>
        </is>
      </c>
      <c r="C3547" t="inlineStr">
        <is>
          <t xml:space="preserve">It just occurred to me that across all the doctors offices, diabetes classes, and diet meetups, I have yet to meet another T2 diabetic under 50. In fact, I'm my endo's youngest T2 patient! Where y'all hiding? I'm sure there's more of us.
And just FYI, I had my c-peptides and antibodies tested and so far there is no sign of LADA. I might have MODY, but insurance won't cover that kind of testing. </t>
        </is>
      </c>
      <c r="D3547" t="n">
        <v>18</v>
      </c>
      <c r="E3547" t="n">
        <v>57</v>
      </c>
      <c r="F3547">
        <f>HYPERLINK("https://www.reddit.com/r/diabetes/comments/73peit/anyone_else_out_there_under_25_with_confirmed_t2/")</f>
        <v/>
      </c>
      <c r="G3547" t="inlineStr">
        <is>
          <t>2017-10-01 17:15:22</t>
        </is>
      </c>
      <c r="H3547" t="inlineStr">
        <is>
          <t>Type 2</t>
        </is>
      </c>
    </row>
    <row r="3548">
      <c r="A3548" t="inlineStr">
        <is>
          <t>73sjwi</t>
        </is>
      </c>
      <c r="B3548" t="inlineStr">
        <is>
          <t>Websites to buy syringes over the counter?</t>
        </is>
      </c>
      <c r="C3548" t="inlineStr">
        <is>
          <t>Any good websites to buy syringes OTC?
My mail order pharmacy filled a massive three month Humalog Rx in vials instead of pens, which is ok but now I need syringes.
In the past I've gotten ReliOn syringes OTC from Walmart but they groveled about me not having an prescription for the syringes. They let me only because I had an insulin prescription on file with them. But now I've gone to OptumRx.
Walmart only sells the syringes in store.
Amazon sells syringes in bulk without the needle (what's the point?) or like 10 syringes with a needle for a pretty high price (relatively).</t>
        </is>
      </c>
      <c r="D3548" t="n">
        <v>1</v>
      </c>
      <c r="E3548" t="n">
        <v>7</v>
      </c>
      <c r="F3548">
        <f>HYPERLINK("https://www.reddit.com/r/diabetes/comments/73sjwi/websites_to_buy_syringes_over_the_counter/")</f>
        <v/>
      </c>
      <c r="G3548" t="inlineStr">
        <is>
          <t>2017-10-02 05:48:48</t>
        </is>
      </c>
      <c r="H3548" t="inlineStr">
        <is>
          <t>Type 1</t>
        </is>
      </c>
    </row>
    <row r="3549">
      <c r="A3549" t="inlineStr">
        <is>
          <t>73t2yp</t>
        </is>
      </c>
      <c r="B3549" t="inlineStr">
        <is>
          <t>Did I do this to myself? Just to confirm...</t>
        </is>
      </c>
      <c r="C3549" t="inlineStr">
        <is>
          <t>After three years of being diagnosed as type 2 I can't count the number of people that have suggested it's diet related.  
"Mate, it's probably all that diet coke you drink. It's killing you"... Now I've got a positive GAD test back, it proves that it's just bad luck right?  
Next time someone says something, am I right to say that its autoimmune and absolutely nothing to do with my diet or lifestyle? Some kind of gut "flu" i got once which triggered an autoimmune response to go wild... or some such uncontrollable event?</t>
        </is>
      </c>
      <c r="D3549" t="n">
        <v>31</v>
      </c>
      <c r="E3549" t="n">
        <v>48</v>
      </c>
      <c r="F3549">
        <f>HYPERLINK("https://www.reddit.com/r/diabetes/comments/73t2yp/did_i_do_this_to_myself_just_to_confirm/")</f>
        <v/>
      </c>
      <c r="G3549" t="inlineStr">
        <is>
          <t>2017-10-02 07:27:30</t>
        </is>
      </c>
      <c r="H3549" t="inlineStr">
        <is>
          <t>Type 1</t>
        </is>
      </c>
    </row>
    <row r="3550">
      <c r="A3550" t="inlineStr">
        <is>
          <t>73thc6</t>
        </is>
      </c>
      <c r="B3550" t="inlineStr">
        <is>
          <t>Help with gastropharsis</t>
        </is>
      </c>
      <c r="C3550" t="inlineStr">
        <is>
          <t>I was diagnosed after throwing up every day for over a month. Still not feeling great, but trying to come back and be healthy. The problem is I have Celiac, type 2 and gastropharsis. I am trying to balance these diets and be healthy. 
I was eating low carb, but not full Keto. It was great for my blood sugar. But I was still getting terrible pain and vomitting. I am eating tiny meals. But for gastropharsis I am supposed to eat grains, and limit fats, diary, and fiber. But for diabetes I should eat higher protien and fat and fiber. With Celiac I can't eat most grains, which would help when the gastropharsis is flaring.
It seems impossible to balance! I was eating meats, veggies, salads, some rice,  cheese, and eggs. I have been to nutritionist before.  Maybe two or three times in my life. They always hand me a list of what I can't eat and tell me to look at lables. That doesn't help! I need to know what I can eat. 
So I have been eating more keto like with small portions and not throwing up as much (every few days). At least I have medication for nausea, so that helps. I feel so defeated. I want to be healthy, but there is no balance. Anything that would help one thing seems to aggrivate another. 
Anyone have any tips?</t>
        </is>
      </c>
      <c r="D3550" t="n">
        <v>4</v>
      </c>
      <c r="E3550" t="n">
        <v>5</v>
      </c>
      <c r="F3550">
        <f>HYPERLINK("https://www.reddit.com/r/diabetes/comments/73thc6/help_with_gastropharsis/")</f>
        <v/>
      </c>
      <c r="G3550" t="inlineStr">
        <is>
          <t>2017-10-02 08:30:50</t>
        </is>
      </c>
      <c r="H3550" t="inlineStr">
        <is>
          <t>Type 2</t>
        </is>
      </c>
    </row>
    <row r="3551">
      <c r="A3551" t="inlineStr">
        <is>
          <t>73ur10</t>
        </is>
      </c>
      <c r="B3551" t="inlineStr">
        <is>
          <t>Constant Pain</t>
        </is>
      </c>
      <c r="C3551" t="inlineStr">
        <is>
          <t>Good Afternoon, I am a newly diagnosed T1 Diabetic, chances are that I've had it for a while now, but was only diagnosed on 9/12/2017. My blood sugar was well over 600 for a good amount of time, and I developed Ketoacidosis causing me to get exceedingly sick prior to my trip to the ER and subsequent stay in the hospital ICU.
-
Ever since I was released and I've been taking care of myself, handling my meds, etc., I've had near constant pain in my legs and feet and sometimes my entire body (almost like the flu). I've spoke w/ a doctor about this but they aren't ready to prescribe me anything for the pain yet even though nothing OTC works to ease the pain even a little bit. 
-
Does anyone have any ideas or advice on controlling the pain that doesn't include prescription pain medication as I have no way of obtaining any at this time?</t>
        </is>
      </c>
      <c r="D3551" t="n">
        <v>1</v>
      </c>
      <c r="E3551" t="n">
        <v>8</v>
      </c>
      <c r="F3551">
        <f>HYPERLINK("https://www.reddit.com/r/diabetes/comments/73ur10/constant_pain/")</f>
        <v/>
      </c>
      <c r="G3551" t="inlineStr">
        <is>
          <t>2017-10-02 11:43:37</t>
        </is>
      </c>
      <c r="H3551" t="inlineStr">
        <is>
          <t>Type 1</t>
        </is>
      </c>
    </row>
    <row r="3552">
      <c r="A3552" t="inlineStr">
        <is>
          <t>73v50k</t>
        </is>
      </c>
      <c r="B3552" t="inlineStr">
        <is>
          <t>(T2) Recently started Janumet after being purely on insulin for 10 years and I think I have ever side effect there is.</t>
        </is>
      </c>
      <c r="C3552" t="inlineStr">
        <is>
          <t xml:space="preserve">Doc took me off humulin R for the time being. My sugars have been responding okay but I felt more controlled before. I'm still on lantus but not carrying my insulin every where I go is a huge plus. Just about 80% of the time, I have 1 or more of the side effects such as nausea, diarrhea, headaches and upset stomach. It's been a few weeks since I started and I know it sounds stupid but I was giving it some time to adjust. Not sure if I should give it more time or call the doc, honestly. </t>
        </is>
      </c>
      <c r="D3552" t="n">
        <v>1</v>
      </c>
      <c r="E3552" t="n">
        <v>3</v>
      </c>
      <c r="F3552">
        <f>HYPERLINK("https://www.reddit.com/r/diabetes/comments/73v50k/t2_recently_started_janumet_after_being_purely_on/")</f>
        <v/>
      </c>
      <c r="G3552" t="inlineStr">
        <is>
          <t>2017-10-02 12:40:26</t>
        </is>
      </c>
      <c r="H3552" t="inlineStr">
        <is>
          <t>Type 2</t>
        </is>
      </c>
    </row>
    <row r="3553">
      <c r="A3553" t="inlineStr">
        <is>
          <t>73vf94</t>
        </is>
      </c>
      <c r="B3553" t="inlineStr">
        <is>
          <t>What is the contents of your hypo kit?</t>
        </is>
      </c>
      <c r="C3553" t="inlineStr">
        <is>
          <t>So I'm a newly diagnosed diabetic (1 week), and I'm just curious what people take with them to form their own hypo kit, and why. I'm also aware you can buy hypo kits online that even contain a glucose injection. Anyways, let me know what you carry with you, and why.</t>
        </is>
      </c>
      <c r="D3553" t="n">
        <v>2</v>
      </c>
      <c r="E3553" t="n">
        <v>8</v>
      </c>
      <c r="F3553">
        <f>HYPERLINK("https://www.reddit.com/r/diabetes/comments/73vf94/what_is_the_contents_of_your_hypo_kit/")</f>
        <v/>
      </c>
      <c r="G3553" t="inlineStr">
        <is>
          <t>2017-10-02 13:21:01</t>
        </is>
      </c>
      <c r="H3553" t="inlineStr">
        <is>
          <t>Type 1</t>
        </is>
      </c>
    </row>
    <row r="3554">
      <c r="A3554" t="inlineStr">
        <is>
          <t>73vm3q</t>
        </is>
      </c>
      <c r="B3554" t="inlineStr">
        <is>
          <t>Acanthosis nigricans/dark skin on inner thighs?</t>
        </is>
      </c>
      <c r="C3554" t="inlineStr">
        <is>
          <t>I'm back at school again, and that means dining hall food. Carbs out the ass. I'm using a lot more insulin that I normally would. Can this lead to darkening of the skin in the inner thighs? I noticed this about two weeks ago and it recently started to get pretty dark. I've been keeping up with going to the gym and for now I'm at a decent enough weight (could still lose a few pounds). I did some basic research online and various websites said that increased insulin levels in the blood can cause the hyperpigmentation. If I cut back on carbs, should this go away? 
Honestly I'm not too worried about the looks, though it is unsightly when the lady friend comes around. This showed up a few years ago, right after I was diagnosed, which would make sense since I had a (relatively) higher amount of insulin in my body. 
Thanks for any help.</t>
        </is>
      </c>
      <c r="D3554" t="n">
        <v>1</v>
      </c>
      <c r="E3554" t="n">
        <v>2</v>
      </c>
      <c r="F3554">
        <f>HYPERLINK("https://www.reddit.com/r/diabetes/comments/73vm3q/acanthosis_nigricansdark_skin_on_inner_thighs/")</f>
        <v/>
      </c>
      <c r="G3554" t="inlineStr">
        <is>
          <t>2017-10-02 13:48:19</t>
        </is>
      </c>
      <c r="H3554" t="inlineStr">
        <is>
          <t>Type 1</t>
        </is>
      </c>
    </row>
    <row r="3555">
      <c r="A3555" t="inlineStr">
        <is>
          <t>73vypb</t>
        </is>
      </c>
      <c r="B3555" t="inlineStr">
        <is>
          <t>20 years diabetic, I guess it's time I acknowledge the first complications: a rant</t>
        </is>
      </c>
      <c r="C3555" t="inlineStr">
        <is>
          <t>The last few weeks I've had recurring tingling in my fingers, with the occasional pain extending up my forearm.  It's time I stop ignoring this as being simply my hands falling asleep.  These are the textbook symptoms of diabetic neuropathy.  I'm not being melodramatic in thinking that I'm going to die tomorrow, but I can't deny that there are now probably fewer days ahead than there are behind (I'm just a couple of years shy of 40). It's hard not to feel an overwhelming sense of panic, feeling that life is beginning to close in around me.
I've been trying harder to keep my BG's lower lately, but I have tremendous insulin resistance.  The doc keeps upping my doses; I'm now up to about 150 units a day, basal+bolus.  When I have highs they tend to stay high, regardless of the insulin I take.   But when I try to keep my BG around 120-140, it can start sliding low in the most unpredictable times.  I have a Dexcom, so I have some forewarning, but when it starts sliding it's hard to stop.  Sometimes food will shoot it back up for a little while, other times it can take a tremendous amount--think 60-70g carbs-- to stop the nosedive.
My wife gets Dexcom alerts on her phone, and I'm realizing now what a nervous wreck it's making her when this happens.  She lives in a constant state of worry. (Her words.)  And now I'm realizing that that I'm a point of conversation amongst friends who have seen me get low.  "You had my poor sister so stressed," she told me.  Another that saw me get low at a family outing was telling the other moms in my wife's group of friends how sick I got, and "I don't see how you do it."
I'm troubled in feeling like a burden to those around me.  The only way I can seem to have enough of a buffer zone from the lows is to run high... and obviously the nerve damage I'm feeling now is a result of that.  I feel the toll it's taken on my body, not only physically, but mentally.  I can't remember the things I used to. I have trouble focusing.  And that scares me because I have a mentally demanding job. 
I guess there's nothing else to say here, other than... thank you for listening, random Internet strangers who have made it this far.
Edit: Wordy McWordface fixing Words</t>
        </is>
      </c>
      <c r="D3555" t="n">
        <v>70</v>
      </c>
      <c r="E3555" t="n">
        <v>56</v>
      </c>
      <c r="F3555">
        <f>HYPERLINK("https://www.reddit.com/r/diabetes/comments/73vypb/20_years_diabetic_i_guess_its_time_i_acknowledge/")</f>
        <v/>
      </c>
      <c r="G3555" t="inlineStr">
        <is>
          <t>2017-10-02 14:41:48</t>
        </is>
      </c>
      <c r="H3555" t="inlineStr">
        <is>
          <t>Type 1</t>
        </is>
      </c>
    </row>
    <row r="3556">
      <c r="A3556" t="inlineStr">
        <is>
          <t>73wvtt</t>
        </is>
      </c>
      <c r="B3556" t="inlineStr">
        <is>
          <t>14.1 to 7.1 A1C! A good thing?</t>
        </is>
      </c>
      <c r="C3556" t="inlineStr">
        <is>
          <t xml:space="preserve">I was diagnosed with type 1 diabetes back in the middle of July after being rushed to the ER and finding out I was in dka.  I spent a fun week in the ICU. 
 During the hospital stay, my A1C came back as 14.1!  Horrible, just horrible.  I have been experiencing diabetes symptoms for quite a while before, but kept ignoring them.  After being hit with the hard truth that I had diabetes, I knew I had to be positive about this.  The diet, the insulin, and just generally taking better care of myself.  I worked hard over these first 3 months.  Shout out to this sub and the many hours I have spent reading thread after thread of great info.  And I just recently had my blood taken again before my 2nd endo visit.  My A1C came back at 7.1!  When I met with my endo, he kept saying "unbelievable" over and over again.  I was happy and excited I was moving in the right direction.
So my blood sugars have been a lot better, but my body aches and my feet are in constant pain.  My endo said this could be from my body not being able to adjust that quickly with the balanced/normal blood sugars.  I hope that it is true.  He doesn't think that neuropathy would set in that fast with someone newly diagnosed and didn't want me on any medication yet.  
Has anyone else experienced this?  The foot pain causes me to not sleep an entire night through.   I can't even sit or lay down without my feet constantly hurting.  I would be very excited if this is my body still healing, but crushed if it isn't.  </t>
        </is>
      </c>
      <c r="D3556" t="n">
        <v>26</v>
      </c>
      <c r="E3556" t="n">
        <v>13</v>
      </c>
      <c r="F3556">
        <f>HYPERLINK("https://www.reddit.com/r/diabetes/comments/73wvtt/141_to_71_a1c_a_good_thing/")</f>
        <v/>
      </c>
      <c r="G3556" t="inlineStr">
        <is>
          <t>2017-10-02 17:16:33</t>
        </is>
      </c>
      <c r="H3556" t="inlineStr">
        <is>
          <t>Type 1</t>
        </is>
      </c>
    </row>
    <row r="3557">
      <c r="A3557" t="inlineStr">
        <is>
          <t>73yva6</t>
        </is>
      </c>
      <c r="B3557" t="inlineStr">
        <is>
          <t>Hypoglycemia has changed for me</t>
        </is>
      </c>
      <c r="C3557" t="inlineStr">
        <is>
          <t>It started about a week ago but before then when I had low blood sugars it made me feel extremely hungry and want to eat, shaky but relatatively still functional, I could eat something like a piece of bread and they would be back up to normal levels within 10 minutes. Now whenever I get low blood sugars it's way harder to get them go back up, I don't get hungry at all, I feel sick a lot of the time to the point where I could throw up which doesn't help the whole having to eat and raise my blood sugars thing.  I get double vision, My tongue and lips go numb and I can't keep track of what people are saying or form sentences properly, There hasn't been any change to how low they are going so I don't know what's happened. Also the other day I completely lost the ability to taste "sweet" everything just tasted bitter even things with sweetener in or really sugary foods. Has anyone experienced this or got any advice? I've had to take multiple days off work because I'm normally the only one on shift and I'm worried that I won't be able to do my job while having low blood sugars anymore...</t>
        </is>
      </c>
      <c r="D3557" t="n">
        <v>2</v>
      </c>
      <c r="E3557" t="n">
        <v>2</v>
      </c>
      <c r="F3557">
        <f>HYPERLINK("https://www.reddit.com/r/diabetes/comments/73yva6/hypoglycemia_has_changed_for_me/")</f>
        <v/>
      </c>
      <c r="G3557" t="inlineStr">
        <is>
          <t>2017-10-03 00:18:54</t>
        </is>
      </c>
      <c r="H3557" t="inlineStr">
        <is>
          <t>Type 1</t>
        </is>
      </c>
    </row>
    <row r="3558">
      <c r="A3558" t="inlineStr">
        <is>
          <t>741tgo</t>
        </is>
      </c>
      <c r="B3558" t="inlineStr">
        <is>
          <t>CGM sensor locations</t>
        </is>
      </c>
      <c r="C3558" t="inlineStr">
        <is>
          <t>I have recently upgraded from the Animas Ping to the Vibe and with it, Dexcom G4. I'm used to my pump inserts being done in my abdomen and have my first CGM inserted in one of my "love handles" buuuuuut this is a bit of an awkward location for me to access and I can feel the tape tugging when I twist so I'm a concerned it will weaken the longevity of the location. That being the case, I wanted to look into what other location sites could be better for me.
Arm - I lean on a lot of things and feel like it would get in the way. The last thing I want to do is run into a door-frame (this happens, don't judge) and basically rip off my sensor. Or worse yet, damage the transmitter, RIP money. And at a certain point on the back of my arm it will start rubbing against me.
Butt/Thigh - I am concerned with clothing catching on it when removed and my jeans aren't particularly loose so it seems like a bad idea.
When I was at my endo for training, I was told a girl before me had hers inserted in her shoulder without an issue - as you can essentially insert it anywhere that has enough subcutaneous fat. This seems like a badly accessed place to do it solo, but it got me thinking.
I kind of want to try to do it in my calf since it seems like it would be a convenient and out of the way location for it. Doing a Google search, I even found where someone said that is the location they use. But I have some concerns about how good the readings will be or if my pump will whine that it can't get a reading because it's to far away or something and I don't want to potentially waste an insert on a bad location.
Is there anywhere else that you guys have tried successfully? What are your thoughts about trying the calf as an insert location?</t>
        </is>
      </c>
      <c r="D3558" t="n">
        <v>2</v>
      </c>
      <c r="E3558" t="n">
        <v>9</v>
      </c>
      <c r="F3558">
        <f>HYPERLINK("https://www.reddit.com/r/diabetes/comments/741tgo/cgm_sensor_locations/")</f>
        <v/>
      </c>
      <c r="G3558" t="inlineStr">
        <is>
          <t>2017-10-03 10:09:57</t>
        </is>
      </c>
      <c r="H3558" t="inlineStr">
        <is>
          <t>Type 1</t>
        </is>
      </c>
    </row>
    <row r="3559">
      <c r="A3559" t="inlineStr">
        <is>
          <t>7479ev</t>
        </is>
      </c>
      <c r="B3559" t="inlineStr">
        <is>
          <t>Have you ever had ketones that would be gone most of the day but come back overnight?</t>
        </is>
      </c>
      <c r="C3559" t="inlineStr">
        <is>
          <t>I'll flush out the ketones by late morningish, they'll be gone pretty much the entire day but then the next morning they're back again. Anyone have experience with this?
My doctor said its because I'm fighting off an infection and gave me antibiotics, I'm just still distraught since I've never had them like this before.</t>
        </is>
      </c>
      <c r="D3559" t="n">
        <v>2</v>
      </c>
      <c r="E3559" t="n">
        <v>13</v>
      </c>
      <c r="F3559">
        <f>HYPERLINK("https://www.reddit.com/r/diabetes/comments/7479ev/have_you_ever_had_ketones_that_would_be_gone_most/")</f>
        <v/>
      </c>
      <c r="G3559" t="inlineStr">
        <is>
          <t>2017-10-04 03:25:52</t>
        </is>
      </c>
      <c r="H3559" t="inlineStr">
        <is>
          <t>Type 1</t>
        </is>
      </c>
    </row>
    <row r="3560">
      <c r="A3560" t="inlineStr">
        <is>
          <t>747nxa</t>
        </is>
      </c>
      <c r="B3560" t="inlineStr">
        <is>
          <t>Bolus or basal issue?</t>
        </is>
      </c>
      <c r="C3560" t="inlineStr">
        <is>
          <t xml:space="preserve">I’ll keep this short. I wake up with in range blood sugars, and have a Keto breakfast in which I use a dual wave bolus. 60% up front and 40% over 1.5 hours. My two hour post breakfast score is within range, however two hours later and I’m beginning to spike. The same happens when I have lunch. Is this a bolus issue or does it show my basal rate is too low? 
Thanks </t>
        </is>
      </c>
      <c r="D3560" t="n">
        <v>3</v>
      </c>
      <c r="E3560" t="n">
        <v>2</v>
      </c>
      <c r="F3560">
        <f>HYPERLINK("https://www.reddit.com/r/diabetes/comments/747nxa/bolus_or_basal_issue/")</f>
        <v/>
      </c>
      <c r="G3560" t="inlineStr">
        <is>
          <t>2017-10-04 04:59:02</t>
        </is>
      </c>
      <c r="H3560" t="inlineStr">
        <is>
          <t>Type 1</t>
        </is>
      </c>
    </row>
    <row r="3561">
      <c r="A3561" t="inlineStr">
        <is>
          <t>74a361</t>
        </is>
      </c>
      <c r="B3561" t="inlineStr">
        <is>
          <t>Not sure what happened, dropped crazy low</t>
        </is>
      </c>
      <c r="C3561" t="inlineStr">
        <is>
          <t>Hey all, 29 y/o male, ~161 lbs, diagnosed with type 1 about a month ago.  Last night I dropped down to blood sugar of 24.  Terrifying.  Not sure what I did wrong- I have a call in to my endo, but I thought I'd reach out here too.  Here was my day:
Fasting sugar: 99
0816 Breakfast: 25g carb, 3 units Novolog
1015: 126 mg/dl
1149 Lunch: 50g carb, 4 units Novolog
1552: 138 mg/dl
1630: Early Dinner: 50g carb, 4 units Novolog
1728: 162 mg/dl
2041: late snack, 150 mg/dl, 40g carb 2 units Novolog
1010: 16 units Lantus
1035: 24 mg/dl and a shitton of sugar
My only thought is that I still had some of my two units of Novolog in my system when I took the Lantus.  Any thoughts?</t>
        </is>
      </c>
      <c r="D3561" t="n">
        <v>5</v>
      </c>
      <c r="E3561" t="n">
        <v>14</v>
      </c>
      <c r="F3561">
        <f>HYPERLINK("https://www.reddit.com/r/diabetes/comments/74a361/not_sure_what_happened_dropped_crazy_low/")</f>
        <v/>
      </c>
      <c r="G3561" t="inlineStr">
        <is>
          <t>2017-10-04 11:24:29</t>
        </is>
      </c>
      <c r="H3561" t="inlineStr">
        <is>
          <t>Type 1</t>
        </is>
      </c>
    </row>
    <row r="3562">
      <c r="A3562" t="inlineStr">
        <is>
          <t>74deid</t>
        </is>
      </c>
      <c r="B3562" t="inlineStr">
        <is>
          <t>I Need advice on excessive thirst</t>
        </is>
      </c>
      <c r="C3562" t="inlineStr">
        <is>
          <t xml:space="preserve">I'm self-diagnosed T2 diabetic since my doctor keeps telling me it's Prediabetes. The thing is that i'm always drinking water, 6 bottles of 1.5L water a day and sometimes more. Here is the thing, I start feeling stomachaches and terrible nauseas end up throwing up and most of it is water. Is something going to happen if I don't fed those water cravings? </t>
        </is>
      </c>
      <c r="D3562" t="n">
        <v>2</v>
      </c>
      <c r="E3562" t="n">
        <v>8</v>
      </c>
      <c r="F3562">
        <f>HYPERLINK("https://www.reddit.com/r/diabetes/comments/74deid/i_need_advice_on_excessive_thirst/")</f>
        <v/>
      </c>
      <c r="G3562" t="inlineStr">
        <is>
          <t>2017-10-04 20:26:26</t>
        </is>
      </c>
      <c r="H3562" t="inlineStr">
        <is>
          <t>Type 2</t>
        </is>
      </c>
    </row>
    <row r="3563">
      <c r="A3563" t="inlineStr">
        <is>
          <t>74e0eb</t>
        </is>
      </c>
      <c r="B3563" t="inlineStr">
        <is>
          <t>Diabetes celebration!!</t>
        </is>
      </c>
      <c r="C3563" t="inlineStr">
        <is>
          <t xml:space="preserve">I'm a T1D teen and have had diabetes for 13 years!!! My A1C has always been in the high sevens/low eights after I was diagnose ): today I got my results back and it was 7.0!!!! I'm so happy and can't believe it!!!!! 
If you're ever feeling bad about diabetes, just remember it only took me thirteen years to get my A1C down to 7 ;) hahah!! </t>
        </is>
      </c>
      <c r="D3563" t="n">
        <v>34</v>
      </c>
      <c r="E3563" t="n">
        <v>5</v>
      </c>
      <c r="F3563">
        <f>HYPERLINK("https://www.reddit.com/r/diabetes/comments/74e0eb/diabetes_celebration/")</f>
        <v/>
      </c>
      <c r="G3563" t="inlineStr">
        <is>
          <t>2017-10-04 22:39:22</t>
        </is>
      </c>
      <c r="H3563" t="inlineStr">
        <is>
          <t>Type 1</t>
        </is>
      </c>
    </row>
    <row r="3564">
      <c r="A3564" t="inlineStr">
        <is>
          <t>74eu9o</t>
        </is>
      </c>
      <c r="B3564" t="inlineStr">
        <is>
          <t>Just a small example of how much cardio can help you when high (not that kinda high!).</t>
        </is>
      </c>
      <c r="C3564" t="inlineStr">
        <is>
          <t>I ate some shit I had no business eating, and my BS got up to 242. Not sure if that was the peak, I was still going up, or if I was coming down. Fact is I don't like to ever be that high, even when I eat some nonsense. 
I was restless, so decided to go to a brisk 2 mile walk at the track. Stars were out, the air was crisp, so it was really pleasurable. 40 minutes and 2 miles later my BS is 133.  
I know most of us know how much cardio can help knock a high down to some degree, but I just figure I would post this to reaffirm for some folks, or to let the newly diagnosed know the deal.</t>
        </is>
      </c>
      <c r="D3564" t="n">
        <v>22</v>
      </c>
      <c r="E3564" t="n">
        <v>15</v>
      </c>
      <c r="F3564">
        <f>HYPERLINK("https://www.reddit.com/r/diabetes/comments/74eu9o/just_a_small_example_of_how_much_cardio_can_help/")</f>
        <v/>
      </c>
      <c r="G3564" t="inlineStr">
        <is>
          <t>2017-10-05 02:26:35</t>
        </is>
      </c>
      <c r="H3564" t="inlineStr">
        <is>
          <t>Type 2</t>
        </is>
      </c>
    </row>
    <row r="3565">
      <c r="A3565" t="inlineStr">
        <is>
          <t>74ftjz</t>
        </is>
      </c>
      <c r="B3565" t="inlineStr">
        <is>
          <t>The ONE day I wasn't wearing my CGM...</t>
        </is>
      </c>
      <c r="C3565" t="inlineStr">
        <is>
          <t>97 at bedtime. 317 in the morning. What?!!</t>
        </is>
      </c>
      <c r="D3565" t="n">
        <v>11</v>
      </c>
      <c r="E3565" t="n">
        <v>9</v>
      </c>
      <c r="F3565">
        <f>HYPERLINK("https://www.reddit.com/r/diabetes/comments/74ftjz/the_one_day_i_wasnt_wearing_my_cgm/")</f>
        <v/>
      </c>
      <c r="G3565" t="inlineStr">
        <is>
          <t>2017-10-05 06:07:47</t>
        </is>
      </c>
      <c r="H3565" t="inlineStr">
        <is>
          <t>Type 1</t>
        </is>
      </c>
    </row>
    <row r="3566">
      <c r="A3566" t="inlineStr">
        <is>
          <t>74gsyd</t>
        </is>
      </c>
      <c r="B3566" t="inlineStr">
        <is>
          <t>A huge thanks to this subreddit! You guys seriously might have saved me!</t>
        </is>
      </c>
      <c r="C3566" t="inlineStr">
        <is>
          <t>First, I'm a newly diagnosed Type 1 (April 2017), but only after being treated as a Type 2 for two years...  Anyways, I was struggling a lot with constantly swinging from extremely high to dangerously low.  I live alone and it made my parents worry endlessly to the point if I didn't answer a call or text, panic set in...  So a few months ago I asked what people in my situation did to ease that burden and most people pointed towards the Dexcom.  I had no idea what it was or what it did, but after a lot of research and talking to my doc, I'm excited to say that it arrived yesterday!  I haven't got to use it yet, but I'm hoping my quality of life and independence will be better.  Thanks to everyone here for the info and support!</t>
        </is>
      </c>
      <c r="D3566" t="n">
        <v>2</v>
      </c>
      <c r="E3566" t="n">
        <v>7</v>
      </c>
      <c r="F3566">
        <f>HYPERLINK("https://www.reddit.com/r/diabetes/comments/74gsyd/a_huge_thanks_to_this_subreddit_you_guys/")</f>
        <v/>
      </c>
      <c r="G3566" t="inlineStr">
        <is>
          <t>2017-10-05 08:45:32</t>
        </is>
      </c>
      <c r="H3566" t="inlineStr">
        <is>
          <t>Type 1</t>
        </is>
      </c>
    </row>
    <row r="3567">
      <c r="A3567" t="inlineStr">
        <is>
          <t>74hiot</t>
        </is>
      </c>
      <c r="B3567" t="inlineStr">
        <is>
          <t>Case of mistaken needle</t>
        </is>
      </c>
      <c r="C3567" t="inlineStr">
        <is>
          <t>Just got called to HR and had to drive to the drug lab to give a urine sample. I eat lunch in the car and my insurance gives me Humalog in a vial. Some do-gooder reported to HR that I was "using drugs" in my car.
I showed the HR woman my vial, my needles, my sharps container, my meter, and I said I could get copies of my prescriptions tomorrow. HR woman was EXTREMELY apologetic. She's T2 herself. But she said to close the report I needed a drug test. So off the 15 minute drive to the little drug testing place to give a urine sample.
HR wouldn't tell me who reported it. I'm beyond pissed! Asked a coworker if they knew who reported me. No clue, but got to hear a lovely story about his uncle who was diabetic and lost a toe, then lost a leg, then went blind, then died! Every diabetic person loves these stories!</t>
        </is>
      </c>
      <c r="D3567" t="n">
        <v>39</v>
      </c>
      <c r="E3567" t="n">
        <v>16</v>
      </c>
      <c r="F3567">
        <f>HYPERLINK("https://www.reddit.com/r/diabetes/comments/74hiot/case_of_mistaken_needle/")</f>
        <v/>
      </c>
      <c r="G3567" t="inlineStr">
        <is>
          <t>2017-10-05 10:30:21</t>
        </is>
      </c>
      <c r="H3567" t="inlineStr">
        <is>
          <t>Type 1</t>
        </is>
      </c>
    </row>
    <row r="3568">
      <c r="A3568" t="inlineStr">
        <is>
          <t>74jpk4</t>
        </is>
      </c>
      <c r="B3568" t="inlineStr">
        <is>
          <t>Recently diagnosed. New to all of this.</t>
        </is>
      </c>
      <c r="C3568" t="inlineStr">
        <is>
          <t>Hi everybody.
I'm new to all of this. Brand spanking new. Like, within the past 3 days is when I found out I have Type 1 Diabetes.
It came as a pretty big shock, but not a huge surprise, if that makes sense. I'm a 30 year old male and I'm at a healthy weight, but I confess that I haven't had the greatest of diets in recent months.
I was seeing a specialist about some unrelated bloodwork and received a call later that day from the nurse advising I go to the ER. Apparently (assuming I'm remembering correctly) I was coming up at around 580? I'm willing to bet it was my own fault for eating breakfast before going, but hey, I was hungry. After I was finished with work I made my way to the ER where I was pricked again and came up around 350 after having not eaten since that morning. 
*Four hours later*
I leave the ER and make my way home with my diagnosis of having Type 1 Diabetes. It's interesting because I've never really had any health issues, complications, or anything of the sort. So where do I go from here? I'll be seeing my doctor soon, but is there any general advice or tips? I'm still trying to wrap my head around all of this, and any assistance is appreciated, even if it's just... words? Words!
I've spent the past few days being conscious of what I'm eating and drinking. Kicking the soda habit, trying to cook more at home and eat better. 'Exercise: The Sequel' coming soon.
Thanks for reading.
Hope you're all doing well. &amp;lt;3
**Update:** Apologies I didn't mention it. The ER doctor prescribed me some insulin pens, and immediately after I left the ER I picked up some strips and a meter and have been testing my levels pretty regularly. I try not to obsess over it, but it's hard to not think "I wonder what it's at now..." even though I just checked it 20 minutes ago.
Overall I feel fine. I believe at this point it's more mental stress than anything. Physically I never knew nothing was wrong.</t>
        </is>
      </c>
      <c r="D3568" t="n">
        <v>3</v>
      </c>
      <c r="E3568" t="n">
        <v>9</v>
      </c>
      <c r="F3568">
        <f>HYPERLINK("https://www.reddit.com/r/diabetes/comments/74jpk4/recently_diagnosed_new_to_all_of_this/")</f>
        <v/>
      </c>
      <c r="G3568" t="inlineStr">
        <is>
          <t>2017-10-05 16:06:58</t>
        </is>
      </c>
      <c r="H3568" t="inlineStr">
        <is>
          <t>Type 1</t>
        </is>
      </c>
    </row>
    <row r="3569">
      <c r="A3569" t="inlineStr">
        <is>
          <t>74nm57</t>
        </is>
      </c>
      <c r="B3569" t="inlineStr">
        <is>
          <t>Question regarding Humalog</t>
        </is>
      </c>
      <c r="C3569" t="inlineStr">
        <is>
          <t xml:space="preserve">Dr Bernstein suggests using ‘regular’ insulin due to the way it follows the curve in which protein raises the blood sugar. As I’m on a pump how would I be able to recreate this curve using Humalog over a duel/square wave bolus? 
Thanks </t>
        </is>
      </c>
      <c r="D3569" t="n">
        <v>7</v>
      </c>
      <c r="E3569" t="n">
        <v>7</v>
      </c>
      <c r="F3569">
        <f>HYPERLINK("https://www.reddit.com/r/diabetes/comments/74nm57/question_regarding_humalog/")</f>
        <v/>
      </c>
      <c r="G3569" t="inlineStr">
        <is>
          <t>2017-10-06 06:30:53</t>
        </is>
      </c>
      <c r="H3569" t="inlineStr">
        <is>
          <t>Type 1</t>
        </is>
      </c>
    </row>
    <row r="3570">
      <c r="A3570" t="inlineStr">
        <is>
          <t>74oyhs</t>
        </is>
      </c>
      <c r="B3570" t="inlineStr">
        <is>
          <t>Insulin not working at all, freaking out</t>
        </is>
      </c>
      <c r="C3570" t="inlineStr">
        <is>
          <t>I was diagnosed with T1/LADA diabetes last year around this time, all of a sudden my insulin is no longer working. I use Tresiba in the morning and Novolog for my meal time insulin and I don't use a pump. I have tried to up my dosage for both my Tresiba and my Novolog, at first incrementally but now I am using larger and larger amounts. I just took 11 units to attempt to regulate myself for 40g of carbs. I shot up from 150 (my bgl after 6 hours of sleep) to 262bgl and climbing. I ended up taking an additional 10 units and after an hour it still didn't do anything, I dropped from 262 to 261. Is there anything I can do? I have tried changing sites for injection, fresh pens, fresh test strips. I called my doctor and they adjusted my scale but it didn't change anything. I have an appointment on Wednesday but I'm still freaking out about insulin resistance. Any advice?</t>
        </is>
      </c>
      <c r="D3570" t="n">
        <v>10</v>
      </c>
      <c r="E3570" t="n">
        <v>33</v>
      </c>
      <c r="F3570">
        <f>HYPERLINK("https://www.reddit.com/r/diabetes/comments/74oyhs/insulin_not_working_at_all_freaking_out/")</f>
        <v/>
      </c>
      <c r="G3570" t="inlineStr">
        <is>
          <t>2017-10-06 10:00:30</t>
        </is>
      </c>
      <c r="H3570" t="inlineStr">
        <is>
          <t>Type 1.5/LADA</t>
        </is>
      </c>
    </row>
    <row r="3571">
      <c r="A3571" t="inlineStr">
        <is>
          <t>74qmnn</t>
        </is>
      </c>
      <c r="B3571" t="inlineStr">
        <is>
          <t>Journalist seeking NYC or SF-area person to interview about experience with artificial pancreas</t>
        </is>
      </c>
      <c r="C3571" t="inlineStr">
        <is>
          <t xml:space="preserve">I'm embarking on a series of public radio stories about diabetes. For our first story, we'd like to interview someone who's currently in an artificial pancreas trial and has strong feelings about it. New York City (or New Jersey) location is ideal, but could also be someone in the San Francisco/Stanford area. </t>
        </is>
      </c>
      <c r="D3571" t="n">
        <v>7</v>
      </c>
      <c r="E3571" t="n">
        <v>4</v>
      </c>
      <c r="F3571">
        <f>HYPERLINK("https://www.reddit.com/r/diabetes/comments/74qmnn/journalist_seeking_nyc_or_sfarea_person_to/")</f>
        <v/>
      </c>
      <c r="G3571" t="inlineStr">
        <is>
          <t>2017-10-06 14:13:38</t>
        </is>
      </c>
      <c r="H3571" t="inlineStr">
        <is>
          <t>Type 1</t>
        </is>
      </c>
    </row>
    <row r="3572">
      <c r="A3572" t="inlineStr">
        <is>
          <t>74qtmk</t>
        </is>
      </c>
      <c r="B3572" t="inlineStr">
        <is>
          <t>Have any T2s been able to get a CGM through insurance? + pregnancy related?</t>
        </is>
      </c>
      <c r="C3572" t="inlineStr">
        <is>
          <t>I was originally diagnosed T2 at age 21 even though I have a family history on one side of T1 (and T2 on the other) and I was overweight at the time. I was put on Metformin but got immediately sick and didn't ever stop getting sick from it, plus my BG levels never went down, so I finally went back to the doctor and requested to be put in insulin and immediately started getting better. My current doctor said I'm "probably" 1.5 but I havent had the test done.
I use pens and test frequently and had fairly good control but I just found out that I'm pregnant. One of the reasons I suspected I was pregnant was because my BG went INSANE. Like, out of nowhere my fasting is in the 200s, and my ratio went from 1:15 to 1:5. It's so much extra stress because I want to eat everything in sight but I'm also terrified of miscarrying if I run high. I would love to have a CGM for the duration of the pregnancy, but is that even an option? Has anybody ever gotten a CGM even if Type 2? 
Thanks in advance, apologies that this is all over the place.</t>
        </is>
      </c>
      <c r="D3572" t="n">
        <v>6</v>
      </c>
      <c r="E3572" t="n">
        <v>6</v>
      </c>
      <c r="F3572">
        <f>HYPERLINK("https://www.reddit.com/r/diabetes/comments/74qtmk/have_any_t2s_been_able_to_get_a_cgm_through/")</f>
        <v/>
      </c>
      <c r="G3572" t="inlineStr">
        <is>
          <t>2017-10-06 14:44:54</t>
        </is>
      </c>
      <c r="H3572" t="inlineStr">
        <is>
          <t>Type 1.5/LADA</t>
        </is>
      </c>
    </row>
    <row r="3573">
      <c r="A3573" t="inlineStr">
        <is>
          <t>74s6nx</t>
        </is>
      </c>
      <c r="B3573" t="inlineStr">
        <is>
          <t>Is Tandem next?</t>
        </is>
      </c>
      <c r="C3573" t="inlineStr">
        <is>
          <t>I tried to get a Cozmo pump for my first, but ran into insurance problems, and then they went out of business. I was an Animas Ping user for a while, so it's sad to hear that is ending now too. I currently use a Tandem, but their stock has only declined, with an especially steep cliff a year ago. Unless they revolutionize the market with something new, they are likely not going to last very long on what little value they have left.</t>
        </is>
      </c>
      <c r="D3573" t="n">
        <v>2</v>
      </c>
      <c r="E3573" t="n">
        <v>11</v>
      </c>
      <c r="F3573">
        <f>HYPERLINK("https://www.reddit.com/r/diabetes/comments/74s6nx/is_tandem_next/")</f>
        <v/>
      </c>
      <c r="G3573" t="inlineStr">
        <is>
          <t>2017-10-06 18:58:33</t>
        </is>
      </c>
      <c r="H3573" t="inlineStr">
        <is>
          <t>Type 1</t>
        </is>
      </c>
    </row>
    <row r="3574">
      <c r="A3574" t="inlineStr">
        <is>
          <t>74w5lf</t>
        </is>
      </c>
      <c r="B3574" t="inlineStr">
        <is>
          <t>A few questions from a husband of someone with T1</t>
        </is>
      </c>
      <c r="C3574" t="inlineStr">
        <is>
          <t>As the title says, my wife was diagnosed a few years ago (before I met her) with T1. Having met her a bit over a year ago, and with no previous experience, I don't know very much about diabetes. She doesn't use a pump; she uses rapid acting insulin with every meal and a long acting one twice a day. 
She has told me that ever since she got her diagnosis, her blood sugar has always been a bit higher than 'normal' and her doctor said that that's fine. She's usually in the 8-18 mmol/L range which, according to her, is fine. She does a good job of keeping her sugar around that range (except the odd hypo/hyper every now and then) but I'm a bit worried about her dietary choices.
My understanding is that its a good idea to keep pretty level blood sugar levels (at least as best as you can) so I'm usually trying to advice her against eating lots of simple carbs and extra sugars but her reply usually is "that's what insulin is for". She's a firm believer that she can eat whatever she wants, as long as she takes enough insulin to compensate so she'll eat anything: carbs, desert, sweets, sugary drinks; you name it. I can usually talk her out of it but she'll have something sugary every other day or so.
Is she correct in thinking that she can eat stuff like that as long as takes enough insulin? Should I try to convince her to avoid things like that and (hopefully) keep a more level blood sugar level or is that just an ideal?</t>
        </is>
      </c>
      <c r="D3574" t="n">
        <v>2</v>
      </c>
      <c r="E3574" t="n">
        <v>20</v>
      </c>
      <c r="F3574">
        <f>HYPERLINK("https://www.reddit.com/r/diabetes/comments/74w5lf/a_few_questions_from_a_husband_of_someone_with_t1/")</f>
        <v/>
      </c>
      <c r="G3574" t="inlineStr">
        <is>
          <t>2017-10-07 10:22:56</t>
        </is>
      </c>
      <c r="H3574" t="inlineStr">
        <is>
          <t>Type 1</t>
        </is>
      </c>
    </row>
    <row r="3575">
      <c r="A3575" t="inlineStr">
        <is>
          <t>74x5sb</t>
        </is>
      </c>
      <c r="B3575" t="inlineStr">
        <is>
          <t>Keto Challenges in The Hong Kong/Macau Area?</t>
        </is>
      </c>
      <c r="C3575" t="inlineStr">
        <is>
          <t>So I am taking a 2 week vacation over to the Hong Kong/Macau area and I am on a very strict keto diet due to my T1D. I do not know much about the area and the foods that are available, but I heard there is a LOT of sugar and breads over there. Has anybody been over around that area while on that diet? Any insight would help out!! Thanks :)</t>
        </is>
      </c>
      <c r="D3575" t="n">
        <v>1</v>
      </c>
      <c r="E3575" t="n">
        <v>1</v>
      </c>
      <c r="F3575">
        <f>HYPERLINK("https://www.reddit.com/r/diabetes/comments/74x5sb/keto_challenges_in_the_hong_kongmacau_area/")</f>
        <v/>
      </c>
      <c r="G3575" t="inlineStr">
        <is>
          <t>2017-10-07 13:10:09</t>
        </is>
      </c>
      <c r="H3575" t="inlineStr">
        <is>
          <t>Type 1</t>
        </is>
      </c>
    </row>
    <row r="3576">
      <c r="A3576" t="inlineStr">
        <is>
          <t>750gu8</t>
        </is>
      </c>
      <c r="B3576" t="inlineStr">
        <is>
          <t>Foot has tingling/pins and needles sensation when touched, should I be worried?</t>
        </is>
      </c>
      <c r="C3576" t="inlineStr">
        <is>
          <t>If I touch or apply pressure to a certain spot on the top of my left foot it gives a strong tingling feeling through to my big toe, it's been like this for about a week. It doesn't necessarily hurt, more just uncomfortable if I tie shoelaces too tight. Would this be diabetes related? T1 for 13yrs with a 6.5 hba1c on insulin pens.</t>
        </is>
      </c>
      <c r="D3576" t="n">
        <v>2</v>
      </c>
      <c r="E3576" t="n">
        <v>1</v>
      </c>
      <c r="F3576">
        <f>HYPERLINK("https://www.reddit.com/r/diabetes/comments/750gu8/foot_has_tinglingpins_and_needles_sensation_when/")</f>
        <v/>
      </c>
      <c r="G3576" t="inlineStr">
        <is>
          <t>2017-10-08 00:42:12</t>
        </is>
      </c>
      <c r="H3576" t="inlineStr">
        <is>
          <t>Type 1</t>
        </is>
      </c>
    </row>
    <row r="3577">
      <c r="A3577" t="inlineStr">
        <is>
          <t>754oqi</t>
        </is>
      </c>
      <c r="B3577" t="inlineStr">
        <is>
          <t>I really do need help with my gf diabetes</t>
        </is>
      </c>
      <c r="C3577" t="inlineStr">
        <is>
          <t>So I dont know how to start.. I have been together with this amazing girl for about 2 years now, she is perfect, she is gluten intolerance and got diagnosed with that as a kid, she never had any trouble with it untill about 1 year ago when she started to just eat constantly and she has now gaind about 60kg, just a few months ago she got diagnosed with diabetes and Im really trying my best to help her but she gets mad at me and very defencive when I talk about it... Im now taking medicine for being depressed and I think it has alot to do with this, this is really tearing me up but I do love here, what can I do? Am I alone or is anyone else in my shoes?</t>
        </is>
      </c>
      <c r="D3577" t="n">
        <v>7</v>
      </c>
      <c r="E3577" t="n">
        <v>16</v>
      </c>
      <c r="F3577">
        <f>HYPERLINK("https://www.reddit.com/r/diabetes/comments/754oqi/i_really_do_need_help_with_my_gf_diabetes/")</f>
        <v/>
      </c>
      <c r="G3577" t="inlineStr">
        <is>
          <t>2017-10-08 14:53:18</t>
        </is>
      </c>
      <c r="H3577" t="inlineStr">
        <is>
          <t>Type 2</t>
        </is>
      </c>
    </row>
    <row r="3578">
      <c r="A3578" t="inlineStr">
        <is>
          <t>755ohm</t>
        </is>
      </c>
      <c r="B3578" t="inlineStr">
        <is>
          <t>So I have type 2 diabetes and think I am feeling false hypoglycemia?</t>
        </is>
      </c>
      <c r="C3578" t="inlineStr">
        <is>
          <t>Okay kind of afraid, so first off I was told I have type 2 diabetes a while ago and was controlling it with akins no meds. I eventually feel off that band wagon and am about to get back on (money issues) but today I only ate once and wasnt super much like 6 hours ago.
 Now I started doing some house work and I feel hungry, and lightheaded/dizzy and i heard you can have false hypo but my blood sugar is still high. (Made the mistake of eating and drinking sugary stuff yesterday that i shouldnt of)
Is this really false hypo? Also i typically feel not great if i skip a meal in general and start doing something physical.</t>
        </is>
      </c>
      <c r="D3578" t="n">
        <v>2</v>
      </c>
      <c r="E3578" t="n">
        <v>10</v>
      </c>
      <c r="F3578">
        <f>HYPERLINK("https://www.reddit.com/r/diabetes/comments/755ohm/so_i_have_type_2_diabetes_and_think_i_am_feeling/")</f>
        <v/>
      </c>
      <c r="G3578" t="inlineStr">
        <is>
          <t>2017-10-08 17:52:04</t>
        </is>
      </c>
      <c r="H3578" t="inlineStr">
        <is>
          <t>Type 2</t>
        </is>
      </c>
    </row>
    <row r="3579">
      <c r="A3579" t="inlineStr">
        <is>
          <t>759aji</t>
        </is>
      </c>
      <c r="B3579" t="inlineStr">
        <is>
          <t>High before bed</t>
        </is>
      </c>
      <c r="C3579" t="inlineStr">
        <is>
          <t>It seems that I'm always super high for some reason just before bedtime, and usually the insulin I inject to fix the situation, doesn't work and I'm at the same range when I wake up and measure, does anybody have any tips or clues why is this happening?</t>
        </is>
      </c>
      <c r="D3579" t="n">
        <v>7</v>
      </c>
      <c r="E3579" t="n">
        <v>10</v>
      </c>
      <c r="F3579">
        <f>HYPERLINK("https://www.reddit.com/r/diabetes/comments/759aji/high_before_bed/")</f>
        <v/>
      </c>
      <c r="G3579" t="inlineStr">
        <is>
          <t>2017-10-09 07:11:12</t>
        </is>
      </c>
      <c r="H3579" t="inlineStr">
        <is>
          <t>Type 1</t>
        </is>
      </c>
    </row>
    <row r="3580">
      <c r="A3580" t="inlineStr">
        <is>
          <t>75br2h</t>
        </is>
      </c>
      <c r="B3580" t="inlineStr">
        <is>
          <t>A1c went from 10 to an estimated 5.8</t>
        </is>
      </c>
      <c r="C3580" t="inlineStr">
        <is>
          <t xml:space="preserve">I have had T1 for about 4 years now, but after the first year, i kinda started lacking and i did not count my carbs anymore and i just started to guess, because i thought i knew it. Lately ma A1c was always from 8 to 10 or something. 
Last week, i spend a week in the hospital, and that really opened my eyes damn. My average blood sugar went from 254 to 109. im always in the 90-130 range now and i feel much better :))
</t>
        </is>
      </c>
      <c r="D3580" t="n">
        <v>59</v>
      </c>
      <c r="E3580" t="n">
        <v>17</v>
      </c>
      <c r="F3580">
        <f>HYPERLINK("https://www.reddit.com/r/diabetes/comments/75br2h/a1c_went_from_10_to_an_estimated_58/")</f>
        <v/>
      </c>
      <c r="G3580" t="inlineStr">
        <is>
          <t>2017-10-09 13:01:55</t>
        </is>
      </c>
      <c r="H3580" t="inlineStr">
        <is>
          <t>Type 1</t>
        </is>
      </c>
    </row>
    <row r="3581">
      <c r="A3581" t="inlineStr">
        <is>
          <t>75c7m3</t>
        </is>
      </c>
      <c r="B3581" t="inlineStr">
        <is>
          <t>Dexcom G5 &amp;amp; Phone battery</t>
        </is>
      </c>
      <c r="C3581" t="inlineStr">
        <is>
          <t xml:space="preserve">So I have been testing out the Dexcom G5 for the past two weeks and I love it. So convenient and easy to use. But I have a couple of complaints. 
1. I don't use the receiver it came with, just my phone. I have noticed that it drains my battery way too fast and am wondering if anyone else has that problem. 
2. The receiver it came with can be annoying because it beeps like crazy when I'm low. I was wondering if there is a way to turn that off and if it's worth using in order to save my phone battery. 
Any tips or recommendations would be greatly appreciated to save my phone battery or silence the receiver! </t>
        </is>
      </c>
      <c r="D3581" t="n">
        <v>1</v>
      </c>
      <c r="E3581" t="n">
        <v>4</v>
      </c>
      <c r="F3581">
        <f>HYPERLINK("https://www.reddit.com/r/diabetes/comments/75c7m3/dexcom_g5_phone_battery/")</f>
        <v/>
      </c>
      <c r="G3581" t="inlineStr">
        <is>
          <t>2017-10-09 14:08:24</t>
        </is>
      </c>
      <c r="H3581" t="inlineStr">
        <is>
          <t>Type 1</t>
        </is>
      </c>
    </row>
    <row r="3582">
      <c r="A3582" t="inlineStr">
        <is>
          <t>75g89o</t>
        </is>
      </c>
      <c r="B3582" t="inlineStr">
        <is>
          <t>Explain like Im 5: glucose in liver</t>
        </is>
      </c>
      <c r="C3582" t="inlineStr">
        <is>
          <t>When your bloodsugar goes low, and you eat carbs to get it back up. Is it the carbs you consume what gets it back up or stored glucose? I dont know how this works</t>
        </is>
      </c>
      <c r="D3582" t="n">
        <v>18</v>
      </c>
      <c r="E3582" t="n">
        <v>20</v>
      </c>
      <c r="F3582">
        <f>HYPERLINK("https://www.reddit.com/r/diabetes/comments/75g89o/explain_like_im_5_glucose_in_liver/")</f>
        <v/>
      </c>
      <c r="G3582" t="inlineStr">
        <is>
          <t>2017-10-10 03:49:10</t>
        </is>
      </c>
      <c r="H3582" t="inlineStr">
        <is>
          <t>Type 1</t>
        </is>
      </c>
    </row>
    <row r="3583">
      <c r="A3583" t="inlineStr">
        <is>
          <t>75i4jv</t>
        </is>
      </c>
      <c r="B3583" t="inlineStr">
        <is>
          <t>T1D -- Help me sleep! (Basal Question)</t>
        </is>
      </c>
      <c r="C3583" t="inlineStr">
        <is>
          <t xml:space="preserve">Hey guys —
Mining your collective T1D knowledge on how to approach my current basal situation. . . This graph is indicative of what’s been happening for me for the last few weeks.
~1am I’ll start to crawl for a 2am high, and at 4am I’ll start to tank for a very reliable low at 6am. I have historically had a dawn phenomenon effect, so I have my basal set at 2.05 from 12am-7am and 1.35 fro 7am-12am (7am-12am). Common sense would lead me to believe I should give myself a little extra insulin to stem the 2am crawl, but what time do you think I should aim to ramp up? 1am, assuming the insulin takes about an hour to hit? Similarly, what time should I aim to pull back to avoid the 4am drop? 3am? Trying to sleep here!
Thank you guys — as always — for your help/expertise/support.
</t>
        </is>
      </c>
      <c r="D3583" t="n">
        <v>7</v>
      </c>
      <c r="E3583" t="n">
        <v>3</v>
      </c>
      <c r="F3583">
        <f>HYPERLINK("https://www.reddit.com/r/diabetes/comments/75i4jv/t1d_help_me_sleep_basal_question/")</f>
        <v/>
      </c>
      <c r="G3583" t="inlineStr">
        <is>
          <t>2017-10-10 09:16:43</t>
        </is>
      </c>
      <c r="H3583" t="inlineStr">
        <is>
          <t>Type 1</t>
        </is>
      </c>
    </row>
    <row r="3584">
      <c r="A3584" t="inlineStr">
        <is>
          <t>75icft</t>
        </is>
      </c>
      <c r="B3584" t="inlineStr">
        <is>
          <t>T2: Insulin came back out</t>
        </is>
      </c>
      <c r="C3584" t="inlineStr">
        <is>
          <t>Hi, I am new.  I started morning injections of Lantus two weeks ago.  This morning I squeezed my belly fat as usual, injected, waited ten seconds.  When i removed the pen, the insulin came out and dripped down my belly.  I think I did something wrong.  Has anyone experienced this ?  FWIW the Lantus added to the other meds (metformin januvia) are giving me great readings in the 110 and 120s after a meal.</t>
        </is>
      </c>
      <c r="D3584" t="n">
        <v>2</v>
      </c>
      <c r="E3584" t="n">
        <v>6</v>
      </c>
      <c r="F3584">
        <f>HYPERLINK("https://www.reddit.com/r/diabetes/comments/75icft/t2_insulin_came_back_out/")</f>
        <v/>
      </c>
      <c r="G3584" t="inlineStr">
        <is>
          <t>2017-10-10 09:48:13</t>
        </is>
      </c>
      <c r="H3584" t="inlineStr">
        <is>
          <t>Type 2</t>
        </is>
      </c>
    </row>
    <row r="3585">
      <c r="A3585" t="inlineStr">
        <is>
          <t>75iyva</t>
        </is>
      </c>
      <c r="B3585" t="inlineStr">
        <is>
          <t>Something I noticed: basal-bolus ratio reflects calorific needs?</t>
        </is>
      </c>
      <c r="C3585" t="inlineStr">
        <is>
          <t>I work out and count calories to gain weight, lose fat, or maintain my current weight. I've found that when I am on a surplus, my basal to bolus ratio on my 640G is ~47% basal and ~53% bolus, when I'm on maintenance it's a perfect 50% - 50% and when I'm in deficit it's also ~57% and ~43%.(on a 300kcal deficit).
Of course it's obvious that if you eat more/less you will have more/less bolus. But is the 50% - 50% equilibrium true of everyone or is it just me? Intuition says yes but I don't know enough about biology to argue about it. If it's true, that means we can all track our "calories" just by looking at the average percent.</t>
        </is>
      </c>
      <c r="D3585" t="n">
        <v>2</v>
      </c>
      <c r="E3585" t="n">
        <v>5</v>
      </c>
      <c r="F3585">
        <f>HYPERLINK("https://www.reddit.com/r/diabetes/comments/75iyva/something_i_noticed_basalbolus_ratio_reflects/")</f>
        <v/>
      </c>
      <c r="G3585" t="inlineStr">
        <is>
          <t>2017-10-10 11:15:26</t>
        </is>
      </c>
      <c r="H3585" t="inlineStr">
        <is>
          <t>Type 1</t>
        </is>
      </c>
    </row>
    <row r="3586">
      <c r="A3586" t="inlineStr">
        <is>
          <t>75kwiv</t>
        </is>
      </c>
      <c r="B3586" t="inlineStr">
        <is>
          <t>A kinda nice diabetes story</t>
        </is>
      </c>
      <c r="C3586" t="inlineStr">
        <is>
          <t>Well I'm becoming a nurse, in a accelerated year program for a BSN.  Anyway, I have type 1 for, oh, since 1989...so 28 years; luckily no complications...slightly high blood pressure.  In my nursing program, I've been reading about all the disease process, heart failure, MIs, renal failure, so forth and it's been a bit depressing because "diabetes mellitus" is always "2-4 times more at risk".  It's something in the back of your mind that makes you just a bit down.  I always figured if I make it to 60, that's pretty good.  I do have a good quality life so that's also good.  Then I'm doing my clinical and we get a admission.  Type 1 diabetic 83 years old, diagnosed at 6.  I mean at 6; He went through the stages of testing your blood sugar with urine and boiled needles and look at how far we come from then!  This made me feel so much better, that if you can take care of your self, you will live a normal life.  I talked to him more and him and his wife told me that he took really good care of himself and watched what he eat.  He still was doing injection instead of pump therapy and didn't know anything about CGMs, which I showed him.  He was also on stage 4 renal failure on dialysis, but 83 years old!  He had some laser surgery on his eye to correct some stuff, and some neuropathy, but damn, that's it.</t>
        </is>
      </c>
      <c r="D3586" t="n">
        <v>44</v>
      </c>
      <c r="E3586" t="n">
        <v>8</v>
      </c>
      <c r="F3586">
        <f>HYPERLINK("https://www.reddit.com/r/diabetes/comments/75kwiv/a_kinda_nice_diabetes_story/")</f>
        <v/>
      </c>
      <c r="G3586" t="inlineStr">
        <is>
          <t>2017-10-10 16:02:08</t>
        </is>
      </c>
      <c r="H3586" t="inlineStr">
        <is>
          <t>Type 1</t>
        </is>
      </c>
    </row>
    <row r="3587">
      <c r="A3587" t="inlineStr">
        <is>
          <t>75prsx</t>
        </is>
      </c>
      <c r="B3587" t="inlineStr">
        <is>
          <t>Unexplainable highs lately</t>
        </is>
      </c>
      <c r="C3587" t="inlineStr">
        <is>
          <t xml:space="preserve">Hello there! I am a 17 years old female and I was diagnosed with type 1 diabetes when I was 3 in 2003. Over the years I have also developed hypothyroidism and I am on novorapid and levemir.  
So, now I am going through a really tough period with my diabetes, I've never had such bad blood sugar control. I don't know what changed, it has happened in the past for me to suddenly get higher blood sugars for no apparent reason and to need to readjust my insulin intake but it has never been so bad.
Lately, I've been getting readings ranging from 350 to 400 everyday for the past month and I've done anything I could think of to correct it. I've doubled my insulin intake, have been way more careful about my food choice than I usually were and spent more time sleeping and relaxing just to make sure it wasn't any stress affecting my blood sugars, but it's all been in vain. I've also gone from testing 3 times a day to 5 times a day or more which is pretty expensive because the economy in my country is pretty low, and while it helps a little I still can't seem to fix my blood sugars.
Please, if any of you know what the cause of this might be or if you are aware of any solution, let me know cause I am pretty desperate right now.
</t>
        </is>
      </c>
      <c r="D3587" t="n">
        <v>12</v>
      </c>
      <c r="E3587" t="n">
        <v>20</v>
      </c>
      <c r="F3587">
        <f>HYPERLINK("https://www.reddit.com/r/diabetes/comments/75prsx/unexplainable_highs_lately/")</f>
        <v/>
      </c>
      <c r="G3587" t="inlineStr">
        <is>
          <t>2017-10-11 08:24:24</t>
        </is>
      </c>
      <c r="H3587" t="inlineStr">
        <is>
          <t>Type 1</t>
        </is>
      </c>
    </row>
    <row r="3588">
      <c r="A3588" t="inlineStr">
        <is>
          <t>75pyox</t>
        </is>
      </c>
      <c r="B3588" t="inlineStr">
        <is>
          <t>I need insulin pump help now that Animas is no longer in the game...thanks!</t>
        </is>
      </c>
      <c r="C3588" t="inlineStr">
        <is>
          <t>I've had my Animas for many years and I'm disappointed to hear they're no longer in the pump game.  I have a ridiculous amount of supplies and my pump is out of warranty so I think I need a new one.  United Healthcare only covers Medtronics - can anyone make me feel better about this?  Are they integrated with Dexcom?  Thank you all so much!</t>
        </is>
      </c>
      <c r="D3588" t="n">
        <v>2</v>
      </c>
      <c r="E3588" t="n">
        <v>9</v>
      </c>
      <c r="F3588">
        <f>HYPERLINK("https://www.reddit.com/r/diabetes/comments/75pyox/i_need_insulin_pump_help_now_that_animas_is_no/")</f>
        <v/>
      </c>
      <c r="G3588" t="inlineStr">
        <is>
          <t>2017-10-11 08:52:43</t>
        </is>
      </c>
      <c r="H3588" t="inlineStr">
        <is>
          <t>Type 1</t>
        </is>
      </c>
    </row>
    <row r="3589">
      <c r="A3589" t="inlineStr">
        <is>
          <t>75qyvx</t>
        </is>
      </c>
      <c r="B3589" t="inlineStr">
        <is>
          <t>Has anyone unknowingly managed Type I for years? Symptoms aren't adding up to blood glucose levels. (Doctor's appointment scheduled, but need info.)</t>
        </is>
      </c>
      <c r="C3589" t="inlineStr">
        <is>
          <t>**TL;DR: Has anyone unknowingly managed symptoms of Type I diabetes for years? Weird symptoms aren't adding up with blood glucose levels (though they suggest possibly prediabetes).**
*Preface: I am going to see a doctor. There isn't one at my university so I'm trying to get as much information as possible (including at least a week of blood glucose readings) to maximize my time as I have really bad health insurance.*
**Background**
I have been having a host of weird symptoms that I'm pretty sure my uni medical folks attribute to hypochondria because my tests apparently come back normal independently. However, I have had this persistent feeling that something is wrong for years now. My blood glucose levels suggest that I might have pre-diabetes, but not enough to explain all these weird symptoms. (*Note*: I will be taking steps to address elevated blood glucose levels regardless.) However, I was in the ER recently for kidney stones and they were really persistent in trying to get me to admit I drank a lot (I don't drink alcohol at all) because I had "almost pancreatitis levels" with low insulin production apparently. I've had fasting tests before and never heard of an issue, but this is the first time someone mentioned my pancreas.
I've got to thinking about everything and I wonder if it's possible that I've been unknowingly managing Type I. I'm 29 and have been vegan for 15 years (vegetarian longer), but have lost activity levels and access to the same amount of fresh foods since moving to Alaska two years ago. I also partake in legal consumption of weed sometimes, which I've learned helps keep blood levels even (I started years ago taking a hit if I felt nauseated and it worked). I notice my symptoms always flare when I'm away from home and off of a normal schedule. I'm asking my family for help so I can eat better, but nothing is adding up here except for diabetes.
Has anyone else realized that they'd been managing it unknowingly? I'm starting to feel a bit crazy because doctors are saying I'm okay, but I don't feel okay.
**Weird Symptoms**
* I have always had hypoglycemia, or at least what my parents told me was hypoglycemia. As a kid, I would become suddenly, violently ill if I didn't eat quick enough. I learned to manage this, but occasionally still feel nauseated if I don't eat for long periods. I also sometimes wake up feeling nauseated.
* One year ago, I developed a scotoma while traveling in Asia; it looked like TV static in the middle of one eye's field of vision. I saw a doctor in Africa and he found no issues. It went away after maybe 1-2 weeks and so I attributed this to a bizarre Asian cockroach allergy or even maybe MS because I've had chronic pain for years.
* About 6 weeks ago, I developed sores on my hands and my scalp. They started as small blisters and I honestly thought they were ringworm (I've had it before). They went away, but I'd also put ringworm cream on it. I thought nothing of it until my mom (Type 2) sent me a photo of her own hand blisters, which her doctor said was granuloma annulare.
* I have had kidney stone issues over the past few years. One attack in 2014, which I thought was food poisoning, then one in 2015 during a road trip. I ended up in the ER both times, then a third time two months ago where I was told there might be something going on with my pancreas. I had another attack two weeks ago, but because I knew what it was and have bad health insurance, I stayed home and sucked it up. However, I still have a somewhat dull ache in the lower left quadrant of my abdomen.
* I used to have an endocrinologist for other matters and reported feeling really itchy with intense physical exercise. It's so uncomfortable that I mostly get my exercise in in low-intensity ways, like really long hikes or mild lifting. I used to be on my feet or active all the time, but haven't been as active with my new job.
* Sometimes my energy level crashes or I get physically warm after eating.
* I've had problems with the arch of one foot, including plantar fibroma.
* I think my cuts are slow to heal, low energy, I get moody when I need to eat, and maybe I pee a lot, but also it's been like this most of my life, so I don't know if it's normal for me or simply abnormal.</t>
        </is>
      </c>
      <c r="D3589" t="n">
        <v>1</v>
      </c>
      <c r="E3589" t="n">
        <v>13</v>
      </c>
      <c r="F3589">
        <f>HYPERLINK("https://www.reddit.com/r/diabetes/comments/75qyvx/has_anyone_unknowingly_managed_type_i_for_years/")</f>
        <v/>
      </c>
      <c r="G3589" t="inlineStr">
        <is>
          <t>2017-10-11 11:16:56</t>
        </is>
      </c>
      <c r="H3589" t="inlineStr">
        <is>
          <t>Type 1</t>
        </is>
      </c>
    </row>
    <row r="3590">
      <c r="A3590" t="inlineStr">
        <is>
          <t>75ws3u</t>
        </is>
      </c>
      <c r="B3590" t="inlineStr">
        <is>
          <t>Informal pump survey</t>
        </is>
      </c>
      <c r="C3590" t="inlineStr">
        <is>
          <t xml:space="preserve">I'm creating this post as a centralized location for those currently using the Ping or Vibe to make some decisions about future pump choices. 
Please feel free to add any other information you feel would be helpful. 
What pump do you use?
What do you like about it?
What do you dislike about it? 
If you could have a different one, which would you choose? </t>
        </is>
      </c>
      <c r="D3590" t="n">
        <v>2</v>
      </c>
      <c r="E3590" t="n">
        <v>1</v>
      </c>
      <c r="F3590">
        <f>HYPERLINK("https://www.reddit.com/r/diabetes/comments/75ws3u/informal_pump_survey/")</f>
        <v/>
      </c>
      <c r="G3590" t="inlineStr">
        <is>
          <t>2017-10-12 05:53:42</t>
        </is>
      </c>
      <c r="H3590" t="inlineStr">
        <is>
          <t>Type 1</t>
        </is>
      </c>
    </row>
    <row r="3591">
      <c r="A3591" t="inlineStr">
        <is>
          <t>75x2ms</t>
        </is>
      </c>
      <c r="B3591" t="inlineStr">
        <is>
          <t>Diagnosed Type 2 just over a year ago. Learning to live with this disease.</t>
        </is>
      </c>
      <c r="C3591" t="inlineStr">
        <is>
          <t xml:space="preserve">I was diagnosed over a year ago with Type 2 diabetes. I am a 36 year old male and diabetes runs in the family. 
Initially the shock of the diagnosis caused me to make a very sudden life change. I was put on metformin and adopted a very strict eating and exercise regimen. After 6 months my A1C was 5.5 and my doctor gave me the option of going off metformin but suggested I stay on it because it helps with weight control. 
For the last 3 years I would catch a cold or flu and it would linger for at least a couple of weeks, with the first few days being the worst. I feel like a zombie and can barely keep my eyes open. I think it's related to blood sugar and possibly diabetic coma. But I am speculating. I talked to my doctor about it and he said just to watch my diet. 
I feel so awful when sick I have missed a number of days of work mostly because of the intense tired feeling. I take blood glucose readings and my sugar level is elevated to a 10 - 13 range.
Has anyone else experienced this? Does being diabetic amplify the effect of colds and flu?
</t>
        </is>
      </c>
      <c r="D3591" t="n">
        <v>1</v>
      </c>
      <c r="E3591" t="n">
        <v>10</v>
      </c>
      <c r="F3591">
        <f>HYPERLINK("https://www.reddit.com/r/diabetes/comments/75x2ms/diagnosed_type_2_just_over_a_year_ago_learning_to/")</f>
        <v/>
      </c>
      <c r="G3591" t="inlineStr">
        <is>
          <t>2017-10-12 06:44:44</t>
        </is>
      </c>
      <c r="H3591" t="inlineStr">
        <is>
          <t>Type 2</t>
        </is>
      </c>
    </row>
    <row r="3592">
      <c r="A3592" t="inlineStr">
        <is>
          <t>75xixr</t>
        </is>
      </c>
      <c r="B3592" t="inlineStr">
        <is>
          <t>A1C 11.9, need help.</t>
        </is>
      </c>
      <c r="C3592" t="inlineStr">
        <is>
          <t>As the title may suggest, I'm not doing incredibly well with controlling my blood sugar.
I'm 21, Type 1, have been for about 20 years.
I have a nasty habit of not checking myself but still giving myself correction for the food I eat, as well as just plain forgetting to give myself correction at all.
I really need help, I have no complications at the moment, but I'm not going to be young forever, I know at this rate I'm going to develop problems.
On the plus side, my A1C is down from my last visit.. 12.4 to 11.9.. Progress?
I reached out to all my friends to help keep me accountable, constant reminders, I downloaded Medisafe to help remind me to check myself. 
I want to do everything possible to get my readings under control!</t>
        </is>
      </c>
      <c r="D3592" t="n">
        <v>1</v>
      </c>
      <c r="E3592" t="n">
        <v>12</v>
      </c>
      <c r="F3592">
        <f>HYPERLINK("https://www.reddit.com/r/diabetes/comments/75xixr/a1c_119_need_help/")</f>
        <v/>
      </c>
      <c r="G3592" t="inlineStr">
        <is>
          <t>2017-10-12 07:58:08</t>
        </is>
      </c>
      <c r="H3592" t="inlineStr">
        <is>
          <t>Type 1</t>
        </is>
      </c>
    </row>
    <row r="3593">
      <c r="A3593" t="inlineStr">
        <is>
          <t>75zoe6</t>
        </is>
      </c>
      <c r="B3593" t="inlineStr">
        <is>
          <t>Cold air temperatures and Dexcom</t>
        </is>
      </c>
      <c r="C3593" t="inlineStr">
        <is>
          <t xml:space="preserve">I just got a Dexcom and I couldn't be happier, but I can't find any information on operating temperature. There is information about storage temperature, but what about while in use?  I am often active outside this time of year (rowing) in slightly below zero (Celsius) temperatures with two thin long sleeve layers covering the Dexcom sensor and transmitter. I bet it's getting below the 2 degree Celcius minimum storage temperature.  Is that ok?  Does anyone have experience with this?  Am I worrying needlessly?  </t>
        </is>
      </c>
      <c r="D3593" t="n">
        <v>1</v>
      </c>
      <c r="E3593" t="n">
        <v>7</v>
      </c>
      <c r="F3593">
        <f>HYPERLINK("https://www.reddit.com/r/diabetes/comments/75zoe6/cold_air_temperatures_and_dexcom/")</f>
        <v/>
      </c>
      <c r="G3593" t="inlineStr">
        <is>
          <t>2017-10-12 13:15:06</t>
        </is>
      </c>
      <c r="H3593" t="inlineStr">
        <is>
          <t>Type 1</t>
        </is>
      </c>
    </row>
    <row r="3594">
      <c r="A3594" t="inlineStr">
        <is>
          <t>760hck</t>
        </is>
      </c>
      <c r="B3594" t="inlineStr">
        <is>
          <t>Does anyone else have trouble making decisions?</t>
        </is>
      </c>
      <c r="C3594" t="inlineStr">
        <is>
          <t xml:space="preserve">I know it's probably an anxiety thing too, but I really am feeling so burned out from making decisions, I'm struggling to make any at all, and just end up putting things off and hoping they go away. I feel like I have to make a lot of decisions all the time relating to my blood sugars, and keep a lot of things in my head (e.g. when did I last inject? What time am I planning to run, should I inject less, how much? How many carbs are in this? Is that correct? I need to call the doctor - don't forget to do that etc) and I feel like it's using up my mental reserves for making decisions. 
Is it possible that diabetes  can drain mental resources for things like this, so that it's harder to use them later in the day for day to day things, or at work? Same with working with detail? Does anyone else get this? 
Edit: Forgot to say - so many of my decisions relating to my diabetes turn out "wrong" :( So in hindsight, "damn I'm low, I knew I shouldn't have injected for the last bit of bread" or "High - great I can't do this thing I planned / sleep, day/night ruined, WHY did I give less insulin before running to avoid a low!" My BGs are in range less than 50% so that means probably half my decisions come back with bad consequences I then have to fix, and knowing they contribute to complications in the future. I don't know if that's got something to do with it. </t>
        </is>
      </c>
      <c r="D3594" t="n">
        <v>10</v>
      </c>
      <c r="E3594" t="n">
        <v>11</v>
      </c>
      <c r="F3594">
        <f>HYPERLINK("https://www.reddit.com/r/diabetes/comments/760hck/does_anyone_else_have_trouble_making_decisions/")</f>
        <v/>
      </c>
      <c r="G3594" t="inlineStr">
        <is>
          <t>2017-10-12 15:17:18</t>
        </is>
      </c>
      <c r="H3594" t="inlineStr">
        <is>
          <t>Type 1</t>
        </is>
      </c>
    </row>
    <row r="3595">
      <c r="A3595" t="inlineStr">
        <is>
          <t>7657ir</t>
        </is>
      </c>
      <c r="B3595" t="inlineStr">
        <is>
          <t>Some questions &amp;amp; comments after the first week with my Dexcom...</t>
        </is>
      </c>
      <c r="C3595" t="inlineStr">
        <is>
          <t>Hey, everybody!
I just finished my first week with my Dexcom G5 CGM and I wanted to thank this community again for getting me to this point.  Also, a huge thanks to /u/CrackSammiches for sending me an instructional video on getting started; due to my job &amp;amp; schedule conflicts with my doctor, it would have been weeks before I would have been able to get in for them to show me how to start it.
During the process leading to its arrival, everyone I spoke with at Dexcom were incredibly helpful, friendly, and courteous (thanks, Justin!).  
So anyways, here are a few of my thoughts after the first week...  First, it was incredibly eye-opening to see just how badly my diabetes wasn't in check.  Being able to see my glucose in real-time react to what I ate or drank helped me pick and choose what I could/couldn't or should/shouldn't be consuming.  Next, as far as the "install", it was actually a lot easier than I thought.  The sensor was fairly straight forward, along with the transmitter.  I had some slight confusion with actually getting it to start reading, but I attributed that to lack of reading the instructions lol (I needed to download the app and allow the warm up).  I was surprised at the durability of the sensor through exercising, showers, etc...  Lastly, in just the first week of use, it saved my ass twice, the first time could have been catastrophic...  On Monday, I was getting ready to leave work and, even though I usually check before I leave, I was rushing around and didn't.  My alarm triggered as I was getting ready to leave because I was at 70 and dropping quickly.  I was able to get a pop and stop at a gas station, but I started to get mentally foggy and shaking; it would have been bad because my drive home is roughly 45 minutes, but it's all highway with daily, horrible bumper-to-bumper traffic.  Had I been stuck, I had nothing to eat on me.  Also, it's provided incredible peace-of-mind to my worrying mother who is able to check on me if I don't answer the phone or am busy and she can't reach me.  This has made me feel more independent and taken away some of the fear I would get from my daily trail-running after work (after work/before dinner has proven to be the worst time of day from hypoglycemia).
Lastly, here are a few questions I have...  Those of you that have Dexcom, have you noticed any drastic differences in the readings of your actual meter vs. the Dexcom Receiver &amp;amp; App?  I have a OneTouch Verio Flex meter and anytime I calibrate my Dexcom, it seems to always read ~20-30 mg/dL higher.  Is this normal?  If so, which is more accurate:  the Dexcom or my meter?  Next, how often are you suppose to change the sensor?  After a week of exercising, multiple daily showers, and work, it's held firm but the edges are starting to come up slightly, more and more each day.  Do you guys try to cover it when showering?  Also, do any of you use anything to help it stick to the skin?  When I installed it, I made sure that it was NOT on a place that would fold/pinch when I was sitting or bending over...  
Overall, I am ecstatic over my Dexcom!  It has completely exceeded my expectations, as well as my parents, and has allowed me to manage my Type 1 Diabetes much better and make better decisions!  
Thanks guys!</t>
        </is>
      </c>
      <c r="D3595" t="n">
        <v>1</v>
      </c>
      <c r="E3595" t="n">
        <v>5</v>
      </c>
      <c r="F3595">
        <f>HYPERLINK("https://www.reddit.com/r/diabetes/comments/7657ir/some_questions_comments_after_the_first_week_with/")</f>
        <v/>
      </c>
      <c r="G3595" t="inlineStr">
        <is>
          <t>2017-10-13 07:40:22</t>
        </is>
      </c>
      <c r="H3595" t="inlineStr">
        <is>
          <t>Type 1</t>
        </is>
      </c>
    </row>
    <row r="3596">
      <c r="A3596" t="inlineStr">
        <is>
          <t>7675ci</t>
        </is>
      </c>
      <c r="B3596" t="inlineStr">
        <is>
          <t>Dexcom G5 Apple Watch complications?</t>
        </is>
      </c>
      <c r="C3596" t="inlineStr">
        <is>
          <t>My brother just got his Dexcom G5 and we were connecting it to his Apple watch when I noticed the lack of complications. I found out about watchSugar, tried to install it but got the message “This item is not available in Sweden (where we live)”
Is there a way to bypass this or an alternative way (other app) to add this complication?</t>
        </is>
      </c>
      <c r="D3596" t="n">
        <v>1</v>
      </c>
      <c r="E3596" t="n">
        <v>9</v>
      </c>
      <c r="F3596">
        <f>HYPERLINK("https://www.reddit.com/r/diabetes/comments/7675ci/dexcom_g5_apple_watch_complications/")</f>
        <v/>
      </c>
      <c r="G3596" t="inlineStr">
        <is>
          <t>2017-10-13 12:29:57</t>
        </is>
      </c>
      <c r="H3596" t="inlineStr">
        <is>
          <t>Type 1</t>
        </is>
      </c>
    </row>
    <row r="3597">
      <c r="A3597" t="inlineStr">
        <is>
          <t>76bg6o</t>
        </is>
      </c>
      <c r="B3597" t="inlineStr">
        <is>
          <t>Not able to get my BG to lower...</t>
        </is>
      </c>
      <c r="C3597" t="inlineStr">
        <is>
          <t>Hey guy,
So this weird stuffs been happening. I haven't changed anything at all with my level of activity (I'm super active and usually have to deal with quite a few lows) but for the past week or so, I haven't been able to get my bloodsugar down from around 9-10. I usually sit around 5-7, but all of a sudden it changed and I can't figure out why. No matter the correction, or what I eat, what I've been doing..... all 9. 
I've even gone as far as giving myself an extra unit or two to my corrections just to see if that would lower it, and nothing. Still nine. I've changed my sensor, pump site, insulin in the pump..... still 9. I've upped my Basel too... still 9.
I'm completely baffled, because this is even happening when I'm fasting, when I'm eating, when I'm not eating... all forking 9!
The single thing that's changed is I'm getting a little bit of a cold, but I've never had a sore throat make my sugars fluctuate before...
Any ideas gladly welcome</t>
        </is>
      </c>
      <c r="D3597" t="n">
        <v>1</v>
      </c>
      <c r="E3597" t="n">
        <v>6</v>
      </c>
      <c r="F3597">
        <f>HYPERLINK("https://www.reddit.com/r/diabetes/comments/76bg6o/not_able_to_get_my_bg_to_lower/")</f>
        <v/>
      </c>
      <c r="G3597" t="inlineStr">
        <is>
          <t>2017-10-14 03:50:05</t>
        </is>
      </c>
      <c r="H3597" t="inlineStr">
        <is>
          <t>Type 1</t>
        </is>
      </c>
    </row>
    <row r="3598">
      <c r="A3598" t="inlineStr">
        <is>
          <t>76c4wf</t>
        </is>
      </c>
      <c r="B3598" t="inlineStr">
        <is>
          <t>Bad reaction to insulin??</t>
        </is>
      </c>
      <c r="C3598" t="inlineStr">
        <is>
          <t xml:space="preserve">I have been a diabetic for the last 5 or so years and initially was diagnosed T2, but later was told I'm T1, and finally, an educator told me I'm somewhere between. To be honest, I still feel like I don't know.
I am currently insulin dependent and actually trying to keep up with doing my insulin. I have a history of going off of my insulin or being uncontrolled for months at a time. My last doctor visit told me that I have "record setting" numbers as far as my A1C goes, and that they were surprised I wasn't in a coma, hospitalized, or dead.
I have noticed one thing, though. Every time I have come back to doing my insulin, I get these tiny clusters of blisters on my feet. I've chalked it up to pustular psoriasis, which might not be right as I've noticed when I'm off my medication, the blisters aren't there. 
Anybody else have this problem? Anybody have a solution? 
Any help is greatly appreciated. 
Sincerely, 
Scared and concerned,
M.H.
 </t>
        </is>
      </c>
      <c r="D3598" t="n">
        <v>3</v>
      </c>
      <c r="E3598" t="n">
        <v>24</v>
      </c>
      <c r="F3598">
        <f>HYPERLINK("https://www.reddit.com/r/diabetes/comments/76c4wf/bad_reaction_to_insulin/")</f>
        <v/>
      </c>
      <c r="G3598" t="inlineStr">
        <is>
          <t>2017-10-14 06:36:45</t>
        </is>
      </c>
      <c r="H3598" t="inlineStr">
        <is>
          <t>Type 1.5/LADA</t>
        </is>
      </c>
    </row>
    <row r="3599">
      <c r="A3599" t="inlineStr">
        <is>
          <t>76dv09</t>
        </is>
      </c>
      <c r="B3599" t="inlineStr">
        <is>
          <t>Glucomen LX PlusX: Always reading E-4 (Blood reading error)</t>
        </is>
      </c>
      <c r="C3599" t="inlineStr">
        <is>
          <t>Hey all,
I've just tried to test my blood sugars and I continuously get the error mentioned above. Must've tested about 20 different times, with three different batches of strips. I've tried blowing any dust from the strip insert area, cleaned my hands and tried different needles (just in case).
Has anyone experienced something similar?</t>
        </is>
      </c>
      <c r="D3599" t="n">
        <v>1</v>
      </c>
      <c r="E3599" t="n">
        <v>2</v>
      </c>
      <c r="F3599">
        <f>HYPERLINK("https://www.reddit.com/r/diabetes/comments/76dv09/glucomen_lx_plusx_always_reading_e4_blood_reading/")</f>
        <v/>
      </c>
      <c r="G3599" t="inlineStr">
        <is>
          <t>2017-10-14 11:32:38</t>
        </is>
      </c>
      <c r="H3599" t="inlineStr">
        <is>
          <t>Type 1</t>
        </is>
      </c>
    </row>
    <row r="3600">
      <c r="A3600" t="inlineStr">
        <is>
          <t>76evuf</t>
        </is>
      </c>
      <c r="B3600" t="inlineStr">
        <is>
          <t>Sushi rice absolutely wrecks my bloodsugar</t>
        </is>
      </c>
      <c r="C3600" t="inlineStr">
        <is>
          <t>And I am so sad. It honestly doesn't matter how much insulin I take, my bloodsugar will go skyhigh and stay there for a couple of hours. Rice is the only thing that does this to me, and I have to idea what I can do to balance my bloodsugar whilst eating it. Do you guys have any tips? Should I just stay away from my beloved sushi?</t>
        </is>
      </c>
      <c r="D3600" t="n">
        <v>42</v>
      </c>
      <c r="E3600" t="n">
        <v>40</v>
      </c>
      <c r="F3600">
        <f>HYPERLINK("https://www.reddit.com/r/diabetes/comments/76evuf/sushi_rice_absolutely_wrecks_my_bloodsugar/")</f>
        <v/>
      </c>
      <c r="G3600" t="inlineStr">
        <is>
          <t>2017-10-14 14:27:04</t>
        </is>
      </c>
      <c r="H3600" t="inlineStr">
        <is>
          <t>Type 1</t>
        </is>
      </c>
    </row>
    <row r="3601">
      <c r="A3601" t="inlineStr">
        <is>
          <t>76h35o</t>
        </is>
      </c>
      <c r="B3601" t="inlineStr">
        <is>
          <t>I can't eat carbs for breakfast. Does a solution exist?</t>
        </is>
      </c>
      <c r="C3601" t="inlineStr">
        <is>
          <t>I've been struggling with eating breakfast for years, and nothing that I've found online has explained my problem. My endocrinologist has no idea what it is either. It isn't dawn phenomenon. I want to find some way to eat carbohydrates in the morning. Has anyone figured out some way to overcome this? Does anyone besides me have this problem? My control is excellent at all other times of the day, and I can eat just about anything, but breakfast seems impossible to control.
Here's what I have tried so far:
(When I say “Normal meal” it can include anything. Example: toast/fruit/granola/nuts/anything else with carbs. Assume 30g per meal unless otherwise stated.)
Normal meal – normal bolus
Result: blood sugar spikes above 200 very quickly after meal and takes an hour to go down. Requires dangerous levels of insulin to bring down. Trying to make a correction with any affect will always result in sudden low blood sugar after the hour is up.
Normal meal – double bolus
Result: blood sugar spikes very high, but does not usually reach 200. After about an hour, drops low.
Normal meal – triple bolus
Result: Unreliable. Blood sugar may stay near 100 or reach 150. after an hour, drops very sharply.
Carb free meal – No bolus
Result: Blood sugar rises as if carbohydrates had been eaten. Mild high occurs. Correction bolus may result in a low after the hour is up.
Carb free meal – ~2 unit bolus
Result: Blood sugar remains under control for an hour. Slight dip in blood sugar may occur after but is easily corrected and not dangerous. Without fail, I will start to hate whatever it is that I ate and may even start to feel sick from eating it.
Delayed normal meal 20+ minutes – immediate bolus.
Result: Sometimes this bypasses the morning insulin resistance but causes a low from having waited over 20 minutes to eat. Sometimes it doesn't and the usual extreme high occurs. The safe spot in between lasts only a few minutes and cannot be predicted. The exact amount of time required to overpower the resistance with a bolus varies Can take only 10 minutes or (rarely) the entire hour.
1/3 of meal immediately, 2/3 later – immediate bolus.
Result: Varies wildly. Because insulin resistance is not entirely predictable, 1/3 may still be too much or too little. Trying to predict the time that resistance ends down to the minute for eating the other 2/3 of breakfast is also extremely difficult. The remainder of breakfast is usually only taken once blood sugar has begun to drop, and by then it's arguably brunch.
Skip breakfast – No insulin
Result: Insulin resistance does not occur at all, and blood sugar remains stable. Sucks though for other obvious reasons.
Breakfast milkshake (30g banana 60g vanilla ice cream) – normal bolus
Result: If blood sugar is above 100, blood sugar high usually occurs. Otherwise, blood sugar remains stable for hours. Causes extreme lethargy as if blood sugar was low, even when blood sugar numbers are perfect. Most of the insulin used to cover the ice cream is left unused. Blood sugar drops periodically throughout the day as there is extra insulin in the body somehow delaying its reaction. Sugary foods and soda can be consumed during this period with no ill effect, but it's a gamble as to how much leftover insulin remains in the body to cover it.
Conclusions:
Insulin resistance always occurs after waking up, but the exact time and amount of sleep makes no difference. Basal rate is unaffected. Resistance goes away after about an hour, but can sometimes go longer. Exact intensity and length of insulin resistance varies each day. Resistance is stronger when blood sugar is above 100 and weaker when lower, but otherwise cannot be exactly predicted. Overcoming the resistance requires about 3 times as much insulin as normal to prevent highs, but the extra insulin is not actually used during this time and will always cause a low after the period has ended. Resistance only has an effect after eating, and it makes no difference what is eaten. (10g and 100g both require a random amount between 2.5x – 3.5x insulin to cover) Fatty foods like ice cream can drastically slow the onset of blood sugar lows, but cause an unknown amount of insulin to remain in the blood during this time. Dormant insulin causes extreme lethargy and random small lows. All breakfasts seemingly must be entirely carb free to safely avoid high or low blood sugar.</t>
        </is>
      </c>
      <c r="D3601" t="n">
        <v>5</v>
      </c>
      <c r="E3601" t="n">
        <v>20</v>
      </c>
      <c r="F3601">
        <f>HYPERLINK("https://www.reddit.com/r/diabetes/comments/76h35o/i_cant_eat_carbs_for_breakfast_does_a_solution/")</f>
        <v/>
      </c>
      <c r="G3601" t="inlineStr">
        <is>
          <t>2017-10-14 21:51:23</t>
        </is>
      </c>
      <c r="H3601" t="inlineStr">
        <is>
          <t>Type 1</t>
        </is>
      </c>
    </row>
    <row r="3602">
      <c r="A3602" t="inlineStr">
        <is>
          <t>76kc9b</t>
        </is>
      </c>
      <c r="B3602" t="inlineStr">
        <is>
          <t>quick questions about type 2 diabetes</t>
        </is>
      </c>
      <c r="C3602" t="inlineStr">
        <is>
          <t>Does removing body fat help with insulin resistance? Will  I be able to handle more carbs  without spiking too much if I lose weight? Will fasting help me reverse my diabetes to the point where I can eat more carbs and have a decent readings in my glucose meter.</t>
        </is>
      </c>
      <c r="D3602" t="n">
        <v>0</v>
      </c>
      <c r="E3602" t="n">
        <v>4</v>
      </c>
      <c r="F3602">
        <f>HYPERLINK("https://www.reddit.com/r/diabetes/comments/76kc9b/quick_questions_about_type_2_diabetes/")</f>
        <v/>
      </c>
      <c r="G3602" t="inlineStr">
        <is>
          <t>2017-10-15 10:32:43</t>
        </is>
      </c>
      <c r="H3602" t="inlineStr">
        <is>
          <t>Type 2</t>
        </is>
      </c>
    </row>
    <row r="3603">
      <c r="A3603" t="inlineStr">
        <is>
          <t>76m77r</t>
        </is>
      </c>
      <c r="B3603" t="inlineStr">
        <is>
          <t>Dexcom and excersize</t>
        </is>
      </c>
      <c r="C3603" t="inlineStr">
        <is>
          <t xml:space="preserve">My dexcom is usually pretty accurate, between dead on and 10 points off either way. The exception is when I run. It doesn't matter if I start out at 150 or 90, 20 to 40 minutes into my run my dexcom reads a nose dive. I often end up with it reading low 50s, high 40s after a 45 mn, 4 mile run. My meter reads 70-80 when I check when my run is finished. An hour or so after my run the dexcom is back on track. I called dexcom and they had no idea what it could be. It happens when I wear it on my thigh and my abdomen and whether it is under running tights or not covered. Any ideas? Should I worry about the "low"? </t>
        </is>
      </c>
      <c r="D3603" t="n">
        <v>1</v>
      </c>
      <c r="E3603" t="n">
        <v>7</v>
      </c>
      <c r="F3603">
        <f>HYPERLINK("https://www.reddit.com/r/diabetes/comments/76m77r/dexcom_and_excersize/")</f>
        <v/>
      </c>
      <c r="G3603" t="inlineStr">
        <is>
          <t>2017-10-15 15:27:46</t>
        </is>
      </c>
      <c r="H3603" t="inlineStr">
        <is>
          <t>Type 1</t>
        </is>
      </c>
    </row>
    <row r="3604">
      <c r="A3604" t="inlineStr">
        <is>
          <t>76mu59</t>
        </is>
      </c>
      <c r="B3604" t="inlineStr">
        <is>
          <t>Weird blood glucose levels..</t>
        </is>
      </c>
      <c r="C3604" t="inlineStr">
        <is>
          <t>My sugar gets high mid-day, and stays there even if I inject fixing to bring it down to normal levels.
I'm using levemir and novorapid, insulin shouldnt be expired, and the sugar stays stable even though my sugar is high so it shouldnt be the long-lasting, or could it be? Maybe insulin resistance? Whats wrong with me? I'm clueless at this point.</t>
        </is>
      </c>
      <c r="D3604" t="n">
        <v>0</v>
      </c>
      <c r="E3604" t="n">
        <v>5</v>
      </c>
      <c r="F3604">
        <f>HYPERLINK("https://www.reddit.com/r/diabetes/comments/76mu59/weird_blood_glucose_levels/")</f>
        <v/>
      </c>
      <c r="G3604" t="inlineStr">
        <is>
          <t>2017-10-15 17:20:14</t>
        </is>
      </c>
      <c r="H3604" t="inlineStr">
        <is>
          <t>Type 1</t>
        </is>
      </c>
    </row>
    <row r="3605">
      <c r="A3605" t="inlineStr">
        <is>
          <t>76o5j6</t>
        </is>
      </c>
      <c r="B3605" t="inlineStr">
        <is>
          <t>Several false hypos daily.</t>
        </is>
      </c>
      <c r="C3605" t="inlineStr">
        <is>
          <t>I'm having a strange problem recently, Only when I lay down do I get those very familiar feeling of low blood sugar but my sugar always reads normal. It prevents sleep and I pace back and forth. I've just started seeing a endocrinologist and said she can't do anything without 6 months of recent sugars, Does anyone else experience anything like this? It's really starting to scare me because the feeling is so severe, that only thing different is my heart BPM has lowered drastically over the last couple months.</t>
        </is>
      </c>
      <c r="D3605" t="n">
        <v>5</v>
      </c>
      <c r="E3605" t="n">
        <v>6</v>
      </c>
      <c r="F3605">
        <f>HYPERLINK("https://www.reddit.com/r/diabetes/comments/76o5j6/several_false_hypos_daily/")</f>
        <v/>
      </c>
      <c r="G3605" t="inlineStr">
        <is>
          <t>2017-10-15 21:26:15</t>
        </is>
      </c>
      <c r="H3605" t="inlineStr">
        <is>
          <t>Type 1</t>
        </is>
      </c>
    </row>
    <row r="3606">
      <c r="A3606" t="inlineStr">
        <is>
          <t>76ohoq</t>
        </is>
      </c>
      <c r="B3606" t="inlineStr">
        <is>
          <t>Question for T1D Texans (especially DFW area)</t>
        </is>
      </c>
      <c r="C3606" t="inlineStr">
        <is>
          <t xml:space="preserve">I just moved to Fort Worth from the Boston area a couple of months ago, and last week I figured I should make an appointment to establish care with an endo. So I got a recommendation from my old endo, called the office, and was told there is a 2-3 month wait for new patient appointments. The scheduler lady also told me that people typically don't come to their clinic for routine diabetes care, but instead most PCPs will follow their T1D patients, write prescriptions for insulin, pump supplies, etc. She said people only come to see the endo if they are having problems (bad control, complications, etc).
I guess I'm just wondering if I should believe this. In Boston, I saw my PCP once in 6 years, and saw my endo twice a year, because I am a youngish guy (32 counts for youngish, right?) and other than T1D I am in great health. Anyone care to chime in? </t>
        </is>
      </c>
      <c r="D3606" t="n">
        <v>9</v>
      </c>
      <c r="E3606" t="n">
        <v>5</v>
      </c>
      <c r="F3606">
        <f>HYPERLINK("https://www.reddit.com/r/diabetes/comments/76ohoq/question_for_t1d_texans_especially_dfw_area/")</f>
        <v/>
      </c>
      <c r="G3606" t="inlineStr">
        <is>
          <t>2017-10-15 22:40:52</t>
        </is>
      </c>
      <c r="H3606" t="inlineStr">
        <is>
          <t>Type 1</t>
        </is>
      </c>
    </row>
    <row r="3607">
      <c r="A3607" t="inlineStr">
        <is>
          <t>76rx1x</t>
        </is>
      </c>
      <c r="B3607" t="inlineStr">
        <is>
          <t>Help please, Humalog takes an hour to start working.</t>
        </is>
      </c>
      <c r="C3607" t="inlineStr">
        <is>
          <t>I have recently got a CGM and now I can see within 5 minutes of when my BG starts to go down after eating. This morning I had a 70 carb breakfast (largest amount of carbs per meal for the day). I took the correct amount of Humalog for the carbs before I ate (like 5-10 min before). Then I finished eating my breakfast within 10 min. My BG went up for an hour before starting to level out and then trend down. Is there anything I can do to prevent this. More info: my starting BG was 160 and it went to 305 before leveling out, and it is now back to 160 after 2 hours and 20 min.</t>
        </is>
      </c>
      <c r="D3607" t="n">
        <v>3</v>
      </c>
      <c r="E3607" t="n">
        <v>15</v>
      </c>
      <c r="F3607">
        <f>HYPERLINK("https://www.reddit.com/r/diabetes/comments/76rx1x/help_please_humalog_takes_an_hour_to_start_working/")</f>
        <v/>
      </c>
      <c r="G3607" t="inlineStr">
        <is>
          <t>2017-10-16 10:07:09</t>
        </is>
      </c>
      <c r="H3607" t="inlineStr">
        <is>
          <t>Type 1</t>
        </is>
      </c>
    </row>
    <row r="3608">
      <c r="A3608" t="inlineStr">
        <is>
          <t>76xpd8</t>
        </is>
      </c>
      <c r="B3608" t="inlineStr">
        <is>
          <t>UK T1’s requesting Freestyle Libre on prescription</t>
        </is>
      </c>
      <c r="C3608" t="inlineStr">
        <is>
          <t xml:space="preserve">Has anyone spoken to their GP about this? Has this been added to your repeats?
I’ve just seen my GP. She’d never heard of them, was unsure/unclear whether this would happen when they become available on November 1st. 
This conversation generally sums up my experience of visiting a GP - 
GP “Do you have good dietary control?”
Me “What do you mean by that exactly?”
GP “Ermm, I’m not sure to be honest...” *changes subject*
Later when asked again - 
GP “Do you eat lots of sugary foods?”
Me “No”
GP “Oh...”
Anyway, Freestyle Libre. Has anyone had them added to their list of repeat prescriptions?
</t>
        </is>
      </c>
      <c r="D3608" t="n">
        <v>2</v>
      </c>
      <c r="E3608" t="n">
        <v>9</v>
      </c>
      <c r="F3608">
        <f>HYPERLINK("https://www.reddit.com/r/diabetes/comments/76xpd8/uk_t1s_requesting_freestyle_libre_on_prescription/")</f>
        <v/>
      </c>
      <c r="G3608" t="inlineStr">
        <is>
          <t>2017-10-17 03:39:57</t>
        </is>
      </c>
      <c r="H3608" t="inlineStr">
        <is>
          <t>Type 1</t>
        </is>
      </c>
    </row>
    <row r="3609">
      <c r="A3609" t="inlineStr">
        <is>
          <t>770h59</t>
        </is>
      </c>
      <c r="B3609" t="inlineStr">
        <is>
          <t>Looking for young adults in relationships for paid phone interview research study</t>
        </is>
      </c>
      <c r="C3609" t="inlineStr">
        <is>
          <t>Hi everyone!
My name is Zeyneb Majid, I'm a senior at Carnegie Mellon University studying Psychology. I'm currently looking for participants to take part in a brief, 25 minute phone-interview research study for my senior honors thesis with Dr. Vicki Helgeson. Young adults with type 1 diabetes are greatly understudied, thus this study is looking to fill in gaps of knowledge and begin to understand how young adults with type 1 diabetes in romantic relationships cope with their illness, and how that coping affects their health outcomes.
There are three eligibility requirements:
(1) You have to between the ages 18 - 35 
(2) You have to currently be in a romantic relationship that has lasted for at least 6 months 
(3) You have to have type 1 diabetes
If you are eligible and interested, please contact me by email at zmajid@andrew.cmu.edu or by phone at (408)-504-0309, and I can provide you with further details regarding the study. All eligible participants will be compensated with a $25 Amazon gift card.
Thank you!
Zeyneb Majid 
Carnegie Mellon University 
5000 Forbes Avenue 
Pittsburgh, PA 15289
P.S. - As proof of legitimacy, https://www.cmu.edu/dietrich/students/undergraduate/programs/dietrich-honors-fellowship/fellows/2018/zeyneb-majid.html
Here is a link to a CMU sponsored fellowship that has allowed me to work on this project :)</t>
        </is>
      </c>
      <c r="D3609" t="n">
        <v>5</v>
      </c>
      <c r="E3609" t="n">
        <v>0</v>
      </c>
      <c r="F3609">
        <f>HYPERLINK("https://www.reddit.com/r/diabetes/comments/770h59/looking_for_young_adults_in_relationships_for/")</f>
        <v/>
      </c>
      <c r="G3609" t="inlineStr">
        <is>
          <t>2017-10-17 11:18:39</t>
        </is>
      </c>
      <c r="H3609" t="inlineStr">
        <is>
          <t>Type 1</t>
        </is>
      </c>
    </row>
    <row r="3610">
      <c r="A3610" t="inlineStr">
        <is>
          <t>770k1k</t>
        </is>
      </c>
      <c r="B3610" t="inlineStr">
        <is>
          <t>Recently Diagnosed and looking for general advice.</t>
        </is>
      </c>
      <c r="C3610" t="inlineStr">
        <is>
          <t>Hi all!
I am a 6'6", 24 year old male and I was diagnosed with Type 2 diabetes in December of 2016. At the time of my diagnosis, I was in my last semester of college and was running at about 330 lbs. My lifestyle was going to class, eating whatever was in front of me and drinking 3 days a week with friends. I was unaware that I was even pre-diabetic at the time, but I became severely dehydrated and ended up having to get blood drawn, allowing my doctor to see that I had an A1C of 10.7. Shortly after, I was put on Metformin, Tresiba and Trulicity. Now, let us fast forward to graduation in May. I was not taking my diagnosis seriously, but I was taking my medicine. I was sitting at around 330 lbs and my A1C had dropped slightly to 9.1, due to the medication. After starting my full time job at the end of May, I began to lift weights 4 days a week and run/interval train 3 days. I am now eating about 100g carbs a day and around 250g of protein. Since then, I have gone from 330lbs to 285lbs and my A1C has dropped to 5.5. I also am now on a lower does of Metformin and 1.5/week of Trulicity. Things are looking up and I just wanted to share with people who could appreciate the progress, as many of my peers do not know what that change in A1C is like. But after all of the progress, I am still left with a few questions. 
* Why is my skin clammy and cold at all times regardless of my BG being high or low? How do I get warm?
* Is there anything I should know about taking supplements like protein power or pre-workout(C4) and being a diabetic?
* Tips on keeping hydrated with diabetes?</t>
        </is>
      </c>
      <c r="D3610" t="n">
        <v>3</v>
      </c>
      <c r="E3610" t="n">
        <v>12</v>
      </c>
      <c r="F3610">
        <f>HYPERLINK("https://www.reddit.com/r/diabetes/comments/770k1k/recently_diagnosed_and_looking_for_general_advice/")</f>
        <v/>
      </c>
      <c r="G3610" t="inlineStr">
        <is>
          <t>2017-10-17 11:30:08</t>
        </is>
      </c>
      <c r="H3610" t="inlineStr">
        <is>
          <t>Type 2</t>
        </is>
      </c>
    </row>
    <row r="3611">
      <c r="A3611" t="inlineStr">
        <is>
          <t>771ih9</t>
        </is>
      </c>
      <c r="B3611" t="inlineStr">
        <is>
          <t>Type 2, not eating.</t>
        </is>
      </c>
      <c r="C3611" t="inlineStr">
        <is>
          <t>I'm a type 2 diabetic and have recently stopped eating. 
It wasn't a conscious choice. I just woke up yesterday and decided I shouldn't do it anymore.
Anybody been through this? Are there going to be any crazy adverse effects, or will I just be tired?
Cheers.</t>
        </is>
      </c>
      <c r="D3611" t="n">
        <v>0</v>
      </c>
      <c r="E3611" t="n">
        <v>24</v>
      </c>
      <c r="F3611">
        <f>HYPERLINK("https://www.reddit.com/r/diabetes/comments/771ih9/type_2_not_eating/")</f>
        <v/>
      </c>
      <c r="G3611" t="inlineStr">
        <is>
          <t>2017-10-17 13:46:04</t>
        </is>
      </c>
      <c r="H3611" t="inlineStr">
        <is>
          <t>Type 2</t>
        </is>
      </c>
    </row>
    <row r="3612">
      <c r="A3612" t="inlineStr">
        <is>
          <t>777u0y</t>
        </is>
      </c>
      <c r="B3612" t="inlineStr">
        <is>
          <t>T1 with a new job question</t>
        </is>
      </c>
      <c r="C3612" t="inlineStr">
        <is>
          <t>When is a good time to tell a new employer? 
Anything I should watch out for as far as insurance goes?</t>
        </is>
      </c>
      <c r="D3612" t="n">
        <v>10</v>
      </c>
      <c r="E3612" t="n">
        <v>19</v>
      </c>
      <c r="F3612">
        <f>HYPERLINK("https://www.reddit.com/r/diabetes/comments/777u0y/t1_with_a_new_job_question/")</f>
        <v/>
      </c>
      <c r="G3612" t="inlineStr">
        <is>
          <t>2017-10-18 09:44:18</t>
        </is>
      </c>
      <c r="H3612" t="inlineStr">
        <is>
          <t>Type 1</t>
        </is>
      </c>
    </row>
    <row r="3613">
      <c r="A3613" t="inlineStr">
        <is>
          <t>779f22</t>
        </is>
      </c>
      <c r="B3613" t="inlineStr">
        <is>
          <t>Dr. tripled my Invokana prescription - what to expect</t>
        </is>
      </c>
      <c r="C3613" t="inlineStr">
        <is>
          <t>T2 - have been on 100mg of Invokana for about 6 mo with good results and minimal side effects - blood sugar still too high - so he just upped my dose to the max - 300mg.  Just wondering if I will see any difference physically.  
On metformin and glimpiride as well - w/ typical metformin side effects.  Just curious what I can look forward to.</t>
        </is>
      </c>
      <c r="D3613" t="n">
        <v>1</v>
      </c>
      <c r="E3613" t="n">
        <v>8</v>
      </c>
      <c r="F3613">
        <f>HYPERLINK("https://www.reddit.com/r/diabetes/comments/779f22/dr_tripled_my_invokana_prescription_what_to_expect/")</f>
        <v/>
      </c>
      <c r="G3613" t="inlineStr">
        <is>
          <t>2017-10-18 13:29:14</t>
        </is>
      </c>
      <c r="H3613" t="inlineStr">
        <is>
          <t>Type 2</t>
        </is>
      </c>
    </row>
    <row r="3614">
      <c r="A3614" t="inlineStr">
        <is>
          <t>779q0p</t>
        </is>
      </c>
      <c r="B3614" t="inlineStr">
        <is>
          <t>Suggestions for a Meal/Carb calculator, bad with math.</t>
        </is>
      </c>
      <c r="C3614" t="inlineStr">
        <is>
          <t>Hello again!  Can anyone recommend a solid per-meal carb tracker to know what post-meal insulin dose to provide our toddler, or to at least know how many carbs he ate at a given meal?
I've found a few spreadsheets and tables that look great for someone like me, but they all involve doing the math yourself on paper.
Dyscalculia (a math learning disability) is a real thing for my wife and indirectly caused our child's last dose to be 0.5 units short of what it should have been.  He's fine now, just a little high until the next dose after dinner.  I'd like to know if there is an iOS app out there where she/we can enter the food items, total carbs per serving, how much of it he actually ate, and it can just give the total number of carbs eaten.  Maybe even the suggested insulin dose too, based on 0.5 units per 30 carbs (for instance).
I've found a bunch of apps out there like CalorieKing which tell you how many carbs foods have, but none (yet) that will help you actually track a meal.
Any suggestions are welcome!</t>
        </is>
      </c>
      <c r="D3614" t="n">
        <v>1</v>
      </c>
      <c r="E3614" t="n">
        <v>4</v>
      </c>
      <c r="F3614">
        <f>HYPERLINK("https://www.reddit.com/r/diabetes/comments/779q0p/suggestions_for_a_mealcarb_calculator_bad_with/")</f>
        <v/>
      </c>
      <c r="G3614" t="inlineStr">
        <is>
          <t>2017-10-18 14:13:26</t>
        </is>
      </c>
      <c r="H3614" t="inlineStr">
        <is>
          <t>Type 1</t>
        </is>
      </c>
    </row>
    <row r="3615">
      <c r="A3615" t="inlineStr">
        <is>
          <t>77a0am</t>
        </is>
      </c>
      <c r="B3615" t="inlineStr">
        <is>
          <t>Diabetes and mental health</t>
        </is>
      </c>
      <c r="C3615" t="inlineStr">
        <is>
          <t>Hi, first time visitor to this sub, :) sorry to say my first post is going to be a negative one.
I was diagnosed with t1d two years ago, unfortunately when my diabetes came my mental health deteriorated rapidly, without boring you with too much details the past two years have been really difficult, with a few very bad instances. I’ve been on a variety of different meds’ for this  (ssri’s, beta blockers, benzos etc.) which gradually got stronger with no real improvement. So I suppose my question to you guys is do you see a link between diabetes and mental health if any? Or have they both just came to me with age? Any tips for bettering my overall health as I feel so alone right now, Again sorry for the dark post</t>
        </is>
      </c>
      <c r="D3615" t="n">
        <v>18</v>
      </c>
      <c r="E3615" t="n">
        <v>30</v>
      </c>
      <c r="F3615">
        <f>HYPERLINK("https://www.reddit.com/r/diabetes/comments/77a0am/diabetes_and_mental_health/")</f>
        <v/>
      </c>
      <c r="G3615" t="inlineStr">
        <is>
          <t>2017-10-18 14:56:00</t>
        </is>
      </c>
      <c r="H3615" t="inlineStr">
        <is>
          <t>Type 1</t>
        </is>
      </c>
    </row>
    <row r="3616">
      <c r="A3616" t="inlineStr">
        <is>
          <t>77ehtl</t>
        </is>
      </c>
      <c r="B3616" t="inlineStr">
        <is>
          <t>Help: Injecting insulin in upper arms</t>
        </is>
      </c>
      <c r="C3616" t="inlineStr">
        <is>
          <t xml:space="preserve">Hi everyone -- this may sound silly, but how do you inject insulin in your outer arms? I need advice from real people. Color-coded charts online aren't particularly helpful.
How do you reach the opposite arm and pinch the skin? Any tips? It just feels awkward to me. </t>
        </is>
      </c>
      <c r="D3616" t="n">
        <v>5</v>
      </c>
      <c r="E3616" t="n">
        <v>15</v>
      </c>
      <c r="F3616">
        <f>HYPERLINK("https://www.reddit.com/r/diabetes/comments/77ehtl/help_injecting_insulin_in_upper_arms/")</f>
        <v/>
      </c>
      <c r="G3616" t="inlineStr">
        <is>
          <t>2017-10-19 06:50:49</t>
        </is>
      </c>
      <c r="H3616" t="inlineStr">
        <is>
          <t>Type 1</t>
        </is>
      </c>
    </row>
    <row r="3617">
      <c r="A3617" t="inlineStr">
        <is>
          <t>77fxw8</t>
        </is>
      </c>
      <c r="B3617" t="inlineStr">
        <is>
          <t>T:Slim X2 and Dexcom G5. Can't figure out how this works.</t>
        </is>
      </c>
      <c r="C3617" t="inlineStr">
        <is>
          <t xml:space="preserve">Hi
My 5 year old (diagnosed at 18 months) finally got his first pump on yesterday! Very exciting
anyway, we'd love to get him a Dexcom with it, but it looks like insurance is only gonna cover a percentage where our pump was free. If I were to get a Dexcom G5 to go with the t:slim, do I need to buy the main computer for the dexcom, or could I just use the little sensors and have that communicate directly with the pump? That would save me a ton I think. 
</t>
        </is>
      </c>
      <c r="D3617" t="n">
        <v>2</v>
      </c>
      <c r="E3617" t="n">
        <v>8</v>
      </c>
      <c r="F3617">
        <f>HYPERLINK("https://www.reddit.com/r/diabetes/comments/77fxw8/tslim_x2_and_dexcom_g5_cant_figure_out_how_this/")</f>
        <v/>
      </c>
      <c r="G3617" t="inlineStr">
        <is>
          <t>2017-10-19 10:25:52</t>
        </is>
      </c>
      <c r="H3617" t="inlineStr">
        <is>
          <t>Type 1</t>
        </is>
      </c>
    </row>
    <row r="3618">
      <c r="A3618" t="inlineStr">
        <is>
          <t>77gmhw</t>
        </is>
      </c>
      <c r="B3618" t="inlineStr">
        <is>
          <t>Question about OGTT...</t>
        </is>
      </c>
      <c r="C3618" t="inlineStr">
        <is>
          <t xml:space="preserve">Soooo... my chick is Type 1. I'm still learning about the disease and I've been trying to find information on the OGTT. She had an appoint on Monday and had to drink some sort of Glucose Cocktail. Well, it's Thursday and she is still throwing up like every few hours, can barely get out of bed without being dizzy, and just overall feeling like trash. She said it's just something she has to "wait out" or something like that. She's also pescatarian and eats very low carb, if that's any info... I tried googling the answer and all I could find was pregnancy related topics.  But anyways, my question is... Why is she still feeling so sick days after the OGTT?  </t>
        </is>
      </c>
      <c r="D3618" t="n">
        <v>1</v>
      </c>
      <c r="E3618" t="n">
        <v>10</v>
      </c>
      <c r="F3618">
        <f>HYPERLINK("https://www.reddit.com/r/diabetes/comments/77gmhw/question_about_ogtt/")</f>
        <v/>
      </c>
      <c r="G3618" t="inlineStr">
        <is>
          <t>2017-10-19 12:02:31</t>
        </is>
      </c>
      <c r="H3618" t="inlineStr">
        <is>
          <t>Type 1</t>
        </is>
      </c>
    </row>
    <row r="3619">
      <c r="A3619" t="inlineStr">
        <is>
          <t>77gro6</t>
        </is>
      </c>
      <c r="B3619" t="inlineStr">
        <is>
          <t>Can I buy a Dexcom G5 from USA and use it in my country, which does not have it?</t>
        </is>
      </c>
      <c r="C3619" t="inlineStr">
        <is>
          <t>My country is a shithole and doesn't have any of this technology. I can barely take blood from my fingers anymore and need something like this or FreeStyle Libre.</t>
        </is>
      </c>
      <c r="D3619" t="n">
        <v>1</v>
      </c>
      <c r="E3619" t="n">
        <v>3</v>
      </c>
      <c r="F3619">
        <f>HYPERLINK("https://www.reddit.com/r/diabetes/comments/77gro6/can_i_buy_a_dexcom_g5_from_usa_and_use_it_in_my/")</f>
        <v/>
      </c>
      <c r="G3619" t="inlineStr">
        <is>
          <t>2017-10-19 12:22:43</t>
        </is>
      </c>
      <c r="H3619" t="inlineStr">
        <is>
          <t>Type 1</t>
        </is>
      </c>
    </row>
    <row r="3620">
      <c r="A3620" t="inlineStr">
        <is>
          <t>77gzjx</t>
        </is>
      </c>
      <c r="B3620" t="inlineStr">
        <is>
          <t>Trying to get back on track and questions about several medications....</t>
        </is>
      </c>
      <c r="C3620" t="inlineStr">
        <is>
          <t>My blood sugar control has been shite for years. Basically, my doctors always wanted me on Glyburide/Metformin however, Metformin is terrible on my stomach and unfortunately, my stomach never seems to get used to it.
Thankfully, I've found that using Metamucil stops me from needing to use the bathroom 3487534590839 times a day if I take a dose of appetite control Metamucil about 2 hours before taking my Glyburide/Metformin
I met with a new doctor today to start getting more regular care and he is taking my off Glyburide/Metformin.
First off, he's switching me to separate pills of Glimepiride and Metformin so that he can adjust those medications if necessary.
How does Glimepiride compare to Glyburide? As someone who tends to be sensitive to side effects, are there any I should plan for and keep an eye out for?
He wants me to try this for the next week and keep testing my blood sugar regularly, and then wants me to give him a call and give my blood sugar numbers. If my blood sugar seems high, he wants to add a third medication, and here is where my real worry comes in...
He gave me a list of medications and they are all outside of my budget... Bydureon, Tanzeum, Victoza, and Trulicity.
I called my insurance and they gave me prices on all of those and all the prices are roughly the same (or so it sounds) the only problem being, some are in packs of 1 some are in packs of 2-4. Now, the Victoza actually sounds the cheapest because I believe he told me it would be once a month and they gave a 2-pack price of $500 and change.
Is there anyone on some of those medications that can weigh in on the cost and how effective it has been for you?</t>
        </is>
      </c>
      <c r="D3620" t="n">
        <v>1</v>
      </c>
      <c r="E3620" t="n">
        <v>3</v>
      </c>
      <c r="F3620">
        <f>HYPERLINK("https://www.reddit.com/r/diabetes/comments/77gzjx/trying_to_get_back_on_track_and_questions_about/")</f>
        <v/>
      </c>
      <c r="G3620" t="inlineStr">
        <is>
          <t>2017-10-19 13:15:20</t>
        </is>
      </c>
      <c r="H3620" t="inlineStr">
        <is>
          <t>Type 2</t>
        </is>
      </c>
    </row>
    <row r="3621">
      <c r="A3621" t="inlineStr">
        <is>
          <t>77hb33</t>
        </is>
      </c>
      <c r="B3621" t="inlineStr">
        <is>
          <t>Type 1 Diabetes Research Study – College Students - $20 gift card compensation post-interview</t>
        </is>
      </c>
      <c r="C3621" t="inlineStr">
        <is>
          <t xml:space="preserve">Hi, Members of diabetes – 
Our research group at the University of Virginia is interested in learning more about how adults with Type 1 Diabetes approach the day-to-day management of their health. If you might be interested in participating, please continue to this link https://www.surveymonkey.com/r/7NGB3NX Individuals who are selected for and complete a 45-minute interview will receive a $20 gift card in compensation. Feel free to pass this link on to others you believe would be interested.
Please reach out with any questions by emailing dah4cm@virginia.edu. Thank you! 
Dylan Hazlett, Syeda Narmeen, Kelly McCain, Taylor Puhl, and Philip Schroeder
</t>
        </is>
      </c>
      <c r="D3621" t="n">
        <v>30</v>
      </c>
      <c r="E3621" t="n">
        <v>10</v>
      </c>
      <c r="F3621">
        <f>HYPERLINK("https://www.reddit.com/r/diabetes/comments/77hb33/type_1_diabetes_research_study_college_students/")</f>
        <v/>
      </c>
      <c r="G3621" t="inlineStr">
        <is>
          <t>2017-10-19 13:57:09</t>
        </is>
      </c>
      <c r="H3621" t="inlineStr">
        <is>
          <t>Type 1</t>
        </is>
      </c>
    </row>
    <row r="3622">
      <c r="A3622" t="inlineStr">
        <is>
          <t>77ix9a</t>
        </is>
      </c>
      <c r="B3622" t="inlineStr">
        <is>
          <t>Question About Injections</t>
        </is>
      </c>
      <c r="C3622" t="inlineStr">
        <is>
          <t>Hi everyone!
First, I was diagnosed with T1D in August, and this community has been invaluable to me. All of this has been such a learning process, but I've had the most trouble with getting used to the injections. I am doing them regularly, and I'm less nervous about it now.  That said, I've noticed that sometimes it really hurts, yet other times I don't feel it at all. I've read that this is due to nerves, but I don't know much more than that. Also, sometimes I bruise, and other times I don't. Am I doing it wrong? Any thoughts or insights on this? Thanks!</t>
        </is>
      </c>
      <c r="D3622" t="n">
        <v>1</v>
      </c>
      <c r="E3622" t="n">
        <v>6</v>
      </c>
      <c r="F3622">
        <f>HYPERLINK("https://www.reddit.com/r/diabetes/comments/77ix9a/question_about_injections/")</f>
        <v/>
      </c>
      <c r="G3622" t="inlineStr">
        <is>
          <t>2017-10-19 18:26:51</t>
        </is>
      </c>
      <c r="H3622" t="inlineStr">
        <is>
          <t>Type 1</t>
        </is>
      </c>
    </row>
    <row r="3623">
      <c r="A3623" t="inlineStr">
        <is>
          <t>77jkkp</t>
        </is>
      </c>
      <c r="B3623" t="inlineStr">
        <is>
          <t>Is there a version of xdrip for iphone?</t>
        </is>
      </c>
      <c r="C3623" t="inlineStr">
        <is>
          <t>The title says it all TIA</t>
        </is>
      </c>
      <c r="D3623" t="n">
        <v>4</v>
      </c>
      <c r="E3623" t="n">
        <v>9</v>
      </c>
      <c r="F3623">
        <f>HYPERLINK("https://www.reddit.com/r/diabetes/comments/77jkkp/is_there_a_version_of_xdrip_for_iphone/")</f>
        <v/>
      </c>
      <c r="G3623" t="inlineStr">
        <is>
          <t>2017-10-19 20:29:52</t>
        </is>
      </c>
      <c r="H3623" t="inlineStr">
        <is>
          <t>Type 1</t>
        </is>
      </c>
    </row>
    <row r="3624">
      <c r="A3624" t="inlineStr">
        <is>
          <t>77jma3</t>
        </is>
      </c>
      <c r="B3624" t="inlineStr">
        <is>
          <t>Children with Diabetes</t>
        </is>
      </c>
      <c r="C3624" t="inlineStr">
        <is>
          <t xml:space="preserve">Hello Everyone,
Does anyone have any advice on dealing with a diabetic child?
Last week my ten-year-old sister fell ill and was diagnosed with Type 1 Diabetes. She spent almost a week in the hospital and was finally released four days ago when her blood sugar levels became stable.
My sister is a picky eater and it has been tough for our family to plan meals for her. Does anyone have any boxed lunch recommendations or dinner recommendations for a diabetic child who is a picky eater? (Unfortunately, My sister loves to eat bread...)
Also, Halloween is coming up pretty soon and it is tradition for us to go trick-or-treating. Does anyone have any suggestions about how we can still make Halloween fun for her without all the sweets?
Thanks! </t>
        </is>
      </c>
      <c r="D3624" t="n">
        <v>4</v>
      </c>
      <c r="E3624" t="n">
        <v>11</v>
      </c>
      <c r="F3624">
        <f>HYPERLINK("https://www.reddit.com/r/diabetes/comments/77jma3/children_with_diabetes/")</f>
        <v/>
      </c>
      <c r="G3624" t="inlineStr">
        <is>
          <t>2017-10-19 20:39:45</t>
        </is>
      </c>
      <c r="H3624" t="inlineStr">
        <is>
          <t>Type 1</t>
        </is>
      </c>
    </row>
    <row r="3625">
      <c r="A3625" t="inlineStr">
        <is>
          <t>77kr8v</t>
        </is>
      </c>
      <c r="B3625" t="inlineStr">
        <is>
          <t>Any other heavy drinkers?</t>
        </is>
      </c>
      <c r="C3625" t="inlineStr">
        <is>
          <t>I've drank a horrible amount of beer/booze every day for several years. It's finally catching up to me and I have to cut back. Any other people on here drink excessively or have and then quit/cut back?</t>
        </is>
      </c>
      <c r="D3625" t="n">
        <v>14</v>
      </c>
      <c r="E3625" t="n">
        <v>22</v>
      </c>
      <c r="F3625">
        <f>HYPERLINK("https://www.reddit.com/r/diabetes/comments/77kr8v/any_other_heavy_drinkers/")</f>
        <v/>
      </c>
      <c r="G3625" t="inlineStr">
        <is>
          <t>2017-10-20 01:12:37</t>
        </is>
      </c>
      <c r="H3625" t="inlineStr">
        <is>
          <t>Type 1</t>
        </is>
      </c>
    </row>
    <row r="3626">
      <c r="A3626" t="inlineStr">
        <is>
          <t>77m52t</t>
        </is>
      </c>
      <c r="B3626" t="inlineStr">
        <is>
          <t>Dexcom keeps me up all night (with false urgent lows)</t>
        </is>
      </c>
      <c r="C3626" t="inlineStr">
        <is>
          <t xml:space="preserve">Hi everyone! I got a Dexcom a couple of weeks ago, largely influenced by the rave reviews on this forum. Seeing the trends are super helpful, no argument. 
However, it's had one huge drawback for me -- the readings, especially the nighttime readings, are way low compared to my glucometer. So it's been keeping me up at night with low alerts. [Here's a screenshot of a few nights, and I've added in what the calibration value was.](https://imgur.com/a/sbzZe) At first I was calibrating in an attempt to stop the alerts, but the readings would usually just go back to where they were. I do know you're supposed to only calibrate every 12 hours when prompted, so I'm going to stick to that with my 2nd sensor. I'm having the same issues so far with my 2nd sensor, and I chose placement on my thigh for #2, and abdomen (as recommended) for #1.
I'm fairly certain these are not "compression lows" as I try my best to avoid sleeping on it, and you can see my nights are fairly stable and not plummeting to the low range randomly. It's just skimming along the alert lines.
Initially, I had the low alert set to 3.8 mmol (68 mg) and urgent low is unchangeable at 3.1 (59). Eventually I just disabled the first low alert. When it's reading at mid-high 3.x (60-70), when I test, I'm usually in the mid-low 5.x range (90-100). When it's at a urgent low below 3.1 (59), I'm usually in the mid 4.x range (80ish). So this is not only outside the 20% margin of error, but it's also the difference between two totally different courses of action. If I was *actually* at a 3.1 (59), please, wake me up. But a 4.7 (85)? Let me sleep. I don't want to be eating Skittles at 3am for a 4.7 (85).
On weekends I've just been turning my phone off after the first alert. Turning Bluetooth off just sets off a different alarm (lol). I actually want to use this thing, and find it very helpful in the daytime for trends -- it's still fairly inaccurate and usually OVER estimates my high numbers. Has anyone experienced this? I'm going to email Dexcom as well, but honestly, you guys are the real experts. </t>
        </is>
      </c>
      <c r="D3626" t="n">
        <v>20</v>
      </c>
      <c r="E3626" t="n">
        <v>47</v>
      </c>
      <c r="F3626">
        <f>HYPERLINK("https://www.reddit.com/r/diabetes/comments/77m52t/dexcom_keeps_me_up_all_night_with_false_urgent/")</f>
        <v/>
      </c>
      <c r="G3626" t="inlineStr">
        <is>
          <t>2017-10-20 06:40:57</t>
        </is>
      </c>
      <c r="H3626" t="inlineStr">
        <is>
          <t>Type 1</t>
        </is>
      </c>
    </row>
    <row r="3627">
      <c r="A3627" t="inlineStr">
        <is>
          <t>77mmzt</t>
        </is>
      </c>
      <c r="B3627" t="inlineStr">
        <is>
          <t>Diabetic Youtubers?</t>
        </is>
      </c>
      <c r="C3627" t="inlineStr">
        <is>
          <t>I'm looking for some channels on youtube that talk about their T1D or vlog about it. I don't know anything T1D related. If any of you have your own channels feel free to share them too!</t>
        </is>
      </c>
      <c r="D3627" t="n">
        <v>6</v>
      </c>
      <c r="E3627" t="n">
        <v>8</v>
      </c>
      <c r="F3627">
        <f>HYPERLINK("https://www.reddit.com/r/diabetes/comments/77mmzt/diabetic_youtubers/")</f>
        <v/>
      </c>
      <c r="G3627" t="inlineStr">
        <is>
          <t>2017-10-20 08:01:47</t>
        </is>
      </c>
      <c r="H3627" t="inlineStr">
        <is>
          <t>Type 1</t>
        </is>
      </c>
    </row>
    <row r="3628">
      <c r="A3628" t="inlineStr">
        <is>
          <t>77rusp</t>
        </is>
      </c>
      <c r="B3628" t="inlineStr">
        <is>
          <t>Advice on emotional support for a friend that has Type 1.</t>
        </is>
      </c>
      <c r="C3628" t="inlineStr">
        <is>
          <t>Hello everybody!  I have a friend that has been a diabetic for about 5 years now.  She mentions to me that nobody asks how she is feeling emotionally, and just telling or giving her advice on changing her diet and exercising.  I would like to try and give her the emotional support that she is asking for.  She say's that she feels defeated by this disease, her independence taken away, and her life now depends on the insulin pump.  I try to get her to open up, but my lack of emotional experience with people is probably holding me back from understanding where she is coming from, and preventing me from providing the support system that she is asking for.  Thank you all for taking the time to read this, sorry if there was another reddit post such as this one already made.  If so, I'd greatly appreciate a point in the right direction to the resource.</t>
        </is>
      </c>
      <c r="D3628" t="n">
        <v>4</v>
      </c>
      <c r="E3628" t="n">
        <v>19</v>
      </c>
      <c r="F3628">
        <f>HYPERLINK("https://www.reddit.com/r/diabetes/comments/77rusp/advice_on_emotional_support_for_a_friend_that_has/")</f>
        <v/>
      </c>
      <c r="G3628" t="inlineStr">
        <is>
          <t>2017-10-20 23:21:21</t>
        </is>
      </c>
      <c r="H3628" t="inlineStr">
        <is>
          <t>Type 1</t>
        </is>
      </c>
    </row>
    <row r="3629">
      <c r="A3629" t="inlineStr">
        <is>
          <t>77u0h0</t>
        </is>
      </c>
      <c r="B3629" t="inlineStr">
        <is>
          <t>[type2] Very strong family history of t2, having symptoms, terrified of parent's reaction</t>
        </is>
      </c>
      <c r="C3629" t="inlineStr">
        <is>
          <t>My father and both of my maternal grandparents are t2. Almost all my maternal grandfather's family are t2. My mom was dx t2 a few months ago. Some but not all of my t2 family are obese. My parents are just slightly overweight as am I. My BMI is something like 24.6 to 25.4 depending on when I get weighed.
I have symptoms such as being exhausted, my hands and feet are slightly numb, I'm really thirsty, and I think my vision is worse (I have trouble reading small text on the computer which I never did before). If I eat a lot of sugar at once I feel really nauseous and get a headache but that might be normal. The symptoms started right after my mom was dx so it might be paranoia? My lifestyle is far from great but I don't think overly out of the ordinary for an American my age. I try to fix it but its difficult to do without any support.  
I'm not so much scared of having t2 diabetes though of course I am scared of that. I'm mostly scared that my parents will be really angry at me. I'm 24 but I still live at home for financial reasons. My parents are kind of emotionally abusive. I can't do anything right. I already get scolded if they see me eat anything thats like a dessert, white bread, or has a lot of calories. My dad gets angry with me because I don't go to the gym enough. I know if I had diabetes it'd be so much worse. I'd be yelled at for eating anything that isn't a vegetable. My mom said my dad projects on to me and yells at me for things he is angry at himself for. He doesn't eat very healthy or exercise as much as he probably should. He's not one of those people laying on the couch shoveling twinkies into his mouth 24/7 but he eats a pretty standard american diet. My mom aggressively changed her diet when she got diagnosed and it's apparent the difference between the two of them. If we go to a restaurant my mom gets a grilled chicken salad my dad gets a burger on a white bun and fries.  
Is it worth trying to get tested at this point? Is it possible to just change my lifestyle and get rid of the diabetes or prediabetes without ever being diagnosed? I recently started a physical job and I've considered buying these "soylent" drinks to replace meals I usually would have fast food or random packaged snacks due to time or energy constraints (such as breakfast on the way to work). I can't go to the doctors without my parents knowing because I'm on their insurance and public transport is shit here so they'd have to drive me. I also have the same doctor who diagnosed my mom, told her to lose weight and exercise, and sent her home without any glucose machine, meds, support or even information which seems negligent to me. I can't really afford to buy a glucose machine and if I ordered it online my parents would see it. If I do nothing and I do have diabetes, will it get worse without treatment? Could it permanently damage me? I'm scared.</t>
        </is>
      </c>
      <c r="D3629" t="n">
        <v>0</v>
      </c>
      <c r="E3629" t="n">
        <v>6</v>
      </c>
      <c r="F3629">
        <f>HYPERLINK("https://www.reddit.com/r/diabetes/comments/77u0h0/type2_very_strong_family_history_of_t2_having/")</f>
        <v/>
      </c>
      <c r="G3629" t="inlineStr">
        <is>
          <t>2017-10-21 08:29:53</t>
        </is>
      </c>
      <c r="H3629" t="inlineStr">
        <is>
          <t>Type 2</t>
        </is>
      </c>
    </row>
    <row r="3630">
      <c r="A3630" t="inlineStr">
        <is>
          <t>77w148</t>
        </is>
      </c>
      <c r="B3630" t="inlineStr">
        <is>
          <t>Injection of levemir into blood vein</t>
        </is>
      </c>
      <c r="C3630" t="inlineStr">
        <is>
          <t>Hello, i just took my evening injection of levemir which i inject into my thigh. I saw the skin "bubbling" as i pushed, and a blood drop after removing the syringe, i also felt a tingling sensation in my foot/toes just after. Anyone know if this will make the insulin less effective or if it can have any side effects?</t>
        </is>
      </c>
      <c r="D3630" t="n">
        <v>4</v>
      </c>
      <c r="E3630" t="n">
        <v>5</v>
      </c>
      <c r="F3630">
        <f>HYPERLINK("https://www.reddit.com/r/diabetes/comments/77w148/injection_of_levemir_into_blood_vein/")</f>
        <v/>
      </c>
      <c r="G3630" t="inlineStr">
        <is>
          <t>2017-10-21 14:07:18</t>
        </is>
      </c>
      <c r="H3630" t="inlineStr">
        <is>
          <t>Type 1</t>
        </is>
      </c>
    </row>
    <row r="3631">
      <c r="A3631" t="inlineStr">
        <is>
          <t>77x793</t>
        </is>
      </c>
      <c r="B3631" t="inlineStr">
        <is>
          <t>Random arch pain when walking in right foot.</t>
        </is>
      </c>
      <c r="C3631" t="inlineStr">
        <is>
          <t>I've been relatively uncontrolled for years, and just recently started getting better. We're talking going from like 3 days if not checking my blood sugar, or bolusing, to 3-4 checks a day, and bolusing.  I know it's not alot but I've been on this better track for a month may be two now. My blood sugars have greatly improved and I really want to hope this isn't diabetes related. I do see my ando in like 2 weeks though so if still going on then I'm gonna talk to her. But I'm just looking for any sort of anything in the mean time. It just randomly started like an hour or two ago, and I wasn't wearing good supportive shoes today, so I'm thinking that's the case. But I know diabetes does cause foot issues which is what lead me to come here. I'm also thinking maybe I just over extended it? I have the tendency to randomly start walking on my tiptoes on occasion but don't remember doing that at all today. The pain is only when I stretch it tho.</t>
        </is>
      </c>
      <c r="D3631" t="n">
        <v>3</v>
      </c>
      <c r="E3631" t="n">
        <v>11</v>
      </c>
      <c r="F3631">
        <f>HYPERLINK("https://www.reddit.com/r/diabetes/comments/77x793/random_arch_pain_when_walking_in_right_foot/")</f>
        <v/>
      </c>
      <c r="G3631" t="inlineStr">
        <is>
          <t>2017-10-21 17:44:27</t>
        </is>
      </c>
      <c r="H3631" t="inlineStr">
        <is>
          <t>Type 1</t>
        </is>
      </c>
    </row>
    <row r="3632">
      <c r="A3632" t="inlineStr">
        <is>
          <t>786rvk</t>
        </is>
      </c>
      <c r="B3632" t="inlineStr">
        <is>
          <t>How much does regular exercise affect your insulin dosing?</t>
        </is>
      </c>
      <c r="C3632" t="inlineStr">
        <is>
          <t>I’m skinny but weak as hell, recently started swimming or lifting for 30 mins 6 days a week. My basal has dropped from 14 to 10 so far and my insulin:carb ratio has halved after 3 days. How far do dosages drop and for how long (do they continue to decrease)? Thanks.</t>
        </is>
      </c>
      <c r="D3632" t="n">
        <v>5</v>
      </c>
      <c r="E3632" t="n">
        <v>2</v>
      </c>
      <c r="F3632">
        <f>HYPERLINK("https://www.reddit.com/r/diabetes/comments/786rvk/how_much_does_regular_exercise_affect_your/")</f>
        <v/>
      </c>
      <c r="G3632" t="inlineStr">
        <is>
          <t>2017-10-23 03:14:44</t>
        </is>
      </c>
      <c r="H3632" t="inlineStr">
        <is>
          <t>Type 1</t>
        </is>
      </c>
    </row>
    <row r="3633">
      <c r="A3633" t="inlineStr">
        <is>
          <t>786tql</t>
        </is>
      </c>
      <c r="B3633" t="inlineStr">
        <is>
          <t>Does anyone have experience of requesting reasonable adjustments to their job because of diabetes?</t>
        </is>
      </c>
      <c r="C3633" t="inlineStr">
        <is>
          <t>I've been in a job for 2 months and my diabetic control has really deteriorated. I've set up a meeting with my manager to discuss some adjustments to working hours/formalise sickness procedures to help me control my diabetes while at work. I don't want to put too many details but I don't have fixed meal/break times, I don't get a lot of time between shifts and sometimes my shifts are very long (13.5h). I've tried to get a pump before and been told no (UK - NHS won't fund).
Has anyone here done this? What was the result? How did you approach it? What changes did you request and how were they implemented?
EDIT: I am not looking to discuss myself, I want to hear other people's stories about their situation and how it went.</t>
        </is>
      </c>
      <c r="D3633" t="n">
        <v>11</v>
      </c>
      <c r="E3633" t="n">
        <v>23</v>
      </c>
      <c r="F3633">
        <f>HYPERLINK("https://www.reddit.com/r/diabetes/comments/786tql/does_anyone_have_experience_of_requesting/")</f>
        <v/>
      </c>
      <c r="G3633" t="inlineStr">
        <is>
          <t>2017-10-23 03:27:51</t>
        </is>
      </c>
      <c r="H3633" t="inlineStr">
        <is>
          <t>Type 1</t>
        </is>
      </c>
    </row>
    <row r="3634">
      <c r="A3634" t="inlineStr">
        <is>
          <t>788cv1</t>
        </is>
      </c>
      <c r="B3634" t="inlineStr">
        <is>
          <t>Trying to get pump.</t>
        </is>
      </c>
      <c r="C3634" t="inlineStr">
        <is>
          <t>To get my doctor to send a recommendation to my insurance to get the pump I've had to prove I monitor my blood suagr daily. My next appointment is November second and I've doing it for mostly this month. I'm scared because at the minimum I check 4 times a day. Before breakfast, after, before lunch, after usually, before dinner, and sometimes after if I remember. If I don't feel bad I usually don't check after dinner since I won't be eating, but if I do I check. I missed a week this month because I was on fall break and going through a hard time. School keeps me on track with my diabetes to be honest. Do you think they will understand that not every diabetic is perfect and recommend it? I've been trying to get it for two years, but my mental state has been bad and I've gone through months where I wouldn't do my shots. Other than that week I think I've done it for the rest and like I missed one weekend. I still checked my blood sugar sometimes over that week and weekend, just never wrote it down. I want a pump so bad I feel like it would make my life so much easier and my diabetes so much more under control. I think I'll just give up if I don't get the recommendation in November...</t>
        </is>
      </c>
      <c r="D3634" t="n">
        <v>3</v>
      </c>
      <c r="E3634" t="n">
        <v>8</v>
      </c>
      <c r="F3634">
        <f>HYPERLINK("https://www.reddit.com/r/diabetes/comments/788cv1/trying_to_get_pump/")</f>
        <v/>
      </c>
      <c r="G3634" t="inlineStr">
        <is>
          <t>2017-10-23 08:11:40</t>
        </is>
      </c>
      <c r="H3634" t="inlineStr">
        <is>
          <t>Type 1</t>
        </is>
      </c>
    </row>
    <row r="3635">
      <c r="A3635" t="inlineStr">
        <is>
          <t>788s2y</t>
        </is>
      </c>
      <c r="B3635" t="inlineStr">
        <is>
          <t>Bad insulin?</t>
        </is>
      </c>
      <c r="C3635" t="inlineStr">
        <is>
          <t>This past week I haven't been able to get below 200. I finally got fed up, said fuck it, and gave myself 4 to 5 times my sliding scale for my breakfast. It's 240 right now after walking a half mile and and hour after eating.
Can I probably assume my insulin pen is just shit? I'm gonna change it when I get back to my apartment but I wanna know if you guys think it could be anything else.</t>
        </is>
      </c>
      <c r="D3635" t="n">
        <v>15</v>
      </c>
      <c r="E3635" t="n">
        <v>29</v>
      </c>
      <c r="F3635">
        <f>HYPERLINK("https://www.reddit.com/r/diabetes/comments/788s2y/bad_insulin/")</f>
        <v/>
      </c>
      <c r="G3635" t="inlineStr">
        <is>
          <t>2017-10-23 09:12:16</t>
        </is>
      </c>
      <c r="H3635" t="inlineStr">
        <is>
          <t>Type 1</t>
        </is>
      </c>
    </row>
    <row r="3636">
      <c r="A3636" t="inlineStr">
        <is>
          <t>789qnr</t>
        </is>
      </c>
      <c r="B3636" t="inlineStr">
        <is>
          <t>28/m 11 pills a day, want to cut the pills.</t>
        </is>
      </c>
      <c r="C3636" t="inlineStr">
        <is>
          <t xml:space="preserve">I take 11 pills a day (some are 2 times a day) I want to cut that down...way down. I weigh 340lbs im 6'1" I know i need to loose weight but, i like being bigger and so does my fiance. I want to get healthy but also stay larger. I looked at Keto but i also have high cholesterol. IDK what to do, my doctor just keeps adding more pills and meds. And i dont want to take that many pills at the age of 28. HELP! </t>
        </is>
      </c>
      <c r="D3636" t="n">
        <v>0</v>
      </c>
      <c r="E3636" t="n">
        <v>34</v>
      </c>
      <c r="F3636">
        <f>HYPERLINK("https://www.reddit.com/r/diabetes/comments/789qnr/28m_11_pills_a_day_want_to_cut_the_pills/")</f>
        <v/>
      </c>
      <c r="G3636" t="inlineStr">
        <is>
          <t>2017-10-23 11:26:15</t>
        </is>
      </c>
      <c r="H3636" t="inlineStr">
        <is>
          <t>Type 2</t>
        </is>
      </c>
    </row>
    <row r="3637">
      <c r="A3637" t="inlineStr">
        <is>
          <t>78eqv7</t>
        </is>
      </c>
      <c r="B3637" t="inlineStr">
        <is>
          <t>Freestyle Libre and Scuba Diving</t>
        </is>
      </c>
      <c r="C3637" t="inlineStr">
        <is>
          <t>So I went Scuba diving on the weekend and my Freestyle Libre sensor survived! I know they only recommend 1M for 30min, but I really wanted to dive and thought I would see how it would handle it. 
So the raw facts are, the sensor had been in use for 4 days and was covered in Kinesio Tape (which I always wear cause I used to knock them off or they would fall out as I am fairly active and in a high intensity job), and I was wearing a 5MM wetsuit. The first Dive was to 22M for 35min and the second was to 14M for 55min. After the dive I took a reading from the sensor and a finger prick...same number!!! The sensor is still working fine and matches blood tests.
My thoughts are the wetsuit limits the amount of water contact to the area, and the tape adds a layer of protection from rubbing from the wetsuit.
Side note on the tape. I buy it from the chemist for $10 and it comes in a roll a couple of metres long. I change it every few days with help. Since using the tape I have not lost a sensor! Money well spent if you ask me!
I hope this helps someone.</t>
        </is>
      </c>
      <c r="D3637" t="n">
        <v>2</v>
      </c>
      <c r="E3637" t="n">
        <v>6</v>
      </c>
      <c r="F3637">
        <f>HYPERLINK("https://www.reddit.com/r/diabetes/comments/78eqv7/freestyle_libre_and_scuba_diving/")</f>
        <v/>
      </c>
      <c r="G3637" t="inlineStr">
        <is>
          <t>2017-10-24 03:02:56</t>
        </is>
      </c>
      <c r="H3637" t="inlineStr">
        <is>
          <t>Type 1</t>
        </is>
      </c>
    </row>
    <row r="3638">
      <c r="A3638" t="inlineStr">
        <is>
          <t>78evle</t>
        </is>
      </c>
      <c r="B3638" t="inlineStr">
        <is>
          <t>I can't believe it another A1c drop.</t>
        </is>
      </c>
      <c r="C3638" t="inlineStr">
        <is>
          <t>I was a bit scared when my Doc ordered a A1c test for me. Yesterday I got the results and was a bit surprised when it said 4.9. Im always a bit scared when they want new tests so this was a shock for me.</t>
        </is>
      </c>
      <c r="D3638" t="n">
        <v>7</v>
      </c>
      <c r="E3638" t="n">
        <v>3</v>
      </c>
      <c r="F3638">
        <f>HYPERLINK("https://www.reddit.com/r/diabetes/comments/78evle/i_cant_believe_it_another_a1c_drop/")</f>
        <v/>
      </c>
      <c r="G3638" t="inlineStr">
        <is>
          <t>2017-10-24 03:35:29</t>
        </is>
      </c>
      <c r="H3638" t="inlineStr">
        <is>
          <t>Type 2</t>
        </is>
      </c>
    </row>
    <row r="3639">
      <c r="A3639" t="inlineStr">
        <is>
          <t>78g66s</t>
        </is>
      </c>
      <c r="B3639" t="inlineStr">
        <is>
          <t>Pumps and jiu jitsu</t>
        </is>
      </c>
      <c r="C3639" t="inlineStr">
        <is>
          <t xml:space="preserve">I'm interested in starting jiu jitsu and I wear an omnipod pump and I was wondering if anyone had any advice for it not getting ripped off. </t>
        </is>
      </c>
      <c r="D3639" t="n">
        <v>6</v>
      </c>
      <c r="E3639" t="n">
        <v>8</v>
      </c>
      <c r="F3639">
        <f>HYPERLINK("https://www.reddit.com/r/diabetes/comments/78g66s/pumps_and_jiu_jitsu/")</f>
        <v/>
      </c>
      <c r="G3639" t="inlineStr">
        <is>
          <t>2017-10-24 07:41:51</t>
        </is>
      </c>
      <c r="H3639" t="inlineStr">
        <is>
          <t>Type 1</t>
        </is>
      </c>
    </row>
    <row r="3640">
      <c r="A3640" t="inlineStr">
        <is>
          <t>78glw9</t>
        </is>
      </c>
      <c r="B3640" t="inlineStr">
        <is>
          <t>Stress = high blood sugars. How Can I prevent this?</t>
        </is>
      </c>
      <c r="C3640" t="inlineStr">
        <is>
          <t>How Can I prevent stress from raising my sugars? I had an interview today, followed by a driving lesson. It’s made my sugars stay at 7.0-7.8 all day.</t>
        </is>
      </c>
      <c r="D3640" t="n">
        <v>5</v>
      </c>
      <c r="E3640" t="n">
        <v>20</v>
      </c>
      <c r="F3640">
        <f>HYPERLINK("https://www.reddit.com/r/diabetes/comments/78glw9/stress_high_blood_sugars_how_can_i_prevent_this/")</f>
        <v/>
      </c>
      <c r="G3640" t="inlineStr">
        <is>
          <t>2017-10-24 08:48:12</t>
        </is>
      </c>
      <c r="H3640" t="inlineStr">
        <is>
          <t>Type 1</t>
        </is>
      </c>
    </row>
    <row r="3641">
      <c r="A3641" t="inlineStr">
        <is>
          <t>78hi2e</t>
        </is>
      </c>
      <c r="B3641" t="inlineStr">
        <is>
          <t>What am I doing wrong? (T:Slim X2)</t>
        </is>
      </c>
      <c r="C3641" t="inlineStr">
        <is>
          <t>We've only had this thing since Wednesday and it's been great but...
Today my son wakes up low (70). His target is 130. 
Feed him 55 grams of carbs and then enter in the food and it said he doesn't need a bolus because he's low. That doesn't make sense because his correction is 100 bs per unit, and 30 grams per unit, so he should be getting over 1 unit. 
Now I wasn't home, so my wife didn't think anything of this for some reason, and then when she checked a couple hours later his blood sugar was 400 something (of course). She corrects, and then at lunch he's low again (60). She gives him his lunch and puts in the numbers and AGAIN it tells her he doesn't need any correction since he's low, and again this makes no sense to me at all. She checks just now and he's 400 again
called the dr, waiting on a response. Completely unsure of what to do. I'm convinced she must be doing something wrong, but she's done it more times than I have in the last week, so I'm sure she knows what she's doing. 
What could be happening here?</t>
        </is>
      </c>
      <c r="D3641" t="n">
        <v>3</v>
      </c>
      <c r="E3641" t="n">
        <v>10</v>
      </c>
      <c r="F3641">
        <f>HYPERLINK("https://www.reddit.com/r/diabetes/comments/78hi2e/what_am_i_doing_wrong_tslim_x2/")</f>
        <v/>
      </c>
      <c r="G3641" t="inlineStr">
        <is>
          <t>2017-10-24 10:55:58</t>
        </is>
      </c>
      <c r="H3641" t="inlineStr">
        <is>
          <t>Type 1</t>
        </is>
      </c>
    </row>
    <row r="3642">
      <c r="A3642" t="inlineStr">
        <is>
          <t>78igwh</t>
        </is>
      </c>
      <c r="B3642" t="inlineStr">
        <is>
          <t>Experiences with the new Freestyle Libre?</t>
        </is>
      </c>
      <c r="C3642" t="inlineStr">
        <is>
          <t>Hi, I'm interested in hearing from anyone who has bought and used the new Freestyle Libre monitoring system.  Has it helped with your A1c control or any other aspect of diabetes management?  Thanks.</t>
        </is>
      </c>
      <c r="D3642" t="n">
        <v>7</v>
      </c>
      <c r="E3642" t="n">
        <v>25</v>
      </c>
      <c r="F3642">
        <f>HYPERLINK("https://www.reddit.com/r/diabetes/comments/78igwh/experiences_with_the_new_freestyle_libre/")</f>
        <v/>
      </c>
      <c r="G3642" t="inlineStr">
        <is>
          <t>2017-10-24 13:13:22</t>
        </is>
      </c>
      <c r="H3642" t="inlineStr">
        <is>
          <t>Type 2</t>
        </is>
      </c>
    </row>
    <row r="3643">
      <c r="A3643" t="inlineStr">
        <is>
          <t>78im2g</t>
        </is>
      </c>
      <c r="B3643" t="inlineStr">
        <is>
          <t>Type 2 Diabetes Research Survey</t>
        </is>
      </c>
      <c r="C3643" t="inlineStr">
        <is>
          <t>Hi everyone!
I am a graduate student at Texas State University, and currently doing research on correlation between type 2 diabetes and nutritional diet.
First of all, I do apologize for my previous survey that included some complicated and wrong questions. Technically, I failed to classify a user type. Was my fault. However, I greatly appreciate all your responses. It helped my research improve and expand. If you currently have Type 2 diabetes and are (still) interested in participating, please take this link. https://docs.google.com/forms/d/e/1FAIpQLScfSwdmV1KRQaB_zNyW-438z7nz-TkDgqkk3daK4M8b2HulGA/viewform?usp=sf_link This survey includes 6 descriptive questions focusing on difficult experiences on type 2 diabetes and takes less than 10 minutes. Thank you in advance!
p.s: also thank those of you who willingly left email address on the previous survey. I will select and contact you for the future research.</t>
        </is>
      </c>
      <c r="D3643" t="n">
        <v>3</v>
      </c>
      <c r="E3643" t="n">
        <v>0</v>
      </c>
      <c r="F3643">
        <f>HYPERLINK("https://www.reddit.com/r/diabetes/comments/78im2g/type_2_diabetes_research_survey/")</f>
        <v/>
      </c>
      <c r="G3643" t="inlineStr">
        <is>
          <t>2017-10-24 13:33:24</t>
        </is>
      </c>
      <c r="H3643" t="inlineStr">
        <is>
          <t>Type 2</t>
        </is>
      </c>
    </row>
    <row r="3644">
      <c r="A3644" t="inlineStr">
        <is>
          <t>78k64n</t>
        </is>
      </c>
      <c r="B3644" t="inlineStr">
        <is>
          <t>Best snacks and desserts for Type 2 Diabetics?</t>
        </is>
      </c>
      <c r="C3644" t="inlineStr">
        <is>
          <t>My mom has type 2 diabetes.  She is 70, about 80 pounds overweight, somewhat sedentary, with an extremely low energy level.  Her other medical problems are high blood pressure, high cholesterol and sleep apnea, all being treated with medication + c-pap machine.
She was first diagnosed 8 years ago and for several years was treated just with Metformin.   She finally began seeing an endocrinologist and about 3 years ago, he switched her to daily 
insulin injections.  She has two medications she injects, one is 3 times per day and the other is at the end of the day.  She takes her blood sugar 3-5 times per day before eating.
These 3-5 daily blood sugar readings are often high.  She might go through a period lasting 2-3 weeks where her readings will be 90-120, but then they will suddenly jump up to 150-220.  Every few months her doctor increases the doses of these daily injections.
She has had a hard time facing the changes she needs to make in her diet and exercise.  I certainly give her enormous credit for all the big changes she made, but the changes, so far, have fallen short of what she needs to do for her health.
She has somewhat of a eating disorder.  She doesn't drink or smoke or have a pleasure outlet other than food.  Sugar is her favorite.
She has changed from eating candy, doughnuts, cakes, cookies, etc., daily to eating them only once every 6-8 weeks.  That is great.  But, she has developed some new eating behaviors that might be dangerous for her health even if they are not as dangerous as eating white sugar.
Her diet is mostly poultry, fish, green vegetables, 2% milk, plain Greek yogurt, and bottled water.  And 2-3 packs of sugarless gum per day.
Nearly every day of the week, in addition to the above staples of her diet, she will "binge" eat a large amount of whatever food she has convinced herself is safe for type 2 diabetics.  She has gone from one food to another, convincing herself that it is safe for her health to eat/overeat these foods since they are not as bad as sugar.  I keep trying to explain to her that just because something is not as bad as sugar does not mean it is not a threat to her health due to her type 2 diabetes. 
Some recent examples: She kept buying dried dates from the grocery store bulk food aisle.  They were not candied or sweetened in any way but they tasted like a dessert to her.  Every time she would eat a bag of these, her next blood sugar reading would be 200-250.
Before that, she was making popcorn on the stove with canola oil.  She would eat a big bucket of it every evening.  Her blood sugar would sky rocket.  (She had once read something about air popped popcorn being a good snack for someone wanting to diet, but that doesn't mean it is a good snack for a type 2 diabetic!  She plays tricks like that on herself so she can keep doing what she wants.)
The latest trick she is pulling on herself is telling herself honey is not as unhealthy as white sugar and therefore it is okay for her to eat it despite her type 2 diabetes.   Another recent trick is to drink a 16oz glass of grapefruit juice, saying it is OK for her diabetes because that brand doesn't have added sugars.  
I do not like the care she is receiving from the endocrinologist.  He has done very little to try to educate her or work with her.  He looks at her record of daily readings, sees that the readings are still too high, increases the doses of her daily injections, and then doesn't see her for another 3-6 months.
It seems to me that her eating behavior is causing a lot of the problems she is having with her blood sugar.  
I want her to be happy.  I know she has long found very little pleasure in her daily life.  The days must feel very gray when she cannot have a treat and when the cravings for sugar and carbs are bothering her throughout her waking hours.
She is doing her injections, recording her blood sugar readings, going to her occasional appointments.  That is a lot, yet she has these problem areas that she is not moving past and is showing no sign that she ever will.
Here is what I am wondering and hoping that the members of this forum can help answer: Since she is regularly raising her blood sugar by overeating things like popcorn, dates, mixed nuts, honey, couldn't she at least overeat foods that would be less of a problem for her type 2 diabetes?  If not, maybe she could at least find the foods that will bring her the maximum pleasure for the consequences they cause rather than continuing to eat things like dates, which give her very little pleasure for the consequences on her blood sugar.
Since she is probably going to continue eating these large daily snacks, what foods would be the 
healthiest for her considering her type 2 diabetes?  I am hoping I can gather a list of foods and then she will possibly have better options (or at least more enjoyable options) than risking her health 
by eating dates, popcorn, honey.  
Does anyone have ideas for what she could eat?
Thanks for reading my question.  I am hoping you can help me!</t>
        </is>
      </c>
      <c r="D3644" t="n">
        <v>5</v>
      </c>
      <c r="E3644" t="n">
        <v>11</v>
      </c>
      <c r="F3644">
        <f>HYPERLINK("https://www.reddit.com/r/diabetes/comments/78k64n/best_snacks_and_desserts_for_type_2_diabetics/")</f>
        <v/>
      </c>
      <c r="G3644" t="inlineStr">
        <is>
          <t>2017-10-24 17:37:49</t>
        </is>
      </c>
      <c r="H3644" t="inlineStr">
        <is>
          <t>Type 2</t>
        </is>
      </c>
    </row>
    <row r="3645">
      <c r="A3645" t="inlineStr">
        <is>
          <t>78krdp</t>
        </is>
      </c>
      <c r="B3645" t="inlineStr">
        <is>
          <t>Questions regarding T2 while growing up</t>
        </is>
      </c>
      <c r="C3645" t="inlineStr">
        <is>
          <t>sorry long post, I have trouble being concise. 
I am wondering how people with T2 managed their food and diet while growing up as a child or if you're a parent how your child manages their T2. My assumption is weight is the primary driver for T2. 
I am currently prediabetic and have family members with T2 since they were kids. I've also been obese since high school (im 32 now) and have to deal with fun things like sleep apnea, retinal detachment scares, plantar fasciitis, and impacted nerves. So I really want to be preventative and motivational with my family and friends so they can avoid T2 or better manage their T2.
So the few answers I am interested in. You can answer for your kid or if you had T2 while growing up:
1) At what age did you discover you had T2 diabetes?
2) What events lead you to get the T2 diabetes diagnosis? (weight gain, thirst, etc)
3) Who (kid or parent) had the final say on food and exercise choices? (I admit, bought junk food at school when my parents gave me a healthy lunch)
4) Explain how did you manage your T2 diabetes as a kid or teenager? (diet, exercise, insulin, parents, book, something else)
5) What or who helped you the most with managing your T2 as a kid? 
6) Did you have trouble understanding your T2? If yes, why? If no, why? (doctors didnt explain, parents didnt understand, doctors did a good job explaining etc)
7) What was the primary reason for not following healthy habits even with T2? (stress, family, school, media, etc.)
8) What is your best advice in helping a child manage diet and exercise habits when they have T2?
Thanks!
Side note: I've lost about 30lbs this year, and I've got my dad to drop 15lbs also. I'm still working on my college age cousin whose been hospitalized more than once with things related to his T2.</t>
        </is>
      </c>
      <c r="D3645" t="n">
        <v>0</v>
      </c>
      <c r="E3645" t="n">
        <v>10</v>
      </c>
      <c r="F3645">
        <f>HYPERLINK("https://www.reddit.com/r/diabetes/comments/78krdp/questions_regarding_t2_while_growing_up/")</f>
        <v/>
      </c>
      <c r="G3645" t="inlineStr">
        <is>
          <t>2017-10-24 19:23:30</t>
        </is>
      </c>
      <c r="H3645" t="inlineStr">
        <is>
          <t>Type 2</t>
        </is>
      </c>
    </row>
    <row r="3646">
      <c r="A3646" t="inlineStr">
        <is>
          <t>78ktq9</t>
        </is>
      </c>
      <c r="B3646" t="inlineStr">
        <is>
          <t>Recently tested. Blood results came back good but Triglyceride levels are very low.</t>
        </is>
      </c>
      <c r="C3646" t="inlineStr">
        <is>
          <t xml:space="preserve">After nervously awaiting my results I got them back and they were relieving but there is clearly something wrong with my blood results. My A1C was somewhat believable at 4.8. But the blood sugar result came back at 57 mg/dL two hours after eating. That seems absurdly low. Also my Triglycerides were 47 mg/dL., Which is categorized as low. I'm really worried rn I feel like there is something wrong with me. I am constantly hungry. Do any of you know anything about Tri levels? I have lost 5-6 pounds in two months and have no idea what is wrong. I'm scared my doc missed something. </t>
        </is>
      </c>
      <c r="D3646" t="n">
        <v>2</v>
      </c>
      <c r="E3646" t="n">
        <v>5</v>
      </c>
      <c r="F3646">
        <f>HYPERLINK("https://www.reddit.com/r/diabetes/comments/78ktq9/recently_tested_blood_results_came_back_good_but/")</f>
        <v/>
      </c>
      <c r="G3646" t="inlineStr">
        <is>
          <t>2017-10-24 19:35:08</t>
        </is>
      </c>
      <c r="H3646" t="inlineStr">
        <is>
          <t>Type 2</t>
        </is>
      </c>
    </row>
    <row r="3647">
      <c r="A3647" t="inlineStr">
        <is>
          <t>78ldqb</t>
        </is>
      </c>
      <c r="B3647" t="inlineStr">
        <is>
          <t>High Blood Sugar When Flying</t>
        </is>
      </c>
      <c r="C3647" t="inlineStr">
        <is>
          <t xml:space="preserve">I am only about a year into living with type 1 diabetes and I keep experiencing very high blood sugars whenever I fly. It is the strangest thing because it is almost immediately when we get into the air. I am thinking it must be partially because I am sitting for hours, but it doesn't seem to affect me as much when I do this at work. I have looked into some explanations for this online, but not sure the actual science behind any of the theories. 
Does this happen to anyone else? Does anyone know why?? </t>
        </is>
      </c>
      <c r="D3647" t="n">
        <v>3</v>
      </c>
      <c r="E3647" t="n">
        <v>21</v>
      </c>
      <c r="F3647">
        <f>HYPERLINK("https://www.reddit.com/r/diabetes/comments/78ldqb/high_blood_sugar_when_flying/")</f>
        <v/>
      </c>
      <c r="G3647" t="inlineStr">
        <is>
          <t>2017-10-24 21:23:23</t>
        </is>
      </c>
      <c r="H3647" t="inlineStr">
        <is>
          <t>Type 1</t>
        </is>
      </c>
    </row>
    <row r="3648">
      <c r="A3648" t="inlineStr">
        <is>
          <t>78lge0</t>
        </is>
      </c>
      <c r="B3648" t="inlineStr">
        <is>
          <t>Happy 1 year anniversary to me</t>
        </is>
      </c>
      <c r="C3648" t="inlineStr">
        <is>
          <t xml:space="preserve">About 12 hours from now and a year ago, I found myself sitting in a quick clinic in Columbia MO to grab a physical so I could start work driving for FedEx. Which was wonderful considering how much food and soda I was going through (and still looking skeletal)
After getting my parts played with, and taking a urine test (easy enough to fill the cup when you’re in the bathroom every hour peeing by the gallon) I get told there’s ketones in my urine, and am told to report to the university endocrinologist right away, and go to an ER if I couldn’t get in. 
Needless to say, that day I was formally diagnosed with T1D. 
It was definitely the hardest day of my life, and a terrible drive home constantly thinking that, at 25, I had met the beast that would kill me. Yet here we are, a year later, still here and much healthier. 
Cheers 🥂 </t>
        </is>
      </c>
      <c r="D3648" t="n">
        <v>15</v>
      </c>
      <c r="E3648" t="n">
        <v>9</v>
      </c>
      <c r="F3648">
        <f>HYPERLINK("https://www.reddit.com/r/diabetes/comments/78lge0/happy_1_year_anniversary_to_me/")</f>
        <v/>
      </c>
      <c r="G3648" t="inlineStr">
        <is>
          <t>2017-10-24 21:39:48</t>
        </is>
      </c>
      <c r="H3648" t="inlineStr">
        <is>
          <t>Type 1</t>
        </is>
      </c>
    </row>
    <row r="3649">
      <c r="A3649" t="inlineStr">
        <is>
          <t>78p5ko</t>
        </is>
      </c>
      <c r="B3649" t="inlineStr">
        <is>
          <t>Any other Animas pumpers switching to T:slim?</t>
        </is>
      </c>
      <c r="C3649" t="inlineStr">
        <is>
          <t xml:space="preserve">I assume there are a lot of Animas users in the same boat as me. Just wondering if anyone has made the decision on which pump to switch to yet...
I called Animas and found out my Vibe has been out of warranty since March so I feel like I'm forced to switch to Tandem or Medtronic now instead of waiting around.
The t:slim just looks like the best option to me. The Medtronic hybrid system is appealing, but I feel like I see so many threads of people complaining about the Medtronic sensors.
Plus, the t:slim just looks better. It doesn't look like an old school Game Boy. I already use the Dexcom G4 sensors and they are great so being able to upgrade to the G5 sensors is appealing.
Plus, if the closed loop update ever does happen I won't have to wait 4 years until my insurance company would pay for a new pump to switch.
</t>
        </is>
      </c>
      <c r="D3649" t="n">
        <v>5</v>
      </c>
      <c r="E3649" t="n">
        <v>13</v>
      </c>
      <c r="F3649">
        <f>HYPERLINK("https://www.reddit.com/r/diabetes/comments/78p5ko/any_other_animas_pumpers_switching_to_tslim/")</f>
        <v/>
      </c>
      <c r="G3649" t="inlineStr">
        <is>
          <t>2017-10-25 10:16:47</t>
        </is>
      </c>
      <c r="H3649" t="inlineStr">
        <is>
          <t>Type 1</t>
        </is>
      </c>
    </row>
    <row r="3650">
      <c r="A3650" t="inlineStr">
        <is>
          <t>78pokc</t>
        </is>
      </c>
      <c r="B3650" t="inlineStr">
        <is>
          <t>Brandon Morrow!!</t>
        </is>
      </c>
      <c r="C3650" t="inlineStr">
        <is>
          <t>As a life long baseball fan and a diabetic for 14 years, it's awesome seeing a fellow type I diabetic having such great success in professional sports. They were interviewing him on the World Series pregame show, and hearing him talk about how he mixes in his diabetes management with the routine and rigor of being a baseball relief pitcher gave me chills. Go Brandon!</t>
        </is>
      </c>
      <c r="D3650" t="n">
        <v>11</v>
      </c>
      <c r="E3650" t="n">
        <v>4</v>
      </c>
      <c r="F3650">
        <f>HYPERLINK("https://www.reddit.com/r/diabetes/comments/78pokc/brandon_morrow/")</f>
        <v/>
      </c>
      <c r="G3650" t="inlineStr">
        <is>
          <t>2017-10-25 11:31:32</t>
        </is>
      </c>
      <c r="H3650" t="inlineStr">
        <is>
          <t>Type 1</t>
        </is>
      </c>
    </row>
    <row r="3651">
      <c r="A3651" t="inlineStr">
        <is>
          <t>78pt8p</t>
        </is>
      </c>
      <c r="B3651" t="inlineStr">
        <is>
          <t>UN-educated fat diabetic [M/NJ/US]</t>
        </is>
      </c>
      <c r="C3651" t="inlineStr">
        <is>
          <t xml:space="preserve">My Info  
Weight: 340 (down from 400)  
Height: 6'0"  
Sex: Male  
Meds: glipizide, metformin, Jardiance
Last A1C: 7.2 (was over 9)  
I was told I have diabetes 2 years ago, and was never really told what to do. (My doctor was an apn at a clinic) They just tossed a bunch of pills into me and kept testing. But I don't know what to do? I dont want to be on so many pills. (im not stupid, i know weight loss and cut carbs, which i did). But i never got a "training class" on living with diabetes.  
My questions are, Can i stop having Diabetes? What other health issues are there with it? Why do most of my meds make me ill/sick/rundown depressed? If my sugar is high, what can i do to lower it? When should i test (my insurance only covers once a day and im poor so i cant buy my own strips).  
I really just need help.... :( </t>
        </is>
      </c>
      <c r="D3651" t="n">
        <v>9</v>
      </c>
      <c r="E3651" t="n">
        <v>15</v>
      </c>
      <c r="F3651">
        <f>HYPERLINK("https://www.reddit.com/r/diabetes/comments/78pt8p/uneducated_fat_diabetic_mnjus/")</f>
        <v/>
      </c>
      <c r="G3651" t="inlineStr">
        <is>
          <t>2017-10-25 11:50:05</t>
        </is>
      </c>
      <c r="H3651" t="inlineStr">
        <is>
          <t>Type 2</t>
        </is>
      </c>
    </row>
    <row r="3652">
      <c r="A3652" t="inlineStr">
        <is>
          <t>78pxfg</t>
        </is>
      </c>
      <c r="B3652" t="inlineStr">
        <is>
          <t>Has anyone gone from using a pump back to taking injections with positive results?</t>
        </is>
      </c>
      <c r="C3652" t="inlineStr">
        <is>
          <t>Type 1 for 14 years here. I've been on an insulin pump almost the entire time I've been diabetic. I think my first year I used pens, and then after that switched over to an animas.
Over the past year I've been really frustrated with my pump, partially because I switched from my animas ping to the Medtronic 630. Using the Medtronic has basically been a nightmare, from rude representatives to malfunctioning tubing, and it's made me start thinking that maybe managing my diabetes would be easier if I didn't have a pump and just did injections instead. 
Here are some pros I can think of:
-don't have to worry if the tubing gets messed up and then having horrible blood sugars
-don't have to waste the last 15-20 units of insulin because it's time to change 
-potentially cheaper (??)
-don't have to carry something around on my body at all times 
-don't have to worry about something making noise during awkward times (I'm a performer and this is big for me)
-I can still use my cgm separately 
Here are some cons:
-have to take injections, obviously 
-less information (units on board, insulin ratios, etc)
-taking shots is less convenient than reaching into your pocket to bolus
Am I totally crazy for wanting to go back to injections? Has anyone done this with good results? I know some of my reasons carry more weight than others, but I'm just feeling so fed up. I'm planning to talk to my doctor next visit but would love some feedback.
Thanks!</t>
        </is>
      </c>
      <c r="D3652" t="n">
        <v>7</v>
      </c>
      <c r="E3652" t="n">
        <v>24</v>
      </c>
      <c r="F3652">
        <f>HYPERLINK("https://www.reddit.com/r/diabetes/comments/78pxfg/has_anyone_gone_from_using_a_pump_back_to_taking/")</f>
        <v/>
      </c>
      <c r="G3652" t="inlineStr">
        <is>
          <t>2017-10-25 12:06:25</t>
        </is>
      </c>
      <c r="H3652" t="inlineStr">
        <is>
          <t>Type 1</t>
        </is>
      </c>
    </row>
    <row r="3653">
      <c r="A3653" t="inlineStr">
        <is>
          <t>78pz6g</t>
        </is>
      </c>
      <c r="B3653" t="inlineStr">
        <is>
          <t>Spreading the love</t>
        </is>
      </c>
      <c r="C3653" t="inlineStr">
        <is>
          <t xml:space="preserve">I wanted to share some happiness with you guys. I'm 20 years old and I've had Type 1 Diabetes for 16, almost 17 years. About six months ago I started dating a guy who has been doing an awesome job trying to understand the disease and the everyday role it plays in my life. He's started pinching me when I give shots to try and distract me. A couple weeks ago he bought a scale for cooking and measuring out snacks so I could dose easier. He does his best when I'm really upset because I'm high or exhausted because I've been battling my numbers all day. I hope that everyone who sees this post either has or will find someone who is willing to do the same for them and love them for everything they are 
Have a good day r/diabetes :) </t>
        </is>
      </c>
      <c r="D3653" t="n">
        <v>49</v>
      </c>
      <c r="E3653" t="n">
        <v>8</v>
      </c>
      <c r="F3653">
        <f>HYPERLINK("https://www.reddit.com/r/diabetes/comments/78pz6g/spreading_the_love/")</f>
        <v/>
      </c>
      <c r="G3653" t="inlineStr">
        <is>
          <t>2017-10-25 12:13:06</t>
        </is>
      </c>
      <c r="H3653" t="inlineStr">
        <is>
          <t>Type 1</t>
        </is>
      </c>
    </row>
    <row r="3654">
      <c r="A3654" t="inlineStr">
        <is>
          <t>78qui1</t>
        </is>
      </c>
      <c r="B3654" t="inlineStr">
        <is>
          <t>Choosing a Endo...is this wrong of me?</t>
        </is>
      </c>
      <c r="C3654" t="inlineStr">
        <is>
          <t xml:space="preserve">So I’m looking for a new Endo. Some of the higher reviews go to a local one. I’ve not really considered him for one reason, age. Is it wrong of me to not chose a doctor because of age. He’s in his 70’s. Now that means he has a ton of experience and knowledge, but I feel like I might be missing out on new technologies or practices. 
Wrong of me to think that way? </t>
        </is>
      </c>
      <c r="D3654" t="n">
        <v>15</v>
      </c>
      <c r="E3654" t="n">
        <v>12</v>
      </c>
      <c r="F3654">
        <f>HYPERLINK("https://www.reddit.com/r/diabetes/comments/78qui1/choosing_a_endois_this_wrong_of_me/")</f>
        <v/>
      </c>
      <c r="G3654" t="inlineStr">
        <is>
          <t>2017-10-25 14:18:30</t>
        </is>
      </c>
      <c r="H3654" t="inlineStr">
        <is>
          <t>Type 1</t>
        </is>
      </c>
    </row>
    <row r="3655">
      <c r="A3655" t="inlineStr">
        <is>
          <t>78rjha</t>
        </is>
      </c>
      <c r="B3655" t="inlineStr">
        <is>
          <t>Well this has been fun.</t>
        </is>
      </c>
      <c r="C3655" t="inlineStr">
        <is>
          <t>i've been in the hospital for the last 3 days with extreme DKA, i've been in the ICU area and the youngest one on this floor! i sure have learned more being this is my second time in the hospital for DKA.</t>
        </is>
      </c>
      <c r="D3655" t="n">
        <v>11</v>
      </c>
      <c r="E3655" t="n">
        <v>11</v>
      </c>
      <c r="F3655">
        <f>HYPERLINK("https://www.reddit.com/r/diabetes/comments/78rjha/well_this_has_been_fun/")</f>
        <v/>
      </c>
      <c r="G3655" t="inlineStr">
        <is>
          <t>2017-10-25 16:09:44</t>
        </is>
      </c>
      <c r="H3655" t="inlineStr">
        <is>
          <t>Type 1</t>
        </is>
      </c>
    </row>
    <row r="3656">
      <c r="A3656" t="inlineStr">
        <is>
          <t>78t6qr</t>
        </is>
      </c>
      <c r="B3656" t="inlineStr">
        <is>
          <t>Officially diagnosed T2 today</t>
        </is>
      </c>
      <c r="C3656" t="inlineStr">
        <is>
          <t xml:space="preserve">...and I really appreciate the helpful comments in my first thread. I got my A1C test back and it was 11.6%. My sugar was down at yesterday's test from 277 to 265. I've tested a few times today and earlier today my sugar was 232 before eating, then 246 afterward. Just 20 minutes ago it was 215. 
I’ve been using the mid-model Walgreens glucose meter and I’ve already gotten the hang of testing myself, which I’m pretty proud of. My doctor put me on Metformin twice a day in addition to Bydureon, which I’m supposed to take weekly. I forgot to ask her if I’m supposed to take the Metformin in addition to the Bydureon now that I’ve started, but I’ll be going in next week at some point to meet with a diabetes educator. 
I have been eating low carb, eating up to 30 carbs a day and just about zero sugar except for like 2 fries from Arby’s because I couldn’t help myself. But I think seeing that my sugar can and does lower and has in fact lowered from my first blood test at 277 has given me confidence. I feel like this is an ailment I can deal with much easier, as long as when I start the Metformin, metoprolol, and Lexapro tomorrow I don’t start having a ton of side effects (the nausea and vomiting and diarrhea scare me.) 
I’ve taken to drinking cold brew decaf tea, water, some diet soda, and sugar-free mixes and have peppered in chicken breast, cheeses, and other keto-friendly foods, but I feel like the diabetes educator might try and tell me to go with a low-fat diet — I want to do keto since I feel like I have a higher chance of sticking to it. 
But you all gave me some great advice to start me off, and for that I am extremely grateful. I’m going to get started on my weight loss journey and kick this diabetes’ ass, because I know I’m stronger than it. 
…As long as I can have some rice once a year or something. I really miss it already. </t>
        </is>
      </c>
      <c r="D3656" t="n">
        <v>7</v>
      </c>
      <c r="E3656" t="n">
        <v>14</v>
      </c>
      <c r="F3656">
        <f>HYPERLINK("https://www.reddit.com/r/diabetes/comments/78t6qr/officially_diagnosed_t2_today/")</f>
        <v/>
      </c>
      <c r="G3656" t="inlineStr">
        <is>
          <t>2017-10-25 21:08:10</t>
        </is>
      </c>
      <c r="H3656" t="inlineStr">
        <is>
          <t>Type 2</t>
        </is>
      </c>
    </row>
    <row r="3657">
      <c r="A3657" t="inlineStr">
        <is>
          <t>78tpx0</t>
        </is>
      </c>
      <c r="B3657" t="inlineStr">
        <is>
          <t>Is Fiasp available yet?</t>
        </is>
      </c>
      <c r="C3657" t="inlineStr">
        <is>
          <t>title says it all TIA</t>
        </is>
      </c>
      <c r="D3657" t="n">
        <v>3</v>
      </c>
      <c r="E3657" t="n">
        <v>5</v>
      </c>
      <c r="F3657">
        <f>HYPERLINK("https://www.reddit.com/r/diabetes/comments/78tpx0/is_fiasp_available_yet/")</f>
        <v/>
      </c>
      <c r="G3657" t="inlineStr">
        <is>
          <t>2017-10-25 23:13:18</t>
        </is>
      </c>
      <c r="H3657" t="inlineStr">
        <is>
          <t>Type 1</t>
        </is>
      </c>
    </row>
    <row r="3658">
      <c r="A3658" t="inlineStr">
        <is>
          <t>78uvp5</t>
        </is>
      </c>
      <c r="B3658" t="inlineStr">
        <is>
          <t>Pump plus Lantus?</t>
        </is>
      </c>
      <c r="C3658" t="inlineStr">
        <is>
          <t>Libby (13 years old brittle type 1) has a new endo. We like her a lot but she has put Libby on pump therapy (which we’ve been doing for 5 years) plus daily Lantus injections. 
I’ve just never heard of this and wondered if anyone else had experience with this form of therapy. Success rates etc? 
Thanks in advance!</t>
        </is>
      </c>
      <c r="D3658" t="n">
        <v>9</v>
      </c>
      <c r="E3658" t="n">
        <v>18</v>
      </c>
      <c r="F3658">
        <f>HYPERLINK("https://www.reddit.com/r/diabetes/comments/78uvp5/pump_plus_lantus/")</f>
        <v/>
      </c>
      <c r="G3658" t="inlineStr">
        <is>
          <t>2017-10-26 04:18:30</t>
        </is>
      </c>
      <c r="H3658" t="inlineStr">
        <is>
          <t>Type 1</t>
        </is>
      </c>
    </row>
    <row r="3659">
      <c r="A3659" t="inlineStr">
        <is>
          <t>78uyba</t>
        </is>
      </c>
      <c r="B3659" t="inlineStr">
        <is>
          <t>Several hypos per week. Should i be concerned?</t>
        </is>
      </c>
      <c r="C3659" t="inlineStr">
        <is>
          <t>Morning/afternoon all,
Had an appointment with my nurse the other day for a check up following my first year as a T1 (got my Hba1c down to 5.7!) However she seemed really concerned about the fact i'll have a few (3-4) hypos a week. None of them are ever really that bad and i notice around 3.5 (63mg/dl) and just correct with a few jelly babies. She seemed really concerned but i've been fairly comfortable doing it this way and wondered what everyone else thought? I've only probably had  a few badish hypos down to 2.5mmol (45mg/dl) over the year. Just wondering how may you get and if it would concern you as much as it seemed to concern her? Any info/input would be greatly appreciated though. Thanks</t>
        </is>
      </c>
      <c r="D3659" t="n">
        <v>5</v>
      </c>
      <c r="E3659" t="n">
        <v>13</v>
      </c>
      <c r="F3659">
        <f>HYPERLINK("https://www.reddit.com/r/diabetes/comments/78uyba/several_hypos_per_week_should_i_be_concerned/")</f>
        <v/>
      </c>
      <c r="G3659" t="inlineStr">
        <is>
          <t>2017-10-26 04:34:58</t>
        </is>
      </c>
      <c r="H3659" t="inlineStr">
        <is>
          <t>Type 1</t>
        </is>
      </c>
    </row>
    <row r="3660">
      <c r="A3660" t="inlineStr">
        <is>
          <t>78vlkf</t>
        </is>
      </c>
      <c r="B3660" t="inlineStr">
        <is>
          <t>Yesterday was not a good day</t>
        </is>
      </c>
      <c r="C3660" t="inlineStr">
        <is>
          <t>Sometime in the night, my cat chewed through the tubing on my insulin pump.
So, I woke up 30 minutes before my alarm because I was high, and had to pee.  Changed the tubing. Figured since I was up, I might as well stay up. I'm not a morning person.
Had breakfast, went to work. But since my reservoir was low, I grabbed my insulin vial and a new reservoir.
Bolus for lunch, (still kinda high from the night) and hit empty. So, I eat lunch, go back to the office.  Where my insulin is, but no reservoir.
Pack up, go home, change the reservoir, give myself the rest of my lunch bolus. Dial into work.
Can't focus, and after awhile I just say fuck it, I'm going for a run to clear my head. This causes my sugar to hit 54 around 5:00. So, now I've got to eat a bunch of carbs before dinner. Naturally, I screw *that* up, too, as my sugar starts skyrocketing up to 300 at 10:00.
The only real upside here is the correction dose at night was spot on, and I woke up this morning at 83.</t>
        </is>
      </c>
      <c r="D3660" t="n">
        <v>20</v>
      </c>
      <c r="E3660" t="n">
        <v>17</v>
      </c>
      <c r="F3660">
        <f>HYPERLINK("https://www.reddit.com/r/diabetes/comments/78vlkf/yesterday_was_not_a_good_day/")</f>
        <v/>
      </c>
      <c r="G3660" t="inlineStr">
        <is>
          <t>2017-10-26 06:38:09</t>
        </is>
      </c>
      <c r="H3660" t="inlineStr">
        <is>
          <t>Type 1</t>
        </is>
      </c>
    </row>
    <row r="3661">
      <c r="A3661" t="inlineStr">
        <is>
          <t>78vuhg</t>
        </is>
      </c>
      <c r="B3661" t="inlineStr">
        <is>
          <t>Just got a date for getting my first pump!</t>
        </is>
      </c>
      <c r="C3661" t="inlineStr">
        <is>
          <t>In Ontario, Canada. So the initial cost and supplies are government funded, which means it takes a little bit of time to get the ball rolling and there's some jumping through hoops to be done.
Took me a year to get an appointment at the clinic, but finally got in a month or so ago, and (to me), it seems to be moving fairly quickly now. Paperwork is done and I will be getting a pump at the end of January.
I wanted the Animas Vibe, as it has the Dexcom CGM built-in, however, due to them exiting the market, that's no longer an option. The choices which I am left with are Omnipod and Medtronic 630G.
I have opted to go with the Medtronic 630G, for the same reason as wanting the Vibe, I want the built-in CGM.
With all that being said, the reason I am posting is to find out if there is anything I should be aware of, read/study up on as a first time pump user?
Also, if any pump owners have advice, or things they wish they had known before using a pump, it would be great to hear!
Thanks.</t>
        </is>
      </c>
      <c r="D3661" t="n">
        <v>4</v>
      </c>
      <c r="E3661" t="n">
        <v>3</v>
      </c>
      <c r="F3661">
        <f>HYPERLINK("https://www.reddit.com/r/diabetes/comments/78vuhg/just_got_a_date_for_getting_my_first_pump/")</f>
        <v/>
      </c>
      <c r="G3661" t="inlineStr">
        <is>
          <t>2017-10-26 07:18:39</t>
        </is>
      </c>
      <c r="H3661" t="inlineStr">
        <is>
          <t>Type 1</t>
        </is>
      </c>
    </row>
    <row r="3662">
      <c r="A3662" t="inlineStr">
        <is>
          <t>78vw4z</t>
        </is>
      </c>
      <c r="B3662" t="inlineStr">
        <is>
          <t>New Job Physical. Do I tell them?</t>
        </is>
      </c>
      <c r="C3662" t="inlineStr">
        <is>
          <t>My last job was working for the largest bus company in the US. They do not allow Type 1 diabetics. I wear an insulin pump, and kept it a secret for over six years. Bi-annual physicals and random drug tests.. they never found out. I got fired a few months ago for something stupid.
Anyway.. I am starting a new job and go for a physical on Monday. The general consensus is to not tell a potential employer until after being hired. Unfortunately, I know there will be paperwork where you fill in your medical history before the physical exam. I would like to go legit with this job. Not sure what I should do.
Some complications: I currently have a CDL license. I never disclosed that I have diabetes. I just lied and checked No, whenever asked. The place doing the physical is the SAME facility that did all the physicals from my previous employer. I am concerned that if I do deny having diabetes during the physical, several months down the road if I tell them I do, they will terminate me for falsifying the documents.
Not sure what to do.</t>
        </is>
      </c>
      <c r="D3662" t="n">
        <v>21</v>
      </c>
      <c r="E3662" t="n">
        <v>12</v>
      </c>
      <c r="F3662">
        <f>HYPERLINK("https://www.reddit.com/r/diabetes/comments/78vw4z/new_job_physical_do_i_tell_them/")</f>
        <v/>
      </c>
      <c r="G3662" t="inlineStr">
        <is>
          <t>2017-10-26 07:26:04</t>
        </is>
      </c>
      <c r="H3662" t="inlineStr">
        <is>
          <t>Type 1</t>
        </is>
      </c>
    </row>
    <row r="3663">
      <c r="A3663" t="inlineStr">
        <is>
          <t>78w6pc</t>
        </is>
      </c>
      <c r="B3663" t="inlineStr">
        <is>
          <t>Acting drunk but levels are normal?</t>
        </is>
      </c>
      <c r="C3663" t="inlineStr">
        <is>
          <t>Anyone else experience this?  My wife has noticed it more than I have, but I seem to act somewhat drunk rather often, even if my levels are normal, like in the 90-120 range.  I'm type 1, only diagnosed a couple months ago.</t>
        </is>
      </c>
      <c r="D3663" t="n">
        <v>4</v>
      </c>
      <c r="E3663" t="n">
        <v>8</v>
      </c>
      <c r="F3663">
        <f>HYPERLINK("https://www.reddit.com/r/diabetes/comments/78w6pc/acting_drunk_but_levels_are_normal/")</f>
        <v/>
      </c>
      <c r="G3663" t="inlineStr">
        <is>
          <t>2017-10-26 08:11:28</t>
        </is>
      </c>
      <c r="H3663" t="inlineStr">
        <is>
          <t>Type 1</t>
        </is>
      </c>
    </row>
    <row r="3664">
      <c r="A3664" t="inlineStr">
        <is>
          <t>78ykng</t>
        </is>
      </c>
      <c r="B3664" t="inlineStr">
        <is>
          <t>Kicking Diabetes in the Azz</t>
        </is>
      </c>
      <c r="C3664" t="inlineStr">
        <is>
          <t xml:space="preserve">Just got back from my doc for an unrelated issue, but he did check my A1C.  It is 5.6%!  It was 9.1% when I was diagnosed a year ago.
He resized my metformin to 1X500mg instead of the 2X1000mg I was taking.  
Said that if I keep this up, then I may be able to keep myself under control without medications!  I did it mostly by changing my diet and losing weight.  </t>
        </is>
      </c>
      <c r="D3664" t="n">
        <v>29</v>
      </c>
      <c r="E3664" t="n">
        <v>7</v>
      </c>
      <c r="F3664">
        <f>HYPERLINK("https://www.reddit.com/r/diabetes/comments/78ykng/kicking_diabetes_in_the_azz/")</f>
        <v/>
      </c>
      <c r="G3664" t="inlineStr">
        <is>
          <t>2017-10-26 14:02:16</t>
        </is>
      </c>
      <c r="H3664" t="inlineStr">
        <is>
          <t>Type 2</t>
        </is>
      </c>
    </row>
    <row r="3665">
      <c r="A3665" t="inlineStr">
        <is>
          <t>7903sw</t>
        </is>
      </c>
      <c r="B3665" t="inlineStr">
        <is>
          <t>What does your A1c need to be before quitting Metformin?</t>
        </is>
      </c>
      <c r="C3665" t="inlineStr">
        <is>
          <t>I've been making a ton of progress in terms of getting my average blood glucose down and dropping weight thanks to intermittent fasting. 
At my last doctor's visit, I asked my doctor when I could stop taking Metformin. He said my A1c had to be below 5.0. That seems a bit...conservative to me. 
What's the general consensus here?</t>
        </is>
      </c>
      <c r="D3665" t="n">
        <v>8</v>
      </c>
      <c r="E3665" t="n">
        <v>18</v>
      </c>
      <c r="F3665">
        <f>HYPERLINK("https://www.reddit.com/r/diabetes/comments/7903sw/what_does_your_a1c_need_to_be_before_quitting/")</f>
        <v/>
      </c>
      <c r="G3665" t="inlineStr">
        <is>
          <t>2017-10-26 18:21:15</t>
        </is>
      </c>
      <c r="H3665" t="inlineStr">
        <is>
          <t>Type 2</t>
        </is>
      </c>
    </row>
    <row r="3666">
      <c r="A3666" t="inlineStr">
        <is>
          <t>792jx0</t>
        </is>
      </c>
      <c r="B3666" t="inlineStr">
        <is>
          <t>A question about food supplements.</t>
        </is>
      </c>
      <c r="C3666" t="inlineStr">
        <is>
          <t xml:space="preserve">Hello everybody,
I have type 2 Diabetes and my LDL cholesterol is high, and my triglycerides are extra high, I have a strict diet and I take meds, but now I want to take Omega-3 Fish Oil and Garlic supplements, I've read online lots of contradictory articles, some saying that Omega-3 lowers triglycerides BUT increases LDL, while garlic seems to be mostly positive, do you think it's safe to take Omega-3 Fish Oil pills 1000 mg per day or not?  
I take these pills:  
https://www.synjardy.com/  
http://www.medicines.ie/medicine/11695/SPC/Lipantil+Supra+145mg+film-coated+tablets/  
and  
https://www.drugs.com/uk/diaprel-mr-30mg-tablets-leaflet.html  </t>
        </is>
      </c>
      <c r="D3666" t="n">
        <v>1</v>
      </c>
      <c r="E3666" t="n">
        <v>16</v>
      </c>
      <c r="F3666">
        <f>HYPERLINK("https://www.reddit.com/r/diabetes/comments/792jx0/a_question_about_food_supplements/")</f>
        <v/>
      </c>
      <c r="G3666" t="inlineStr">
        <is>
          <t>2017-10-27 04:09:36</t>
        </is>
      </c>
      <c r="H3666" t="inlineStr">
        <is>
          <t>Type 2</t>
        </is>
      </c>
    </row>
    <row r="3667">
      <c r="A3667" t="inlineStr">
        <is>
          <t>792oj4</t>
        </is>
      </c>
      <c r="B3667" t="inlineStr">
        <is>
          <t>Insulin in D.C.</t>
        </is>
      </c>
      <c r="C3667" t="inlineStr">
        <is>
          <t>Hello,
I am visiting in D.C. for the weekend and last night I left a bag on the rail line last night. Unfortunately, that bag contained my insulin for the trip and have less than a day left on current reservoir. 
I am in the process of trying to figure something out with my doctor(I lost my insurance recently, Long story). Anyway, in the mean time, I was wondering if there was anyone in the area that could loan me a small amount of it until I do figure it out. I would be happy to compensate.   Thanks!</t>
        </is>
      </c>
      <c r="D3667" t="n">
        <v>15</v>
      </c>
      <c r="E3667" t="n">
        <v>10</v>
      </c>
      <c r="F3667">
        <f>HYPERLINK("https://www.reddit.com/r/diabetes/comments/792oj4/insulin_in_dc/")</f>
        <v/>
      </c>
      <c r="G3667" t="inlineStr">
        <is>
          <t>2017-10-27 04:39:44</t>
        </is>
      </c>
      <c r="H3667" t="inlineStr">
        <is>
          <t>Type 1</t>
        </is>
      </c>
    </row>
    <row r="3668">
      <c r="A3668" t="inlineStr">
        <is>
          <t>794cfd</t>
        </is>
      </c>
      <c r="B3668" t="inlineStr">
        <is>
          <t>In the market for new tech - help me out!</t>
        </is>
      </c>
      <c r="C3668" t="inlineStr">
        <is>
          <t>Hi everyone, I'm a recently diagnosed T1 whose Nexus 5x is about to die completely. My dexcom is on the way and should be here on Monday. I'm looking to get either a Pixel 2 or an iPhone 7 - I've never had any Apple products but all my Androids have died within 2 years and I'm fed up, at this point they're really not cheaper than Apple anyways. I'm also looking to get a smartwatch, potentially the Zenwatch 2 (refurb on Amazon for $80). Would it make sense to get both an iPhone and the watch, and display my dex numbers on the watch? Should I still set up Nightscout or stick with the dex official app? Give me all your input! Thanks.</t>
        </is>
      </c>
      <c r="D3668" t="n">
        <v>1</v>
      </c>
      <c r="E3668" t="n">
        <v>6</v>
      </c>
      <c r="F3668">
        <f>HYPERLINK("https://www.reddit.com/r/diabetes/comments/794cfd/in_the_market_for_new_tech_help_me_out/")</f>
        <v/>
      </c>
      <c r="G3668" t="inlineStr">
        <is>
          <t>2017-10-27 09:29:37</t>
        </is>
      </c>
      <c r="H3668" t="inlineStr">
        <is>
          <t>Type 1</t>
        </is>
      </c>
    </row>
    <row r="3669">
      <c r="A3669" t="inlineStr">
        <is>
          <t>7952zd</t>
        </is>
      </c>
      <c r="B3669" t="inlineStr">
        <is>
          <t>any type 2's who don't follow a keto diet?</t>
        </is>
      </c>
      <c r="C3669" t="inlineStr">
        <is>
          <t>I like to eat fried chicken with some slaw, 2 corn tortilla tacos, chicken wings, and proteins with a heavy sauce. Does anyone else do this? And yes, before you ask, I do check my blood levels. I don't do this for throughout the day, but I always make sure I eat some source of carbs in my biggest meal.</t>
        </is>
      </c>
      <c r="D3669" t="n">
        <v>3</v>
      </c>
      <c r="E3669" t="n">
        <v>3</v>
      </c>
      <c r="F3669">
        <f>HYPERLINK("https://www.reddit.com/r/diabetes/comments/7952zd/any_type_2s_who_dont_follow_a_keto_diet/")</f>
        <v/>
      </c>
      <c r="G3669" t="inlineStr">
        <is>
          <t>2017-10-27 11:29:52</t>
        </is>
      </c>
      <c r="H3669" t="inlineStr">
        <is>
          <t>Type 2</t>
        </is>
      </c>
    </row>
    <row r="3670">
      <c r="A3670" t="inlineStr">
        <is>
          <t>7957aw</t>
        </is>
      </c>
      <c r="B3670" t="inlineStr">
        <is>
          <t>A1C Victory</t>
        </is>
      </c>
      <c r="C3670" t="inlineStr">
        <is>
          <t>Hey Guys,
I was diagnosed with type 2 diabetes mid-July and my A1C at that time was 11.5 mmol /L. I have been following the lazy Keto diet shortly after the diagnosis and I just completed my second A1C. The result was 5.5 mmol /L. Anything 6.0 or over is considered diabetes territory. My Doctor couldn't believe that I was able to lower it so quickly and was VERY interested in the diet that I am on and the research I've based it on. Keto diet is amazing. I am blown away that I got down to 5.5 so quickly!</t>
        </is>
      </c>
      <c r="D3670" t="n">
        <v>9</v>
      </c>
      <c r="E3670" t="n">
        <v>17</v>
      </c>
      <c r="F3670">
        <f>HYPERLINK("https://www.reddit.com/r/diabetes/comments/7957aw/a1c_victory/")</f>
        <v/>
      </c>
      <c r="G3670" t="inlineStr">
        <is>
          <t>2017-10-27 11:48:39</t>
        </is>
      </c>
      <c r="H3670" t="inlineStr">
        <is>
          <t>Type 2</t>
        </is>
      </c>
    </row>
    <row r="3671">
      <c r="A3671" t="inlineStr">
        <is>
          <t>79axc9</t>
        </is>
      </c>
      <c r="B3671" t="inlineStr">
        <is>
          <t>I've quit smoking cigs but what about weed?</t>
        </is>
      </c>
      <c r="C3671" t="inlineStr">
        <is>
          <t xml:space="preserve">Hi,
Looking for some information about general smoking and diabetes.
I was dx'd at 14 and started smoking at 16. 19 now and I've decided that I'm done smoking cigs period for my health and improving my fitness and general lifestyle. I understand that any sort of smoking that produces carcinogens which constricts your blood vessels and so on.  However I've been smoking bud for the past 3 years and I want to move onto a vaporizer so I don't actually need to smoke.
I'm not a lazy guy and smoking weed if anything makes me more productive even helps stabilise my sugars if I'm all over the place . I work, study and play sport(main reason I quit cigs) and it doesn't effect my life in a negative way. 
Is there any direct negatives of weed and diabetes?
Would love to hear some peoples experiences so I can get a different perspective.  
</t>
        </is>
      </c>
      <c r="D3671" t="n">
        <v>0</v>
      </c>
      <c r="E3671" t="n">
        <v>16</v>
      </c>
      <c r="F3671">
        <f>HYPERLINK("https://www.reddit.com/r/diabetes/comments/79axc9/ive_quit_smoking_cigs_but_what_about_weed/")</f>
        <v/>
      </c>
      <c r="G3671" t="inlineStr">
        <is>
          <t>2017-10-28 09:11:00</t>
        </is>
      </c>
      <c r="H3671" t="inlineStr">
        <is>
          <t>Type 1</t>
        </is>
      </c>
    </row>
    <row r="3672">
      <c r="A3672" t="inlineStr">
        <is>
          <t>79fnc8</t>
        </is>
      </c>
      <c r="B3672" t="inlineStr">
        <is>
          <t>First social gathering since diagnosis</t>
        </is>
      </c>
      <c r="C3672" t="inlineStr">
        <is>
          <t>It was a potluck Halloween party. And it was hard to not give into temptation but I ended off the night at 7.8 and I'll check my morning after fasting number yet.
But a lot of you have given me inspiration by leading by example. Reading what you do and what works for you, really helped me get through tonight with all these sugary and flour/grain like dishes out for consumption.
I may not post a lot of my thought or experiences but reading yours has really helped and I wanted to say Thanks! It really helped and you the community should know that.
Thank you.</t>
        </is>
      </c>
      <c r="D3672" t="n">
        <v>19</v>
      </c>
      <c r="E3672" t="n">
        <v>1</v>
      </c>
      <c r="F3672">
        <f>HYPERLINK("https://www.reddit.com/r/diabetes/comments/79fnc8/first_social_gathering_since_diagnosis/")</f>
        <v/>
      </c>
      <c r="G3672" t="inlineStr">
        <is>
          <t>2017-10-29 02:35:09</t>
        </is>
      </c>
      <c r="H3672" t="inlineStr">
        <is>
          <t>Type 2</t>
        </is>
      </c>
    </row>
    <row r="3673">
      <c r="A3673" t="inlineStr">
        <is>
          <t>79guvo</t>
        </is>
      </c>
      <c r="B3673" t="inlineStr">
        <is>
          <t>Newly diagnosed T2</t>
        </is>
      </c>
      <c r="C3673" t="inlineStr">
        <is>
          <t xml:space="preserve">Hi 
Just went for my physical and my fasting glucose came back at 265.  Dr wants to do more testing, but gave me a preliminary diagnosis of T2.
51 y/o male, ~240lbs down from around 275.
I’m meeting with my doctor next week to discuss treatment plan, and dietician/nutritionist the following week.
In the interim got myself a glucose meter, readings have been low of 225 and high of 281, mostly in 240s, not fasting, but some readings in AM after not having eaten for 10 hrs or so.
Scouring the web, found a lot of great info, grabbed the books by Bernstein (Diabetes Solution - finished last night) and Fung (Obesity Epidemic — still reading).
Going to jump on Keto bandwagon.
Wondering what I’m in for medication wise.  Per the Bernstein book (which is a bit dated) it’s clear when he wrote it &amp;gt; 200 he would prescribe insulin to bring down blood sugar and protect what remaining function the pancreas has to produce insulin.
However I see reports from others with similar blood sugar results who were put on oral meds (like metformin) to increase insulin sensitivity, and seem to be happy with the results — combined with good diet and exercise.
Not asking anyone for medical advice, I will listen to my Dr and follow her guidance, and consult specialists as needed, but I’m curious how others have made out when faced with similar circumstances.  My mom had T2 diagnosis mid life and was able to get off her (oral) medication thru diet and exercise, so I know it’s possible, and I’m determined to make whatever changes I need to make to achieve that.   
Thanks!
</t>
        </is>
      </c>
      <c r="D3673" t="n">
        <v>13</v>
      </c>
      <c r="E3673" t="n">
        <v>11</v>
      </c>
      <c r="F3673">
        <f>HYPERLINK("https://www.reddit.com/r/diabetes/comments/79guvo/newly_diagnosed_t2/")</f>
        <v/>
      </c>
      <c r="G3673" t="inlineStr">
        <is>
          <t>2017-10-29 07:47:42</t>
        </is>
      </c>
      <c r="H3673" t="inlineStr">
        <is>
          <t>Type 2</t>
        </is>
      </c>
    </row>
    <row r="3674">
      <c r="A3674" t="inlineStr">
        <is>
          <t>79i277</t>
        </is>
      </c>
      <c r="B3674" t="inlineStr">
        <is>
          <t>Slight Bruising at Infusion Site (Mio)</t>
        </is>
      </c>
      <c r="C3674" t="inlineStr">
        <is>
          <t>I use the Mio and just inserted a new site yesterday, and when I disconnected for my shower I could see a little dark bruising at the site. If I saw blood in the cannula, I would definitely change the site, but do you guys generally change just if you see some bruising? Not super excited about changing only one day into a new set.</t>
        </is>
      </c>
      <c r="D3674" t="n">
        <v>3</v>
      </c>
      <c r="E3674" t="n">
        <v>2</v>
      </c>
      <c r="F3674">
        <f>HYPERLINK("https://www.reddit.com/r/diabetes/comments/79i277/slight_bruising_at_infusion_site_mio/")</f>
        <v/>
      </c>
      <c r="G3674" t="inlineStr">
        <is>
          <t>2017-10-29 11:12:14</t>
        </is>
      </c>
      <c r="H3674" t="inlineStr">
        <is>
          <t>Type 1</t>
        </is>
      </c>
    </row>
    <row r="3675">
      <c r="A3675" t="inlineStr">
        <is>
          <t>79iio1</t>
        </is>
      </c>
      <c r="B3675" t="inlineStr">
        <is>
          <t>With insulin resistance, is it better to take more long-acting or short-acting insulin if the results are the same?</t>
        </is>
      </c>
      <c r="C3675" t="inlineStr">
        <is>
          <t xml:space="preserve">I'm type 2, currently using both Lantus and Novolog after pregnancy exacerbated the diabetes I already had. The doctor I'm seeing now is younger and more willing to let me play with my insulin dosage to get where I need to be (thank God, because I'm used to the "eat lots of carbs!" line of type 2 treatment). The goal right now is losing weight to get back off the insulin (I'm only 30 and not ready to be on insulin forever).
So here's my question. Let's say I doubled my Lantus dosage (accidentally lol) and now this morning I woke up with great numbers and haven't had to take any Novolog to correct. I'll probably take a few units with my lunch later. Is there any benefit or drawback to simply taking more Lantus and not having to depend on Novolog so much throughout the day? Or is it better to have a lower basal dose and do more corrections? </t>
        </is>
      </c>
      <c r="D3675" t="n">
        <v>5</v>
      </c>
      <c r="E3675" t="n">
        <v>8</v>
      </c>
      <c r="F3675">
        <f>HYPERLINK("https://www.reddit.com/r/diabetes/comments/79iio1/with_insulin_resistance_is_it_better_to_take_more/")</f>
        <v/>
      </c>
      <c r="G3675" t="inlineStr">
        <is>
          <t>2017-10-29 12:25:24</t>
        </is>
      </c>
      <c r="H3675" t="inlineStr">
        <is>
          <t>Type 2</t>
        </is>
      </c>
    </row>
    <row r="3676">
      <c r="A3676" t="inlineStr">
        <is>
          <t>79kr1e</t>
        </is>
      </c>
      <c r="B3676" t="inlineStr">
        <is>
          <t>Managing T1D in college?</t>
        </is>
      </c>
      <c r="C3676" t="inlineStr">
        <is>
          <t>Hi everyone! I've been lurking for a while and wanted to ask if anyone has tips for managing your diabetes in a college environment.
A bit of background - I'm a sophomore and recently dug myself out of the diabetic burnout I've been in for a long time. With a lot of tweaking I've managed to get my A1C down to 7.5. That's a big step for me, but I obviously want to get that down much farther to stay healthy. I'm just a little unsure how to go about it with the food options available to me, since I'm on a meal plan and get a fairly limited choice of food and I can't afford to buy my own food every week since I'm still job hunting. 
At my school, we have your standard dining hall as well as a separate convenience store-style location with a grill where you can buy (usually pretty unhealthy) stuff with dining dollars. I try to eat at the DH pretty often but sometimes I'm allergic what they're serving or it just isn't appetizing, in which case I either go to the grill or fall back on whatever I have in my pantry. 
I don't eat anything outrageous besides some ice cream as a treat every few weeks, and I only drink maybe once or twice a year, but the nutritional information for the DH and the grill food is pretty bare-bones and it's hard to keep a stable diet when you're at the whim of whatever the kitchen wants to serve that day.
I'm really looking for any advice at all - I know I probably still have a lot more tweaking to do to get my numbers in a stable range, but is there anything else I can do that will help while I'm still in school?</t>
        </is>
      </c>
      <c r="D3676" t="n">
        <v>3</v>
      </c>
      <c r="E3676" t="n">
        <v>11</v>
      </c>
      <c r="F3676">
        <f>HYPERLINK("https://www.reddit.com/r/diabetes/comments/79kr1e/managing_t1d_in_college/")</f>
        <v/>
      </c>
      <c r="G3676" t="inlineStr">
        <is>
          <t>2017-10-29 18:49:56</t>
        </is>
      </c>
      <c r="H3676" t="inlineStr">
        <is>
          <t>Type 1</t>
        </is>
      </c>
    </row>
    <row r="3677">
      <c r="A3677" t="inlineStr">
        <is>
          <t>79lk7b</t>
        </is>
      </c>
      <c r="B3677" t="inlineStr">
        <is>
          <t>Is sugarless gum OK for type 2 diabetics?</t>
        </is>
      </c>
      <c r="C3677" t="inlineStr">
        <is>
          <t>Hi, my mom is a type 2 diabetic.  20-30 minutes before eating, she takes her blood sugar reading (4x per day) and then gives herself an insulin injection.  The insulin dosage keeps increasing, but her blood sugar readings are staying high.  Nothing is getting better.  
Her readings are usually between 90 and 200, but often are over 120.
She has made big changes in her diet, but still makes a number of bad choices.  One problem is that she has an eating disorder.  She has greatly limited this over the past few years by chewing gum instead.  However, now she is chewing 3-4 packs of Orbit sugarless gum (with nutrasweet) per day.  That is a lot of gum!  
Is there any reason to think all this sugarless gum is causing her blood sugar to be so high?  
I am trying to help her before she ends up with the most severe complications of diabetes. 
Thank you for reading my question.</t>
        </is>
      </c>
      <c r="D3677" t="n">
        <v>3</v>
      </c>
      <c r="E3677" t="n">
        <v>24</v>
      </c>
      <c r="F3677">
        <f>HYPERLINK("https://www.reddit.com/r/diabetes/comments/79lk7b/is_sugarless_gum_ok_for_type_2_diabetics/")</f>
        <v/>
      </c>
      <c r="G3677" t="inlineStr">
        <is>
          <t>2017-10-29 21:37:14</t>
        </is>
      </c>
      <c r="H3677" t="inlineStr">
        <is>
          <t>Type 2</t>
        </is>
      </c>
    </row>
    <row r="3678">
      <c r="A3678" t="inlineStr">
        <is>
          <t>79oft5</t>
        </is>
      </c>
      <c r="B3678" t="inlineStr">
        <is>
          <t>Unable to Raise Blood Sugar and Doctor Doesn't Seem to Care</t>
        </is>
      </c>
      <c r="C3678" t="inlineStr">
        <is>
          <t>Just some quick backstory, I'm a 28yo F who has had type 1 diabetes for 17 years.  My a1c seems to hover between 6.4-6.8, which is good for me.  I used to run in the low to mid 7s to avoid lows all the time, but I've been trying to do better now that I have a cgm. (end backstory)
I'm wondering if my endo is bad or just doesn't care about me.  I have several lows per day (60s or less) and several in the 40s per week.  I just met with him last week; he seemed happy at my a1c and told me not to change anything.  I told him I was in the 40s for 3 hrs straight one night after eating 100g carbs and it would not go up (in addition to basal being off the entire time).  Later that night, I was in the 40s again for another 2 hours and couldn't get it up after ingesting 75g carbs with basal off.  I can't live with these lows all the time but my doctor seemed unconcerned.  He just checked to make sure that I could tell when I was low...but that doesn't stop the fast descent (sometimes it goes down 20 mg/dl or more every 5 minutes) or how long it stays there.  I even had a 38 while at work.  That was awful.  Does anyone else get bad lows where your sugar just drops rapidly and doesn't want to rise?  My pump says 0 onboard insulin, but with how fast I drop, I don't understand it.  Should I just risk a higher A1c and make myself higher on purpose?  Should I get another doctor?  Is this normal?</t>
        </is>
      </c>
      <c r="D3678" t="n">
        <v>2</v>
      </c>
      <c r="E3678" t="n">
        <v>8</v>
      </c>
      <c r="F3678">
        <f>HYPERLINK("https://www.reddit.com/r/diabetes/comments/79oft5/unable_to_raise_blood_sugar_and_doctor_doesnt/")</f>
        <v/>
      </c>
      <c r="G3678" t="inlineStr">
        <is>
          <t>2017-10-30 08:28:34</t>
        </is>
      </c>
      <c r="H3678" t="inlineStr">
        <is>
          <t>Type 1</t>
        </is>
      </c>
    </row>
    <row r="3679">
      <c r="A3679" t="inlineStr">
        <is>
          <t>79pa4m</t>
        </is>
      </c>
      <c r="B3679" t="inlineStr">
        <is>
          <t>Dexcom all over the place</t>
        </is>
      </c>
      <c r="C3679" t="inlineStr">
        <is>
          <t xml:space="preserve">First time poster, but since being diagnosed this subreddit has been more than a wealth of knowledge for me- especially when it comes to Dexcom questions. Now I have one of my own...
Around 2:30am I got a low alert from my Dexcom, which I was going a little lower than I would like, but it's been all over the place with inaccurate lows (and one VERY high) readings every since, even loosing signal a couple of times. With every aggressive arrow and URGENT low I have received I've checked using my meter and I have been 85-110BG. After getting the alert that I was at 300 BG I did another quick meter check and I was at 109BG.
I have only had this sensor in for about 4 days, so it shouldn't be going bad. Any insight on why it's so off today? Can a sensor have a case of the Mondays? </t>
        </is>
      </c>
      <c r="D3679" t="n">
        <v>3</v>
      </c>
      <c r="E3679" t="n">
        <v>8</v>
      </c>
      <c r="F3679">
        <f>HYPERLINK("https://www.reddit.com/r/diabetes/comments/79pa4m/dexcom_all_over_the_place/")</f>
        <v/>
      </c>
      <c r="G3679" t="inlineStr">
        <is>
          <t>2017-10-30 10:33:21</t>
        </is>
      </c>
      <c r="H3679" t="inlineStr">
        <is>
          <t>Type 1</t>
        </is>
      </c>
    </row>
    <row r="3680">
      <c r="A3680" t="inlineStr">
        <is>
          <t>79prg1</t>
        </is>
      </c>
      <c r="B3680" t="inlineStr">
        <is>
          <t>Can anyone shed some light on just what the heck happened to me last night?</t>
        </is>
      </c>
      <c r="C3680" t="inlineStr">
        <is>
          <t>A little bit of context that I feel is probabky pretty important, the night before last, I went out with some friends for one of their birthdays and was being fed drinks until I was blacked out drunk, and very sick upon returning home. (I know this is super dangerous but I had a friend taking my sugars, and this isn't what I'm asking about.)
Anyway, I'm laying down to go to bed last night watching some YouTube and I feel my sugars begin to drop, testing at 101, not really low but I could feel it was lowering. Made myself a little peanut butter sandwich and all is well. About 40 minutes later, I feel it again, testing at 90. Weird, it should be higher. Ate a dry bowl of cheerios. I get up to 113, though I still feel it should be higher. 15 minutes later, I'm at 83. This is when I start getting anxious.
I was frustrated and drank a 16oz glass of apple juice, which is 60g sugar thinking I would skyrocket, but alas, 15 minutes later I tested at 94. I wait a little bit, and test at 91, then a little later 93.
Drank more apple juice and begin to feel nauseaus, this whole time my heart pounding and shaking like my sugar was 40. I unhook my pump for a little bit and get up to 103. This just didn't feel right after 90 grams of sugar. Shortly after, I run to the bathroom and vomit out all of the apple juice and food from before. I suffer from really bad anxiety and I start having a minor panic attack, so I woke up one of my roommates to watch over me.
With my friends help, I manage to get down a little more apple juice and some small spoonfulls of granulated sugar. I'm estimated about 150g total sugars from beginning to end. I eventually get myself to a comfortable, and stable 130, plug my pump back in and get some sleep. I do have a medtronic pump, and I was aware of the product recall but this was not the case, no extra insulin was being dispensed.
TL;DR: Got way too drunk two nights ago (possibly relevant), and last night a total of 150g sugar/carbs got my blood sugar from 80 to 130 with no insulin.</t>
        </is>
      </c>
      <c r="D3680" t="n">
        <v>1</v>
      </c>
      <c r="E3680" t="n">
        <v>6</v>
      </c>
      <c r="F3680">
        <f>HYPERLINK("https://www.reddit.com/r/diabetes/comments/79prg1/can_anyone_shed_some_light_on_just_what_the_heck/")</f>
        <v/>
      </c>
      <c r="G3680" t="inlineStr">
        <is>
          <t>2017-10-30 11:43:12</t>
        </is>
      </c>
      <c r="H3680" t="inlineStr">
        <is>
          <t>Type 1</t>
        </is>
      </c>
    </row>
    <row r="3681">
      <c r="A3681" t="inlineStr">
        <is>
          <t>79s3cb</t>
        </is>
      </c>
      <c r="B3681" t="inlineStr">
        <is>
          <t>Honeymoon phase - sugars are getting LOWER [T1]</t>
        </is>
      </c>
      <c r="C3681" t="inlineStr">
        <is>
          <t>Hi all! I was diagnosed T1 back in April and have been honeymooning since - I take 4 units of Lantus at night and have a 1:50 carb ratio of Novalog before meals (crazy low amounts I know). I've been doing this for about two months now and it was working great. However since I'm honeymooning I've always been on the lookout for my sugars creeping up.
The past two weeks the opposite has happened - meals that used to push me to ~180 only get me to ~130, and I go low multiple times a day. I've also lost ~2 pounds during this period.
Saw my endocrinologist on Friday, she took some blood tests but nothing came up abnormal. I've since lowered my Lantus to 3 units at night but just curious if this has happened to anyone else?
Thank you in advance, this sub is always awesome :).</t>
        </is>
      </c>
      <c r="D3681" t="n">
        <v>1</v>
      </c>
      <c r="E3681" t="n">
        <v>8</v>
      </c>
      <c r="F3681">
        <f>HYPERLINK("https://www.reddit.com/r/diabetes/comments/79s3cb/honeymoon_phase_sugars_are_getting_lower_t1/")</f>
        <v/>
      </c>
      <c r="G3681" t="inlineStr">
        <is>
          <t>2017-10-30 17:37:14</t>
        </is>
      </c>
      <c r="H3681" t="inlineStr">
        <is>
          <t>Type 1</t>
        </is>
      </c>
    </row>
    <row r="3682">
      <c r="A3682" t="inlineStr">
        <is>
          <t>79t580</t>
        </is>
      </c>
      <c r="B3682" t="inlineStr">
        <is>
          <t>Any good lotion/gel/ointment skin care products you use?</t>
        </is>
      </c>
      <c r="C3682" t="inlineStr">
        <is>
          <t>I’m an Omnipod user, and my skin gets a bit red and dry after each pod. I was wondering if any of you use any type of skin care product that helps heal your sites and/or moisturize them. Thanks!</t>
        </is>
      </c>
      <c r="D3682" t="n">
        <v>8</v>
      </c>
      <c r="E3682" t="n">
        <v>9</v>
      </c>
      <c r="F3682">
        <f>HYPERLINK("https://www.reddit.com/r/diabetes/comments/79t580/any_good_lotiongelointment_skin_care_products_you/")</f>
        <v/>
      </c>
      <c r="G3682" t="inlineStr">
        <is>
          <t>2017-10-30 20:26:15</t>
        </is>
      </c>
      <c r="H3682" t="inlineStr">
        <is>
          <t>Type 1</t>
        </is>
      </c>
    </row>
    <row r="3683">
      <c r="A3683" t="inlineStr">
        <is>
          <t>79uufg</t>
        </is>
      </c>
      <c r="B3683" t="inlineStr">
        <is>
          <t>I wish my supplies didn't produce so much waste</t>
        </is>
      </c>
      <c r="C3683" t="inlineStr">
        <is>
          <t>All those little plastics in the infusion sets are not recyclable. Not to mention the testing strips. One use plastic is a big problem in the consuming industry, and I see it more in my treatment options than, for example, food, because it's not possible to recycle in this case. I wish medical companies were pressed into being environmentally conscious as well.</t>
        </is>
      </c>
      <c r="D3683" t="n">
        <v>53</v>
      </c>
      <c r="E3683" t="n">
        <v>43</v>
      </c>
      <c r="F3683">
        <f>HYPERLINK("https://www.reddit.com/r/diabetes/comments/79uufg/i_wish_my_supplies_didnt_produce_so_much_waste/")</f>
        <v/>
      </c>
      <c r="G3683" t="inlineStr">
        <is>
          <t>2017-10-31 03:29:08</t>
        </is>
      </c>
      <c r="H3683" t="inlineStr">
        <is>
          <t>Type 1</t>
        </is>
      </c>
    </row>
    <row r="3684">
      <c r="A3684" t="inlineStr">
        <is>
          <t>79v3kk</t>
        </is>
      </c>
      <c r="B3684" t="inlineStr">
        <is>
          <t>Need a really tough case for T-Slim X2</t>
        </is>
      </c>
      <c r="C3684" t="inlineStr">
        <is>
          <t>My young type 1 child can be a little rough with his insulin pump, but I have not found a good way to protect the pump AND **especially the screen.**
  Any recommended cases out there?  Ones that protect as well as allow quick access to the functions.
  Edit:  any cases than can help the pump screen withstand getting slammed face-down on a very hard surface?</t>
        </is>
      </c>
      <c r="D3684" t="n">
        <v>1</v>
      </c>
      <c r="E3684" t="n">
        <v>2</v>
      </c>
      <c r="F3684">
        <f>HYPERLINK("https://www.reddit.com/r/diabetes/comments/79v3kk/need_a_really_tough_case_for_tslim_x2/")</f>
        <v/>
      </c>
      <c r="G3684" t="inlineStr">
        <is>
          <t>2017-10-31 04:28:08</t>
        </is>
      </c>
      <c r="H3684" t="inlineStr">
        <is>
          <t>Type 1</t>
        </is>
      </c>
    </row>
    <row r="3685">
      <c r="A3685" t="inlineStr">
        <is>
          <t>79v80w</t>
        </is>
      </c>
      <c r="B3685" t="inlineStr">
        <is>
          <t>The Keto diet VS LCHF</t>
        </is>
      </c>
      <c r="C3685" t="inlineStr">
        <is>
          <t xml:space="preserve">It’s happened. I’m not happy with Keto anymore. The constraints are too much for me to adhere, so I come here asking for some advice on LCHF. Whilst my sugars have been much more controlled, I just don’t seem to be energetic anymore, and I always feel too full (not good if you’re trying to gain weight for bodybuilding/powerlifting). I miss having a slice of toast with my breakfast, or being able to have a sweet potato every now and then. Before Keto my sugars were good, but I suffered minor spikes which I didn’t like, hence why I started Keto.
Is there anyone out there that has managed to control BG spikes whilst on a diet of around 50g of carbs a day. This might be an unpopular opinion, as a lot of people agree Keto is the only way forward for diabetic control. 
EDIT: This doesn’t mean I’ll be raising my sugar intake e.g. sweets, chocolate, baked goods </t>
        </is>
      </c>
      <c r="D3685" t="n">
        <v>3</v>
      </c>
      <c r="E3685" t="n">
        <v>17</v>
      </c>
      <c r="F3685">
        <f>HYPERLINK("https://www.reddit.com/r/diabetes/comments/79v80w/the_keto_diet_vs_lchf/")</f>
        <v/>
      </c>
      <c r="G3685" t="inlineStr">
        <is>
          <t>2017-10-31 04:55:10</t>
        </is>
      </c>
      <c r="H3685" t="inlineStr">
        <is>
          <t>Type 1</t>
        </is>
      </c>
    </row>
    <row r="3686">
      <c r="A3686" t="inlineStr">
        <is>
          <t>79v8hy</t>
        </is>
      </c>
      <c r="B3686" t="inlineStr">
        <is>
          <t>T1 Looking to gain weight (bulk) any tips/pitfalls?</t>
        </is>
      </c>
      <c r="C3686" t="inlineStr">
        <is>
          <t>Hello there, I'm a 20 y/o male T1 who wants to start gaining weight and muscle mass. I'm 5 8' and 54kg so pretty skinny and have been since my diagnosis.
I have done hours and hours of research on what meals I should be eating etc and exercises but was wondering if anyone here has any advice or experience with diabetes and bulking. Thanks</t>
        </is>
      </c>
      <c r="D3686" t="n">
        <v>7</v>
      </c>
      <c r="E3686" t="n">
        <v>7</v>
      </c>
      <c r="F3686">
        <f>HYPERLINK("https://www.reddit.com/r/diabetes/comments/79v8hy/t1_looking_to_gain_weight_bulk_any_tipspitfalls/")</f>
        <v/>
      </c>
      <c r="G3686" t="inlineStr">
        <is>
          <t>2017-10-31 04:58:03</t>
        </is>
      </c>
      <c r="H3686" t="inlineStr">
        <is>
          <t>Type 1</t>
        </is>
      </c>
    </row>
    <row r="3687">
      <c r="A3687" t="inlineStr">
        <is>
          <t>79wtzv</t>
        </is>
      </c>
      <c r="B3687" t="inlineStr">
        <is>
          <t>7 months since my diagnosis... Reminiscing about my experience so far.</t>
        </is>
      </c>
      <c r="C3687" t="inlineStr">
        <is>
          <t>I'm writing this mostly just to myself to gather my thoughts but if you have any advice or anything else to say, please do.
On the last day of March I was hospitalization after I had been feeling really bad for a few days. At that point I already suspected I might have diabetes, all the symptoms pointed to it. I had lost a lot of weight, I am 176cm tall but I weighed only 58 kilograms. I was very thirsty all the time and in the last week or so it had gotten so bad I was losing sleep because I had to constantly drink water.
Anyways. When I was hospitalized my BG was 18.7 mmol/l. I spent 5 days in the hospital, first in intensive care because of the ketoacidosis and then in the regular autoimmune diseases wing. It was awful and I never want to spend another night in a hospital. I only survived it without a mental breakdown because I had suffered something much worse earlier this year and it had toughened me up a bit I guess.
Looking at it now, the diagnosis seemed to be the final part of the unlucky streak I'd had in my life back then, after it things have been going much better in nearly every regard.
After getting home from the hospital I had few days off of work before going back. My work was pretty physically intensive so it helped immensely with controlling my BG. I was also accepted to the university I applied to shortly after.
At first I thought I wouldn't ever drink alcohol again and was kinda bummed out about that, because getting drunk with my friends was fun. But after a while of not-drinking I decided that I don't want to be limit myself that much. First few times were a bit troublesome as my BG would rise pretty high and then come back down next morning. Soon I managed to change my drinking habits so that my BG wouldn't rise too high AND wouldn't drop too low later. That's good, now I can again get drunk with my friends.
My weight has come back up to normal. I weight 76kg which is on the higher end of normal for a man of my size. I could perhaps do to lose few kilos and try to get rid of some of my belly fat. I'm working on it right now by cutting down on carbs and eating more fiber. I could also start to exercise but haven't gathered the motivation to do so yet. Overall things are going pretty good as far as my health is concerned but there is some room for improvement.
In the past three or so weeks I've had issues with my BG rising a bit too high once or twice a day. Might be the honeymoon period ending or something, I don't know, but I've had to take more insulin because of it.
I also have the problem where my BG in the morning is constantly too high (like 8-9mmol/l) if I eat anything that has carbs in the evening. I've tried to take more insulin in the evening but only solution so far is to simply not eat carbs after 6PM.
So, to summarize. Things are going well. I'm happier with my life than I've been in a while. Things that could do with improvement:
1. Belly fat
2. Exercise
3. BG spikes under control
4. Morning BG under control</t>
        </is>
      </c>
      <c r="D3687" t="n">
        <v>7</v>
      </c>
      <c r="E3687" t="n">
        <v>5</v>
      </c>
      <c r="F3687">
        <f>HYPERLINK("https://www.reddit.com/r/diabetes/comments/79wtzv/7_months_since_my_diagnosis_reminiscing_about_my/")</f>
        <v/>
      </c>
      <c r="G3687" t="inlineStr">
        <is>
          <t>2017-10-31 09:19:11</t>
        </is>
      </c>
      <c r="H3687" t="inlineStr">
        <is>
          <t>Type 1</t>
        </is>
      </c>
    </row>
    <row r="3688">
      <c r="A3688" t="inlineStr">
        <is>
          <t>79xukq</t>
        </is>
      </c>
      <c r="B3688" t="inlineStr">
        <is>
          <t>type 2 here. That Halloween candy is screaming for me right now.</t>
        </is>
      </c>
      <c r="C3688" t="inlineStr">
        <is>
          <t>Bought two large bags of chocolate candy for the strange and annoying kids that knock on my door this time of year.  Been able to resist the urge to open the bags so far.  Normally I'd be eating the candy the day I bought it, which would be two weeks ahead of time.  This time I waited until Friday, since that is my normal shopping day.
Been diabetic type 2 for a couple years now.  My a1c, when my doctor told me, was over 9.  Had me coming back every three months until I got down to 6, and he told me to come back in 6 months instead, but the time before last I shot up to 8, so I'm back to 3 months.  Last visit wasn't as bad.  Back down to 7.
I had been eliminating obvious sugar out of my diet but I'd had a cupcake binge in the summer for a party, and I'd had been snacking on craisins before I checked and discovered they have sugar added.
So now the only dessert I eat is sugar free.  But it's hard to buy bulk sugar free candy for trick or treaters.  And it's sitting on the table calling my name.
I know once I open those bags to pass out the candy, I won't be able to resist.</t>
        </is>
      </c>
      <c r="D3688" t="n">
        <v>1</v>
      </c>
      <c r="E3688" t="n">
        <v>14</v>
      </c>
      <c r="F3688">
        <f>HYPERLINK("https://www.reddit.com/r/diabetes/comments/79xukq/type_2_here_that_halloween_candy_is_screaming_for/")</f>
        <v/>
      </c>
      <c r="G3688" t="inlineStr">
        <is>
          <t>2017-10-31 11:42:23</t>
        </is>
      </c>
      <c r="H3688" t="inlineStr">
        <is>
          <t>Type 2</t>
        </is>
      </c>
    </row>
    <row r="3689">
      <c r="A3689" t="inlineStr">
        <is>
          <t>79zdf6</t>
        </is>
      </c>
      <c r="B3689" t="inlineStr">
        <is>
          <t>Diagnosed with Type 2 on Halloween</t>
        </is>
      </c>
      <c r="C3689" t="inlineStr">
        <is>
          <t>Feels like a cruel joke or something with all this candy around. However, I'm looking forward to changing my lifestyle for the better because of this, and am looking forward to reading all the information on this sub.</t>
        </is>
      </c>
      <c r="D3689" t="n">
        <v>8</v>
      </c>
      <c r="E3689" t="n">
        <v>10</v>
      </c>
      <c r="F3689">
        <f>HYPERLINK("https://www.reddit.com/r/diabetes/comments/79zdf6/diagnosed_with_type_2_on_halloween/")</f>
        <v/>
      </c>
      <c r="G3689" t="inlineStr">
        <is>
          <t>2017-10-31 15:22:41</t>
        </is>
      </c>
      <c r="H3689" t="inlineStr">
        <is>
          <t>Type 2</t>
        </is>
      </c>
    </row>
    <row r="3690">
      <c r="A3690" t="inlineStr">
        <is>
          <t>7a0dtf</t>
        </is>
      </c>
      <c r="B3690" t="inlineStr">
        <is>
          <t>Halloween Win!</t>
        </is>
      </c>
      <c r="C3690" t="inlineStr">
        <is>
          <t>I have no idea how, but this somehow worked out. Went to a Halloween party with my kid. Bolused some completely random amount of insulin (extended over 3 hours). Ate random bites of things at said Halloween party, including a few bites of this amazing pudding concoction and even some bread (which I try to stay away from). As we were out walking, had a feeling I didn’t eat as much as I thought (and we were walking) so had two pieces of candy from my kid’s bucket (Almond joy and kit Kat). We walked for quite some time before coming home. Did a temp basal increase once home because I could see my BG creeping up a bit. Now sitting at 150, higher than I usually at at this time but not too bad considering the randomness of the evening. 
[Nailed Halloween](https://i.imgur.com/9haZCxF.jpg)</t>
        </is>
      </c>
      <c r="D3690" t="n">
        <v>4</v>
      </c>
      <c r="E3690" t="n">
        <v>0</v>
      </c>
      <c r="F3690">
        <f>HYPERLINK("https://www.reddit.com/r/diabetes/comments/7a0dtf/halloween_win/")</f>
        <v/>
      </c>
      <c r="G3690" t="inlineStr">
        <is>
          <t>2017-10-31 18:09:59</t>
        </is>
      </c>
      <c r="H3690" t="inlineStr">
        <is>
          <t>Type 1</t>
        </is>
      </c>
    </row>
    <row r="3691">
      <c r="A3691" t="inlineStr">
        <is>
          <t>7a3ksa</t>
        </is>
      </c>
      <c r="B3691" t="inlineStr">
        <is>
          <t>Just diagnosed need help</t>
        </is>
      </c>
      <c r="C3691" t="inlineStr">
        <is>
          <t xml:space="preserve">My fasting blood sugar is 122, my doctor has just told me I am a little shy of being a diabetic. I am 27 and I am very scared. None of my parents has diabetes. The doctor has not given me any metformin but has given me three months to lose about 15 kgs of weight with diet and exercise. Could someone please tell me how to go about this and if there are any tips you could give me. Thanks. </t>
        </is>
      </c>
      <c r="D3691" t="n">
        <v>1</v>
      </c>
      <c r="E3691" t="n">
        <v>10</v>
      </c>
      <c r="F3691">
        <f>HYPERLINK("https://www.reddit.com/r/diabetes/comments/7a3ksa/just_diagnosed_need_help/")</f>
        <v/>
      </c>
      <c r="G3691" t="inlineStr">
        <is>
          <t>2017-11-01 06:32:28</t>
        </is>
      </c>
      <c r="H3691" t="inlineStr">
        <is>
          <t>Type 2</t>
        </is>
      </c>
    </row>
    <row r="3692">
      <c r="A3692" t="inlineStr">
        <is>
          <t>7a433k</t>
        </is>
      </c>
      <c r="B3692" t="inlineStr">
        <is>
          <t>First "official" 3 month check-up</t>
        </is>
      </c>
      <c r="C3692" t="inlineStr">
        <is>
          <t xml:space="preserve">And my A1C was a lovely 6.1! As a bonus I've also lost 38 pounds thanks to keeping a moderate keto diet. If I could dance...I would. </t>
        </is>
      </c>
      <c r="D3692" t="n">
        <v>8</v>
      </c>
      <c r="E3692" t="n">
        <v>6</v>
      </c>
      <c r="F3692">
        <f>HYPERLINK("https://www.reddit.com/r/diabetes/comments/7a433k/first_official_3_month_checkup/")</f>
        <v/>
      </c>
      <c r="G3692" t="inlineStr">
        <is>
          <t>2017-11-01 07:57:26</t>
        </is>
      </c>
      <c r="H3692" t="inlineStr">
        <is>
          <t>Type 2</t>
        </is>
      </c>
    </row>
    <row r="3693">
      <c r="A3693" t="inlineStr">
        <is>
          <t>7a50l0</t>
        </is>
      </c>
      <c r="B3693" t="inlineStr">
        <is>
          <t>Looking to ask some Omnipod users some questions about the pod</t>
        </is>
      </c>
      <c r="C3693" t="inlineStr">
        <is>
          <t xml:space="preserve">I've been T1 for about 7 years now (will be 8 in january.) My first pump was the Animas one touch ping and now I am using the Animas Vibe. I've enjoyed both of them and found them to be very useful and helpful. With Animas now going out of business, I eventually have to look for a new pump system. 
My main questions about the pod are:
-How much insulin does the pod hold and how often do you have to change it? 
-Does it getting caught/ripped out happen often? My tube gets caught every once in awhile but I stop before it gets ripped out. My CGM is usually the one that gets caught, like on my shirt. 
I appreciate any help! </t>
        </is>
      </c>
      <c r="D3693" t="n">
        <v>1</v>
      </c>
      <c r="E3693" t="n">
        <v>8</v>
      </c>
      <c r="F3693">
        <f>HYPERLINK("https://www.reddit.com/r/diabetes/comments/7a50l0/looking_to_ask_some_omnipod_users_some_questions/")</f>
        <v/>
      </c>
      <c r="G3693" t="inlineStr">
        <is>
          <t>2017-11-01 10:15:28</t>
        </is>
      </c>
      <c r="H3693" t="inlineStr">
        <is>
          <t>Type 1</t>
        </is>
      </c>
    </row>
    <row r="3694">
      <c r="A3694" t="inlineStr">
        <is>
          <t>7a7r9g</t>
        </is>
      </c>
      <c r="B3694" t="inlineStr">
        <is>
          <t>Career success stories?</t>
        </is>
      </c>
      <c r="C3694" t="inlineStr">
        <is>
          <t>Just feeling a bit down about getting good work which allows me to look after my diabetes while allowing for advancement and all that good stuff... I'd like to hear your success stories with your career and managing your t1 well!</t>
        </is>
      </c>
      <c r="D3694" t="n">
        <v>3</v>
      </c>
      <c r="E3694" t="n">
        <v>7</v>
      </c>
      <c r="F3694">
        <f>HYPERLINK("https://www.reddit.com/r/diabetes/comments/7a7r9g/career_success_stories/")</f>
        <v/>
      </c>
      <c r="G3694" t="inlineStr">
        <is>
          <t>2017-11-01 17:07:27</t>
        </is>
      </c>
      <c r="H3694" t="inlineStr">
        <is>
          <t>Type 1</t>
        </is>
      </c>
    </row>
    <row r="3695">
      <c r="A3695" t="inlineStr">
        <is>
          <t>7ac83x</t>
        </is>
      </c>
      <c r="B3695" t="inlineStr">
        <is>
          <t>What number are you comfortable cruising at?</t>
        </is>
      </c>
      <c r="C3695" t="inlineStr">
        <is>
          <t>I've been cruising at 75-90 for most of today and yesterday - I am eating low carb and my post meal numbers have been around 100-120, but they come right back down shortly after. I'm still very much new and in the honeymoon stage, taking 2 units of Lantus at night and 1 in the morning, no rapid-acting. Just wondering what is a comfortable level for everyone!</t>
        </is>
      </c>
      <c r="D3695" t="n">
        <v>2</v>
      </c>
      <c r="E3695" t="n">
        <v>16</v>
      </c>
      <c r="F3695">
        <f>HYPERLINK("https://www.reddit.com/r/diabetes/comments/7ac83x/what_number_are_you_comfortable_cruising_at/")</f>
        <v/>
      </c>
      <c r="G3695" t="inlineStr">
        <is>
          <t>2017-11-02 08:24:25</t>
        </is>
      </c>
      <c r="H3695" t="inlineStr">
        <is>
          <t>Type 1</t>
        </is>
      </c>
    </row>
    <row r="3696">
      <c r="A3696" t="inlineStr">
        <is>
          <t>7adzon</t>
        </is>
      </c>
      <c r="B3696" t="inlineStr">
        <is>
          <t>Can you get prescriptions at walk-in clinics?</t>
        </is>
      </c>
      <c r="C3696" t="inlineStr">
        <is>
          <t>Basically, my endo is useless. His office is almost always closed, never answers phone calls, and doesn't have messaging. My prescriptions need renewal and his office isn't set to reopen before I run out of insulin. I'm going to switch endo's, but need a referral from their office prior to doing so.
My question is, can I get a prescription for insulin from a regular walk-in, or is there any way to renew without going through my endo's office?
T1 in Canada if that matters
Thanks y'all</t>
        </is>
      </c>
      <c r="D3696" t="n">
        <v>1</v>
      </c>
      <c r="E3696" t="n">
        <v>5</v>
      </c>
      <c r="F3696">
        <f>HYPERLINK("https://www.reddit.com/r/diabetes/comments/7adzon/can_you_get_prescriptions_at_walkin_clinics/")</f>
        <v/>
      </c>
      <c r="G3696" t="inlineStr">
        <is>
          <t>2017-11-02 12:39:18</t>
        </is>
      </c>
      <c r="H3696" t="inlineStr">
        <is>
          <t>Type 1</t>
        </is>
      </c>
    </row>
    <row r="3697">
      <c r="A3697" t="inlineStr">
        <is>
          <t>7ale1r</t>
        </is>
      </c>
      <c r="B3697" t="inlineStr">
        <is>
          <t>Went to an Endo for the first time in 13 years. Put me on Tresiba.</t>
        </is>
      </c>
      <c r="C3697" t="inlineStr">
        <is>
          <t xml:space="preserve">T. 1 for... about 20 years. 
I've been self-managing for years (not that great, but my a1c was 8.5, which he wasn't too horrified at given lack of drs). He was horrified I was still taking the "old" insulins, which was N and R novalin (From walmart). I would take 60 N in the morning and dose R when needed. My sugars are typically all over the place, and always really high in the AM. He explained to me that Tresiba is new, and instead of a roller coaster it keeps you straight. 
I'm really out of the loop on new meds/tech. 
They showed me how to use the pen and started me at 40 units in the AM. Of course, it's only day one, and I took the first shot about 2.5 hours ago. But, I am wondering if anyone that switched to this drug experienced really high sugars at first? I was 325 when I woke up, which I expected, because I didn't take any insulin before bed as per instructions unless it was 250+ last night in prep for starting Tresiba this morning (I was 195 at bed). I took the Tresiba, and 20 units of R, and 2 hours later my sugar is 455. Rising after taking N + R in the AM usually wasn't a thing for me, I'd typically drop steadily until dinner when I dosed more R. 
I have a feeling the Tresiba isn't even working yet, is this right? I probably need a few doses in me, the way that it works?
So.. I've been reading about it and I think it can take a week to adjust. Just wanted to hear if anyone had experience similar to mine? Feeling icky with the 400s today. I'm not too alarmed because he said we might go a bit high, which for now is safer/more comfortable for me than me going low. I am really nervous about having night-time lows with this new med. I do not have a continuous monitor. He was going to get me one, then realized my insurance won't cover it UNLESS I have a pump, which I'm not sure that I want + we'd have to work a few months on everything else first. 
So.. I'm just nervous. I guess that's why I'm posting. </t>
        </is>
      </c>
      <c r="D3697" t="n">
        <v>1</v>
      </c>
      <c r="E3697" t="n">
        <v>6</v>
      </c>
      <c r="F3697">
        <f>HYPERLINK("https://www.reddit.com/r/diabetes/comments/7ale1r/went_to_an_endo_for_the_first_time_in_13_years/")</f>
        <v/>
      </c>
      <c r="G3697" t="inlineStr">
        <is>
          <t>2017-11-03 11:39:11</t>
        </is>
      </c>
      <c r="H3697" t="inlineStr">
        <is>
          <t>Type 1</t>
        </is>
      </c>
    </row>
    <row r="3698">
      <c r="A3698" t="inlineStr">
        <is>
          <t>7aw9vp</t>
        </is>
      </c>
      <c r="B3698" t="inlineStr">
        <is>
          <t>Current Animas OneTouch Ping Pump User: Looking For Switch-over Suggestions and Personal Experience Stories from as Many Pump Users as Possible</t>
        </is>
      </c>
      <c r="C3698" t="inlineStr">
        <is>
          <t>I’m a Canadian (specifying cause I believe it limits my options in relation to places like the United States) T1 diabetic that has been using the Animas OneTouch Ping Pump for about 6 years. I am looking to switch over to a new system very soon and would appreciate as much insight from some fellow diabetics as I can get. Currently I see my options as being the latest Medtronic Pump or the Omnipod. I am leaning towards the Medtronic as it is my understanding that it is a notably cheaper system to maintain but I would love to hear what some of you guys think. 
In addition, for female Omnipod users, (I’m a 22 year female university student with little to no extra flab to work with when it comes to finding injection sites), how do you find the Omnipod in terms of wearing tight clothes and it not sticking out like crazy?! 
Thanks in advance!!!</t>
        </is>
      </c>
      <c r="D3698" t="n">
        <v>7</v>
      </c>
      <c r="E3698" t="n">
        <v>14</v>
      </c>
      <c r="F3698">
        <f>HYPERLINK("https://www.reddit.com/r/diabetes/comments/7aw9vp/current_animas_onetouch_ping_pump_user_looking/")</f>
        <v/>
      </c>
      <c r="G3698" t="inlineStr">
        <is>
          <t>2017-11-05 00:13:27</t>
        </is>
      </c>
      <c r="H3698" t="inlineStr">
        <is>
          <t>Type 1</t>
        </is>
      </c>
    </row>
    <row r="3699">
      <c r="A3699" t="inlineStr">
        <is>
          <t>7ax8v5</t>
        </is>
      </c>
      <c r="B3699" t="inlineStr">
        <is>
          <t>Pumpers - change your time on your pump!</t>
        </is>
      </c>
      <c r="C3699" t="inlineStr">
        <is>
          <t>It's time to fall back - don't forget your pump has a time too</t>
        </is>
      </c>
      <c r="D3699" t="n">
        <v>109</v>
      </c>
      <c r="E3699" t="n">
        <v>17</v>
      </c>
      <c r="F3699">
        <f>HYPERLINK("https://www.reddit.com/r/diabetes/comments/7ax8v5/pumpers_change_your_time_on_your_pump/")</f>
        <v/>
      </c>
      <c r="G3699" t="inlineStr">
        <is>
          <t>2017-11-05 04:17:24</t>
        </is>
      </c>
      <c r="H3699" t="inlineStr">
        <is>
          <t>Type 1</t>
        </is>
      </c>
    </row>
    <row r="3700">
      <c r="A3700" t="inlineStr">
        <is>
          <t>7b2803</t>
        </is>
      </c>
      <c r="B3700" t="inlineStr">
        <is>
          <t>Dexcom G5 for a 15-year-old girl</t>
        </is>
      </c>
      <c r="C3700" t="inlineStr">
        <is>
          <t>My CDE forcefully recommended/already ordered a Dexcom G5 for me, and I'm actually kinda terrified. Will having this thing stuck to my body interfere with my life? Not many people at school besides close friends know I have diabetes, and I'm concerned that this will be visible through my clothing. Are there any spots that are better to place it than others? I've been struggling with managing my diabetes, so while I want this to work well, I also don't want to feel any more different than I already do...</t>
        </is>
      </c>
      <c r="D3700" t="n">
        <v>11</v>
      </c>
      <c r="E3700" t="n">
        <v>8</v>
      </c>
      <c r="F3700">
        <f>HYPERLINK("https://www.reddit.com/r/diabetes/comments/7b2803/dexcom_g5_for_a_15yearold_girl/")</f>
        <v/>
      </c>
      <c r="G3700" t="inlineStr">
        <is>
          <t>2017-11-05 18:23:40</t>
        </is>
      </c>
      <c r="H3700" t="inlineStr">
        <is>
          <t>Type 2</t>
        </is>
      </c>
    </row>
    <row r="3701">
      <c r="A3701" t="inlineStr">
        <is>
          <t>7b7ccf</t>
        </is>
      </c>
      <c r="B3701" t="inlineStr">
        <is>
          <t>Type 1 Diabetes Research Study – College Students - $20 gift card compensation post-interview</t>
        </is>
      </c>
      <c r="C3701" t="inlineStr">
        <is>
          <t>Hi, Members of r/diabetes – Our research group at the University of Virginia is interested in learning more about how adults with Type 1 Diabetes approach the day-to-day management of their health. If you might be interested in participating, please continue to this link https://www.surveymonkey.com/r/7NGB3NX Individuals who are selected for and complete a 45-minute interview will receive a $20 gift card in compensation. Feel free to pass this link on to others you believe would be interested. Please reach out with any questions by emailing dah4cm@virginia.edu. Thank you!
Dylan Hazlett, Syeda Narmeen, Kelly McCain, Taylor Puhl, and Philip Schroeder</t>
        </is>
      </c>
      <c r="D3701" t="n">
        <v>4</v>
      </c>
      <c r="E3701" t="n">
        <v>2</v>
      </c>
      <c r="F3701">
        <f>HYPERLINK("https://www.reddit.com/r/diabetes/comments/7b7ccf/type_1_diabetes_research_study_college_students/")</f>
        <v/>
      </c>
      <c r="G3701" t="inlineStr">
        <is>
          <t>2017-11-06 11:08:56</t>
        </is>
      </c>
      <c r="H3701" t="inlineStr">
        <is>
          <t>Type 1</t>
        </is>
      </c>
    </row>
    <row r="3702">
      <c r="A3702" t="inlineStr">
        <is>
          <t>7bb3e9</t>
        </is>
      </c>
      <c r="B3702" t="inlineStr">
        <is>
          <t>Foot pain</t>
        </is>
      </c>
      <c r="C3702" t="inlineStr">
        <is>
          <t xml:space="preserve">I’m a t2 diabetic, insulin dependent. 
Two weekends ago I went out with a friend for Halloween and drank and danced and walked a lot. 
For the passed week my foot had been in a crazy amount of pain. 
It burns and I can’t walk properly and when I lay down it shoots up to my knee and hip. There’s no open wounds and I didn’t fall or stumble or anything. 
It seems to be right at the spot where the accessory navicular  is. 
I have tried wrapping my foot. Elevation and ice/heat. 
I am not 100% sure it is diabetes related. Any tips on what I can do while I wait for a drs apt? Anyone have experience with this type of pain? Was yours diabetes related? </t>
        </is>
      </c>
      <c r="D3702" t="n">
        <v>3</v>
      </c>
      <c r="E3702" t="n">
        <v>10</v>
      </c>
      <c r="F3702">
        <f>HYPERLINK("https://www.reddit.com/r/diabetes/comments/7bb3e9/foot_pain/")</f>
        <v/>
      </c>
      <c r="G3702" t="inlineStr">
        <is>
          <t>2017-11-06 21:16:03</t>
        </is>
      </c>
      <c r="H3702" t="inlineStr">
        <is>
          <t>Type 2</t>
        </is>
      </c>
    </row>
    <row r="3703">
      <c r="A3703" t="inlineStr">
        <is>
          <t>7beh55</t>
        </is>
      </c>
      <c r="B3703" t="inlineStr">
        <is>
          <t>Glad I found you all</t>
        </is>
      </c>
      <c r="C3703" t="inlineStr">
        <is>
          <t>I was diagnosed by my VA doc with type 2 ,3 weeks ago. My blood work showed a BG of 290. At the time I was actually a bit dehydrated...he prescribed Metformin, which I tried and it made me sick! The next day I said screw this and decided to work on this via exercise and diet (diabetes does not run in my family)...since then my AM test is usually around 100...and Ive noticed when I test in the evening 2 hrs after dinner...up to as high as 150 or so...I feel like Im going the right direction but Ive still got the occasional "spike" up to as much as a high of 200...but here again its only been 3 weeks and I didn't get here over night...guess the real question is, Since Im not on meds, what more can I do to keep the spikes to a minimum...thanks</t>
        </is>
      </c>
      <c r="D3703" t="n">
        <v>2</v>
      </c>
      <c r="E3703" t="n">
        <v>4</v>
      </c>
      <c r="F3703">
        <f>HYPERLINK("https://www.reddit.com/r/diabetes/comments/7beh55/glad_i_found_you_all/")</f>
        <v/>
      </c>
      <c r="G3703" t="inlineStr">
        <is>
          <t>2017-11-07 08:55:57</t>
        </is>
      </c>
      <c r="H3703" t="inlineStr">
        <is>
          <t>Type 2</t>
        </is>
      </c>
    </row>
    <row r="3704">
      <c r="A3704" t="inlineStr">
        <is>
          <t>7bfxez</t>
        </is>
      </c>
      <c r="B3704" t="inlineStr">
        <is>
          <t>Best I’ve ever been!</t>
        </is>
      </c>
      <c r="C3704" t="inlineStr">
        <is>
          <t xml:space="preserve">I’ve been a Type 1 since I was 11. It’s been 12 years, and in the last 2 years I’ve had my insurance change 4 times, and it has made my visits to the doctor hectic and infrequent. 
Today my new endo informed me that for the first time in years my A1c is below 7, and I’m so proud of myself. Day to day, I feel like I’m an awful diabetic but to know I’m improving is so reassuring! Keep trucking folks, we’re better than the disease. </t>
        </is>
      </c>
      <c r="D3704" t="n">
        <v>43</v>
      </c>
      <c r="E3704" t="n">
        <v>10</v>
      </c>
      <c r="F3704">
        <f>HYPERLINK("https://www.reddit.com/r/diabetes/comments/7bfxez/best_ive_ever_been/")</f>
        <v/>
      </c>
      <c r="G3704" t="inlineStr">
        <is>
          <t>2017-11-07 12:20:21</t>
        </is>
      </c>
      <c r="H3704" t="inlineStr">
        <is>
          <t>Type 1</t>
        </is>
      </c>
    </row>
    <row r="3705">
      <c r="A3705" t="inlineStr">
        <is>
          <t>7bg7u2</t>
        </is>
      </c>
      <c r="B3705" t="inlineStr">
        <is>
          <t>Type 2. Why do i feel better when numbers are high?</t>
        </is>
      </c>
      <c r="C3705" t="inlineStr">
        <is>
          <t>Doctors and I have been trying to get my numbers lower. And I notice when my numbers are "normal" I don't feel right, my stomach hurts and i feel ill. But when my numbers are high, i feel great! Should that not be the case? My numbers this morning after i ate were 320 and i felt amazing! But the other day they were 100ish and felt like crap.....</t>
        </is>
      </c>
      <c r="D3705" t="n">
        <v>1</v>
      </c>
      <c r="E3705" t="n">
        <v>11</v>
      </c>
      <c r="F3705">
        <f>HYPERLINK("https://www.reddit.com/r/diabetes/comments/7bg7u2/type_2_why_do_i_feel_better_when_numbers_are_high/")</f>
        <v/>
      </c>
      <c r="G3705" t="inlineStr">
        <is>
          <t>2017-11-07 13:02:16</t>
        </is>
      </c>
      <c r="H3705" t="inlineStr">
        <is>
          <t>Type 2</t>
        </is>
      </c>
    </row>
    <row r="3706">
      <c r="A3706" t="inlineStr">
        <is>
          <t>7bgh7a</t>
        </is>
      </c>
      <c r="B3706" t="inlineStr">
        <is>
          <t>Question regarding insulin therapy with Type II diabetes</t>
        </is>
      </c>
      <c r="C3706" t="inlineStr">
        <is>
          <t>So I've read a lot about diabetes mellitus and found out that Type II diabetes is mostly caused by a insulin resistance which lessens the effect of the hormone. This in turn causes the pancreatic ß-cells to compensate the resistance with higher production of insulin, leading to an eventual failure of said cells.
Now the main symptom of Type II diabetes is the high concentration of sugar in blood, something that insulin usually prevents in a healthy person. I know that people with Type II diabetes rely on insulin injections to keep that in check but my question is: why does that work? Wouldn't the insulin resistance keep the injected insulin from having any effect? Or is the injected amount of insulin simply high enough to overcome the resistance?</t>
        </is>
      </c>
      <c r="D3706" t="n">
        <v>1</v>
      </c>
      <c r="E3706" t="n">
        <v>4</v>
      </c>
      <c r="F3706">
        <f>HYPERLINK("https://www.reddit.com/r/diabetes/comments/7bgh7a/question_regarding_insulin_therapy_with_type_ii/")</f>
        <v/>
      </c>
      <c r="G3706" t="inlineStr">
        <is>
          <t>2017-11-07 13:39:38</t>
        </is>
      </c>
      <c r="H3706" t="inlineStr">
        <is>
          <t>Type 2</t>
        </is>
      </c>
    </row>
    <row r="3707">
      <c r="A3707" t="inlineStr">
        <is>
          <t>7bgs24</t>
        </is>
      </c>
      <c r="B3707" t="inlineStr">
        <is>
          <t>BG Constantly being 4.x or 7.x!, Why is this happening &amp;amp; does it mean I need to go on a pump?</t>
        </is>
      </c>
      <c r="C3707" t="inlineStr">
        <is>
          <t>So for a while now my BG is constantly going 4 point something or 7 point something, it’s becoming very aggravating &amp;amp; I have decided to see my doctor regarding it but does anyone know why this is happening &amp;amp; how I can fix it?.
I don’t think I can change my ratio or my LeveMir amount since that would surely make it go lower or higher more frequently. Also my MySugr report says I have had 19 hypos in the past three months, why is this happening?, could I possibly need to go on a pump?</t>
        </is>
      </c>
      <c r="D3707" t="n">
        <v>1</v>
      </c>
      <c r="E3707" t="n">
        <v>10</v>
      </c>
      <c r="F3707">
        <f>HYPERLINK("https://www.reddit.com/r/diabetes/comments/7bgs24/bg_constantly_being_4x_or_7x_why_is_this/")</f>
        <v/>
      </c>
      <c r="G3707" t="inlineStr">
        <is>
          <t>2017-11-07 14:22:13</t>
        </is>
      </c>
      <c r="H3707" t="inlineStr">
        <is>
          <t>Type 1</t>
        </is>
      </c>
    </row>
    <row r="3708">
      <c r="A3708" t="inlineStr">
        <is>
          <t>7bgzfr</t>
        </is>
      </c>
      <c r="B3708" t="inlineStr">
        <is>
          <t>Still don't understand carb counting.</t>
        </is>
      </c>
      <c r="C3708" t="inlineStr">
        <is>
          <t>For example if my ratio is 1 unit for every 10 grams of carbs and I eat a chocolate bar with 60 grams of carbs, do I inject 6 units? Seems odd. Sorry I'm new to type 1 diabetes.</t>
        </is>
      </c>
      <c r="D3708" t="n">
        <v>3</v>
      </c>
      <c r="E3708" t="n">
        <v>12</v>
      </c>
      <c r="F3708">
        <f>HYPERLINK("https://www.reddit.com/r/diabetes/comments/7bgzfr/still_dont_understand_carb_counting/")</f>
        <v/>
      </c>
      <c r="G3708" t="inlineStr">
        <is>
          <t>2017-11-07 14:54:11</t>
        </is>
      </c>
      <c r="H3708" t="inlineStr">
        <is>
          <t>Type 1</t>
        </is>
      </c>
    </row>
    <row r="3709">
      <c r="A3709" t="inlineStr">
        <is>
          <t>7bhnp1</t>
        </is>
      </c>
      <c r="B3709" t="inlineStr">
        <is>
          <t>Chronic Nausea</t>
        </is>
      </c>
      <c r="C3709" t="inlineStr">
        <is>
          <t>Does anybody else with T1D suffer from chronic nausea? I can usually only bring myself to eat one meal a day, if that. Any tips? I live in a state where marijuana is illegal, although that has been my saving grace for being able to eat.</t>
        </is>
      </c>
      <c r="D3709" t="n">
        <v>3</v>
      </c>
      <c r="E3709" t="n">
        <v>8</v>
      </c>
      <c r="F3709">
        <f>HYPERLINK("https://www.reddit.com/r/diabetes/comments/7bhnp1/chronic_nausea/")</f>
        <v/>
      </c>
      <c r="G3709" t="inlineStr">
        <is>
          <t>2017-11-07 16:43:00</t>
        </is>
      </c>
      <c r="H3709" t="inlineStr">
        <is>
          <t>Type 1</t>
        </is>
      </c>
    </row>
    <row r="3710">
      <c r="A3710" t="inlineStr">
        <is>
          <t>7biom8</t>
        </is>
      </c>
      <c r="B3710" t="inlineStr">
        <is>
          <t>Recently diagnosed and numbers already going down...</t>
        </is>
      </c>
      <c r="C3710" t="inlineStr">
        <is>
          <t>Hello, I was diagnosed with Type 2 Diabetes on the 2nd of this month after going in for what I thought was merely feminine issues. I was asked if I had taken a glucose test for diabetes recently, and I hadn't. I went in and my a1c was 12.1%, glucose 301mg/dL. I did a fasting test and it came back as 260mg/dL.
They said they are giving me a long leash and letting me do lifestyle changes, but said it was absolutely necessary to put me on metformin. I'm taking 250mg for a week, then increasing to 250mg in morning &amp;amp; 250mg at night for a week, and so on until im taking 500mg in the morning and 500mg at night. I'm currently on my 5th day taking metformin 250mg at night and my numbers are already decreasing. I've been in the 191 - 198 range the past three nights, and today 2 hrs after eating my reading was 148. While I'm excited these numbers are going down, are they going down too fast? I'm worried when I'm on 1000mg of metformin it will be overkill. I'm an anxious person about these sorts of things, especially medication related stuff. I've been doing low carb since the diagnosis and completely cut out soda (I was a 2 liter a day drinker....so embarrassed to say that &amp;gt;.&amp;lt;). No juice either.
So do you think I'm going to be alright? Should I contact my doctor? If it matters, I did go on a 10 minute walk today about an hour or so before eating. I normally don't really exercise, only recently I have been more active.</t>
        </is>
      </c>
      <c r="D3710" t="n">
        <v>1</v>
      </c>
      <c r="E3710" t="n">
        <v>14</v>
      </c>
      <c r="F3710">
        <f>HYPERLINK("https://www.reddit.com/r/diabetes/comments/7biom8/recently_diagnosed_and_numbers_already_going_down/")</f>
        <v/>
      </c>
      <c r="G3710" t="inlineStr">
        <is>
          <t>2017-11-07 19:33:08</t>
        </is>
      </c>
      <c r="H3710" t="inlineStr">
        <is>
          <t>Type 2</t>
        </is>
      </c>
    </row>
    <row r="3711">
      <c r="A3711" t="inlineStr">
        <is>
          <t>7bjt63</t>
        </is>
      </c>
      <c r="B3711" t="inlineStr">
        <is>
          <t>Switching from one pump to another</t>
        </is>
      </c>
      <c r="C3711" t="inlineStr">
        <is>
          <t>I'm using an Omnipod right now but the pods are really big and they cause a lot of skin problems for me, so I wanted to switch to smaller pods and I've really been eyeing the T Slim X2 pump, which seems a lot smaller than the Omnipod. The problem is, I just got my Omnipod  7 months ago. Is it possible for me to switch right now?</t>
        </is>
      </c>
      <c r="D3711" t="n">
        <v>2</v>
      </c>
      <c r="E3711" t="n">
        <v>3</v>
      </c>
      <c r="F3711">
        <f>HYPERLINK("https://www.reddit.com/r/diabetes/comments/7bjt63/switching_from_one_pump_to_another/")</f>
        <v/>
      </c>
      <c r="G3711" t="inlineStr">
        <is>
          <t>2017-11-07 23:25:14</t>
        </is>
      </c>
      <c r="H3711" t="inlineStr">
        <is>
          <t>Type 1</t>
        </is>
      </c>
    </row>
    <row r="3712">
      <c r="A3712" t="inlineStr">
        <is>
          <t>7bkq2m</t>
        </is>
      </c>
      <c r="B3712" t="inlineStr">
        <is>
          <t>Nausea popping up hours after eating?</t>
        </is>
      </c>
      <c r="C3712" t="inlineStr">
        <is>
          <t xml:space="preserve">For whatever reason I’ve recently been noticing I feel a bit queasy 3-5 hours after eating. No vomiting yet and I doubt it’s gastroparesis, but what’s the deal? Diet hasn’t changed much and I eat plenty of fiber. BG is normal (sub 100). Thanks. </t>
        </is>
      </c>
      <c r="D3712" t="n">
        <v>1</v>
      </c>
      <c r="E3712" t="n">
        <v>7</v>
      </c>
      <c r="F3712">
        <f>HYPERLINK("https://www.reddit.com/r/diabetes/comments/7bkq2m/nausea_popping_up_hours_after_eating/")</f>
        <v/>
      </c>
      <c r="G3712" t="inlineStr">
        <is>
          <t>2017-11-08 03:24:44</t>
        </is>
      </c>
      <c r="H3712" t="inlineStr">
        <is>
          <t>Type 1</t>
        </is>
      </c>
    </row>
    <row r="3713">
      <c r="A3713" t="inlineStr">
        <is>
          <t>7bmrhb</t>
        </is>
      </c>
      <c r="B3713" t="inlineStr">
        <is>
          <t>Canadian, Sunlife and Omnipod</t>
        </is>
      </c>
      <c r="C3713" t="inlineStr">
        <is>
          <t>Hi everyone!
I was hoping someone can shed light on coverage of the Omnipod with Sunlife. I currently have insurance through Manulife and they have 80% coverage, but I have been debating signing up for Sunlife to take advantage of the double coverage. 
Does anyone have any information on coverage with Sunlife and Omnipod? The rep I was speaking with was unable to tell me if it was covered as my diabetes may be a "pre-existing condition"... (which seems stupid to me but I don't know?)
Thanks everyone!
Edited: I live in BC.</t>
        </is>
      </c>
      <c r="D3713" t="n">
        <v>1</v>
      </c>
      <c r="E3713" t="n">
        <v>7</v>
      </c>
      <c r="F3713">
        <f>HYPERLINK("https://www.reddit.com/r/diabetes/comments/7bmrhb/canadian_sunlife_and_omnipod/")</f>
        <v/>
      </c>
      <c r="G3713" t="inlineStr">
        <is>
          <t>2017-11-08 09:18:03</t>
        </is>
      </c>
      <c r="H3713" t="inlineStr">
        <is>
          <t>Type 1</t>
        </is>
      </c>
    </row>
    <row r="3714">
      <c r="A3714" t="inlineStr">
        <is>
          <t>7boadi</t>
        </is>
      </c>
      <c r="B3714" t="inlineStr">
        <is>
          <t>Latent Autoimmune Diabetes of Adults</t>
        </is>
      </c>
      <c r="C3714" t="inlineStr">
        <is>
          <t>I was diagnosed with this back on September 12th of this year. I've learned quite a bit about Diabetes in general since my diagnosis, but I was wondering if anyone knows of any specific, reputable resources that can explain the differences between my Type 1 and the Type 1 that is present in Children/Adolescents.
For Example, Autoimmune is in the name. Does that mean that I have a compromised immune system? Do all Diabetics have some kind of compromised immune system?
Also, is there ever a point where I'll stop seeing all the holes in my fingers? I can literally see all of them.</t>
        </is>
      </c>
      <c r="D3714" t="n">
        <v>3</v>
      </c>
      <c r="E3714" t="n">
        <v>4</v>
      </c>
      <c r="F3714">
        <f>HYPERLINK("https://www.reddit.com/r/diabetes/comments/7boadi/latent_autoimmune_diabetes_of_adults/")</f>
        <v/>
      </c>
      <c r="G3714" t="inlineStr">
        <is>
          <t>2017-11-08 12:48:37</t>
        </is>
      </c>
      <c r="H3714" t="inlineStr">
        <is>
          <t>Type 1</t>
        </is>
      </c>
    </row>
    <row r="3715">
      <c r="A3715" t="inlineStr">
        <is>
          <t>7bpqe3</t>
        </is>
      </c>
      <c r="B3715" t="inlineStr">
        <is>
          <t>What was your highest B/S versus your lowest?</t>
        </is>
      </c>
      <c r="C3715" t="inlineStr">
        <is>
          <t>I'll start. My highest was when I was diagnosed. I grew up in a cult so the story is complicated/long. My blood when I got to the hospital was 1474. My lowest while being conscious was maybe 2 years later at 7.</t>
        </is>
      </c>
      <c r="D3715" t="n">
        <v>8</v>
      </c>
      <c r="E3715" t="n">
        <v>34</v>
      </c>
      <c r="F3715">
        <f>HYPERLINK("https://www.reddit.com/r/diabetes/comments/7bpqe3/what_was_your_highest_bs_versus_your_lowest/")</f>
        <v/>
      </c>
      <c r="G3715" t="inlineStr">
        <is>
          <t>2017-11-08 16:34:47</t>
        </is>
      </c>
      <c r="H3715" t="inlineStr">
        <is>
          <t>Type 1</t>
        </is>
      </c>
    </row>
    <row r="3716">
      <c r="A3716" t="inlineStr">
        <is>
          <t>7btb0a</t>
        </is>
      </c>
      <c r="B3716" t="inlineStr">
        <is>
          <t>Neck tightness/swelling on Bydureon?</t>
        </is>
      </c>
      <c r="C3716" t="inlineStr">
        <is>
          <t>Hi all!
I just started Bydureon weekly two weeks ago. I took my second dose on Monday. For the last week I've felt tightness in my neck, like it's swollen. Granted, I've just started getting sick and am coughing/sneezing, so I feel like my lymph nodes are swollen, but the tightness feels like it's near the front of my neck and not the sides, where my lymph nodes are. It's on both sides near the front. I saw the Bydureon side effects could include this kind of thing, so this morning I called my doctor and am waiting on the office to get back to me. I'm concerned that like the side effects state I could be in danger of having a thyroid tumor. I doubt two weeks is long enough for that to be a problem, but...I'm pretty scared. Has anyone experienced anything like this? 
Thanks!</t>
        </is>
      </c>
      <c r="D3716" t="n">
        <v>2</v>
      </c>
      <c r="E3716" t="n">
        <v>0</v>
      </c>
      <c r="F3716">
        <f>HYPERLINK("https://www.reddit.com/r/diabetes/comments/7btb0a/neck_tightnessswelling_on_bydureon/")</f>
        <v/>
      </c>
      <c r="G3716" t="inlineStr">
        <is>
          <t>2017-11-09 05:32:08</t>
        </is>
      </c>
      <c r="H3716" t="inlineStr">
        <is>
          <t>Type 2</t>
        </is>
      </c>
    </row>
    <row r="3717">
      <c r="A3717" t="inlineStr">
        <is>
          <t>7btu02</t>
        </is>
      </c>
      <c r="B3717" t="inlineStr">
        <is>
          <t>Omnipod: Anybody else notice highs when you start a new pod?</t>
        </is>
      </c>
      <c r="C3717" t="inlineStr">
        <is>
          <t>Noticed that every time my son starts up a new pod we have to bolus 1-2 units right off the bat, and if he eats anything in the next few hours we need to bolus 50% more for the carbs. Has anybody else had this issue? Anybody know the cause? 
Sometimes he'll be at like 4.0mmol/l, and we'll change the pod out thinking there's no way we're bolusing right now, but he'll still end up at like 10 in a couple hours if we don't.
We rotate sites and everything and he doesn't have any lumps, so I doubt it's something like that, though who knows. Either way, after about 5 hours it's back to normal every time.</t>
        </is>
      </c>
      <c r="D3717" t="n">
        <v>6</v>
      </c>
      <c r="E3717" t="n">
        <v>18</v>
      </c>
      <c r="F3717">
        <f>HYPERLINK("https://www.reddit.com/r/diabetes/comments/7btu02/omnipod_anybody_else_notice_highs_when_you_start/")</f>
        <v/>
      </c>
      <c r="G3717" t="inlineStr">
        <is>
          <t>2017-11-09 07:03:45</t>
        </is>
      </c>
      <c r="H3717" t="inlineStr">
        <is>
          <t>Type 1</t>
        </is>
      </c>
    </row>
    <row r="3718">
      <c r="A3718" t="inlineStr">
        <is>
          <t>7bykup</t>
        </is>
      </c>
      <c r="B3718" t="inlineStr">
        <is>
          <t>In Need of New Ideas</t>
        </is>
      </c>
      <c r="C3718" t="inlineStr">
        <is>
          <t>Hello all.
I've had t1d for nearly 9 years.
The past few years I've fallen off the wagon and haven't been on point with my care and doing things as I should. I recognize that what I've been doing isn't healthy and I want to do better. I need to do better. I'm 21 by the way, if that matters. I'm in college full time and work nearly thirty hours a week, basically I'm constantly stressed diabetes is just another notch on the stick for me currently.
I'm not looking for any negative comments about how I'm essentially killing myself or I'm being irresponsible, etc etc and how I need to grow up, etc, you will be preaching to deaf ears and I already know this. 
I just want some tips and tricks and hacks about how you guys stay on track with your blood sugars and checking often and taking insulin. I have a pump.
Apps that I log blood sugars in don't work for me personally.
Thank you so much for your time and thoughts! :)</t>
        </is>
      </c>
      <c r="D3718" t="n">
        <v>7</v>
      </c>
      <c r="E3718" t="n">
        <v>23</v>
      </c>
      <c r="F3718">
        <f>HYPERLINK("https://www.reddit.com/r/diabetes/comments/7bykup/in_need_of_new_ideas/")</f>
        <v/>
      </c>
      <c r="G3718" t="inlineStr">
        <is>
          <t>2017-11-09 19:29:01</t>
        </is>
      </c>
      <c r="H3718" t="inlineStr">
        <is>
          <t>Type 1</t>
        </is>
      </c>
    </row>
    <row r="3719">
      <c r="A3719" t="inlineStr">
        <is>
          <t>7bzt2b</t>
        </is>
      </c>
      <c r="B3719" t="inlineStr">
        <is>
          <t>Bloodwork is in! Keto has improved my cholesterol and bloodwork...ALOT.</t>
        </is>
      </c>
      <c r="C3719" t="inlineStr">
        <is>
          <t xml:space="preserve">Hi all, so quick back story on me. Diagnosed with T2 Diabeetus on 5/30/17. I had been on a downward spiral for years and weighed 288lbs. I was in for a cold and decided to have the doc run my blood just for the hell of it. Came back A1C of 6.5 and extremely cholesterol and triglycerides.
I immediately went low carb. Then found out about keto and went keto at about 25-30 carbs a day. Fast forward to today, I am about 200 pounds depending on water that day. 
I had my blood drawn yesterday(first lipid panel since diagnosis) in anticipation for my checkup next week and wow what a difference 88lbs makes. Pictures below. 
[Lipid panel on diagnosis day at 288lbs. Uncontrolled diet](https://imgur.com/a/CYtso)
[Lipid Panel on 11/7. 5 months of keto later. 200lbs](https://imgur.com/a/UI6of)
Now I am no doctor, but from what I can see, my cholesterol looks better. My Dr. did place me on a statin on my D-Day. I only took it for a month and discontinued because of the side effects. I stopped the statin roughly 2 months before this draw.
Urinalysis did show some protein in the urine. Not sure what that is.
</t>
        </is>
      </c>
      <c r="D3719" t="n">
        <v>3</v>
      </c>
      <c r="E3719" t="n">
        <v>7</v>
      </c>
      <c r="F3719">
        <f>HYPERLINK("https://www.reddit.com/r/diabetes/comments/7bzt2b/bloodwork_is_in_keto_has_improved_my_cholesterol/")</f>
        <v/>
      </c>
      <c r="G3719" t="inlineStr">
        <is>
          <t>2017-11-10 00:03:59</t>
        </is>
      </c>
      <c r="H3719" t="inlineStr">
        <is>
          <t>Type 2</t>
        </is>
      </c>
    </row>
    <row r="3720">
      <c r="A3720" t="inlineStr">
        <is>
          <t>7bzte5</t>
        </is>
      </c>
      <c r="B3720" t="inlineStr">
        <is>
          <t>Problem with my glucose levels.</t>
        </is>
      </c>
      <c r="C3720" t="inlineStr">
        <is>
          <t>hi! recently at night when I inject my lantus along with my humalog my sugar tends to start dropping faster than it usually would, i get anxious and scared so i eat candy but no matter how many I eat it won’t go back up until somehow it goes up. i don’t know why this is happening, if someone could explain i would be so happy.</t>
        </is>
      </c>
      <c r="D3720" t="n">
        <v>1</v>
      </c>
      <c r="E3720" t="n">
        <v>3</v>
      </c>
      <c r="F3720">
        <f>HYPERLINK("https://www.reddit.com/r/diabetes/comments/7bzte5/problem_with_my_glucose_levels/")</f>
        <v/>
      </c>
      <c r="G3720" t="inlineStr">
        <is>
          <t>2017-11-10 00:06:29</t>
        </is>
      </c>
      <c r="H3720" t="inlineStr">
        <is>
          <t>Type 1</t>
        </is>
      </c>
    </row>
    <row r="3721">
      <c r="A3721" t="inlineStr">
        <is>
          <t>7c0xt8</t>
        </is>
      </c>
      <c r="B3721" t="inlineStr">
        <is>
          <t>breakfast suggestions?</t>
        </is>
      </c>
      <c r="C3721" t="inlineStr">
        <is>
          <t>Hey pals, I'm wondering if anyone has healthy/meal-preppable breakfast suggestions? In the colder months, I've been meal-prepping oatmeal in the mornings, which I usually eat after I get to work. In the warmer months, it's usually fruit and yogurt. I add a healthy heap of flax seeds to both. With both, I try and bolus about 30 minutes before I eat, but I end up with highs that I need to re-correct before I eat lunch. My lunches are generally super healthy, and wanna keep breakfast as healthy as possible too. I'm also a broke social worker, so like...reasonably priced also helps.
A bit more (possibly useless) info about my morning routine: wake up around 5:45-6, shower, have a cup of coffee with splenda and soy milk, get to work by 7, test and bolus for breakfast, eat breakfast by 9am. My job is mostly sedentary (I answer a 24/7 domestic violence hotline) so I'm wondering if that has something to do with highs. I try and drink only water after my morning coffee. Thanks for any suggestions :)</t>
        </is>
      </c>
      <c r="D3721" t="n">
        <v>7</v>
      </c>
      <c r="E3721" t="n">
        <v>16</v>
      </c>
      <c r="F3721">
        <f>HYPERLINK("https://www.reddit.com/r/diabetes/comments/7c0xt8/breakfast_suggestions/")</f>
        <v/>
      </c>
      <c r="G3721" t="inlineStr">
        <is>
          <t>2017-11-10 05:00:59</t>
        </is>
      </c>
      <c r="H3721" t="inlineStr">
        <is>
          <t>Type 1</t>
        </is>
      </c>
    </row>
    <row r="3722">
      <c r="A3722" t="inlineStr">
        <is>
          <t>7c3adt</t>
        </is>
      </c>
      <c r="B3722" t="inlineStr">
        <is>
          <t>Anyone have an unused enlite battery?</t>
        </is>
      </c>
      <c r="C3722" t="inlineStr">
        <is>
          <t>My enlite sensors battery went missing while moving. Many of you have used the enlite sensors and no longer use them. Does anyone have an old battery\transmitter I can have or buy?</t>
        </is>
      </c>
      <c r="D3722" t="n">
        <v>1</v>
      </c>
      <c r="E3722" t="n">
        <v>2</v>
      </c>
      <c r="F3722">
        <f>HYPERLINK("https://www.reddit.com/r/diabetes/comments/7c3adt/anyone_have_an_unused_enlite_battery/")</f>
        <v/>
      </c>
      <c r="G3722" t="inlineStr">
        <is>
          <t>2017-11-10 11:17:16</t>
        </is>
      </c>
      <c r="H3722" t="inlineStr">
        <is>
          <t>Type 1</t>
        </is>
      </c>
    </row>
    <row r="3723">
      <c r="A3723" t="inlineStr">
        <is>
          <t>7c4cr4</t>
        </is>
      </c>
      <c r="B3723" t="inlineStr">
        <is>
          <t>Project Baseline: Diabetes Type 2 Management Study looking for participants</t>
        </is>
      </c>
      <c r="C3723" t="inlineStr">
        <is>
          <t>We are seeking adults with type 2 diabetes for a technology study.
Project Baseline and Verily (an Alphabet company) are looking for participants to give their opinion on
an investigational type 2 diabetes phone application. Participants will be paid if they qualify and
participate.
Visits may be done remotely or in person.
Details:
o Access a Diabetes Health Coach through texting
You will be asked to use:
o Blood Glucose Monitor (BGM) (ex: Roche Accu-Chek® Check Aviva Connect®)
o HBA1c test kits or services (ex: BioIQ, A1CNow)
You may be asked to use other optional devices such as:
o Continuous Glucose Monitor (CGM) (ex: Dexcom G5® Mobile CGM System)
o Activity tracker (ex: Jawbone UP2 TM)
o Scale (ex: Withings Wireless Scale)
o Apps connected to the investigational App (ex: Apple HealthKit, gFit)
o Medication adherence systems (ex: GlowCap®)
This is not a medication study
Criteria:
o Type 2 diabetes
o iPhone or Android cell phone
o Age 18 or older
o Speak and read English
To learn more about the study and verify your eligibility, please visit www.projectbaseline.com/diabetes
If you’re selected to participate, we’ll follow up with you shortly to set up your appointment time.</t>
        </is>
      </c>
      <c r="D3723" t="n">
        <v>17</v>
      </c>
      <c r="E3723" t="n">
        <v>10</v>
      </c>
      <c r="F3723">
        <f>HYPERLINK("https://www.reddit.com/r/diabetes/comments/7c4cr4/project_baseline_diabetes_type_2_management_study/")</f>
        <v/>
      </c>
      <c r="G3723" t="inlineStr">
        <is>
          <t>2017-11-10 14:04:33</t>
        </is>
      </c>
      <c r="H3723" t="inlineStr">
        <is>
          <t>Type 2</t>
        </is>
      </c>
    </row>
    <row r="3724">
      <c r="A3724" t="inlineStr">
        <is>
          <t>7c9v53</t>
        </is>
      </c>
      <c r="B3724" t="inlineStr">
        <is>
          <t>"Cheat" meal or day on diabetes</t>
        </is>
      </c>
      <c r="C3724" t="inlineStr">
        <is>
          <t>Asking about this on behalf on my gramps who have been diagnosed with type 2 diabetes just a few days ago. We're studying the condition together now, learning about proper management and diet but one thing we couldn't find was - can you splurge on what would be considered a "cheat" meal in most diet plans? I mean - having a meal where you don't count the carbs, don't worry about glycemic index or anything, you just eat it cause it's good (albeit unhealthy).
Of course I don't mean eating something like this daily but from time to time, like twice or thrice a week? Or a whole cheat day a week? Is any of these possible?
We were from time to time (I mean once a month or something) ordering pizza with gramps to just eat till we felt like we were going to burst and loved that time together. Can we still do it? Or does he have to limit himself to one slice or something now?
EDIT: Also, since I forgot to mention this, he's currently taking metformin 500, twice a day for diabetes. That's what the GP prescribed when gramps got diagnosed.</t>
        </is>
      </c>
      <c r="D3724" t="n">
        <v>2</v>
      </c>
      <c r="E3724" t="n">
        <v>16</v>
      </c>
      <c r="F3724">
        <f>HYPERLINK("https://www.reddit.com/r/diabetes/comments/7c9v53/cheat_meal_or_day_on_diabetes/")</f>
        <v/>
      </c>
      <c r="G3724" t="inlineStr">
        <is>
          <t>2017-11-11 09:59:22</t>
        </is>
      </c>
      <c r="H3724" t="inlineStr">
        <is>
          <t>Type 2</t>
        </is>
      </c>
    </row>
    <row r="3725">
      <c r="A3725" t="inlineStr">
        <is>
          <t>7cafzk</t>
        </is>
      </c>
      <c r="B3725" t="inlineStr">
        <is>
          <t>Omnipod adhesive problem?</t>
        </is>
      </c>
      <c r="C3725" t="inlineStr">
        <is>
          <t>Hey - so I started using the OmniPod in early October and am really enjoying it - it has certainly improved my BG readings! But I've been having some difficulty with it sticking to certain spots. My back seems to be a huge problem - i even had once just fall off. I always carefully shave the area that I'm going to apply it to, even if I don't really need to. Does anyone else every experience problems like this? I've started using RockTape to keep it in place. Any other suggestions?</t>
        </is>
      </c>
      <c r="D3725" t="n">
        <v>1</v>
      </c>
      <c r="E3725" t="n">
        <v>3</v>
      </c>
      <c r="F3725">
        <f>HYPERLINK("https://www.reddit.com/r/diabetes/comments/7cafzk/omnipod_adhesive_problem/")</f>
        <v/>
      </c>
      <c r="G3725" t="inlineStr">
        <is>
          <t>2017-11-11 11:31:08</t>
        </is>
      </c>
      <c r="H3725" t="inlineStr">
        <is>
          <t>Type 1</t>
        </is>
      </c>
    </row>
    <row r="3726">
      <c r="A3726" t="inlineStr">
        <is>
          <t>7cdnon</t>
        </is>
      </c>
      <c r="B3726" t="inlineStr">
        <is>
          <t>Any teenagers/ young adults struggling with control?</t>
        </is>
      </c>
      <c r="C3726" t="inlineStr">
        <is>
          <t>I'm 15 (diabetic for 3 years).
 My doctor said that hormones and stuff can mess up control pretty bad. Lately I've been struggling with high morning glucose and high insulin resistance. I'm asking because my last 2 a1c's have been terrible (&amp;lt;8,3) and I want to get back on track. 
I'm also considering switching to a pump so if anyone would like to share their experience with that it would be very appreciated</t>
        </is>
      </c>
      <c r="D3726" t="n">
        <v>5</v>
      </c>
      <c r="E3726" t="n">
        <v>7</v>
      </c>
      <c r="F3726">
        <f>HYPERLINK("https://www.reddit.com/r/diabetes/comments/7cdnon/any_teenagers_young_adults_struggling_with_control/")</f>
        <v/>
      </c>
      <c r="G3726" t="inlineStr">
        <is>
          <t>2017-11-11 21:29:13</t>
        </is>
      </c>
      <c r="H3726" t="inlineStr">
        <is>
          <t>Type 1</t>
        </is>
      </c>
    </row>
    <row r="3727">
      <c r="A3727" t="inlineStr">
        <is>
          <t>7cdsza</t>
        </is>
      </c>
      <c r="B3727" t="inlineStr">
        <is>
          <t>Anyone had high A1C in the past for a long period of time?</t>
        </is>
      </c>
      <c r="C3727" t="inlineStr">
        <is>
          <t xml:space="preserve">I've had diabetes since I was 10. Im 25 now. I had good control for the first 5 years... But it's probably been 10 since I've had a good A1c. When I was young, it was because I was a teenager, I felt fearless. I wanted to live like I didn't have diabetes. And I didn't care that it would hurt me later because I guess part of me thought I'd be alone forever.
Well, I'm not alone anymore. I haven't been for two years. I've wanted to be in control these two years. But I haven't had insurance and haven't been able to. It's a poor excuse, but it is true. Fast forward to this year and a few couple months back I finally got insurance, some of the best I could possibly have. At the same time I had a night where I had a high blood sugar, a few days after my new job and new insurance. I feel like something really bad happened to me that night because I've not been feeling right ever since. This was in August or so. Since then ive been in better control, a1c started at 11.9 in September. Down to 8.9 last month. I'm on a Dexcom, getting insulin regularly, seeing a doctor now. But I feel like I've hurt myself beyond repair.
I've had ED issues ever since that night in August, occasional nerve pain on the tops of my feet as well. I feel like my body is just used to having a high blood sugar now.
Has anyone else gone through something similar? Can you say things have gotten better? Im just looking for some reassurance thst things will get better... </t>
        </is>
      </c>
      <c r="D3727" t="n">
        <v>3</v>
      </c>
      <c r="E3727" t="n">
        <v>11</v>
      </c>
      <c r="F3727">
        <f>HYPERLINK("https://www.reddit.com/r/diabetes/comments/7cdsza/anyone_had_high_a1c_in_the_past_for_a_long_period/")</f>
        <v/>
      </c>
      <c r="G3727" t="inlineStr">
        <is>
          <t>2017-11-11 22:03:38</t>
        </is>
      </c>
      <c r="H3727" t="inlineStr">
        <is>
          <t>Type 1</t>
        </is>
      </c>
    </row>
    <row r="3728">
      <c r="A3728" t="inlineStr">
        <is>
          <t>7cjbsf</t>
        </is>
      </c>
      <c r="B3728" t="inlineStr">
        <is>
          <t>Hi, blood sugar. Need advice I guess?</t>
        </is>
      </c>
      <c r="C3728" t="inlineStr">
        <is>
          <t>I know when you get hi your supposed to go to the hospital. However I'm not dropping ketones, and think that my body is just effing with me, as I just started a new medication that's effing with me in other ways (like I have small rash on my chin, and have been in cranky moods even with stable blood sugars).  So I just need some words of advice if at all possible. I'm not alone, my Parents are here, I have a good support system staying in contact with me, as I'm out of town. I've been correcting and doing the best I can. Been hi for May be an hour and a half now. Drinking water and pacing.
Edit: by is 600+ 
Edit 2: bg is back in range. Thanks for thge help!</t>
        </is>
      </c>
      <c r="D3728" t="n">
        <v>7</v>
      </c>
      <c r="E3728" t="n">
        <v>27</v>
      </c>
      <c r="F3728">
        <f>HYPERLINK("https://www.reddit.com/r/diabetes/comments/7cjbsf/hi_blood_sugar_need_advice_i_guess/")</f>
        <v/>
      </c>
      <c r="G3728" t="inlineStr">
        <is>
          <t>2017-11-12 16:17:39</t>
        </is>
      </c>
      <c r="H3728" t="inlineStr">
        <is>
          <t>Type 1</t>
        </is>
      </c>
    </row>
    <row r="3729">
      <c r="A3729" t="inlineStr">
        <is>
          <t>7cmlsl</t>
        </is>
      </c>
      <c r="B3729" t="inlineStr">
        <is>
          <t>High Albumin Levels</t>
        </is>
      </c>
      <c r="C3729" t="inlineStr">
        <is>
          <t xml:space="preserve">My endo appointment was Friday, and I was dying to know my A1C and share my results here. I’ve been working so hard, and just felt like this was the time when I’d really get it right. But I didn’t get my A1C: I got my urinalysis results instead with a note.
According to my test: compared to the standard range of 0.0-30.0 micro-albumin/creatine ratio, my result was **680.9**. I’m freaking out a little because I feel blindsided: my kidneys have felt fine and I don’t feel the need “to go” excessively. 
Having done some light reading/googling, it looks like one culprit of this result was me being dehydrated (I noticed when I left the sample). Im really clinging to that hope. But with a result *that* high, I’m really worried. 
I follow a low-carb/keto diet pretty strictly and only drink water and hot tea (and okay maybe one glass of wine a month).  Maybe I’m in taking too much protein? It hasn’t been long enough for me to work that out.
Now my endo is referring me to a kidney specialist, and it’s just another trigger to get me anxious over something I need to take control of.
What are your experiences? Have you had high levels in urinalysis tests? What happened next?
</t>
        </is>
      </c>
      <c r="D3729" t="n">
        <v>1</v>
      </c>
      <c r="E3729" t="n">
        <v>5</v>
      </c>
      <c r="F3729">
        <f>HYPERLINK("https://www.reddit.com/r/diabetes/comments/7cmlsl/high_albumin_levels/")</f>
        <v/>
      </c>
      <c r="G3729" t="inlineStr">
        <is>
          <t>2017-11-13 03:54:33</t>
        </is>
      </c>
      <c r="H3729" t="inlineStr">
        <is>
          <t>Type 1</t>
        </is>
      </c>
    </row>
    <row r="3730">
      <c r="A3730" t="inlineStr">
        <is>
          <t>7cp22j</t>
        </is>
      </c>
      <c r="B3730" t="inlineStr">
        <is>
          <t>Crazy relationship that endos just don't talk about...</t>
        </is>
      </c>
      <c r="C3730" t="inlineStr">
        <is>
          <t xml:space="preserve">I'm a type 1 female with polycystic ovarian syndrome (PCOS).  After some googling, I found that this is actually super common.  Apparently using insulin via an insulin pump can make you more likely to get PCOS, become insulin resistant, worsen your lipid levels, and have more trouble maintaining your glucose levels.  Why don't more doctors talk about this?
In addition, PCOS can cause issues in fertility.  My husband and I have been trying for almost 6 years with no success.  I do not ovulate at all, ever.  I never menstruate (sorry for the tmi but this is upsetting to me).  No one ever took the time to tell me that using insulin (particularly in a pump) was possibly causing this.  No one in my family has this issue.
Anyway, to stop from rambling, has anyone else experienced fertility issues (female), increased insulin resistance and difficulty controlling blood sugar, elevated lipids, etc?  Has any of your endos ever talked to you about this?  Have any of them put you, as a type 1, on metformin to treat the PCOS?
**As a side note, I'm always annoyed when people assume I have type 2 because I'm a type 1 on metformin.  No slights intended to anyone.
**Links to articles:**
http://care.diabetesjournals.org/content/39/4/639
https://www.ncbi.nlm.nih.gov/pmc/articles/PMC3277302/
</t>
        </is>
      </c>
      <c r="D3730" t="n">
        <v>3</v>
      </c>
      <c r="E3730" t="n">
        <v>14</v>
      </c>
      <c r="F3730">
        <f>HYPERLINK("https://www.reddit.com/r/diabetes/comments/7cp22j/crazy_relationship_that_endos_just_dont_talk_about/")</f>
        <v/>
      </c>
      <c r="G3730" t="inlineStr">
        <is>
          <t>2017-11-13 10:22:41</t>
        </is>
      </c>
      <c r="H3730" t="inlineStr">
        <is>
          <t>Type 1</t>
        </is>
      </c>
    </row>
    <row r="3731">
      <c r="A3731" t="inlineStr">
        <is>
          <t>7cqgyt</t>
        </is>
      </c>
      <c r="B3731" t="inlineStr">
        <is>
          <t>Lantus low, confusing and alarming story - warning to diabetics using long-acting insulin</t>
        </is>
      </c>
      <c r="C3731" t="inlineStr">
        <is>
          <t>Background info: Type 1 diabetic here, male, age 26, have had it since I was 20, around 150 lbs, 5'10". I use novolog and lantus. 
I take my lantus around 10pm every night. Last night when 10pm rolled around and my sugar was feeling high, I checked my sugar before taking my lantus and it was 288. I took 2 units of novolog and then my usual 26 units of lantus. Only when I took my lantus, I hit a blood vessel and when I pulled the needle blood was dripping out of the entry point and down my belly (not just a small dot of blood, a small stream of it). It burned a little but it was just whatever; needle symptoms nothing new to me.
Something different happened though. I kid you not, 30 minutes later I am feeling some of the low feelings. I was thinking, "oh snap, did I get a funky meter reading before I took my insulin before?" (very rarely the meters will give you false readings) I didn't think so because I had some of the typical high sugar feels. I check my blood sugar and its 33. My stomach dropped. 288 to 33 in half an hour??? I drank some gatorade and ate some peanutbutter pretzels and eventually a cliff bar (shit packs some carbs, highly recommend). My sugar went up extremely slowly, was checking every 15 minutes and was going up 7-10 points during these intervals. About an hour and a half after the low reading, I finally am around 150 area and breathe a sigh of relief.
I was so confused about what the hell happened so I did some googling and in a very few cases online I found people who accidentally injected lantus into their blood vessels. They all had the super blood sugar drop within about 30 minutes like me. What's even scarier is that on those posts, a lot of doctors said this kind of thing is impossible, which it totally is not! Be careful anyone who takes long acting insulin. That crap was super scary. My dad is type 1 so when I told him this morning about it, he felt nauseous. I did too when reading the online accounts.
TL;DR: Type 1 diabetic, took my lantus, hit a blood vessel really hard (blood gushed out of entry point), blood sugar dropped from 288 to 33 in half an hour, confused and scared, took a long time to bounce back.</t>
        </is>
      </c>
      <c r="D3731" t="n">
        <v>20</v>
      </c>
      <c r="E3731" t="n">
        <v>15</v>
      </c>
      <c r="F3731">
        <f>HYPERLINK("https://www.reddit.com/r/diabetes/comments/7cqgyt/lantus_low_confusing_and_alarming_story_warning/")</f>
        <v/>
      </c>
      <c r="G3731" t="inlineStr">
        <is>
          <t>2017-11-13 13:32:14</t>
        </is>
      </c>
      <c r="H3731" t="inlineStr">
        <is>
          <t>Type 1</t>
        </is>
      </c>
    </row>
    <row r="3732">
      <c r="A3732" t="inlineStr">
        <is>
          <t>7cr1ru</t>
        </is>
      </c>
      <c r="B3732" t="inlineStr">
        <is>
          <t>Got my second A1C in the non Diabetic range but im confused.</t>
        </is>
      </c>
      <c r="C3732" t="inlineStr">
        <is>
          <t>So some of you may have been following my journey. Long story short, diagnosed T2 at 288lbs on 5/30/17 with a1c of 6.5. Went Keto only, no medication, lost 50 pounds and had follow up A1C 8/15/17 at 5.5%. Fast forward to today, I now weigh 199 and just had an A1C pulled at 5.6%.
I am happy that I had 2 A1Cs out of the diabetic range, but confused how I went up a point. I am still keto, although I am letting in a few more carbs(25-30). Still dropping weight.
The only thing I can think of is the morning of the draw I ran a few miles. I have been exercising a bout 5 days a week, but I thought this would help lower it.
My questions: Should I just be happy that i have 2 consecutive A1cs out of the D-Range since I am still losing weight, or should I worry about the creep? Can I be considered "in remission" with the 2 consecutive?</t>
        </is>
      </c>
      <c r="D3732" t="n">
        <v>5</v>
      </c>
      <c r="E3732" t="n">
        <v>15</v>
      </c>
      <c r="F3732">
        <f>HYPERLINK("https://www.reddit.com/r/diabetes/comments/7cr1ru/got_my_second_a1c_in_the_non_diabetic_range_but/")</f>
        <v/>
      </c>
      <c r="G3732" t="inlineStr">
        <is>
          <t>2017-11-13 14:52:04</t>
        </is>
      </c>
      <c r="H3732" t="inlineStr">
        <is>
          <t>Type 2</t>
        </is>
      </c>
    </row>
    <row r="3733">
      <c r="A3733" t="inlineStr">
        <is>
          <t>7crypk</t>
        </is>
      </c>
      <c r="B3733" t="inlineStr">
        <is>
          <t>Medtronic Paradigm pump question.</t>
        </is>
      </c>
      <c r="C3733" t="inlineStr">
        <is>
          <t>If I have a half full reservoir when the infusion site stops working for me, is there a way I can switch out the reservoir and use the rest of the insulin in the reservoir?  Can I unscrew that round thing you twist at the top, pull it out and attach a new infusion set on the same old, half used reservoir?</t>
        </is>
      </c>
      <c r="D3733" t="n">
        <v>2</v>
      </c>
      <c r="E3733" t="n">
        <v>7</v>
      </c>
      <c r="F3733">
        <f>HYPERLINK("https://www.reddit.com/r/diabetes/comments/7crypk/medtronic_paradigm_pump_question/")</f>
        <v/>
      </c>
      <c r="G3733" t="inlineStr">
        <is>
          <t>2017-11-13 17:08:31</t>
        </is>
      </c>
      <c r="H3733" t="inlineStr">
        <is>
          <t>Type 1</t>
        </is>
      </c>
    </row>
    <row r="3734">
      <c r="A3734" t="inlineStr">
        <is>
          <t>7cvtlh</t>
        </is>
      </c>
      <c r="B3734" t="inlineStr">
        <is>
          <t>100% of profit to a diabetes-related charity through Friday</t>
        </is>
      </c>
      <c r="C3734" t="inlineStr">
        <is>
          <t xml:space="preserve">Hello everyone - I did inquire with the mods first but it has been a few days and I haven't received an answer so I'm posting.  Please forgive me if this is out of bounds.
I have been fairly active here but in case you don't know I have a website called MyTypeDiabetes.net.  We are committed to giving some of our profits to charity on an ongoing basis.  For this week until Friday (11/17) we will be giving 100% of profit to charity.  Any profit made directly on the site (so not through Amazon or other channels) will go right to charity.  The organization I have chosen is www.faustmanlab.org, big thanks to u/PANDADA for making the suggestion.  
There isn't a whole lot, mostly t-shirts right now but any of the profit made will go to faustman lab, so check it out and get something for a cause.  To give you some idea of numbers, an average shirt purchase should work out to be around $5 in donated funds.  
There are no hidden gimmicks here, my motivations are both to do a good thing and to increase traffic to my fledgling Shopify store.  I prefer to market in ways that can be beneficial to all, and I'm very Type 1 so this organization is interesting to me.  
Any questions feel free to PM or post, I'll be gone for a few hours but will try to answer when I can.
Thanks! </t>
        </is>
      </c>
      <c r="D3734" t="n">
        <v>3</v>
      </c>
      <c r="E3734" t="n">
        <v>4</v>
      </c>
      <c r="F3734">
        <f>HYPERLINK("https://www.reddit.com/r/diabetes/comments/7cvtlh/100_of_profit_to_a_diabetesrelated_charity/")</f>
        <v/>
      </c>
      <c r="G3734" t="inlineStr">
        <is>
          <t>2017-11-14 06:11:01</t>
        </is>
      </c>
      <c r="H3734" t="inlineStr">
        <is>
          <t>Type 1</t>
        </is>
      </c>
    </row>
    <row r="3735">
      <c r="A3735" t="inlineStr">
        <is>
          <t>7cw2rt</t>
        </is>
      </c>
      <c r="B3735" t="inlineStr">
        <is>
          <t>Anniversary - 1 year give or take a few days.</t>
        </is>
      </c>
      <c r="C3735" t="inlineStr">
        <is>
          <t xml:space="preserve">So about a year ago I was diagnosed with Type 2 diabetes. Like most of us I was confused and terrified. I am lucky that I get an endo-specialist in my country on my medical aid/insurance. 
With her help and tips from veterans (both type 1 and 2) on this sub, my first a1c was 5.1%, which then sunk to 4.8% (which worried me a little and I made a few adjustments) and I have now had two in a row of 4.9%. I have been medication free from around February. 
I use a modified diet that is keto in basis but I still do 40-60 g of carbs a day.
I have to say I was lucky that I was able to twice lobby my medical aid for access to a CGM it helped an insane amount when formulating my diet. The only draw back is that my diet is so tight that if I miss a meal by say an hour I start hitting the 3's (which I have unfortunately started to become accustomed to). 
My exercise routine is mainly weight/resistance based with 15 min of moderate cardio. My body reacts really well to this and resistance is non-existent with weight training and I have to be careful going low during training sessions. I have put on a lot of muscle without having to spike my sugar or bulk up. It's tough and slower than the traditional method, but has been worth it.  
Psychologically I am still a little obsessive and intense, which stems from all the tight control, but I am now in a position to start working on that.
This disease is a bitch no matter what type you have, but you can get your life back. </t>
        </is>
      </c>
      <c r="D3735" t="n">
        <v>5</v>
      </c>
      <c r="E3735" t="n">
        <v>3</v>
      </c>
      <c r="F3735">
        <f>HYPERLINK("https://www.reddit.com/r/diabetes/comments/7cw2rt/anniversary_1_year_give_or_take_a_few_days/")</f>
        <v/>
      </c>
      <c r="G3735" t="inlineStr">
        <is>
          <t>2017-11-14 06:52:49</t>
        </is>
      </c>
      <c r="H3735" t="inlineStr">
        <is>
          <t>Type 2</t>
        </is>
      </c>
    </row>
    <row r="3736">
      <c r="A3736" t="inlineStr">
        <is>
          <t>7cwdxi</t>
        </is>
      </c>
      <c r="B3736" t="inlineStr">
        <is>
          <t>T1D: HSA or PPO?</t>
        </is>
      </c>
      <c r="C3736" t="inlineStr">
        <is>
          <t xml:space="preserve">What are you using for your healthcare and why? </t>
        </is>
      </c>
      <c r="D3736" t="n">
        <v>4</v>
      </c>
      <c r="E3736" t="n">
        <v>12</v>
      </c>
      <c r="F3736">
        <f>HYPERLINK("https://www.reddit.com/r/diabetes/comments/7cwdxi/t1d_hsa_or_ppo/")</f>
        <v/>
      </c>
      <c r="G3736" t="inlineStr">
        <is>
          <t>2017-11-14 07:39:18</t>
        </is>
      </c>
      <c r="H3736" t="inlineStr">
        <is>
          <t>Type 1</t>
        </is>
      </c>
    </row>
    <row r="3737">
      <c r="A3737" t="inlineStr">
        <is>
          <t>7d03m2</t>
        </is>
      </c>
      <c r="B3737" t="inlineStr">
        <is>
          <t>How high do you let yourself go when drinking?</t>
        </is>
      </c>
      <c r="C3737" t="inlineStr">
        <is>
          <t>Hey, i was diagnosed with type 1 3 months ago. Ive been out drinking a bunch of times and ive been absolutely fine however im curious, how high do you let your blood sugar go when youre drinking fairly heavily (as i know you definitely shouldnt have insulin with alcohol if you have a lot). Mine can get up to 16 or 17 mmol sometimes but then it lowers quickly on the walk home and when i get home i eat a bunch of food and then sleep waking up on a good number like 6. Is it bad to let my blood sugars go high though even if it is only for an hour or so? What are your experiences? Please dont suggest that i shouldnt drink. Thankyou.</t>
        </is>
      </c>
      <c r="D3737" t="n">
        <v>1</v>
      </c>
      <c r="E3737" t="n">
        <v>17</v>
      </c>
      <c r="F3737">
        <f>HYPERLINK("https://www.reddit.com/r/diabetes/comments/7d03m2/how_high_do_you_let_yourself_go_when_drinking/")</f>
        <v/>
      </c>
      <c r="G3737" t="inlineStr">
        <is>
          <t>2017-11-14 16:14:19</t>
        </is>
      </c>
      <c r="H3737" t="inlineStr">
        <is>
          <t>Type 1</t>
        </is>
      </c>
    </row>
    <row r="3738">
      <c r="A3738" t="inlineStr">
        <is>
          <t>7d0zhv</t>
        </is>
      </c>
      <c r="B3738" t="inlineStr">
        <is>
          <t>ThisIsTypeOne - A Portrait Project for World Diabetes Day</t>
        </is>
      </c>
      <c r="C3738" t="inlineStr">
        <is>
          <t>Hi /r/diabetes,  
Fellow T1D here and a photographer. For World Diabetes Day (whether it's your thing or not) I worked with the charity Connected in Motion to create a series of portraits and have some candid conversations about everything from going low, having kids, the biggest misconceptions people with Type 1 face, advice for newly diagnosed T1Ds, goals for the future, and a lot more. Not looking for anything and this post seemed within the rules so I hope you don't mind me sharing. If anything, I hope it might inspire some newly diagnosed T1Ds to get outside and never let Type 1 slow them down.  
ThisIsTypeOne - http://www.connectedinmotion.ca/thisistypeone/  
If you've never heard of Connected in Motion, it's a charity for people living with Type 1 with a lot of young adults who love to go on adventures, from simple hikes to canoe trips. Mostly based in Canada with a few adventures down in California at the moment.</t>
        </is>
      </c>
      <c r="D3738" t="n">
        <v>29</v>
      </c>
      <c r="E3738" t="n">
        <v>3</v>
      </c>
      <c r="F3738">
        <f>HYPERLINK("https://www.reddit.com/r/diabetes/comments/7d0zhv/thisistypeone_a_portrait_project_for_world/")</f>
        <v/>
      </c>
      <c r="G3738" t="inlineStr">
        <is>
          <t>2017-11-14 18:37:17</t>
        </is>
      </c>
      <c r="H3738" t="inlineStr">
        <is>
          <t>Type 1</t>
        </is>
      </c>
    </row>
    <row r="3739">
      <c r="A3739" t="inlineStr">
        <is>
          <t>7d120v</t>
        </is>
      </c>
      <c r="B3739" t="inlineStr">
        <is>
          <t>t:slim X2 Alarms</t>
        </is>
      </c>
      <c r="C3739" t="inlineStr">
        <is>
          <t xml:space="preserve">I just got a t:slim X2 and I turned all alarms to vibrate, but the two that really annoy me don't seem to stop beeping.  
1. Prime tubing, makes a beep after every Unit of prime.  Super loud.  
2. Charging pump, makes a loud beep when plugging into wall outlet.
Both of these just seem really odd to me, like they don't seem like safety features.  Is there any way to disable the alarms or perhaps quiet the volume?
</t>
        </is>
      </c>
      <c r="D3739" t="n">
        <v>1</v>
      </c>
      <c r="E3739" t="n">
        <v>2</v>
      </c>
      <c r="F3739">
        <f>HYPERLINK("https://www.reddit.com/r/diabetes/comments/7d120v/tslim_x2_alarms/")</f>
        <v/>
      </c>
      <c r="G3739" t="inlineStr">
        <is>
          <t>2017-11-14 18:48:46</t>
        </is>
      </c>
      <c r="H3739" t="inlineStr">
        <is>
          <t>Type 1</t>
        </is>
      </c>
    </row>
    <row r="3740">
      <c r="A3740" t="inlineStr">
        <is>
          <t>7d8v9l</t>
        </is>
      </c>
      <c r="B3740" t="inlineStr">
        <is>
          <t>Type 1 tips?</t>
        </is>
      </c>
      <c r="C3740" t="inlineStr">
        <is>
          <t>Got diagnosed on Monday with late adult onset Type 1. Got the first doctor I could find and he has been of no help (told me to pick up the insulin and YouTube how to do it). Luckily my brother has Type 1 and has given me a lot of advice. I'm suppose to get set up with a diabetes educator and referred to KUmeds Cray diabetes center soonish. But in the meantime I'll take any advise or tips I can get.</t>
        </is>
      </c>
      <c r="D3740" t="n">
        <v>1</v>
      </c>
      <c r="E3740" t="n">
        <v>14</v>
      </c>
      <c r="F3740">
        <f>HYPERLINK("https://www.reddit.com/r/diabetes/comments/7d8v9l/type_1_tips/")</f>
        <v/>
      </c>
      <c r="G3740" t="inlineStr">
        <is>
          <t>2017-11-15 17:14:40</t>
        </is>
      </c>
      <c r="H3740" t="inlineStr">
        <is>
          <t>Type 1</t>
        </is>
      </c>
    </row>
    <row r="3741">
      <c r="A3741" t="inlineStr">
        <is>
          <t>7d99n1</t>
        </is>
      </c>
      <c r="B3741" t="inlineStr">
        <is>
          <t>Moving to Europe - thoughts on supplies/docs/insurance?</t>
        </is>
      </c>
      <c r="C3741" t="inlineStr">
        <is>
          <t>So I currently live in the US working for a company that will be relocating me to Poland next year. I was only recently diagnosed with T1D and am on the honeymoon stage - currently only taking my Lantus and building up a stash of Humalog for when I start needing it. I also have the Dexcom G5 with xDrip+ and loving it. I was just wondering if anyone here has experience with moving permanently abroad, interacting with doctors (note: I speak virtually no polish) and obtaining supplies - I am particularly concerned about the Dexcom since I know it's not as widely available in Europe. Any insight is appreciated!</t>
        </is>
      </c>
      <c r="D3741" t="n">
        <v>1</v>
      </c>
      <c r="E3741" t="n">
        <v>3</v>
      </c>
      <c r="F3741">
        <f>HYPERLINK("https://www.reddit.com/r/diabetes/comments/7d99n1/moving_to_europe_thoughts_on_suppliesdocsinsurance/")</f>
        <v/>
      </c>
      <c r="G3741" t="inlineStr">
        <is>
          <t>2017-11-15 18:21:09</t>
        </is>
      </c>
      <c r="H3741" t="inlineStr">
        <is>
          <t>Type 1</t>
        </is>
      </c>
    </row>
    <row r="3742">
      <c r="A3742" t="inlineStr">
        <is>
          <t>7db7rq</t>
        </is>
      </c>
      <c r="B3742" t="inlineStr">
        <is>
          <t>2 year anniversary</t>
        </is>
      </c>
      <c r="C3742" t="inlineStr">
        <is>
          <t>It's my second anniversary of being diagnosed, I have gotten a good control over it in that time and dropped almost 1/4 of my weight over the past 24 months but I find it such a struggle sometimes, some days I just want to eat and not worry about my Blood Sugar and taking my tablets, I call it the best worst thing to happen to me as it was a wake up call to start and take better care of myself but I am finding it hard.</t>
        </is>
      </c>
      <c r="D3742" t="n">
        <v>3</v>
      </c>
      <c r="E3742" t="n">
        <v>5</v>
      </c>
      <c r="F3742">
        <f>HYPERLINK("https://www.reddit.com/r/diabetes/comments/7db7rq/2_year_anniversary/")</f>
        <v/>
      </c>
      <c r="G3742" t="inlineStr">
        <is>
          <t>2017-11-16 01:01:01</t>
        </is>
      </c>
      <c r="H3742" t="inlineStr">
        <is>
          <t>Type 2</t>
        </is>
      </c>
    </row>
    <row r="3743">
      <c r="A3743" t="inlineStr">
        <is>
          <t>7ddaub</t>
        </is>
      </c>
      <c r="B3743" t="inlineStr">
        <is>
          <t>Getting my Wisdom Teeth Out - Should I run high?</t>
        </is>
      </c>
      <c r="C3743" t="inlineStr">
        <is>
          <t xml:space="preserve">I'm getting my wisdom tooth extracted and I'm worried about going low. I'm not being put under but I'm feeling anxious about it. I also feel like I won't be able to eat for a bit afterwards. Should I let it run high? Stock up on juice (I usually have rockets/smarties)?
This is the first major procedure I've had since becoming diabetic. I'm sure it's simple, but I'm nervous. </t>
        </is>
      </c>
      <c r="D3743" t="n">
        <v>8</v>
      </c>
      <c r="E3743" t="n">
        <v>9</v>
      </c>
      <c r="F3743">
        <f>HYPERLINK("https://www.reddit.com/r/diabetes/comments/7ddaub/getting_my_wisdom_teeth_out_should_i_run_high/")</f>
        <v/>
      </c>
      <c r="G3743" t="inlineStr">
        <is>
          <t>2017-11-16 07:59:24</t>
        </is>
      </c>
      <c r="H3743" t="inlineStr">
        <is>
          <t>Type 1</t>
        </is>
      </c>
    </row>
    <row r="3744">
      <c r="A3744" t="inlineStr">
        <is>
          <t>7demhb</t>
        </is>
      </c>
      <c r="B3744" t="inlineStr">
        <is>
          <t>Any news on the BCG Phase II trial?</t>
        </is>
      </c>
      <c r="C3744" t="inlineStr">
        <is>
          <t>I think it's been 2 years already, but there haven't been any updates. Have I missed something?</t>
        </is>
      </c>
      <c r="D3744" t="n">
        <v>3</v>
      </c>
      <c r="E3744" t="n">
        <v>6</v>
      </c>
      <c r="F3744">
        <f>HYPERLINK("https://www.reddit.com/r/diabetes/comments/7demhb/any_news_on_the_bcg_phase_ii_trial/")</f>
        <v/>
      </c>
      <c r="G3744" t="inlineStr">
        <is>
          <t>2017-11-16 11:04:43</t>
        </is>
      </c>
      <c r="H3744" t="inlineStr">
        <is>
          <t>Type 1</t>
        </is>
      </c>
    </row>
    <row r="3745">
      <c r="A3745" t="inlineStr">
        <is>
          <t>7depuu</t>
        </is>
      </c>
      <c r="B3745" t="inlineStr">
        <is>
          <t>Diabetic First Time on Plane in Years</t>
        </is>
      </c>
      <c r="C3745" t="inlineStr">
        <is>
          <t>Hey, and this might seem like a silly thing to ask, but I have to take an airplane trip soon. I've only been on a plane one other time when I was young, and I hardly remember it. Also I'm diabetic, which means I have a pump and I'll have to take insulin with me.
I'm just wondering what I should actually expect to happen? Mostly in regards to security. I know this is kind of a vague question, just nervous about the experience in general, especially dealing with security and my diabetes.</t>
        </is>
      </c>
      <c r="D3745" t="n">
        <v>3</v>
      </c>
      <c r="E3745" t="n">
        <v>17</v>
      </c>
      <c r="F3745">
        <f>HYPERLINK("https://www.reddit.com/r/diabetes/comments/7depuu/diabetic_first_time_on_plane_in_years/")</f>
        <v/>
      </c>
      <c r="G3745" t="inlineStr">
        <is>
          <t>2017-11-16 11:17:21</t>
        </is>
      </c>
      <c r="H3745" t="inlineStr">
        <is>
          <t>Type 1</t>
        </is>
      </c>
    </row>
    <row r="3746">
      <c r="A3746" t="inlineStr">
        <is>
          <t>7df7t1</t>
        </is>
      </c>
      <c r="B3746" t="inlineStr">
        <is>
          <t>Moving - Tips on Finding a new Endocrinologist?</t>
        </is>
      </c>
      <c r="C3746" t="inlineStr">
        <is>
          <t>I'll be moving to a new state soon, I've had the same doctor since I was young, but I just got a job after graduating college.
Any tips on what I should do to look for a new Endocrinologist? I've never really had to look before or anything.</t>
        </is>
      </c>
      <c r="D3746" t="n">
        <v>5</v>
      </c>
      <c r="E3746" t="n">
        <v>2</v>
      </c>
      <c r="F3746">
        <f>HYPERLINK("https://www.reddit.com/r/diabetes/comments/7df7t1/moving_tips_on_finding_a_new_endocrinologist/")</f>
        <v/>
      </c>
      <c r="G3746" t="inlineStr">
        <is>
          <t>2017-11-16 12:25:36</t>
        </is>
      </c>
      <c r="H3746" t="inlineStr">
        <is>
          <t>Type 1</t>
        </is>
      </c>
    </row>
    <row r="3747">
      <c r="A3747" t="inlineStr">
        <is>
          <t>7dj56r</t>
        </is>
      </c>
      <c r="B3747" t="inlineStr">
        <is>
          <t>Sugar is back up to 600, am I ever gonna have this bullshit under control?</t>
        </is>
      </c>
      <c r="C3747" t="inlineStr">
        <is>
          <t xml:space="preserve">I was just recently diagnosed and I've been trying to fucking hard to keep this under control but I'm seriously losing hope. I've been to the ER enough, and I feel like every effort I make is fruitless. This is really just a complaint post but I seriously need to know how y'all manage this shit. Like I said I'm new to the club and haven't explored any of the technologies, but I was thinking of doing a pump or something cause I clearly suck at giving myself insulin. I'm still hoping that I'll wake up and no longer have diabetes. Fucking kill me please. </t>
        </is>
      </c>
      <c r="D3747" t="n">
        <v>2</v>
      </c>
      <c r="E3747" t="n">
        <v>25</v>
      </c>
      <c r="F3747">
        <f>HYPERLINK("https://www.reddit.com/r/diabetes/comments/7dj56r/sugar_is_back_up_to_600_am_i_ever_gonna_have_this/")</f>
        <v/>
      </c>
      <c r="G3747" t="inlineStr">
        <is>
          <t>2017-11-16 23:13:10</t>
        </is>
      </c>
      <c r="H3747" t="inlineStr">
        <is>
          <t>Type 1</t>
        </is>
      </c>
    </row>
    <row r="3748">
      <c r="A3748" t="inlineStr">
        <is>
          <t>7djhn0</t>
        </is>
      </c>
      <c r="B3748" t="inlineStr">
        <is>
          <t>Anyone else have a hard time sleeping for X continuous hours without waking up?</t>
        </is>
      </c>
      <c r="C3748" t="inlineStr">
        <is>
          <t xml:space="preserve">I can’t sleep for more than 4 hours without getting up to pee because of high (&amp;gt;140 mg/dL) or low (&amp;lt;70 mg/dL) blood sugar.
I go to bed at 10PM and occasionally get up around 2AM because I feel a burning sensation in my head and an urge to pee even though my bladder isn’t full. This happens if I’m low or high.
At first I thought it was because of drinking liquids before bed so I stopped eating anything after 7 PM but that didn’t help.
This started happening around the time I stopped going to the gym which is when I began having a hard time controlling my blood sugar.
</t>
        </is>
      </c>
      <c r="D3748" t="n">
        <v>3</v>
      </c>
      <c r="E3748" t="n">
        <v>4</v>
      </c>
      <c r="F3748">
        <f>HYPERLINK("https://www.reddit.com/r/diabetes/comments/7djhn0/anyone_else_have_a_hard_time_sleeping_for_x/")</f>
        <v/>
      </c>
      <c r="G3748" t="inlineStr">
        <is>
          <t>2017-11-17 00:29:50</t>
        </is>
      </c>
      <c r="H3748" t="inlineStr">
        <is>
          <t>Type 1</t>
        </is>
      </c>
    </row>
    <row r="3749">
      <c r="A3749" t="inlineStr">
        <is>
          <t>7dki1a</t>
        </is>
      </c>
      <c r="B3749" t="inlineStr">
        <is>
          <t>Hello Everyone</t>
        </is>
      </c>
      <c r="C3749" t="inlineStr">
        <is>
          <t xml:space="preserve">About a month ago I found myself in a hospital with DKA. At 27 I was pretty surprised that I was diagnosed with T1 Diabetes. It's been a bit of a challenge so far and I just wanted to say this community has been really helpful! Along with discussion posts, tips from others have pointed me in the direction of really helpful books, blogs, and other resources. Thanks! </t>
        </is>
      </c>
      <c r="D3749" t="n">
        <v>19</v>
      </c>
      <c r="E3749" t="n">
        <v>8</v>
      </c>
      <c r="F3749">
        <f>HYPERLINK("https://www.reddit.com/r/diabetes/comments/7dki1a/hello_everyone/")</f>
        <v/>
      </c>
      <c r="G3749" t="inlineStr">
        <is>
          <t>2017-11-17 04:13:28</t>
        </is>
      </c>
      <c r="H3749" t="inlineStr">
        <is>
          <t>Type 1</t>
        </is>
      </c>
    </row>
    <row r="3750">
      <c r="A3750" t="inlineStr">
        <is>
          <t>7dm5br</t>
        </is>
      </c>
      <c r="B3750" t="inlineStr">
        <is>
          <t>Type 1, increased water intake and experiencing more lows. Is this linked?</t>
        </is>
      </c>
      <c r="C3750" t="inlineStr">
        <is>
          <t>I've gone from drinking about half a litre of water a day to maybe 3-4 litres just overnight (I decided I had to drink more!) this was maybe 2 weeks ago and since then I've been having a lot more lows than usual. I didn't link the 2 but my girlfriend said this morning. Should I decrease my insulin intake if I'm drinking more water, or are the 2 not linked and there's another issue?</t>
        </is>
      </c>
      <c r="D3750" t="n">
        <v>9</v>
      </c>
      <c r="E3750" t="n">
        <v>8</v>
      </c>
      <c r="F3750">
        <f>HYPERLINK("https://www.reddit.com/r/diabetes/comments/7dm5br/type_1_increased_water_intake_and_experiencing/")</f>
        <v/>
      </c>
      <c r="G3750" t="inlineStr">
        <is>
          <t>2017-11-17 08:32:44</t>
        </is>
      </c>
      <c r="H3750" t="inlineStr">
        <is>
          <t>Type 1</t>
        </is>
      </c>
    </row>
    <row r="3751">
      <c r="A3751" t="inlineStr">
        <is>
          <t>7dn51x</t>
        </is>
      </c>
      <c r="B3751" t="inlineStr">
        <is>
          <t>Getting conflicting guidance</t>
        </is>
      </c>
      <c r="C3751" t="inlineStr">
        <is>
          <t>29yo male, type 1 diagnosed September 2017, on Lantus and Novolog. 
So my guidance from my PCM and endocrinologist is 1 unit per 15 carbs, and adjustments for sugar level when I'm about to eat, with the goal of 80-110 two hours after my meal. 
I went to the ER today for hypo, and the nurses there told me this is totally wrong, and I shouldn't take any insulin if my sugar is below 150, and anything 150-200 gets 1 unit. Also said I don't need to count my carbs, or check my sugar after the meal. They both have been nurses for ~30 years, and were absolutely adamant about this method. 
Thoughts please??</t>
        </is>
      </c>
      <c r="D3751" t="n">
        <v>1</v>
      </c>
      <c r="E3751" t="n">
        <v>10</v>
      </c>
      <c r="F3751">
        <f>HYPERLINK("https://www.reddit.com/r/diabetes/comments/7dn51x/getting_conflicting_guidance/")</f>
        <v/>
      </c>
      <c r="G3751" t="inlineStr">
        <is>
          <t>2017-11-17 10:58:52</t>
        </is>
      </c>
      <c r="H3751" t="inlineStr">
        <is>
          <t>Type 1</t>
        </is>
      </c>
    </row>
    <row r="3752">
      <c r="A3752" t="inlineStr">
        <is>
          <t>7dnoy8</t>
        </is>
      </c>
      <c r="B3752" t="inlineStr">
        <is>
          <t>Anyone else get stressed out about finding a new PCP after you move, getting supplies paid for, get the Rx you need on top of maintaining BG? Then the stress of it all sends your BG sky high and you stress over that too?</t>
        </is>
      </c>
      <c r="C3752" t="inlineStr">
        <is>
          <t>Sorry, I just needed to rant for a minute.</t>
        </is>
      </c>
      <c r="D3752" t="n">
        <v>47</v>
      </c>
      <c r="E3752" t="n">
        <v>23</v>
      </c>
      <c r="F3752">
        <f>HYPERLINK("https://www.reddit.com/r/diabetes/comments/7dnoy8/anyone_else_get_stressed_out_about_finding_a_new/")</f>
        <v/>
      </c>
      <c r="G3752" t="inlineStr">
        <is>
          <t>2017-11-17 12:21:19</t>
        </is>
      </c>
      <c r="H3752" t="inlineStr">
        <is>
          <t>Type 1</t>
        </is>
      </c>
    </row>
    <row r="3753">
      <c r="A3753" t="inlineStr">
        <is>
          <t>7dnz70</t>
        </is>
      </c>
      <c r="B3753" t="inlineStr">
        <is>
          <t>How long does it take to drop your averages?</t>
        </is>
      </c>
      <c r="C3753" t="inlineStr">
        <is>
          <t>Hi all,
I’d like to hear about how long it’s taken you to “reset” your blood sugars to more normal range. I feel sometimes like my body has to recalibrate from running high to running on a lower blood glucose level. Maybe this is not the best way to think about it, but in my case it seems like it takes time and consistency to get “normal” numbers and I’m trying to figure out how long that should reasonably be. 
About me: I was diagnosed T2D in the summer with A1C of 8.5. Four months later my A1C was 5.7 and my average meter reading for the last 3 months was running 116, so pretty consistent. (I test a 6-8 Times a day, it helps me understand what foods and exercise are doing). I’m on metformin ER 1000mg, I’ve lost 40 lbs through calorie counting and Increased walking, dropped my carbs to 30-45 g max at a meal and usually around 110 g or less a day. I will continued to lose weight, probably a bit slower now, but I feel so much better already. I’ve never had hypoglycemia. I occasionally dip to 80s after sustained physical activity and not eating for a while but I don’t feel very bad anymore at that level. I just feel a little hangry. So I eat, and voila, it’s fixed. 
But here’s the thing: I want the average blood sugars of a non-diabetic person. I’d like my A1C to be as low as possible. I’d like to see fasting averages below 100. My average readings seem to be slowly ticking down this last month they’ve dropped from 116 to 112, which if I can maintain would likely put me at 5.6 A1C, I think. But it’s so slow! 
How patient should I be before I try something more drastic, like keto? I’ve been pretty reluctant to do this because
of the difficulty I have with fats and gastrointestinal issues.  I tried to talk to my doctor about upping my metiformin dose, and she said no and actually told me she would be ok if I came off it and came back up a little. No thanks! 
Advice welcome!</t>
        </is>
      </c>
      <c r="D3753" t="n">
        <v>3</v>
      </c>
      <c r="E3753" t="n">
        <v>10</v>
      </c>
      <c r="F3753">
        <f>HYPERLINK("https://www.reddit.com/r/diabetes/comments/7dnz70/how_long_does_it_take_to_drop_your_averages/")</f>
        <v/>
      </c>
      <c r="G3753" t="inlineStr">
        <is>
          <t>2017-11-17 13:05:35</t>
        </is>
      </c>
      <c r="H3753" t="inlineStr">
        <is>
          <t>Type 2</t>
        </is>
      </c>
    </row>
    <row r="3754">
      <c r="A3754" t="inlineStr">
        <is>
          <t>7ducxm</t>
        </is>
      </c>
      <c r="B3754" t="inlineStr">
        <is>
          <t>Progress</t>
        </is>
      </c>
      <c r="C3754" t="inlineStr">
        <is>
          <t>Hi,
I posted 3 weeks ago when I was diagnosed with T2 (bg ~270, A1C 10.9%).
Been working on diet and exercise, with medication.
My diet is low carb (&amp;lt; 50g per day) with and I’ve lost around 12 lbs so far (over 3.5 weeks).
I’m taking metformin, just ramped up to 2000mg/day and also on lisinoprin and a statin for borderline high blood pressure and high cholesterol.
At this point my blood glucose is typically around 150/160 in the AM (dawn phenomenon?), and during the day it tends to vary from 130s to 160s. A notable exception after exercise, I’ve found it to go as low as 107.
Never seen it under 100, and only once, after a restaurant meal, it spiked over 200.  Thought I was ordering right, but restaurants are tough.   Gotta be more careful.
The metformin hasn’t been too unkind, I’ve had some of the bathroom related symptoms but nothing unmanageable. I did find myself with chills the other day, not sure if that was the result of bg lower, losing weight, medication or something else.  I was shivering and my teeth chattering away.  After a good night sleep it went away.
Curious if what I am seeing (bg levels) on metformin jives with what others have seen.  It’s clearly much improved, but certainly have a ways to go.  Hopefully continued weight loss will help, I’m in the 230’s now (from a high of 270s well before diagnosis, I was at around 246 when diagnosed), and as a 6’1” male my doctor wants me under 200 lbs.
Thanks!</t>
        </is>
      </c>
      <c r="D3754" t="n">
        <v>10</v>
      </c>
      <c r="E3754" t="n">
        <v>10</v>
      </c>
      <c r="F3754">
        <f>HYPERLINK("https://www.reddit.com/r/diabetes/comments/7ducxm/progress/")</f>
        <v/>
      </c>
      <c r="G3754" t="inlineStr">
        <is>
          <t>2017-11-18 09:35:09</t>
        </is>
      </c>
      <c r="H3754" t="inlineStr">
        <is>
          <t>Type 2</t>
        </is>
      </c>
    </row>
    <row r="3755">
      <c r="A3755" t="inlineStr">
        <is>
          <t>7dugd1</t>
        </is>
      </c>
      <c r="B3755" t="inlineStr">
        <is>
          <t>High Cholesterol</t>
        </is>
      </c>
      <c r="C3755" t="inlineStr">
        <is>
          <t>Going through my first week of being diagnosed with Late Adult Onset Type 1. My lab results came back yesterday and my cholesterol was very high (Triglycerides were 495). My PCP wants me to start taking Lipitor to bring it down. He did mention my cholesterol would come down as my BS came down. As I have noted on here before my PCP is not great to say the least and will push pills before diet. Anyone have any experience with this or have any recommendations?
Worth noting that I got an appointment with an endo in a little over a week.</t>
        </is>
      </c>
      <c r="D3755" t="n">
        <v>3</v>
      </c>
      <c r="E3755" t="n">
        <v>11</v>
      </c>
      <c r="F3755">
        <f>HYPERLINK("https://www.reddit.com/r/diabetes/comments/7dugd1/high_cholesterol/")</f>
        <v/>
      </c>
      <c r="G3755" t="inlineStr">
        <is>
          <t>2017-11-18 09:49:18</t>
        </is>
      </c>
      <c r="H3755" t="inlineStr">
        <is>
          <t>Type 1</t>
        </is>
      </c>
    </row>
    <row r="3756">
      <c r="A3756" t="inlineStr">
        <is>
          <t>7dvs66</t>
        </is>
      </c>
      <c r="B3756" t="inlineStr">
        <is>
          <t>My mother who has had type 2 diabetes for years, was called to the doctor today.</t>
        </is>
      </c>
      <c r="C3756" t="inlineStr">
        <is>
          <t>She had a checkup 3 days ago and today they had the lab results.  If the doctor calls you in, then you know it's bad.  Her blood sugar or a1c level increased.  It went from 7 to 7.8.  How bad is 7.8? What could've caused this increase? Is she allowed to eat korean bbq (tomorrow is my sisters birthday)?</t>
        </is>
      </c>
      <c r="D3756" t="n">
        <v>10</v>
      </c>
      <c r="E3756" t="n">
        <v>23</v>
      </c>
      <c r="F3756">
        <f>HYPERLINK("https://www.reddit.com/r/diabetes/comments/7dvs66/my_mother_who_has_had_type_2_diabetes_for_years/")</f>
        <v/>
      </c>
      <c r="G3756" t="inlineStr">
        <is>
          <t>2017-11-18 13:10:53</t>
        </is>
      </c>
      <c r="H3756" t="inlineStr">
        <is>
          <t>Type 2</t>
        </is>
      </c>
    </row>
    <row r="3757">
      <c r="A3757" t="inlineStr">
        <is>
          <t>7dvxz9</t>
        </is>
      </c>
      <c r="B3757" t="inlineStr">
        <is>
          <t>Going on a Plane</t>
        </is>
      </c>
      <c r="C3757" t="inlineStr">
        <is>
          <t xml:space="preserve">Am I allowed to take my diabetes equipment on? Insulin, meter, etc? what should i tell them? ive never been on a plane before </t>
        </is>
      </c>
      <c r="D3757" t="n">
        <v>6</v>
      </c>
      <c r="E3757" t="n">
        <v>18</v>
      </c>
      <c r="F3757">
        <f>HYPERLINK("https://www.reddit.com/r/diabetes/comments/7dvxz9/going_on_a_plane/")</f>
        <v/>
      </c>
      <c r="G3757" t="inlineStr">
        <is>
          <t>2017-11-18 13:36:30</t>
        </is>
      </c>
      <c r="H3757" t="inlineStr">
        <is>
          <t>Type 1</t>
        </is>
      </c>
    </row>
    <row r="3758">
      <c r="A3758" t="inlineStr">
        <is>
          <t>7dx5a3</t>
        </is>
      </c>
      <c r="B3758" t="inlineStr">
        <is>
          <t>Can you actually prevent Type 2 diabetes?</t>
        </is>
      </c>
      <c r="C3758" t="inlineStr">
        <is>
          <t xml:space="preserve">On the news media, they always talk about ways to "prevent diabetes", but can diabetes Type 2 actually be prevented?
Sure, low carb diet, exercise, stress reduction keeps bg down.  This is also true in type 1 diabetes.  However, that seems more like suppressing the disease rather than actually preventing it.  You still have Type 2 diabetes, but you don't have high bg because nothing is provoking that, so you never get the official diagnosis.  If you were to undergo a stressful event of some kind/change in diet, you would probably have high bg.
It isn't like getting a vaccine to actually prevent a disease.  Is this true?
</t>
        </is>
      </c>
      <c r="D3758" t="n">
        <v>8</v>
      </c>
      <c r="E3758" t="n">
        <v>24</v>
      </c>
      <c r="F3758">
        <f>HYPERLINK("https://www.reddit.com/r/diabetes/comments/7dx5a3/can_you_actually_prevent_type_2_diabetes/")</f>
        <v/>
      </c>
      <c r="G3758" t="inlineStr">
        <is>
          <t>2017-11-18 16:50:50</t>
        </is>
      </c>
      <c r="H3758" t="inlineStr">
        <is>
          <t>Type 2</t>
        </is>
      </c>
    </row>
    <row r="3759">
      <c r="A3759" t="inlineStr">
        <is>
          <t>7dxj1h</t>
        </is>
      </c>
      <c r="B3759" t="inlineStr">
        <is>
          <t>Anyone else have issues switching from Humalog to Novalog?</t>
        </is>
      </c>
      <c r="C3759" t="inlineStr">
        <is>
          <t>Hi all,
I've been T1 for over 15 years, and have pretty much always used the Humalog/Lantus combo. By now, I know how my body responds to food and activity pretty darn well, and have always had good control. My insurance company decided they would no longer cover the Humalog, and have forced me to switch to Novalog. I was resistant, but they denied my doctor's medical request and said I had to try the Novalog. So I've been using it for a couple of weeks now and have really been struggling with tons of highs. I'm healthy and active, but I am constantly getting 200+ readings hours after my meals!
Has anybody else had this experience? I have been exercising more, increasing my Lantus dose, taking several more units of the Novalog than I would with Humalog, and eating low carb/NO desserts. It's so very frustrating to work so hard and struggle this much after never having problems on my other insulin. Has anybody else had an experience like this? I will be reaching out to my doctor on Monday, but am super frustrated right now.</t>
        </is>
      </c>
      <c r="D3759" t="n">
        <v>2</v>
      </c>
      <c r="E3759" t="n">
        <v>23</v>
      </c>
      <c r="F3759">
        <f>HYPERLINK("https://www.reddit.com/r/diabetes/comments/7dxj1h/anyone_else_have_issues_switching_from_humalog_to/")</f>
        <v/>
      </c>
      <c r="G3759" t="inlineStr">
        <is>
          <t>2017-11-18 17:59:10</t>
        </is>
      </c>
      <c r="H3759" t="inlineStr">
        <is>
          <t>Type 1</t>
        </is>
      </c>
    </row>
    <row r="3760">
      <c r="A3760" t="inlineStr">
        <is>
          <t>7dxt7b</t>
        </is>
      </c>
      <c r="B3760" t="inlineStr">
        <is>
          <t>Is my glucose level ok?</t>
        </is>
      </c>
      <c r="C3760" t="inlineStr">
        <is>
          <t xml:space="preserve">Still learning how to control type 2. I was diagnosed about 3 months ago with a doctors visit glucose level of 402. A1c came back at 11.9. Since then I’ve been on Metformin 500mg twice a day, I’ve cut my calories down to 1200-1500 a day with carbs around 80-120 daily.  I walk 1.5 miles a day and I’ve lost about 25 lbs. i still weigh 250. (48 year old male, 5’9”) I’ve gotten my blood sugar levels down to about 90 pre meals and 135 after meals. My Reli-on meter puts my 30 day average reading at 121. So, my question is.... am I where I need to be or do I need to be more aggressive in getting my levels lower than that? I hope to keep losing weight but is my glucose still too high? </t>
        </is>
      </c>
      <c r="D3760" t="n">
        <v>3</v>
      </c>
      <c r="E3760" t="n">
        <v>15</v>
      </c>
      <c r="F3760">
        <f>HYPERLINK("https://www.reddit.com/r/diabetes/comments/7dxt7b/is_my_glucose_level_ok/")</f>
        <v/>
      </c>
      <c r="G3760" t="inlineStr">
        <is>
          <t>2017-11-18 18:49:51</t>
        </is>
      </c>
      <c r="H3760" t="inlineStr">
        <is>
          <t>Type 2</t>
        </is>
      </c>
    </row>
    <row r="3761">
      <c r="A3761" t="inlineStr">
        <is>
          <t>7e1mm3</t>
        </is>
      </c>
      <c r="B3761" t="inlineStr">
        <is>
          <t>I am losing my mind with this (rant)</t>
        </is>
      </c>
      <c r="C3761" t="inlineStr">
        <is>
          <t>I posted yesterday about my [insurance forced switch from Humalog to Novalog](https://www.reddit.com/r/diabetes/comments/7dxj1h/anyone_else_have_issues_switching_from_humalog_to/). Woke up and blood sugar was 90 because I took several more units than my usual Lantus dose last night. I had a piece of wheat toast as the only carb and thought 3 units of Novalog should be more than enough (the standard 1 unit:15g carb ratio has worked for me my whole life). Hours later and I'm &amp;gt;200. Just took 2 more units to try to correct, but I want to scream out of frustration with this. It feels like it's getting worse and worse and I feel so sick and sluggish from all of these highs. I'm hoping I can push through approval to get the insulin that actually WORKS for me before Thanksgiving, but I don't know what to do in the interim. It's so frustrating since it's the weekend and everything is closed. Thanks for listening to my rant. I'm really fed up with the healthcare system sacrificing patient care to save a buck.</t>
        </is>
      </c>
      <c r="D3761" t="n">
        <v>1</v>
      </c>
      <c r="E3761" t="n">
        <v>21</v>
      </c>
      <c r="F3761">
        <f>HYPERLINK("https://www.reddit.com/r/diabetes/comments/7e1mm3/i_am_losing_my_mind_with_this_rant/")</f>
        <v/>
      </c>
      <c r="G3761" t="inlineStr">
        <is>
          <t>2017-11-19 08:37:01</t>
        </is>
      </c>
      <c r="H3761" t="inlineStr">
        <is>
          <t>Type 1</t>
        </is>
      </c>
    </row>
    <row r="3762">
      <c r="A3762" t="inlineStr">
        <is>
          <t>7e4b4u</t>
        </is>
      </c>
      <c r="B3762" t="inlineStr">
        <is>
          <t>If you have diabetes do you have to cut ALL carbs out?</t>
        </is>
      </c>
      <c r="C3762" t="inlineStr">
        <is>
          <t>even carbs from fruits and veggies and rice?</t>
        </is>
      </c>
      <c r="D3762" t="n">
        <v>9</v>
      </c>
      <c r="E3762" t="n">
        <v>60</v>
      </c>
      <c r="F3762">
        <f>HYPERLINK("https://www.reddit.com/r/diabetes/comments/7e4b4u/if_you_have_diabetes_do_you_have_to_cut_all_carbs/")</f>
        <v/>
      </c>
      <c r="G3762" t="inlineStr">
        <is>
          <t>2017-11-19 15:04:15</t>
        </is>
      </c>
      <c r="H3762" t="inlineStr">
        <is>
          <t>Type 2</t>
        </is>
      </c>
    </row>
    <row r="3763">
      <c r="A3763" t="inlineStr">
        <is>
          <t>7e638l</t>
        </is>
      </c>
      <c r="B3763" t="inlineStr">
        <is>
          <t>T1 diabetics who have a good relationship with your endocrinologist/treatment team, how did you find them? I know there are good ones out there, but haven't seen one in awhile. Worried that I'll need to make all treatment decisions myself based on self education.</t>
        </is>
      </c>
      <c r="C3763" t="inlineStr">
        <is>
          <t>(Sorry, rant to follow) I think I was spoiled by having an amazing team when I was first diagnosed.  That was in high school. As an adult, I don't feel like I've had any positive experiences with the providers in my area. I learn my A1c, tell them my ratios, usually dictate to them how I could adjust the ratios, check out, repeat in 3-6 months. I live in the Boston area. I've been to Joslin, and other providers affiliated with my PCP, and I've always felt disappointed and discouraged after.  
My control is just OK - not bad, but I want to do better. Problem is, my body isn't the same as it was 10 yrs ago. My levels are more finicky, and I need some guidance on how to navigate through this. But so far none of the providers I've seen have been able to help me (or seem to really try). I spend a lot of time setting up appointments and then walk away with nothing gained.  It's a waste of time and my insurance company's money. 
What bothers me most is when they talk at me as if I'm learning about T1D for the first time. (I know the basics- this is my life!) Or when they try to force me into a generic T1D patient mold. I doubt most of us fit that mold perfectly. In my experience, the endocrinologist just looks at the numbers and orders tests, etc. but their advice is limited. Educators are more involved, but they tend to be fixated on other issues that aren't important to me. 
Once it had to do with pregnancy. I've never been pregnant, nor was I planning to at the time. My apt was with a nutritionist.  I wanted her to teach me about glycemic index and stuff - I never learned that part before, just the carb counting. She asked me if I plan on getting pregnant. (Relevant how?) I answer-No, not anytime soon. "But maybe at some point in the future?" I don't know, but not now. WELL-she goes on to explain-You should really see a specialist if you plan on getting pregnant. OK.... but my immediate concern is my weakness for donuts, and I want to understand how to factor in the fat and sugar content. But, apparently this nutritionist is more concerned about my pregnancy needs.  So she calls over over the specialist for pregnant diabetics, ya know, just in case.  I ended up walking away with the business card of the specialist, no new knowledge about nutrition and a few carb counting pamphlets.
Another time, I was explaining to a nurse some frustrations and issues that I wanted to work on. She kept telling me that a pump would solve all my problems. I get it- pumps are great. But I've tried them, had a bad experience, and I'm not ready to go back yet. I told her this several times. She kept insisting that I try one (again). I explain that I'm more comfortable at this point administering the insulin myself, not via computerized machine.  Maybe, I explain, the "one touch via" would be a good compromise if it ever comes to market. Then she proceeds to explain how that's only for type 2. Do I know the difference between type 1 and type 2? Clearly not-she'd better explain.  When I got home I looked up the "via" on the FDA website  (I was doubting myself after the patronizing lecture) and lo and behold, it's approved for TYPE 1.  But probably never coming to market. So nothing gained there. Apparently the guidance stops at the pump.
So...are there any providers out there who will listen, respect me as an individual patient and work on the issues I'm telling them I want help on? How do I find them? I'm trying so hard to stay healthy, but sometimes I feel like it will never be in my grasp.  I also don't know any other people who have t1d to at least bounce ideas off of, other than this subreddit - so thanks for listening :)</t>
        </is>
      </c>
      <c r="D3763" t="n">
        <v>2</v>
      </c>
      <c r="E3763" t="n">
        <v>23</v>
      </c>
      <c r="F3763">
        <f>HYPERLINK("https://www.reddit.com/r/diabetes/comments/7e638l/t1_diabetics_who_have_a_good_relationship_with/")</f>
        <v/>
      </c>
      <c r="G3763" t="inlineStr">
        <is>
          <t>2017-11-19 19:52:46</t>
        </is>
      </c>
      <c r="H3763" t="inlineStr">
        <is>
          <t>Type 1</t>
        </is>
      </c>
    </row>
    <row r="3764">
      <c r="A3764" t="inlineStr">
        <is>
          <t>7e9htt</t>
        </is>
      </c>
      <c r="B3764" t="inlineStr">
        <is>
          <t>Am I starving my brain?</t>
        </is>
      </c>
      <c r="C3764" t="inlineStr">
        <is>
          <t>First post on this sub (I think). I am in the process of changing doctors because my current GP always defers diabetic questions to the nutritionist with whom I have a difficult relationship (she is incredulous and contemptuous that I couldn't remember what I ate several days ago). Anyway ....
Anyone know this? When my blood glucose reading is low (50-70) and I snack to bring it back up to around 100-120 do I need to inject insulin to make that available for metabolism? Is the fact that blood glucose is rising and my low BGL symptoms are receding mean that I still produce *some* pancreatic insulin or am I raising BGL but still starving my brain? If so, how would symptoms recede? Would insulin just seesaw me back too low?
I have not really started seeing my new doctor who will (I hope) refer me to an endocrinologist who will answer this but ya'll are a vast resource I thought I could mine in the meantime. Getting hooked up with the endo. could take another month. Thanks for your thoughts.</t>
        </is>
      </c>
      <c r="D3764" t="n">
        <v>3</v>
      </c>
      <c r="E3764" t="n">
        <v>7</v>
      </c>
      <c r="F3764">
        <f>HYPERLINK("https://www.reddit.com/r/diabetes/comments/7e9htt/am_i_starving_my_brain/")</f>
        <v/>
      </c>
      <c r="G3764" t="inlineStr">
        <is>
          <t>2017-11-20 07:12:28</t>
        </is>
      </c>
      <c r="H3764" t="inlineStr">
        <is>
          <t>Type 1.5/LADA</t>
        </is>
      </c>
    </row>
    <row r="3765">
      <c r="A3765" t="inlineStr">
        <is>
          <t>7eaq4m</t>
        </is>
      </c>
      <c r="B3765" t="inlineStr">
        <is>
          <t>10 Year Old T1 Daughter and Rage Issues. Does Anyone Else See This?</t>
        </is>
      </c>
      <c r="C3765" t="inlineStr">
        <is>
          <t>So my daughter is the youngest of 3, and she started acting out a bit just before being dx'd 4 years ago.  Now it is a daily occurrence.
At first, we blamed it on highs, but she continues to lash out for little reasons.
Example.  Her 17 yo sister asks her to go and get something for her.  Most of the time it is no big deal, but sometimes it triggers something in her that makes her just scream at everyone uncontrollably.  She will say hateful things to everyone who tries to get her to calm down.  She is not really violent, but is clearly frustrated beyond all control.
5-10 minutes later she is completely remorseful and apologetic, and doesn't understand why she can't control it.  Another trigger is homework time, as she has been a bit delayed since Dx, though she is catching up.  Anger builds with frustration at these times as well.
Further info:  She is very sensitive.  A small issue like me asking her for the 4th time to clean something up will get her to do it in a resentful way, then later worry that I am mad at her.  I try to explain that the small stuff is no big deal and I am over it.  She worries that no one likes her after these outbursts.
We've talked to the doc, and they have suggested coulsining, but there is a huge wait unless we want to drive 90 minutes away twice a week for sessions.  We(I) and come to the conclusion that it is a combination of several things.  First, the underlying resentment of having this bullshit disease and having to deal with it.  Second, her feeling inadequate do to her being behind in  school, but this is getting better.  The third is the toughest.  her sister is 17 and whatever she touches turns to gold.  She is the perfect kid.  4.0+, graduating high school with nearly and associates degree, all while lettering 4 years in to concurrent fall sports, homecoming queen, volunteers all the time, etc.  That's a tough act to follow, and impossible to emulate.
As far as we are concerned, we try not to enable her, but it is hard not to "give her a break".  We do not excuse the behavior, but may not be as tough on her as we would with the other kids for similar behavior.
Finally, this behavior usually only happens at home or with her cousins her age.  I do have to say that they can tease and be total assholes, and she has learned to stick up for herself.  Their teasing is not malicious.  It is not like they make fun of her T1 or anything, but they really know how to push her buttons, and seem to enjoy her overreacting rage.
She has plenty of friends at school and is surprisingly a leader at school.  She handles the bullies pretty well, but will have at least a few stories a week where she was wronged in some way.  I do not want her to be a victim her whole life.
So, after that rant, has anyone seen anything similar?  Any advice?</t>
        </is>
      </c>
      <c r="D3765" t="n">
        <v>1</v>
      </c>
      <c r="E3765" t="n">
        <v>8</v>
      </c>
      <c r="F3765">
        <f>HYPERLINK("https://www.reddit.com/r/diabetes/comments/7eaq4m/10_year_old_t1_daughter_and_rage_issues_does/")</f>
        <v/>
      </c>
      <c r="G3765" t="inlineStr">
        <is>
          <t>2017-11-20 10:00:12</t>
        </is>
      </c>
      <c r="H3765" t="inlineStr">
        <is>
          <t>Type 1</t>
        </is>
      </c>
    </row>
    <row r="3766">
      <c r="A3766" t="inlineStr">
        <is>
          <t>7eb2ok</t>
        </is>
      </c>
      <c r="B3766" t="inlineStr">
        <is>
          <t>Water weight</t>
        </is>
      </c>
      <c r="C3766" t="inlineStr">
        <is>
          <t xml:space="preserve">Does anyone have trouble with water weight? I work out and I eat really well (a lot better than most of my friends), but my weight fluctuates a lot. One day I can be 65kg and looking really fit and toned (and my clothes are hanging off me they’re so big), and the next day (especially if I’ve eaten some carby / unhealthy food), I can be 69kg, looking a lot heavier and none of my clothes fit because they’re too tight. It sucks because I try really hard to be healthy and I do a fair amount of sport and try not to eat too much and also limit any junk food (but I definitely eat enough). 
I asked my doctor in case it was thyroid issues, and he wasn’t concerned (and also said it wouldn’t be to do with Diabetes) but I read up and I think maybe it’s water weight? I definitely think it’s related to my Diabetes (control isn’t always so great, so apart from having to take in a lot of extra sugar when exercising, I have highs (17+) fairly often). I read water weight can happen when you’re dehydrated and that excess sodium can causes it because your body I dehydrated - but I reckon for us diabetics the extra sugar in the blood would have the same effect - is that right? I know my face always goes puffy when I’m high too. Its also something that fluctuates naturally with my monthly cycle. 
Otherwise it might just be me hitting my mid twenties and my metabolism giving out (cries), but as someone that’s always been in pretty good shape, it’ll be really depressing if one slice of cake really has this much of an effect the next day. 
Does anyone else get this (particularly females), and is there anything you guys do about it? </t>
        </is>
      </c>
      <c r="D3766" t="n">
        <v>5</v>
      </c>
      <c r="E3766" t="n">
        <v>8</v>
      </c>
      <c r="F3766">
        <f>HYPERLINK("https://www.reddit.com/r/diabetes/comments/7eb2ok/water_weight/")</f>
        <v/>
      </c>
      <c r="G3766" t="inlineStr">
        <is>
          <t>2017-11-20 10:45:19</t>
        </is>
      </c>
      <c r="H3766" t="inlineStr">
        <is>
          <t>Type 1</t>
        </is>
      </c>
    </row>
    <row r="3767">
      <c r="A3767" t="inlineStr">
        <is>
          <t>7efbzb</t>
        </is>
      </c>
      <c r="B3767" t="inlineStr">
        <is>
          <t>Had to leave my brother's wedding early</t>
        </is>
      </c>
      <c r="C3767" t="inlineStr">
        <is>
          <t>Changed my pump's infusion site before we left, as it turns out it didn't penetrate the skin (thanks insertion device!).  My blood sugar was 258 at the ceremony, which I thought was strange.  At the reception I started feeling real, real bad and turns out I was at 458.  Tried to bolus correct and my wife smelled the insulin (she's good like that).
I guess being 30 and diabetic, really high blood sugar hits you way worse.  I haven't had blood sugar this high in a long time, and certainly never felt this bad.
Home now, got some insulin in me, but god damnit... fuck you diabetes... there's nothing I could have done to know the infusion set didn't go in.  Why on this day of all days...</t>
        </is>
      </c>
      <c r="D3767" t="n">
        <v>5</v>
      </c>
      <c r="E3767" t="n">
        <v>11</v>
      </c>
      <c r="F3767">
        <f>HYPERLINK("https://www.reddit.com/r/diabetes/comments/7efbzb/had_to_leave_my_brothers_wedding_early/")</f>
        <v/>
      </c>
      <c r="G3767" t="inlineStr">
        <is>
          <t>2017-11-20 20:57:11</t>
        </is>
      </c>
      <c r="H3767" t="inlineStr">
        <is>
          <t>Type 1</t>
        </is>
      </c>
    </row>
    <row r="3768">
      <c r="A3768" t="inlineStr">
        <is>
          <t>7ehh1q</t>
        </is>
      </c>
      <c r="B3768" t="inlineStr">
        <is>
          <t>How to spot a bad pod...</t>
        </is>
      </c>
      <c r="C3768" t="inlineStr">
        <is>
          <t>This is the third time I've had this problem in the last few weeks.
Note to self: When you can't get your blood sugar to come down and can only manage to do so after some time and with lots of extra insulin, always suspect the pod!
https://imgur.com/a/R4DU3
I wish I could show you 48 hours because the previous 24 hours were brutal as well.
Can you see where the insulin was going? Under the pod! Too bad I can't absorb it through my skin, I would have been fine.
This is really tough on my body. I wish I understood why some infusion holes push the insulin back out. This is new. I'd never had this problem until recently. What's changed?
Anyone else having this issue? Any ideas / suggestions?
I gotta get better at spotting these...
When in doubt, change the pod!!!!
Good night everyone.</t>
        </is>
      </c>
      <c r="D3768" t="n">
        <v>15</v>
      </c>
      <c r="E3768" t="n">
        <v>10</v>
      </c>
      <c r="F3768">
        <f>HYPERLINK("https://www.reddit.com/r/diabetes/comments/7ehh1q/how_to_spot_a_bad_pod/")</f>
        <v/>
      </c>
      <c r="G3768" t="inlineStr">
        <is>
          <t>2017-11-21 04:25:04</t>
        </is>
      </c>
      <c r="H3768" t="inlineStr">
        <is>
          <t>Type 1</t>
        </is>
      </c>
    </row>
    <row r="3769">
      <c r="A3769" t="inlineStr">
        <is>
          <t>7ej0qw</t>
        </is>
      </c>
      <c r="B3769" t="inlineStr">
        <is>
          <t>What's the highest your BG levels have ever gone?</t>
        </is>
      </c>
      <c r="C3769" t="inlineStr">
        <is>
          <t>I just had by far my highest, and I don't even know exactly how high it was. My reader only tests up to 600</t>
        </is>
      </c>
      <c r="D3769" t="n">
        <v>8</v>
      </c>
      <c r="E3769" t="n">
        <v>23</v>
      </c>
      <c r="F3769">
        <f>HYPERLINK("https://www.reddit.com/r/diabetes/comments/7ej0qw/whats_the_highest_your_bg_levels_have_ever_gone/")</f>
        <v/>
      </c>
      <c r="G3769" t="inlineStr">
        <is>
          <t>2017-11-21 08:25:16</t>
        </is>
      </c>
      <c r="H3769" t="inlineStr">
        <is>
          <t>Type 1</t>
        </is>
      </c>
    </row>
    <row r="3770">
      <c r="A3770" t="inlineStr">
        <is>
          <t>7ekvpq</t>
        </is>
      </c>
      <c r="B3770" t="inlineStr">
        <is>
          <t>I've never had a day like today. Two infusion sets with obstruction!</t>
        </is>
      </c>
      <c r="C3770" t="inlineStr">
        <is>
          <t xml:space="preserve">Just a short rant.
I started the day with a fresh infusion set (Medtronic Quickset). Got ready and headed to work (a ~45 minute commute) 
About 30 minutes into my work day, my pump starts buzzing "NO DELIVERY". Great. That explains my bg climbing to 230mg/dl before even having breakfast. 
So I try some usual tricks... make sure the tubing is delivering insulin, shake my belly around the infusion set, flick it. Try to shake loose anything that might be obstructing. But no luck.
An hour into my work day, I explain I have to go back home, and leave for the day. Got home, took out the infusion set, and sure enough, the [cannula was kinked](https://imgur.com/jaJfsE4) somehow. 
So I put a new infusion set on (about 1/2" away from the old site, since that area was due for rotation). Give myself a heft dose to bring the high back down, and dig into working from home.
Shortly later.... "NO DELIVERY". What the hell!
So I pulled out the infusion set. No kinks this time. So I bolused a small amount with the infusion set still connected to the tubing, and saw insulin coming out. So it must have been obstructed by scar tissue or something?? 
Anyway, I grabbed my backup lantus &amp;amp; novolog pens and shot up. Fuck the pump for today. </t>
        </is>
      </c>
      <c r="D3770" t="n">
        <v>10</v>
      </c>
      <c r="E3770" t="n">
        <v>6</v>
      </c>
      <c r="F3770">
        <f>HYPERLINK("https://www.reddit.com/r/diabetes/comments/7ekvpq/ive_never_had_a_day_like_today_two_infusion_sets/")</f>
        <v/>
      </c>
      <c r="G3770" t="inlineStr">
        <is>
          <t>2017-11-21 12:24:54</t>
        </is>
      </c>
      <c r="H3770" t="inlineStr">
        <is>
          <t>Type 1</t>
        </is>
      </c>
    </row>
    <row r="3771">
      <c r="A3771" t="inlineStr">
        <is>
          <t>7enokr</t>
        </is>
      </c>
      <c r="B3771" t="inlineStr">
        <is>
          <t>Does anyone know what % of the earths population has type 1 diabetes?</t>
        </is>
      </c>
      <c r="C3771" t="inlineStr">
        <is>
          <t xml:space="preserve">I was just wondering how rare it is to get (lucky us right?) but I couldn't find any definitive answers anywhere. Cheers x </t>
        </is>
      </c>
      <c r="D3771" t="n">
        <v>8</v>
      </c>
      <c r="E3771" t="n">
        <v>6</v>
      </c>
      <c r="F3771">
        <f>HYPERLINK("https://www.reddit.com/r/diabetes/comments/7enokr/does_anyone_know_what_of_the_earths_population/")</f>
        <v/>
      </c>
      <c r="G3771" t="inlineStr">
        <is>
          <t>2017-11-21 19:07:39</t>
        </is>
      </c>
      <c r="H3771" t="inlineStr">
        <is>
          <t>Type 1</t>
        </is>
      </c>
    </row>
    <row r="3772">
      <c r="A3772" t="inlineStr">
        <is>
          <t>7eopmm</t>
        </is>
      </c>
      <c r="B3772" t="inlineStr">
        <is>
          <t>Any way to prolong the Honeymoon?</t>
        </is>
      </c>
      <c r="C3772" t="inlineStr">
        <is>
          <t xml:space="preserve">Hello all,
I've been lurking since my initial diagnosis in August. I want to thank everyone who takes time to post, it has been very helpful and informative and has assisted me in getting the correct diagnosis quickly.
My A1c was 12.7 at diagnosis in late August 2017 (was normal a year ago), and I responded so well to metformin / diet / exercise (A1C was 6.2) and had a normal C-peptide  that my GP seemed to think I was probably more of a type 2. 
I don't blame him, I'm 40 and a bit overweight, however due to a family history of Type 1 and my personal experience matching some of the stories on here, I was pretty insistent about seeing an Endo.  Figured I get the antibodies drawn, and if negative... hopefully never have to see an endo again.  
Well both my GAD and IA-2 antibodies came back positive. SO here I am.  Very clearly in a honeymoon period... my BG is very well controlled for the moment. But I know there is a wall out there, and when I hit it... that will all change.  Any advice anyone could give, on delaying or softening that impact would be appreciated.
Thanks  </t>
        </is>
      </c>
      <c r="D3772" t="n">
        <v>9</v>
      </c>
      <c r="E3772" t="n">
        <v>9</v>
      </c>
      <c r="F3772">
        <f>HYPERLINK("https://www.reddit.com/r/diabetes/comments/7eopmm/any_way_to_prolong_the_honeymoon/")</f>
        <v/>
      </c>
      <c r="G3772" t="inlineStr">
        <is>
          <t>2017-11-21 22:01:40</t>
        </is>
      </c>
      <c r="H3772" t="inlineStr">
        <is>
          <t>Type 1.5/LADA</t>
        </is>
      </c>
    </row>
    <row r="3773">
      <c r="A3773" t="inlineStr">
        <is>
          <t>7eqqez</t>
        </is>
      </c>
      <c r="B3773" t="inlineStr">
        <is>
          <t>A1C Results are in!</t>
        </is>
      </c>
      <c r="C3773" t="inlineStr">
        <is>
          <t>Background: Was diagnosed Type I on September 10th at age 27 with a 14.6 A1C. I had my first lab draws for my new Endo a few weeks later resulting in a little drop to 12.
Well, just did my labs for my my 3 month check-in with my Endo and I've brought my A1C down to a 6.7! 
Big shout out to Dexcom, low carb, and my OCD.</t>
        </is>
      </c>
      <c r="D3773" t="n">
        <v>74</v>
      </c>
      <c r="E3773" t="n">
        <v>35</v>
      </c>
      <c r="F3773">
        <f>HYPERLINK("https://www.reddit.com/r/diabetes/comments/7eqqez/a1c_results_are_in/")</f>
        <v/>
      </c>
      <c r="G3773" t="inlineStr">
        <is>
          <t>2017-11-22 04:55:33</t>
        </is>
      </c>
      <c r="H3773" t="inlineStr">
        <is>
          <t>Type 1</t>
        </is>
      </c>
    </row>
    <row r="3774">
      <c r="A3774" t="inlineStr">
        <is>
          <t>7eqw9s</t>
        </is>
      </c>
      <c r="B3774" t="inlineStr">
        <is>
          <t>Feeling high when normal 😑</t>
        </is>
      </c>
      <c r="C3774" t="inlineStr">
        <is>
          <t>Do any of you ever feel like your BG is really high but your actually in range?</t>
        </is>
      </c>
      <c r="D3774" t="n">
        <v>5</v>
      </c>
      <c r="E3774" t="n">
        <v>7</v>
      </c>
      <c r="F3774">
        <f>HYPERLINK("https://www.reddit.com/r/diabetes/comments/7eqw9s/feeling_high_when_normal/")</f>
        <v/>
      </c>
      <c r="G3774" t="inlineStr">
        <is>
          <t>2017-11-22 05:23:33</t>
        </is>
      </c>
      <c r="H3774" t="inlineStr">
        <is>
          <t>Type 1</t>
        </is>
      </c>
    </row>
    <row r="3775">
      <c r="A3775" t="inlineStr">
        <is>
          <t>7ersek</t>
        </is>
      </c>
      <c r="B3775" t="inlineStr">
        <is>
          <t>Looking for advice on how to seriously talk to my father (T2) who isn't being cautious with his diet AT ALL.</t>
        </is>
      </c>
      <c r="C3775" t="inlineStr">
        <is>
          <t>Hey guys, i just found this sub and i hope my post is okay.
My father (49) has been diagnosed with type 2 six months ago and he is on Metformin (dont know exact dosage). I wasn't living in the same country as him at that time but now i am and i am quite shocked when i look at his diet. I am not sure if he is just uneducated or he doesn't really give a shit about what he eats and drinks. I had an argument with him once bc he said that dark wheat bread is healthy just because it's dark. I told him, no. Anyway, you kind of get what type of person he is. A smartass. He eats bread with all of his meals. Mostly white. Mostly drinks ice tea and coke. So much coke. He doesnt shy away from desserts as well. I myself am pretty cautious bc after all i know what kind of risk i have to get it as well. I try to eat desserts as rarely as i can, try to replace wheat foods with spelt, etc etc. How can i talk to him without lecturing him or judging him? What is most effective when talking about the consequences diabetes can have? Thanks for the advice!</t>
        </is>
      </c>
      <c r="D3775" t="n">
        <v>1</v>
      </c>
      <c r="E3775" t="n">
        <v>7</v>
      </c>
      <c r="F3775">
        <f>HYPERLINK("https://www.reddit.com/r/diabetes/comments/7ersek/looking_for_advice_on_how_to_seriously_talk_to_my/")</f>
        <v/>
      </c>
      <c r="G3775" t="inlineStr">
        <is>
          <t>2017-11-22 07:38:27</t>
        </is>
      </c>
      <c r="H3775" t="inlineStr">
        <is>
          <t>Type 2</t>
        </is>
      </c>
    </row>
    <row r="3776">
      <c r="A3776" t="inlineStr">
        <is>
          <t>7esorv</t>
        </is>
      </c>
      <c r="B3776" t="inlineStr">
        <is>
          <t>Need help carb-counting for my niece for Thanskgiving!</t>
        </is>
      </c>
      <c r="C3776" t="inlineStr">
        <is>
          <t>Hello! 
So I am not diabetic and have extremely limited knowledge of diabetes but a fairly good handle on food labels. My niece, who is 5, just got diagnosed with type 1 diabetes about a month ago and has been on an extremely strict food regimen. We're going to my brother in laws for Thanksgiving and I told them I wanted to try making a dessert that their daughter could try. I found a really yummy recipe for a low carb pumpkin cheesecake but I have kind of hit a wall when it comes to sugar replacements.
I bought a bag of the baking truvia, but it is confusing the hell out of me to try and calculate how many carbs is in it. It says it has 2g of carbs per 1/2 tsp but half of that is from erythritol, which I've read doesn't affect blood sugar or insulin levels. So do I count it as 1g of carbs per 1/2 tsp or 2g? I just want to make sure I am doing this right. &amp;gt;&amp;lt;
Thanks in advance for the help!</t>
        </is>
      </c>
      <c r="D3776" t="n">
        <v>3</v>
      </c>
      <c r="E3776" t="n">
        <v>10</v>
      </c>
      <c r="F3776">
        <f>HYPERLINK("https://www.reddit.com/r/diabetes/comments/7esorv/need_help_carbcounting_for_my_niece_for/")</f>
        <v/>
      </c>
      <c r="G3776" t="inlineStr">
        <is>
          <t>2017-11-22 09:36:09</t>
        </is>
      </c>
      <c r="H3776" t="inlineStr">
        <is>
          <t>Type 1</t>
        </is>
      </c>
    </row>
    <row r="3777">
      <c r="A3777" t="inlineStr">
        <is>
          <t>7et01m</t>
        </is>
      </c>
      <c r="B3777" t="inlineStr">
        <is>
          <t>Just got a freestyle libre, but I'm a hockey goalie. Need help on where to place it so shots don't break it or knock it off me.</t>
        </is>
      </c>
      <c r="C3777" t="inlineStr">
        <is>
          <t>Title, it says it all. I just don't know if my arm would be protected enough to wear it there? I never wore my dexcom there for the same fear.</t>
        </is>
      </c>
      <c r="D3777" t="n">
        <v>5</v>
      </c>
      <c r="E3777" t="n">
        <v>8</v>
      </c>
      <c r="F3777">
        <f>HYPERLINK("https://www.reddit.com/r/diabetes/comments/7et01m/just_got_a_freestyle_libre_but_im_a_hockey_goalie/")</f>
        <v/>
      </c>
      <c r="G3777" t="inlineStr">
        <is>
          <t>2017-11-22 10:17:25</t>
        </is>
      </c>
      <c r="H3777" t="inlineStr">
        <is>
          <t>Type 1</t>
        </is>
      </c>
    </row>
    <row r="3778">
      <c r="A3778" t="inlineStr">
        <is>
          <t>7etit3</t>
        </is>
      </c>
      <c r="B3778" t="inlineStr">
        <is>
          <t>New Type 2 - Should I Fight It?</t>
        </is>
      </c>
      <c r="C3778" t="inlineStr">
        <is>
          <t>A little long winded here, but some history...maybe somebody can set me straight.
I'm a 43, 6'1" and 217 lbs white male.  I'm probably a good 40 pounds overweight.
The last few doctor's appointments my doctor has stated I'm pre-diabetic.  This last time I went, she took my A1C and said I'm now type 2.  I think it's starting to finally register with me that there a problem.
I've been on high blood pressure medicine for probably 10 years, baby asprin the last 2 years, and high cholesterol for 2 years.
My brain still thinks I'm still 18, but my body some days feels like 18, other days feels like 60.
I enjoy a cigar occasionally and even just started brewing my own beer.  I'm basically living life and loving it.  But this diabetes thing is starting to scare the crap out of me.
My doctor just prescribed lisinopril (5mg) and metformin (500mg) and it's just something I don't want to take.  I'm thinking I can pull myself together, get on the treadmill, stop smoking and enjoy an occasional beer - and turn my life around.  
Is it possible?  Sure, I've done it before.  We had an office weight loss contest years ago and I walked away the winner.  Finishing at 183 pounds and taking away $1000 from the other contestants.  I felt and looked great.
I'm not a junk food eater.  I'd rather have steaks and salad than chips and Halloween candy.  For sweets, I'm usually wanting a banana or apple or something.
I'm not big into self mutilation and needles, so I don't do the test strip thing either.  The machine and strips are still in the box.  I just don't enjoy poking myself - another part of this disease I despise.
Anyway, I'm thinking of trying it my way - excersize, healthy plate, no carbs, etc. and at my next checkup in March and see what happens - if it comes out good or bad - tell her the truth either way and see what she says.
Am I just delaying the inevitable?  Do I get a second opinion on my meds (does all this crap make it worse)?
Thanks all to any help or insight.
Steve</t>
        </is>
      </c>
      <c r="D3778" t="n">
        <v>0</v>
      </c>
      <c r="E3778" t="n">
        <v>6</v>
      </c>
      <c r="F3778">
        <f>HYPERLINK("https://www.reddit.com/r/diabetes/comments/7etit3/new_type_2_should_i_fight_it/")</f>
        <v/>
      </c>
      <c r="G3778" t="inlineStr">
        <is>
          <t>2017-11-22 11:25:03</t>
        </is>
      </c>
      <c r="H3778" t="inlineStr">
        <is>
          <t>Type 2</t>
        </is>
      </c>
    </row>
    <row r="3779">
      <c r="A3779" t="inlineStr">
        <is>
          <t>7ev156</t>
        </is>
      </c>
      <c r="B3779" t="inlineStr">
        <is>
          <t>Favorite mixed drink?</t>
        </is>
      </c>
      <c r="C3779" t="inlineStr">
        <is>
          <t>I am Type 1 and just turned 21 a few days ago, my brother and I have been trying to come up with a few drinks at bars that won’t raise my BG too much. 
So what is your go to drink when you go out with friends?</t>
        </is>
      </c>
      <c r="D3779" t="n">
        <v>1</v>
      </c>
      <c r="E3779" t="n">
        <v>10</v>
      </c>
      <c r="F3779">
        <f>HYPERLINK("https://www.reddit.com/r/diabetes/comments/7ev156/favorite_mixed_drink/")</f>
        <v/>
      </c>
      <c r="G3779" t="inlineStr">
        <is>
          <t>2017-11-22 14:53:08</t>
        </is>
      </c>
      <c r="H3779" t="inlineStr">
        <is>
          <t>Type 1</t>
        </is>
      </c>
    </row>
    <row r="3780">
      <c r="A3780" t="inlineStr">
        <is>
          <t>7evx5y</t>
        </is>
      </c>
      <c r="B3780" t="inlineStr">
        <is>
          <t>How do I keep lowering my fasting blood sugar?</t>
        </is>
      </c>
      <c r="C3780" t="inlineStr">
        <is>
          <t>Hey everyone. 
When I was first diagnosed with T2 last month my sugars were at 277 during my first blood test. I'm on metformin 1000 mg 2x a day and a Bydureon shot weekly as well as metoprolol once a day. My sugars started out in the mornings ranging anywhere from 136 to 159 to 170. Recently I've seen it go down to 124, 118, 131, etc. I cut out pretty much all sugar except negligible amounts, adopted a low-carb diet (lazy keto) and drink water, unsweet tea, and the occasional diet soda. Since diagnosed I've gone from 274 lbs to 261. Yet my sugars still don't seem to be getting down to the sweet spot I've been hoping to see. Is there something I'm doing wrong? Do I need to just lose more weight and exercise to see a big change?
I have a doctor's appointment next week as a follow-up, but I'm just wondering if I'm seeing the right trends, or if there's something I might need to do extra. Any help is appreciated!</t>
        </is>
      </c>
      <c r="D3780" t="n">
        <v>3</v>
      </c>
      <c r="E3780" t="n">
        <v>12</v>
      </c>
      <c r="F3780">
        <f>HYPERLINK("https://www.reddit.com/r/diabetes/comments/7evx5y/how_do_i_keep_lowering_my_fasting_blood_sugar/")</f>
        <v/>
      </c>
      <c r="G3780" t="inlineStr">
        <is>
          <t>2017-11-22 17:14:17</t>
        </is>
      </c>
      <c r="H3780" t="inlineStr">
        <is>
          <t>Type 2</t>
        </is>
      </c>
    </row>
    <row r="3781">
      <c r="A3781" t="inlineStr">
        <is>
          <t>7exat7</t>
        </is>
      </c>
      <c r="B3781" t="inlineStr">
        <is>
          <t>My Girlfriend is diabetic and doesn't take care of herself, and i don't know what to do..</t>
        </is>
      </c>
      <c r="C3781" t="inlineStr">
        <is>
          <t>I'll try and keep this short but I feel like some back story is necessary.
My Girlfriend(23) and I started dating about 6 months ago. within the first few weeks she mentioned to me that she was a T2 diabetic, but she led me to believe that her condition was not very serious, as she only occasionally needed to take insulin and that while she tried to watch what she ate it wasn't a big deal if she had some soda or high carb snacks.. I knew at the time what diabetes was, but admit that i was (and to an extent still am) very ignorant of the in's and out's of diabetes. Due to circumstances that aren't important here, we ended up living together and have been for a few months now. Once she moved in i noticed that she never checked her blood sugar, despite eating a lot of high carb meals and drinking soda, which led to me starting to read more and more about diabetes and trying to educate myself on the subject. The more i read the more worried i became that she wasn't taking her diabetes as seriously as she should. after some poking and prodding on my part i convinced her to invest in a blood sugar meter and over the last several days she's been checking her blood sugar a couple times a day.. From everything i'm reading online it says that safe or normal blood sugar levels are anywhere from 70 to 180 depending on how recently you eaten etc., that 180 - 240 is a problem that needs to be corrected, and that anything over 300 is serious, and that you should seek immediate medical attention. 
.. and thats what scares me. every time over the last several days that she's taken her blood sugar it has read between 310 and 370. I care about her deeply and i'm worried about her, but she insists that she's fine, and that while she needs to get it down that i shouldn't be so worried about it.. after taking her blood sugar and finding it that high, she takes a little fast acting insulin and then within the hour she is snaking on crackers and drinking a soda..
 I don't want to be that overbearing/controlling boyfriend that tells her what she should and shouldn't eat, that she needs to get this under control or that she needs to go to the doctor/urgent care but everything i read online suggests that that is what i should do.. my mother is a nurse at a local hospital and she told me to just straight bring her to the ER if her blood sugar is that high, and i'm inclined to believe that my mother (the most caring and loving person i know) is right.. but i have no idea how to approach her without offending her. she's already kinda snipped at me for making any kind of suggestion that she should watch her carb intake and i don't want to upset her.. I feel like it's not really my place to tell her how to live her life.. but i don't want to sit back and watch her destroy her health either.. I was hoping that maybe someone here has had some experience with a similar situation with a loved one or someone with diabetes thats been in a mindset like the one my gf currently has could tell me how to approach the situation.. I love and care about her very much, and i just don't want her to suffer the health consequences of uncontrolled diabetes.. but i haven't the slightest idea what i should/can do.. I would appreciate any advice you can offer. My thanks in advance.</t>
        </is>
      </c>
      <c r="D3781" t="n">
        <v>0</v>
      </c>
      <c r="E3781" t="n">
        <v>13</v>
      </c>
      <c r="F3781">
        <f>HYPERLINK("https://www.reddit.com/r/diabetes/comments/7exat7/my_girlfriend_is_diabetic_and_doesnt_take_care_of/")</f>
        <v/>
      </c>
      <c r="G3781" t="inlineStr">
        <is>
          <t>2017-11-22 21:14:56</t>
        </is>
      </c>
      <c r="H3781" t="inlineStr">
        <is>
          <t>Type 2</t>
        </is>
      </c>
    </row>
    <row r="3782">
      <c r="A3782" t="inlineStr">
        <is>
          <t>7eznzw</t>
        </is>
      </c>
      <c r="B3782" t="inlineStr">
        <is>
          <t>Starting Thanksgiving Off With A Bang</t>
        </is>
      </c>
      <c r="C3782" t="inlineStr">
        <is>
          <t xml:space="preserve">Been on keto and blood sugars have been amazing for a bit now. Planned out what I'm eating today: turkey, vegetables, and sugar free chocolates in order to continue my streak. Last night my blood sugar dropped, so I ate some crackers which were more carbs than I've had in the past few weeks. I went to bed with normal blood sugar and woke up at 456. I own my mistake of too many crackers and not having juice and peanut butter instead. 
I sincerely wish everyone a Happy Thanksgiving and wonderful blood sugars!
</t>
        </is>
      </c>
      <c r="D3782" t="n">
        <v>3</v>
      </c>
      <c r="E3782" t="n">
        <v>0</v>
      </c>
      <c r="F3782">
        <f>HYPERLINK("https://www.reddit.com/r/diabetes/comments/7eznzw/starting_thanksgiving_off_with_a_bang/")</f>
        <v/>
      </c>
      <c r="G3782" t="inlineStr">
        <is>
          <t>2017-11-23 05:34:43</t>
        </is>
      </c>
      <c r="H3782" t="inlineStr">
        <is>
          <t>Type 1</t>
        </is>
      </c>
    </row>
    <row r="3783">
      <c r="A3783" t="inlineStr">
        <is>
          <t>7f78wl</t>
        </is>
      </c>
      <c r="B3783" t="inlineStr">
        <is>
          <t>Hot showers</t>
        </is>
      </c>
      <c r="C3783" t="inlineStr">
        <is>
          <t>Am I the only one who experiences increased insulin absorption while taking hot showers? I can bolus and by the time I get out I hear my pump going off because of the downward trend. Maybe it’s a placebo effect lol</t>
        </is>
      </c>
      <c r="D3783" t="n">
        <v>31</v>
      </c>
      <c r="E3783" t="n">
        <v>24</v>
      </c>
      <c r="F3783">
        <f>HYPERLINK("https://www.reddit.com/r/diabetes/comments/7f78wl/hot_showers/")</f>
        <v/>
      </c>
      <c r="G3783" t="inlineStr">
        <is>
          <t>2017-11-24 04:42:41</t>
        </is>
      </c>
      <c r="H3783" t="inlineStr">
        <is>
          <t>Type 1</t>
        </is>
      </c>
    </row>
    <row r="3784">
      <c r="A3784" t="inlineStr">
        <is>
          <t>7f792w</t>
        </is>
      </c>
      <c r="B3784" t="inlineStr">
        <is>
          <t>Dangerous lows, every night.</t>
        </is>
      </c>
      <c r="C3784" t="inlineStr">
        <is>
          <t>Almost every night, for the past two weeks, my girlfriend has had this dangerous low around 3AM. I’ve gotten into the habit of setting alarm for about 2:30AM just to prepare... just this night she got down to 17mg/dL... she couldn’t see at all. She grabbed, what she thought where her emergency candy, a bottle of juice. We don’t know what’s causing her to drop? She’ll be around 70-130 before bed... but it just takes a plunge. I mean even after Thanksgiving? Her regimen was very large for her body size (she’s 5’2” 105 lb.) but she is taking 2 units for every 50 over 150 and 1 unit for every 10g of carbs. That’s when her a1C was 16ish... now she’s down to 12. Could this be it? She takes Lantus at 8pm every night. She rarely doses before bed unless she snacks.
As bad as this may sound, I miss when my girlfriend had a higher blood sugar average… I know it’s worse, but I hate seeing her in the pain/disoriented for hours on end.</t>
        </is>
      </c>
      <c r="D3784" t="n">
        <v>9</v>
      </c>
      <c r="E3784" t="n">
        <v>32</v>
      </c>
      <c r="F3784">
        <f>HYPERLINK("https://www.reddit.com/r/diabetes/comments/7f792w/dangerous_lows_every_night/")</f>
        <v/>
      </c>
      <c r="G3784" t="inlineStr">
        <is>
          <t>2017-11-24 04:43:48</t>
        </is>
      </c>
      <c r="H3784" t="inlineStr">
        <is>
          <t>Type 1</t>
        </is>
      </c>
    </row>
    <row r="3785">
      <c r="A3785" t="inlineStr">
        <is>
          <t>7fhjmh</t>
        </is>
      </c>
      <c r="B3785" t="inlineStr">
        <is>
          <t>Omnipod users - site ?</t>
        </is>
      </c>
      <c r="C3785" t="inlineStr">
        <is>
          <t xml:space="preserve">I am an omnipod user for about a month, was on the animas ping. I always use my legs for my sites and I need to give them a rest, my stomach seems to never hold the site for more than 2 days and then it leaks and my outer arm I always hit things. Has anyone ever put a site on the inside of their arm? if so how do you like it? any issues?
Update: thanks everyone for the helpful input. </t>
        </is>
      </c>
      <c r="D3785" t="n">
        <v>5</v>
      </c>
      <c r="E3785" t="n">
        <v>19</v>
      </c>
      <c r="F3785">
        <f>HYPERLINK("https://www.reddit.com/r/diabetes/comments/7fhjmh/omnipod_users_site/")</f>
        <v/>
      </c>
      <c r="G3785" t="inlineStr">
        <is>
          <t>2017-11-25 11:55:54</t>
        </is>
      </c>
      <c r="H3785" t="inlineStr">
        <is>
          <t>Type 1</t>
        </is>
      </c>
    </row>
    <row r="3786">
      <c r="A3786" t="inlineStr">
        <is>
          <t>7flgav</t>
        </is>
      </c>
      <c r="B3786" t="inlineStr">
        <is>
          <t>Any of you use smart glucometer?</t>
        </is>
      </c>
      <c r="C3786" t="inlineStr">
        <is>
          <t>So I have a basic relion. And a while back I was a portable glucometer that plugs into your smartphone. I forgot the name of the device but do any of you use it ? Is it worth the extra cost of test strips?</t>
        </is>
      </c>
      <c r="D3786" t="n">
        <v>0</v>
      </c>
      <c r="E3786" t="n">
        <v>4</v>
      </c>
      <c r="F3786">
        <f>HYPERLINK("https://www.reddit.com/r/diabetes/comments/7flgav/any_of_you_use_smart_glucometer/")</f>
        <v/>
      </c>
      <c r="G3786" t="inlineStr">
        <is>
          <t>2017-11-25 23:23:55</t>
        </is>
      </c>
      <c r="H3786" t="inlineStr">
        <is>
          <t>Type 2</t>
        </is>
      </c>
    </row>
    <row r="3787">
      <c r="A3787" t="inlineStr">
        <is>
          <t>7flja6</t>
        </is>
      </c>
      <c r="B3787" t="inlineStr">
        <is>
          <t>Struggling mentally but physically doing well. So tired of Diabetes.</t>
        </is>
      </c>
      <c r="C3787" t="inlineStr">
        <is>
          <t>In the past I haven't been the best at carrying my insulin with me and bolusing for my meals. I hated having to be a diabetic everyday. Had some pretty average HBA1Cs over the past years. But the last two months I've been mentally having a shit time and now obsessively take my insulin (and an extra tube and needle) with me everywhere I go so I can kill myself whenever I want with a massive insulin dose. 
The funny side of this is that it has done wonders for my A1C though; got my results back and am at 48 mmol/mol. So me wanting to kill myself has actually made me physically healthier, strange world.</t>
        </is>
      </c>
      <c r="D3787" t="n">
        <v>8</v>
      </c>
      <c r="E3787" t="n">
        <v>4</v>
      </c>
      <c r="F3787">
        <f>HYPERLINK("https://www.reddit.com/r/diabetes/comments/7flja6/struggling_mentally_but_physically_doing_well_so/")</f>
        <v/>
      </c>
      <c r="G3787" t="inlineStr">
        <is>
          <t>2017-11-25 23:43:39</t>
        </is>
      </c>
      <c r="H3787" t="inlineStr">
        <is>
          <t>Type 1</t>
        </is>
      </c>
    </row>
    <row r="3788">
      <c r="A3788" t="inlineStr">
        <is>
          <t>7fnf9h</t>
        </is>
      </c>
      <c r="B3788" t="inlineStr">
        <is>
          <t>Dexcom Share/Follow Connectivity</t>
        </is>
      </c>
      <c r="C3788" t="inlineStr">
        <is>
          <t>We’ve been using the Omnipod for a couple years, and several months ago we added the Dexcom G5 CGM to my daughter’s bag o’ technology. My wife and I use the iPhone 7+ and we got my daughter an iPhone 6 (she’s 9 and has kid sized hands).  My daughter’s phone runs Dexcom Share to broadcast CGM data, and we run Dexcom Follow to view it remotely, but the connectivity is spotty as hell. We’ll check her on our phones and it says “no data”.  It’s not that she’s too far from her phone for the Bluetooth signal because she’s always near it if not carrying it. Anyone have any suggestions? Thanks!</t>
        </is>
      </c>
      <c r="D3788" t="n">
        <v>1</v>
      </c>
      <c r="E3788" t="n">
        <v>4</v>
      </c>
      <c r="F3788">
        <f>HYPERLINK("https://www.reddit.com/r/diabetes/comments/7fnf9h/dexcom_sharefollow_connectivity/")</f>
        <v/>
      </c>
      <c r="G3788" t="inlineStr">
        <is>
          <t>2017-11-26 07:12:03</t>
        </is>
      </c>
      <c r="H3788" t="inlineStr">
        <is>
          <t>Type 1</t>
        </is>
      </c>
    </row>
    <row r="3789">
      <c r="A3789" t="inlineStr">
        <is>
          <t>7fnvjx</t>
        </is>
      </c>
      <c r="B3789" t="inlineStr">
        <is>
          <t>Amazon Echo Skill for Dexcom Share</t>
        </is>
      </c>
      <c r="C3789" t="inlineStr">
        <is>
          <t>Hi there! Over the last few days I had been working on developing a skill that allows Type 1 Diabetics to ask Alexa for your live blood sugar and its trend, and now its finally approved. If you use a Dexcom Continuous Glucose Monitor with Share then this skill can be used by you. If you need any help setting it up and are interested please either PM me or comment and I'll try and help. Thanks</t>
        </is>
      </c>
      <c r="D3789" t="n">
        <v>40</v>
      </c>
      <c r="E3789" t="n">
        <v>28</v>
      </c>
      <c r="F3789">
        <f>HYPERLINK("https://www.reddit.com/r/diabetes/comments/7fnvjx/amazon_echo_skill_for_dexcom_share/")</f>
        <v/>
      </c>
      <c r="G3789" t="inlineStr">
        <is>
          <t>2017-11-26 08:26:35</t>
        </is>
      </c>
      <c r="H3789" t="inlineStr">
        <is>
          <t>Type 1</t>
        </is>
      </c>
    </row>
    <row r="3790">
      <c r="A3790" t="inlineStr">
        <is>
          <t>7fowv3</t>
        </is>
      </c>
      <c r="B3790" t="inlineStr">
        <is>
          <t>Any Medtronic nightscout users?</t>
        </is>
      </c>
      <c r="C3790" t="inlineStr">
        <is>
          <t xml:space="preserve">I use a Medtronic 630g with enlite sensors and I just set up my nightscout website. My otg usb cable is on the way and I have an old pebble watch I’m going to try viewing data from. How do y’all like it? I’m excited to try it out! </t>
        </is>
      </c>
      <c r="D3790" t="n">
        <v>7</v>
      </c>
      <c r="E3790" t="n">
        <v>0</v>
      </c>
      <c r="F3790">
        <f>HYPERLINK("https://www.reddit.com/r/diabetes/comments/7fowv3/any_medtronic_nightscout_users/")</f>
        <v/>
      </c>
      <c r="G3790" t="inlineStr">
        <is>
          <t>2017-11-26 10:59:59</t>
        </is>
      </c>
      <c r="H3790" t="inlineStr">
        <is>
          <t>Type 1</t>
        </is>
      </c>
    </row>
    <row r="3791">
      <c r="A3791" t="inlineStr">
        <is>
          <t>7fpbgi</t>
        </is>
      </c>
      <c r="B3791" t="inlineStr">
        <is>
          <t>Insurance UK</t>
        </is>
      </c>
      <c r="C3791" t="inlineStr">
        <is>
          <t xml:space="preserve">Hey all,
I've recently become a contractor, which means I don't have access to a group life insurance or income protection policy anymore.
As the single breadwinner with 2 small kids, if I was to die or not be able to work it would be disastrous!
I've been having a look around at life insurance, family income benefit and income protection. The life insurance seems straight forward, obviously with a diabetic premium attached *sigh*.
The income protection though, is sooo expensive! I contract through my own Ltd so luckily I have access to a product called "executive income protection", because getting a personal one seems pretty damn hard for a T1 in the UK.
Do any of you have life insurance, income protection or critical illness cover? If not... why not? How much are we you paying (if you don't mind sharing)? </t>
        </is>
      </c>
      <c r="D3791" t="n">
        <v>2</v>
      </c>
      <c r="E3791" t="n">
        <v>1</v>
      </c>
      <c r="F3791">
        <f>HYPERLINK("https://www.reddit.com/r/diabetes/comments/7fpbgi/insurance_uk/")</f>
        <v/>
      </c>
      <c r="G3791" t="inlineStr">
        <is>
          <t>2017-11-26 11:57:49</t>
        </is>
      </c>
      <c r="H3791" t="inlineStr">
        <is>
          <t>Type 1</t>
        </is>
      </c>
    </row>
    <row r="3792">
      <c r="A3792" t="inlineStr">
        <is>
          <t>7fqn1i</t>
        </is>
      </c>
      <c r="B3792" t="inlineStr">
        <is>
          <t>T1: what do you do when it comes to carby homemade foods? How do you carb count?</t>
        </is>
      </c>
      <c r="C3792" t="inlineStr">
        <is>
          <t xml:space="preserve">Hey guys,
So I'm here at my in laws house and we are making homemade tamales. But I just feel like crying because how do I find the carb count for something like this? One of the flavors we are making is pineapple but how in the hell do i figure this out. 
Every time I eat them my blood sugar sky rockets. I just feel so fuckin helpless because nobody knows what I have to go through just to eat one. Meanwhile everyone is on their 4th or 5th. 
No matter how many carbs I think it is or the amount of insulin I give, it doesn't matter. I'm always hovering around 290-300 after meal. And it takes all day to bring it down. 
What do you guys do for homemade foods? Just avoid them? Eat a smaller portion? </t>
        </is>
      </c>
      <c r="D3792" t="n">
        <v>5</v>
      </c>
      <c r="E3792" t="n">
        <v>13</v>
      </c>
      <c r="F3792">
        <f>HYPERLINK("https://www.reddit.com/r/diabetes/comments/7fqn1i/t1_what_do_you_do_when_it_comes_to_carby_homemade/")</f>
        <v/>
      </c>
      <c r="G3792" t="inlineStr">
        <is>
          <t>2017-11-26 15:12:23</t>
        </is>
      </c>
      <c r="H3792" t="inlineStr">
        <is>
          <t>Type 1</t>
        </is>
      </c>
    </row>
    <row r="3793">
      <c r="A3793" t="inlineStr">
        <is>
          <t>7ftsqs</t>
        </is>
      </c>
      <c r="B3793" t="inlineStr">
        <is>
          <t>I'm not sure where to go from here. I have so many questions.</t>
        </is>
      </c>
      <c r="C3793" t="inlineStr">
        <is>
          <t xml:space="preserve">I was diagnosed with diabetes about 10 months ago. First I was told I was Type 2. When I didn't respond to a few of the medications at all, my doctor ran some sort of antibody test and told me I had LADA. I was told that this means my immune system destroyed my pancreas (not terribly unexpected, as I have two other diagnosed autoimmune disorders and had gallbladder pancreatitis a few years back) and that I'd basically be living very similar to a Type 1, insulin-dependent diabetic. 
So we started insulin therapy (Novalin NPH, 100units/ml, currently at 55 units 2x/day). I've been on Metformin since I was 11 anyways because of Polycystic Ovarian Syndrome; we've kept that and upped the dosage from 500mg per day to 2000mg per day. That has been playing havoc with my digestive system, and I've taken to carrying three spare pairs of pants in my trunk to deal with the inevitable issues. 
I'm on really crappy insurance right now through the county for the indigent. There have been all sorts of issues with them not processing dosage increases, refusing to fill insulin scripts, and generally leaving me in a lurch. This is set to expire in January-- I'm no longer eligible for the program, as I'm no longer living in my car within the county limits. Rather, I was placed in a host home for the next year, four blocks outside of the county limits, and even with very little income (about $400/mo) and full-time grad student status I no longer qualify as a result of my address. 
The county I moved to has their own program, but they only cover 3 prescriptions a month. Between the autoimmune disorders, asthma, anaphylactic allergies to common place foods and bees, depression, debilitating anxiety/agoraphobia, PTSD, diabetes, and circulation issues... I'm on 22 medications with no way to cover them. My graduate advisor, therapist, and psychiatrist have all told me that if it came down to making a choice with this new program, I would need to prioritize psych meds over anything else. Diabetes could kill me. I know that. However, without psych meds, I'm not in touch with reality enough to perform basic functions of living-- including taking medications and administering insulin. I see why I'm being told to prioritize psychiatric medications. 
I'm really frightened about what is going to happen once my insurance runs out. It may be awful insurance and we may be stuck with treating the diabetes and other issues with meds that were standard of care 30yrs ago, but at least I'm not dead. I'm not sure what to do with that-- my state chose not to expand Medicaid, and the process of getting on SSDI is a multiple year process for most people where I live. To get on Medicaid after being approved is another two years on a waiting list. 
So, getting insulin will soon become a problem. Right now, I'm having other issues with taking it consistently, even when on the psychiatric medications. Some of my psychiatric medications have warnings that they can make diabetes worse or increase the risk of developing it (though that last one is kind of a moot point, now). I feel stuck because there's not many alternatives for the psychiatric medications I'm currently on that do not have much worse, more debilitating side effects. I need help in finding the motivation to take the insulin consistently. You would think this motivation might come from the attendant, painful infections I've gotten as a result of not being thoroughly compliant or the pictures/videos I've seen from people who have lost limbs or died. You might think it would come from migraines when I read, which I recently found out are due to my vision changing as a result of uncontrolled diabetes. You might think it would come from a recent surgery to remove a mass the size of two grapefruits and the fear that the wound would not heal properly. But it hasn't. I still can't keep up. 
Part of that is because even when I am taking the insulin as directed and the Metformin, I still don't see the numbers that my doctor wants. He has asked me to keep increasing my dosage of insulin until my fasting glucose is between 80 and 150. Even after consistently taking it for more than a week (sometimes two) at a time, I'm still waking up to glucose levels in the 250s-low300s. I thought at first that maybe I had started sleepwalking/eating again, so I set up an obstacle course designed to wake me up before I can leave my locked bedroom. Nothing's woken me, and all the items are still in place the next morning, so I've eliminated that. It's not that I'm eating in my sleep or not counting carbs. 
At this point, my doctor will not prescribe fast-acting insulin to me. His points are that we should wait until we're seeing a much better A1C before adding other insulin into the mix, that it's easy to get confused with the two even without having a psych disorder that leads to dissociation (PTSD), and that it would be too easy to overdose on. Considering that I sometimes look at the insulin I already have and am tempted to use it to overdose, his points are pretty fair. 
Where I'm at right now is working with insulin that doesn't seem to be working well even with consistently taking it as prescribed, Metformin that makes me lose control of bodily functions, feeling even worse that taking the meds isn't helping as much as we'd like, still having infections and diabetes-related issues, a lack of ability to get other types of insulin prescribed (either because my doctor thinks it's unsafe or my insurance won't cover it), losing insurance coverage soon, and a fear that when January arrives everything is going to crash and burn around me. Add this to grad school, surgery recovery, cancer scare alleviated by biopsy post-surgery, psych issues, trauma history, and balancing work/school/therapy/medical appointments..... I'm lost. I'm sinking. I do not know where to go from here or how to sort this out. I don't know how to not let diabetes be the thing that kills me in my 20s. 
Any helping words you could type, I would appreciate. </t>
        </is>
      </c>
      <c r="D3793" t="n">
        <v>2</v>
      </c>
      <c r="E3793" t="n">
        <v>2</v>
      </c>
      <c r="F3793">
        <f>HYPERLINK("https://www.reddit.com/r/diabetes/comments/7ftsqs/im_not_sure_where_to_go_from_here_i_have_so_many/")</f>
        <v/>
      </c>
      <c r="G3793" t="inlineStr">
        <is>
          <t>2017-11-27 00:39:11</t>
        </is>
      </c>
      <c r="H3793" t="inlineStr">
        <is>
          <t>Type 1.5/LADA</t>
        </is>
      </c>
    </row>
    <row r="3794">
      <c r="A3794" t="inlineStr">
        <is>
          <t>7fuqcl</t>
        </is>
      </c>
      <c r="B3794" t="inlineStr">
        <is>
          <t>Best way to carbohydrate count as a diabetic</t>
        </is>
      </c>
      <c r="C3794" t="inlineStr">
        <is>
          <t>Hey guys earlier this year I discovered an app called my fitness pal and its really helped my ability to carb count and improved my overall control hugely, would definitely recommend you checking it out (available on android and apple market places to your phone). I also did a youtube video talking about its benefits for me, how to use the app and examples of what it does which i will link if you want to check it out : https://www.youtube.com/watch?v=s_t4P544eTw . Any questions ill happily respond to (Have been type one diabetic since i was 5 and am now 19 so have quite the experience of handling diabetes!)</t>
        </is>
      </c>
      <c r="D3794" t="n">
        <v>2</v>
      </c>
      <c r="E3794" t="n">
        <v>6</v>
      </c>
      <c r="F3794">
        <f>HYPERLINK("https://www.reddit.com/r/diabetes/comments/7fuqcl/best_way_to_carbohydrate_count_as_a_diabetic/")</f>
        <v/>
      </c>
      <c r="G3794" t="inlineStr">
        <is>
          <t>2017-11-27 04:07:08</t>
        </is>
      </c>
      <c r="H3794" t="inlineStr">
        <is>
          <t>Type 1</t>
        </is>
      </c>
    </row>
    <row r="3795">
      <c r="A3795" t="inlineStr">
        <is>
          <t>7fv0bv</t>
        </is>
      </c>
      <c r="B3795" t="inlineStr">
        <is>
          <t>[Type1] Unexplainable highs during the night</t>
        </is>
      </c>
      <c r="C3795" t="inlineStr">
        <is>
          <t>hello community, bare with me this is my first post
i've been diagnosed a year ago. 
since the diagnosis my hba1c dropped from 13 to 6.3 with tight control and the freestyle libre. 
i'm taking levemir as basal (8 iu at 10am, 8 iu at 10pm) and humalog as bolus insulin.
i changed quite a bit of my life two months ago: from smoking to not smoking and not doing any sports to going to the gym three times a week. i also changed my diet to natural carbs, vegetables, nuts n stuff. after the gym i'm drinking 400ml milk with 30g whey in it. i take my last meal at about 8pm (1 hour after sport) which is about two slices dark bread and a granola bar. 
i go to bed at about 10:30 pm with a reading of 90-140 and wake up to a bg between 200-250. looking at the libre the rise in bg always starts when i'm fully resting. 
i dont want to get defeated by living a healthier life since this problem is really wearing on me.
have any of you guys experienced unexplainable highs during the sleep phase?</t>
        </is>
      </c>
      <c r="D3795" t="n">
        <v>4</v>
      </c>
      <c r="E3795" t="n">
        <v>12</v>
      </c>
      <c r="F3795">
        <f>HYPERLINK("https://www.reddit.com/r/diabetes/comments/7fv0bv/type1_unexplainable_highs_during_the_night/")</f>
        <v/>
      </c>
      <c r="G3795" t="inlineStr">
        <is>
          <t>2017-11-27 05:01:57</t>
        </is>
      </c>
      <c r="H3795" t="inlineStr">
        <is>
          <t>Type 1</t>
        </is>
      </c>
    </row>
    <row r="3796">
      <c r="A3796" t="inlineStr">
        <is>
          <t>7fvqoq</t>
        </is>
      </c>
      <c r="B3796" t="inlineStr">
        <is>
          <t>[Rant] Diet soft-drinks are spiking my blood sugar</t>
        </is>
      </c>
      <c r="C3796" t="inlineStr">
        <is>
          <t>I started keto, then went away on a business trip. I didn't have ready access to my usual Diet Dr Pepper, so I made do with coffee for my caffeine intake. Over the course of the 3 weeks I was gone, I actually managed to go from 60 units of Lantus daily to 0 while also taking my average BS from 8 to 4.4. Great news!
Queue the "problems". My last Lantus was Sunday evening. Everything was fine Monday, Tuesday and Wednesday morning. I went home Wednesday evening and did my usual check and though I was higher than what has been my average, it was still good. Thursday morning, it was higher and every day it was climbing higher and higher. Still within the normal range, but climbing steadily. This was worrying me, because I'm really happy to be off the Lantus and I don't want to go back.
To yesterday, now one week with no Lantus, and my BS was almost out of normal range. I packed up and left for another business trip. I tested last night and this morning, and it's dropping again to the levels I had before I went home.
The only difference between what I have been consuming at home vs on the road is the Diet Doctor Pepper, so it has to be that. Since Thursday, I have also suffered from terrible gas and mud-butt, which went away last night. As much as I love it, the Diet Dr Pepper is wrecking me and has to go.</t>
        </is>
      </c>
      <c r="D3796" t="n">
        <v>0</v>
      </c>
      <c r="E3796" t="n">
        <v>17</v>
      </c>
      <c r="F3796">
        <f>HYPERLINK("https://www.reddit.com/r/diabetes/comments/7fvqoq/rant_diet_softdrinks_are_spiking_my_blood_sugar/")</f>
        <v/>
      </c>
      <c r="G3796" t="inlineStr">
        <is>
          <t>2017-11-27 07:04:16</t>
        </is>
      </c>
      <c r="H3796" t="inlineStr">
        <is>
          <t>Type 2</t>
        </is>
      </c>
    </row>
    <row r="3797">
      <c r="A3797" t="inlineStr">
        <is>
          <t>7fwlvi</t>
        </is>
      </c>
      <c r="B3797" t="inlineStr">
        <is>
          <t>Can I do Crossfit with a pump/CGM?</t>
        </is>
      </c>
      <c r="C3797" t="inlineStr">
        <is>
          <t xml:space="preserve">Recently diagnosed with LADA and at my first Endo appointment this morning my doctor was highly recommending a pump and CGM. How easy is it to do Crossfit/Olympic lifts/High intensity cardio with these attached to me? </t>
        </is>
      </c>
      <c r="D3797" t="n">
        <v>3</v>
      </c>
      <c r="E3797" t="n">
        <v>17</v>
      </c>
      <c r="F3797">
        <f>HYPERLINK("https://www.reddit.com/r/diabetes/comments/7fwlvi/can_i_do_crossfit_with_a_pumpcgm/")</f>
        <v/>
      </c>
      <c r="G3797" t="inlineStr">
        <is>
          <t>2017-11-27 09:05:24</t>
        </is>
      </c>
      <c r="H3797" t="inlineStr">
        <is>
          <t>Type 1.5/LADA</t>
        </is>
      </c>
    </row>
    <row r="3798">
      <c r="A3798" t="inlineStr">
        <is>
          <t>7fyh6b</t>
        </is>
      </c>
      <c r="B3798" t="inlineStr">
        <is>
          <t>Seen on a friend's instagram: "don't medicate, Western Medicine ignores the body can heal itself" rage.</t>
        </is>
      </c>
      <c r="C3798" t="inlineStr">
        <is>
          <t>So I am an artist and have some pretty cosmically *spiritual* friends who are into reiki and claim to have mystical healing powers.  Normally I am able to ignore their social media posts, but today I saw my friend's new account posting something along the lines of "most medical practitioners are in the field for an abuse of power, your body has amazing life force and can heal itself, don't medicate, trust your body".  I commented that such statements are dangerous; if any of us had trusted our body would heal itself we would not have been diagnosed and probably would have died.  Anyone else deal with this bulls*?  It is infuriating and insulting.</t>
        </is>
      </c>
      <c r="D3798" t="n">
        <v>20</v>
      </c>
      <c r="E3798" t="n">
        <v>16</v>
      </c>
      <c r="F3798">
        <f>HYPERLINK("https://www.reddit.com/r/diabetes/comments/7fyh6b/seen_on_a_friends_instagram_dont_medicate_western/")</f>
        <v/>
      </c>
      <c r="G3798" t="inlineStr">
        <is>
          <t>2017-11-27 13:08:22</t>
        </is>
      </c>
      <c r="H3798" t="inlineStr">
        <is>
          <t>Type 1</t>
        </is>
      </c>
    </row>
    <row r="3799">
      <c r="A3799" t="inlineStr">
        <is>
          <t>7g0q71</t>
        </is>
      </c>
      <c r="B3799" t="inlineStr">
        <is>
          <t>Question about insulin/expiration of insulin</t>
        </is>
      </c>
      <c r="C3799" t="inlineStr">
        <is>
          <t xml:space="preserve">First of all, I know a lot of things can affect blood sugar. But I was wondering generally in your experience, about how long insulin pens last once they are opened, and if the effectiveness of the insulin goes down the longer its opened.
I'm T2 and I'm on insulin (Levemir and Novolog) for pregnancy. I am not on very much at the moment, so usually a pen will last me a while. I don't know if me being T2 is going to change answers because maybe I don't react to insulin in the same way as most people on it are T1. But I just changed pens lately and I feel like my numbers are way better even though nothing else has changed. 
It's just leaving me wondering how long pens usually last and if they're more effective "fresh." Because I actually stopped using my last Novolog pen after I swear it was just not working anymore. I wasn't sure exactly how long it had been opened, but it couldn't have been more than a month. 
If it's any difference: I often store my Levemir in the fridge even after it's opened as I only take it at night, and I take my Novolog pens with me and keep them at room temperature. Right now I just opened a new pen of both and am storing them both at room temp. </t>
        </is>
      </c>
      <c r="D3799" t="n">
        <v>2</v>
      </c>
      <c r="E3799" t="n">
        <v>3</v>
      </c>
      <c r="F3799">
        <f>HYPERLINK("https://www.reddit.com/r/diabetes/comments/7g0q71/question_about_insulinexpiration_of_insulin/")</f>
        <v/>
      </c>
      <c r="G3799" t="inlineStr">
        <is>
          <t>2017-11-27 18:29:23</t>
        </is>
      </c>
      <c r="H3799" t="inlineStr">
        <is>
          <t>Type 2</t>
        </is>
      </c>
    </row>
    <row r="3800">
      <c r="A3800" t="inlineStr">
        <is>
          <t>7g1n4q</t>
        </is>
      </c>
      <c r="B3800" t="inlineStr">
        <is>
          <t>Fiber and Net Carbs?</t>
        </is>
      </c>
      <c r="C3800" t="inlineStr">
        <is>
          <t>How much does food with carbs largely composed of fiber cause your blood sugar to rise? 
With the help of the Dexcom we are hoping to visually see how 3-net-carb tortillas affect blood sugar...and do further tests.
What are your experiences with foods like this?
Also, what other low net carb (sweeteners? sugar alcohol?) have you experienced to not raise your blood sugar very much or at all?</t>
        </is>
      </c>
      <c r="D3800" t="n">
        <v>5</v>
      </c>
      <c r="E3800" t="n">
        <v>5</v>
      </c>
      <c r="F3800">
        <f>HYPERLINK("https://www.reddit.com/r/diabetes/comments/7g1n4q/fiber_and_net_carbs/")</f>
        <v/>
      </c>
      <c r="G3800" t="inlineStr">
        <is>
          <t>2017-11-27 20:55:30</t>
        </is>
      </c>
      <c r="H3800" t="inlineStr">
        <is>
          <t>Type 1</t>
        </is>
      </c>
    </row>
    <row r="3801">
      <c r="A3801" t="inlineStr">
        <is>
          <t>7g2otv</t>
        </is>
      </c>
      <c r="B3801" t="inlineStr">
        <is>
          <t>How supportive is your family?</t>
        </is>
      </c>
      <c r="C3801" t="inlineStr">
        <is>
          <t xml:space="preserve">My mom is super christian and insists god will cure me of my diabetes some day and that every time I have good glucose levels it's god's will.  So yeah, that's irritating as shit 
And my dad seems to think that type 1 diabetes is simply a minor inconvenience.  He doesn't seem to get that I'm essentially living a half life now, I'm disabled, a cripple in a sense.  This is a death sentence and he's brushing it off like it's arthritis or something to just tough out. 
So yeah, mentally I'm pretty much alone in this struggle.  I don't even know any other type 1 diabetics 
I've only had it for about a year and I'm already getting to my wits end.  I don't know how long I can stay mentally strong for. </t>
        </is>
      </c>
      <c r="D3801" t="n">
        <v>17</v>
      </c>
      <c r="E3801" t="n">
        <v>22</v>
      </c>
      <c r="F3801">
        <f>HYPERLINK("https://www.reddit.com/r/diabetes/comments/7g2otv/how_supportive_is_your_family/")</f>
        <v/>
      </c>
      <c r="G3801" t="inlineStr">
        <is>
          <t>2017-11-28 00:17:20</t>
        </is>
      </c>
      <c r="H3801" t="inlineStr">
        <is>
          <t>Type 1</t>
        </is>
      </c>
    </row>
    <row r="3802">
      <c r="A3802" t="inlineStr">
        <is>
          <t>7g2pjr</t>
        </is>
      </c>
      <c r="B3802" t="inlineStr">
        <is>
          <t>A reminder not to change too much at once</t>
        </is>
      </c>
      <c r="C3802" t="inlineStr">
        <is>
          <t xml:space="preserve">I've been doing pretty well lately, down to 7.0 A1C. But I've had issues lately with eating and bolusing. I would eat, and no matter how acurate I was, I would spike to 200+ after a meal and take forever to come back down. And when it did I'd crash to the 50s.
Cue me running through all the things that could cause this:
I adjusted my basal down. Tried swapping that back. Nope. 
Maybe it's insulin resistance? I've had to swap to Novalog from humalog(which I've been using for 10 years) for insurance, I'll swap it out a little early and see... Nope
Thyroid med od? My last Thyroid test came back way high so I'd been taking some extra to get caught up.. But this was not long ago and it would take some time to have any effect.
And tonight I think I've finally come up with the real cause. See I've recently swapped my pump sites to my back, around the love handles on the back side. I'm pretty sure I have poor absorption here. I've swapped my sets back to my stomach now. We'll see if that helps... I wonder if my dexcom will work well there.
Ah well, 2 chances I guess. Anyone else have similar issues with sites in the back area? </t>
        </is>
      </c>
      <c r="D3802" t="n">
        <v>12</v>
      </c>
      <c r="E3802" t="n">
        <v>9</v>
      </c>
      <c r="F3802">
        <f>HYPERLINK("https://www.reddit.com/r/diabetes/comments/7g2pjr/a_reminder_not_to_change_too_much_at_once/")</f>
        <v/>
      </c>
      <c r="G3802" t="inlineStr">
        <is>
          <t>2017-11-28 00:21:38</t>
        </is>
      </c>
      <c r="H3802" t="inlineStr">
        <is>
          <t>Type 1</t>
        </is>
      </c>
    </row>
    <row r="3803">
      <c r="A3803" t="inlineStr">
        <is>
          <t>7g44kl</t>
        </is>
      </c>
      <c r="B3803" t="inlineStr">
        <is>
          <t>Dexcom users: How's it going? Request for advice.</t>
        </is>
      </c>
      <c r="C3803" t="inlineStr">
        <is>
          <t xml:space="preserve">Hi! my wife is looking at getting a Dexcom before the end of the year. We have some questions for the seasoned Dexcom user. 
1. From what we can see from the pamphlets we were given at her Endocrinologist appointment it doesn't look like Dexcom actually communicates with any pumps on the market currently. Is this true?
2 Can anyone tell us how Dexcom and the Medtronic Paradigm CGM compare with each other in real life experience? Barriers to using the Medtronic system were the gigantic needle, the pain, the incessant nuisance alarms, the higher than expected rate of failure of the single use devices.
3. Any recommendations on pump/ CGM combinations? Vision is an issue for my wife, also the pump needs to be user friendly and intuitive. 
She says thanks for any recommendations and info!
</t>
        </is>
      </c>
      <c r="D3803" t="n">
        <v>2</v>
      </c>
      <c r="E3803" t="n">
        <v>15</v>
      </c>
      <c r="F3803">
        <f>HYPERLINK("https://www.reddit.com/r/diabetes/comments/7g44kl/dexcom_users_hows_it_going_request_for_advice/")</f>
        <v/>
      </c>
      <c r="G3803" t="inlineStr">
        <is>
          <t>2017-11-28 05:29:04</t>
        </is>
      </c>
      <c r="H3803" t="inlineStr">
        <is>
          <t>Type 1</t>
        </is>
      </c>
    </row>
    <row r="3804">
      <c r="A3804" t="inlineStr">
        <is>
          <t>7g45i6</t>
        </is>
      </c>
      <c r="B3804" t="inlineStr">
        <is>
          <t>Type 1 diabetic, cant control BGL no matter what I try</t>
        </is>
      </c>
      <c r="C3804" t="inlineStr">
        <is>
          <t xml:space="preserve">I'm 17 and have tried everything I can, I just don't understand whats going on. I cant get my BGL down no matter what. What can I do?
</t>
        </is>
      </c>
      <c r="D3804" t="n">
        <v>14</v>
      </c>
      <c r="E3804" t="n">
        <v>20</v>
      </c>
      <c r="F3804">
        <f>HYPERLINK("https://www.reddit.com/r/diabetes/comments/7g45i6/type_1_diabetic_cant_control_bgl_no_matter_what_i/")</f>
        <v/>
      </c>
      <c r="G3804" t="inlineStr">
        <is>
          <t>2017-11-28 05:33:26</t>
        </is>
      </c>
      <c r="H3804" t="inlineStr">
        <is>
          <t>Type 1</t>
        </is>
      </c>
    </row>
    <row r="3805">
      <c r="A3805" t="inlineStr">
        <is>
          <t>7g483x</t>
        </is>
      </c>
      <c r="B3805" t="inlineStr">
        <is>
          <t>First sick day</t>
        </is>
      </c>
      <c r="C3805" t="inlineStr">
        <is>
          <t>So, we got up as usual to get my 10yo ready for school. Had a breakfast plan, and the wife bolused him in bed, as usual, giving him an extra 20 minutes to sleep while I had breakfast and got his ready.... a nice 50 carb breakfast, plus a correction - his sugars went up in the early morning hours, but this is not unusual.
But once he got up, everything went off the rails - from diarrhea to vomiting, not hungry, etc....
I was worried about him crashing from all the insulin but two hours later he’s still hovering around 200.
Looks like a fun day :-/
This is the first time since dx that he’s been sick like this. We have a hotline to the endo for sick day management — we’ll see how it goes.</t>
        </is>
      </c>
      <c r="D3805" t="n">
        <v>1</v>
      </c>
      <c r="E3805" t="n">
        <v>9</v>
      </c>
      <c r="F3805">
        <f>HYPERLINK("https://www.reddit.com/r/diabetes/comments/7g483x/first_sick_day/")</f>
        <v/>
      </c>
      <c r="G3805" t="inlineStr">
        <is>
          <t>2017-11-28 05:45:26</t>
        </is>
      </c>
      <c r="H3805" t="inlineStr">
        <is>
          <t>Type 1</t>
        </is>
      </c>
    </row>
    <row r="3806">
      <c r="A3806" t="inlineStr">
        <is>
          <t>7g507w</t>
        </is>
      </c>
      <c r="B3806" t="inlineStr">
        <is>
          <t>Defeated and Depressed. Any support would be super helpful /-:</t>
        </is>
      </c>
      <c r="C3806" t="inlineStr">
        <is>
          <t>Hey r/diabetes.
Really hit a low today emotionally regarding diabetes. 26 years old, Type 1, diagnosed when I was 9. Had really great control until college (think 5.5-6.5 A1C), then a bit worse in college (closer to 7) and since then have just been way too high (Now between 8.5 and 9).
I understand how bad of an A1C that is and I am actively working to lower it, including just dealing with my fear of hypoglycemia. I have an insulin pump and a Dexcom G5 so it isn't like I don't have the right tools to knock this out.
Anyways today started by me realizing that my feet were tingling a bit. Not a ton, and still feeling full sensitivity in toes and heel, but almost like it is kinda asleep. I panicked and scheduled a same day appointment with my podiatrist. He checked out my feet and confirmed that sensitivity was there but correctly and rightfully told me he can't help me if I don't fix my A1C. He wasn't clear if it was early neuropathy, though I got the impression he thinks it may be a complication of bad blood sugar control, but not necessarily neuropathy yet.
I got really freaked y'all. I am only 26. I don't know, I never really thought about the long term risks. I have always been caught up in the short-term. I saw my PCP later in the day and she was even more intense, noting that while I am healthy everywhere else it is a really bad sign if this is indeed neuropathy.
I am already making moves to be more aggressive with blood sugar control (lowered "high" marker on CGM from 200 to 175), but I am really worried it is too late. Also scheduling appointments with my endo, but I fear what they might tell me.
Ugh sorry for the rant, just a shitty day in the world of Diabetes and I felt like I needed to tell someone. Thank you for listening.</t>
        </is>
      </c>
      <c r="D3806" t="n">
        <v>5</v>
      </c>
      <c r="E3806" t="n">
        <v>14</v>
      </c>
      <c r="F3806">
        <f>HYPERLINK("https://www.reddit.com/r/diabetes/comments/7g507w/defeated_and_depressed_any_support_would_be_super/")</f>
        <v/>
      </c>
      <c r="G3806" t="inlineStr">
        <is>
          <t>2017-11-28 07:44:55</t>
        </is>
      </c>
      <c r="H3806" t="inlineStr">
        <is>
          <t>Type 1</t>
        </is>
      </c>
    </row>
    <row r="3807">
      <c r="A3807" t="inlineStr">
        <is>
          <t>7g62em</t>
        </is>
      </c>
      <c r="B3807" t="inlineStr">
        <is>
          <t>Dexcom Readings Unreliable in the Morning</t>
        </is>
      </c>
      <c r="C3807" t="inlineStr">
        <is>
          <t>I’ve been having trouble with my blood sugar spiking a while after waking in the midmorning.  I’m having trouble figuring out the cause, but my Dexcom isn’t helping at all.  The readings will pretty regularly be pretty flat or slowly rising (i.e. 120 to 130 in an hour) when in reality my blood sugar is going from 120 to over 200 in that same time period. I wake up around 6, eat around 730, and if I’m spiking, it’s peaking around 10a.
Recalibrating at different times before the spike doesn’t seem to have much effect.  Whether I am still on the calibration from yesterday night/evening or re-calibrate right away when I wake, or right before the spike occurs, the Dex readings are still unreliable.  At all other times of the day, Dex is reliable.
The spike in blood sugar is within my capacity to figure out, (I had 10 g carbs for breakfast, bolused 5 u, and spiked over 100 today.  My correction is 1u = 40 mg/dl, so please don’t suggest eating low carb) but I’m really struggling for advice on troubleshooting my dexcom.  Their customer service was less than helpful regarding this.  What kinds of things should I try? Has anyone else had a problem like this?</t>
        </is>
      </c>
      <c r="D3807" t="n">
        <v>1</v>
      </c>
      <c r="E3807" t="n">
        <v>4</v>
      </c>
      <c r="F3807">
        <f>HYPERLINK("https://www.reddit.com/r/diabetes/comments/7g62em/dexcom_readings_unreliable_in_the_morning/")</f>
        <v/>
      </c>
      <c r="G3807" t="inlineStr">
        <is>
          <t>2017-11-28 10:05:53</t>
        </is>
      </c>
      <c r="H3807" t="inlineStr">
        <is>
          <t>Type 1</t>
        </is>
      </c>
    </row>
    <row r="3808">
      <c r="A3808" t="inlineStr">
        <is>
          <t>7g7kqi</t>
        </is>
      </c>
      <c r="B3808" t="inlineStr">
        <is>
          <t>Dexcom + fitbit ionic?</t>
        </is>
      </c>
      <c r="C3808" t="inlineStr">
        <is>
          <t>I am interested in getting a fitbit ionic, basically only for the dexcom connectivity. I would use the other features once I had it, but I wouldn't consider buying this product if it didn't have the dexcom connectivity. That said, I want to see others' experiences first since I am on the fence (and $300 is a lot!). 
Please share your experiences if/when you have them. Thanks!!!</t>
        </is>
      </c>
      <c r="D3808" t="n">
        <v>1</v>
      </c>
      <c r="E3808" t="n">
        <v>4</v>
      </c>
      <c r="F3808">
        <f>HYPERLINK("https://www.reddit.com/r/diabetes/comments/7g7kqi/dexcom_fitbit_ionic/")</f>
        <v/>
      </c>
      <c r="G3808" t="inlineStr">
        <is>
          <t>2017-11-28 13:18:38</t>
        </is>
      </c>
      <c r="H3808" t="inlineStr">
        <is>
          <t>Type 1</t>
        </is>
      </c>
    </row>
    <row r="3809">
      <c r="A3809" t="inlineStr">
        <is>
          <t>7g7ov9</t>
        </is>
      </c>
      <c r="B3809" t="inlineStr">
        <is>
          <t>Any progress on syncing data from xDrip(+) and Dexcom CLARITY?</t>
        </is>
      </c>
      <c r="C3809" t="inlineStr">
        <is>
          <t>I've been using xDrip+ on my Android phone, to be able to leave the receiver behind and free up a pocket. It appears to have an option to interact with Dexcom's servers (Share) but I can't see any way to get it into the Clarity service.
I have my first Endo appt since switching to xdrip+ coming up, and their clinic only has access to Glooko and Clarity at the moment. I'd prefer to be able to have them use the reports they're familiar with, rather than bringing my own self-generated ones.</t>
        </is>
      </c>
      <c r="D3809" t="n">
        <v>2</v>
      </c>
      <c r="E3809" t="n">
        <v>10</v>
      </c>
      <c r="F3809">
        <f>HYPERLINK("https://www.reddit.com/r/diabetes/comments/7g7ov9/any_progress_on_syncing_data_from_xdrip_and/")</f>
        <v/>
      </c>
      <c r="G3809" t="inlineStr">
        <is>
          <t>2017-11-28 13:34:04</t>
        </is>
      </c>
      <c r="H3809" t="inlineStr">
        <is>
          <t>Type 1</t>
        </is>
      </c>
    </row>
    <row r="3810">
      <c r="A3810" t="inlineStr">
        <is>
          <t>7gbewy</t>
        </is>
      </c>
      <c r="B3810" t="inlineStr">
        <is>
          <t>Anti morning-spike food suggestions?</t>
        </is>
      </c>
      <c r="C3810" t="inlineStr">
        <is>
          <t>Hi all,
Type 1 here that gets morning glucose spikes (foot to floor, as soon as my eyes open my blood glucose rises until I eat something).
I'm looking for something simple/carb-less that I can eat that'll prevent liver/hormones from continuing to spike. Thanks</t>
        </is>
      </c>
      <c r="D3810" t="n">
        <v>2</v>
      </c>
      <c r="E3810" t="n">
        <v>16</v>
      </c>
      <c r="F3810">
        <f>HYPERLINK("https://www.reddit.com/r/diabetes/comments/7gbewy/anti_morningspike_food_suggestions/")</f>
        <v/>
      </c>
      <c r="G3810" t="inlineStr">
        <is>
          <t>2017-11-28 23:08:20</t>
        </is>
      </c>
      <c r="H3810" t="inlineStr">
        <is>
          <t>Type 1</t>
        </is>
      </c>
    </row>
    <row r="3811">
      <c r="A3811" t="inlineStr">
        <is>
          <t>7gcnxc</t>
        </is>
      </c>
      <c r="B3811" t="inlineStr">
        <is>
          <t>I’ve been a bad diabetic</t>
        </is>
      </c>
      <c r="C3811" t="inlineStr">
        <is>
          <t xml:space="preserve">I haven’t had insurance in about two years so I’ve been off meds. I finally got insurance a few weeks ago and I’m ready to get serious. My a1c was 10.7. 
I resisted but they put me back on metformin. Before I was at 1000mg 2x a day. I’m sure you’re all mostly familiar with what my life was like at that point. Lots of time in bathrooms. 
They started me on Trulicity and 500mg of metformin once a day. 
When I was unmedicated I was constantly seeing sugars in the 300s. Occasionally I’d get 400 or so. Since starting the trulicity I’ve been seeing normal sugars! I’m so happy! The metformin is doing its thing. They said they’d consider trying another option when I go back if I’m still having issues but they also told me they’d like to see me up it to 500mg 2x a day. 
I can’t wait for my appointment in three months. I hope my a1c has dropped a lot! 
My only issue is that I gained 5 lbs in the last couple of weeks. Idk if that’s from thanksgiving or not. But I’m trying to get that weight off. </t>
        </is>
      </c>
      <c r="D3811" t="n">
        <v>5</v>
      </c>
      <c r="E3811" t="n">
        <v>9</v>
      </c>
      <c r="F3811">
        <f>HYPERLINK("https://www.reddit.com/r/diabetes/comments/7gcnxc/ive_been_a_bad_diabetic/")</f>
        <v/>
      </c>
      <c r="G3811" t="inlineStr">
        <is>
          <t>2017-11-29 03:46:54</t>
        </is>
      </c>
      <c r="H3811" t="inlineStr">
        <is>
          <t>Type 2</t>
        </is>
      </c>
    </row>
    <row r="3812">
      <c r="A3812" t="inlineStr">
        <is>
          <t>7gdya2</t>
        </is>
      </c>
      <c r="B3812" t="inlineStr">
        <is>
          <t>Super early honeymoon, lots of lows?</t>
        </is>
      </c>
      <c r="C3812" t="inlineStr">
        <is>
          <t xml:space="preserve">I was diagnosed in June with type 1.5 and started insulin. After a few months I've started to get a lot  of lows. I'm now barely bolusing and taking 4u of basal in the morning. My waking bg is generally 110. I do run high after some meals (was 200 after thanksgiving due to no bolus and stress.) I also seem to go low after highs.
Has anyone else in the honeymoon had similar experiences? </t>
        </is>
      </c>
      <c r="D3812" t="n">
        <v>8</v>
      </c>
      <c r="E3812" t="n">
        <v>6</v>
      </c>
      <c r="F3812">
        <f>HYPERLINK("https://www.reddit.com/r/diabetes/comments/7gdya2/super_early_honeymoon_lots_of_lows/")</f>
        <v/>
      </c>
      <c r="G3812" t="inlineStr">
        <is>
          <t>2017-11-29 07:14:57</t>
        </is>
      </c>
      <c r="H3812" t="inlineStr">
        <is>
          <t>Type 1</t>
        </is>
      </c>
    </row>
    <row r="3813">
      <c r="A3813" t="inlineStr">
        <is>
          <t>7ge117</t>
        </is>
      </c>
      <c r="B3813" t="inlineStr">
        <is>
          <t>How long did it take your body to get used to insulin?</t>
        </is>
      </c>
      <c r="C3813" t="inlineStr">
        <is>
          <t>Two and a half weeks into finding out I'm LADA and using insulin. I was counting carbs years before I got this so I'm pretty good at that part, yet my numbers don't seem to make sense sometimes (Example: Blood sugar goes up after working out...wtf!?!). My Endo says that it takes a while for your body to get used to insulin. How long should I expect this to take or am I missing something else?</t>
        </is>
      </c>
      <c r="D3813" t="n">
        <v>2</v>
      </c>
      <c r="E3813" t="n">
        <v>17</v>
      </c>
      <c r="F3813">
        <f>HYPERLINK("https://www.reddit.com/r/diabetes/comments/7ge117/how_long_did_it_take_your_body_to_get_used_to/")</f>
        <v/>
      </c>
      <c r="G3813" t="inlineStr">
        <is>
          <t>2017-11-29 07:25:56</t>
        </is>
      </c>
      <c r="H3813" t="inlineStr">
        <is>
          <t>Type 1.5/LADA</t>
        </is>
      </c>
    </row>
    <row r="3814">
      <c r="A3814" t="inlineStr">
        <is>
          <t>7geqga</t>
        </is>
      </c>
      <c r="B3814" t="inlineStr">
        <is>
          <t>Just switched from humalog to novalog. Should I be concerned?</t>
        </is>
      </c>
      <c r="C3814" t="inlineStr">
        <is>
          <t>Insurance required me to make a switch after about 8 years of humalog use in my Omnipod pump. 
I’ve never used anything but Humalog and I’m a little bit concerned about how my body will react. I’m told by most that, for the most part they are interchangeable, but I worry about things like allergies or other unlikely issues.
Has anybody else gone through this and is there anything that I should look for? Thanks in advance!
EDIT: Just a quick note with a sincere THANK YOU to everyone that has replied.  It's really given me a sigh of relief about the switch.</t>
        </is>
      </c>
      <c r="D3814" t="n">
        <v>7</v>
      </c>
      <c r="E3814" t="n">
        <v>28</v>
      </c>
      <c r="F3814">
        <f>HYPERLINK("https://www.reddit.com/r/diabetes/comments/7geqga/just_switched_from_humalog_to_novalog_should_i_be/")</f>
        <v/>
      </c>
      <c r="G3814" t="inlineStr">
        <is>
          <t>2017-11-29 08:59:41</t>
        </is>
      </c>
      <c r="H3814" t="inlineStr">
        <is>
          <t>Type 1</t>
        </is>
      </c>
    </row>
    <row r="3815">
      <c r="A3815" t="inlineStr">
        <is>
          <t>7gfrbo</t>
        </is>
      </c>
      <c r="B3815" t="inlineStr">
        <is>
          <t>How much meal time insulin is too much?</t>
        </is>
      </c>
      <c r="C3815" t="inlineStr">
        <is>
          <t xml:space="preserve">Was diagnosed with type 1 In early October, On a normal day i take 3 units of meal time to cover a bit of cereal. 
but im kinda getting tired of some food and want to try and take a little bit more insulin to cover new foods. How much insulin is a "normal"  amount to take per day?
</t>
        </is>
      </c>
      <c r="D3815" t="n">
        <v>0</v>
      </c>
      <c r="E3815" t="n">
        <v>8</v>
      </c>
      <c r="F3815">
        <f>HYPERLINK("https://www.reddit.com/r/diabetes/comments/7gfrbo/how_much_meal_time_insulin_is_too_much/")</f>
        <v/>
      </c>
      <c r="G3815" t="inlineStr">
        <is>
          <t>2017-11-29 11:09:14</t>
        </is>
      </c>
      <c r="H3815" t="inlineStr">
        <is>
          <t>Type 1</t>
        </is>
      </c>
    </row>
    <row r="3816">
      <c r="A3816" t="inlineStr">
        <is>
          <t>7gj8r6</t>
        </is>
      </c>
      <c r="B3816" t="inlineStr">
        <is>
          <t>Advise on Pumps</t>
        </is>
      </c>
      <c r="C3816" t="inlineStr">
        <is>
          <t>Hello All
I'm a T1 for the last 5 years and have been using various TSlim pumps in that time.  For the most part, I couldn't be happier with Tandem's customer service and the products they provide.  
Recently, my endo has recommended that I switch to [Medtronics MiniMed 670g](https://www.medtronicdiabetes.com/products/minimed-670g-insulin-pump-system) for the sole reason that it is the first closed loop system.  
With that in mind, I was reading on [Tandem's website](https://www.tandemdiabetes.com/about-us/pipeline) that they'll have something similar in the first half of 2019.
So my question to all you is whether Medtronic is worth the switch or should I stick it out with Tandem?
**Update: Thank you all for your input.  The well-thought comments and encouraging words are one of the many reasons this sub is a great community.  I think I'm going to stick with Tandem based on all your input.**</t>
        </is>
      </c>
      <c r="D3816" t="n">
        <v>10</v>
      </c>
      <c r="E3816" t="n">
        <v>19</v>
      </c>
      <c r="F3816">
        <f>HYPERLINK("https://www.reddit.com/r/diabetes/comments/7gj8r6/advise_on_pumps/")</f>
        <v/>
      </c>
      <c r="G3816" t="inlineStr">
        <is>
          <t>2017-11-29 19:12:40</t>
        </is>
      </c>
      <c r="H3816" t="inlineStr">
        <is>
          <t>Type 1</t>
        </is>
      </c>
    </row>
    <row r="3817">
      <c r="A3817" t="inlineStr">
        <is>
          <t>7gjuw8</t>
        </is>
      </c>
      <c r="B3817" t="inlineStr">
        <is>
          <t>Upgrading to new iPhone with Dexcom?</t>
        </is>
      </c>
      <c r="C3817" t="inlineStr">
        <is>
          <t xml:space="preserve">I've never upgraded a mobile device since I've worn my Dex. 
Anyone done this? How do you pair a current transmitter with the new device? Better to do when I change a sensor (new session). Any advice from those that have gone before me? 
Thanks in advance! </t>
        </is>
      </c>
      <c r="D3817" t="n">
        <v>5</v>
      </c>
      <c r="E3817" t="n">
        <v>4</v>
      </c>
      <c r="F3817">
        <f>HYPERLINK("https://www.reddit.com/r/diabetes/comments/7gjuw8/upgrading_to_new_iphone_with_dexcom/")</f>
        <v/>
      </c>
      <c r="G3817" t="inlineStr">
        <is>
          <t>2017-11-29 20:56:21</t>
        </is>
      </c>
      <c r="H3817" t="inlineStr">
        <is>
          <t>Type 1</t>
        </is>
      </c>
    </row>
    <row r="3818">
      <c r="A3818" t="inlineStr">
        <is>
          <t>7gk5mx</t>
        </is>
      </c>
      <c r="B3818" t="inlineStr">
        <is>
          <t>Type2 looking for some advice/comfort/opinion.</t>
        </is>
      </c>
      <c r="C3818" t="inlineStr">
        <is>
          <t xml:space="preserve">Hi, I had a scary/weird thing happen to me today where my blood sugar dropped while I was waiting in line at a restaurant. I was diagnosed in March with an A1C of 14, at the time I was 411lbs (6Ft 3). My fasting blood sugar upon diagnosis was only a little above normal and due to my eating habits at the time the Dr held off on giving me any medication and put me on a weight loss plan and an exercise regime. My next A1C came in at 4.7, so I was really happy. I continued the diet and exercise program and I've lost thus far around 100lbs in a little over 9 months. I've had no further symptoms of high blood sugar and my next A1C test is on December 13th. I've never experienced Hypoglycemia before so it was a little freaky. I just wanted to ask if anyone else had experienced this type of thing, I was always led to believe that hypoglycemia generally effects T1's and people on meds for T2, but it doesn't look like that the case. My diet in the past 24 hours prior to the event hadn't changed, although the last week or two i've been putting a lot more into the exercise and generally walking for 5 miles a day. Sorry for the long rambling post.   </t>
        </is>
      </c>
      <c r="D3818" t="n">
        <v>2</v>
      </c>
      <c r="E3818" t="n">
        <v>17</v>
      </c>
      <c r="F3818">
        <f>HYPERLINK("https://www.reddit.com/r/diabetes/comments/7gk5mx/type2_looking_for_some_advicecomfortopinion/")</f>
        <v/>
      </c>
      <c r="G3818" t="inlineStr">
        <is>
          <t>2017-11-29 21:50:39</t>
        </is>
      </c>
      <c r="H3818" t="inlineStr">
        <is>
          <t>Type 2</t>
        </is>
      </c>
    </row>
    <row r="3819">
      <c r="A3819" t="inlineStr">
        <is>
          <t>7gm0ac</t>
        </is>
      </c>
      <c r="B3819" t="inlineStr">
        <is>
          <t>(T1 pump) Dawn Phenomenon - Sleep pattern, exercise and more</t>
        </is>
      </c>
      <c r="C3819" t="inlineStr">
        <is>
          <t>I'll try to keep this short, I've been totally rebuilding my diabetic routine and learning a huge amount over the past month or two; moving to low carb, being more active, generally being more precise etc. Everything is going extremely well during the day and I'm hoping for a low 5s hba1c next time but in the last couple of weeks I've encountered a new issue.
Since going low carb my basal rates have reduced significantly, which is in fact more likely due to the basal in past compensating for errors with my bolusing and IC ratios. I've been settling nicely on .6u/hr all day, and if anything appearing to need a bit less during most nights, until now.
Over the last 2 weeks, I've been seeing less drops during the night (often before I'd go to bed 6mmol and wake up around 4, which is acceptable to me) and often am waking up slightly higher than before bed, and now even more recently I've had several instances of waking up drastically higher; a couple of ~9mmols, today the worst yet of 11mmol. I'm fairly confident this isn't to do with food digestion through the night.
So here's my theory, in past I've always been a horribly inconsistent sleeper, and never really experienced any "dawn phenomenon" (though I do need a bit more insulin or exercise in the morning to prevent highs) and I've also been very sedimentary. But now, I'm much more active (and of note yesterday was probably one of my most intensely active days yet) and I'm sleeping both more, and more consistently, so with these factors is it possible I'm not finally producing more growth hormone and suddenly encountering a more traditional manifestation of the dawn phenomenon? Does anyone else have experience with exercise stimulating more hormones and such causing more BG rises the following morning? And does anyone else notice that when they sleep less, or less consistently, they have less dawn phenomenon? 
Sorry for the chaotic dump of information, and thank you in advance.</t>
        </is>
      </c>
      <c r="D3819" t="n">
        <v>0</v>
      </c>
      <c r="E3819" t="n">
        <v>2</v>
      </c>
      <c r="F3819">
        <f>HYPERLINK("https://www.reddit.com/r/diabetes/comments/7gm0ac/t1_pump_dawn_phenomenon_sleep_pattern_exercise/")</f>
        <v/>
      </c>
      <c r="G3819" t="inlineStr">
        <is>
          <t>2017-11-30 04:30:53</t>
        </is>
      </c>
      <c r="H3819" t="inlineStr">
        <is>
          <t>Type 1</t>
        </is>
      </c>
    </row>
    <row r="3820">
      <c r="A3820" t="inlineStr">
        <is>
          <t>7gn41x</t>
        </is>
      </c>
      <c r="B3820" t="inlineStr">
        <is>
          <t>Should I change Endocrinologists?</t>
        </is>
      </c>
      <c r="C3820" t="inlineStr">
        <is>
          <t>Hey - I was wondering what your thoughts are on my Endo. I'm 24 years old and was diagnosed with Type 1 in January 2016.
My doctor wants to see my every 3/4 months, but I feel like I'm moving too slowly. It's almost been a year and my doctor has not been able to control my sugars - my A1C is still a 9.something.
The first 3/4 months after I was diagnosed I was just given Metformin. The 3/4 months after I was told to take 10-15 units of Basaglar once before bed. My next visit he then told me to take only 4 units of novolog once a day. I just saw him again the other day and he said to take the 4 units of novolog twice a day now.
My concern is that I'm moving too slowly. My A1C is still high after a year with this endo, and I was hoping to have more of a control over it by now. I understand that he's cautious with giving me too much insulin, but I don't know if these small increments every 3-4 months is working either. 
Is this normal? Or should I find a different doctor?</t>
        </is>
      </c>
      <c r="D3820" t="n">
        <v>5</v>
      </c>
      <c r="E3820" t="n">
        <v>17</v>
      </c>
      <c r="F3820">
        <f>HYPERLINK("https://www.reddit.com/r/diabetes/comments/7gn41x/should_i_change_endocrinologists/")</f>
        <v/>
      </c>
      <c r="G3820" t="inlineStr">
        <is>
          <t>2017-11-30 07:32:48</t>
        </is>
      </c>
      <c r="H3820" t="inlineStr">
        <is>
          <t>Type 1</t>
        </is>
      </c>
    </row>
    <row r="3821">
      <c r="A3821" t="inlineStr">
        <is>
          <t>7go7lz</t>
        </is>
      </c>
      <c r="B3821" t="inlineStr">
        <is>
          <t>fruity body odor smell</t>
        </is>
      </c>
      <c r="C3821" t="inlineStr">
        <is>
          <t xml:space="preserve">Hello, I m having a issue with fruity odor smell and i didnt know about it.  Even i'm under A1C which is 5.4.  Result was on tuesday.   i told doctor that i didnt have experience anything so he just think it wasnt big.  since i dont experience any side effect yet.  but it's been bothering me and i just cant get rid of it?  i'm not sure if i'm still in type 2 diabates  right now.  </t>
        </is>
      </c>
      <c r="D3821" t="n">
        <v>0</v>
      </c>
      <c r="E3821" t="n">
        <v>21</v>
      </c>
      <c r="F3821">
        <f>HYPERLINK("https://www.reddit.com/r/diabetes/comments/7go7lz/fruity_body_odor_smell/")</f>
        <v/>
      </c>
      <c r="G3821" t="inlineStr">
        <is>
          <t>2017-11-30 10:00:57</t>
        </is>
      </c>
      <c r="H3821" t="inlineStr">
        <is>
          <t>Type 2</t>
        </is>
      </c>
    </row>
    <row r="3822">
      <c r="A3822" t="inlineStr">
        <is>
          <t>7gq0tl</t>
        </is>
      </c>
      <c r="B3822" t="inlineStr">
        <is>
          <t>Getting off the pill - adjusting insulin</t>
        </is>
      </c>
      <c r="C3822" t="inlineStr">
        <is>
          <t xml:space="preserve">I've been on the pill since before I was diagnosed with diabetes - over 20 years - and now I'm getting off the pill.
I expected my blood sugars to be lower, and that I'd need to adjust my basals down but the other unexpected effect I'm seeing is I'm much more volatile. I'm already super sugar sensitive and can spike 200 pts or more on a relatively low amount of carbs so I tend to eat no more than 20g at a sitting, but I'm seeing numbers spiking into the mid to high 200s on my normal lowish-carb meals, and then PLUMMETING down. I'm only low, high, climbing or falling. Never steady. When I've tried to lower my basal I've run high.  It's crazy and I'm feeling pretty crappy after a week of this rollercoaster. 
What have some of you experienced or done differently after getting off the pill?
FWIW I'm not trying to get pregnant. Husband had a vasectomy and I'm pushing 40 so just wanted to be used to being off the pill when perimenopause hit.
</t>
        </is>
      </c>
      <c r="D3822" t="n">
        <v>3</v>
      </c>
      <c r="E3822" t="n">
        <v>5</v>
      </c>
      <c r="F3822">
        <f>HYPERLINK("https://www.reddit.com/r/diabetes/comments/7gq0tl/getting_off_the_pill_adjusting_insulin/")</f>
        <v/>
      </c>
      <c r="G3822" t="inlineStr">
        <is>
          <t>2017-11-30 14:00:57</t>
        </is>
      </c>
      <c r="H3822" t="inlineStr">
        <is>
          <t>Type 1</t>
        </is>
      </c>
    </row>
    <row r="3823">
      <c r="A3823" t="inlineStr">
        <is>
          <t>7gq7re</t>
        </is>
      </c>
      <c r="B3823" t="inlineStr">
        <is>
          <t>Just came home from the hospital</t>
        </is>
      </c>
      <c r="C3823" t="inlineStr">
        <is>
          <t xml:space="preserve">Because I had won a 5 day, 4 night stay for a blister turned foot ulcer! Added bonus gifts consist of possible sepsis Sunday night and at least a one month supply of take home antibiotics that are to be administered via my lovely PICC line. 
**However** During this whole time..my blood sugars never wavered  (for me) once. Since they don't give you metformin in the hospital I haven't had any since Sunday morning. I ate consistently since my mom brought me food in the evening and my highest was a 144 from a fruit cup at lunch one day. I've stayed from 89-115 the whole time. I see my regular doctor next week to see what he says about it. Because honestly it kinda blew my mind. </t>
        </is>
      </c>
      <c r="D3823" t="n">
        <v>3</v>
      </c>
      <c r="E3823" t="n">
        <v>5</v>
      </c>
      <c r="F3823">
        <f>HYPERLINK("https://www.reddit.com/r/diabetes/comments/7gq7re/just_came_home_from_the_hospital/")</f>
        <v/>
      </c>
      <c r="G3823" t="inlineStr">
        <is>
          <t>2017-11-30 14:27:09</t>
        </is>
      </c>
      <c r="H3823" t="inlineStr">
        <is>
          <t>Type 2</t>
        </is>
      </c>
    </row>
    <row r="3824">
      <c r="A3824" t="inlineStr">
        <is>
          <t>7gqvtu</t>
        </is>
      </c>
      <c r="B3824" t="inlineStr">
        <is>
          <t>First time pumping, need help deciding on which pump to go with.</t>
        </is>
      </c>
      <c r="C3824" t="inlineStr">
        <is>
          <t>LTL;FTP on mobile and all that jazz.
So here's the deal. I am currently on my parent's insurance plan until the end of February when I turn 26 and I will be picking up insurance through my employer at the first of the year. I am able to get a pump for free through my current Insurance since my deductible has been met and I am also able to get three months of supplies with my new pump free of charge. I am currently with Blue Cross Blue Shield of Texas and we'll be switching to United Healthcare come January 1st. I read and a Blog that United Healthcare has an exclusive contract with Medtronic but Blue Cross Blue Shield is giving me the choice between Tandem and Medtronic. Does anybody here have United Healthcare? If so do they cover your pump supplies? How has your experience been using a pump while being on United healthcare's Insurance? I am stuck trying to choose between Tandem and Medtronic, and I know Medtronic has been on the market for years and is the leading company as of now for pumps and supplies. Can you guys give me some insight on your experiences using either pump? What are the positives and negatives with each one? Is there anybody on United Healthcare and using tandem because they cover your supplies? This will be my first pump and I have very little experience using one. I tested the Asante snap for a month and then right at the end of my trial they went under but I vaguely remember the user interface so I have no opinion as to whether Medtronic or tandem's UI is better. Really any input would be beneficial and greatly appreciated. Thank you all so very much in advance!</t>
        </is>
      </c>
      <c r="D3824" t="n">
        <v>3</v>
      </c>
      <c r="E3824" t="n">
        <v>6</v>
      </c>
      <c r="F3824">
        <f>HYPERLINK("https://www.reddit.com/r/diabetes/comments/7gqvtu/first_time_pumping_need_help_deciding_on_which/")</f>
        <v/>
      </c>
      <c r="G3824" t="inlineStr">
        <is>
          <t>2017-11-30 16:02:08</t>
        </is>
      </c>
      <c r="H3824" t="inlineStr">
        <is>
          <t>Type 1</t>
        </is>
      </c>
    </row>
    <row r="3825">
      <c r="A3825" t="inlineStr">
        <is>
          <t>7gs77i</t>
        </is>
      </c>
      <c r="B3825" t="inlineStr">
        <is>
          <t>Using a smart watch with Dexcom G5</t>
        </is>
      </c>
      <c r="C3825" t="inlineStr">
        <is>
          <t>Just started using one (LG Sport) and LOVE how it is working.  Frankly, having my BG's right there on my wrist for quick corrections before my numbers get too high or low has been a huge improvement to my overall control.
Highly recommended if you are thinking of trying one.</t>
        </is>
      </c>
      <c r="D3825" t="n">
        <v>2</v>
      </c>
      <c r="E3825" t="n">
        <v>4</v>
      </c>
      <c r="F3825">
        <f>HYPERLINK("https://www.reddit.com/r/diabetes/comments/7gs77i/using_a_smart_watch_with_dexcom_g5/")</f>
        <v/>
      </c>
      <c r="G3825" t="inlineStr">
        <is>
          <t>2017-11-30 19:26:10</t>
        </is>
      </c>
      <c r="H3825" t="inlineStr">
        <is>
          <t>Type 1</t>
        </is>
      </c>
    </row>
    <row r="3826">
      <c r="A3826" t="inlineStr">
        <is>
          <t>7gsf0j</t>
        </is>
      </c>
      <c r="B3826" t="inlineStr">
        <is>
          <t>Do you guys ever sweat for no apparent reason?</t>
        </is>
      </c>
      <c r="C3826" t="inlineStr">
        <is>
          <t xml:space="preserve">My blood sugar is holding steady at 115 and I'm not warm, yet I'm sweating profusely. This seems to happen randomly and it's gross. Does this ever happen to you guys? Does anything help?
UPDATE:  I think I might be onto something. I have a bit of neuropathy, but my main complication is gastroparesis. I was told by my doctor that the gastroparesis is due to the autonomic nervous system being damaged in the same way. Specifically the Vagus nerve.
The vagus nerve is responsible for such varied tasks as heart rate, gastrointestinal peristalsis, sweating, and quite a few muscle movements in the mouth, including speech (via the recurrent laryngeal nerve).
So basically, the same nerve damage that's causing my gastroparesis is also causing the sweating. And since nerve damage is irreversible... I guess I'll just have to get used to sweating.
Ew.
</t>
        </is>
      </c>
      <c r="D3826" t="n">
        <v>6</v>
      </c>
      <c r="E3826" t="n">
        <v>11</v>
      </c>
      <c r="F3826">
        <f>HYPERLINK("https://www.reddit.com/r/diabetes/comments/7gsf0j/do_you_guys_ever_sweat_for_no_apparent_reason/")</f>
        <v/>
      </c>
      <c r="G3826" t="inlineStr">
        <is>
          <t>2017-11-30 20:01:38</t>
        </is>
      </c>
      <c r="H3826" t="inlineStr">
        <is>
          <t>Type 1</t>
        </is>
      </c>
    </row>
    <row r="3827">
      <c r="A3827" t="inlineStr">
        <is>
          <t>7gvfwk</t>
        </is>
      </c>
      <c r="B3827" t="inlineStr">
        <is>
          <t>Pizza</t>
        </is>
      </c>
      <c r="C3827" t="inlineStr">
        <is>
          <t xml:space="preserve">Tomorrow I’m going out for a night with friends, and will most likely be getting some takeaway pizza. I’ve been on low carb/Keto for almost a year, so am a little worried about the carb content. What would you guys suggest in terms of bolusing? A duel-wave? If so, how would I divide the dosage? Just want to know what works best for you guys! 
Thanks </t>
        </is>
      </c>
      <c r="D3827" t="n">
        <v>1</v>
      </c>
      <c r="E3827" t="n">
        <v>13</v>
      </c>
      <c r="F3827">
        <f>HYPERLINK("https://www.reddit.com/r/diabetes/comments/7gvfwk/pizza/")</f>
        <v/>
      </c>
      <c r="G3827" t="inlineStr">
        <is>
          <t>2017-12-01 06:52:25</t>
        </is>
      </c>
      <c r="H3827" t="inlineStr">
        <is>
          <t>Type 1</t>
        </is>
      </c>
    </row>
    <row r="3828">
      <c r="A3828" t="inlineStr">
        <is>
          <t>7gvg6i</t>
        </is>
      </c>
      <c r="B3828" t="inlineStr">
        <is>
          <t>Second Year Dia-versary</t>
        </is>
      </c>
      <c r="C3828" t="inlineStr">
        <is>
          <t>Its my second anniversary of the *correct* diagnosis of T1D. 
After a truly terrifying experience in the ER, thinking my appendix had exploded. I was finally given the correct diagnosis and hit the ground running in management. 
I spent the last year or so dealing with mental health issues resulting from what happened (And the stress of being sole-provider for many months prior) Got a definitive answer on whats going on in my head, and have continued to get better on that front. 
My life has drastically changed in these past 2 years, and while I would not wish this on anyone, it helped me learned some hard lessons about how I view myself, and work towards breaking some dangerous self-hate habits. There are some things I still need to work on about myself, but I recognize they are things I CAN change: my weight for one, my attitude about not having the "perfect" number when it comes to BSG. 
This whole experience has helped me find what I want to do with my life, and lead me to go back to school to study Psychology and become a Diabetes Educator specializing in the mental fatigue associated with managing Diabetes. I'm also taking a great deal of nutrition classes so I can help people develop ATTAINABLE plans for eating better (There is no one-size-fits-all diet, and its about finding what will work best for the patient without making them go crazy trying to stick to insane guidelines)
~If people are curious, I can dig up my "I'm a Medical Marvel and Should be Dead Many Times Over" story and share it, its very Diabetes-related, and serves as one of those "Dont Do What She Did" kind of stories. I also tell it with a lot of humor because holy crap, I may be a cat because of all the "lives" I've used.~</t>
        </is>
      </c>
      <c r="D3828" t="n">
        <v>6</v>
      </c>
      <c r="E3828" t="n">
        <v>2</v>
      </c>
      <c r="F3828">
        <f>HYPERLINK("https://www.reddit.com/r/diabetes/comments/7gvg6i/second_year_diaversary/")</f>
        <v/>
      </c>
      <c r="G3828" t="inlineStr">
        <is>
          <t>2017-12-01 06:53:32</t>
        </is>
      </c>
      <c r="H3828" t="inlineStr">
        <is>
          <t>Type 1</t>
        </is>
      </c>
    </row>
    <row r="3829">
      <c r="A3829" t="inlineStr">
        <is>
          <t>7gzwse</t>
        </is>
      </c>
      <c r="B3829" t="inlineStr">
        <is>
          <t>Anybody else hate other people watching them eat?</t>
        </is>
      </c>
      <c r="C3829" t="inlineStr">
        <is>
          <t>It's not about injecting - I'm on a pump now, but when I was on MDI I was never bothered by injecting in front of others. It just feels like eating is really personal and I don't want other people getting in the way of it. I actually don't mind eating at restaurants, cafes, whatever, it's just that when I'm at home I hate others being around me while I have snacks. Maybe this doesn't make a lot of sense, my blood sugar is dropping quickly right now so perhaps I'm just rambling. Curious to see if anybody else feels like this, or something similar.</t>
        </is>
      </c>
      <c r="D3829" t="n">
        <v>9</v>
      </c>
      <c r="E3829" t="n">
        <v>14</v>
      </c>
      <c r="F3829">
        <f>HYPERLINK("https://www.reddit.com/r/diabetes/comments/7gzwse/anybody_else_hate_other_people_watching_them_eat/")</f>
        <v/>
      </c>
      <c r="G3829" t="inlineStr">
        <is>
          <t>2017-12-01 18:04:47</t>
        </is>
      </c>
      <c r="H3829" t="inlineStr">
        <is>
          <t>Type 1</t>
        </is>
      </c>
    </row>
    <row r="3830">
      <c r="A3830" t="inlineStr">
        <is>
          <t>7h0u1p</t>
        </is>
      </c>
      <c r="B3830" t="inlineStr">
        <is>
          <t>Diagnosis Story. Or Rather, How the Hell am I Still Alive?!?!</t>
        </is>
      </c>
      <c r="C3830" t="inlineStr">
        <is>
          <t>In "celebration" of my second dia-versary, someone requested my unbelievably strange journey towards a diagnosis. Bear with me, I pulled the bulk of it from an old reply and will edit and expand some stuff. 
~~~~
Think back, its the year 2010, my kid is kindergarten, Obama is president, and I'm going through immigration to be a permanent resident of Canada. When suddenly, like clockwork every month, I start puking my guts up. The bouts last maybe an hour at most, but the pain is intense and lingers. I have a stupid-high pain threshold, and if anyone normal had experienced the pain more than once, would have gone to the ER right then and there. 
Me? I popped two extra strength Tylenol and went back to bed. 
Eventually I had a flare up in the Doctor's office. Thankfully no vomiting but severe enough she sent me to the lab to run tests and have X-Rays done. 
My Doc at the time misdiagnosed it as Scoliosis and wonky-ass ribs (missing one on the left, and have an extra "branch" on the right), while the Scoliosis is VERY real (and so is fucked up my rib cage), it wasnt the cause of my monthly projectile vomiting episodes. 
I pretty much resigned myself to lifetime of agony, because, fuck it, unless I wanted to have back surgery... I could just learn to deal with a compressed nerve in my spine. (Which I still havent gotten fixed for a number of reasons I can talk about later)
Husband finally catches the beginning, middle and end of one of these attacks, and hauls my sick-ass to the ER, because "THATS NOT NORMAL WHAT CAME OUT OF YOU!" to quote him. 
ER Docs run a few tests, and uh-oh my liver is shutting down! The fuck could be causing that? A fucked-up gallbladder with murderous intent, thats what! Spend a week in the hospital, five of those days waiting for surgery, because once they stabilized me, I wasnt *actively* dying, and kept getting bumped. Five days of being told "surgery today! no food." then being told later that someone more in need took my place... BUT I might still have surgery during the night, so still no food. 
I pulled the IV out of my arm and tried to go home, because I was flipping out. (I was also SUPER high on morphine, so its really unlikely I would have gotten far, but yeah, lets have the person with SEVERE anxiety and agoraphobia trapped in a bareass room with no one to talk to, or to keep them company... Brilliant idea hospital, just brilliant.)
Finally have the gallbladder surgery (yay) The surgical residents came and THANKED ME for allowing them to study my gallbladder, because it was so unique... Gallbladder had SEVEN stones and 3 ulcers in it, so I had been LEAKING BILE into my body for months, fun times. They couldnt understand why I never came in before the Husband dragged me there, I replied simply, "I'm from Texas?" This is Near-Death Experience #1!
First round of bloodwork post-surgery... Hypothyroidism. Eh, knew that was going to happen sometime, too much family history to NOT have that happen. PLUS, slightly elevated A1C, but nothing super alarming because I had just spent a year slowly dying. I was/am overweight because depression and anxiety are fun things. So I decide to lose weight, and work towards being a better me YAY. (Weight lifting is awesome)
Lets fast forward 2 years.
Weight loss is slow and steady, nothing amazing, but its getting better. Because I did a TON of research and did slow changes to my eating habits. Yearly A1Cs are good, within normal ranges, if a touch high. Having issues with depression and anxiety. So I visit my (new) super-awesome doc to talk about it. (Because I obviously got rid of the one who diagnosis a fucking sour gallbladder. She has since lost her medical license for nearly killing another person who decided to sue.)
She gives me Seroquel... (Which worked BEAUTIFULLY... If it hadnt tried to kill me.) Seroquel comes with a giant warning about causing insulin resistance, which we didnt think was a huge issue because I wasnt the right age group for it, and my last 2 yearlys had been perfect. And there wasnt a history of diabetes in my family. 
Three months later...
I cant see clearly anymore, I have nightly leg cramps. I am MISERABLE. One of my sisters has MS, and some of my symptoms matched up with that, ran some tests, that came back clean. HOWEVER, the fasting glucose was something like a 28 mmoL. My Doc was currently out of the country, so the sub they had (who I DID NOT LIKE, still dont) said the Seroquel caused Medication-Induced Type 2. Took me off it, and gave me Metformin and said to get my A1C checked in 3 months. (Let's call this Minor Attempt on My Life)
Zero additional testing. Zero education. The doc who saw me really dropped the ball here, and I have since given her a piece of my mind. I'm actually still really angry about this, because if she hadnt been worried about seeing the next patient and had spent more than 5mins with me, she might have bothered to read a bit more and actually get that shit is never normal when it comes to me medically.
I felt like a failure... I had lost 60lbs, The Right Way, and here a fucking PILL had ruined me. A pill that was suppose to help me manage my anxiety so I could function in the Real World, and contribute. I spent a year in self-hatred and was just miserable. I had been ASSURED, PROMISED that I'd be over this in 6 months, easy. It had been caused by a pill, it was a fluke. It could have happened to anybody. I was doing everything the "right way" so there was no reason for me to be spiraling. 
Rolling up on the year anniversary of that event. Symptoms come back, with a vengeance. And they had steadily increased my Metformin each time I went in. That should have been a red flag, because I was tracking everything I ate, very low carb. There was no reason my numbers should have been that high all the time. 
I still have the little book I use to record my morning fasting BSG in. Some of the numbers are really scary to me *now*. But back then I was so angry at myself that I didnt educate and seek knowledge. If I had, what happened next might have been avoided. 
I started projectile vomiting again. I thought it was the flu, because it was the right time of year, and I am one of the lucky few who cant have a flu shot without an allergic reaction. 
Husband puts his foot down after I basically spend the night on the floor of out bathroom, praying to the porcelain gods for death. He makes the call for me to go to the ER. Because he refuses to let me be stubborn and wait for my appointment at the clinic a few hours later. 
It was very much the right decision on his part. 
We are sitting the waiting room, post-triage. I recall getting up to dry heave in the bathroom, because at this point I cant even keep down water for long. I was rapid breathing, flushed, and barely coherent. According to the Husband right before they called my name, I looked at him and kept whispering "help me". 
Theres a good chunk of memory missing here, because the last thing I clearly remember is the dry heaving and then sitting in a really comfy chair while they try to get another IV going because the first one had failed within 90mins of being done. 
I was also **SUPER** high on morphine because I was in so much pain my entire body was shaking. 
My body was so out of whack my blood has turned toxic/acidic, like INCOMPATIBLE WITH LIFE levels of trying to kill me. Which, I need to get a copy of that lab work because I wanna frame it and be like "I'm Immortal Bitch!" I also had a raging case of pneumonia that was threatening to collapse a lung. My veins kept failing, and they had to restick me 4 times in 12 hours, PLUS they were coming by every 3 hours for blood work because acid blood. My hands were the only place they could reliably get blood from, and they were a mess after that first day. I still have lingering soreness in places because my blood did so much damage to me. 
When I hit the rapid weight loss part of DKA (before the nearly dying part) I dropped 20lbs in 10 days. Which, honestly should have been a huge red flag for me. I lost a half an inch of muscle off the right side of my back, which I still havent been able to rebuild two years later. Because my body was so starved and unable to process glucose it decided to start eating the muscles in my body. 
I had one of the worst cases of DKA the hospital staff had ever seen. They were shocked I was able to walk into the building. And they still dont how I didnt slip into a coma, sure I have gaps, but not a true coma. 
I didnt get to see my BSG numbers until AFTER I spoke with the Educator, and she explained how my life would be from now on, but the one number I snuck a look at was 35mmol I think. And that was AFTER having me on an insulin drip for 12 hours.
The Endo on call (who is still my Endo, wonderful guy) assured me that he would not let me go home until I KNEW what I was doing. He even gave me his personal cell number, just in case I got home and something went wonky. 
I met my Educator the monday after I was released, and she adores me because I am very on the ball with management and tend to ask thought provoking questions. 
I asked my Endo later what the statistics were like for someone like me. He said it was something in the range of 1 in half a billion people. I very nearly died in the waiting room at the ER.
I am very lucky because that year of mismanagement didnt ruin my body. I dont have any complications, and I stay on top of my control. I'm very fortunate to live in Alberta, where the provincial health coverage provides me with an insulin pump and the supplies free of charge. (You have to follow their guidelines, or they **will** take it away from you) But I keep thinking to the "What-Ifs" of what if I had still been in Texas when my gallbladder went bad? I would have probably died. If I had survived that, what about when I was misdiagnosed? Would I have even been able to get an incorrect answer? Or would I have suffered? What about when the DKA hit? I *know* without a doubt I would have died there, in the waiting room of the ER, in agony. 
I make light of what happened to me, because it is so bizarre, but its not something I would wish on any living being. I truly suffered for months, years, and didnt know why, and no one should go through that. Ever. 
**~Edit: There is a rule in the house now. If I vomit, I have to visit a doctor because its likely cause an organ is failing. My mother is convinced I'll eventually be left with only my tonsils and appendix, because most have those removed, and I am not most people.~**</t>
        </is>
      </c>
      <c r="D3830" t="n">
        <v>10</v>
      </c>
      <c r="E3830" t="n">
        <v>15</v>
      </c>
      <c r="F3830">
        <f>HYPERLINK("https://www.reddit.com/r/diabetes/comments/7h0u1p/diagnosis_story_or_rather_how_the_hell_am_i_still/")</f>
        <v/>
      </c>
      <c r="G3830" t="inlineStr">
        <is>
          <t>2017-12-01 21:15:52</t>
        </is>
      </c>
      <c r="H3830" t="inlineStr">
        <is>
          <t>Type 1</t>
        </is>
      </c>
    </row>
    <row r="3831">
      <c r="A3831" t="inlineStr">
        <is>
          <t>7h251j</t>
        </is>
      </c>
      <c r="B3831" t="inlineStr">
        <is>
          <t>Thoughts on using Jardiance 10mg in conjunction with one meal a day to flush sugar</t>
        </is>
      </c>
      <c r="C3831" t="inlineStr">
        <is>
          <t xml:space="preserve">I am type 2 male diabetic , doc told me I have one more shot to get sugar down or I have to go on inculen ( which you can never get off taking once started) I am trying to reverse my type 2 to avoid this. She prescribed 10 mg Jardiance that makes you pee out the excess sugar in your blood. What about an intermittent fast and big meal at end of day drop pill directly after as most optimal approach.
</t>
        </is>
      </c>
      <c r="D3831" t="n">
        <v>11</v>
      </c>
      <c r="E3831" t="n">
        <v>29</v>
      </c>
      <c r="F3831">
        <f>HYPERLINK("https://www.reddit.com/r/diabetes/comments/7h251j/thoughts_on_using_jardiance_10mg_in_conjunction/")</f>
        <v/>
      </c>
      <c r="G3831" t="inlineStr">
        <is>
          <t>2017-12-02 03:19:12</t>
        </is>
      </c>
      <c r="H3831" t="inlineStr">
        <is>
          <t>Type 2</t>
        </is>
      </c>
    </row>
    <row r="3832">
      <c r="A3832" t="inlineStr">
        <is>
          <t>7h56tz</t>
        </is>
      </c>
      <c r="B3832" t="inlineStr">
        <is>
          <t>delayed recovery from overnight hypoglycemia (crossposted to diabetes_t1)</t>
        </is>
      </c>
      <c r="C3832" t="inlineStr">
        <is>
          <t xml:space="preserve">I've had t1d for 34 years. I've been desperately avoiding overnight lows from Lantus for about five years now due to a weird delayed recovery period. 
This only happens when when the hypoglycemia happens in the morning when I wake already low and it is caused by my long-acting insulin lowering my blood sugar while I sleep. I treat the low with liquid carbs, usually a juice. So, it's not an issue of fat slowing down the absorption of the carbohydrates. My actual blood sugar returns to normal in the expected amount of time, but my brain functionality is delayed by four or more hours. (My body doesn't feel completely recovered either, but that is mild in comparison.) It's so severe that I end up stuck in bed for those four or five hours, though I'm still very off for the rest of the day. 
Of note, I have polyglandular autoimmune syndrome, which means that I have five or six autoimmune disorders diagnosed thus far and am expecting at least one more to be fleshed out by rheumatology this next year. I talked to my endocrinologist about this phenomena briefly. We have a 16-year relationship. I trust her more than any other doctor that I have ever seen, and she was both stumped and surprised.  
Before I discuss this with her again, I was wondering, have any of you experienced anything like this? Does anyone have a theory as to what could be happening to cause my brain to recover so slowly? I welcome any thoughts to help me brainstorm the situation. </t>
        </is>
      </c>
      <c r="D3832" t="n">
        <v>1</v>
      </c>
      <c r="E3832" t="n">
        <v>3</v>
      </c>
      <c r="F3832">
        <f>HYPERLINK("https://www.reddit.com/r/diabetes/comments/7h56tz/delayed_recovery_from_overnight_hypoglycemia/")</f>
        <v/>
      </c>
      <c r="G3832" t="inlineStr">
        <is>
          <t>2017-12-02 12:51:47</t>
        </is>
      </c>
      <c r="H3832" t="inlineStr">
        <is>
          <t>Type 1</t>
        </is>
      </c>
    </row>
    <row r="3833">
      <c r="A3833" t="inlineStr">
        <is>
          <t>7h6zqf</t>
        </is>
      </c>
      <c r="B3833" t="inlineStr">
        <is>
          <t>Insurance?</t>
        </is>
      </c>
      <c r="C3833" t="inlineStr">
        <is>
          <t xml:space="preserve">I live in a sorta remote area in Colorado, so choices are a little limited as to what’s accepted in network here. But what do you guys use that’s not outrageously priced that covers basic stuff like lab work? I don’t expect it to cover pump supplies or Dexcom supplies...but I’m freaking 27 and looking at $900 a month just for premiums. So after all is said and done, an easy $1,500. 
Any ideas? </t>
        </is>
      </c>
      <c r="D3833" t="n">
        <v>1</v>
      </c>
      <c r="E3833" t="n">
        <v>7</v>
      </c>
      <c r="F3833">
        <f>HYPERLINK("https://www.reddit.com/r/diabetes/comments/7h6zqf/insurance/")</f>
        <v/>
      </c>
      <c r="G3833" t="inlineStr">
        <is>
          <t>2017-12-02 18:06:51</t>
        </is>
      </c>
      <c r="H3833" t="inlineStr">
        <is>
          <t>Type 1</t>
        </is>
      </c>
    </row>
    <row r="3834">
      <c r="A3834" t="inlineStr">
        <is>
          <t>7h7c42</t>
        </is>
      </c>
      <c r="B3834" t="inlineStr">
        <is>
          <t>Best time to take Metformin?</t>
        </is>
      </c>
      <c r="C3834" t="inlineStr">
        <is>
          <t>I take 500 mg Metformin twice a day,  usually at breakfast and at dinner. Today I forgot to take it at breakfast so I took it at lunch and right before a Christmas party we had tonight and I was a little loose with the diet, I ate spicy sausage cheese dip over tortilla chips, ham on sweet rolls, bean dip and even a little bit of chocolate. First splurge since I was diagnosed. Here’s the odd part, I normally spike about an hour after i eat, normally it runs about 130. Tonight an hour after eating more than i should, my blood sugar was at 116, I checked again 30 minutes later at 124.  30 minutes after that I was at 120. Not complaining about the good numbers but I was expecting a lot higher. I had a tuna fish sandwich for lunch last week and hit 154. Do you think the timing of the Metformin makes a difference?</t>
        </is>
      </c>
      <c r="D3834" t="n">
        <v>2</v>
      </c>
      <c r="E3834" t="n">
        <v>6</v>
      </c>
      <c r="F3834">
        <f>HYPERLINK("https://www.reddit.com/r/diabetes/comments/7h7c42/best_time_to_take_metformin/")</f>
        <v/>
      </c>
      <c r="G3834" t="inlineStr">
        <is>
          <t>2017-12-02 19:12:53</t>
        </is>
      </c>
      <c r="H3834" t="inlineStr">
        <is>
          <t>Type 2</t>
        </is>
      </c>
    </row>
    <row r="3835">
      <c r="A3835" t="inlineStr">
        <is>
          <t>7h9l8z</t>
        </is>
      </c>
      <c r="B3835" t="inlineStr">
        <is>
          <t>T1 anyone's honeymoon like mine?</t>
        </is>
      </c>
      <c r="C3835" t="inlineStr">
        <is>
          <t>I was diagnosed with type 1 diabetes last November at 24 after losing handfuls of hair, being super thirsty and losing around 10kgs. Had blood tests which showed A1C of 12.2 and positive for type 1 antibodies so was started on insulin. For the first four months I was on 6u Lantus and a carb ratio of 1:30 and had an A1C of 5.7. I began going low often so the ratio dropped to 1:40, 1:50 then 1:100. I was still going low so stopped bolusing all together in March. I continued to go low so my Lantus was lowered to 4u, then 2u which still resulted in lows so I also stopped my basal insulin which was in June. 
Latest A1C was 4.8 and blood tests were reran to check antibodies, which were still positive so I've just been told I'm having a strangely good honeymoon. I've now been 100% off insulin for 6 months. I still test every morning and night to check if its back but so far I get normal fasting sugars.
Anyone else have a honeymoon similar to mine? If so how long did yours last off insulin</t>
        </is>
      </c>
      <c r="D3835" t="n">
        <v>7</v>
      </c>
      <c r="E3835" t="n">
        <v>7</v>
      </c>
      <c r="F3835">
        <f>HYPERLINK("https://www.reddit.com/r/diabetes/comments/7h9l8z/t1_anyones_honeymoon_like_mine/")</f>
        <v/>
      </c>
      <c r="G3835" t="inlineStr">
        <is>
          <t>2017-12-03 05:18:06</t>
        </is>
      </c>
      <c r="H3835" t="inlineStr">
        <is>
          <t>Type 1</t>
        </is>
      </c>
    </row>
    <row r="3836">
      <c r="A3836" t="inlineStr">
        <is>
          <t>7hf7m9</t>
        </is>
      </c>
      <c r="B3836" t="inlineStr">
        <is>
          <t>Can't seem to keep blood sugar levels under 250?</t>
        </is>
      </c>
      <c r="C3836" t="inlineStr">
        <is>
          <t>I've checked my infusion sets over and over again just to make sure it there isn't a kink somewhere, I've been bolusing for even more insulin than I usually take, but I STILL cannot get my sugars below 250. I woke up this morning with a 332 even with my basal. It's been like this the entire weekend and I've done nothing differently. I even opened a new vial of novolog just in case it was a bad vial. I plan to call my endo tomorrow, but I have no idea what is going on. This has never happened to me before. I manually check my glucose, but my dexcom has been correct about 99% of the time...just when I think I somewhat understand this disease, I am thrown for a complete loop even after 10 years.</t>
        </is>
      </c>
      <c r="D3836" t="n">
        <v>3</v>
      </c>
      <c r="E3836" t="n">
        <v>7</v>
      </c>
      <c r="F3836">
        <f>HYPERLINK("https://www.reddit.com/r/diabetes/comments/7hf7m9/cant_seem_to_keep_blood_sugar_levels_under_250/")</f>
        <v/>
      </c>
      <c r="G3836" t="inlineStr">
        <is>
          <t>2017-12-03 21:09:21</t>
        </is>
      </c>
      <c r="H3836" t="inlineStr">
        <is>
          <t>Type 1</t>
        </is>
      </c>
    </row>
    <row r="3837">
      <c r="A3837" t="inlineStr">
        <is>
          <t>7hhr17</t>
        </is>
      </c>
      <c r="B3837" t="inlineStr">
        <is>
          <t>Omnipod Dash?</t>
        </is>
      </c>
      <c r="C3837" t="inlineStr">
        <is>
          <t>I just found this by accident when seeing an ad for Omnipod on Facebook.
So they are just making a locked down android phone with JUST the pump app on it?  Why can't they just make an app for android so we don't really have to carry anything?  I would love to be able to go out with just my phone... I got the CGM app on my phone and it's nice to have 1 less thing to carry.  
I can't really find much info on the Dash thing, besides the fact that it was due late this year.</t>
        </is>
      </c>
      <c r="D3837" t="n">
        <v>3</v>
      </c>
      <c r="E3837" t="n">
        <v>18</v>
      </c>
      <c r="F3837">
        <f>HYPERLINK("https://www.reddit.com/r/diabetes/comments/7hhr17/omnipod_dash/")</f>
        <v/>
      </c>
      <c r="G3837" t="inlineStr">
        <is>
          <t>2017-12-04 06:48:07</t>
        </is>
      </c>
      <c r="H3837" t="inlineStr">
        <is>
          <t>Type 1</t>
        </is>
      </c>
    </row>
    <row r="3838">
      <c r="A3838" t="inlineStr">
        <is>
          <t>7hic26</t>
        </is>
      </c>
      <c r="B3838" t="inlineStr">
        <is>
          <t>T2 I got diagnosed with diabetes today, what am I still alowed to eat?</t>
        </is>
      </c>
      <c r="C3838" t="inlineStr">
        <is>
          <t>I´ve searched a bit throughout the net and I´m still not realy sure what I can actually eat and what not.
Do some of you good people maybe have any advice or recipes you could point me towards to?
edit: butchered the format of the title</t>
        </is>
      </c>
      <c r="D3838" t="n">
        <v>3</v>
      </c>
      <c r="E3838" t="n">
        <v>19</v>
      </c>
      <c r="F3838">
        <f>HYPERLINK("https://www.reddit.com/r/diabetes/comments/7hic26/t2_i_got_diagnosed_with_diabetes_today_what_am_i/")</f>
        <v/>
      </c>
      <c r="G3838" t="inlineStr">
        <is>
          <t>2017-12-04 08:18:55</t>
        </is>
      </c>
      <c r="H3838" t="inlineStr">
        <is>
          <t>Type 2</t>
        </is>
      </c>
    </row>
    <row r="3839">
      <c r="A3839" t="inlineStr">
        <is>
          <t>7hnxck</t>
        </is>
      </c>
      <c r="B3839" t="inlineStr">
        <is>
          <t>Panicking over here</t>
        </is>
      </c>
      <c r="C3839" t="inlineStr">
        <is>
          <t>Hi all, I have been travelling for the last week and as such have not been eating great -- far more carbs than I am used to, more alcohol, and not enough water. Tonight I found it difficult to sleep, then fell asleep around 6am, but woke up because I was unbearably hot. I'm in a cold place, so that seemed odd. Cracked open a window, still couldn't really get comfortable. No excessive thirst or urination. Decided to test my blood sugar. It was 270! Tested again a few seconds later after thoroughly washing my hands, it was 294. I am T2 and my blood sugar rarely goes up beyond 140, even if I eat a lot of junk (though I am trying to be better). I'm in the middle of downing two huge bottles of water but, at what point should I be really scared and go to the emergency room? I feel ok at the moment. Tired, of course, but not confused. What should I do? I've never had blood sugar this high before... and how should I eat over the next 24 hours? Any advice would be very, very gratefully received. Thank you.</t>
        </is>
      </c>
      <c r="D3839" t="n">
        <v>2</v>
      </c>
      <c r="E3839" t="n">
        <v>18</v>
      </c>
      <c r="F3839">
        <f>HYPERLINK("https://www.reddit.com/r/diabetes/comments/7hnxck/panicking_over_here/")</f>
        <v/>
      </c>
      <c r="G3839" t="inlineStr">
        <is>
          <t>2017-12-04 22:35:41</t>
        </is>
      </c>
      <c r="H3839" t="inlineStr">
        <is>
          <t>Type 2</t>
        </is>
      </c>
    </row>
    <row r="3840">
      <c r="A3840" t="inlineStr">
        <is>
          <t>7hp4it</t>
        </is>
      </c>
      <c r="B3840" t="inlineStr">
        <is>
          <t>Pre bolus for chips</t>
        </is>
      </c>
      <c r="C3840" t="inlineStr">
        <is>
          <t>Do you pre-bolus for chips? I usually always drop low if I do and sometimes if I don’t I spike. I currently have a love/hate relationship with chips lol</t>
        </is>
      </c>
      <c r="D3840" t="n">
        <v>2</v>
      </c>
      <c r="E3840" t="n">
        <v>3</v>
      </c>
      <c r="F3840">
        <f>HYPERLINK("https://www.reddit.com/r/diabetes/comments/7hp4it/pre_bolus_for_chips/")</f>
        <v/>
      </c>
      <c r="G3840" t="inlineStr">
        <is>
          <t>2017-12-05 03:37:29</t>
        </is>
      </c>
      <c r="H3840" t="inlineStr">
        <is>
          <t>Type 1</t>
        </is>
      </c>
    </row>
    <row r="3841">
      <c r="A3841" t="inlineStr">
        <is>
          <t>7hr7mw</t>
        </is>
      </c>
      <c r="B3841" t="inlineStr">
        <is>
          <t>I have no one to blame but myself</t>
        </is>
      </c>
      <c r="C3841" t="inlineStr">
        <is>
          <t xml:space="preserve">Somewhere along the way last year, I passed from insulin resistance into full blown diabetes. I didn't know I had changed over until my left eye got blurry over the course of a few weeks. 
I went into the eye doctor, and he told me a had a pretty significant cataract in that eye. Out of curiosity, he took my blood pressure, and it was 220/115. He sent me to my doctor, giving me the choice of taking myself, or he would call me an ambulance. 
My doctor cheeked me out, gave me something to drop my blood pressure down and told me that I should go check into the ER. When i told her I wasn't going to do that, she made me promise you come back the next day for more tests. She was very unhappy that I wouldn't go to the hospital. 
The next day,  I got the diagnosis of extremely high blood pressure and diabetes. (A1C of 7.2) I was prescribed metformin and blood pressure meds. 
The metformin made me so sick I couldn't eat, so I stopped taking it. And I proceeded to ignore my diabetes for another 8 months. I went back to the doctor after being in pain for half of that time. Was sent to a specialist, who ended up removing my gall bladder the next day. 
Went back to my doctor and asked het to put me on insulin, which she had wanted to do originally. For the last 4 months I have adhered to my diabetes medication schedule, and now it is rare for my blood sugar to go over 150. (That was after having a small piece of cake with my daughter on her birthday.)
I finally got in to see an eye care specialist about my cataract, and it turns out that I've actually developed cataracts in both eyes now, and have to have them both replaced. My left eye is so bad that the doctor said he could barely get light you shine all the way through that lens. 
TL;dr: I neglected my health for to long and almost blinded myself. I've learned my lesson, but am still dealing with the fallout of my inactions.
Update: just got the results of my A1c test I took last week, I'm now at a 4.8, down from 9.2 three months ago. </t>
        </is>
      </c>
      <c r="D3841" t="n">
        <v>0</v>
      </c>
      <c r="E3841" t="n">
        <v>4</v>
      </c>
      <c r="F3841">
        <f>HYPERLINK("https://www.reddit.com/r/diabetes/comments/7hr7mw/i_have_no_one_to_blame_but_myself/")</f>
        <v/>
      </c>
      <c r="G3841" t="inlineStr">
        <is>
          <t>2017-12-05 09:27:24</t>
        </is>
      </c>
      <c r="H3841" t="inlineStr">
        <is>
          <t>Type 2</t>
        </is>
      </c>
    </row>
    <row r="3842">
      <c r="A3842" t="inlineStr">
        <is>
          <t>7hshc8</t>
        </is>
      </c>
      <c r="B3842" t="inlineStr">
        <is>
          <t>air bubbles in insulin pump reservoir</t>
        </is>
      </c>
      <c r="C3842" t="inlineStr">
        <is>
          <t>I have had the occasional air bubble in my insulin pump reservoir before, never had any trouble. but i was wondering if maybe i have just been lucky? could having a single air bubble lead to an issue with the insulin delivery?  
thanks</t>
        </is>
      </c>
      <c r="D3842" t="n">
        <v>3</v>
      </c>
      <c r="E3842" t="n">
        <v>4</v>
      </c>
      <c r="F3842">
        <f>HYPERLINK("https://www.reddit.com/r/diabetes/comments/7hshc8/air_bubbles_in_insulin_pump_reservoir/")</f>
        <v/>
      </c>
      <c r="G3842" t="inlineStr">
        <is>
          <t>2017-12-05 12:21:12</t>
        </is>
      </c>
      <c r="H3842" t="inlineStr">
        <is>
          <t>Type 1</t>
        </is>
      </c>
    </row>
    <row r="3843">
      <c r="A3843" t="inlineStr">
        <is>
          <t>7hyfw0</t>
        </is>
      </c>
      <c r="B3843" t="inlineStr">
        <is>
          <t>A1C 10.5 to 6.4 to 5.6</t>
        </is>
      </c>
      <c r="C3843" t="inlineStr">
        <is>
          <t xml:space="preserve">10.6 when it was diagnosed September 2016.  Three months later, after many diet changes it was 6.4.  For almost a year after that I struggled with trying to adhere to the ADA's guidelines and still having major issues.  I finally gave up on them because their advice is crap (45 carbs per meal?? )  I am on a keto diet now and have been for about 2.5 months (almost zero carb/sweets cravings!!).  My A1C last week was 5.6 and I've dropped about 20 pounds.  I'm guessing now that if more people with type 2 went on keto, the ADA would lose money.  Cuz we all know, it's always about the money.
</t>
        </is>
      </c>
      <c r="D3843" t="n">
        <v>5</v>
      </c>
      <c r="E3843" t="n">
        <v>12</v>
      </c>
      <c r="F3843">
        <f>HYPERLINK("https://www.reddit.com/r/diabetes/comments/7hyfw0/a1c_105_to_64_to_56/")</f>
        <v/>
      </c>
      <c r="G3843" t="inlineStr">
        <is>
          <t>2017-12-06 06:40:28</t>
        </is>
      </c>
      <c r="H3843" t="inlineStr">
        <is>
          <t>Type 2</t>
        </is>
      </c>
    </row>
    <row r="3844">
      <c r="A3844" t="inlineStr">
        <is>
          <t>7hzuwv</t>
        </is>
      </c>
      <c r="B3844" t="inlineStr">
        <is>
          <t>had to share my excitement!</t>
        </is>
      </c>
      <c r="C3844" t="inlineStr">
        <is>
          <t xml:space="preserve">so i've told my friends/family this, and they're like "that's great! what is that?" so i figured i'd tell people who know.
went to my Dr this morning for my first three-month check-in after diagnosis in September (T2).  when i was diagnosed, my A1C was a 10 (!!).  am currently unmedicated, as she (and i) wanted to see what diet/exercise alone could do.  
YA'LL.  as of this morning, my A1C was a 7.3 (!!!) and my average blood glucose reading went down almost 100 points--from 251 to 165.  
!!!!!!!!!
i'm so happy i could cry.  i'm not seeing weight come off as fast as i would like, but this is total validation that i'm doing something right. </t>
        </is>
      </c>
      <c r="D3844" t="n">
        <v>2</v>
      </c>
      <c r="E3844" t="n">
        <v>6</v>
      </c>
      <c r="F3844">
        <f>HYPERLINK("https://www.reddit.com/r/diabetes/comments/7hzuwv/had_to_share_my_excitement/")</f>
        <v/>
      </c>
      <c r="G3844" t="inlineStr">
        <is>
          <t>2017-12-06 10:05:12</t>
        </is>
      </c>
      <c r="H3844" t="inlineStr">
        <is>
          <t>Type 2</t>
        </is>
      </c>
    </row>
    <row r="3845">
      <c r="A3845" t="inlineStr">
        <is>
          <t>7i2wgi</t>
        </is>
      </c>
      <c r="B3845" t="inlineStr">
        <is>
          <t>I DID IT!!!!!</t>
        </is>
      </c>
      <c r="C3845" t="inlineStr">
        <is>
          <t xml:space="preserve">Guys
I fkn did it!!
My HBA1C is at 6.0 and I am so freakin' happy. 16 years of diabetes, many years of self hate and not looking after myself... I'm so glad I started following a low-carb diet and honestly this just made me more motivated to lose the last few kilos! I can do this!!! </t>
        </is>
      </c>
      <c r="D3845" t="n">
        <v>126</v>
      </c>
      <c r="E3845" t="n">
        <v>35</v>
      </c>
      <c r="F3845">
        <f>HYPERLINK("https://www.reddit.com/r/diabetes/comments/7i2wgi/i_did_it/")</f>
        <v/>
      </c>
      <c r="G3845" t="inlineStr">
        <is>
          <t>2017-12-06 17:28:43</t>
        </is>
      </c>
      <c r="H3845" t="inlineStr">
        <is>
          <t>Type 1</t>
        </is>
      </c>
    </row>
    <row r="3846">
      <c r="A3846" t="inlineStr">
        <is>
          <t>7i327y</t>
        </is>
      </c>
      <c r="B3846" t="inlineStr">
        <is>
          <t>New t2</t>
        </is>
      </c>
      <c r="C3846" t="inlineStr">
        <is>
          <t xml:space="preserve">So just recently diagnosed with t2, and now have to change everything I eat.. Having really hard time finding recipes that are to my liking,  don't like spicy,  the only beans I care for are green beans. And I can't eat chicken every day. I like a lot of variety. But I'm also a picky eater. Im looking for recipes,  weekly meal plans,  snack ideas or any other helpful tips for someone new to this whole thing. </t>
        </is>
      </c>
      <c r="D3846" t="n">
        <v>1</v>
      </c>
      <c r="E3846" t="n">
        <v>6</v>
      </c>
      <c r="F3846">
        <f>HYPERLINK("https://www.reddit.com/r/diabetes/comments/7i327y/new_t2/")</f>
        <v/>
      </c>
      <c r="G3846" t="inlineStr">
        <is>
          <t>2017-12-06 17:54:40</t>
        </is>
      </c>
      <c r="H3846" t="inlineStr">
        <is>
          <t>Type 2</t>
        </is>
      </c>
    </row>
    <row r="3847">
      <c r="A3847" t="inlineStr">
        <is>
          <t>7i6y16</t>
        </is>
      </c>
      <c r="B3847" t="inlineStr">
        <is>
          <t>Fitness/weight-training and Type 1 diabetes</t>
        </is>
      </c>
      <c r="C3847" t="inlineStr">
        <is>
          <t xml:space="preserve">Hi I was diagnosed with Type 1 about a year ago at 24 years old and was hoping someone could give me some advice.
I've been working out for a little over a year now and am really looking to put on muscle. Everywhere I read that to put on muscle you need to eat a ton of food and count macros, but that's pretty hard for a diabetic. If I'm looking to bulk and put on muscle what can I do besides eating peanuts every meal? Does anyone have any experience with this?
I've Googled this question before and I came across an article about manipulating your insulin intake to maximize gains since insulin is needed to build muscle, but a lot of it when over my head since I don't have a science background. 
Thanks! 
</t>
        </is>
      </c>
      <c r="D3847" t="n">
        <v>2</v>
      </c>
      <c r="E3847" t="n">
        <v>18</v>
      </c>
      <c r="F3847">
        <f>HYPERLINK("https://www.reddit.com/r/diabetes/comments/7i6y16/fitnessweighttraining_and_type_1_diabetes/")</f>
        <v/>
      </c>
      <c r="G3847" t="inlineStr">
        <is>
          <t>2017-12-07 06:53:47</t>
        </is>
      </c>
      <c r="H3847" t="inlineStr">
        <is>
          <t>Type 1</t>
        </is>
      </c>
    </row>
    <row r="3848">
      <c r="A3848" t="inlineStr">
        <is>
          <t>7i7x6i</t>
        </is>
      </c>
      <c r="B3848" t="inlineStr">
        <is>
          <t>Just inserted the Freestyle Libre on a trial</t>
        </is>
      </c>
      <c r="C3848" t="inlineStr">
        <is>
          <t>I have very thin arms, and after I inserted it, my arm began to ache when I moved it and hurt sometimes too... Is this normal, or is this because I have very thin arms and it's gone into the muscle or what? 
Also, what happens if you accidentally insert into a vein?</t>
        </is>
      </c>
      <c r="D3848" t="n">
        <v>1</v>
      </c>
      <c r="E3848" t="n">
        <v>3</v>
      </c>
      <c r="F3848">
        <f>HYPERLINK("https://www.reddit.com/r/diabetes/comments/7i7x6i/just_inserted_the_freestyle_libre_on_a_trial/")</f>
        <v/>
      </c>
      <c r="G3848" t="inlineStr">
        <is>
          <t>2017-12-07 09:12:37</t>
        </is>
      </c>
      <c r="H3848" t="inlineStr">
        <is>
          <t>Type 1</t>
        </is>
      </c>
    </row>
    <row r="3849">
      <c r="A3849" t="inlineStr">
        <is>
          <t>7iay4b</t>
        </is>
      </c>
      <c r="B3849" t="inlineStr">
        <is>
          <t>Any T1Ds on Liraglutide?</t>
        </is>
      </c>
      <c r="C3849" t="inlineStr">
        <is>
          <t>So I'm an atypical T1D - I've never been small 6'1" 14-15 stone) but since getting diagnosed I've gained about 5 stone to be 20. With a high BMI I've had some medics question weather I'm Type 2!!
Pretty much every other endocrine system in my body is FUBAR so I'm on meds for all of that and dealing with severe depression to boot. Last Jan I developed panic attacks while training to be a teacher so life isn't easy juggling all of this and accordingly my sugars aren't well controlled at the moment.
However in light of my complications and weight gain I've been put on Liraglutide as an off label use. Here's the Wikipedia link which is pretty much what I was told: https://en.m.wikipedia.org/wiki/Liraglutide It won't stimulate insulin production in me because T1D but should help my metabolism, help my liver function better and make me feel sated after eating (which I think it is, could be the placebo effect?)
I've only been on it since Monday so I'm just wondering if any other T1s have been out on it or am I a special snowflake?</t>
        </is>
      </c>
      <c r="D3849" t="n">
        <v>1</v>
      </c>
      <c r="E3849" t="n">
        <v>2</v>
      </c>
      <c r="F3849">
        <f>HYPERLINK("https://www.reddit.com/r/diabetes/comments/7iay4b/any_t1ds_on_liraglutide/")</f>
        <v/>
      </c>
      <c r="G3849" t="inlineStr">
        <is>
          <t>2017-12-07 16:30:54</t>
        </is>
      </c>
      <c r="H3849" t="inlineStr">
        <is>
          <t>Type 1</t>
        </is>
      </c>
    </row>
    <row r="3850">
      <c r="A3850" t="inlineStr">
        <is>
          <t>7ib8jr</t>
        </is>
      </c>
      <c r="B3850" t="inlineStr">
        <is>
          <t>Weird side effect of blood sugar lows</t>
        </is>
      </c>
      <c r="C3850" t="inlineStr">
        <is>
          <t>I was diagnosed as a type 1 diabetic in May 2016 and, up until this October I controlled it poorly using insulin pens. By poorly, I mean it stayed consistently above 200. I switched to the Omnipod in October, and the difference has been like night and day. Now my main issues are lows. I'm getting better about it, but I'll have a low at least once a week. 
I expect feeling drained and clammy during the low and then tired and irritated even after getting my sugar back up, but the reason I'm posting this is because I'll feel sad for hours afterward. I had a low -- 45 -- around noon and, even though I'm back up to a comfortable place at 7, I'm feeling sad and detached. My family is asking if I'm alright, and I'm telling them I'm just tired, but I'm not really tired or drained-feeling at all. I just feel straight up sad. Does anyone else experience this?</t>
        </is>
      </c>
      <c r="D3850" t="n">
        <v>5</v>
      </c>
      <c r="E3850" t="n">
        <v>9</v>
      </c>
      <c r="F3850">
        <f>HYPERLINK("https://www.reddit.com/r/diabetes/comments/7ib8jr/weird_side_effect_of_blood_sugar_lows/")</f>
        <v/>
      </c>
      <c r="G3850" t="inlineStr">
        <is>
          <t>2017-12-07 17:17:23</t>
        </is>
      </c>
      <c r="H3850" t="inlineStr">
        <is>
          <t>Type 1</t>
        </is>
      </c>
    </row>
    <row r="3851">
      <c r="A3851" t="inlineStr">
        <is>
          <t>7ibjbj</t>
        </is>
      </c>
      <c r="B3851" t="inlineStr">
        <is>
          <t>Having TONS of issues with Novolog lately...</t>
        </is>
      </c>
      <c r="C3851" t="inlineStr">
        <is>
          <t xml:space="preserve">Figures this happens at this time of year, when I've swapped over to a new health plan and am just waiting patiently for it to kick in so I can switch back to my (known to work) old medication (Humalog).
I've been battling with Novolog the past two years. I've mostly come to tolerate it but 2017 has just been too much. I use Lantus with it, and normally here's how a meal will go:
Anticipate food. Do Novolog according to current blood sugar and anticipated carb intake, eat. Find out an hour later (god why do I feel like trash) that Novolog did approximately all of nothing and my blood sugar's pushing 400. Do about 12 units to get it down, recheck about 30 minutes later. Coming down *very* slowly. An hour later it just stops at 320 or so. Do another round of Novolog. An hour later it's *still* sitting in the mid 200s. Finally do another smaller dose and it settles in the mid 100s. Good enough.
*four hours later*
oh god why is my blood sugar 50 what is going on
*eats a candy bar*
And my blood sugar is back up to some astronomical number an hour later.
Due to my insurance being what they are there was a period not that long ago where they shorted me on my pen supply and a friend floated me a Humalog pen to get me by and the difference was absolutely night and day: I did a smaller dose of Humalog and it sunk my blood sugar *fast*. And once it did its job, that was *it*. It didn't return with friends hours later and sink my blood sugar like the Titanic.
(I know people say the Novolog "tail effect" is a myth but I swear it hits me all the damn time.)
It feels like in my situation the Novolog rolls a dice every time I use it and it takes effect anywhere between 30 minutes to a couple of hours and I'm at the mercy of it. Has anyone else experienced it?
This is mostly moot because I'm thankfully swapping back over to Humalog next year once my new insurance kicks in, but since I recently discovered this sub I wanted to ask out of curiosity if anyone else has had fun times with Novolog.
EDIT: switching back to Humalog. I ain’t no masochist. </t>
        </is>
      </c>
      <c r="D3851" t="n">
        <v>9</v>
      </c>
      <c r="E3851" t="n">
        <v>15</v>
      </c>
      <c r="F3851">
        <f>HYPERLINK("https://www.reddit.com/r/diabetes/comments/7ibjbj/having_tons_of_issues_with_novolog_lately/")</f>
        <v/>
      </c>
      <c r="G3851" t="inlineStr">
        <is>
          <t>2017-12-07 18:06:26</t>
        </is>
      </c>
      <c r="H3851" t="inlineStr">
        <is>
          <t>Type 1</t>
        </is>
      </c>
    </row>
    <row r="3852">
      <c r="A3852" t="inlineStr">
        <is>
          <t>7iepfs</t>
        </is>
      </c>
      <c r="B3852" t="inlineStr">
        <is>
          <t>Urgent - New Type 1, Probably Honeymooning, Studies Going On?</t>
        </is>
      </c>
      <c r="C3852" t="inlineStr">
        <is>
          <t>I have done some research on what the field against T1 is doing. Lots of clinical trials are using people who are diagnosed recently ( &amp;lt; 6 months ago ) with some beta cells left, to try out new therapies in preserving the remaining cells and/or killing of the offenders to stop the damage.
I am located in UK and found out [this](https://clinicaltrials.gov/ct2/show/NCT03272269?term=imcyse&amp;amp;rank=1) so far. I was encouraged by a post from [fellow Redditor](https://www.reddit.com/r/diabetes/comments/3cyl0c/newly_diagnosed_diabetics_dont_miss_out_on_a/).
Also, [this answer](https://www.reddit.com/r/diabetes/comments/6e7sjl/belgian_biotech_starts_human_trials_for_a/di8e9q9/) is encouraging.
Please post some clinical trials currently going on. We must help the researchers to experiment and find if things work.</t>
        </is>
      </c>
      <c r="D3852" t="n">
        <v>0</v>
      </c>
      <c r="E3852" t="n">
        <v>4</v>
      </c>
      <c r="F3852">
        <f>HYPERLINK("https://www.reddit.com/r/diabetes/comments/7iepfs/urgent_new_type_1_probably_honeymooning_studies/")</f>
        <v/>
      </c>
      <c r="G3852" t="inlineStr">
        <is>
          <t>2017-12-08 04:39:14</t>
        </is>
      </c>
      <c r="H3852" t="inlineStr">
        <is>
          <t>Type 1</t>
        </is>
      </c>
    </row>
    <row r="3853">
      <c r="A3853" t="inlineStr">
        <is>
          <t>7ihegm</t>
        </is>
      </c>
      <c r="B3853" t="inlineStr">
        <is>
          <t>Starting New 670G Pump and sensor</t>
        </is>
      </c>
      <c r="C3853" t="inlineStr">
        <is>
          <t xml:space="preserve">So after months of run around with switching insurance due to loosing my job I found out yesterday I should be getting the new Medtronic 670G pump and sensor. I'm curious to hear what your thoughts are on the 670G and new Guardian sensor. Currently i'm on a 530G pump with enlite sensor and since starting using this sensor my blood sugar control has improved so so much. But I do have some complaints in reguards to the Enlite sensor. Mainly being its accuracy. I calibrate when it asks but I find quite often especially in the last day or 2 before needing to change sensors that the accuracy is way off. Today it alarmed that my sugars were running low at 61 but when I checked with my meter was 140. It happens enough to be really annoying. Does anyone have any experience with going from the Enlite to the new Guardian sensors? Particularly with how accurate the Guardian compares to the older Enlite. Plus any thoughts on the new 670G in general would be nice as far as how you like it or any problems you've had. </t>
        </is>
      </c>
      <c r="D3853" t="n">
        <v>6</v>
      </c>
      <c r="E3853" t="n">
        <v>8</v>
      </c>
      <c r="F3853">
        <f>HYPERLINK("https://www.reddit.com/r/diabetes/comments/7ihegm/starting_new_670g_pump_and_sensor/")</f>
        <v/>
      </c>
      <c r="G3853" t="inlineStr">
        <is>
          <t>2017-12-08 11:40:46</t>
        </is>
      </c>
      <c r="H3853" t="inlineStr">
        <is>
          <t>Type 1</t>
        </is>
      </c>
    </row>
    <row r="3854">
      <c r="A3854" t="inlineStr">
        <is>
          <t>7iifwg</t>
        </is>
      </c>
      <c r="B3854" t="inlineStr">
        <is>
          <t>Novolin R and CVS</t>
        </is>
      </c>
      <c r="C3854" t="inlineStr">
        <is>
          <t xml:space="preserve">Question: 
I know Walmart sells this at $25 a vial. And my luck, my local Walmart is currently out of stock. 
I went to CVS to get a vial and it was $149? I thought CVS sold it for $25 also? Is this not true? </t>
        </is>
      </c>
      <c r="D3854" t="n">
        <v>0</v>
      </c>
      <c r="E3854" t="n">
        <v>6</v>
      </c>
      <c r="F3854">
        <f>HYPERLINK("https://www.reddit.com/r/diabetes/comments/7iifwg/novolin_r_and_cvs/")</f>
        <v/>
      </c>
      <c r="G3854" t="inlineStr">
        <is>
          <t>2017-12-08 14:13:11</t>
        </is>
      </c>
      <c r="H3854" t="inlineStr">
        <is>
          <t>Type 1</t>
        </is>
      </c>
    </row>
    <row r="3855">
      <c r="A3855" t="inlineStr">
        <is>
          <t>7ijz88</t>
        </is>
      </c>
      <c r="B3855" t="inlineStr">
        <is>
          <t>Took my husband's blood sugar, reading high?</t>
        </is>
      </c>
      <c r="C3855" t="inlineStr">
        <is>
          <t>Hi all, I was recently diagnosed with gestational diabetes. My after-meal sugars are supposed to be 6.7 or lower after 2 hours. I've had my glucometer for a few weeks and today my husband asked if we could test his sugar, just so he can see what it's like for me. I joked saying I was going to hate him for having a perfect number, but it came up 6.8. I am stunned. It was about 90 minutes after eating dinner, and we went for a 40 or so minute walk. Is 6.8 high for a non-diabetic? Should he see a doctor? I'm freaking out.</t>
        </is>
      </c>
      <c r="D3855" t="n">
        <v>4</v>
      </c>
      <c r="E3855" t="n">
        <v>10</v>
      </c>
      <c r="F3855">
        <f>HYPERLINK("https://www.reddit.com/r/diabetes/comments/7ijz88/took_my_husbands_blood_sugar_reading_high/")</f>
        <v/>
      </c>
      <c r="G3855" t="inlineStr">
        <is>
          <t>2017-12-08 18:30:10</t>
        </is>
      </c>
      <c r="H3855" t="inlineStr">
        <is>
          <t>Type 2</t>
        </is>
      </c>
    </row>
    <row r="3856">
      <c r="A3856" t="inlineStr">
        <is>
          <t>7iokc0</t>
        </is>
      </c>
      <c r="B3856" t="inlineStr">
        <is>
          <t>[Type 2]Having a rough couple of days; blood sugar's high from steroid inhaler, and I can't exercise to bring my blood sugar down.</t>
        </is>
      </c>
      <c r="C3856" t="inlineStr">
        <is>
          <t>I live in Southern California. Thankfully, there are no fires near me, but the fires in surrounding counties have put a lot of smoke and ash into the air, to the point that the last two days the air quality where I live has been ranked "unhealthy for all."  Even with windows closed and HEPA filters running, the air inside is so bad it's been triggering asthma attacks, and I've had to use my steroid inhaler several times.  This has made it easier to breathe, but has raised my blood sugar to the point that I'm extremely irritable and just feel awful.  Exercise would help, but because of the air quality I can't exercise.   Arghhh!  I never thought I'd say this, but I really wish I could take a shot of insulin!  Just needed to vent.  Hope you all are having a nice weekend.</t>
        </is>
      </c>
      <c r="D3856" t="n">
        <v>2</v>
      </c>
      <c r="E3856" t="n">
        <v>22</v>
      </c>
      <c r="F3856">
        <f>HYPERLINK("https://www.reddit.com/r/diabetes/comments/7iokc0/type_2having_a_rough_couple_of_days_blood_sugars/")</f>
        <v/>
      </c>
      <c r="G3856" t="inlineStr">
        <is>
          <t>2017-12-09 10:50:59</t>
        </is>
      </c>
      <c r="H3856" t="inlineStr">
        <is>
          <t>Type 2</t>
        </is>
      </c>
    </row>
    <row r="3857">
      <c r="A3857" t="inlineStr">
        <is>
          <t>7iqho1</t>
        </is>
      </c>
      <c r="B3857" t="inlineStr">
        <is>
          <t>Best way to care for my skin, especially my feet...</t>
        </is>
      </c>
      <c r="C3857" t="inlineStr">
        <is>
          <t>Sorry for the somewhat weird sounding title, but I couldn't find a better way to say it. I was diagnosed Type 2 a few years ago in my mid 20s. I (knock on wood!) am doing fairly well and my main struggle is with keeping my skin hydrated. My face is a mess, especially after lows, and looks like I'm shedding on the regular especially on my forehead. The rest of my skin is also super dry, but not as visible. I really want to get this under control as to potentially (not sure if it's even possible) lessen my chances of having really bad  wounds and what not. Does anyone have any recommendations as to what lotions or anything that I can use? I do have really sensitive skin and always have, so I just can't use anything too harsh. Thank you!</t>
        </is>
      </c>
      <c r="D3857" t="n">
        <v>2</v>
      </c>
      <c r="E3857" t="n">
        <v>1</v>
      </c>
      <c r="F3857">
        <f>HYPERLINK("https://www.reddit.com/r/diabetes/comments/7iqho1/best_way_to_care_for_my_skin_especially_my_feet/")</f>
        <v/>
      </c>
      <c r="G3857" t="inlineStr">
        <is>
          <t>2017-12-09 16:11:00</t>
        </is>
      </c>
      <c r="H3857" t="inlineStr">
        <is>
          <t>Type 2</t>
        </is>
      </c>
    </row>
    <row r="3858">
      <c r="A3858" t="inlineStr">
        <is>
          <t>7iqn5y</t>
        </is>
      </c>
      <c r="B3858" t="inlineStr">
        <is>
          <t>Is walking alone enough?</t>
        </is>
      </c>
      <c r="C3858" t="inlineStr">
        <is>
          <t>Hi! So I've been diagnosed with Type 2 about 5 months ago. I was at 13.3 A1C and fasting 300+ 
I am now at 250~ and I'm not sure of my A1C but I feel much better than before. 
Due to recent events, I've been feeling motivated, disciplined for quite sometime. I want to put my diabetes into remission.
My job is 3 miles away. So I was thinking of walking 5x a week. That's 120 miles a month. I'm not saying this is the only choice, but isn't walking that much great enough to put a dent in my A1C ? 
(I have somewhat of a keto diet going on. My only issue is a diet soda addiction.)</t>
        </is>
      </c>
      <c r="D3858" t="n">
        <v>6</v>
      </c>
      <c r="E3858" t="n">
        <v>15</v>
      </c>
      <c r="F3858">
        <f>HYPERLINK("https://www.reddit.com/r/diabetes/comments/7iqn5y/is_walking_alone_enough/")</f>
        <v/>
      </c>
      <c r="G3858" t="inlineStr">
        <is>
          <t>2017-12-09 16:35:54</t>
        </is>
      </c>
      <c r="H3858" t="inlineStr">
        <is>
          <t>Type 2</t>
        </is>
      </c>
    </row>
    <row r="3859">
      <c r="A3859" t="inlineStr">
        <is>
          <t>7it9a7</t>
        </is>
      </c>
      <c r="B3859" t="inlineStr">
        <is>
          <t>i’m angry and don’t want to be anymore</t>
        </is>
      </c>
      <c r="C3859" t="inlineStr">
        <is>
          <t xml:space="preserve">hi guys, to make this short and simple, i’ve been T1D since ‘99, when i was 5. 
i am and have been angry at my diabetes for a long time, i feel mad at it for being so hard and also knowing that this is a 24/7 job that i’ll have till i die (probably). i went through a phase where i just pretended like i didn’t have it because my dumb mind i guess i thought if i just ignored it it would go away??? so stupid... 
anyways, i’m trying to actually manage it now, and was wondering if anyone has tips on coming to peace with this disease. thanks pals. </t>
        </is>
      </c>
      <c r="D3859" t="n">
        <v>6</v>
      </c>
      <c r="E3859" t="n">
        <v>16</v>
      </c>
      <c r="F3859">
        <f>HYPERLINK("https://www.reddit.com/r/diabetes/comments/7it9a7/im_angry_and_dont_want_to_be_anymore/")</f>
        <v/>
      </c>
      <c r="G3859" t="inlineStr">
        <is>
          <t>2017-12-10 02:27:43</t>
        </is>
      </c>
      <c r="H3859" t="inlineStr">
        <is>
          <t>Type 1</t>
        </is>
      </c>
    </row>
    <row r="3860">
      <c r="A3860" t="inlineStr">
        <is>
          <t>7iuwhm</t>
        </is>
      </c>
      <c r="B3860" t="inlineStr">
        <is>
          <t>Living Alone, No Family, Just Diagnosed</t>
        </is>
      </c>
      <c r="C3860" t="inlineStr">
        <is>
          <t xml:space="preserve">I was diagnosed with type 1 recently. I live in London, 3000km away from my family and all relatives. I also do not have friends in London.
I have not told anything to my family yet. 2 years ago, I had some diabetes symptoms and involved my family a ton without diagnosis, making my mother sick and my brother furious that I did this. Then symptoms went away and everything was honky dory.
However, they came back 3 weeks ago. I think I caught it very early because of red flags from past experience and went straight to the hospital multiple times until they believed me (I have okay fasting BG and hba1c). OGTT was failed and antibodies shown positive so ...
Here is a thing: I am lonely in this big city with no support. I do not have a girlfriend or friends. I do not have my family. My family cannot support me because they are poor, far away and when they hear what happened to me, I am afraid my mother will go mental and my father and brother will be dead worried for me.
I cannot get back to my country. If I did, I could not afford CGMs, pumps and free supplies NHS provides. I am trapped. And I will have to handle this alone. I am 25 years old male who already felt like genetic failure, but now it seems to be cemented completely. I feel like offing myself right now. Life is difficult without 'beetus and now this? I am most afraid of dying in bed and/or complications such as blindness. That would prohibit me from earning a living as a software developer.
I am crying uncontrorably for a few hours. Nature wants me gone from the gene pool and even if I choose to live, it will not be much longer because of depression, loneliness and friendless existence. </t>
        </is>
      </c>
      <c r="D3860" t="n">
        <v>2</v>
      </c>
      <c r="E3860" t="n">
        <v>39</v>
      </c>
      <c r="F3860">
        <f>HYPERLINK("https://www.reddit.com/r/diabetes/comments/7iuwhm/living_alone_no_family_just_diagnosed/")</f>
        <v/>
      </c>
      <c r="G3860" t="inlineStr">
        <is>
          <t>2017-12-10 08:35:59</t>
        </is>
      </c>
      <c r="H3860" t="inlineStr">
        <is>
          <t>Type 1</t>
        </is>
      </c>
    </row>
    <row r="3861">
      <c r="A3861" t="inlineStr">
        <is>
          <t>7iuxyh</t>
        </is>
      </c>
      <c r="B3861" t="inlineStr">
        <is>
          <t>Extra-wacky first day on a new DexCom</t>
        </is>
      </c>
      <c r="C3861" t="inlineStr">
        <is>
          <t>We've noticed that the first 6 hours or so of a new DexCom sensor produces poor results. The DexCom readings will drift by 50 points or more, and the graph of BG will not be smooth.
Yesterday we put in a new DexCom sensor and it was especially bad. It was like this all night.
https://imgur.com/a/cXtsp
https://imgur.com/a/twouN
Do other folks have these problems? How do you handle it?
EDIT: After about 20 hours things settled down and now we're getting steady readings.</t>
        </is>
      </c>
      <c r="D3861" t="n">
        <v>1</v>
      </c>
      <c r="E3861" t="n">
        <v>7</v>
      </c>
      <c r="F3861">
        <f>HYPERLINK("https://www.reddit.com/r/diabetes/comments/7iuxyh/extrawacky_first_day_on_a_new_dexcom/")</f>
        <v/>
      </c>
      <c r="G3861" t="inlineStr">
        <is>
          <t>2017-12-10 08:42:50</t>
        </is>
      </c>
      <c r="H3861" t="inlineStr">
        <is>
          <t>Type 1</t>
        </is>
      </c>
    </row>
    <row r="3862">
      <c r="A3862" t="inlineStr">
        <is>
          <t>7ivx3m</t>
        </is>
      </c>
      <c r="B3862" t="inlineStr">
        <is>
          <t>T1 living near a fire zone. Need opinions.</t>
        </is>
      </c>
      <c r="C3862" t="inlineStr">
        <is>
          <t>Hey guys! I need some opinions. 
I live near one of the fires in southern Cali. And I have T1, Graves' disease (currently in remission, yay me!) and a low immune system. 
I'm trying to figure out if I should go to work tomorrow and risk my health in any way (obviously my first instinct is no but since I work inside I'm not sure what to do). The thing is I went to work on Friday and was coughing so much that my chest started hurting and I got a headache, abdominal pain. And went home early. 
My job decided to stay open even though most jobs/schools are closed. And the power keeps going out. My coworker just texted me saying my job will be open tomorrow but they want to call the first patients of the day and reschedule them. Management knows the power keeps going out but they still expect us to go to work if it keeps turning back on regardless of air quality.  According to the public health department the air quality is "Hazardous. This is the most severe air quality rating and is an emergency condition....those with underlying health conditions should leave the area".
So I work inside an outpatient facility that is doing construction to the floor beneath me and part of the ceiling where I sit is open and exposed to the bottom and 3rd floor. There is air conditioning in the office but I assume the air is coming from outside. I also asume there is a filter on the air conditioning unit but management never has/had it cleaned. I don't have asthma (I was given a face mask to work at my desk wearing it) but since I already have a low immune system and was already coughing/headache (I wasn't the only one with these symptoms either) do you think I should go to work tomorrow? What would you do if it was you? 
My doctors office is closed. I guess I can call the doctor on duty but he/she may not have access to my chart. But at this point even his or her guidance might help me with my decision. 
I may not be able to respond back to everyone but thank you in advance for any feedback/ advice!!</t>
        </is>
      </c>
      <c r="D3862" t="n">
        <v>0</v>
      </c>
      <c r="E3862" t="n">
        <v>3</v>
      </c>
      <c r="F3862">
        <f>HYPERLINK("https://www.reddit.com/r/diabetes/comments/7ivx3m/t1_living_near_a_fire_zone_need_opinions/")</f>
        <v/>
      </c>
      <c r="G3862" t="inlineStr">
        <is>
          <t>2017-12-10 11:00:52</t>
        </is>
      </c>
      <c r="H3862" t="inlineStr">
        <is>
          <t>Type 1</t>
        </is>
      </c>
    </row>
    <row r="3863">
      <c r="A3863" t="inlineStr">
        <is>
          <t>7ivxdf</t>
        </is>
      </c>
      <c r="B3863" t="inlineStr">
        <is>
          <t>Omnipod Occlusions</t>
        </is>
      </c>
      <c r="C3863" t="inlineStr">
        <is>
          <t>For those who use the Omnipod, how often do you get an Occlusion Alarm?  Recently, roughly one-third of my pods have given an Occlusion error, although the cannula appears to be fine.  Any tips?  Thanks in advance.</t>
        </is>
      </c>
      <c r="D3863" t="n">
        <v>1</v>
      </c>
      <c r="E3863" t="n">
        <v>8</v>
      </c>
      <c r="F3863">
        <f>HYPERLINK("https://www.reddit.com/r/diabetes/comments/7ivxdf/omnipod_occlusions/")</f>
        <v/>
      </c>
      <c r="G3863" t="inlineStr">
        <is>
          <t>2017-12-10 11:01:47</t>
        </is>
      </c>
      <c r="H3863" t="inlineStr">
        <is>
          <t>Type 1</t>
        </is>
      </c>
    </row>
    <row r="3864">
      <c r="A3864" t="inlineStr">
        <is>
          <t>7iwm2s</t>
        </is>
      </c>
      <c r="B3864" t="inlineStr">
        <is>
          <t>Krusty Burger at Universal Studios almost killed me</t>
        </is>
      </c>
      <c r="C3864" t="inlineStr">
        <is>
          <t>Group of friends and I went out to Universal Studios on Halloween. We started in the Simpsons area and decided to eat at the Krusty Burger there. I'm T1D, as I always do when I eat, I injected (the proper amount of) insulin before eating. My group consisted of 4 people, we shared 3 meals. 
About an hour later, I started feeling physical symptoms unlike I ever have. As a diabetic, I am quite familiar with the physical symptoms of low blood sugar. But this was different. And worse. My friend observed I was ghost pale with blue, quivering lips. I could barely move or talk. I told my friend he couldn't let me sit down, because if I sat down, I knew I would close my eyes. I also knew if I closed my eyes, that would be it. I'd be done.
We scrambled for an employee and eventually found someone, I wish I could tell you who. She took us to some sort of food dispensing place and gave me soda- the correct response to treat what I thought was low blood sugar. But I couldn't drink the soda. There was just no way anything was going in my body.
My friend asked what was wrong and I said I don't know. "I think I need to throw up," I confusedly said. He found a trash can and I vehemently threw up chunks and chunks of undigested food. THE RELIEF WAS IMMEDIATE AND OVERWHELMING.
It then occurred to me what happened: the insulin I injected brought my blood sugar way, WAY down (to nearly fatal levels) because the food I ate clearly caused an allergic reaction and the sugar from the carbs of the food never entered by bloodstream.
That was absolutely the closest I ever came to death. The ill-prepared food at Krusty Burger nearly killed me. Is there anything I can do? Should I pursue legal action?
TL;DR type 1 diabetic that got food poisoning at the Krusty Burger in Universal Studios and I'm wondering if I have any kind of legal case against them.</t>
        </is>
      </c>
      <c r="D3864" t="n">
        <v>0</v>
      </c>
      <c r="E3864" t="n">
        <v>23</v>
      </c>
      <c r="F3864">
        <f>HYPERLINK("https://www.reddit.com/r/diabetes/comments/7iwm2s/krusty_burger_at_universal_studios_almost_killed/")</f>
        <v/>
      </c>
      <c r="G3864" t="inlineStr">
        <is>
          <t>2017-12-10 12:44:02</t>
        </is>
      </c>
      <c r="H3864" t="inlineStr">
        <is>
          <t>Type 1</t>
        </is>
      </c>
    </row>
    <row r="3865">
      <c r="A3865" t="inlineStr">
        <is>
          <t>7j0hcd</t>
        </is>
      </c>
      <c r="B3865" t="inlineStr">
        <is>
          <t>Hormone hell</t>
        </is>
      </c>
      <c r="C3865" t="inlineStr">
        <is>
          <t xml:space="preserve">I went off the pill at the end of November and haven't had one even remotely normal day since. I learned, in going off the pill, that I have a prolactinoma but I honestly don't know if thats why my sugars are bonkers or going off the pill was just a giant mistake. I'm so low and insulin  sensitive nights I miss work in the morning  because of hypoglycemic migraines and vomiting that last the whole day. And when I turn my basal down even a little to avoid the nonstop crippling lows I end up shooting to the 200s and can't get down.... Until I plummet back to the low 40s. I haven't been this unstable in years and I've been at this disease for over 20 years. Right now I'm in the 300s...numbers I don't even see when my pump fails. I haven't worked out in weeks either so I know that, isn't helping sine exercise usually stabilizes me but I can't even keep a safe enough number for half an hour to get into the gym. 
Anyone else have a prolactinoma and see these issues with estrogen suppression or big drops in estrogen like getting off the pill? How long can this instability last? I'd do a fasting basal test but I can't even get close to safe numbers to do that - I end up low or high and dosing and bouncing. 
Ugh
Sorry just needed to rant. I'm at 303 and climbing with 5u IOB plus 4 I took already and I am OVER IT. I rage bolused a manual shot - the first time I've done that in months - and I know I'll be low as hell and paying for it later but I just don't know what else to do. </t>
        </is>
      </c>
      <c r="D3865" t="n">
        <v>3</v>
      </c>
      <c r="E3865" t="n">
        <v>3</v>
      </c>
      <c r="F3865">
        <f>HYPERLINK("https://www.reddit.com/r/diabetes/comments/7j0hcd/hormone_hell/")</f>
        <v/>
      </c>
      <c r="G3865" t="inlineStr">
        <is>
          <t>2017-12-10 22:32:58</t>
        </is>
      </c>
      <c r="H3865" t="inlineStr">
        <is>
          <t>Type 1</t>
        </is>
      </c>
    </row>
    <row r="3866">
      <c r="A3866" t="inlineStr">
        <is>
          <t>7j33rv</t>
        </is>
      </c>
      <c r="B3866" t="inlineStr">
        <is>
          <t>670G frequent calibrations? Read here</t>
        </is>
      </c>
      <c r="C3866" t="inlineStr">
        <is>
          <t>Medtronic has just issued us updated training and support guidelines for 670G patients.
When you enter a BG and get asked for another, wait at least 30min and try to do it when you don’t have a fluctuating BG (up or down arrows).
If you are getting multiple BG requests, turn off auto-mode for 3-5 hours and then start it again.
If this fails, replace the sensor, upload to CareLink and call helpline for replacement sensor.</t>
        </is>
      </c>
      <c r="D3866" t="n">
        <v>2</v>
      </c>
      <c r="E3866" t="n">
        <v>4</v>
      </c>
      <c r="F3866">
        <f>HYPERLINK("https://www.reddit.com/r/diabetes/comments/7j33rv/670g_frequent_calibrations_read_here/")</f>
        <v/>
      </c>
      <c r="G3866" t="inlineStr">
        <is>
          <t>2017-12-11 08:04:50</t>
        </is>
      </c>
      <c r="H3866" t="inlineStr">
        <is>
          <t>Type 1</t>
        </is>
      </c>
    </row>
    <row r="3867">
      <c r="A3867" t="inlineStr">
        <is>
          <t>7j34zp</t>
        </is>
      </c>
      <c r="B3867" t="inlineStr">
        <is>
          <t>T1 child featured on Today Show!</t>
        </is>
      </c>
      <c r="C3867" t="inlineStr">
        <is>
          <t xml:space="preserve">
[Link in comments](https://www.today.com/health/type-1-diabetes-7-year-old-girl-maeve-hollinger-lives-t119171)</t>
        </is>
      </c>
      <c r="D3867" t="n">
        <v>9</v>
      </c>
      <c r="E3867" t="n">
        <v>2</v>
      </c>
      <c r="F3867">
        <f>HYPERLINK("https://www.reddit.com/r/diabetes/comments/7j34zp/t1_child_featured_on_today_show/")</f>
        <v/>
      </c>
      <c r="G3867" t="inlineStr">
        <is>
          <t>2017-12-11 08:09:52</t>
        </is>
      </c>
      <c r="H3867" t="inlineStr">
        <is>
          <t>Type 1</t>
        </is>
      </c>
    </row>
    <row r="3868">
      <c r="A3868" t="inlineStr">
        <is>
          <t>7j40er</t>
        </is>
      </c>
      <c r="B3868" t="inlineStr">
        <is>
          <t>Light at the end of the tunnel...</t>
        </is>
      </c>
      <c r="C3868" t="inlineStr">
        <is>
          <t>So a little over 2 years ago, I was diagnosed with severe diabetic retinopathy in both of my eyes.  I was referred to a specialist, and was told I would need to have several injections and at least one laser treatment.  
Since then, I have been on a CGM with consistent A1Cs at 6.4, not perfect, but much better than the low 8s I achieved with out my dexcom.
My right eye has been stable for nearly a year now, and I was just told this weekend with my latest Avastin treatment, my left eye most likely will be stable as well.  
In hind sight, I wish I took better care of myself earlier on, but the damage that is done is done.  I'm grateful that there are no other signs of issues with my body/organs.  
Take care of yourselves!</t>
        </is>
      </c>
      <c r="D3868" t="n">
        <v>13</v>
      </c>
      <c r="E3868" t="n">
        <v>4</v>
      </c>
      <c r="F3868">
        <f>HYPERLINK("https://www.reddit.com/r/diabetes/comments/7j40er/light_at_the_end_of_the_tunnel/")</f>
        <v/>
      </c>
      <c r="G3868" t="inlineStr">
        <is>
          <t>2017-12-11 10:15:30</t>
        </is>
      </c>
      <c r="H3868" t="inlineStr">
        <is>
          <t>Type 1</t>
        </is>
      </c>
    </row>
    <row r="3869">
      <c r="A3869" t="inlineStr">
        <is>
          <t>7j42ql</t>
        </is>
      </c>
      <c r="B3869" t="inlineStr">
        <is>
          <t>My A1C is in the 6's :)</t>
        </is>
      </c>
      <c r="C3869" t="inlineStr">
        <is>
          <t>After having a struggle in college for 3 years, my A1C skyrocketed in the high 7's and 8's.
Now after getting back into the grind my recent A1C is only 6.8. 
Sorry, just had to share the news.</t>
        </is>
      </c>
      <c r="D3869" t="n">
        <v>34</v>
      </c>
      <c r="E3869" t="n">
        <v>8</v>
      </c>
      <c r="F3869">
        <f>HYPERLINK("https://www.reddit.com/r/diabetes/comments/7j42ql/my_a1c_is_in_the_6s/")</f>
        <v/>
      </c>
      <c r="G3869" t="inlineStr">
        <is>
          <t>2017-12-11 10:23:21</t>
        </is>
      </c>
      <c r="H3869" t="inlineStr">
        <is>
          <t>Type 1</t>
        </is>
      </c>
    </row>
    <row r="3870">
      <c r="A3870" t="inlineStr">
        <is>
          <t>7j4tbs</t>
        </is>
      </c>
      <c r="B3870" t="inlineStr">
        <is>
          <t>Fatty liver issues with T1... any advice?</t>
        </is>
      </c>
      <c r="C3870" t="inlineStr">
        <is>
          <t>Have any T1s had any success dealing with non-alcohol related fatty liver? If so, I'd be interested in hearing how you dealt with it.</t>
        </is>
      </c>
      <c r="D3870" t="n">
        <v>2</v>
      </c>
      <c r="E3870" t="n">
        <v>8</v>
      </c>
      <c r="F3870">
        <f>HYPERLINK("https://www.reddit.com/r/diabetes/comments/7j4tbs/fatty_liver_issues_with_t1_any_advice/")</f>
        <v/>
      </c>
      <c r="G3870" t="inlineStr">
        <is>
          <t>2017-12-11 12:02:22</t>
        </is>
      </c>
      <c r="H3870" t="inlineStr">
        <is>
          <t>Type 1</t>
        </is>
      </c>
    </row>
    <row r="3871">
      <c r="A3871" t="inlineStr">
        <is>
          <t>7j5nrc</t>
        </is>
      </c>
      <c r="B3871" t="inlineStr">
        <is>
          <t>Doctor refuses to help me get supplies for my insulin pump</t>
        </is>
      </c>
      <c r="C3871" t="inlineStr">
        <is>
          <t xml:space="preserve">Hi, I have type 1 diabetes and just moved states this year. I currently have a Medtronic 670G and am in need of more supplies for it. When I asked my new endocrinologist about it she told me that she had no clue about ordering supplies for it and that I should contact Medtronic.
Due to insurance I have to get my supplies through CVS caremark. So I called CVS Caremark and told them the situation, they understood what I wanted and looked at my account to confirm I have been getting my supplies through them for the past few years. They sent a request over to my doctor's office who promptly denied it. So I called my new doctor's office to ask why and they told me that I needed to contact Medtronic.
I called Medtronic and explained the situation, they seemed to understand. Medtronic told me I could just go through them and they would contact my insurance and that they usually don't go through CVS at all. I was ecstatic that this was finally over. Except! my insurance would not cover the same amount they would cover if I got my supplies through CVS.
So I finally need more supplies again and have started the same hassle all over again. This time I called CVS Caremark again and explained the situation one more time. The CVS rep told me not to worry and that they would just send the request for the prescriptions for my supplies to my new Endo and all they needed was authorization. I called my doctor's office and told them that CVS would be faxing them the request and all they needed to do was approve it.
Just 10 minutes ago my endocrinologist's nurse called me and told me she and the doctor both had no clue what the requests were for. I explained the situation again and just asked them to sign off on them, and they told me no because they don't know what the supplies are and I would need to contact Medtronic for supplies.
Honestly at this point I'm not sure if I'm doing something wrong or the endocrinologist's office is just incompetent. If anyone has any advice of how I could get more supplies for my insulin pump through CVS Caremark I would appreciate it.
Sorry for the long rant but I’m at my wits end and I’m freaking out because I only have about 2 weeks worth of supplies left.
</t>
        </is>
      </c>
      <c r="D3871" t="n">
        <v>6</v>
      </c>
      <c r="E3871" t="n">
        <v>14</v>
      </c>
      <c r="F3871">
        <f>HYPERLINK("https://www.reddit.com/r/diabetes/comments/7j5nrc/doctor_refuses_to_help_me_get_supplies_for_my/")</f>
        <v/>
      </c>
      <c r="G3871" t="inlineStr">
        <is>
          <t>2017-12-11 13:46:22</t>
        </is>
      </c>
      <c r="H3871" t="inlineStr">
        <is>
          <t>Type 1</t>
        </is>
      </c>
    </row>
    <row r="3872">
      <c r="A3872" t="inlineStr">
        <is>
          <t>7j9960</t>
        </is>
      </c>
      <c r="B3872" t="inlineStr">
        <is>
          <t>Can you gain resistance to certain insulins?</t>
        </is>
      </c>
      <c r="C3872" t="inlineStr">
        <is>
          <t>I switched from lantus which sucked, to Tresiba
Lantus, I'd take 12 at night and 12 when I woke up and even then my glucose levels would be around 200 as I woke up, even after not eating anything for 10-ish hours
I switched to tresiba and take 24 units before bed and I wake up around 140 even if I have a little snack before bed
Do you gain resistance to certain insulins?  Or is Tresiba just better?</t>
        </is>
      </c>
      <c r="D3872" t="n">
        <v>1</v>
      </c>
      <c r="E3872" t="n">
        <v>1</v>
      </c>
      <c r="F3872">
        <f>HYPERLINK("https://www.reddit.com/r/diabetes/comments/7j9960/can_you_gain_resistance_to_certain_insulins/")</f>
        <v/>
      </c>
      <c r="G3872" t="inlineStr">
        <is>
          <t>2017-12-12 00:01:13</t>
        </is>
      </c>
      <c r="H3872" t="inlineStr">
        <is>
          <t>Type 1</t>
        </is>
      </c>
    </row>
    <row r="3873">
      <c r="A3873" t="inlineStr">
        <is>
          <t>7jawx2</t>
        </is>
      </c>
      <c r="B3873" t="inlineStr">
        <is>
          <t>T2 New to Insulin</t>
        </is>
      </c>
      <c r="C3873" t="inlineStr">
        <is>
          <t xml:space="preserve">So I am still in the honeymoon phase of insulin, I was just prescribed a few weeks ago and take Xultophy which is a combination of insulin + Victoza. 
All in all it seems to be doing well, I am now back down to normal levels in general, but it doesn’t feel like it has gone down enough. The instructions say that every 3 to 4 days I should increase/decrease the dose depending on my average fasting BSL. I’ve been following this but even though I’ve increased it now 3 times I am still seeing the same average numbers, now around 110. Is it normal that it is not going down faster? Or am I doing something wrong? I’ve been trying hard to reduce down carbs and exercise.
One more question, on holidays like Christmas when I know I am going to be having high carb days should I be auto increasing it for that day? What do other people do? I know I should ask my endo but I won’t be seeing him again until next month. </t>
        </is>
      </c>
      <c r="D3873" t="n">
        <v>1</v>
      </c>
      <c r="E3873" t="n">
        <v>9</v>
      </c>
      <c r="F3873">
        <f>HYPERLINK("https://www.reddit.com/r/diabetes/comments/7jawx2/t2_new_to_insulin/")</f>
        <v/>
      </c>
      <c r="G3873" t="inlineStr">
        <is>
          <t>2017-12-12 06:06:06</t>
        </is>
      </c>
      <c r="H3873" t="inlineStr">
        <is>
          <t>Type 2</t>
        </is>
      </c>
    </row>
    <row r="3874">
      <c r="A3874" t="inlineStr">
        <is>
          <t>7jby0t</t>
        </is>
      </c>
      <c r="B3874" t="inlineStr">
        <is>
          <t>Experiences on Lower Carbohydrate Diets</t>
        </is>
      </c>
      <c r="C3874" t="inlineStr">
        <is>
          <t>I am currently undergoing a honeymoon period of being diagnosed a few months ago but find it difficult to control the spikes.
It occurred to me that carbs need insulin and the more I add, with variability of insulin kick-in, the less there is potential for error. I also stumbled upon teachings of Dr. Bernstein, with his super restrictive diet.
What is the experience of people on this group? I saw a few threads of people running it for a few weeks or months but are there any who can share experiences of longer-term diet change?</t>
        </is>
      </c>
      <c r="D3874" t="n">
        <v>4</v>
      </c>
      <c r="E3874" t="n">
        <v>10</v>
      </c>
      <c r="F3874">
        <f>HYPERLINK("https://www.reddit.com/r/diabetes/comments/7jby0t/experiences_on_lower_carbohydrate_diets/")</f>
        <v/>
      </c>
      <c r="G3874" t="inlineStr">
        <is>
          <t>2017-12-12 08:44:56</t>
        </is>
      </c>
      <c r="H3874" t="inlineStr">
        <is>
          <t>Type 1</t>
        </is>
      </c>
    </row>
    <row r="3875">
      <c r="A3875" t="inlineStr">
        <is>
          <t>7jfqbt</t>
        </is>
      </c>
      <c r="B3875" t="inlineStr">
        <is>
          <t>Types 2: When metformin and lifestyle changes aren't enough</t>
        </is>
      </c>
      <c r="C3875" t="inlineStr">
        <is>
          <t>I was diagnosed in 2012. At the time my A1C was 23 and my random glucose was 19.0 mmol/L (342 mg/dL). I was placed on  2000 mg of slow release metformin. Within a few months my A1C went to the mid 6s, my fasting 3.0 to 5.0 (54 to 90), and my random to under 9.0 (160.0). 
Later, I became health focused and decided to go keto and implement an exercise plan. With keto and exercise I was able to maintain even better numbers **without** medication. My A1C was in the 4s, my random glucose &amp;lt;7.5 (&amp;lt;135). However, I had skyrocketing cholesterol and hospitalized with a blood clot, so I stopped keto. I now eat low to moderate amount of carbs &amp;lt;120 grams per day and never more than 25 g at one time. My cholesterol dropped, but my A1C went back up so I went back on metformin.  My A1C stabilized at around 6.5. My doctor advises me that under 7.0 is considered "control" for someone who has diabetes and I was considered pretty good.
That's all fine and dandy, but lately I have been feeling like ass. Last year I was diagnosed with other autoimmune disorders, been getting frequent infections, and my A1C has been gradually increasing. My other autoimmune disorders have been in remission for a while and I've been committed to eating healthy and exercising. Still my diabetes has been getting worse. My A1C was 6's in the summer, 7's in September, and 10.5 in late November. My fasting and post meals numbers have been really high too. I've been getting all the symptoms of uncontrolled diabetes. I went to my family doctor yesterday and he advised that he thinks I should consider adding long last insulin and/or other medications (such as Invokana) to my treatment plan. He gave me a requisition form to get more blood work and will be speaking with my endocrinologist (they primarily treat my other disorders) to ensure that they are both on the same page before giving me my script. I'll most likely find out next week or 1st week of January
For type 2s what are your experiences with insulin? What were you experiences on medications other than metformin?</t>
        </is>
      </c>
      <c r="D3875" t="n">
        <v>2</v>
      </c>
      <c r="E3875" t="n">
        <v>24</v>
      </c>
      <c r="F3875">
        <f>HYPERLINK("https://www.reddit.com/r/diabetes/comments/7jfqbt/types_2_when_metformin_and_lifestyle_changes/")</f>
        <v/>
      </c>
      <c r="G3875" t="inlineStr">
        <is>
          <t>2017-12-12 17:31:37</t>
        </is>
      </c>
      <c r="H3875" t="inlineStr">
        <is>
          <t>Type 2</t>
        </is>
      </c>
    </row>
    <row r="3876">
      <c r="A3876" t="inlineStr">
        <is>
          <t>7jh56z</t>
        </is>
      </c>
      <c r="B3876" t="inlineStr">
        <is>
          <t>Recently told I had Type 2 from an unrelated ER visit</t>
        </is>
      </c>
      <c r="C3876" t="inlineStr">
        <is>
          <t xml:space="preserve">Hi all! I’m reading through a few posts on here as I was recently told I had Type 2 due to an unrelated visit to the ER. When I had my first reading I had a 360 BSL and was immediately prescribed something for it. I’m pretty hesitant with drugs so I’m waiting for a ‘real’ diagnosis from my primary care doctor before I start on that but decided to start following the diet just to be safe. Since then I’ve reduced my carbs, sugars and salts and have tried to limit my portions and eat often. The ER gave me a free testing kit which I have now used a few times since. My BSL seems to have lingered around 200 since, dropping once to 148 and no higher than 230. 
Given that I’m still pretty far away from normal I expect a full diagnosis from my appointment but wanted to get some input from people with some experience with these sorts of fluctuations. I’m 6ft 235lb so I have some weight to lose for sure - but am I correct in thinking that it’s definitely Type 2? I didn’t really feel any of the symptoms associated to high BSL before all this but I’m wondering if I’ve had it long enough where the symptoms have been sort of normalized for me. 
Anyone have similar experiences? Any tips on getting this down quickly so that I can put my poor doting wife at ease?
</t>
        </is>
      </c>
      <c r="D3876" t="n">
        <v>1</v>
      </c>
      <c r="E3876" t="n">
        <v>5</v>
      </c>
      <c r="F3876">
        <f>HYPERLINK("https://www.reddit.com/r/diabetes/comments/7jh56z/recently_told_i_had_type_2_from_an_unrelated_er/")</f>
        <v/>
      </c>
      <c r="G3876" t="inlineStr">
        <is>
          <t>2017-12-12 21:34:29</t>
        </is>
      </c>
      <c r="H3876" t="inlineStr">
        <is>
          <t>Type 2</t>
        </is>
      </c>
    </row>
    <row r="3877">
      <c r="A3877" t="inlineStr">
        <is>
          <t>7jierj</t>
        </is>
      </c>
      <c r="B3877" t="inlineStr">
        <is>
          <t>Hypers&amp;amp;Hypos every day for 5 years &amp;amp; getting worse T1</t>
        </is>
      </c>
      <c r="C3877" t="inlineStr">
        <is>
          <t>25M UK T1
As the title might suggest my diabetes isnt controlled, it was once better but never great. When I was diagnosed I was taking set amounts Novorapid every meal "6" and appropriating the meal size around that, and also 8 lantus every night. since then ive increased the lantus all the way up to 18. My carb ratio supposedly is 1 novo - 10g carb, but ive not had a meal in 5 years that hasnt lead to a high or low blood, when i say high or low i dont mean marginally or slightly. Every day my blood would be 13 when i woke up or a hypo, but i was ok with that, but recently my blood has completely changed for the worse. Its much higher when i wake up now, ive been slowly increasing the lantus but still its sky high at wake up, and my days are so bad, i wake up at 18+ then hypo all day at work. This will be poorly worded and barely to the point, im just frustrated ive had the condition for 5 years and only got worse at it. Has anyone every experienced anything like this with the morning highs and afternoon lows? I even got a free cgm recently for 2 weeks and that didnt indicate dawn phenonema, i was going to bed at 11 with blood of 6 and it would rise to 18 by 2pm?
I work at burger king so im constantly on the move in a fast paced environment in a warm kitchen, im allowed as much draft coke as i want for hypos, i go to the gym 2-3 times a week, every meal i make is from scratch and fairly healthy.
TLDR  Suddeny I wake up with severely high blood every morning and hypo every afternoon for long periods of time at work when im running about.
Why do i suck at this still?</t>
        </is>
      </c>
      <c r="D3877" t="n">
        <v>3</v>
      </c>
      <c r="E3877" t="n">
        <v>11</v>
      </c>
      <c r="F3877">
        <f>HYPERLINK("https://www.reddit.com/r/diabetes/comments/7jierj/hypershypos_every_day_for_5_years_getting_worse_t1/")</f>
        <v/>
      </c>
      <c r="G3877" t="inlineStr">
        <is>
          <t>2017-12-13 02:39:26</t>
        </is>
      </c>
      <c r="H3877" t="inlineStr">
        <is>
          <t>Type 1</t>
        </is>
      </c>
    </row>
    <row r="3878">
      <c r="A3878" t="inlineStr">
        <is>
          <t>7jjljs</t>
        </is>
      </c>
      <c r="B3878" t="inlineStr">
        <is>
          <t>Am I being overly optimistic or is this normal?</t>
        </is>
      </c>
      <c r="C3878" t="inlineStr">
        <is>
          <t>I was suddenly diagnosed with T2 on Wednesday last week, after seeing urgent care for an ongoing sinus infection. My BSL has been steadily dropping to normal levels since changing diet and being on amoxicillin and metformin. Is it possible that my diet was so awful that the A1C was just high? Is it possible I was misdiagnosed? I have weight to lose, a lot of it, but the quickness that this is happening has me optimistic. 
For context, a normal eating day for me was: crappy breakfast, usually carb heavy with potatoes, cheese, bacon, eggs. Eat whatever fastfood left overs from the night before for lunch, grab a candy bar or pudding and a pop for afternoon snack, and then eat whatever unhealthy dinner....all the while drinking 2-3 Ultra Zero Monsters per day, minimum. Then ending the night with ice cream or 5-6 Popsicle. Who knows what other shit I would throw in throughout the day.
Immediately, I switched to a keto focused diet with more exercise, here is the timeline of BSLs(I started taking 500mg of Metformin at dinner):
Wednesday: 340 mg/dL with a 9.2 A1C
Thursday: 220 mg/dL at the follow up appointment
Friday: First test at home 199 mg/dL
Saturday: Fasting - 156 mg/dL
Sunday: Fasting - 112 mg/dL
Monday: Fasting - 93 mg/dL
Tuesday: Fasting - 96 mg/dL, 1 Hr Breakfast-101 mg/dL, 2 Hr Dinner with **no Metformin** - 101 mg/dL
Today: Fasting - 70 mg/dL</t>
        </is>
      </c>
      <c r="D3878" t="n">
        <v>5</v>
      </c>
      <c r="E3878" t="n">
        <v>22</v>
      </c>
      <c r="F3878">
        <f>HYPERLINK("https://www.reddit.com/r/diabetes/comments/7jjljs/am_i_being_overly_optimistic_or_is_this_normal/")</f>
        <v/>
      </c>
      <c r="G3878" t="inlineStr">
        <is>
          <t>2017-12-13 06:30:39</t>
        </is>
      </c>
      <c r="H3878" t="inlineStr">
        <is>
          <t>Type 2</t>
        </is>
      </c>
    </row>
    <row r="3879">
      <c r="A3879" t="inlineStr">
        <is>
          <t>7jl6lo</t>
        </is>
      </c>
      <c r="B3879" t="inlineStr">
        <is>
          <t>Any good suggestions for low sugar puddings over Christmas?</t>
        </is>
      </c>
      <c r="C3879" t="inlineStr">
        <is>
          <t>I love a good cooking challange, with my recent T2 diagnosis I'm looking for suggestions for tasty pudding recipes that won't leave my eyesight blurry. What have you tried that worked well?</t>
        </is>
      </c>
      <c r="D3879" t="n">
        <v>1</v>
      </c>
      <c r="E3879" t="n">
        <v>5</v>
      </c>
      <c r="F3879">
        <f>HYPERLINK("https://www.reddit.com/r/diabetes/comments/7jl6lo/any_good_suggestions_for_low_sugar_puddings_over/")</f>
        <v/>
      </c>
      <c r="G3879" t="inlineStr">
        <is>
          <t>2017-12-13 10:23:00</t>
        </is>
      </c>
      <c r="H3879" t="inlineStr">
        <is>
          <t>Type 2</t>
        </is>
      </c>
    </row>
    <row r="3880">
      <c r="A3880" t="inlineStr">
        <is>
          <t>7jra5u</t>
        </is>
      </c>
      <c r="B3880" t="inlineStr">
        <is>
          <t>Feeling low...</t>
        </is>
      </c>
      <c r="C3880" t="inlineStr">
        <is>
          <t xml:space="preserve">Hello I got diagnosed November this year with Type 2. I was started on metformin and am currently taking 1500mg/day.
Well I've been feeling awful all night. Headache, nausea, light headed. I checked my blood sugar and it was at 76. I've never been below 90 yet. Is my body just freaking out over being within normal ranges? This morning it was 111. I've eaten 111g of carbs today. I keep at or under 130g of carbs a day as my doctor recommended. What is going on? </t>
        </is>
      </c>
      <c r="D3880" t="n">
        <v>2</v>
      </c>
      <c r="E3880" t="n">
        <v>4</v>
      </c>
      <c r="F3880">
        <f>HYPERLINK("https://www.reddit.com/r/diabetes/comments/7jra5u/feeling_low/")</f>
        <v/>
      </c>
      <c r="G3880" t="inlineStr">
        <is>
          <t>2017-12-14 04:31:53</t>
        </is>
      </c>
      <c r="H3880" t="inlineStr">
        <is>
          <t>Type 2</t>
        </is>
      </c>
    </row>
    <row r="3881">
      <c r="A3881" t="inlineStr">
        <is>
          <t>7jrkpb</t>
        </is>
      </c>
      <c r="B3881" t="inlineStr">
        <is>
          <t>The results are in...</t>
        </is>
      </c>
      <c r="C3881" t="inlineStr">
        <is>
          <t>A1C is down from 6.1 to 5.7. Thanks Keto/low-carb</t>
        </is>
      </c>
      <c r="D3881" t="n">
        <v>10</v>
      </c>
      <c r="E3881" t="n">
        <v>4</v>
      </c>
      <c r="F3881">
        <f>HYPERLINK("https://www.reddit.com/r/diabetes/comments/7jrkpb/the_results_are_in/")</f>
        <v/>
      </c>
      <c r="G3881" t="inlineStr">
        <is>
          <t>2017-12-14 05:31:23</t>
        </is>
      </c>
      <c r="H3881" t="inlineStr">
        <is>
          <t>Type 1</t>
        </is>
      </c>
    </row>
    <row r="3882">
      <c r="A3882" t="inlineStr">
        <is>
          <t>7jtpal</t>
        </is>
      </c>
      <c r="B3882" t="inlineStr">
        <is>
          <t>I finally will receive my CGM.. question for you G670 user</t>
        </is>
      </c>
      <c r="C3882" t="inlineStr">
        <is>
          <t xml:space="preserve">So as I said I will receive my CGM and I’m hoping Auto mode will be pretty cool and help with some problem areas such as my dawn phenomenon. 
I’ve heard some really great things from of course my Medtronic rep and Dr.. (so maybe opinions are biased) but I was wondering if any users of the Medtronic CGM who also use the G670 have found it to really level their blood sugars?
 My A1C is current at a 7.3 and I’m really looking to change it. Hoping this will help bring my A1C to a 7 and below. 
I’m also dreading the training, just cause I’m an hour away from my endo. Wondering if the training is just one  session? 
Thanks guys let me know what you guys are experiencing with the CGM and the 670.
</t>
        </is>
      </c>
      <c r="D3882" t="n">
        <v>3</v>
      </c>
      <c r="E3882" t="n">
        <v>3</v>
      </c>
      <c r="F3882">
        <f>HYPERLINK("https://www.reddit.com/r/diabetes/comments/7jtpal/i_finally_will_receive_my_cgm_question_for_you/")</f>
        <v/>
      </c>
      <c r="G3882" t="inlineStr">
        <is>
          <t>2017-12-14 10:50:43</t>
        </is>
      </c>
      <c r="H3882" t="inlineStr">
        <is>
          <t>Type 1</t>
        </is>
      </c>
    </row>
    <row r="3883">
      <c r="A3883" t="inlineStr">
        <is>
          <t>7ju9v0</t>
        </is>
      </c>
      <c r="B3883" t="inlineStr">
        <is>
          <t>Does low carb/keto really work for losing weight?</t>
        </is>
      </c>
      <c r="C3883" t="inlineStr">
        <is>
          <t xml:space="preserve">Can anyone give me their honest opinion about whether low carb/keto way of eating works for losing weight?  I saw my Endo during late summer and asked him for suggestions on losing weight while using insulin.  He laughed in my face, as I am obese, told me to go home and starve myself.  I was a fool and tried that by skipping meals and found out it doesn't work.  I am tired of being fat and doctors laughing at me.  I need help from someone who has 'been there and done that'.  </t>
        </is>
      </c>
      <c r="D3883" t="n">
        <v>9</v>
      </c>
      <c r="E3883" t="n">
        <v>44</v>
      </c>
      <c r="F3883">
        <f>HYPERLINK("https://www.reddit.com/r/diabetes/comments/7ju9v0/does_low_carbketo_really_work_for_losing_weight/")</f>
        <v/>
      </c>
      <c r="G3883" t="inlineStr">
        <is>
          <t>2017-12-14 12:07:57</t>
        </is>
      </c>
      <c r="H3883" t="inlineStr">
        <is>
          <t>Type 1</t>
        </is>
      </c>
    </row>
    <row r="3884">
      <c r="A3884" t="inlineStr">
        <is>
          <t>7jvwtj</t>
        </is>
      </c>
      <c r="B3884" t="inlineStr">
        <is>
          <t>Long lastings fault?</t>
        </is>
      </c>
      <c r="C3884" t="inlineStr">
        <is>
          <t>My sugar gets up 6 numbers after I eat my first meal of the day, this happens with second aswell, what to do? Anyone else? I find myself injected 3 units extra for these 2 meals because of this, and no on third and fourth meal of the day this does not happen.
Using Levemir and Novorapid</t>
        </is>
      </c>
      <c r="D3884" t="n">
        <v>1</v>
      </c>
      <c r="E3884" t="n">
        <v>4</v>
      </c>
      <c r="F3884">
        <f>HYPERLINK("https://www.reddit.com/r/diabetes/comments/7jvwtj/long_lastings_fault/")</f>
        <v/>
      </c>
      <c r="G3884" t="inlineStr">
        <is>
          <t>2017-12-14 16:10:19</t>
        </is>
      </c>
      <c r="H3884" t="inlineStr">
        <is>
          <t>Type 1</t>
        </is>
      </c>
    </row>
    <row r="3885">
      <c r="A3885" t="inlineStr">
        <is>
          <t>7jw2ue</t>
        </is>
      </c>
      <c r="B3885" t="inlineStr">
        <is>
          <t>Just been downgraded from Insulin to Metaformin</t>
        </is>
      </c>
      <c r="C3885" t="inlineStr">
        <is>
          <t>Was diagnosed as type 2 three months ago and my HBA1c level at the time was 91, just had my new blood tests come back this week and I've dropped to 52, so my doc has decided to take me off nightly insulin, very happy with my improvement</t>
        </is>
      </c>
      <c r="D3885" t="n">
        <v>8</v>
      </c>
      <c r="E3885" t="n">
        <v>3</v>
      </c>
      <c r="F3885">
        <f>HYPERLINK("https://www.reddit.com/r/diabetes/comments/7jw2ue/just_been_downgraded_from_insulin_to_metaformin/")</f>
        <v/>
      </c>
      <c r="G3885" t="inlineStr">
        <is>
          <t>2017-12-14 16:33:10</t>
        </is>
      </c>
      <c r="H3885" t="inlineStr">
        <is>
          <t>Type 2</t>
        </is>
      </c>
    </row>
    <row r="3886">
      <c r="A3886" t="inlineStr">
        <is>
          <t>7jw3b0</t>
        </is>
      </c>
      <c r="B3886" t="inlineStr">
        <is>
          <t>Today I’ve been told by my endo that I’ve reversed my t2 diabetes.</t>
        </is>
      </c>
      <c r="C3886" t="inlineStr">
        <is>
          <t xml:space="preserve">I’ve always had a really unhealthy lifestyle and in July this year I was told that I have diabetes. My endo opened the conversation with me by saying “so how long have you had diabetes for?”, which surprised me as I had no idea. And 25kgs later, I’ve been told that I have successfully reversed my diabetes, as well my gout, which was diagnosed years before. I’m only 28, so that helped. I’m just absolutely elated and just want to share. </t>
        </is>
      </c>
      <c r="D3886" t="n">
        <v>4</v>
      </c>
      <c r="E3886" t="n">
        <v>41</v>
      </c>
      <c r="F3886">
        <f>HYPERLINK("https://www.reddit.com/r/diabetes/comments/7jw3b0/today_ive_been_told_by_my_endo_that_ive_reversed/")</f>
        <v/>
      </c>
      <c r="G3886" t="inlineStr">
        <is>
          <t>2017-12-14 16:35:12</t>
        </is>
      </c>
      <c r="H3886" t="inlineStr">
        <is>
          <t>Type 2</t>
        </is>
      </c>
    </row>
    <row r="3887">
      <c r="A3887" t="inlineStr">
        <is>
          <t>7jw58t</t>
        </is>
      </c>
      <c r="B3887" t="inlineStr">
        <is>
          <t>Help for stocking suffers please</t>
        </is>
      </c>
      <c r="C3887" t="inlineStr">
        <is>
          <t>Hi guys,
My mother in law who is type 2 diabetic is visiting us for the first time for christmas and we have a tradition in our house where we put a little gift in stockings and the rest gets filled up with chocolates and treats. I want her to feel like she is a part of that tradition and don't know what to put in hers as a "treat". I tried to Google it but could only find popcorn,nuts and chips. Is there anything else that is more a treat than a snack ? 
Thanks so much for your help.</t>
        </is>
      </c>
      <c r="D3887" t="n">
        <v>0</v>
      </c>
      <c r="E3887" t="n">
        <v>8</v>
      </c>
      <c r="F3887">
        <f>HYPERLINK("https://www.reddit.com/r/diabetes/comments/7jw58t/help_for_stocking_suffers_please/")</f>
        <v/>
      </c>
      <c r="G3887" t="inlineStr">
        <is>
          <t>2017-12-14 16:43:39</t>
        </is>
      </c>
      <c r="H3887" t="inlineStr">
        <is>
          <t>Type 2</t>
        </is>
      </c>
    </row>
    <row r="3888">
      <c r="A3888" t="inlineStr">
        <is>
          <t>7jwzcg</t>
        </is>
      </c>
      <c r="B3888" t="inlineStr">
        <is>
          <t>Traveling in New Zealand and Australia for up to 6 months and wondering about getting insulin</t>
        </is>
      </c>
      <c r="C3888" t="inlineStr">
        <is>
          <t>Starting in mid-January my friend and I are traveling to New Zealand and Australia for several months on a working holiday. I have Type 1 Diabetes and use an insulin pump. As it is necessary to me living, I am wondering what the best way to get my insulin will be. Does anyone know what it takes to fill a prescription in New Zealand and Australia as a US citizen? Or does anyone have experience traveling longterm being insulin-dependent diabetes? Any advice anyone can give would be much appreciated! 
I have traveled for three months in Tanzania before, but I stayed in the same place and was able to bring enough with me as I was insured a refrigerator. This time I will be moving around a lot and will be going to hostels and homestay without knowing for sure if I will have a fridge. For all my other supplies I will just bring enough for the whole time, I'm mostly just worried about the insulin.</t>
        </is>
      </c>
      <c r="D3888" t="n">
        <v>2</v>
      </c>
      <c r="E3888" t="n">
        <v>6</v>
      </c>
      <c r="F3888">
        <f>HYPERLINK("https://www.reddit.com/r/diabetes/comments/7jwzcg/traveling_in_new_zealand_and_australia_for_up_to/")</f>
        <v/>
      </c>
      <c r="G3888" t="inlineStr">
        <is>
          <t>2017-12-14 19:08:29</t>
        </is>
      </c>
      <c r="H3888" t="inlineStr">
        <is>
          <t>Type 1</t>
        </is>
      </c>
    </row>
    <row r="3889">
      <c r="A3889" t="inlineStr">
        <is>
          <t>7k1vyq</t>
        </is>
      </c>
      <c r="B3889" t="inlineStr">
        <is>
          <t>What is the minimum amount of time needed before shots? Do you eat before working out?/How much Insulin?</t>
        </is>
      </c>
      <c r="C3889" t="inlineStr">
        <is>
          <t>So I am about to get on this workout plan and I supposed to eat 90mins before working out, take protein and eat some bread RIGHT after the workout and then eat 90 mins after my workout.
Should I be taking insulin for every occasion mentioned above?
Also, those who workout and eat before working out, do you take the usual amount of insulin, or do you cut it back because you know you're gonna be working out?
Thanks guys!</t>
        </is>
      </c>
      <c r="D3889" t="n">
        <v>3</v>
      </c>
      <c r="E3889" t="n">
        <v>5</v>
      </c>
      <c r="F3889">
        <f>HYPERLINK("https://www.reddit.com/r/diabetes/comments/7k1vyq/what_is_the_minimum_amount_of_time_needed_before/")</f>
        <v/>
      </c>
      <c r="G3889" t="inlineStr">
        <is>
          <t>2017-12-15 11:14:21</t>
        </is>
      </c>
      <c r="H3889" t="inlineStr">
        <is>
          <t>Type 1</t>
        </is>
      </c>
    </row>
    <row r="3890">
      <c r="A3890" t="inlineStr">
        <is>
          <t>7k21pm</t>
        </is>
      </c>
      <c r="B3890" t="inlineStr">
        <is>
          <t>How do you carry your supplies on the go?</t>
        </is>
      </c>
      <c r="C3890" t="inlineStr">
        <is>
          <t xml:space="preserve"> https://imgur.com/gallery/1Dj2P
Here's my bag. It's actually just a pencil case I found in the school supplies section of the store. I added the paracord bracelet that was made by a camper for me as a handle.
I used to just use the case that comes with the meter but they fall apart pretty quickly so I needed an upgrade.
I just sort of shove everything in there. On a daily basis I usually carry 2 syringes, a bottle of insulin (in green cozy @the right) a vial of test strips, an empty vial of test strips for used, a glucometer and "poker" and a years supply of lancets (about 10). Sometimes I add in extra pump sites and cartridges and maybe a snack. 
I'm always on the lookout out for new solutions. What do you use?</t>
        </is>
      </c>
      <c r="D3890" t="n">
        <v>3</v>
      </c>
      <c r="E3890" t="n">
        <v>17</v>
      </c>
      <c r="F3890">
        <f>HYPERLINK("https://www.reddit.com/r/diabetes/comments/7k21pm/how_do_you_carry_your_supplies_on_the_go/")</f>
        <v/>
      </c>
      <c r="G3890" t="inlineStr">
        <is>
          <t>2017-12-15 11:38:44</t>
        </is>
      </c>
      <c r="H3890" t="inlineStr">
        <is>
          <t>Type 1</t>
        </is>
      </c>
    </row>
    <row r="3891">
      <c r="A3891" t="inlineStr">
        <is>
          <t>7kag35</t>
        </is>
      </c>
      <c r="B3891" t="inlineStr">
        <is>
          <t>Blood Sugar won't go down after taking Insulin multiple times.</t>
        </is>
      </c>
      <c r="C3891" t="inlineStr">
        <is>
          <t xml:space="preserve">So I guess I should add some context to this, I am a 23 year old T1 diabetic. I was diagnosed with diabetes at the age of 11. Up until about 18 my blood sugar A1C had been fairly regular/normal with a highest A1C at 18 with 9.1. 
Going to University is when things went down hill. Long story short, I have kept a very poor care of my blood sugar for the past few years with my most recent A1C at 14. My Endo always told me that your body will begin to degrade and shut down and you don't really listen to it because, well, ignorance and why would something start happing to a 20 year old? Well now at 23 i'm beginning to feel neurpathy in my legs as my toes will tingle sometimes, sometimes a dull pain here and there, sometimes a sharp pain. I have a patch of hair loss on both of my calves from lack of blood flow. 
I know I should have started much earlier, however I want to take control of everything and try to get back to normal. Recently I've been checking my blood sugar 4-6 times daily and taking my insulin when I need it. However the past few days, I'm not reacting to my insulin. Regaruly I'll take 10 units and that will take me down from a 16 to a 4 for example. But I'll take 10-20 units and nothing. It'll hover around 14-15. This has happened for the past few days. I'm worried it has something to do with Ketoacidosis but I have honestly no idea. 
I don't really have time to go to the hospital until after the new year because of exams and packing. Has this happened to anyone? where taking insulin doesn't lower their blood sugar? 
I'm afraid. </t>
        </is>
      </c>
      <c r="D3891" t="n">
        <v>10</v>
      </c>
      <c r="E3891" t="n">
        <v>16</v>
      </c>
      <c r="F3891">
        <f>HYPERLINK("https://www.reddit.com/r/diabetes/comments/7kag35/blood_sugar_wont_go_down_after_taking_insulin/")</f>
        <v/>
      </c>
      <c r="G3891" t="inlineStr">
        <is>
          <t>2017-12-16 15:42:25</t>
        </is>
      </c>
      <c r="H3891" t="inlineStr">
        <is>
          <t>Type 1</t>
        </is>
      </c>
    </row>
    <row r="3892">
      <c r="A3892" t="inlineStr">
        <is>
          <t>7kap0l</t>
        </is>
      </c>
      <c r="B3892" t="inlineStr">
        <is>
          <t>Need quick advice: humolog quick-pen, or drive back home for pump?</t>
        </is>
      </c>
      <c r="C3892" t="inlineStr">
        <is>
          <t>Hi all! It's 7:30pm &amp;amp; my omnipod ends in 8 hours. I'm an hour away from home, so it's possible to drive there &amp;amp; back for my pump supplies, OR I can refill a humolog quick-pen subscription in the area. Is this OK for 24 hours? How much would it be hurting?
Thanks!!</t>
        </is>
      </c>
      <c r="D3892" t="n">
        <v>1</v>
      </c>
      <c r="E3892" t="n">
        <v>5</v>
      </c>
      <c r="F3892">
        <f>HYPERLINK("https://www.reddit.com/r/diabetes/comments/7kap0l/need_quick_advice_humolog_quickpen_or_drive_back/")</f>
        <v/>
      </c>
      <c r="G3892" t="inlineStr">
        <is>
          <t>2017-12-16 16:27:40</t>
        </is>
      </c>
      <c r="H3892" t="inlineStr">
        <is>
          <t>Type 1</t>
        </is>
      </c>
    </row>
    <row r="3893">
      <c r="A3893" t="inlineStr">
        <is>
          <t>7kdnsx</t>
        </is>
      </c>
      <c r="B3893" t="inlineStr">
        <is>
          <t>My first diaversary</t>
        </is>
      </c>
      <c r="C3893" t="inlineStr">
        <is>
          <t xml:space="preserve">1 year ago today I was diagnosed with type 2 diabetes with a suspicion of maybe Lada. I was 5'11" 210lbs, an A1C of 9.3, and a spot check blood glucose of 13mmol.
Today in 159.8lbs, last a1c was 4.6 (taken in September), and my fasting blood glucose this morning was 4.9. </t>
        </is>
      </c>
      <c r="D3893" t="n">
        <v>16</v>
      </c>
      <c r="E3893" t="n">
        <v>7</v>
      </c>
      <c r="F3893">
        <f>HYPERLINK("https://www.reddit.com/r/diabetes/comments/7kdnsx/my_first_diaversary/")</f>
        <v/>
      </c>
      <c r="G3893" t="inlineStr">
        <is>
          <t>2017-12-17 05:01:27</t>
        </is>
      </c>
      <c r="H3893" t="inlineStr">
        <is>
          <t>Type 2</t>
        </is>
      </c>
    </row>
    <row r="3894">
      <c r="A3894" t="inlineStr">
        <is>
          <t>7ki4cq</t>
        </is>
      </c>
      <c r="B3894" t="inlineStr">
        <is>
          <t>Discouraged Diabetic</t>
        </is>
      </c>
      <c r="C3894" t="inlineStr">
        <is>
          <t xml:space="preserve">I am Type 2, diagnosed about 18 months ago. I have lost over 40lbs (under 200 now but have about 30-40lbs to go to be at a healthy weight for my height 5'10") and have significantly improved my diet. 
The last few months I was struggling with stomach issues, feeling full after eating very little and the like. I had my six-month checkup a few weeks ago and my doctor diagnosed me with gastroparesis. Unfortunately, the diet for gastro is almost exactly the opposite of the low-carb diet for diabetes, so I use Bentyl for flare ups. My bloodwork came back pretty good, a1c is 6.7 but my triglycerides were 204. My doctor wants to restrict my carbs even more and to take fish oil!
I'm just so disappointed. I told her I would not take the fish oil because I didn't want to risk triggering my gastroparesis. I am limiting my carbs even further. I have cut out my occasional bowl of cereal, all potatoes, pasta, rice, and bread this last week. 
But I am sad. I feel weak. I'm on the verge of crying almost all the time and I'm not a cryer. I almost passed out while grocery shopping today. 
Will this pass? Is it just a reaction to the new, stricter diet? Or should I be worried about possible depression? 
Please help. </t>
        </is>
      </c>
      <c r="D3894" t="n">
        <v>8</v>
      </c>
      <c r="E3894" t="n">
        <v>13</v>
      </c>
      <c r="F3894">
        <f>HYPERLINK("https://www.reddit.com/r/diabetes/comments/7ki4cq/discouraged_diabetic/")</f>
        <v/>
      </c>
      <c r="G3894" t="inlineStr">
        <is>
          <t>2017-12-17 17:57:20</t>
        </is>
      </c>
      <c r="H3894" t="inlineStr">
        <is>
          <t>Type 2</t>
        </is>
      </c>
    </row>
    <row r="3895">
      <c r="A3895" t="inlineStr">
        <is>
          <t>7kldf0</t>
        </is>
      </c>
      <c r="B3895" t="inlineStr">
        <is>
          <t>Tandem tslim X2: can you reuse a reservoir by putting more insulin into it?</t>
        </is>
      </c>
      <c r="C3895" t="inlineStr">
        <is>
          <t>I know this isn't something you are normally supposed to do, but I put the insertion site in badly yesterday so I need to change it, and I don't want to throw away 2 days of insulin.  Can I just put in another day's worth of insulin and go through the cartridge changing process with the same reservoir?</t>
        </is>
      </c>
      <c r="D3895" t="n">
        <v>5</v>
      </c>
      <c r="E3895" t="n">
        <v>16</v>
      </c>
      <c r="F3895">
        <f>HYPERLINK("https://www.reddit.com/r/diabetes/comments/7kldf0/tandem_tslim_x2_can_you_reuse_a_reservoir_by/")</f>
        <v/>
      </c>
      <c r="G3895" t="inlineStr">
        <is>
          <t>2017-12-18 06:01:34</t>
        </is>
      </c>
      <c r="H3895" t="inlineStr">
        <is>
          <t>Type 1.5/LADA</t>
        </is>
      </c>
    </row>
    <row r="3896">
      <c r="A3896" t="inlineStr">
        <is>
          <t>7klri4</t>
        </is>
      </c>
      <c r="B3896" t="inlineStr">
        <is>
          <t>Type 2 changed to LADA?</t>
        </is>
      </c>
      <c r="C3896" t="inlineStr">
        <is>
          <t xml:space="preserve">After going Keto to get my blood sugar under control I discovered I was gluten intolerant/possible Celiac when a very long list of symptoms suddenly cleared up. I've been gluten free for 5 months now but I'm still getting high HS-C-reactive readings. Wondering if it is worth pushing for a test for GAD antibodies. Anyone else been down this road?  </t>
        </is>
      </c>
      <c r="D3896" t="n">
        <v>2</v>
      </c>
      <c r="E3896" t="n">
        <v>9</v>
      </c>
      <c r="F3896">
        <f>HYPERLINK("https://www.reddit.com/r/diabetes/comments/7klri4/type_2_changed_to_lada/")</f>
        <v/>
      </c>
      <c r="G3896" t="inlineStr">
        <is>
          <t>2017-12-18 07:10:11</t>
        </is>
      </c>
      <c r="H3896" t="inlineStr">
        <is>
          <t>Type 1.5/LADA</t>
        </is>
      </c>
    </row>
    <row r="3897">
      <c r="A3897" t="inlineStr">
        <is>
          <t>7kp14k</t>
        </is>
      </c>
      <c r="B3897" t="inlineStr">
        <is>
          <t>Is this normal?</t>
        </is>
      </c>
      <c r="C3897" t="inlineStr">
        <is>
          <t>I started on insulin a few days ago, 10 units of Lantus at bedtime for reference. For awhile I've getting spikes after lunch (no more than 30g of carbs) and having trouble concentrating at work. This happened again today, but I felt even more weird and my face is super hot and red (redness on my chest, back, and arms as well.) I tested and was at a 193, so high but not dangerously so. Is this normal? I got sent home from work and currently waiting on a call back from my doctor, but not sure if I should be more worried or if this is normal.</t>
        </is>
      </c>
      <c r="D3897" t="n">
        <v>6</v>
      </c>
      <c r="E3897" t="n">
        <v>18</v>
      </c>
      <c r="F3897">
        <f>HYPERLINK("https://www.reddit.com/r/diabetes/comments/7kp14k/is_this_normal/")</f>
        <v/>
      </c>
      <c r="G3897" t="inlineStr">
        <is>
          <t>2017-12-18 15:12:00</t>
        </is>
      </c>
      <c r="H3897" t="inlineStr">
        <is>
          <t>Type 1</t>
        </is>
      </c>
    </row>
    <row r="3898">
      <c r="A3898" t="inlineStr">
        <is>
          <t>7kpuk2</t>
        </is>
      </c>
      <c r="B3898" t="inlineStr">
        <is>
          <t>Dexcom G5 Android update just added the ability to silence the 'Urgent Low' alarm.</t>
        </is>
      </c>
      <c r="C3898" t="inlineStr">
        <is>
          <t>I just got a notification after the update (sorry I didn't grab a screenshot) basically saying that I had to acknowledge the fact that if my phone is on 'silent' the urgent low alarm (which used to go off every 5 minutes you were under 55) would not sound anymore. 
This is great because now it won't go off constantly! If anyone else got it, just be careful not to leave your phone on silent when you sleep :)</t>
        </is>
      </c>
      <c r="D3898" t="n">
        <v>3</v>
      </c>
      <c r="E3898" t="n">
        <v>13</v>
      </c>
      <c r="F3898">
        <f>HYPERLINK("https://www.reddit.com/r/diabetes/comments/7kpuk2/dexcom_g5_android_update_just_added_the_ability/")</f>
        <v/>
      </c>
      <c r="G3898" t="inlineStr">
        <is>
          <t>2017-12-18 17:25:40</t>
        </is>
      </c>
      <c r="H3898" t="inlineStr">
        <is>
          <t>Type 1</t>
        </is>
      </c>
    </row>
    <row r="3899">
      <c r="A3899" t="inlineStr">
        <is>
          <t>7kq0av</t>
        </is>
      </c>
      <c r="B3899" t="inlineStr">
        <is>
          <t>Omnipod Frustrations</t>
        </is>
      </c>
      <c r="C3899" t="inlineStr">
        <is>
          <t xml:space="preserve">Last week I started on the Onmipod (after being with Animas for a number of years, so I'm no stranger to pumping in general) and this morning I woke up, had a BG of 19.2  (~350), so I looked and the adhesive around the cannula had completely detached and cannula had completely come out. This is the second time this has happened to me. The first time I had the pod on my arm (somewhere I never used while on my other pump) so I just chalked it up to my cerebral palsy and my bad tremors in my arms, but this time it was on my stomach where I always had my infusion sets (kinda in a fold on my flab, so maybe that was a reason this morning?). 
So now I'm just frustrated and wondering if the onmipod is right for me (which is worrying because now that Animas is out of the pumping business in Canada, my only other option is medtronic and I don't have the dexterity for any of their insertion devices). 
Is this a common problem or have I just chosen a series of bad spots? Can anyone maybe recommend a adhesive patch that goes over the pod? I have a roll of OpSite Flexifix, but with the way the backing comes off, it isn't easy to cover something like the pod. </t>
        </is>
      </c>
      <c r="D3899" t="n">
        <v>1</v>
      </c>
      <c r="E3899" t="n">
        <v>12</v>
      </c>
      <c r="F3899">
        <f>HYPERLINK("https://www.reddit.com/r/diabetes/comments/7kq0av/omnipod_frustrations/")</f>
        <v/>
      </c>
      <c r="G3899" t="inlineStr">
        <is>
          <t>2017-12-18 17:53:06</t>
        </is>
      </c>
      <c r="H3899" t="inlineStr">
        <is>
          <t>Type 1</t>
        </is>
      </c>
    </row>
    <row r="3900">
      <c r="A3900" t="inlineStr">
        <is>
          <t>7krkjn</t>
        </is>
      </c>
      <c r="B3900" t="inlineStr">
        <is>
          <t>Need advice</t>
        </is>
      </c>
      <c r="C3900" t="inlineStr">
        <is>
          <t>My girlfriend is 20 years old and was just diagnosed with type 1.. It's been a rough week for her and she's been very very sick lately. She is just learning and slowly getting a hang of her new diet and using insulin, I'm wondering if any of you have advice about her sickness (vomiting, diarrhea, dizziness, loss of appetite, blurry vision), or any general advice about how and when to take insulin.
Thanks in advance!</t>
        </is>
      </c>
      <c r="D3900" t="n">
        <v>2</v>
      </c>
      <c r="E3900" t="n">
        <v>8</v>
      </c>
      <c r="F3900">
        <f>HYPERLINK("https://www.reddit.com/r/diabetes/comments/7krkjn/need_advice/")</f>
        <v/>
      </c>
      <c r="G3900" t="inlineStr">
        <is>
          <t>2017-12-18 22:44:58</t>
        </is>
      </c>
      <c r="H3900" t="inlineStr">
        <is>
          <t>Type 1</t>
        </is>
      </c>
    </row>
    <row r="3901">
      <c r="A3901" t="inlineStr">
        <is>
          <t>7krnlo</t>
        </is>
      </c>
      <c r="B3901" t="inlineStr">
        <is>
          <t>What should i use for cgm</t>
        </is>
      </c>
      <c r="C3901" t="inlineStr">
        <is>
          <t>i dont really like the medtronic enlite, should i use dexcom, im 13 btw</t>
        </is>
      </c>
      <c r="D3901" t="n">
        <v>1</v>
      </c>
      <c r="E3901" t="n">
        <v>7</v>
      </c>
      <c r="F3901">
        <f>HYPERLINK("https://www.reddit.com/r/diabetes/comments/7krnlo/what_should_i_use_for_cgm/")</f>
        <v/>
      </c>
      <c r="G3901" t="inlineStr">
        <is>
          <t>2017-12-18 23:04:11</t>
        </is>
      </c>
      <c r="H3901" t="inlineStr">
        <is>
          <t>Type 1</t>
        </is>
      </c>
    </row>
    <row r="3902">
      <c r="A3902" t="inlineStr">
        <is>
          <t>7ksixu</t>
        </is>
      </c>
      <c r="B3902" t="inlineStr">
        <is>
          <t>Scared about moving to insulin pump for the first time after 7 years of pen usage</t>
        </is>
      </c>
      <c r="C3902" t="inlineStr">
        <is>
          <t>Hi there,
I'm looking for some experiences as I am really nervous and distressed about getting insulin pump for the first time. I have DM type 1, for 8 years now and I have been so far very well compensated with Hb1Ac at 6,2 - 8.5 max, however I recently started studying very demanding law degree and my diet and regime went to shit, for the last 6 months my Hb1Ac has been at 10 which is too high, and my doctor told me to get a insulin pump.
However I am really afraid about it for several reasons. I know you may say that a lot of them are superficial, but I am really sad about it. 
Firstly, I am afraid about sport, the only thing that kept me good results so far was that I am very active, I do lots of running and rock climbing, also competitive bouldering, which I am afraid I won't be able to do anymore out of fear of damaging or tearing out the pump.
Secondly, I am afraid about the visibilty of the pump. It's not that I am ashamed of telling people I have a diabetes, I just think it is a weakness and that is something I cannot afford to show around here. Also everyone starts to immediately pitty me or telling me how they have a friend of a friend that has friend whose dog once dreamed about a guy that was treated from DM because of his positive mind and I have Dm just because subconciously want to have it.
Thirdly, I always wear a tucked in shirts and dressed pants with virtually no pockets and I cannot come to school dressed otherwise, I don't want to come with tubes sticking out of my pants and having bulks in them.
Also I read that people on pumps go to hospitals very often because they malfunction, I literally don't have time to sleep more then 4 hours a day, not to go to a hospital for more than that.
Also, and I know this will sound stupid, but what about sex. I mean, if I come with a lady from a bar to my place, will it be like, you know just ignore this box hanging of me, that's just because I'm broken piece of shit.
I really feel like this will affect my life to worse, way worse, so if you could share some knowledge with me, because it's true that I have almost no knowledge about the pumps.
And sorry about the rant, but I just got back from the doctor few hours ago and I am really upset about it.</t>
        </is>
      </c>
      <c r="D3902" t="n">
        <v>2</v>
      </c>
      <c r="E3902" t="n">
        <v>17</v>
      </c>
      <c r="F3902">
        <f>HYPERLINK("https://www.reddit.com/r/diabetes/comments/7ksixu/scared_about_moving_to_insulin_pump_for_the_first/")</f>
        <v/>
      </c>
      <c r="G3902" t="inlineStr">
        <is>
          <t>2017-12-19 02:45:42</t>
        </is>
      </c>
      <c r="H3902" t="inlineStr">
        <is>
          <t>Type 1</t>
        </is>
      </c>
    </row>
    <row r="3903">
      <c r="A3903" t="inlineStr">
        <is>
          <t>7kte95</t>
        </is>
      </c>
      <c r="B3903" t="inlineStr">
        <is>
          <t>T-minus 2 hour and 20 minutes</t>
        </is>
      </c>
      <c r="C3903" t="inlineStr">
        <is>
          <t>....I will become a podder!
Just changed my Medtronic yesterday and blood just poured out of my belly. So sick of abdominal sites only!
Wish me luck, I can barely contain myself!</t>
        </is>
      </c>
      <c r="D3903" t="n">
        <v>3</v>
      </c>
      <c r="E3903" t="n">
        <v>7</v>
      </c>
      <c r="F3903">
        <f>HYPERLINK("https://www.reddit.com/r/diabetes/comments/7kte95/tminus_2_hour_and_20_minutes/")</f>
        <v/>
      </c>
      <c r="G3903" t="inlineStr">
        <is>
          <t>2017-12-19 05:58:26</t>
        </is>
      </c>
      <c r="H3903" t="inlineStr">
        <is>
          <t>Type 1</t>
        </is>
      </c>
    </row>
    <row r="3904">
      <c r="A3904" t="inlineStr">
        <is>
          <t>7kuigk</t>
        </is>
      </c>
      <c r="B3904" t="inlineStr">
        <is>
          <t>I was almost welcomed to the fainting club today</t>
        </is>
      </c>
      <c r="C3904" t="inlineStr">
        <is>
          <t xml:space="preserve">My lowest glucose level had been 19, but I believe that I went even lower than that today. My body has always been nice and gave me a decent heads up that my blood sugar was crashing. At my lowest, 19, I just went pale and needed to sit down; wasn't a big deal. 
This morning I get out of bed to eat breakfast feeling ok. I had run out of test strips and needed to grab more today. I go into the kitchen and all of a sudden my left leg goes out. I almost pass out. I rushed back to the bedroom to get my boyfriend because I could feel things going south quickly. As I sat on the bed, I felt impending doom. That's the only way I can describe it. I kept focus on my dog, who looked scared as shit, so I wouldn't pass out. I knew that if I passed out it would be bad. One weird side effect that I've never had: loss of taste. It took a good 20 minutes for it to return. The apple juice tasted like chicken broth. 
*I am waiting on insurance to approve a CGM. </t>
        </is>
      </c>
      <c r="D3904" t="n">
        <v>9</v>
      </c>
      <c r="E3904" t="n">
        <v>9</v>
      </c>
      <c r="F3904">
        <f>HYPERLINK("https://www.reddit.com/r/diabetes/comments/7kuigk/i_was_almost_welcomed_to_the_fainting_club_today/")</f>
        <v/>
      </c>
      <c r="G3904" t="inlineStr">
        <is>
          <t>2017-12-19 08:54:59</t>
        </is>
      </c>
      <c r="H3904" t="inlineStr">
        <is>
          <t>Type 1</t>
        </is>
      </c>
    </row>
    <row r="3905">
      <c r="A3905" t="inlineStr">
        <is>
          <t>7kxr8k</t>
        </is>
      </c>
      <c r="B3905" t="inlineStr">
        <is>
          <t>Disappointed with my first post-Dexcom A1c. Any tips for tightening up control?</t>
        </is>
      </c>
      <c r="C3905" t="inlineStr">
        <is>
          <t>I got a Dexcom back in August, and today I got my first A1c result since then: 6.6, which is exactly the same as my previous A1c from before I got a Dexcom. Obviously it's good that it didn't go *up*, but I'm still a bit disappointed. xDrip+ and Nightscout were showing an estimate of 6.3 (I know, it's just an estimate). What are some things I can do to tighten up my control even more? I'd love to get under 6.5 next time.
I know I definitely need to pre-bolus more. Apart from breakfast, I almost never pre-bolus because I get impatient when I'm hungry and don't want to wait another 15 minutes. Totally my own fault, of course. 
I'm also thinking of doing some fasts to see if I need to change my basals around throughout the day.
Any other tips I should try?</t>
        </is>
      </c>
      <c r="D3905" t="n">
        <v>4</v>
      </c>
      <c r="E3905" t="n">
        <v>12</v>
      </c>
      <c r="F3905">
        <f>HYPERLINK("https://www.reddit.com/r/diabetes/comments/7kxr8k/disappointed_with_my_first_postdexcom_a1c_any/")</f>
        <v/>
      </c>
      <c r="G3905" t="inlineStr">
        <is>
          <t>2017-12-19 16:54:51</t>
        </is>
      </c>
      <c r="H3905" t="inlineStr">
        <is>
          <t>Type 1</t>
        </is>
      </c>
    </row>
    <row r="3906">
      <c r="A3906" t="inlineStr">
        <is>
          <t>7l3rut</t>
        </is>
      </c>
      <c r="B3906" t="inlineStr">
        <is>
          <t>Just had 1.5 mmol/L, how low do you eventually pass out at?</t>
        </is>
      </c>
      <c r="C3906" t="inlineStr">
        <is>
          <t>Title and/or how low is it where you eventually pass out and go in a coma ?</t>
        </is>
      </c>
      <c r="D3906" t="n">
        <v>1</v>
      </c>
      <c r="E3906" t="n">
        <v>16</v>
      </c>
      <c r="F3906">
        <f>HYPERLINK("https://www.reddit.com/r/diabetes/comments/7l3rut/just_had_15_mmoll_how_low_do_you_eventually_pass/")</f>
        <v/>
      </c>
      <c r="G3906" t="inlineStr">
        <is>
          <t>2017-12-20 11:35:09</t>
        </is>
      </c>
      <c r="H3906" t="inlineStr">
        <is>
          <t>Type 1</t>
        </is>
      </c>
    </row>
    <row r="3907">
      <c r="A3907" t="inlineStr">
        <is>
          <t>7l3wnd</t>
        </is>
      </c>
      <c r="B3907" t="inlineStr">
        <is>
          <t>Blood Sugar goes DOWN after meal?</t>
        </is>
      </c>
      <c r="C3907" t="inlineStr">
        <is>
          <t xml:space="preserve">Hi all,
Type2 Diabetic, just got the FreeStyle Libre.  I've been testing my morning sugar for many years, and it always shows up as 10-12 mmol however amount of drugs I take.
After getting the libre, i realized there is a wierd pattern.
My blood sugar is NORMAL throughout the night, but about 30 mins after I wake up, it starts to rise and rise and rise to about 11 during the morning.  I eat breakfast at around 9.30-10 (waking up at 7am)  
I noticed too that for the time AFTER my meals (breakfast, lunch, supper, snack, whatever), my blood sugar goes DOWN significantly (around 4-5 mmol) and then starts to creep up again until the next meal.  
It also goes DOWN after I do exercise (I go to the gym 3 times a week, down 100 lbs yeeee).
This is basically the contrary of what I would expect!  What is going on?
Now i'm a bone marrow transplant patient, lots of medical issues because of my transplant.  But how can this be?
I'm wondering if anyone can enlighten me on what could be going on.
I'm on: 
Acyclovir (Anti-viral because of my transplant, who wants shingles? NOT ME!)
Tujeo (slow-acting insuline, i take it in the morning).
Trajenta
Diamicron
Dexylant (acid reflux)
Thyroxine (thyroid medication).
Thanks!
</t>
        </is>
      </c>
      <c r="D3907" t="n">
        <v>6</v>
      </c>
      <c r="E3907" t="n">
        <v>4</v>
      </c>
      <c r="F3907">
        <f>HYPERLINK("https://www.reddit.com/r/diabetes/comments/7l3wnd/blood_sugar_goes_down_after_meal/")</f>
        <v/>
      </c>
      <c r="G3907" t="inlineStr">
        <is>
          <t>2017-12-20 11:54:33</t>
        </is>
      </c>
      <c r="H3907" t="inlineStr">
        <is>
          <t>Type 2</t>
        </is>
      </c>
    </row>
    <row r="3908">
      <c r="A3908" t="inlineStr">
        <is>
          <t>7l5tfz</t>
        </is>
      </c>
      <c r="B3908" t="inlineStr">
        <is>
          <t>First meeting with endocrinologist</t>
        </is>
      </c>
      <c r="C3908" t="inlineStr">
        <is>
          <t>First meeting with my endocrinologist soon and I smoked weed yesterday, should I be worried they're going to test me since I'm a minor and I want to prepare in case they tell my parents</t>
        </is>
      </c>
      <c r="D3908" t="n">
        <v>2</v>
      </c>
      <c r="E3908" t="n">
        <v>4</v>
      </c>
      <c r="F3908">
        <f>HYPERLINK("https://www.reddit.com/r/diabetes/comments/7l5tfz/first_meeting_with_endocrinologist/")</f>
        <v/>
      </c>
      <c r="G3908" t="inlineStr">
        <is>
          <t>2017-12-20 16:41:03</t>
        </is>
      </c>
      <c r="H3908" t="inlineStr">
        <is>
          <t>Type 2</t>
        </is>
      </c>
    </row>
    <row r="3909">
      <c r="A3909" t="inlineStr">
        <is>
          <t>7l6qbk</t>
        </is>
      </c>
      <c r="B3909" t="inlineStr">
        <is>
          <t>Recently diagnosed - honeymoon period</t>
        </is>
      </c>
      <c r="C3909" t="inlineStr">
        <is>
          <t>I was diagnosed back in early October after having lost 30 pounds in 3 months with zero diet and exercise, and excessive urination. Described my symptoms and GP was fairly certain it was diabetes before tests, so did an A1C which came back at 11.3.
I started on 20 Lantus and 6 Humalog per meal, but after a week when my numbers got back to normal I started tapering off. I've had the antibody test done and confirmed as T1, but a recent c-peptide showed low but within range. I'm currently at 10 Lantus and maybe 1 unit per 50 carbs, but even without bolus I stay under 120 after meals.
Anyone have experience with honeymoon phase that they can share? I feel like I'm cheating as I have a close friend with T1 on a pump and she's never low. I want to extend this if possible but still get to enjoy things with less guilt for now...</t>
        </is>
      </c>
      <c r="D3909" t="n">
        <v>3</v>
      </c>
      <c r="E3909" t="n">
        <v>8</v>
      </c>
      <c r="F3909">
        <f>HYPERLINK("https://www.reddit.com/r/diabetes/comments/7l6qbk/recently_diagnosed_honeymoon_period/")</f>
        <v/>
      </c>
      <c r="G3909" t="inlineStr">
        <is>
          <t>2017-12-20 19:23:32</t>
        </is>
      </c>
      <c r="H3909" t="inlineStr">
        <is>
          <t>Type 1</t>
        </is>
      </c>
    </row>
    <row r="3910">
      <c r="A3910" t="inlineStr">
        <is>
          <t>7l7x6m</t>
        </is>
      </c>
      <c r="B3910" t="inlineStr">
        <is>
          <t>Does anyone else experience very dynamic carb ratios?</t>
        </is>
      </c>
      <c r="C3910" t="inlineStr">
        <is>
          <t>Type 1 for 8 years. Dexcom G5, Animas Vibe pump. Male, 6'0, 150lb.
I'm pretty thin and I have to make a conscious effort to eat to keep my weight where it's at. A 135lb version of me who doesn't eat just because managing glucose levels sucks is not a pretty sight!
Anyway, for me eating is a game of keeping calories high while keeping the carbs low. What I've found is that for me personally, carb ratios are SO dependent on the other macronutrients that I may as well not really bother with a ratio at all. For a juice box, the ratio can be 1:15. For pizza, it's 1:5, and for steak, it's 1:0.17
For foods that are generally high calorie and low carb, the ratio is probably about 1:7
For reference, my basal is about 20u/day and my TDD varies from about 30u to 45u
Here's something funny I've noticed about my daily totals:
* 20g carbs/day: 30u TDD
* 50g carbs/day: 35u TDD
* 100g carbs/day: 45u TDD
* 250g carbs/day: 55u TDD
Anyone who's familiar with textbook diabetic math would look at that data and possibly be scratching their head.
And finally, my favorite... the ribeye steak:
**1g carbs, 5-7 units needed to "cover" it**
**TL;DR I've discovered that I can't trick my body into not needing significant boluses for meals whether I eat high carb, low carb, or straight keto. I know that fat increases insulin resistance and some protein gets converted into glucose over time (especially once you've surpassed your 50g/day or whatever), but I've found that fats and proteins affect it so much that I'd probably be better off with a formula that actually accounts for those. I'd probably get by better by just doing a calorie ratio. Am I alone in this??**</t>
        </is>
      </c>
      <c r="D3910" t="n">
        <v>6</v>
      </c>
      <c r="E3910" t="n">
        <v>5</v>
      </c>
      <c r="F3910">
        <f>HYPERLINK("https://www.reddit.com/r/diabetes/comments/7l7x6m/does_anyone_else_experience_very_dynamic_carb/")</f>
        <v/>
      </c>
      <c r="G3910" t="inlineStr">
        <is>
          <t>2017-12-20 23:24:07</t>
        </is>
      </c>
      <c r="H3910" t="inlineStr">
        <is>
          <t>Type 1</t>
        </is>
      </c>
    </row>
    <row r="3911">
      <c r="A3911" t="inlineStr">
        <is>
          <t>7l9re7</t>
        </is>
      </c>
      <c r="B3911" t="inlineStr">
        <is>
          <t>Marathon Training with T1</t>
        </is>
      </c>
      <c r="C3911" t="inlineStr">
        <is>
          <t xml:space="preserve">I just signed up to run in the Chicago marathon next year, which I’m super pumped about! I’ve done shorter races (5/8/10K) but nothing crazy where I ever really had to worry about my blood sugar. Any tips for running longer distances while diabetic? 
I do have a CGM and am getting a pump next month. Im a little worried about that with my training with the tubing so hoping y’all might have suggestions for that! </t>
        </is>
      </c>
      <c r="D3911" t="n">
        <v>7</v>
      </c>
      <c r="E3911" t="n">
        <v>8</v>
      </c>
      <c r="F3911">
        <f>HYPERLINK("https://www.reddit.com/r/diabetes/comments/7l9re7/marathon_training_with_t1/")</f>
        <v/>
      </c>
      <c r="G3911" t="inlineStr">
        <is>
          <t>2017-12-21 06:26:10</t>
        </is>
      </c>
      <c r="H3911" t="inlineStr">
        <is>
          <t>Type 1</t>
        </is>
      </c>
    </row>
    <row r="3912">
      <c r="A3912" t="inlineStr">
        <is>
          <t>7lan17</t>
        </is>
      </c>
      <c r="B3912" t="inlineStr">
        <is>
          <t>UPDATE: When metformin and lifestyle changes aren't enough</t>
        </is>
      </c>
      <c r="C3912" t="inlineStr">
        <is>
          <t xml:space="preserve">Hi diabetic redditors, 
Just thought I would provide an update on my [post](https://www.reddit.com/r/diabetes/comments/7jfqbt/types_2_when_metformin_and_lifestyle_changes/) *When metformin and lifestyle changes aren't enough*
On Monday I went to my endocrinologist appointment. Apparently it wasn't an appointment, but just labs. After doing the blood work I headed home. On my way home I begin feel super sick so I call my family doctor and they're able to fit me in. I go to the doctor we discuss everything and he gives me prescriptions for some of issues I've been having. He decides to check my blood pressure and it's sky high. He writes a note, prints off my most recent medical results, and sends me to the ER for a hypertensive crisis. 
At the ER they check for agina, heart attack, stroke, blood clot. They also notice that my blood sugar is high. They give me meds for everything. My blood pressure begins to go down but they keep me overnight for observation - mainly 'cause I have a history of blood clots.  Everything checks out fine, no emergency, and I get discharged the other day. The ER advises to follow up with my family doctor regarding my hypertension. They asked if I wanted to see their endocrinologist, but it's too many cooks in the kitchen, so I say no. 
The next day my endocrinologist calls and tells me to come down to pick up a script. Their labs for the A1C and random glucose confirm the lab results from my family doctor. Only the A1C, random glucose, and fructosamine tests have come back. I am still waiting on the genetic and antibody tests. My doctor refuses to write a script for insulin until they have the confirmation, so they have prescribed a sulfonylurea. My fasting was 7.5 mmoL (135) today, which is higher than I usually get, but is dramatically lower than it was a week ago (13ish mmoL/235). I don't know if it's that's because I haven't been eating 3 days or the meds. I seem to be responding to the meds so far, and haven't received the hypos my dr warned me of (well it's only been 2 days). 
Edited to Add: trace amount of ketones in urine
**TLDR: I did blood work. I was hospitalized. I have not received results for antibody/genetic tests. My endocrinologist prescribed a Sulfonylurea as they are not comfortable w/ giving a script for insulin until antibody/genetic tests come back.**
</t>
        </is>
      </c>
      <c r="D3912" t="n">
        <v>16</v>
      </c>
      <c r="E3912" t="n">
        <v>8</v>
      </c>
      <c r="F3912">
        <f>HYPERLINK("https://www.reddit.com/r/diabetes/comments/7lan17/update_when_metformin_and_lifestyle_changes_arent/")</f>
        <v/>
      </c>
      <c r="G3912" t="inlineStr">
        <is>
          <t>2017-12-21 08:45:58</t>
        </is>
      </c>
      <c r="H3912" t="inlineStr">
        <is>
          <t>Type 2</t>
        </is>
      </c>
    </row>
    <row r="3913">
      <c r="A3913" t="inlineStr">
        <is>
          <t>7lc5pi</t>
        </is>
      </c>
      <c r="B3913" t="inlineStr">
        <is>
          <t>What do you eat for breakfast?</t>
        </is>
      </c>
      <c r="C3913" t="inlineStr">
        <is>
          <t xml:space="preserve">Hey guys. Was diagnosed with type 2 on Monday. Since then, I've been really struggling with what to eat. 
My doctor suggested I see a nutritionist, which would be a great idea, except the nearest one that takes my insurance is over 100 miles away, so not really an option. My doctor won't be back into the office until after the holidays, and the receptionist was kind enough to give me a number to call for a nutritionist that *doesn't* take my insurance, but I can't afford a consult. On Monday, my doctor suggested I go to diabetes.org and use the My Plate method, which I've been doing to the best of my ability. However, I have a couple of issues.
First, I'm a super picky eater, so this sucks, ha. Doc told me to avoid pretty much everything I eat, which is potatoes, cheese, and bread. She also told me to avoid most fruits except berries, and said I need to avoid pasta, pumpkin, tomatoes, and oatmeal/cereal. 
Ok, fine. For the past few days I've pretty much been living on vegetables (which I find to be soooo gross, so it's been real fun). The issue is that now I'm trying to come up with a menu so I can go get some groceries. I've thrown out all the crap in my pantry that I can't eat anymore, and it left me with some pretty barren shelves. So I'm reading the recipes on diabetes.org, and almost all of them include things my doc says I shouldn't eat.
Obviously, as you all know, I'm super sad about this whole situation, but now, on top of it, I'm so confused! I'm not supposed to have cheese or fruit, but a cheddar omelet is like the first thing on the list of breakfast ideas, and for a snack, they suggest an apple and some string cheese. 
SO! Long story slightly less long, I'm okay for lunches, because I can just have a huge salad, and dinner has been fine because thankfully there are about a hundred gross veggies to choose from so doing the My Plate thing is pretty easy. But I am absolutely stumped for breakfast. Should I just buy those Glucerna meal replacement shakes, and drink one of those every morning?
Oh, forgot to mention, I am on Metformin 500mg twice a day, and she's having me check and log my levels four times a day - before each meal, and before bed.
</t>
        </is>
      </c>
      <c r="D3913" t="n">
        <v>5</v>
      </c>
      <c r="E3913" t="n">
        <v>33</v>
      </c>
      <c r="F3913">
        <f>HYPERLINK("https://www.reddit.com/r/diabetes/comments/7lc5pi/what_do_you_eat_for_breakfast/")</f>
        <v/>
      </c>
      <c r="G3913" t="inlineStr">
        <is>
          <t>2017-12-21 12:24:17</t>
        </is>
      </c>
      <c r="H3913" t="inlineStr">
        <is>
          <t>Type 2</t>
        </is>
      </c>
    </row>
    <row r="3914">
      <c r="A3914" t="inlineStr">
        <is>
          <t>7lcf19</t>
        </is>
      </c>
      <c r="B3914" t="inlineStr">
        <is>
          <t>Got my A1C Today...</t>
        </is>
      </c>
      <c r="C3914" t="inlineStr">
        <is>
          <t>5.5! 
Honestly a little surprised. I thought it would be higher. Usually my meter says I'm around 120-130, but last year I would stay around 110 or less.
Anyways, my resolution next year is to keep it the same or less! Just got a treadmill to help me out! I have been lifting weights all year but no cardio.
What do you do to keep your sugar low?
Edit: Went from 5.3 to 5.5 in a year.</t>
        </is>
      </c>
      <c r="D3914" t="n">
        <v>29</v>
      </c>
      <c r="E3914" t="n">
        <v>22</v>
      </c>
      <c r="F3914">
        <f>HYPERLINK("https://www.reddit.com/r/diabetes/comments/7lcf19/got_my_a1c_today/")</f>
        <v/>
      </c>
      <c r="G3914" t="inlineStr">
        <is>
          <t>2017-12-21 13:02:10</t>
        </is>
      </c>
      <c r="H3914" t="inlineStr">
        <is>
          <t>Type 1</t>
        </is>
      </c>
    </row>
    <row r="3915">
      <c r="A3915" t="inlineStr">
        <is>
          <t>7lckta</t>
        </is>
      </c>
      <c r="B3915" t="inlineStr">
        <is>
          <t>Methylcarbonate Impact on BG</t>
        </is>
      </c>
      <c r="C3915" t="inlineStr">
        <is>
          <t xml:space="preserve">I'm trying to narrow down my options for why my BG has been higher lately than I would expect. 
I tried being very careful with my diet, but that only brought it down a point or two; it's been consistently ~3 points higher than it typically is. 
I think I've narrowed it down to an infection I'm not aware of, or the Ritalin I started taking in the summer. My doctor just retired, and I'm in the process of looking for a new one, but like to have an idea before I go in, as doctors have varied responses to T2 diabetics...
I guess my question is: has anyone here found that Ritalin (or other methylcarbonates) affects BG? </t>
        </is>
      </c>
      <c r="D3915" t="n">
        <v>0</v>
      </c>
      <c r="E3915" t="n">
        <v>2</v>
      </c>
      <c r="F3915">
        <f>HYPERLINK("https://www.reddit.com/r/diabetes/comments/7lckta/methylcarbonate_impact_on_bg/")</f>
        <v/>
      </c>
      <c r="G3915" t="inlineStr">
        <is>
          <t>2017-12-21 13:24:35</t>
        </is>
      </c>
      <c r="H3915" t="inlineStr">
        <is>
          <t>Type 2</t>
        </is>
      </c>
    </row>
    <row r="3916">
      <c r="A3916" t="inlineStr">
        <is>
          <t>7lddkf</t>
        </is>
      </c>
      <c r="B3916" t="inlineStr">
        <is>
          <t>High creatinine - what does this mean??</t>
        </is>
      </c>
      <c r="C3916" t="inlineStr">
        <is>
          <t xml:space="preserve">I got my lab results back (sort of, A1c is still pending) and it says my creatinine level is high (22.3 mmol/L apparently but it has a little indicator that says "HI" and it says that the normal range is 2.5-20.0). It also says that this is URINE creatinine and there's a separate one for blood creatinine... 
...does this mean I have kidney disease? Because that's what Google is telling me. Has anyone else encountered this before? This is just lab work done by my GP and I saw her today but the labwork hadn't been processed yet at that time and I'm scared I won't hear from her for 3 months now! I'm freaking out... :( </t>
        </is>
      </c>
      <c r="D3916" t="n">
        <v>2</v>
      </c>
      <c r="E3916" t="n">
        <v>12</v>
      </c>
      <c r="F3916">
        <f>HYPERLINK("https://www.reddit.com/r/diabetes/comments/7lddkf/high_creatinine_what_does_this_mean/")</f>
        <v/>
      </c>
      <c r="G3916" t="inlineStr">
        <is>
          <t>2017-12-21 15:26:49</t>
        </is>
      </c>
      <c r="H3916" t="inlineStr">
        <is>
          <t>Type 1</t>
        </is>
      </c>
    </row>
    <row r="3917">
      <c r="A3917" t="inlineStr">
        <is>
          <t>7lecqm</t>
        </is>
      </c>
      <c r="B3917" t="inlineStr">
        <is>
          <t>Started injecting insulin a couple months ago, had something strange happen tonight...</t>
        </is>
      </c>
      <c r="C3917" t="inlineStr">
        <is>
          <t>I usually inject into my stomach - it hurts less, and the insulin always seems to be more effective. But my stomach has been getting too sore, so to give it a break I started using my thighs. 
Sometimes when I inject, when I pull the needle out a bit of the insulin beads back out, and it's pretty clear. Tonight, when I pulled the needle out, a big drop of white, opaque fluid came out, almost like I popped a pimple. It now feels like I've got a pea sized lump under my skin. Anyone have any idea what happened there?
For reference, I use a regular needle to inject 20 units of Novolin 70/30 twice a day.</t>
        </is>
      </c>
      <c r="D3917" t="n">
        <v>6</v>
      </c>
      <c r="E3917" t="n">
        <v>10</v>
      </c>
      <c r="F3917">
        <f>HYPERLINK("https://www.reddit.com/r/diabetes/comments/7lecqm/started_injecting_insulin_a_couple_months_ago_had/")</f>
        <v/>
      </c>
      <c r="G3917" t="inlineStr">
        <is>
          <t>2017-12-21 18:14:56</t>
        </is>
      </c>
      <c r="H3917" t="inlineStr">
        <is>
          <t>Type 2</t>
        </is>
      </c>
    </row>
    <row r="3918">
      <c r="A3918" t="inlineStr">
        <is>
          <t>7lgxe8</t>
        </is>
      </c>
      <c r="B3918" t="inlineStr">
        <is>
          <t>Feeling sick on Metformin</t>
        </is>
      </c>
      <c r="C3918" t="inlineStr">
        <is>
          <t>Hi all. 
I have been diagnosed with type two diabetes this week and the doctor is concerned that the blood glucose levels have gone from normal (4.5mmol fasting) to high (13mmol fasting) within 4 months and has sent me to a specialist for further tests as he is at a loss as to why the sudden change.
He has put me on Metformin 500 XR only one tablet per day however I have found in the two days I have been talking the medication within an hour of taking it i feel really unwell and shaky. Is this normal or should I be concerned?</t>
        </is>
      </c>
      <c r="D3918" t="n">
        <v>1</v>
      </c>
      <c r="E3918" t="n">
        <v>14</v>
      </c>
      <c r="F3918">
        <f>HYPERLINK("https://www.reddit.com/r/diabetes/comments/7lgxe8/feeling_sick_on_metformin/")</f>
        <v/>
      </c>
      <c r="G3918" t="inlineStr">
        <is>
          <t>2017-12-22 03:38:45</t>
        </is>
      </c>
      <c r="H3918" t="inlineStr">
        <is>
          <t>Type 2</t>
        </is>
      </c>
    </row>
    <row r="3919">
      <c r="A3919" t="inlineStr">
        <is>
          <t>7lhaz2</t>
        </is>
      </c>
      <c r="B3919" t="inlineStr">
        <is>
          <t>Ketosis and ketoacidosis</t>
        </is>
      </c>
      <c r="C3919" t="inlineStr">
        <is>
          <t>If I was eating a low-carb diet, am I losing weight via ketosis or some other mechanism?
I was admitted to hospital with DKA recently, and the diabetic staff nurse asked after my diet-I mostly ate protein salads and meat&amp;amp;two veg stuff. It wasn't always great but I lost some weight. Turns out I may not have been eating adequate carbs and might have been ketotic for a while prior to the DKA (unrelated though).
Is there a guideline for healthy weight loss for a diabetic? Is ketosis the process that's always in effect or is that the more drastic mode that keto dieters are in?
(Hope that makes sense)</t>
        </is>
      </c>
      <c r="D3919" t="n">
        <v>1</v>
      </c>
      <c r="E3919" t="n">
        <v>2</v>
      </c>
      <c r="F3919">
        <f>HYPERLINK("https://www.reddit.com/r/diabetes/comments/7lhaz2/ketosis_and_ketoacidosis/")</f>
        <v/>
      </c>
      <c r="G3919" t="inlineStr">
        <is>
          <t>2017-12-22 05:03:58</t>
        </is>
      </c>
      <c r="H3919" t="inlineStr">
        <is>
          <t>Type 1</t>
        </is>
      </c>
    </row>
    <row r="3920">
      <c r="A3920" t="inlineStr">
        <is>
          <t>7liz84</t>
        </is>
      </c>
      <c r="B3920" t="inlineStr">
        <is>
          <t>Toujeo insulin issues</t>
        </is>
      </c>
      <c r="C3920" t="inlineStr">
        <is>
          <t xml:space="preserve">So about a month ago, I went on Toujeo for my basal (can’t beat $9.99 for three pens). I didn’t get tips with my prescription, so I just drew the insulin out with a syringe. It was working fine. Well, last weekend, I finally got pen tips to use. Two days later, I went into the hospital because I had DKA. I’m out now. Last night, I did my basal before bed, and when I woke up this morning, my Glucometer said “high blood glucose.” I’ve been trying to bring it down to normal, but I still feel awful today. I just need advice. Should I continue doing what I was doing before, or switch to Lantus/ Novolin (Walmart brand, which I’ve also used before)? I know drawing from a pen with a syringe isn’t the best way to go about it, but it seemed to have been working while I was doing it. Thanks in advance everybody. </t>
        </is>
      </c>
      <c r="D3920" t="n">
        <v>1</v>
      </c>
      <c r="E3920" t="n">
        <v>5</v>
      </c>
      <c r="F3920">
        <f>HYPERLINK("https://www.reddit.com/r/diabetes/comments/7liz84/toujeo_insulin_issues/")</f>
        <v/>
      </c>
      <c r="G3920" t="inlineStr">
        <is>
          <t>2017-12-22 09:45:47</t>
        </is>
      </c>
      <c r="H3920" t="inlineStr">
        <is>
          <t>Type 1</t>
        </is>
      </c>
    </row>
    <row r="3921">
      <c r="A3921" t="inlineStr">
        <is>
          <t>7lj5wy</t>
        </is>
      </c>
      <c r="B3921" t="inlineStr">
        <is>
          <t>Type 1: questions about metformin</t>
        </is>
      </c>
      <c r="C3921" t="inlineStr">
        <is>
          <t>I am just starting to take metformin because I am fat and despite low carb my a1c is still a bit too high for me,. If anyone here has experience with it (type 1 only) can you help with these questions?
How long does it take to start working?
I was diagnosed at 12, now I"m 23, I heard it doesn't help much for those of us diagnosed as kids and has better results with adults who got t1 when they were 30-40. Anyone else in my situation and found that it helped?
How much did you have to decrease insulin?
Any severe lows?
weight loss?
How long should you try it before giving up (seems like the side effects are too much for some people)
When do the side effects go away?
Any other helpful advice?
Thanks :)</t>
        </is>
      </c>
      <c r="D3921" t="n">
        <v>3</v>
      </c>
      <c r="E3921" t="n">
        <v>7</v>
      </c>
      <c r="F3921">
        <f>HYPERLINK("https://www.reddit.com/r/diabetes/comments/7lj5wy/type_1_questions_about_metformin/")</f>
        <v/>
      </c>
      <c r="G3921" t="inlineStr">
        <is>
          <t>2017-12-22 10:12:44</t>
        </is>
      </c>
      <c r="H3921" t="inlineStr">
        <is>
          <t>Type 1</t>
        </is>
      </c>
    </row>
    <row r="3922">
      <c r="A3922" t="inlineStr">
        <is>
          <t>7llnnr</t>
        </is>
      </c>
      <c r="B3922" t="inlineStr">
        <is>
          <t>Cigna test strip cost???</t>
        </is>
      </c>
      <c r="C3922" t="inlineStr">
        <is>
          <t>This will take a while to read.  I suspect these changes are coming for all of us though and it might be worth reading to avoid some of this in your own life.  The chat was somewhat amusing.  Something was definitely lost in translation.
I recently changed jobs.  I am a T1 and wear a Medtronic pump.  I use a Contour Link meter.  The copay for my strips is $70.  This is too much for me to pay.  The convenience of having a meter link with the sensor to use the bolus wizard is nice.  It’s not completely necessary.  I chatted with customer care at Cigna.  They told me there would be a $15 copay for a 30 day supply of One Touch strips.  This seems ok.  I will dial them into the pump to give bolus.
I go to the pharmacy and my copay was $40.  I asked if there was a coupon or something and the pharmacist says one is already applied.  I looked online for another but there was none available.  I went back to Cigna.  
The following is my chat with Cigna customer care:
This will take a while to read.  My head almost exploded.
Live Assistance
Chat
  DISCONNECT
Status: Connected
 Fo (Listening)
 Fo: Hi, my name is Formosa. I'll be happy to help you today. 
 McKeddie: Hello. My last chat was disconnected for unknown reasons. 
 Fo: I'm sorry for the disconnection. Let me check the previous chat so you wont repeat, okay? 
 Fo: You were checking for the copay of One touche verio, correct? 
 McKeddie: I'm looking for the actual names of a $15 blood test strip. 
 Fo: I can check that for you. 
 McKeddie: The Verio is $40. Which is too expensive. Though I was told when I originally asked that One Touch is a "preferred brand" and the cost was $15. I assume that they didn't specify a type of One Touch meter. You can probably check that too. 
 Fo: Let me double check. 
 McKeddie: ok. 
 McKeddie: I'm just going to randomly type things so this doesn't disconnect. 
 Fo: Sure. 
 Fo: Thank you for waiting. 
 Fo: You were right on your statement that they didn't specify a type of One Touch meter. I'm sorry for that. 
 Fo: We offer OneTouch Ultra and OneTouch Verio as the preferred test strips since we have a free glucometer through Johnson and Johnson. 
 McKeddie: This has been a complete waste of my time. I'm going to have to do the transaction again. I will now have to call my doctor and specify a new meter type. 
 McKeddie: One Touch Verio was a $40 copay. That's what my doctor called in. 
 Fo: It depends on the quantity. 
 Brian McKeddie: $40 is not $15. Which strips cost $15? 
 Fo: How many strips do you use in a day? 
 McKeddie: I use 4 in a day. 
 Fo: I am under the impression that the searching was done on a 30 day supply and not 90 days but let me double check. 
 McKeddie: It was a 30 day supply at the pharmacy. The copay was $40. 
 Fo: I'm still checking. 
 McKeddie: I'm still waiting. 
 Fo: Can you verify when did the doctor called in? 
 McKeddie: The doctor called in yesterday afternoon. Immediately after I requested they call in a new prescription for me. 
 McKeddie: They called in for a Verio Meter and One Touch test strips. 
 McKeddie: I have 6 strips remaining going into a holiday weekend. This is not good. 
 Fo: I'm really sorry for the trouble. 
 Fo: I double check with my support that if it's up to 30 day supply only that a copay of $40.00 will apply. 
 McKeddie: Is there another option? I'm still waiting. 
 Fo: There is no interaction that was noted yesterday. 
 Fo: I do not see a $15.00 copay on your benefit. 
 McKeddie: I didn't buy strips because they were $40. What are we missing here?? I didn't buy strips that I need because they were too expensive. I'm looking for a lower cost alternative. 
 Fo: Let me check for alternatives. 
 McKeddie: Ok. I thought we were working on that a while ago. 
 Fo: I'm still checking. 
 Fo: I'm doing some testing on my end. I have tested 3 other test strips yet the copay is higher than One touch. Please bear with me. 
 McKeddie: Ok. I will need them to be $15. There's not just a list to look at???? 
 Fo: I'll try me best to look for a $15.00 
 Fo: If you are using mycigna. It is available to search for other test strips. Let me give you the link. 
 Fo: https://www.cigna.com/prescription-drug-list?consumerID=cigna&amp;amp;indicator=nonIFP&amp;amp;redir=/secure404 
 McKeddie: Are you unable to find a generic that will cost me $15? 
 Fo: Based on that list, only ONETOUCH ULTRA BLUE and ONETOUCH VERIO TEST STRIPS are preferred and the rest are not covered. 
 Fo: Sorry, I am unable to look for a $15.00 copay for other test strips. 
 McKeddie: Preferred appears to not mean $15. 
 McKeddie: Is that accurate? 
 Fo: Which accurate? My statement or the test strips? 
 McKeddie: The "Preferred" test strips do not have a $15 copay. Those would be a different kind that is thus far unknown to both of us. 
 Fo: My statement is accurate. The Preferred test strips do not have a $15 copay. It is stated on your set of benefit that approved by your employer that it's a copay of $40.00. 
 McKeddie: Ok. That's fine. I already knew that though because I went to pick them up yesterday. I have now been asking for about an hour for you to find me strips that will have a $15 copay. 
 Fo: There is really none that will cost $15 copay. 
 Fo: Are we still connected? 
 McKeddie: Yes.. 
 Fo: I searched for 10 test strips and the copays are higher that the On touch verio. As much as I wanted to give you a copay of $15 yet I can only give you accurate information. 
 McKeddie: Ok. I don't have this kind of time. I copied a transcript of this chat to an email to your customer support. This hasn't been a very good use of time. I'm exactly where I was before I started chatting with you. I have no idea how to keep my health car costs to a minimum. 
 McKeddie: Thank you for the assistance. Have a good day.
I changed this person’s name.  It should probably be noted that it would take 5 minutes minimum between messages.  I know the guy was just doing his job.  I suspect he was trying to search for something to suit my needs.  I appreciate that.  He’s not equipped to do his job correct. 
Does anyone know what a generic strip is on Cigna PPO??
TL/DR Cigna is shit.  What is a generic test strip for them??</t>
        </is>
      </c>
      <c r="D3922" t="n">
        <v>1</v>
      </c>
      <c r="E3922" t="n">
        <v>6</v>
      </c>
      <c r="F3922">
        <f>HYPERLINK("https://www.reddit.com/r/diabetes/comments/7llnnr/cigna_test_strip_cost/")</f>
        <v/>
      </c>
      <c r="G3922" t="inlineStr">
        <is>
          <t>2017-12-22 17:08:18</t>
        </is>
      </c>
      <c r="H3922" t="inlineStr">
        <is>
          <t>Type 1</t>
        </is>
      </c>
    </row>
    <row r="3923">
      <c r="A3923" t="inlineStr">
        <is>
          <t>7llohx</t>
        </is>
      </c>
      <c r="B3923" t="inlineStr">
        <is>
          <t>Has anyone used the Dario glucose monitor?</t>
        </is>
      </c>
      <c r="C3923" t="inlineStr">
        <is>
          <t>So for my birthday I got a [Dario](https://www.amazon.com/Dario-Blood-Glucose-Monitoring-System/dp/B01ENPRKU0) glucose monitor and I keep finding differing reviews.
Have any of you used this glucose monitor? Is it accurate?</t>
        </is>
      </c>
      <c r="D3923" t="n">
        <v>0</v>
      </c>
      <c r="E3923" t="n">
        <v>1</v>
      </c>
      <c r="F3923">
        <f>HYPERLINK("https://www.reddit.com/r/diabetes/comments/7llohx/has_anyone_used_the_dario_glucose_monitor/")</f>
        <v/>
      </c>
      <c r="G3923" t="inlineStr">
        <is>
          <t>2017-12-22 17:12:44</t>
        </is>
      </c>
      <c r="H3923" t="inlineStr">
        <is>
          <t>Type 1</t>
        </is>
      </c>
    </row>
    <row r="3924">
      <c r="A3924" t="inlineStr">
        <is>
          <t>7lvcqi</t>
        </is>
      </c>
      <c r="B3924" t="inlineStr">
        <is>
          <t>Omnipod vs 670g</t>
        </is>
      </c>
      <c r="C3924" t="inlineStr">
        <is>
          <t xml:space="preserve">Hi!  So I’m not really interested in getting a pump right now (I appreciate everyone that tells me how much easier it will make my life, but I really like doing injections and it works really well for me, so I’m sticking with this for a while!) but these two are the kinds that I would be most interested in. I like the omnipod for the cordless nature; it would be easy to wear on my arm like my dex or really anywhere. I like that the 670g is closed loop (sub question: does it use the new medtronic cgm? Ive heard that one is eons better than their last one) and while I know there’s an adjustment period I like the auto mode and not having to worry so much long term. Has anyone tried both? What are other people’s opinions? </t>
        </is>
      </c>
      <c r="D3924" t="n">
        <v>4</v>
      </c>
      <c r="E3924" t="n">
        <v>8</v>
      </c>
      <c r="F3924">
        <f>HYPERLINK("https://www.reddit.com/r/diabetes/comments/7lvcqi/omnipod_vs_670g/")</f>
        <v/>
      </c>
      <c r="G3924" t="inlineStr">
        <is>
          <t>2017-12-24 06:22:08</t>
        </is>
      </c>
      <c r="H3924" t="inlineStr">
        <is>
          <t>Type 1</t>
        </is>
      </c>
    </row>
    <row r="3925">
      <c r="A3925" t="inlineStr">
        <is>
          <t>7lwqvx</t>
        </is>
      </c>
      <c r="B3925" t="inlineStr">
        <is>
          <t>Lump after removing omnipod</t>
        </is>
      </c>
      <c r="C3925" t="inlineStr">
        <is>
          <t>Hey guys, can't get hold of a doctor right now so thought I'd ask here. I removed an omnipod pump about 4 days ago and now I have quite a large red lump where the canula  was and it's incredibly painful, it's my stomach and I feel it every time I stand up.
Does anyone know what this is or knows how to help it? 
Thanks!!</t>
        </is>
      </c>
      <c r="D3925" t="n">
        <v>1</v>
      </c>
      <c r="E3925" t="n">
        <v>4</v>
      </c>
      <c r="F3925">
        <f>HYPERLINK("https://www.reddit.com/r/diabetes/comments/7lwqvx/lump_after_removing_omnipod/")</f>
        <v/>
      </c>
      <c r="G3925" t="inlineStr">
        <is>
          <t>2017-12-24 10:47:50</t>
        </is>
      </c>
      <c r="H3925" t="inlineStr">
        <is>
          <t>Type 1</t>
        </is>
      </c>
    </row>
    <row r="3926">
      <c r="A3926" t="inlineStr">
        <is>
          <t>7m06wh</t>
        </is>
      </c>
      <c r="B3926" t="inlineStr">
        <is>
          <t>Anyone else experience a sense of motivation when low?</t>
        </is>
      </c>
      <c r="C3926" t="inlineStr">
        <is>
          <t xml:space="preserve">Whenever I have a low during the night, I immediately feel the urge to look up things I never usually would. For example, the other night I found myself Googling now to buy and sell stocks lol. On other occasions, I find myself researching new weightlifting routines. I find it really strange...almost euphoric.
</t>
        </is>
      </c>
      <c r="D3926" t="n">
        <v>4</v>
      </c>
      <c r="E3926" t="n">
        <v>9</v>
      </c>
      <c r="F3926">
        <f>HYPERLINK("https://www.reddit.com/r/diabetes/comments/7m06wh/anyone_else_experience_a_sense_of_motivation_when/")</f>
        <v/>
      </c>
      <c r="G3926" t="inlineStr">
        <is>
          <t>2017-12-24 23:13:46</t>
        </is>
      </c>
      <c r="H3926" t="inlineStr">
        <is>
          <t>Type 1</t>
        </is>
      </c>
    </row>
    <row r="3927">
      <c r="A3927" t="inlineStr">
        <is>
          <t>7m11s3</t>
        </is>
      </c>
      <c r="B3927" t="inlineStr">
        <is>
          <t>How long to keep testing 3 times a day</t>
        </is>
      </c>
      <c r="C3927" t="inlineStr">
        <is>
          <t xml:space="preserve">Hi all.
i have been on metformin for about a week now, i am testing a few times a day and finding the blood glucose seems to be between 4mmol (72mg/dl) and seems to peek at 9mmol (162mg/dl) if i have had food, depending on what i have to eat. it is trending downwards and i have not experienced another low for a few days, they dont seem to go below 4 now. my fasting levels after waking up seem to be coming down too, if i am consistently getting normal readings ( if i test within 2 hours of eating my blood i only see it as high as 9mmol) do i need to continue to test 3 times a day? 
(i was honestly surprised with how low the readings where these last couple of days because we had our Christmas on the 24th and the food was all high in sugar)
My partner has also not mentioned me stopping breathing in my sleep the last couple of nights either (again this was something that started when i began taking metformin </t>
        </is>
      </c>
      <c r="D3927" t="n">
        <v>2</v>
      </c>
      <c r="E3927" t="n">
        <v>7</v>
      </c>
      <c r="F3927">
        <f>HYPERLINK("https://www.reddit.com/r/diabetes/comments/7m11s3/how_long_to_keep_testing_3_times_a_day/")</f>
        <v/>
      </c>
      <c r="G3927" t="inlineStr">
        <is>
          <t>2017-12-25 03:57:01</t>
        </is>
      </c>
      <c r="H3927" t="inlineStr">
        <is>
          <t>Type 2</t>
        </is>
      </c>
    </row>
    <row r="3928">
      <c r="A3928" t="inlineStr">
        <is>
          <t>7m5ye6</t>
        </is>
      </c>
      <c r="B3928" t="inlineStr">
        <is>
          <t>Question about my new Dexcom G5</t>
        </is>
      </c>
      <c r="C3928" t="inlineStr">
        <is>
          <t xml:space="preserve">So I recently upgraded my dexcom to a G5 and have a question about connecting it to my phone. I have the app and connected the sensor, however, when my phone is not even a foot away it loses signal and does not display my blood sugar. Is there a problem with my sensor or does my phone have to stay extremely close to be able to work? </t>
        </is>
      </c>
      <c r="D3928" t="n">
        <v>3</v>
      </c>
      <c r="E3928" t="n">
        <v>5</v>
      </c>
      <c r="F3928">
        <f>HYPERLINK("https://www.reddit.com/r/diabetes/comments/7m5ye6/question_about_my_new_dexcom_g5/")</f>
        <v/>
      </c>
      <c r="G3928" t="inlineStr">
        <is>
          <t>2017-12-25 21:24:55</t>
        </is>
      </c>
      <c r="H3928" t="inlineStr">
        <is>
          <t>Type 1</t>
        </is>
      </c>
    </row>
    <row r="3929">
      <c r="A3929" t="inlineStr">
        <is>
          <t>7mc6h9</t>
        </is>
      </c>
      <c r="B3929" t="inlineStr">
        <is>
          <t>Can someone help me figure out this pH scale?</t>
        </is>
      </c>
      <c r="C3929" t="inlineStr">
        <is>
          <t>I've been ill for a couple of days and I did a ketone test, the scale on the bottle said I have a "small"amount of ketones. I feel fine except for me being a little nauseous and a bit dizzy in the head.
[https://i.imgur.com/oKiBuHV.jpg](https://i.imgur.com/oKiBuHV.jpg)
I tested the one that says small. Is that this good or bad? I've had ketoacidosis ketoacidosis before and the nauseousness and headache reminds me of that. I'll go the hospital if I have to but I don't want to if I don't have to.</t>
        </is>
      </c>
      <c r="D3929" t="n">
        <v>10</v>
      </c>
      <c r="E3929" t="n">
        <v>8</v>
      </c>
      <c r="F3929">
        <f>HYPERLINK("https://www.reddit.com/r/diabetes/comments/7mc6h9/can_someone_help_me_figure_out_this_ph_scale/")</f>
        <v/>
      </c>
      <c r="G3929" t="inlineStr">
        <is>
          <t>2017-12-26 18:27:47</t>
        </is>
      </c>
      <c r="H3929" t="inlineStr">
        <is>
          <t>Type 1</t>
        </is>
      </c>
    </row>
    <row r="3930">
      <c r="A3930" t="inlineStr">
        <is>
          <t>7mdb3w</t>
        </is>
      </c>
      <c r="B3930" t="inlineStr">
        <is>
          <t>Can type 2's have low c-peptide lab results?</t>
        </is>
      </c>
      <c r="C3930" t="inlineStr">
        <is>
          <t>Hi, 
As a type 2, can you have a low c-peptide lab results? If so, does it mean  that your pancreas just crapped out from working too hard to produce excess insulin to compensate for the insulin resistance?</t>
        </is>
      </c>
      <c r="D3930" t="n">
        <v>6</v>
      </c>
      <c r="E3930" t="n">
        <v>13</v>
      </c>
      <c r="F3930">
        <f>HYPERLINK("https://www.reddit.com/r/diabetes/comments/7mdb3w/can_type_2s_have_low_cpeptide_lab_results/")</f>
        <v/>
      </c>
      <c r="G3930" t="inlineStr">
        <is>
          <t>2017-12-26 22:14:29</t>
        </is>
      </c>
      <c r="H3930" t="inlineStr">
        <is>
          <t>Type 2</t>
        </is>
      </c>
    </row>
    <row r="3931">
      <c r="A3931" t="inlineStr">
        <is>
          <t>7mei3a</t>
        </is>
      </c>
      <c r="B3931" t="inlineStr">
        <is>
          <t>Ketogenic Diet/ Type 1/ Hashimotos Disease?</t>
        </is>
      </c>
      <c r="C3931" t="inlineStr">
        <is>
          <t xml:space="preserve">I am curious if the ketogenic diet will work well for me or not. I have been type 1 since I was 5, I am now 18. I was diagnosed with Hashimotos disease as well at 11. Between the years of 11 and 18, I went from 120lbs now to current weight 210lbs. I am 5’2 and female. Any suggestions? </t>
        </is>
      </c>
      <c r="D3931" t="n">
        <v>9</v>
      </c>
      <c r="E3931" t="n">
        <v>13</v>
      </c>
      <c r="F3931">
        <f>HYPERLINK("https://www.reddit.com/r/diabetes/comments/7mei3a/ketogenic_diet_type_1_hashimotos_disease/")</f>
        <v/>
      </c>
      <c r="G3931" t="inlineStr">
        <is>
          <t>2017-12-27 03:25:57</t>
        </is>
      </c>
      <c r="H3931" t="inlineStr">
        <is>
          <t>Type 1</t>
        </is>
      </c>
    </row>
    <row r="3932">
      <c r="A3932" t="inlineStr">
        <is>
          <t>7mg29l</t>
        </is>
      </c>
      <c r="B3932" t="inlineStr">
        <is>
          <t>MDI - Injecting into Muscle (on purpose)</t>
        </is>
      </c>
      <c r="C3932" t="inlineStr">
        <is>
          <t xml:space="preserve">Just finished reading Think Like a Pancreas by Gary Scheiner after seeing it recommended here a few times. Great overview, and everything seems to ring true with what I've learned from this sub, with some good advice on fine-tuning basal/bolus calculations.
New information to me was that you can inject bolus insulin into muscle for faster effect (and same total duration), but it's more painful. Does anyone do this regularly? Could this be an alternative when you don't manage to bolus far enough in advance? Or is it so painful it's not worth it? What muscle area do you use? Would it be accurate to compare to, say, the flu shot in your upper arm? Very curious if anyone does this as a technique! </t>
        </is>
      </c>
      <c r="D3932" t="n">
        <v>14</v>
      </c>
      <c r="E3932" t="n">
        <v>9</v>
      </c>
      <c r="F3932">
        <f>HYPERLINK("https://www.reddit.com/r/diabetes/comments/7mg29l/mdi_injecting_into_muscle_on_purpose/")</f>
        <v/>
      </c>
      <c r="G3932" t="inlineStr">
        <is>
          <t>2017-12-27 08:39:09</t>
        </is>
      </c>
      <c r="H3932" t="inlineStr">
        <is>
          <t>Type 1</t>
        </is>
      </c>
    </row>
    <row r="3933">
      <c r="A3933" t="inlineStr">
        <is>
          <t>7mj2tm</t>
        </is>
      </c>
      <c r="B3933" t="inlineStr">
        <is>
          <t>What a weird thing to be excited about...</t>
        </is>
      </c>
      <c r="C3933" t="inlineStr">
        <is>
          <t>Long story short, was originally misdiagnosed as a T2, meds weren't working so my doctor thinks it is probably LADA. After 2 months of a BS consistently in the 200's (on metformin and Lantus) she is finally referring me to see an Endocrinologist. I've never been so excited about a doctor's appointment, but I am so ready to not feel like crap all the time. Just had to share!</t>
        </is>
      </c>
      <c r="D3933" t="n">
        <v>3</v>
      </c>
      <c r="E3933" t="n">
        <v>7</v>
      </c>
      <c r="F3933">
        <f>HYPERLINK("https://www.reddit.com/r/diabetes/comments/7mj2tm/what_a_weird_thing_to_be_excited_about/")</f>
        <v/>
      </c>
      <c r="G3933" t="inlineStr">
        <is>
          <t>2017-12-27 16:34:57</t>
        </is>
      </c>
      <c r="H3933" t="inlineStr">
        <is>
          <t>Type 1</t>
        </is>
      </c>
    </row>
    <row r="3934">
      <c r="A3934" t="inlineStr">
        <is>
          <t>7mne16</t>
        </is>
      </c>
      <c r="B3934" t="inlineStr">
        <is>
          <t>Wildly inconsistent blood readings (in the same minute)</t>
        </is>
      </c>
      <c r="C3934" t="inlineStr">
        <is>
          <t xml:space="preserve">Newly diagnosed t2. I have an Easy Touch meter. I washed my hands thoroughly in warm water, milked the finger and poked.
It came back too low to register. So I tried again with a new strip, it was 48. So I tried to again to be sure and it was 96. And again 187. This was yesterday. 
This morning, I did that same thing.  It read 172. I used a new strip to test again, 126, then 82, then 80. 
Am I doing something wrong? I don't feel like I can trust the meter at this point. I don't have any control fluid because the kit didn't come with it. 
Thanks in advance for any guidance.   </t>
        </is>
      </c>
      <c r="D3934" t="n">
        <v>2</v>
      </c>
      <c r="E3934" t="n">
        <v>15</v>
      </c>
      <c r="F3934">
        <f>HYPERLINK("https://www.reddit.com/r/diabetes/comments/7mne16/wildly_inconsistent_blood_readings_in_the_same/")</f>
        <v/>
      </c>
      <c r="G3934" t="inlineStr">
        <is>
          <t>2017-12-28 07:57:58</t>
        </is>
      </c>
      <c r="H3934" t="inlineStr">
        <is>
          <t>Type 2</t>
        </is>
      </c>
    </row>
    <row r="3935">
      <c r="A3935" t="inlineStr">
        <is>
          <t>7mnl6v</t>
        </is>
      </c>
      <c r="B3935" t="inlineStr">
        <is>
          <t>Jus our average lil fam'ly drama, I guess... (Just a rant)</t>
        </is>
      </c>
      <c r="C3935" t="inlineStr">
        <is>
          <t>**The story so far:**
I have type 2 diabetes. My father, after a stroke, is wheelchair bound, and he now has some weird autoimmune disease. Itching and high blood pressure if he eats the wrong foods. We're not entirely certain what those foods are, but it seems to be mostly just histamine and sugar... whatever the reason, leaving out all that stuff seems to do the trick.
My father lives with his wife, my stepmother. My sister hates that woman with a passion.
**In this week's episode:**
On Dec 26th, there was a family gathering. My sister brought a homemade cake. Completely histamine free, lo carb, and sugar free, so we all could eat it.
I ate two pieces, and my father ate a huge slice.
Later that night, my father had the worst allergic reaction.
The next morning, I took my glucose, and it turned out to be almost 180. That's the highest I've ever had since my DX. I rarely ever hit 140, not to mention 160 or more.
That damn cake is the only thing that both of us ate. I honestly tried to find any other food that would justify that reaction, but nothing seems to come to mind.
**Right now**:
So, later tonight, I will read my glucometer, then eat another slice, wait an hour, take a read, wait another hour, take another read.
If my sugar goes high again.... shit I hate to say it, but that would mean that my sister knowingly risked both my father's health (that shit could well put him to death) and mine (yeah, it's not REALLY bad, but imagine if I had eaten the rest of that damn cake, I'd probably be at 300 or so).
Just to "get back at" our stepmother, who, frankly, never did anything to deserve her spite. And if that turns out to be the case (which still isn't a certainty by a long shot, for sure), then I'm not quite sure how I'll handle it.
Jeeez.
I seriously have to deal with that shit, on top of a strict diet and medication and daily workouts.
Yeah. I'm not ACTUALLY complaining, am I? I got the best woman I could hope for, I make some good money, and goddammit I'm on holidays till Jan 8th!
Edit: some words</t>
        </is>
      </c>
      <c r="D3935" t="n">
        <v>1</v>
      </c>
      <c r="E3935" t="n">
        <v>15</v>
      </c>
      <c r="F3935">
        <f>HYPERLINK("https://www.reddit.com/r/diabetes/comments/7mnl6v/jus_our_average_lil_famly_drama_i_guess_just_a/")</f>
        <v/>
      </c>
      <c r="G3935" t="inlineStr">
        <is>
          <t>2017-12-28 08:29:26</t>
        </is>
      </c>
      <c r="H3935" t="inlineStr">
        <is>
          <t>Type 2</t>
        </is>
      </c>
    </row>
    <row r="3936">
      <c r="A3936" t="inlineStr">
        <is>
          <t>7mnn56</t>
        </is>
      </c>
      <c r="B3936" t="inlineStr">
        <is>
          <t>How can I help my boyfriend (T1) take better care of his health?</t>
        </is>
      </c>
      <c r="C3936" t="inlineStr">
        <is>
          <t>My boyfriend was diagnosed when he was a toddler and is 25 now. We have been dating for 2.5 years so obviously he knows way more about diabetes in general and especially his own. 
His numbers aren’t ideal though and I know he doesn’t do as much as he should. He told me he has never had an A1C lower than 8. From what he has told me, his parents weren’t really strict with it (estimating carbs instead of measuring and didn’t check his blood sugar multiple times a day.) These habits have carried over throughout his life and mixed with having diabetes for so long and just being over it. He never checks his sugar. The last time his numbers were checked by someone other than a doctor was probably in July when I forced him to before he ran a race. He also doesn’t pre-bolus before meals and my family often eats high-carb, pasta based meals. 
I don’t want to become a nagging girlfriend but I worry for his health. I want to be with him for the rest of our lives and I’m scared that his life is going to be significantly shorter than mine with a lot of complications. I have mentioned to him that I’m scared for his future but I know there is no way I can force him to do anything.
Has anyone been in this situation and found a way to help foster good habits?</t>
        </is>
      </c>
      <c r="D3936" t="n">
        <v>15</v>
      </c>
      <c r="E3936" t="n">
        <v>35</v>
      </c>
      <c r="F3936">
        <f>HYPERLINK("https://www.reddit.com/r/diabetes/comments/7mnn56/how_can_i_help_my_boyfriend_t1_take_better_care/")</f>
        <v/>
      </c>
      <c r="G3936" t="inlineStr">
        <is>
          <t>2017-12-28 08:37:57</t>
        </is>
      </c>
      <c r="H3936" t="inlineStr">
        <is>
          <t>Type 1</t>
        </is>
      </c>
    </row>
    <row r="3937">
      <c r="A3937" t="inlineStr">
        <is>
          <t>7mo9es</t>
        </is>
      </c>
      <c r="B3937" t="inlineStr">
        <is>
          <t>What do you look for in an Endocrinologist ??</t>
        </is>
      </c>
      <c r="C3937" t="inlineStr">
        <is>
          <t>Hi All, moved to a new city and I am on the hunt for a new endo!! 
What do you all look for in an endo? How would you go about finding a new one?? 
And of course, if you have any recommendations for a endo in the pacific northwest id love to hear them :)</t>
        </is>
      </c>
      <c r="D3937" t="n">
        <v>6</v>
      </c>
      <c r="E3937" t="n">
        <v>13</v>
      </c>
      <c r="F3937">
        <f>HYPERLINK("https://www.reddit.com/r/diabetes/comments/7mo9es/what_do_you_look_for_in_an_endocrinologist/")</f>
        <v/>
      </c>
      <c r="G3937" t="inlineStr">
        <is>
          <t>2017-12-28 10:11:37</t>
        </is>
      </c>
      <c r="H3937" t="inlineStr">
        <is>
          <t>Type 1</t>
        </is>
      </c>
    </row>
    <row r="3938">
      <c r="A3938" t="inlineStr">
        <is>
          <t>7mpyqq</t>
        </is>
      </c>
      <c r="B3938" t="inlineStr">
        <is>
          <t>13 year old Type 1. Huge spikes at meal times</t>
        </is>
      </c>
      <c r="C3938" t="inlineStr">
        <is>
          <t>Hi All,
I'd like to preface that I know this is a conversation to be had with a medical professional, that any recommendations and changes should be discussed with them etc etc
But I am curious about your experiences.
Current dosages, ~16 lantus once daily, ~1:6-1:8 ratio of humalog at meal times.
Huge spikes at meal times are experienced (250-275), sometimes with bg lingering &amp;gt;200 until additional insulin corrects it.
Typical meals range from 20-50g of carbs, with the occasional unhealthy 100g pig out.
With the dosages  and numbers above, does anything sound out of ordinary? Dosages, ratios?</t>
        </is>
      </c>
      <c r="D3938" t="n">
        <v>5</v>
      </c>
      <c r="E3938" t="n">
        <v>7</v>
      </c>
      <c r="F3938">
        <f>HYPERLINK("https://www.reddit.com/r/diabetes/comments/7mpyqq/13_year_old_type_1_huge_spikes_at_meal_times/")</f>
        <v/>
      </c>
      <c r="G3938" t="inlineStr">
        <is>
          <t>2017-12-28 14:28:15</t>
        </is>
      </c>
      <c r="H3938" t="inlineStr">
        <is>
          <t>Type 1</t>
        </is>
      </c>
    </row>
    <row r="3939">
      <c r="A3939" t="inlineStr">
        <is>
          <t>7mrsk7</t>
        </is>
      </c>
      <c r="B3939" t="inlineStr">
        <is>
          <t>There's an app for everything</t>
        </is>
      </c>
      <c r="C3939" t="inlineStr">
        <is>
          <t xml:space="preserve">So I was diagnosed T2 this year and was curious if there are any apps/websites anyone finds useful for tracking blood sugar levels, carbs/calories, etc
Personally, I've just been using a written journal but there seems to be an app for everything and I was wondering how others manage. </t>
        </is>
      </c>
      <c r="D3939" t="n">
        <v>2</v>
      </c>
      <c r="E3939" t="n">
        <v>6</v>
      </c>
      <c r="F3939">
        <f>HYPERLINK("https://www.reddit.com/r/diabetes/comments/7mrsk7/theres_an_app_for_everything/")</f>
        <v/>
      </c>
      <c r="G3939" t="inlineStr">
        <is>
          <t>2017-12-28 19:41:22</t>
        </is>
      </c>
      <c r="H3939" t="inlineStr">
        <is>
          <t>Type 2</t>
        </is>
      </c>
    </row>
    <row r="3940">
      <c r="A3940" t="inlineStr">
        <is>
          <t>7mu0uq</t>
        </is>
      </c>
      <c r="B3940" t="inlineStr">
        <is>
          <t>Advice about Sudden Increase in Blood Sugar</t>
        </is>
      </c>
      <c r="C3940" t="inlineStr">
        <is>
          <t xml:space="preserve">Hi everyone, 
A little background on me: I was diagnosed with T1 in August and still honeymooning. At diagnosis, my HbA1C was 13.1. Good times. I was trucking along with numbers hovering in the 90-130 range, eating low carb, and just doing basal injections (Tresiba). A few days ago my fasting bg shot up to nearly 200, which I know isn't crazy high, but is really high for me. I've been doing basically the same stuff, with exception to skipping my lunch time walk because it's freezing outside. I am still relatively active (take the stairs, park far away to walk extra, etc.). 
So, I've been testing more frequently, and I've been trying to do correction boluses, per the chart I was given. My endo suggested I inject one unit of Novolog to bring my bg down by 50 mg/dl, but my bg has not budged AT ALL. I kept waiting for a cold to come on, thinking that is why it might be high, but it hasn't. My food intake is the same in quality and quantity. I've considered my menstrual cycle, but it only spikes during the days before menstruation (I'm at the beginning of my cycle now). Maybe I'm not honeymooning anymore? Maybe I need to adjust my basal rate? Maybe I need to sit in the corner and ugly cry, while eating an entire box of chocolates? What gives?
I have an appointment with my endo in a little over a week. I'm just looking for some anecdotal advice from those who have experienced this. Any advice is appreciated. </t>
        </is>
      </c>
      <c r="D3940" t="n">
        <v>3</v>
      </c>
      <c r="E3940" t="n">
        <v>13</v>
      </c>
      <c r="F3940">
        <f>HYPERLINK("https://www.reddit.com/r/diabetes/comments/7mu0uq/advice_about_sudden_increase_in_blood_sugar/")</f>
        <v/>
      </c>
      <c r="G3940" t="inlineStr">
        <is>
          <t>2017-12-29 04:23:18</t>
        </is>
      </c>
      <c r="H3940" t="inlineStr">
        <is>
          <t>Type 1</t>
        </is>
      </c>
    </row>
    <row r="3941">
      <c r="A3941" t="inlineStr">
        <is>
          <t>7muv78</t>
        </is>
      </c>
      <c r="B3941" t="inlineStr">
        <is>
          <t>Anyone with thyroid issue first before being diagnosed with diabetes</t>
        </is>
      </c>
      <c r="C3941" t="inlineStr">
        <is>
          <t>I was diagnosed with hyperthyroidism-Graves disease in 2012-2013. At first I was put on carbimazole and propanolol, but because of the joint pain and muscle cramps, doctor refusing to listen to my concerns, plus some family issues, I stopped taking medications.
December 24th this year. I got send to the ICU after my heartrate was going 200/min. This time, I was diagnosed with diabetes mellitus type 2 too. Though the doctor had told me Im insulin resistant bcoz of my graves, I'm still worried I'll need to be on insulin for the rest of my life. The endo assigned to be is as helpful as a shredded map, not answering my questions.
Been googling the links for GD and diabetes since i got home on the 27th, but what I really need is 1st hand account on people with the same conditions. I'm not comfortable with the idea of lifelong insulin injections, which I am currently doing. I don't think I'm comfortable being diabetic when I did everything I can to be of an acceptable weight after being obese since teens.
Really need help, as I'm really wondering whether the diabetes is reversible once I'm euthyroid.</t>
        </is>
      </c>
      <c r="D3941" t="n">
        <v>8</v>
      </c>
      <c r="E3941" t="n">
        <v>14</v>
      </c>
      <c r="F3941">
        <f>HYPERLINK("https://www.reddit.com/r/diabetes/comments/7muv78/anyone_with_thyroid_issue_first_before_being/")</f>
        <v/>
      </c>
      <c r="G3941" t="inlineStr">
        <is>
          <t>2017-12-29 07:19:38</t>
        </is>
      </c>
      <c r="H3941" t="inlineStr">
        <is>
          <t>Type 2</t>
        </is>
      </c>
    </row>
    <row r="3942">
      <c r="A3942" t="inlineStr">
        <is>
          <t>7mwd85</t>
        </is>
      </c>
      <c r="B3942" t="inlineStr">
        <is>
          <t>Animus ping to miniMed 670G, having issues with insertion site. Anyone else having this problem?</t>
        </is>
      </c>
      <c r="C3942" t="inlineStr">
        <is>
          <t>I'm using a mio infusion set, 6mm (same equivalent to the animus set I used and never had problems with.) now when I use the mio I keep getting occlusion errors and when I pull the site out it's a bit bloody. Does anyone else have this issue? Should I switch to the 9mm? Not sure how my animus set was fine and this one is becoming so difficult. Any advice would be welcome. Thank you! 
Just as a rant, I LOVED my animus pump and wouldn't have switched if it hadn't gone out of business. Cue the sad panda 😢</t>
        </is>
      </c>
      <c r="D3942" t="n">
        <v>1</v>
      </c>
      <c r="E3942" t="n">
        <v>17</v>
      </c>
      <c r="F3942">
        <f>HYPERLINK("https://www.reddit.com/r/diabetes/comments/7mwd85/animus_ping_to_minimed_670g_having_issues_with/")</f>
        <v/>
      </c>
      <c r="G3942" t="inlineStr">
        <is>
          <t>2017-12-29 11:18:20</t>
        </is>
      </c>
      <c r="H3942" t="inlineStr">
        <is>
          <t>Type 1</t>
        </is>
      </c>
    </row>
    <row r="3943">
      <c r="A3943" t="inlineStr">
        <is>
          <t>7mwo0s</t>
        </is>
      </c>
      <c r="B3943" t="inlineStr">
        <is>
          <t>How often do you meet with your endo?</t>
        </is>
      </c>
      <c r="C3943" t="inlineStr">
        <is>
          <t>Apparently I'm supposed to meet with mine every 6 months? This feels incredibly excessive. :(</t>
        </is>
      </c>
      <c r="D3943" t="n">
        <v>6</v>
      </c>
      <c r="E3943" t="n">
        <v>28</v>
      </c>
      <c r="F3943">
        <f>HYPERLINK("https://www.reddit.com/r/diabetes/comments/7mwo0s/how_often_do_you_meet_with_your_endo/")</f>
        <v/>
      </c>
      <c r="G3943" t="inlineStr">
        <is>
          <t>2017-12-29 12:05:16</t>
        </is>
      </c>
      <c r="H3943" t="inlineStr">
        <is>
          <t>Type 1</t>
        </is>
      </c>
    </row>
    <row r="3944">
      <c r="A3944" t="inlineStr">
        <is>
          <t>7n1ur6</t>
        </is>
      </c>
      <c r="B3944" t="inlineStr">
        <is>
          <t>Cutting refined sugar with Type 1... Anyone have any experience with this?</t>
        </is>
      </c>
      <c r="C3944" t="inlineStr">
        <is>
          <t xml:space="preserve">I'd really like to cut refined sugar from my diet (as much as possible) in an effort to start living a healthier lifestyle and lose some weight, but I'm not sure if/how this is possible as a T1D. Anyone have any personal experiences with this? How did you do it? </t>
        </is>
      </c>
      <c r="D3944" t="n">
        <v>5</v>
      </c>
      <c r="E3944" t="n">
        <v>31</v>
      </c>
      <c r="F3944">
        <f>HYPERLINK("https://www.reddit.com/r/diabetes/comments/7n1ur6/cutting_refined_sugar_with_type_1_anyone_have_any/")</f>
        <v/>
      </c>
      <c r="G3944" t="inlineStr">
        <is>
          <t>2017-12-30 06:41:53</t>
        </is>
      </c>
      <c r="H3944" t="inlineStr">
        <is>
          <t>Type 1</t>
        </is>
      </c>
    </row>
    <row r="3945">
      <c r="A3945" t="inlineStr">
        <is>
          <t>7n5sbx</t>
        </is>
      </c>
      <c r="B3945" t="inlineStr">
        <is>
          <t>Medtronic sensor issues</t>
        </is>
      </c>
      <c r="C3945" t="inlineStr">
        <is>
          <t xml:space="preserve">Having weird sensor issues. In my pump sensor settings, 'sensor connections' is greyed out. The sensor is currently on. Any ideas?
Edit: my pump deleted all connected devices. No idea how this happened </t>
        </is>
      </c>
      <c r="D3945" t="n">
        <v>1</v>
      </c>
      <c r="E3945" t="n">
        <v>3</v>
      </c>
      <c r="F3945">
        <f>HYPERLINK("https://www.reddit.com/r/diabetes/comments/7n5sbx/medtronic_sensor_issues/")</f>
        <v/>
      </c>
      <c r="G3945" t="inlineStr">
        <is>
          <t>2017-12-30 18:05:43</t>
        </is>
      </c>
      <c r="H3945" t="inlineStr">
        <is>
          <t>Type 1</t>
        </is>
      </c>
    </row>
    <row r="3946">
      <c r="A3946" t="inlineStr">
        <is>
          <t>7n6e16</t>
        </is>
      </c>
      <c r="B3946" t="inlineStr">
        <is>
          <t>How do you guys focus?</t>
        </is>
      </c>
      <c r="C3946" t="inlineStr">
        <is>
          <t>On real life things? Other than diabetes? What do you want? I cant seem to want anything else than good sugars, help.</t>
        </is>
      </c>
      <c r="D3946" t="n">
        <v>6</v>
      </c>
      <c r="E3946" t="n">
        <v>8</v>
      </c>
      <c r="F3946">
        <f>HYPERLINK("https://www.reddit.com/r/diabetes/comments/7n6e16/how_do_you_guys_focus/")</f>
        <v/>
      </c>
      <c r="G3946" t="inlineStr">
        <is>
          <t>2017-12-30 20:04:52</t>
        </is>
      </c>
      <c r="H3946" t="inlineStr">
        <is>
          <t>Type 1</t>
        </is>
      </c>
    </row>
    <row r="3947">
      <c r="A3947" t="inlineStr">
        <is>
          <t>7n9j2d</t>
        </is>
      </c>
      <c r="B3947" t="inlineStr">
        <is>
          <t>Type 2 Diabetic. Just started Victoza</t>
        </is>
      </c>
      <c r="C3947" t="inlineStr">
        <is>
          <t>I was diagnosed Type 2 Diabetic in January after being hospitalized with Diabetic Ketoacidosis. My A1C at the time was 14.9%. It's now 7.8%. Still, I was unable to get fasting sugars below 100. Now I started Victoza and it is a freaking miracle. Yesterday, I did not have a single number above 99 and today I actually had a low of 77! I was actually psyched to start feeling a little shaky and lightheaded.
My endo pulled me off of Glipizide and replaced with Victoza. So I take Victoza, Lantus, and Metformin. I think I am gonna need less of something now. Victoza just flat out kills appetite and the desire to eat at all. I just have to get used to lower blood sugars now. LOL!</t>
        </is>
      </c>
      <c r="D3947" t="n">
        <v>2</v>
      </c>
      <c r="E3947" t="n">
        <v>13</v>
      </c>
      <c r="F3947">
        <f>HYPERLINK("https://www.reddit.com/r/diabetes/comments/7n9j2d/type_2_diabetic_just_started_victoza/")</f>
        <v/>
      </c>
      <c r="G3947" t="inlineStr">
        <is>
          <t>2017-12-31 08:57:51</t>
        </is>
      </c>
      <c r="H3947" t="inlineStr">
        <is>
          <t>Type 2</t>
        </is>
      </c>
    </row>
    <row r="3948">
      <c r="A3948" t="inlineStr">
        <is>
          <t>7nao2t</t>
        </is>
      </c>
      <c r="B3948" t="inlineStr">
        <is>
          <t>Auditory Hallucinations (long, sorry!)</t>
        </is>
      </c>
      <c r="C3948" t="inlineStr">
        <is>
          <t xml:space="preserve">Hello! I'm a T2 diabetic who was diagnosed a couple of years ago, but just recently started some strong (to me) meds to bring things under control quickly so that I can pursue bariatric surgery. I'm on oral med (1000mg Met ER morning and night) weekly insulin (victoza, small starter dose) and daily insulin (tresiba 30 units 1x per day) for about 3 weeks. Yesterday I finally hit target range for most of my tests. I know that low sugar can be an issue with this type pf therapy, and made it a mental point to watch myself carefully/reminded my husband of the same. 
Last night I woke up in the middle of the night to auditory hallucinations. At first I thought they were real, as they were just normal sounds... bumps and thumps- things you'd hear during the daytime when people are moving around the house. It happened enough times in a short period that I got concerned someone was in the house and got up to check on the kids. All was fine. After I used the restroom and got back in bed, those sounds went away and were replaced with whooshing sounds, a couple of bell-like sounds, and a quick voice sound. Eventually I fell back asleep. I never tested my blood during this time, nor ate or drank, though I felt a bit hungry (meter and food items were on the main floor and I was tired). 
I mentioned this all to my husband this morning and the first thing he asked was if it could be related to low blood sugar. That hadn't occurred to me. A quick google search seems to turn up only anectodal evidence.  I'll now be sleeping with juice and my meter by my bedside but I am curious if anyone here has had that happened to them.
Just to give the full story, I had another one while awake this morning - I heard my text message notification go off on my phone RIGHT next to my bed. Thought it was odd because I thought I'd silenced it last night. I had- phone was silenced and there was no text. I got out of bed to test about 30 minutes later and it was 186- high.  (I have problems with dawn phenomenon and am often high for my morning fasting test.)
Thoughts? 
</t>
        </is>
      </c>
      <c r="D3948" t="n">
        <v>9</v>
      </c>
      <c r="E3948" t="n">
        <v>5</v>
      </c>
      <c r="F3948">
        <f>HYPERLINK("https://www.reddit.com/r/diabetes/comments/7nao2t/auditory_hallucinations_long_sorry/")</f>
        <v/>
      </c>
      <c r="G3948" t="inlineStr">
        <is>
          <t>2017-12-31 12:08:11</t>
        </is>
      </c>
      <c r="H3948" t="inlineStr">
        <is>
          <t>Type 2</t>
        </is>
      </c>
    </row>
    <row r="3949">
      <c r="A3949" t="inlineStr">
        <is>
          <t>7naqqa</t>
        </is>
      </c>
      <c r="B3949" t="inlineStr">
        <is>
          <t>What the hell is happening?</t>
        </is>
      </c>
      <c r="C3949" t="inlineStr">
        <is>
          <t>Let me start by saying yes, I have an appointment coming up.
I was diagnosed two years ago and I've had great control, I didn't go above 300 once my first year. Since about 3 weeks ago I haven't been able to get my sugar under control. I was on a 1 unit/10 carbs novolog and 12 unts tujeo at night. 
Today I woke up with a sugar of 280 and said fuck it and jammed 20 units of a brand new pen into my thigh. Two **hours** later I'm at 200. 
I've eaten salads and given insulin and ended with sugars of 300.
Any idea what the fuck is happening? I hate this so much.
I forgot to mention I don't have the symptoms of hyperglycemia, save for a slightly dry mouth. No or trace ketones, normal urination, coherent, all that jazz.</t>
        </is>
      </c>
      <c r="D3949" t="n">
        <v>10</v>
      </c>
      <c r="E3949" t="n">
        <v>14</v>
      </c>
      <c r="F3949">
        <f>HYPERLINK("https://www.reddit.com/r/diabetes/comments/7naqqa/what_the_hell_is_happening/")</f>
        <v/>
      </c>
      <c r="G3949" t="inlineStr">
        <is>
          <t>2017-12-31 12:20:45</t>
        </is>
      </c>
      <c r="H3949" t="inlineStr">
        <is>
          <t>Type 1</t>
        </is>
      </c>
    </row>
    <row r="3950">
      <c r="A3950" t="inlineStr">
        <is>
          <t>7ng7rl</t>
        </is>
      </c>
      <c r="B3950" t="inlineStr">
        <is>
          <t>T2 Newbie</t>
        </is>
      </c>
      <c r="C3950" t="inlineStr">
        <is>
          <t>Hey all! Happy New year's! Just wanted to say hi.  I was diagnosed with type 2 DM on Thursday.  I've been crazy fatigued and thirsty x many months. My fasting glucose that morning was 151. I was started on metformin and trulicity and have been eating very well since then. I already feel better, generally less hungry and tired. My fasting glucose has been 100-110 every morning since. I'm looking forward to this journey!</t>
        </is>
      </c>
      <c r="D3950" t="n">
        <v>5</v>
      </c>
      <c r="E3950" t="n">
        <v>2</v>
      </c>
      <c r="F3950">
        <f>HYPERLINK("https://www.reddit.com/r/diabetes/comments/7ng7rl/t2_newbie/")</f>
        <v/>
      </c>
      <c r="G3950" t="inlineStr">
        <is>
          <t>2018-01-01 09:16:46</t>
        </is>
      </c>
      <c r="H3950" t="inlineStr">
        <is>
          <t>Type 2</t>
        </is>
      </c>
    </row>
    <row r="3951">
      <c r="A3951" t="inlineStr">
        <is>
          <t>7nk1ud</t>
        </is>
      </c>
      <c r="B3951" t="inlineStr">
        <is>
          <t>Diabetic related New Years resolution...what’s yours?</t>
        </is>
      </c>
      <c r="C3951" t="inlineStr">
        <is>
          <t xml:space="preserve">My New Years resolution is to eat exactly zero carbs after dinner. No snacks after dinner!
I’ve found through my Dexcom clarity app that my 24hr pattern is highs around 9-11pm so my resolution is to eliminate this by eliminating after dinner snacking.
Also, assuming it’ll help me lose some weight :)
I’ll check in at the end of January to let you know how I’m going. 
So what’s your diabetes New Years resolution? 
</t>
        </is>
      </c>
      <c r="D3951" t="n">
        <v>5</v>
      </c>
      <c r="E3951" t="n">
        <v>9</v>
      </c>
      <c r="F3951">
        <f>HYPERLINK("https://www.reddit.com/r/diabetes/comments/7nk1ud/diabetic_related_new_years_resolutionwhats_yours/")</f>
        <v/>
      </c>
      <c r="G3951" t="inlineStr">
        <is>
          <t>2018-01-01 20:12:06</t>
        </is>
      </c>
      <c r="H3951" t="inlineStr">
        <is>
          <t>Type 1</t>
        </is>
      </c>
    </row>
    <row r="3952">
      <c r="A3952" t="inlineStr">
        <is>
          <t>7nkwmx</t>
        </is>
      </c>
      <c r="B3952" t="inlineStr">
        <is>
          <t>18+ years with t1d. First time DKA. Long read and still many questions. Wish I’d known more about DKA</t>
        </is>
      </c>
      <c r="C3952" t="inlineStr">
        <is>
          <t>I just spent 2 nights in the hospital (including ICU) with diabetic keto acidosis and want to share my story in case it helps you in the future because I knew a lot less about DKA than I thought I did. I’m also still a bit confused and have some questions. I’m following up with my doc this week for clinical medical responses, but if you have insights I’d love to hear them. A lot of this is a ramble. It’s been helpful for me to type it all out and I’m thankful you’re reading. My brain is going a mile a minute and I’m having a rough time sleeping tonight with all these thoughts rushing out.
Background:
I am 32 years old and have had type 1 diabetes for just under 19 years. I have pretty good control using my dexcom cgm and tandem tslim insulin pump. I attended and then was a counselor at diabetes camp for 6 years. I live in New York and regularly see a great endocrinologist from a top tier hospital that I trust completely. My doctor has diabetes himself he’s helped me get my a1c levels from low 8%s to mid 6% and low 7% ranges. One unorthodox (for type 1) treatment that I use is the type-2 drug invokana. By taking it I was able to use 30-40% less novolog insulin and reduce post-meal blood sugar spikes. I’m not in bad shape, but not in great shape either. Like many folks I’ve gotten lazy about working out (but still walk my 100 lb muppet of a dog about an hour a day), but in the past I’ve run a marathon, backcountry skied, etc. Pretty standard 33 year old office worker slacker running about 5’11” and 185ish pounds. I’ve never had DKA. Never even had it when I got diagnosed with diabetes.
Over Christmas I spent the holidays with my in-laws and there were several people there sick with flu and stomach bug-like ailments. I thought I dodged the bullet and drove back to NYC Dec 26th feeling a little tired, but fine. On the 27th my wife went to work and I had off as my office is closed through Jan 2.  I felt a little achy and tired so I bummed around the apartment with the dog throughout the morning and afternoon. I felt like I might be starting to get the flu, but nothing crazy. I had some pizza and just watched TV. Around 5 pm I felt nauseous and eventually puked up the pizza I’d eaten hours earlier. My wife went to the store and got me some NyQuil and pedialyte because I thought it’d make me feel better and not get dehydrated. Throughout the night I puked 3-4 more times and figured I had a full-out stomach bug. 
Dec 28 starts and I’m trying to sleep off my ailment which I now have declared a stomach bug. I decide to step the invokana I take each morning because it can dehydrate you and I change my pump to my non-invokana (higher) basal rate and declare I’m sick and will be checking my blood sugar like crazy all day. Wife can work from home so she does and picks me up some bananas, rice, apples, tea, and toast in hopes that a “BRATT diet” will ease my stomach woes. No dice. I feel queasy and force about half a banana before I start puking it up. Calm my stomach and help back to bed after finishing the pedialyte I’d started the night before. A couple hours later I’m parched and so I have some water. I feel like I must have overdone it and re-aggravated the stomach bug because I then vomit up the water. This repeats itself hourly for most of the afternoon which sucks, but thankfully my blood sugars have solidly been 85-135 the whole time I’ve been sick. My wife finally asks my end game and if I should go to the local walk-in clinic before they close at 7pm. I decide to wait until the next morning. Over the next 2 hours I am puking every 30-40 minutes and finally decide I can’t even keep water and pedialyte down and that I’m horribly dehydrated and need IV fluids and some anti-nausea meds. I check my sugar level and it’s popped over 200 and on a whim I pee on a urine ketone stick. Shoot: I’ve got medium to large ketones. 
It seems extreme when I first say it out loud, but I decide I need to go to the ER. My wife drives me to the ER and drops me off at the entrance while she parks. I tell her “look these triage things take a while. I’m going to tell them I have diabetes and how long I’ve been vomiting and express concern that my dehydration could lead to DKA. Don’t worry though: I’ve never had DKA and I don’t actually think I have it. It’s something way more extreme than my current state and I haven’t even had a blood sugar over 200 until after dinner tonight. I’d need to be high a while for the ketones to actually turn into DKA”. 
The ER wasn’t super busy, but the triage nurse got me moved to a bed in the ER quickly. By the time my wife had parked the car they had taken started one fluid IV , gave me an anti nausea drug, and had taken bloodwork. He had me suspend my pump which seemed odd, but I did because he said that if I were screwing up my electrolytes insulin could mess things up further. After about 30 min the ER Physician’s assistant came back with the results quickly and said “you look a hell of a lot better than your numbers would make me expect. We need to get you admitted into the ICU immediately.” I was flabbergasted. He explained that I was in DKA. I wasn’t familiar with the term anion gap, but I quickly learned it’s the differential between different electrolytes like sodium and potassium. The gap should be a level of less than 12 and my gap was 22. A little more clear to me was when he said “you remember ph from high school biology? Normal blood PH is 7.4 and any small variation can be dangerous. Your PH is 7.02 right now”. They started an insulin drip of 8.9u/hr in addition to another IV drip bag. Then they loaded me up, brought me for a chest x-Ray (which seemed unnecessary, but after some googling actually would be correct protocol) and transferred me to the intensive care unit. I was told the reason for the ICU was that they are the only unit with nursing capacity to perform hourly fingerstick blood sugar checks. I was also told DKA can be dangerous or fatal and they were especially concerned about my blood PH. I’m not sure exact reason, but I do know the ICU nurses and doctors were fantastic. Throughout the night they gave me several more units of iv fluids (some I believe with either sodium or potassium) and there may have even been some dextrose mixed in to offset some of the insulin drip. They kept checking bloods every 4 hours and slowly cranked down the level of the insulin drip. They dissolved a powdered phosphorus in a cup of water and had me drink it. It sat heavy in the pot of my stomach, but I didn’t puke. By 4am my ph had jumped and the anion gap was closing. By 8 am the ph was 7.2 and anion gap was down to 11 and so they pulled the insulin drip and gave me a dose of lantus to serve as my basal insulin. They gave me 20u of lantus although without invokana my basal rate total would normally be more like 36 units. They told me not to sweat it since I’d be checking blood sugars hourly. A physical therapist came in and asked if I was feeling okay. She then had me go for a walk around the medical ICU area and the surrounding area and declared me medically fit and not in need of any PT. 
By 1130 am I was stable, feeling fine, and a bed opened up on a standard floor so they moved me down to that floor. At 1pm I finally had my wife go to the nurses station and request a blood sugar check, lunch, insulin, and labs. No nurse or doctor had even stopped by. When the nurse finally came by she explained they only check blood sugar a couple times a day and that I’d only get insulin if my blood sugar was high per her sliding scale (and no corrections for blood sugars below 230 and wouldn’t get pre-meal insulin). I’m not sure if something was written wrong as a direction, but this seemed absurd so I asked to talk to a doctor. He didn’t seem very up on diabetes, but was a smart and logical guy and he agreed to order blood sugar checks for my request which was wake-up, before meals, and bed. He also said I could request bolus doses of insulin on a meal by meal basis. The doctors over the next day were fine with my questions and requests around dosages, but the nurses all acted like I was the first patient they ever had that didn’t want to accept the sliding scale. So then.... I waited. I was told I was stable, but they wanted me to be there for another day or so to make sure anion gap didn’t re-open and that I could keep meals down. That night I had my wife bring new pump supplies as they wanted me to insert a new site in the AM. Every doc I encountered had heard of an insulin pump, but didn’t even know how it connected. I think most thought it was a medical procedure like a port a catheter chest site. An endocrinologist young doc (clearly not diabetes specialist) didn’t seem to grasp why I wouldn’t want to start a basal rate on my pump until the lantus had worn off. 
Early the next morning I got the good news that I was going home. It’s been a couple days and I’m still in a little shock from the whole ordeal. I went to a major NYC hospital because it was close, but it is not the chain my endocrinologist is part of. Thankfully they share electronic medical records and so he was notified of my visit, got all my lab results and doctor comments, and we’ve already exchanged 10-12 short messages back and forth. I’ll be seeing him this week hopefully. 
Biggest thing I didn’t know: 
You can get DKA without sustained high blood sugars. My highest level was 210 by the time I got to the hospital. 
Questions:
1. I’ve woken up with cramps in my shins and sore calf muscles every day since being diagnosed with DKA. How long should it take for this to subside and what can I do to expedite process?
2. I’ve been having a harder time regulating a comfortable body temperature the last few days. (Yes, crazy freeze here in northeast US, but moreso feeling cold and yet sweating before bed, waking up in a pool of sweat in middle of night, or my feet sweating through socks randomly in middle of afternoon last couple days while inside). Is this a thing or am I being overly sensitive that every little thing is a sign of something?
3. What can I eat or do to encourage my body to continue healing, rebuild lost muscles, and just generally get back to normal? The hospital docs said no restrictions about activity, caffeine intake, or alcohol consumption and so I had a coffee this morning and a glass of prosecco for the new year. Cleary not planning on abusing my body, but how careful do I need to be? Can I work out? Would it be beneficial to cut out caffeine/alcohol? Should I be eating tons of leafy greens or sipping watered down Gatorade or pedialyte to continue to replenish electrolytes or should I basically be good given the fluids and electrolytes I was given while in hospital? Should I be drinking more water than usual?
4. When I meet with my diabetes doctor this week are there any specific labs or blood panels I should expect him to run? Are there any that he might not run per standard protocol, but you think are worthwhile to ask him to run on me?
5. Did the lack of food I’d eaten over the day prior to the ER expedite the process of DKA?
6. What’s your red flag designating that you need professional help? In retrospect I should have gotten help before waiting &amp;gt;24 hours of puking. Where is the line for you?
7. My wife was understandably scared. I wish I’d known how sick I was so I could have gotten help sooner. I am smart about life and about my diabetes. Any tips for regaining my confidence about your diabetes? 
8. Been reading up on some good academic articles about the science of DKA. It’s interesting seeing how my labs compare to the clinical definitions. Any good scientific articles or even casual blogger accounts of DKA and the path back to normalcy that you like? (My most informative so far was this super-widely cited article 2009: https://www.ncbi.nlm.nih.gov/pmc/articles/PMC2699725/
9. I don’t currently have a blood ketone meter, but have had one in the past and plan to get one again. Anything else I should pick up?
10. Was the ER doc right to have my disconnect my pump?
11. I was pissed off when I was stepped down to standard care from ICU and no one knew anything about type one diabetes and I had to fight for frequent blood sugar checks and the bullshit sliding scale orders every meal time. Am I out of touch or were their standards what I should have expected for care?
12. I lost 14 lbs in my 2-3 day ordeal. I shouldn’t really have any lasting effects from this, right? Should I be checking in with my ophthalmologist? (my eyes seem fine and have historically always been fine)
13. I’ve been fairly exhaustive in my description of the events. Anything I should be questioning or coming up with a better game plan so this doesn’t happen again?
14. What’s this all going to cost me? (By me I mean my insurance company)</t>
        </is>
      </c>
      <c r="D3952" t="n">
        <v>39</v>
      </c>
      <c r="E3952" t="n">
        <v>28</v>
      </c>
      <c r="F3952">
        <f>HYPERLINK("https://www.reddit.com/r/diabetes/comments/7nkwmx/18_years_with_t1d_first_time_dka_long_read_and/")</f>
        <v/>
      </c>
      <c r="G3952" t="inlineStr">
        <is>
          <t>2018-01-01 23:13:28</t>
        </is>
      </c>
      <c r="H3952" t="inlineStr">
        <is>
          <t>Type 1</t>
        </is>
      </c>
    </row>
    <row r="3953">
      <c r="A3953" t="inlineStr">
        <is>
          <t>7nlbda</t>
        </is>
      </c>
      <c r="B3953" t="inlineStr">
        <is>
          <t>Looking into Keto diet, how serious are risks of hypoglycemia?</t>
        </is>
      </c>
      <c r="C3953" t="inlineStr">
        <is>
          <t xml:space="preserve">Hello I'm a 6'1, 260lbs male with Type 2 diabetes. I've been looking into Keto for a while now as a way to lose weight and hopefully lower the medication i'm on. I currently take 3 metformin, 1 Gliclazide and 1 Jardiance a day(5 pills total) How risky is doing the Keto diet if i'm on that much medication? The jardiance(also called empagliflozin) is new as My A1C had risen from mid 5's to 7.0 in 2017. One of the reasons was I got a new doctor in late 2016 and my old doctor had me on 3 metformin's and 2 Gliclazide's a day and on that I was getting 5.4-5.7 A1C but my new doctor told me A1C's in the 5's was bad for a diabetic and that Gliclazide isn't to great for your heart. So he reduced it down to 1. Problem became though I still wasn't eating great with bad habits(too much snacking and having a meal before bed since I work 10 hour days and don't get home till 1 am) so my A1C went back up till it hit 7 so he put me on the Jardiance(rather expensive drug). So I feel like a failure. I had brought up Keto with him  last summer but he just deflected me and said "Huh, oh I think that's one of those starvation diets isn't it?, no don't do that just eat right and exercise" So what i'm getting at with this the rambling is if I start Keto how likely will I experience hypoglycemic episodes if I start this diet? </t>
        </is>
      </c>
      <c r="D3953" t="n">
        <v>2</v>
      </c>
      <c r="E3953" t="n">
        <v>6</v>
      </c>
      <c r="F3953">
        <f>HYPERLINK("https://www.reddit.com/r/diabetes/comments/7nlbda/looking_into_keto_diet_how_serious_are_risks_of/")</f>
        <v/>
      </c>
      <c r="G3953" t="inlineStr">
        <is>
          <t>2018-01-02 00:58:04</t>
        </is>
      </c>
      <c r="H3953" t="inlineStr">
        <is>
          <t>Type 2</t>
        </is>
      </c>
    </row>
    <row r="3954">
      <c r="A3954" t="inlineStr">
        <is>
          <t>7nn6bo</t>
        </is>
      </c>
      <c r="B3954" t="inlineStr">
        <is>
          <t>Sudden increase in Ins:Carb ratio and absorption time. Whats up?</t>
        </is>
      </c>
      <c r="C3954" t="inlineStr">
        <is>
          <t xml:space="preserve">I've had a 1:7 AM 1:10 ratio PM for the entire 5 years of T1, switching recently to Fiasp I was also seeing a considerably increased absorption on my Freestyle Libre. Great stuff. 
For the last couple of months I've had terrible ratios in the region of 1:3 AM and 1:5 PM, my rapid acting insulin absorption has now gone from kicking in within 15 mins to not acting until over an hour has passed. Anything I eat is spiking me at least double what I'm used to seeing, even zero carb food is spiking me whereas I'd normally not see any spike whatsoever. 
I figured I was coming down with something, but still nothing. I've maybe put on about 4lb in that time, but surely not enough to get a sudden change in insulin resistance. 
I've tried fasting for a 24h period, switching insulin between batches and zero carbing for 5 days to try and reset. Not fun over Xmas as you'd imagine. 
I do not get one bit what's changed. Is this an issue with Fiasp perhaps?, has 4lb of excess weight had such a significant effect. Any and all help much appreciated, my usual great control has gone totally to the crapper and I hate it. </t>
        </is>
      </c>
      <c r="D3954" t="n">
        <v>2</v>
      </c>
      <c r="E3954" t="n">
        <v>7</v>
      </c>
      <c r="F3954">
        <f>HYPERLINK("https://www.reddit.com/r/diabetes/comments/7nn6bo/sudden_increase_in_inscarb_ratio_and_absorption/")</f>
        <v/>
      </c>
      <c r="G3954" t="inlineStr">
        <is>
          <t>2018-01-02 07:46:42</t>
        </is>
      </c>
      <c r="H3954" t="inlineStr">
        <is>
          <t>Type 1</t>
        </is>
      </c>
    </row>
    <row r="3955">
      <c r="A3955" t="inlineStr">
        <is>
          <t>7nnmor</t>
        </is>
      </c>
      <c r="B3955" t="inlineStr">
        <is>
          <t>Great start to the new year!!</t>
        </is>
      </c>
      <c r="C3955" t="inlineStr">
        <is>
          <t>I had my a1c checked today and it's at 5.1!!! Three/four months ago it was at 7.9! 
I'm being taken off metformin (and I'll be tested again in three months to see) and I'm just so excited but I don't have anyone else to share this news with 
I'm honestly shocked, I thought maybe it would be down a couple decimal points at most, based off what I read
I have a deskcycle and I try to get my steps in every day (currently at a 6,000/day goal) and I've been trying (somewhat successfully) to eat healthier and I've lost 20 pounds (started off at 260, I'm going to try to keep losing)
anyone else have good news or a good drive/motivation to work hard at it this new year?</t>
        </is>
      </c>
      <c r="D3955" t="n">
        <v>12</v>
      </c>
      <c r="E3955" t="n">
        <v>7</v>
      </c>
      <c r="F3955">
        <f>HYPERLINK("https://www.reddit.com/r/diabetes/comments/7nnmor/great_start_to_the_new_year/")</f>
        <v/>
      </c>
      <c r="G3955" t="inlineStr">
        <is>
          <t>2018-01-02 08:55:25</t>
        </is>
      </c>
      <c r="H3955" t="inlineStr">
        <is>
          <t>Type 2</t>
        </is>
      </c>
    </row>
    <row r="3956">
      <c r="A3956" t="inlineStr">
        <is>
          <t>7nnogn</t>
        </is>
      </c>
      <c r="B3956" t="inlineStr">
        <is>
          <t>I think I have diabetes but I'm overseas travelling for another 45 days, how urgent is it?</t>
        </is>
      </c>
      <c r="C3956" t="inlineStr">
        <is>
          <t>My mom has diabetes and I check a lot of the symptoms of type 2, and have for a few months now but I have been too lazy/in denial (I know, I'm an actual idiot) to go.
Just off the WebMD page, I have had very frequent urination the past few days, blurred vision the past two months, I get hungrier after I started eating, and for a week about two months ago my big toe felt tingly. I'm also obese, but have been steadily losing weight through diet and exercise the past year.
I want to know if I should get it checked out in China or wait 45 days and have it checked out in America. I'll be traveling all over the country so I won't be staying anywhere longer than 10 days but if it is serious to get done soon I'll try to.
Any advice is helpful because I am pretty lost right now.</t>
        </is>
      </c>
      <c r="D3956" t="n">
        <v>1</v>
      </c>
      <c r="E3956" t="n">
        <v>6</v>
      </c>
      <c r="F3956">
        <f>HYPERLINK("https://www.reddit.com/r/diabetes/comments/7nnogn/i_think_i_have_diabetes_but_im_overseas/")</f>
        <v/>
      </c>
      <c r="G3956" t="inlineStr">
        <is>
          <t>2018-01-02 09:02:31</t>
        </is>
      </c>
      <c r="H3956" t="inlineStr">
        <is>
          <t>Type 2</t>
        </is>
      </c>
    </row>
    <row r="3957">
      <c r="A3957" t="inlineStr">
        <is>
          <t>7nnq48</t>
        </is>
      </c>
      <c r="B3957" t="inlineStr">
        <is>
          <t>Delayed onset of honeymoon? Newly diagnosed T1</t>
        </is>
      </c>
      <c r="C3957" t="inlineStr">
        <is>
          <t>Has anyone experienced a delayed onset of their honeymoon period after diagnosis or know if this is an actual thing? I got my dx about 1.5 months ago and started a basal/bolus titration schedule a little under 1 month ago. Just in the past few days it seems like my insulin doses have become much more effective, even though they've gone up very little units-wise. I've put in a call to my endo to discuss but just wanted to see if this is something anyone in the community has heard of or experienced.</t>
        </is>
      </c>
      <c r="D3957" t="n">
        <v>1</v>
      </c>
      <c r="E3957" t="n">
        <v>6</v>
      </c>
      <c r="F3957">
        <f>HYPERLINK("https://www.reddit.com/r/diabetes/comments/7nnq48/delayed_onset_of_honeymoon_newly_diagnosed_t1/")</f>
        <v/>
      </c>
      <c r="G3957" t="inlineStr">
        <is>
          <t>2018-01-02 09:09:18</t>
        </is>
      </c>
      <c r="H3957" t="inlineStr">
        <is>
          <t>Type 1</t>
        </is>
      </c>
    </row>
    <row r="3958">
      <c r="A3958" t="inlineStr">
        <is>
          <t>7nomau</t>
        </is>
      </c>
      <c r="B3958" t="inlineStr">
        <is>
          <t>How to manage obsession with food?</t>
        </is>
      </c>
      <c r="C3958" t="inlineStr">
        <is>
          <t>Not me, but my little brother (diagnosed with type 1 diabetes at 3 years old, is now 15) has always had a difficult relationship with food and managing his blood levels. We've tried various ways to help but he still has no self-control regarding his consumption. Because of this, my parents still take responsibility about how much he eats and often find him eating more behind our backs. We understand how difficult it must be for him, given that he's had diabetes since such a young age that he doesn't remember a time where every single thing he eats had to be limited. My parents are very supportive, but it's starting to drive them mad (he has other non-related issues that make raising him even more difficult). Any help would be appreciated!</t>
        </is>
      </c>
      <c r="D3958" t="n">
        <v>1</v>
      </c>
      <c r="E3958" t="n">
        <v>6</v>
      </c>
      <c r="F3958">
        <f>HYPERLINK("https://www.reddit.com/r/diabetes/comments/7nomau/how_to_manage_obsession_with_food/")</f>
        <v/>
      </c>
      <c r="G3958" t="inlineStr">
        <is>
          <t>2018-01-02 11:18:30</t>
        </is>
      </c>
      <c r="H3958" t="inlineStr">
        <is>
          <t>Type 1</t>
        </is>
      </c>
    </row>
    <row r="3959">
      <c r="A3959" t="inlineStr">
        <is>
          <t>7noyk5</t>
        </is>
      </c>
      <c r="B3959" t="inlineStr">
        <is>
          <t>Frustration with Medtronic</t>
        </is>
      </c>
      <c r="C3959" t="inlineStr">
        <is>
          <t>So this will mainly be a rant. I’ve been trying to get switched to the new 670g with Guardian sensor from my current 530g with Enlite. After months of trying to get insurance to approve the new pump I finally got the word that it went through and was being shipped out. Originally I was told the pump would ship separate from the sensors and transmitter. The pump arrived on time but since my endo wants me to be using the sensor and do weekly downloads to carelink I’ve been staying on the 530g with enlite. Heres the trouble though, I can’t seem to get a straight answer out from Medtronic on when the sensors and transmitter are arriving. Originally a rep in the supply department told me they were in stock and actively shipping out but that was before I got the new pump. Then after the new one came a rep from Medtronic got in touch and said sensors were on back order. The last time I ordered my enlite sensors they only sent one box instead of my normal 3 saying it would last until the new pump came. Out of that box 3 have gone bad, possibly. I say possibly because a diabetes educator I talked to thought it might be the transmitter going bad instead. I’d constantly be getting “cal error” and “ change sensor” messages. So about a week and a half ago I ordered another box of sensors as I still hadn’t heard when the new ones were arriving. This past weekend I put on my last sensor and the next day cal error and change sensor alerts. So I call Medtronic and explain what’s going on. They tell me that guardian sensors are still on back order and they don’t know when they’ll be available yet. So I get transferred to the help line to troubleshoot my current sensor issues. They want to check if the transmitter is bad but I can’t find this tester device they said came with the transmitter so the lady says she’ll send out a new tester with some replacement sensors overnight and to call tomorrow when it arrives to test the transmitter before trying to insert a new sensor. About an hour after we end the call she calls back to inform me that they are out of stock of the tester device and don’t know when they be available. Seems to be a pattern lately of things being out of stock and not knowing when they’ll come in. I’m kind of fed up with them. I think I’m just going to tell my endo about this and just switch to the 670 pump on its own until the new sensors come in just to get accustomed with it. 
Like I said this was mainly just to rant about my frustration. But has anyone else run into trouble with Medtronic like this?</t>
        </is>
      </c>
      <c r="D3959" t="n">
        <v>22</v>
      </c>
      <c r="E3959" t="n">
        <v>22</v>
      </c>
      <c r="F3959">
        <f>HYPERLINK("https://www.reddit.com/r/diabetes/comments/7noyk5/frustration_with_medtronic/")</f>
        <v/>
      </c>
      <c r="G3959" t="inlineStr">
        <is>
          <t>2018-01-02 12:04:37</t>
        </is>
      </c>
      <c r="H3959" t="inlineStr">
        <is>
          <t>Type 1</t>
        </is>
      </c>
    </row>
    <row r="3960">
      <c r="A3960" t="inlineStr">
        <is>
          <t>7npao8</t>
        </is>
      </c>
      <c r="B3960" t="inlineStr">
        <is>
          <t>when is the best time to take my 10mg jardiance Pill?</t>
        </is>
      </c>
      <c r="C3960" t="inlineStr">
        <is>
          <t>I am type 2 not on insulin, my doctor has told me to take it before bed. I have heard people say best to take it directly after your largest meal for the day. Wondering if any consensus has been reached and is it the wonder drug everyone says can prevent me going on insulin ( with a strict diet and exercise regime)</t>
        </is>
      </c>
      <c r="D3960" t="n">
        <v>1</v>
      </c>
      <c r="E3960" t="n">
        <v>2</v>
      </c>
      <c r="F3960">
        <f>HYPERLINK("https://www.reddit.com/r/diabetes/comments/7npao8/when_is_the_best_time_to_take_my_10mg_jardiance/")</f>
        <v/>
      </c>
      <c r="G3960" t="inlineStr">
        <is>
          <t>2018-01-02 12:51:39</t>
        </is>
      </c>
      <c r="H3960" t="inlineStr">
        <is>
          <t>Type 2</t>
        </is>
      </c>
    </row>
    <row r="3961">
      <c r="A3961" t="inlineStr">
        <is>
          <t>7nr42a</t>
        </is>
      </c>
      <c r="B3961" t="inlineStr">
        <is>
          <t>Keto diet/Type 1 diabetic/ ketone levels</t>
        </is>
      </c>
      <c r="C3961" t="inlineStr">
        <is>
          <t xml:space="preserve">I recently started a ketogenic diet, and I test my ketones on urine test strips. Most the time they show up as moderate, sometimes large. Is this too high? I don’t know what levels are safe as a type one. </t>
        </is>
      </c>
      <c r="D3961" t="n">
        <v>1</v>
      </c>
      <c r="E3961" t="n">
        <v>3</v>
      </c>
      <c r="F3961">
        <f>HYPERLINK("https://www.reddit.com/r/diabetes/comments/7nr42a/keto_diettype_1_diabetic_ketone_levels/")</f>
        <v/>
      </c>
      <c r="G3961" t="inlineStr">
        <is>
          <t>2018-01-02 17:18:58</t>
        </is>
      </c>
      <c r="H3961" t="inlineStr">
        <is>
          <t>Type 1</t>
        </is>
      </c>
    </row>
    <row r="3962">
      <c r="A3962" t="inlineStr">
        <is>
          <t>7ntfa9</t>
        </is>
      </c>
      <c r="B3962" t="inlineStr">
        <is>
          <t>New, young type II here.. looking for help, guidance, advice, and comfort.</t>
        </is>
      </c>
      <c r="C3962" t="inlineStr">
        <is>
          <t xml:space="preserve">Hey y’all,
I’m 24-years-old, a couple pounds shy of 140 pounds, and if a stranger saw me they’d assume I’m a healthy young guy. 
But in June of 2017 I was diagnosed as a type II diabetic. Full blown diabetes. No pre-diabetes. The real deal. With an A1C of 10.4%. 
I didn’t know a single thing about diabetes before I found out. Now I know a lot. 
Incase you’re wondering how I got here: 
My mother was prediabetic. Her brother was diabetic. And her father was diabetic. 
I moved away from home to pursue a career and quickly found myself homesick, kind of depressed, and very lonely. I resorted to bad eating habits (lots of fast food, pizza, Oreos, cherry Coke, etc.) 
I started gaining weight, but I needed that! I was 120 pounds for so long and I looked so scrawny I couldn’t stand it. So when I saw myself gaining some weight after eating all of this junk, I was somewhat happy. I was filling out. 
But all that time my body was shutting down. I was probably averaging a 300 BS and didn’t even know it. 
So here I am, still 24-years-old, but full blown diabetic. And I just can’t believe I did this to myself. Meanwhile, my friends are partying on the weekends, drinking Coke whenever they want, eating ice cream whenever they want, and they’ll never have to prick their damn finger 3 times a day to make sure they’re functioning properly. 
I don’t want to sound negative. It’s just a new thing that I’m still trying to deal with. After 3 months of finding out, I went back and my doctor was impressed with my blood work. He took me off the 2x 500mg metformin and told me to keep it up. He just told me to get back on the medication if it rises above 200. When it did, I decided to start taking 1 pill a day instead of 2. I couldn’t stand having diarrhea all day after taking the meds. 
I’m still not eating healthy and I’m not exercising at all. My BS levels are averaging 170 probably. I’ll know for sure on Friday. 
I don’t know what’s wrong with me. Have I not faced the fact that I’m diabetic? Why is it so hard for me to exercise and just eat the way we’re supposed to eat?
I quit drinking soda completely the day I found out about my diabetes. That makes me happy knowing I managed to do that. I never thought I could but I just quit cold turkey. Weird. 
But as for food? I’ll eat a big turkey sandwich on Whole wheat bread with some mayo, cheese, and a side of chips with some applesauce and sugar free pudding. I’ll snack on popcorn a lot. I’ll eat a PB&amp;amp;J for breakfast. I’ll eat pizza sometimes. Lots of cheeseburgers; homemade or in a restaurant. I don’t eat fast food much anymore unless I’m in a pinch and need to grab a subway sandwich or In n Out burger. Is that kind of eating going to lead to screw me? Even though my BS doesn’t get above 200 most of the time? 
There’s just no way I could give up eating chips and replace them with almonds or something. I commend those who can do that. It’s so hard to do that. Have y’all been in the same position? 
What do y’all do for exercise? Jog around the block before work? Walk around the block after lunch to get the heart rate up? 
I have a good support system but they don’t know how hard I struggle when they’re not around. 
I’m laying in bed typing all of this while my stomach rumbles. I’m hungry but my blood sugar was reading 190. What do I do? 
I’m rambling. I’ll stop now. 
This was mainly to vent and get all of this off my chest. Maybe I’ll post it, maybe I won’t. 
I’m sad to have to join this community, but I believe we can all fight this and support each other. 
Thanks to those who read this.  </t>
        </is>
      </c>
      <c r="D3962" t="n">
        <v>7</v>
      </c>
      <c r="E3962" t="n">
        <v>17</v>
      </c>
      <c r="F3962">
        <f>HYPERLINK("https://www.reddit.com/r/diabetes/comments/7ntfa9/new_young_type_ii_here_looking_for_help_guidance/")</f>
        <v/>
      </c>
      <c r="G3962" t="inlineStr">
        <is>
          <t>2018-01-03 00:43:02</t>
        </is>
      </c>
      <c r="H3962" t="inlineStr">
        <is>
          <t>Type 2</t>
        </is>
      </c>
    </row>
    <row r="3963">
      <c r="A3963" t="inlineStr">
        <is>
          <t>7nv2fv</t>
        </is>
      </c>
      <c r="B3963" t="inlineStr">
        <is>
          <t>My blood sugars are constantly high no matter what I do</t>
        </is>
      </c>
      <c r="C3963" t="inlineStr">
        <is>
          <t>Hey, I've been diagnosed with type 1 for 7 months now and I've been a bit worried this past week, my levels have constantly been between 15-25mmol at all times of the day.
I've had days where I pretty much starve myself from carbs and sugar in order to get it back down but it doesn't seem to be working. I've heard of a thing called insulin resistance but I'm not too sure what that is all about. I have had a cold for a few weeks too if that makes a difference? 
Any advice or anything will be greatly appreciated I'm kinda freaking out now</t>
        </is>
      </c>
      <c r="D3963" t="n">
        <v>4</v>
      </c>
      <c r="E3963" t="n">
        <v>12</v>
      </c>
      <c r="F3963">
        <f>HYPERLINK("https://www.reddit.com/r/diabetes/comments/7nv2fv/my_blood_sugars_are_constantly_high_no_matter/")</f>
        <v/>
      </c>
      <c r="G3963" t="inlineStr">
        <is>
          <t>2018-01-03 06:46:19</t>
        </is>
      </c>
      <c r="H3963" t="inlineStr">
        <is>
          <t>Type 1</t>
        </is>
      </c>
    </row>
    <row r="3964">
      <c r="A3964" t="inlineStr">
        <is>
          <t>7nv9tu</t>
        </is>
      </c>
      <c r="B3964" t="inlineStr">
        <is>
          <t>Top of foot lost feeling, need advice</t>
        </is>
      </c>
      <c r="C3964" t="inlineStr">
        <is>
          <t xml:space="preserve">I know I need to see a doctor ASAP. Can I go straight to a podiatrist, whom I've never seen before, in a week's time. Or do I go to my diabetes Friday. Can my doctor give me the correct medication and steps forward? I have to pay to see my doctor but not my podiatrist.
Also, any advice on what to do in the mean time? </t>
        </is>
      </c>
      <c r="D3964" t="n">
        <v>3</v>
      </c>
      <c r="E3964" t="n">
        <v>17</v>
      </c>
      <c r="F3964">
        <f>HYPERLINK("https://www.reddit.com/r/diabetes/comments/7nv9tu/top_of_foot_lost_feeling_need_advice/")</f>
        <v/>
      </c>
      <c r="G3964" t="inlineStr">
        <is>
          <t>2018-01-03 07:20:10</t>
        </is>
      </c>
      <c r="H3964" t="inlineStr">
        <is>
          <t>Type 1</t>
        </is>
      </c>
    </row>
    <row r="3965">
      <c r="A3965" t="inlineStr">
        <is>
          <t>7ny6jm</t>
        </is>
      </c>
      <c r="B3965" t="inlineStr">
        <is>
          <t>Update #2: When metformin and lifestyle changes are not enough</t>
        </is>
      </c>
      <c r="C3965" t="inlineStr">
        <is>
          <t>I made a post [here](https://www.reddit.com/r/diabetes/comments/7jfqbt/types_2_when_metformin_and_lifestyle_changes/) about how I had a dramatic increase in my A1C though I eat low-ish carb, exercise, and take metformin. 
**Here is my most recent update:**
* I tested normal, albeit low-normal for c-peptide levels
* I tested negative on the antibodies test
* Current dosage of sulfonylurea is not working
**During this time I've been feeling like crap and in December/January I've been diagnosed with the following:**
* vitamin and mineral deficiencies - currently taking supplementation
* infection - currently taking antibiotics
* hypertension 
Right now my doctors believe there may be another issue that is impacting my blood sugar levels. So I've being tested for medical issues that could be causing the sudden onset of hypertension and my increase in blood sugar levels. So more blood work and urine samples. If it's not another medical issue, then I just have hypertension and my pancreas is just on strike. 
**The current plan of action in regards to meds is:**
* double my dosage of my sulfonylurea if no impact within 2 weeks, then going on long acting insulin to start
* if it's an additional systemic issue impacting my bsl, then to deal with that issue 
**TL;DR - I don't have LADA/Type 1. I'm sick and other issues may be impacting my glucose levels. I am testing to find out.**</t>
        </is>
      </c>
      <c r="D3965" t="n">
        <v>2</v>
      </c>
      <c r="E3965" t="n">
        <v>9</v>
      </c>
      <c r="F3965">
        <f>HYPERLINK("https://www.reddit.com/r/diabetes/comments/7ny6jm/update_2_when_metformin_and_lifestyle_changes_are/")</f>
        <v/>
      </c>
      <c r="G3965" t="inlineStr">
        <is>
          <t>2018-01-03 14:11:40</t>
        </is>
      </c>
      <c r="H3965" t="inlineStr">
        <is>
          <t>Type 2</t>
        </is>
      </c>
    </row>
    <row r="3966">
      <c r="A3966" t="inlineStr">
        <is>
          <t>7nypgx</t>
        </is>
      </c>
      <c r="B3966" t="inlineStr">
        <is>
          <t>In a bit of a pickle..</t>
        </is>
      </c>
      <c r="C3966" t="inlineStr">
        <is>
          <t>So I used my last test strip this morning and my insurance won't let me refill them until tomorrow, but even then it might not be covered due to the new year and not having reached my deductible yet. I order the MySugr bundle yesterday but it takes 3-5 days to come in. My question is do I go the few days without testing, or go buy a cheapo meter and strips from Walmart? I don't know if they're accurate and would be worth it. My BS is not in control but I haven't seen anything over 275 in a month and never had a low. I did up my Lantus to 18 units last night. Any feedback is greatly appreciated!</t>
        </is>
      </c>
      <c r="D3966" t="n">
        <v>1</v>
      </c>
      <c r="E3966" t="n">
        <v>6</v>
      </c>
      <c r="F3966">
        <f>HYPERLINK("https://www.reddit.com/r/diabetes/comments/7nypgx/in_a_bit_of_a_pickle/")</f>
        <v/>
      </c>
      <c r="G3966" t="inlineStr">
        <is>
          <t>2018-01-03 15:29:01</t>
        </is>
      </c>
      <c r="H3966" t="inlineStr">
        <is>
          <t>Type 1.5/LADA</t>
        </is>
      </c>
    </row>
    <row r="3967">
      <c r="A3967" t="inlineStr">
        <is>
          <t>7o0j4z</t>
        </is>
      </c>
      <c r="B3967" t="inlineStr">
        <is>
          <t>Prescription coverage forcing a change to Farxiga. Wondering if anyone has experience with it.</t>
        </is>
      </c>
      <c r="C3967" t="inlineStr">
        <is>
          <t>I'm a recently diagnosed Type 2 Diabetic (Nov 2017). My prescription coverage dropped Jardiance from my formulary so my provider is prescribing Farxiga which is covered. I've been reading about it and I'm a little concerned about some of the side effects especially the bladder cancer. Has anyone been on it? I'd like to know what the community's experience is with it, especially if you've switched from Jardiance.
Thanks.</t>
        </is>
      </c>
      <c r="D3967" t="n">
        <v>1</v>
      </c>
      <c r="E3967" t="n">
        <v>0</v>
      </c>
      <c r="F3967">
        <f>HYPERLINK("https://www.reddit.com/r/diabetes/comments/7o0j4z/prescription_coverage_forcing_a_change_to_farxiga/")</f>
        <v/>
      </c>
      <c r="G3967" t="inlineStr">
        <is>
          <t>2018-01-03 20:26:52</t>
        </is>
      </c>
      <c r="H3967" t="inlineStr">
        <is>
          <t>Type 2</t>
        </is>
      </c>
    </row>
    <row r="3968">
      <c r="A3968" t="inlineStr">
        <is>
          <t>7o2as4</t>
        </is>
      </c>
      <c r="B3968" t="inlineStr">
        <is>
          <t>Got my pump today!</t>
        </is>
      </c>
      <c r="C3968" t="inlineStr">
        <is>
          <t xml:space="preserve">I'm 13 and was diagnosed last year with type 1 and today I just got a pump :D I'm kind of really nervous because it's loads of stuff to learn again but hopefully it will be good </t>
        </is>
      </c>
      <c r="D3968" t="n">
        <v>49</v>
      </c>
      <c r="E3968" t="n">
        <v>26</v>
      </c>
      <c r="F3968">
        <f>HYPERLINK("https://www.reddit.com/r/diabetes/comments/7o2as4/got_my_pump_today/")</f>
        <v/>
      </c>
      <c r="G3968" t="inlineStr">
        <is>
          <t>2018-01-04 03:05:30</t>
        </is>
      </c>
      <c r="H3968" t="inlineStr">
        <is>
          <t>Type 1</t>
        </is>
      </c>
    </row>
    <row r="3969">
      <c r="A3969" t="inlineStr">
        <is>
          <t>7o3e0r</t>
        </is>
      </c>
      <c r="B3969" t="inlineStr">
        <is>
          <t>Supporting boyfriend with diabetes</t>
        </is>
      </c>
      <c r="C3969" t="inlineStr">
        <is>
          <t>Hello everyone! I’m writing to ask for any advice you might have on how I can support my boyfriend with T1 diabetes. 
I’m dating this wonderful guy and, obviously, managing diabetes takes up lots of energies for him. I don’t know much about diabetes, I’ve been reading lots about it but I’d like to know if there’s anything you’d suggest. I really want to support him as best as I can!</t>
        </is>
      </c>
      <c r="D3969" t="n">
        <v>10</v>
      </c>
      <c r="E3969" t="n">
        <v>17</v>
      </c>
      <c r="F3969">
        <f>HYPERLINK("https://www.reddit.com/r/diabetes/comments/7o3e0r/supporting_boyfriend_with_diabetes/")</f>
        <v/>
      </c>
      <c r="G3969" t="inlineStr">
        <is>
          <t>2018-01-04 06:44:47</t>
        </is>
      </c>
      <c r="H3969" t="inlineStr">
        <is>
          <t>Type 1</t>
        </is>
      </c>
    </row>
    <row r="3970">
      <c r="A3970" t="inlineStr">
        <is>
          <t>7o3z8g</t>
        </is>
      </c>
      <c r="B3970" t="inlineStr">
        <is>
          <t>Cold weather and pumps and one of those old school zippo hand warmers.</t>
        </is>
      </c>
      <c r="C3970" t="inlineStr">
        <is>
          <t xml:space="preserve">I ride a fat bike in the winter, but recently the temperature in the Northeast US caused me some issues with my tandem in sub 10 degree F riding conditions.  I added a Zippo hand warmer to the same pocket the pump was in, problem solved.  I like the zippo, it's refillable, just warm, not hot, and it lasts a many hours.  It's really cheap to buy and refill as well.   Just a heads up in case anyone has a similar need. 
Zippo:
https://www.amazon.com/Zippo-Hand-Warmer-12-Hour-Orange/dp/B013HLGTUS/ref=sr_1_2_sspa?ie=UTF8&amp;amp;qid=1515082269&amp;amp;sr=8-2-spons&amp;amp;keywords=zippo%2Bhand%2Bwarmer&amp;amp;th=1
</t>
        </is>
      </c>
      <c r="D3970" t="n">
        <v>1</v>
      </c>
      <c r="E3970" t="n">
        <v>0</v>
      </c>
      <c r="F3970">
        <f>HYPERLINK("https://www.reddit.com/r/diabetes/comments/7o3z8g/cold_weather_and_pumps_and_one_of_those_old/")</f>
        <v/>
      </c>
      <c r="G3970" t="inlineStr">
        <is>
          <t>2018-01-04 08:13:12</t>
        </is>
      </c>
      <c r="H3970" t="inlineStr">
        <is>
          <t>Type 1</t>
        </is>
      </c>
    </row>
    <row r="3971">
      <c r="A3971" t="inlineStr">
        <is>
          <t>7o5gve</t>
        </is>
      </c>
      <c r="B3971" t="inlineStr">
        <is>
          <t>Ideas for diabetic friendly recipes which can be frozen?</t>
        </is>
      </c>
      <c r="C3971" t="inlineStr">
        <is>
          <t>Hi everyone, I need some advice. I have a friend who is having a major surgery on her knee in a couple of weeks and I wanted to make a whole bunch of food for her that she could keep in her freezer and warm up as needed. She is diabetic but has no food allergies or sensitivities. I’m having a hard time coming up with recipes because she doesn’t eat carbs like potatoes or pasta and most freezer friendly recipes I can think of have carbs! I’m also not sure if there are any other foods I should avoid. 
What are some of your favorite recipes that would freeze well? Thank you.</t>
        </is>
      </c>
      <c r="D3971" t="n">
        <v>1</v>
      </c>
      <c r="E3971" t="n">
        <v>11</v>
      </c>
      <c r="F3971">
        <f>HYPERLINK("https://www.reddit.com/r/diabetes/comments/7o5gve/ideas_for_diabetic_friendly_recipes_which_can_be/")</f>
        <v/>
      </c>
      <c r="G3971" t="inlineStr">
        <is>
          <t>2018-01-04 11:41:56</t>
        </is>
      </c>
      <c r="H3971" t="inlineStr">
        <is>
          <t>Type 2</t>
        </is>
      </c>
    </row>
    <row r="3972">
      <c r="A3972" t="inlineStr">
        <is>
          <t>7o6tbi</t>
        </is>
      </c>
      <c r="B3972" t="inlineStr">
        <is>
          <t>Moms/Pregnant Diabetics - how were you treated during delivery?</t>
        </is>
      </c>
      <c r="C3972" t="inlineStr">
        <is>
          <t xml:space="preserve">I'm 16 weeks pregnant and so far my experience with my OB has been less than ideal. She admitted that the majority of her experience has been with gestational diabetes, and I have to help her interpret the data from my CGM. She also wants me to see a cardiologist, which I'm confused by since I have zero history of health problems and absolutely no diabetic complications whatsoever. My diabetes, according to my endo, is well-managed.
ALSO a few years ago I had to have emergency surgery to remove my gallbladder, and they not only refuses to let me give myself insulin, they completely ignored my ratios and used a sliding scale, so my numbers were all over the place. They were giving me one unit of insulin at a time to correct, which was a colossal waste of time and money.
Due to all of this, I want to have a game plan in place ahead of time for labor/delivery. I honestly don't want anyone to treat my diabetes while I'm in labor or afterwards- I'll honestly probably turn the alerts on my CGM off since it'll be all over the place anyway. I absolutely do not want the hospital to give me insulin or treat any lows. If I need to be treated, I can do it myself or my husband can. 
Is there anything I need to submit in writing to make that happen? What are your experiences being diabetic and hospitalized for something else, ESPECIALLY pregnancy? 
</t>
        </is>
      </c>
      <c r="D3972" t="n">
        <v>6</v>
      </c>
      <c r="E3972" t="n">
        <v>23</v>
      </c>
      <c r="F3972">
        <f>HYPERLINK("https://www.reddit.com/r/diabetes/comments/7o6tbi/momspregnant_diabetics_how_were_you_treated/")</f>
        <v/>
      </c>
      <c r="G3972" t="inlineStr">
        <is>
          <t>2018-01-04 15:19:11</t>
        </is>
      </c>
      <c r="H3972" t="inlineStr">
        <is>
          <t>Type 1</t>
        </is>
      </c>
    </row>
    <row r="3973">
      <c r="A3973" t="inlineStr">
        <is>
          <t>7o7j9d</t>
        </is>
      </c>
      <c r="B3973" t="inlineStr">
        <is>
          <t>Recently Diagnosed Type 2</t>
        </is>
      </c>
      <c r="C3973" t="inlineStr">
        <is>
          <t>Hello All, my results at diagnosis were a1c 11.3 and Fasting Glucose 369. My symptoms are blurry vision, increased thirst, frequent urination, fatigue and loss of hair on legs.
My vision has gotten pretty bad, even with contacts/glasses. The question I would like to ask is about the vision:
• In your experience, will my vision be as good as before when sugars lower?
• In your experience, about how long will this take to resolve?
I'm taking two medications and need to check my glucose twice a day. Today it was down to 260.
Thanks in advance for any insight.</t>
        </is>
      </c>
      <c r="D3973" t="n">
        <v>2</v>
      </c>
      <c r="E3973" t="n">
        <v>11</v>
      </c>
      <c r="F3973">
        <f>HYPERLINK("https://www.reddit.com/r/diabetes/comments/7o7j9d/recently_diagnosed_type_2/")</f>
        <v/>
      </c>
      <c r="G3973" t="inlineStr">
        <is>
          <t>2018-01-04 17:09:11</t>
        </is>
      </c>
      <c r="H3973" t="inlineStr">
        <is>
          <t>Type 2</t>
        </is>
      </c>
    </row>
    <row r="3974">
      <c r="A3974" t="inlineStr">
        <is>
          <t>7o7o4b</t>
        </is>
      </c>
      <c r="B3974" t="inlineStr">
        <is>
          <t>Demotivation.</t>
        </is>
      </c>
      <c r="C3974" t="inlineStr">
        <is>
          <t xml:space="preserve">Does anybody else just get really demotivated whenever it comes to controlling blood sugar?
My hba1c is at 50 at the moment, I know it's not perfect, and it has been lower in recent times but for the last 3 - 4 months it's just been a struggle to really care. 
I know my hba1c is gonna rise, I can feel it, it's just been up and down all the time ( a little bit was due to having pneumonia ).
What keeps you guys going? What tips do you have and have I caused myself permanent damage with neglecting myself for the last 3 - 4  months?
</t>
        </is>
      </c>
      <c r="D3974" t="n">
        <v>14</v>
      </c>
      <c r="E3974" t="n">
        <v>17</v>
      </c>
      <c r="F3974">
        <f>HYPERLINK("https://www.reddit.com/r/diabetes/comments/7o7o4b/demotivation/")</f>
        <v/>
      </c>
      <c r="G3974" t="inlineStr">
        <is>
          <t>2018-01-04 17:30:22</t>
        </is>
      </c>
      <c r="H3974" t="inlineStr">
        <is>
          <t>Type 1</t>
        </is>
      </c>
    </row>
    <row r="3975">
      <c r="A3975" t="inlineStr">
        <is>
          <t>7o857j</t>
        </is>
      </c>
      <c r="B3975" t="inlineStr">
        <is>
          <t>Trouble with my pump not delivering insulin after taking a shower.</t>
        </is>
      </c>
      <c r="C3975" t="inlineStr">
        <is>
          <t xml:space="preserve"> As the title says, I have consistent problems with insulin delivery after taking a shower. I have a Medtronic minimed and almost always use the shower cap on the infusion site.
It usually takes a few hours for it to start working again, but this is after my blood sugar has already climbed through the roof. 
I tried a google search to see if it's a common problem but I couldn't come across anything.
Does anyone else here struggle with this? Just looking for some tips on what to do. Thought about using a hairdryer to dry it out a little bit afterwards, but I have to do something because it's happening too often. It doesn't happen everytime I shower, probably about 60% of the time i'd say.
Thanks for reading!</t>
        </is>
      </c>
      <c r="D3975" t="n">
        <v>3</v>
      </c>
      <c r="E3975" t="n">
        <v>4</v>
      </c>
      <c r="F3975">
        <f>HYPERLINK("https://www.reddit.com/r/diabetes/comments/7o857j/trouble_with_my_pump_not_delivering_insulin_after/")</f>
        <v/>
      </c>
      <c r="G3975" t="inlineStr">
        <is>
          <t>2018-01-04 18:43:12</t>
        </is>
      </c>
      <c r="H3975" t="inlineStr">
        <is>
          <t>Type 1</t>
        </is>
      </c>
    </row>
    <row r="3976">
      <c r="A3976" t="inlineStr">
        <is>
          <t>7o89dn</t>
        </is>
      </c>
      <c r="B3976" t="inlineStr">
        <is>
          <t>Blood sugar won't drop below 23</t>
        </is>
      </c>
      <c r="C3976" t="inlineStr">
        <is>
          <t>Any suggestions? Felt it getting higher this afternoon so tested around 4 hours ago and couldn't believe how high it was (23.5). Since then I have taken a shot of 10 units and a shot of 6 units, both more than 2 hours ago and my blood sugar is still sitting at almost 24 now. I haven't had anything to eat since then and apart from a bit of blurriness and dehydration I actually don't feel as bad as my numbers would suggest. Is it possibly an issue with my meter?</t>
        </is>
      </c>
      <c r="D3976" t="n">
        <v>2</v>
      </c>
      <c r="E3976" t="n">
        <v>11</v>
      </c>
      <c r="F3976">
        <f>HYPERLINK("https://www.reddit.com/r/diabetes/comments/7o89dn/blood_sugar_wont_drop_below_23/")</f>
        <v/>
      </c>
      <c r="G3976" t="inlineStr">
        <is>
          <t>2018-01-04 19:02:02</t>
        </is>
      </c>
      <c r="H3976" t="inlineStr">
        <is>
          <t>Type 1</t>
        </is>
      </c>
    </row>
    <row r="3977">
      <c r="A3977" t="inlineStr">
        <is>
          <t>7oa1w1</t>
        </is>
      </c>
      <c r="B3977" t="inlineStr">
        <is>
          <t>Did diabetes seem to fuck up your immune system?</t>
        </is>
      </c>
      <c r="C3977" t="inlineStr">
        <is>
          <t>It seems that when I get sick, I get sick much worse than people with the same illness (for example I'll use 6 tissues with a cold for every one they use) and I will be sicker for much longer.
Is this true for you as well?
I also get sicker more frequent than most people I know. it's so frustrating.</t>
        </is>
      </c>
      <c r="D3977" t="n">
        <v>2</v>
      </c>
      <c r="E3977" t="n">
        <v>13</v>
      </c>
      <c r="F3977">
        <f>HYPERLINK("https://www.reddit.com/r/diabetes/comments/7oa1w1/did_diabetes_seem_to_fuck_up_your_immune_system/")</f>
        <v/>
      </c>
      <c r="G3977" t="inlineStr">
        <is>
          <t>2018-01-05 01:03:33</t>
        </is>
      </c>
      <c r="H3977" t="inlineStr">
        <is>
          <t>Type 1</t>
        </is>
      </c>
    </row>
    <row r="3978">
      <c r="A3978" t="inlineStr">
        <is>
          <t>7obtdc</t>
        </is>
      </c>
      <c r="B3978" t="inlineStr">
        <is>
          <t>Fibre</t>
        </is>
      </c>
      <c r="C3978" t="inlineStr">
        <is>
          <t xml:space="preserve">I always read that fibrous vegetables are recommended for diabetics, but why is this? Does it genuinely have an effect of BG levels? I’ve been dabbling with the idea of trying out the carnivore diet, but that would mean no veg. </t>
        </is>
      </c>
      <c r="D3978" t="n">
        <v>1</v>
      </c>
      <c r="E3978" t="n">
        <v>3</v>
      </c>
      <c r="F3978">
        <f>HYPERLINK("https://www.reddit.com/r/diabetes/comments/7obtdc/fibre/")</f>
        <v/>
      </c>
      <c r="G3978" t="inlineStr">
        <is>
          <t>2018-01-05 07:19:13</t>
        </is>
      </c>
      <c r="H3978" t="inlineStr">
        <is>
          <t>Type 1</t>
        </is>
      </c>
    </row>
    <row r="3979">
      <c r="A3979" t="inlineStr">
        <is>
          <t>7oc37h</t>
        </is>
      </c>
      <c r="B3979" t="inlineStr">
        <is>
          <t>Daughter on front page of St. Louis Post Dispatch with her 670G...</t>
        </is>
      </c>
      <c r="C3979" t="inlineStr">
        <is>
          <t>http://www.stltoday.com/news/local/metro/festus-teenager-at-the-forefront-of-breakthrough-in-diabetes-care/article_2771b4dc-2064-54e2-93ac-98ff999509ee.html#tracking-source=home-top-story-1</t>
        </is>
      </c>
      <c r="D3979" t="n">
        <v>2</v>
      </c>
      <c r="E3979" t="n">
        <v>6</v>
      </c>
      <c r="F3979">
        <f>HYPERLINK("https://www.reddit.com/r/diabetes/comments/7oc37h/daughter_on_front_page_of_st_louis_post_dispatch/")</f>
        <v/>
      </c>
      <c r="G3979" t="inlineStr">
        <is>
          <t>2018-01-05 07:59:34</t>
        </is>
      </c>
      <c r="H3979" t="inlineStr">
        <is>
          <t>Type 1</t>
        </is>
      </c>
    </row>
    <row r="3980">
      <c r="A3980" t="inlineStr">
        <is>
          <t>7od6b9</t>
        </is>
      </c>
      <c r="B3980" t="inlineStr">
        <is>
          <t>Got my newest a1c test back today.</t>
        </is>
      </c>
      <c r="C3980" t="inlineStr">
        <is>
          <t xml:space="preserve">My previous test was done in late August and it was 8.1 which was down from 11 in early July.  The doctor ran blood tests last month and my new a1c is 5.  I am thrilled.  Hopefully when we check it in a few months it will be even lower.  </t>
        </is>
      </c>
      <c r="D3980" t="n">
        <v>11</v>
      </c>
      <c r="E3980" t="n">
        <v>6</v>
      </c>
      <c r="F3980">
        <f>HYPERLINK("https://www.reddit.com/r/diabetes/comments/7od6b9/got_my_newest_a1c_test_back_today/")</f>
        <v/>
      </c>
      <c r="G3980" t="inlineStr">
        <is>
          <t>2018-01-05 10:31:16</t>
        </is>
      </c>
      <c r="H3980" t="inlineStr">
        <is>
          <t>Type 2</t>
        </is>
      </c>
    </row>
    <row r="3981">
      <c r="A3981" t="inlineStr">
        <is>
          <t>7odptz</t>
        </is>
      </c>
      <c r="B3981" t="inlineStr">
        <is>
          <t>I'm having retinal laser surgery done on Monday. Can someone tell me what to expect?</t>
        </is>
      </c>
      <c r="C3981" t="inlineStr">
        <is>
          <t xml:space="preserve">Especially, how will it affect me that day and the days to follow?
Also, I'm read in another post that it will affect one's vision in low light (in a negative way). Is that correct? Because I'm already having vision problems in low light conditions, so I would hate for it to get worse. </t>
        </is>
      </c>
      <c r="D3981" t="n">
        <v>1</v>
      </c>
      <c r="E3981" t="n">
        <v>5</v>
      </c>
      <c r="F3981">
        <f>HYPERLINK("https://www.reddit.com/r/diabetes/comments/7odptz/im_having_retinal_laser_surgery_done_on_monday/")</f>
        <v/>
      </c>
      <c r="G3981" t="inlineStr">
        <is>
          <t>2018-01-05 11:45:19</t>
        </is>
      </c>
      <c r="H3981" t="inlineStr">
        <is>
          <t>Type 2</t>
        </is>
      </c>
    </row>
    <row r="3982">
      <c r="A3982" t="inlineStr">
        <is>
          <t>7oeyzn</t>
        </is>
      </c>
      <c r="B3982" t="inlineStr">
        <is>
          <t>Short film on the history of insulin</t>
        </is>
      </c>
      <c r="C3982" t="inlineStr">
        <is>
          <t>So slate.com just released a short film on the history of insulin.  It's not just Banting and Best, turns out there is a lot more to it than just those two.  The film also hits me square in the feely bits because it reminds me that before insulin, getting diagnosed with type 1 was a literal death sentence within weeks.  
The film is definitely worth a watch!
http://www.slate.com/articles/health_and_science/science/2018/01/insulin_discovery_documentary_shows_how_children_were_saved_from_type_1.html</t>
        </is>
      </c>
      <c r="D3982" t="n">
        <v>19</v>
      </c>
      <c r="E3982" t="n">
        <v>6</v>
      </c>
      <c r="F3982">
        <f>HYPERLINK("https://www.reddit.com/r/diabetes/comments/7oeyzn/short_film_on_the_history_of_insulin/")</f>
        <v/>
      </c>
      <c r="G3982" t="inlineStr">
        <is>
          <t>2018-01-05 14:41:25</t>
        </is>
      </c>
      <c r="H3982" t="inlineStr">
        <is>
          <t>Type 1</t>
        </is>
      </c>
    </row>
    <row r="3983">
      <c r="A3983" t="inlineStr">
        <is>
          <t>7ogbmj</t>
        </is>
      </c>
      <c r="B3983" t="inlineStr">
        <is>
          <t>Unexplained highs - what are the possible culprits??</t>
        </is>
      </c>
      <c r="C3983" t="inlineStr">
        <is>
          <t>I am experiencing frequent unexplained highs over the past few days and feeling really discouraged. Because of the New Year, Ive been extra vigilant with my eating and which is normally very low carb. I have also been getting extra exercise, and so was expecting my numbers to be great - usually they are very easy to keep within range if I count carbs properly. Is it possible that exercise is actually causing highs? I also read recently that insulin might lose potency but not sure how to confirm - have any of you ever returned insulin for this reason? Is there anything that may have caused this? Im on novo rapid and tresiba if anyone has heard of anything. 
If theres anything else I need to consider? Kinda freaking out 😕</t>
        </is>
      </c>
      <c r="D3983" t="n">
        <v>3</v>
      </c>
      <c r="E3983" t="n">
        <v>6</v>
      </c>
      <c r="F3983">
        <f>HYPERLINK("https://www.reddit.com/r/diabetes/comments/7ogbmj/unexplained_highs_what_are_the_possible_culprits/")</f>
        <v/>
      </c>
      <c r="G3983" t="inlineStr">
        <is>
          <t>2018-01-05 18:15:13</t>
        </is>
      </c>
      <c r="H3983" t="inlineStr">
        <is>
          <t>Type 1</t>
        </is>
      </c>
    </row>
    <row r="3984">
      <c r="A3984" t="inlineStr">
        <is>
          <t>7oi8ud</t>
        </is>
      </c>
      <c r="B3984" t="inlineStr">
        <is>
          <t>Any parent of elementary age diabetics.</t>
        </is>
      </c>
      <c r="C3984" t="inlineStr">
        <is>
          <t>We are considering putting my daughter who will be six in two months on an insulin pump. Her doctor said we could think about it and talk more about it during her next visit (next month). So for the past month and a half me and her father have been trying to weigh the cons and pros of this. While I think pumps are great I'm not sure my daughter will like it. I had one from 12-19 and didn't like it so decided to get off of it. My daughter doesn't quite understand what a pump is so I'm just hoping for some input from other parents with young children if the child likes it and if it helped to improve the controlling of their blood glucose levels.</t>
        </is>
      </c>
      <c r="D3984" t="n">
        <v>3</v>
      </c>
      <c r="E3984" t="n">
        <v>22</v>
      </c>
      <c r="F3984">
        <f>HYPERLINK("https://www.reddit.com/r/diabetes/comments/7oi8ud/any_parent_of_elementary_age_diabetics/")</f>
        <v/>
      </c>
      <c r="G3984" t="inlineStr">
        <is>
          <t>2018-01-06 01:04:26</t>
        </is>
      </c>
      <c r="H3984" t="inlineStr">
        <is>
          <t>Type 1</t>
        </is>
      </c>
    </row>
    <row r="3985">
      <c r="A3985" t="inlineStr">
        <is>
          <t>7oidpk</t>
        </is>
      </c>
      <c r="B3985" t="inlineStr">
        <is>
          <t>Recommendations on Tracking apps?</t>
        </is>
      </c>
      <c r="C3985" t="inlineStr">
        <is>
          <t xml:space="preserve">Hi guys!
I’m a 30 year old T1, diagnosed in 2015. 
My control has been kind of patchy since diagnosis but I really got on top of it while I was pregnant last year - my HBA1C was 5.5 til the last 2 weeks when my insulin resistance went a bit haywire.
Since my baby was born though I’ve lost the plot with it and it’s worrying me. I want to get back to tight control but with a 6 month old rugrat it’s definitely challenging. 
I think an app with reminders would be really helpful - can anyone recommend one? I’m in the UK.
Thanks lovelies! 
</t>
        </is>
      </c>
      <c r="D3985" t="n">
        <v>1</v>
      </c>
      <c r="E3985" t="n">
        <v>6</v>
      </c>
      <c r="F3985">
        <f>HYPERLINK("https://www.reddit.com/r/diabetes/comments/7oidpk/recommendations_on_tracking_apps/")</f>
        <v/>
      </c>
      <c r="G3985" t="inlineStr">
        <is>
          <t>2018-01-06 01:40:46</t>
        </is>
      </c>
      <c r="H3985" t="inlineStr">
        <is>
          <t>Type 1</t>
        </is>
      </c>
    </row>
    <row r="3986">
      <c r="A3986" t="inlineStr">
        <is>
          <t>7oitrh</t>
        </is>
      </c>
      <c r="B3986" t="inlineStr">
        <is>
          <t>Kidney Function</t>
        </is>
      </c>
      <c r="C3986" t="inlineStr">
        <is>
          <t xml:space="preserve">I’m so so scared of my kidney function. I’ve been Type 1 for nine years now with A1C’s over 7 for the first 6-7 years. My last results were 5.7 after going low carb - I rarely spike above 10. However back in May, doctors found a small trace of protein in my urine, and ever since then I can’t stop panicking. Sometimes my urine will be a little foamy and I know that’s a symptom. </t>
        </is>
      </c>
      <c r="D3986" t="n">
        <v>3</v>
      </c>
      <c r="E3986" t="n">
        <v>3</v>
      </c>
      <c r="F3986">
        <f>HYPERLINK("https://www.reddit.com/r/diabetes/comments/7oitrh/kidney_function/")</f>
        <v/>
      </c>
      <c r="G3986" t="inlineStr">
        <is>
          <t>2018-01-06 03:45:28</t>
        </is>
      </c>
      <c r="H3986" t="inlineStr">
        <is>
          <t>Type 1</t>
        </is>
      </c>
    </row>
    <row r="3987">
      <c r="A3987" t="inlineStr">
        <is>
          <t>7oixzg</t>
        </is>
      </c>
      <c r="B3987" t="inlineStr">
        <is>
          <t>Possible type 2 diabetes? (18 year old)</t>
        </is>
      </c>
      <c r="C3987" t="inlineStr">
        <is>
          <t>Hi just wanted to ask is 7.9 mmol/L after a meal (3 hours) normal? My dad says i'm overreacting but my father and both his parents have type 2 and i'm really worried. So i was wondering whether i should get this checked. I'm right in the normal weight range, but then again my dad was also when he was diagnosed.</t>
        </is>
      </c>
      <c r="D3987" t="n">
        <v>2</v>
      </c>
      <c r="E3987" t="n">
        <v>5</v>
      </c>
      <c r="F3987">
        <f>HYPERLINK("https://www.reddit.com/r/diabetes/comments/7oixzg/possible_type_2_diabetes_18_year_old/")</f>
        <v/>
      </c>
      <c r="G3987" t="inlineStr">
        <is>
          <t>2018-01-06 04:17:48</t>
        </is>
      </c>
      <c r="H3987" t="inlineStr">
        <is>
          <t>Type 2</t>
        </is>
      </c>
    </row>
    <row r="3988">
      <c r="A3988" t="inlineStr">
        <is>
          <t>7ojezc</t>
        </is>
      </c>
      <c r="B3988" t="inlineStr">
        <is>
          <t>Thank you to the scientists who developed Trulicity.</t>
        </is>
      </c>
      <c r="C3988" t="inlineStr">
        <is>
          <t>That stuff changed my life.
That is all; carry on.....</t>
        </is>
      </c>
      <c r="D3988" t="n">
        <v>1</v>
      </c>
      <c r="E3988" t="n">
        <v>4</v>
      </c>
      <c r="F3988">
        <f>HYPERLINK("https://www.reddit.com/r/diabetes/comments/7ojezc/thank_you_to_the_scientists_who_developed/")</f>
        <v/>
      </c>
      <c r="G3988" t="inlineStr">
        <is>
          <t>2018-01-06 06:08:25</t>
        </is>
      </c>
      <c r="H3988" t="inlineStr">
        <is>
          <t>Type 2</t>
        </is>
      </c>
    </row>
    <row r="3989">
      <c r="A3989" t="inlineStr">
        <is>
          <t>7olaw3</t>
        </is>
      </c>
      <c r="B3989" t="inlineStr">
        <is>
          <t>None of my supplies use batteries anymore - one burden lifted off my shoulder - win!</t>
        </is>
      </c>
      <c r="C3989" t="inlineStr">
        <is>
          <t xml:space="preserve">Right now, my setup is Dex G5, tslim:X2 and the onetouch verioIQ meter.  None of these devices use batteries.  They all charge via microusb or miniusb for the Verio.  Not having to carry batteries around with me or have them in the house is honestly really liberating. 
One time in the airport, my battery on the Animas Ping was "Low".  For those of you who deal with that, you know that alarm starts at least a day before the battery runs out.  You never know when it will finally stop delivering.  Almost as soon as I had gotten passed security my pump decided the batteries were done.  I was a bit sunk as I didn't have any with me, and all the stores were closed since it was so early in the morning.  There was this little airport gift shop that was supposed to open in like a half hour or so.  I didn't even know if they sold AA batteries, but it was my only shot at it.  I waited for them to open (they opened a few minutes late) and they did have some batteries.  I had to spend like $10 on them, but I was safe and still able to make it to the flight on time.
Now I wouldn't let my t:slim battery get that low.  It is easy to charge while you're in the shower.  If it did for some reason, I always have my phone charger with me so charging it wouldn't be hard.  microusb is so common that probably someone in the airport had a phone charger I could borrow in case if I didn't have one.  Heck, the airport may have had a charging station similar to how they are in malls now.  AA batteries would have been a much harder sell.
Not having batteries anymore just makes diabetes feel more free.  One less item to put on my shopping list, to budget for, to carry with me.
</t>
        </is>
      </c>
      <c r="D3989" t="n">
        <v>7</v>
      </c>
      <c r="E3989" t="n">
        <v>2</v>
      </c>
      <c r="F3989">
        <f>HYPERLINK("https://www.reddit.com/r/diabetes/comments/7olaw3/none_of_my_supplies_use_batteries_anymore_one/")</f>
        <v/>
      </c>
      <c r="G3989" t="inlineStr">
        <is>
          <t>2018-01-06 11:26:44</t>
        </is>
      </c>
      <c r="H3989" t="inlineStr">
        <is>
          <t>Type 1</t>
        </is>
      </c>
    </row>
    <row r="3990">
      <c r="A3990" t="inlineStr">
        <is>
          <t>7oonuh</t>
        </is>
      </c>
      <c r="B3990" t="inlineStr">
        <is>
          <t>1 Year Anniversary</t>
        </is>
      </c>
      <c r="C3990" t="inlineStr">
        <is>
          <t>Yesterday was my 1 Year Anniversary of having Type 1 Diabetes.  I’ve lowered my A1C from 14+ (at diagnosis) to 5.7 as of December 28th. In that one year I’ve learned more about blood glucose, carbohydrates, sugars, A1C, and insulin than I ever thought I would. Ive put more needles, lancets and monitors in body than ever before! And I’ve made some great connections and even started helping some youngins cope with their new diagnosis! This disease is a bitch, and I’ve gained a new level of respect for all that have had it and dealt with it for way longer than I have! But this has brought with it a newfound strength and outlook on life. Not saying I’m happy I’ve got it, but I’m doing my best to make the best of a shitty situation! Keep fighting the good fight my friends!</t>
        </is>
      </c>
      <c r="D3990" t="n">
        <v>21</v>
      </c>
      <c r="E3990" t="n">
        <v>12</v>
      </c>
      <c r="F3990">
        <f>HYPERLINK("https://www.reddit.com/r/diabetes/comments/7oonuh/1_year_anniversary/")</f>
        <v/>
      </c>
      <c r="G3990" t="inlineStr">
        <is>
          <t>2018-01-06 20:56:24</t>
        </is>
      </c>
      <c r="H3990" t="inlineStr">
        <is>
          <t>Type 1</t>
        </is>
      </c>
    </row>
    <row r="3991">
      <c r="A3991" t="inlineStr">
        <is>
          <t>7osg4c</t>
        </is>
      </c>
      <c r="B3991" t="inlineStr">
        <is>
          <t>Newly diagnosed T2, on Metformin and Victoza for 5 days... Bathroom issues!</t>
        </is>
      </c>
      <c r="C3991" t="inlineStr">
        <is>
          <t>Diagnosed recently, probably been this way at least a year, blah blah blah.  Haven't had my dietician appointment yet so I'm just avoiding carbs for now.  500mg x2 daily metformin, 0.6mg Victoza 1x daily.
To be blunt... at what point will these meds stop causing my to shit myself?  I've had uncontrollable diarrhea for 4 days now, including several times I didn't make it to a toilet.  I've been taking fiber supplements to help starting yesterday.  I would try to get more fiber in my actual diet, but the pure nausea, lack of appetite, and fear of eating aren't helping.  I'm lucky if I can choke down a tiny meal or two a day.
I'm already down 2 sick days over these side effects.  I doubt I can go to the office tomorrow, so hopefully I can work from home.  It doesn't help that I just changed from a super lenient manager to one who doesn't give a shit what's going on with you.
When should this shit (literally) let up?  When do I need to ask my doctor again?  My follow up isn't for another 4 weeks.</t>
        </is>
      </c>
      <c r="D3991" t="n">
        <v>1</v>
      </c>
      <c r="E3991" t="n">
        <v>17</v>
      </c>
      <c r="F3991">
        <f>HYPERLINK("https://www.reddit.com/r/diabetes/comments/7osg4c/newly_diagnosed_t2_on_metformin_and_victoza_for_5/")</f>
        <v/>
      </c>
      <c r="G3991" t="inlineStr">
        <is>
          <t>2018-01-07 10:51:35</t>
        </is>
      </c>
      <c r="H3991" t="inlineStr">
        <is>
          <t>Type 2</t>
        </is>
      </c>
    </row>
    <row r="3992">
      <c r="A3992" t="inlineStr">
        <is>
          <t>7ot37o</t>
        </is>
      </c>
      <c r="B3992" t="inlineStr">
        <is>
          <t>How long will the Metformin nausea last?</t>
        </is>
      </c>
      <c r="C3992" t="inlineStr">
        <is>
          <t xml:space="preserve">I get nauseous from my Metformin. I'm on Extended Release 750mg twice a day, which is significantly lower than what I used to have. I actually stopped taking it for a good while because the dose lowering didn't help. My question is basically - when did the nausea stop for you all? Weeks, months, never? It's *so* crazy uncomfortable. I just feel a baseline of nausea *all day.* 
 I'm also on Zofran 4mg. Which I take with the morning dose but not at night, since I'm sleeping. And I'm obviously not asking for any definitive medical advice; just opinions. Thanks. </t>
        </is>
      </c>
      <c r="D3992" t="n">
        <v>1</v>
      </c>
      <c r="E3992" t="n">
        <v>4</v>
      </c>
      <c r="F3992">
        <f>HYPERLINK("https://www.reddit.com/r/diabetes/comments/7ot37o/how_long_will_the_metformin_nausea_last/")</f>
        <v/>
      </c>
      <c r="G3992" t="inlineStr">
        <is>
          <t>2018-01-07 12:28:07</t>
        </is>
      </c>
      <c r="H3992" t="inlineStr">
        <is>
          <t>Type 2</t>
        </is>
      </c>
    </row>
    <row r="3993">
      <c r="A3993" t="inlineStr">
        <is>
          <t>7oua0p</t>
        </is>
      </c>
      <c r="B3993" t="inlineStr">
        <is>
          <t>Dexcom through Pharmacy Benefits</t>
        </is>
      </c>
      <c r="C3993" t="inlineStr">
        <is>
          <t xml:space="preserve">I am a Dexcom G5 user and my transmitter and sensors were previously covered via DME and ordered directly from Dexcom. 
My new Rx benefits (OptumRx) cover Dexcom in the formulary as a "tier 3", which makes it a $35 copay for 30 days, and my DME covers it at 70% but I have to meet the 1,000 deductible first.
Before my DME covered my Diabetic supplies at 100% so I have no idea what the OOP cost would actually be through this new DME coverage, but I'm betting it'd be much higher than the $35/mo Rx benefit.
I am now at a loss of how to refill my Dexcom, and would like to know if anyone has experience in ordering the transmitter and sensors through either OptumRx or directly from a pharmacy, and if you could share said experience so I know how to proceed. 
Thanks! 
</t>
        </is>
      </c>
      <c r="D3993" t="n">
        <v>0</v>
      </c>
      <c r="E3993" t="n">
        <v>8</v>
      </c>
      <c r="F3993">
        <f>HYPERLINK("https://www.reddit.com/r/diabetes/comments/7oua0p/dexcom_through_pharmacy_benefits/")</f>
        <v/>
      </c>
      <c r="G3993" t="inlineStr">
        <is>
          <t>2018-01-07 15:27:39</t>
        </is>
      </c>
      <c r="H3993" t="inlineStr">
        <is>
          <t>Type 1</t>
        </is>
      </c>
    </row>
    <row r="3994">
      <c r="A3994" t="inlineStr">
        <is>
          <t>7ous9u</t>
        </is>
      </c>
      <c r="B3994" t="inlineStr">
        <is>
          <t>Type 1 diabetes has been a real roller coaster for me</t>
        </is>
      </c>
      <c r="C3994" t="inlineStr">
        <is>
          <t xml:space="preserve">I’m 36 and was diagnosed as a type 1 back in September. When I started novolog and lantus I gained 15lbs in 2 weeks. I’ve always had a history of eating disorder (ednos, I’d swap between anorexia and bulimia) but was doing OK for over a year. When I saw the weight gain something broke again inside me. I equated the insulin to weight gain. Yeah, I stopped it.
 Then I became pregnant. I had relost those 15lbs, but now I was pregnant and read up on the dangers of high blood sugar and pregnancy so I resumed my insulin therapy but didn’t change a thing about my diet. My morning numbers were always over 350. 
I had a miscarriage at 11wks. I blamed myself and did something really stupid. I went off my insulin again. Not only that I ate all the sweets and carbs and started purging again. 
Dec 1st, I get my kids off to school and wasn’t feeling right. It was like I couldn’t catch my breath. I started to call my job to bang out, instead I had this sense of urgency and called my husband instead. I told him something was very wrong and I needed to head to the hospital. He left work to drive me there. 
All I remember is telling the triage nurse I couldn’t breathe, laying down on the stretcher then darkness. I was out for 2 days. When I woke up I was in an ICU hooked up to all kinds of IVs. 
I had pneumonia, was in diabetic ketoacidosis, and had a stroke in my cerebellum. 
I was terrified. I let my inner demons and self loathing get the better of me. 
In November I received my pump, but couldn’t get a training date until 1/3. I was being good after my stay in the hospital, tracking my sugars, taking my insulin, but my morning numbers were still in the 300s. Then I read on here about a diabetes book by a dr Bernstein (I think that’s his name). I ordered it and read through it from start to finish. 
The next day I was even more diligent. I started counting carbs. Everything I had been eating was loaded with them. I decided to follow the advice in the book and eat extremely low carb. The next morning my sugar was 200. Shocker, I should have known from the beginning low carb was the key. 
Since my 36th birthday on 12/15 my morning blood sugars have been a lot better. Up until my pump they were in the 200-250 range. Since 1/3 and getting my pump up and running they’ve been hovering around 160/170 and my meal numbers have been phenomenal. I actually feel GOOD. I can’t remember the last time I felt clear headed and ready to face the day. 
My sensors arrived Friday, I see the diabetes educator on 1/18 to set that up. I’m excited for this new chapter in my life. I will finally have control over my health. 
I know I can do this. Thanks r/diabetes. You’re all life savers. Every post, question, fact, troubleshooting posts... they’re all extremely helpful. More than most of you realize. </t>
        </is>
      </c>
      <c r="D3994" t="n">
        <v>43</v>
      </c>
      <c r="E3994" t="n">
        <v>6</v>
      </c>
      <c r="F3994">
        <f>HYPERLINK("https://www.reddit.com/r/diabetes/comments/7ous9u/type_1_diabetes_has_been_a_real_roller_coaster/")</f>
        <v/>
      </c>
      <c r="G3994" t="inlineStr">
        <is>
          <t>2018-01-07 16:49:37</t>
        </is>
      </c>
      <c r="H3994" t="inlineStr">
        <is>
          <t>Type 1</t>
        </is>
      </c>
    </row>
    <row r="3995">
      <c r="A3995" t="inlineStr">
        <is>
          <t>7ova6o</t>
        </is>
      </c>
      <c r="B3995" t="inlineStr">
        <is>
          <t>Question about correcting low sugars with active insulin .</t>
        </is>
      </c>
      <c r="C3995" t="inlineStr">
        <is>
          <t xml:space="preserve">Hey everyone , I’ve been a diabetic for 9 years, but really don’t eat the many carbs . Whenever I have a high carb meal I feel I’m high after  because I’m too afraid of dropping my sugar too quickly and not being able to have it go back up . 
My question is , is there such thing as sugar dropping too quickly ? Should I be worried and eat extra carbs if I’m low 1 hour or 45 minutes after eating to account for the active insulin ? 
I really want to start eating like a normal person again , so if anyone has guidance let me know . Thanks </t>
        </is>
      </c>
      <c r="D3995" t="n">
        <v>3</v>
      </c>
      <c r="E3995" t="n">
        <v>6</v>
      </c>
      <c r="F3995">
        <f>HYPERLINK("https://www.reddit.com/r/diabetes/comments/7ova6o/question_about_correcting_low_sugars_with_active/")</f>
        <v/>
      </c>
      <c r="G3995" t="inlineStr">
        <is>
          <t>2018-01-07 18:12:29</t>
        </is>
      </c>
      <c r="H3995" t="inlineStr">
        <is>
          <t>Type 1</t>
        </is>
      </c>
    </row>
    <row r="3996">
      <c r="A3996" t="inlineStr">
        <is>
          <t>7owhco</t>
        </is>
      </c>
      <c r="B3996" t="inlineStr">
        <is>
          <t>Question about meters</t>
        </is>
      </c>
      <c r="C3996" t="inlineStr">
        <is>
          <t>So when I was diagnosed T2 last July they gave me a OneTouch Verio Flex and I've been using that since. It may not have all the fancy bells and whistles that others do but I'm fine without them. Online I've seen a lot of reviews stating how this one seems to consistently run at least a few points higher than other glucose monitors. Personally, it isn't enough for me to buy a new one just yet since that makes me feel a little better that my levels *might* be a little lower than the reading says. 
However, I'm curious if I should purchase a second one and if so, which ones do you guys think are worth choosing? My doctor recommended tracking my sugar once a week but I've been doing it more often while testing different recipes. Would it be worth a second meter?</t>
        </is>
      </c>
      <c r="D3996" t="n">
        <v>2</v>
      </c>
      <c r="E3996" t="n">
        <v>5</v>
      </c>
      <c r="F3996">
        <f>HYPERLINK("https://www.reddit.com/r/diabetes/comments/7owhco/question_about_meters/")</f>
        <v/>
      </c>
      <c r="G3996" t="inlineStr">
        <is>
          <t>2018-01-07 21:44:47</t>
        </is>
      </c>
      <c r="H3996" t="inlineStr">
        <is>
          <t>Type 2</t>
        </is>
      </c>
    </row>
    <row r="3997">
      <c r="A3997" t="inlineStr">
        <is>
          <t>7oy7p2</t>
        </is>
      </c>
      <c r="B3997" t="inlineStr">
        <is>
          <t>Down 35 lbs, missed a dosage of Metformin last night and woke up feeling better than I have in months... and my glucose level is way too high.</t>
        </is>
      </c>
      <c r="C3997" t="inlineStr">
        <is>
          <t>So, for a brief moment I thought maybe the weight loss was starting to make the metformin unnecessary. I'd never stop taking it without a doctor's okay, but the thought did occur that maybe dropping about 15% of my body weight was having some kind of positive effect.
Nope. My sugar after a missed dose was at 250 this morning. 
There wasn't really a point to this post, just needed to get it off my chest. It's driving me crazy and I can't tell if the metformin is making me feel ill the time, or just stress. And I'm not sure why I feel so much better waking up after a missed dose.
And the fact that my sugar is still so high even with all the weight I've worked to lose over this past year, is super depressing.</t>
        </is>
      </c>
      <c r="D3997" t="n">
        <v>1</v>
      </c>
      <c r="E3997" t="n">
        <v>8</v>
      </c>
      <c r="F3997">
        <f>HYPERLINK("https://www.reddit.com/r/diabetes/comments/7oy7p2/down_35_lbs_missed_a_dosage_of_metformin_last/")</f>
        <v/>
      </c>
      <c r="G3997" t="inlineStr">
        <is>
          <t>2018-01-08 04:30:51</t>
        </is>
      </c>
      <c r="H3997" t="inlineStr">
        <is>
          <t>Type 2</t>
        </is>
      </c>
    </row>
    <row r="3998">
      <c r="A3998" t="inlineStr">
        <is>
          <t>7ozn22</t>
        </is>
      </c>
      <c r="B3998" t="inlineStr">
        <is>
          <t>Looking for an endocrinologist in New York City</t>
        </is>
      </c>
      <c r="C3998" t="inlineStr">
        <is>
          <t>I’m looking for a new doctor in NYC. I’m having some struggles with control so I’ll need a doctor that can be patient with me (my current one is not.) Thank you in advance!</t>
        </is>
      </c>
      <c r="D3998" t="n">
        <v>1</v>
      </c>
      <c r="E3998" t="n">
        <v>2</v>
      </c>
      <c r="F3998">
        <f>HYPERLINK("https://www.reddit.com/r/diabetes/comments/7ozn22/looking_for_an_endocrinologist_in_new_york_city/")</f>
        <v/>
      </c>
      <c r="G3998" t="inlineStr">
        <is>
          <t>2018-01-08 08:29:58</t>
        </is>
      </c>
      <c r="H3998" t="inlineStr">
        <is>
          <t>Type 1</t>
        </is>
      </c>
    </row>
    <row r="3999">
      <c r="A3999" t="inlineStr">
        <is>
          <t>7ozvqy</t>
        </is>
      </c>
      <c r="B3999" t="inlineStr">
        <is>
          <t>What can I use to keep my Dexcom sensor on all week?</t>
        </is>
      </c>
      <c r="C3999" t="inlineStr">
        <is>
          <t>I've tried Tegaderm, beige micropore medical tape, and the opague/white medical tape with a grid look to it, and none of these really stick to the point I'm not just anxious after day 3 that my sensor will fall off. Does anyone have other suggestions?</t>
        </is>
      </c>
      <c r="D3999" t="n">
        <v>1</v>
      </c>
      <c r="E3999" t="n">
        <v>10</v>
      </c>
      <c r="F3999">
        <f>HYPERLINK("https://www.reddit.com/r/diabetes/comments/7ozvqy/what_can_i_use_to_keep_my_dexcom_sensor_on_all/")</f>
        <v/>
      </c>
      <c r="G3999" t="inlineStr">
        <is>
          <t>2018-01-08 09:03:43</t>
        </is>
      </c>
      <c r="H3999" t="inlineStr">
        <is>
          <t>Type 1</t>
        </is>
      </c>
    </row>
    <row r="4000">
      <c r="A4000" t="inlineStr">
        <is>
          <t>7p194p</t>
        </is>
      </c>
      <c r="B4000" t="inlineStr">
        <is>
          <t>I am pretty stupid sometimes</t>
        </is>
      </c>
      <c r="C4000" t="inlineStr">
        <is>
          <t>I have a story of my stupidity for all of you.
I arrived at work this morning and checked my bg, which was sitting wonderfully at 93. It was consistent from when I woke up so it look it was a good start to the day. Traffic was even light on my way in.
Fast forward about 4 hours. I am feeling a bit off so I check my bg. It had spiked to 334 (verified with a second test and clean hands).  I am surprised my dexcom didn't alert me, so I reach into my pocket to check my pump (t:slim x2 with the dexcom displayed). It all becomes clear to me.
I didn't reconnect my pump after showing and left it at home.
Well kids, this is why you keep back up needles around. Looks like I am going to be giving myself manual injections until I get the chance to leave early.</t>
        </is>
      </c>
      <c r="D4000" t="n">
        <v>3</v>
      </c>
      <c r="E4000" t="n">
        <v>8</v>
      </c>
      <c r="F4000">
        <f>HYPERLINK("https://www.reddit.com/r/diabetes/comments/7p194p/i_am_pretty_stupid_sometimes/")</f>
        <v/>
      </c>
      <c r="G4000" t="inlineStr">
        <is>
          <t>2018-01-08 12:05:47</t>
        </is>
      </c>
      <c r="H4000" t="inlineStr">
        <is>
          <t>Type 1</t>
        </is>
      </c>
    </row>
    <row r="4001">
      <c r="A4001" t="inlineStr">
        <is>
          <t>7p1bp3</t>
        </is>
      </c>
      <c r="B4001" t="inlineStr">
        <is>
          <t>Favorite Dexcom locations</t>
        </is>
      </c>
      <c r="C4001" t="inlineStr">
        <is>
          <t>Hey all. I'm curious to hear what everyone's favorite Dexcom locations are. My wife has been putting them on her abdomen, but more and more often she'll have pain and/or bleeding (sometimes just a little, sometimes a lot) there. She called Dexcom support and they basically shrugged. She once tried it on the upper butt on someone else's recommendation, but she felt like it kept getting caught on pants (and her pants don't all ride at the same height, so it's hard to find a single spot that works for all pants).</t>
        </is>
      </c>
      <c r="D4001" t="n">
        <v>2</v>
      </c>
      <c r="E4001" t="n">
        <v>7</v>
      </c>
      <c r="F4001">
        <f>HYPERLINK("https://www.reddit.com/r/diabetes/comments/7p1bp3/favorite_dexcom_locations/")</f>
        <v/>
      </c>
      <c r="G4001" t="inlineStr">
        <is>
          <t>2018-01-08 12:15:09</t>
        </is>
      </c>
      <c r="H4001" t="inlineStr">
        <is>
          <t>Type 1.5/LADA</t>
        </is>
      </c>
    </row>
    <row r="4002">
      <c r="A4002" t="inlineStr">
        <is>
          <t>7p203f</t>
        </is>
      </c>
      <c r="B4002" t="inlineStr">
        <is>
          <t>[Support]Doctor just called about my 6yo daughter..</t>
        </is>
      </c>
      <c r="C4002" t="inlineStr">
        <is>
          <t xml:space="preserve">She has high amounts of glucose in her urine and expedited her A1C test. She said she feels very likely it's t1d due to her age and medical history. 
Background. 3 weeks ago she caught fifths disease. Ever since she hasn't been herself. She has been thirsty, moody, lazy borderlining lethargic, and biggest she has lost almost 3 pounds. 
Today we decided enough is enough and took her to the doc. She called and said her glucose was very high considering she hasn't eaten for 3 hours prior. She sent off for an a1c even though it wasn't fasting. I should get the results tomorrow afternoon. 
I am trying to get a grip on this. What should I expect the next few months for us to look like if/when we get the positive result? </t>
        </is>
      </c>
      <c r="D4002" t="n">
        <v>4</v>
      </c>
      <c r="E4002" t="n">
        <v>16</v>
      </c>
      <c r="F4002">
        <f>HYPERLINK("https://www.reddit.com/r/diabetes/comments/7p203f/supportdoctor_just_called_about_my_6yo_daughter/")</f>
        <v/>
      </c>
      <c r="G4002" t="inlineStr">
        <is>
          <t>2018-01-08 13:43:06</t>
        </is>
      </c>
      <c r="H4002" t="inlineStr">
        <is>
          <t>Type 1</t>
        </is>
      </c>
    </row>
    <row r="4003">
      <c r="A4003" t="inlineStr">
        <is>
          <t>7p2ehg</t>
        </is>
      </c>
      <c r="B4003" t="inlineStr">
        <is>
          <t>Dexcom G6 Android Support? (For IT-minded folks)</t>
        </is>
      </c>
      <c r="C4003" t="inlineStr">
        <is>
          <t xml:space="preserve">Hi everyone, 
I am in a little bit of a pickle because I have lost my phone and need to replace it.  I really dislike the iphone, but I got one two years ago because the G5 app only worked on iOS. Since I am not familiar with how apps work, when the Dexcom G6 is released should I expect that the G6 app will likely NOT have android support at first just like with the G5 or will it likely be available for the android devices that are currently supported? 
This will help me decide which phone to get. Thanks. </t>
        </is>
      </c>
      <c r="D4003" t="n">
        <v>1</v>
      </c>
      <c r="E4003" t="n">
        <v>6</v>
      </c>
      <c r="F4003">
        <f>HYPERLINK("https://www.reddit.com/r/diabetes/comments/7p2ehg/dexcom_g6_android_support_for_itminded_folks/")</f>
        <v/>
      </c>
      <c r="G4003" t="inlineStr">
        <is>
          <t>2018-01-08 14:37:52</t>
        </is>
      </c>
      <c r="H4003" t="inlineStr">
        <is>
          <t>Type 1</t>
        </is>
      </c>
    </row>
    <row r="4004">
      <c r="A4004" t="inlineStr">
        <is>
          <t>7p396l</t>
        </is>
      </c>
      <c r="B4004" t="inlineStr">
        <is>
          <t>What is happening to my uncle</t>
        </is>
      </c>
      <c r="C4004" t="inlineStr">
        <is>
          <t>My uncle recently has been having episodes where he sweats, gets very dizzy and generally doesn't feel good. Doctors say it may have something to do with his heart or blood pressure but they truly have no idea. Recently he's been experiencing vomiting as well. I don't know any other way to help him other than posting on this sub. If anyone has any idea on what may be happening to him it would be greatly appreciated. I know there isn't a lot of info on his symptoms but any suggestions are welcome.</t>
        </is>
      </c>
      <c r="D4004" t="n">
        <v>0</v>
      </c>
      <c r="E4004" t="n">
        <v>7</v>
      </c>
      <c r="F4004">
        <f>HYPERLINK("https://www.reddit.com/r/diabetes/comments/7p396l/what_is_happening_to_my_uncle/")</f>
        <v/>
      </c>
      <c r="G4004" t="inlineStr">
        <is>
          <t>2018-01-08 16:41:55</t>
        </is>
      </c>
      <c r="H4004" t="inlineStr">
        <is>
          <t>Type 2</t>
        </is>
      </c>
    </row>
    <row r="4005">
      <c r="A4005" t="inlineStr">
        <is>
          <t>7p48hf</t>
        </is>
      </c>
      <c r="B4005" t="inlineStr">
        <is>
          <t>Anyone want to share their high carb Type 1 A1cs?</t>
        </is>
      </c>
      <c r="C4005" t="inlineStr">
        <is>
          <t xml:space="preserve">I know that high carb vs low carb is a touchy subject here. But politics aside, I'm interested in what kind of A1cs people are getting who are on high carb diets. You can define high carb however you want! For me, I eat about 300-400 carbs a day lately. 
My latest was 6.2%. But **big disclaimer** I attribute a lot of that to using a Libre for the last few months. Really makes it easy to fine-tune your decisions. Pre-Libre A1c's were closet to 6.4-6.7
I was curious to see what kind of numbers people are getting! </t>
        </is>
      </c>
      <c r="D4005" t="n">
        <v>5</v>
      </c>
      <c r="E4005" t="n">
        <v>23</v>
      </c>
      <c r="F4005">
        <f>HYPERLINK("https://www.reddit.com/r/diabetes/comments/7p48hf/anyone_want_to_share_their_high_carb_type_1_a1cs/")</f>
        <v/>
      </c>
      <c r="G4005" t="inlineStr">
        <is>
          <t>2018-01-08 19:17:30</t>
        </is>
      </c>
      <c r="H4005" t="inlineStr">
        <is>
          <t>Type 1</t>
        </is>
      </c>
    </row>
    <row r="4006">
      <c r="A4006" t="inlineStr">
        <is>
          <t>7p5n57</t>
        </is>
      </c>
      <c r="B4006" t="inlineStr">
        <is>
          <t>Blood Glucose is at 320...with about another 1.5 hours of Insulin On Board. Suggestions?</t>
        </is>
      </c>
      <c r="C4006" t="inlineStr">
        <is>
          <t>No signs of dropping</t>
        </is>
      </c>
      <c r="D4006" t="n">
        <v>1</v>
      </c>
      <c r="E4006" t="n">
        <v>11</v>
      </c>
      <c r="F4006">
        <f>HYPERLINK("https://www.reddit.com/r/diabetes/comments/7p5n57/blood_glucose_is_at_320with_about_another_15/")</f>
        <v/>
      </c>
      <c r="G4006" t="inlineStr">
        <is>
          <t>2018-01-08 23:51:37</t>
        </is>
      </c>
      <c r="H4006" t="inlineStr">
        <is>
          <t>Type 1</t>
        </is>
      </c>
    </row>
    <row r="4007">
      <c r="A4007" t="inlineStr">
        <is>
          <t>7p5zg2</t>
        </is>
      </c>
      <c r="B4007" t="inlineStr">
        <is>
          <t>Macronutrients for a T2 runner?</t>
        </is>
      </c>
      <c r="C4007" t="inlineStr">
        <is>
          <t xml:space="preserve">I have a physical exam coming up and I'm doing everything in my power to pass it. That includes running about 1.5 miles a day (Or, If I'm able to do that in under 20 minutes, for a total duration of 30 minutes) and some body weight exercises. (Simple push-ups, pull-ups, and crunches.)
On a whim, I looked up what my maintenance calorie intake should be and what % of that I should be getting from protein and fat. (I eat very low carb, but not quite keto.)
Here's the kicker: According to this calculator, I'm supposed to be eating [102g of carbs PER DAY.](https://imgur.com/vTnyAJv)
Aw heeeeeell naw. I'd be dead and footless.
My last A1C was 4.7 and I am not screwing that one up.
Any advice here? Are macros not really that important? I am building muscle, so I'm doing something right.
</t>
        </is>
      </c>
      <c r="D4007" t="n">
        <v>1</v>
      </c>
      <c r="E4007" t="n">
        <v>2</v>
      </c>
      <c r="F4007">
        <f>HYPERLINK("https://www.reddit.com/r/diabetes/comments/7p5zg2/macronutrients_for_a_t2_runner/")</f>
        <v/>
      </c>
      <c r="G4007" t="inlineStr">
        <is>
          <t>2018-01-09 01:18:04</t>
        </is>
      </c>
      <c r="H4007" t="inlineStr">
        <is>
          <t>Type 2</t>
        </is>
      </c>
    </row>
    <row r="4008">
      <c r="A4008" t="inlineStr">
        <is>
          <t>7pb4yy</t>
        </is>
      </c>
      <c r="B4008" t="inlineStr">
        <is>
          <t>Ripping my skin off!</t>
        </is>
      </c>
      <c r="C4008" t="inlineStr">
        <is>
          <t>Hey All!  I've been on the Pod now for a little over 3 weeks and I LOVE IT.  The only issue that continues to bother me is removing it from my skin.  Talk about ouch, I feel like I'm ripping my skin off because it just has that much adhesion to my body.  Don't get me wrong, I am thankful for this aspect as my Medtronic pump tape would always come off if I even sweat just a little.  Imagine being at the pool, or walking in high humidity - tape just peeled off.
Any suggestions on how to remove the pod without removing my skin?  My trainer said to use baby oil GEL, is that something you guys have tried?
Advice, please!!!  And thanks!  Happy almost HUMP DAY!</t>
        </is>
      </c>
      <c r="D4008" t="n">
        <v>2</v>
      </c>
      <c r="E4008" t="n">
        <v>13</v>
      </c>
      <c r="F4008">
        <f>HYPERLINK("https://www.reddit.com/r/diabetes/comments/7pb4yy/ripping_my_skin_off/")</f>
        <v/>
      </c>
      <c r="G4008" t="inlineStr">
        <is>
          <t>2018-01-09 15:06:39</t>
        </is>
      </c>
      <c r="H4008" t="inlineStr">
        <is>
          <t>Type 1</t>
        </is>
      </c>
    </row>
    <row r="4009">
      <c r="A4009" t="inlineStr">
        <is>
          <t>7pd04l</t>
        </is>
      </c>
      <c r="B4009" t="inlineStr">
        <is>
          <t>Waking up to Alarms Suggestions?</t>
        </is>
      </c>
      <c r="C4009" t="inlineStr">
        <is>
          <t>I’ve been a type 1 diabetic for 7 years now and am a junior in high school and going off to college soon. I’ve had trouble waking up to alarms at night due to a reliance on my parents which is concerning for both my parents and myself. I’ve almost “trained” myself to sleep through anything due to lots of lows after getting home late from football games. Right now I’m working on setting an alarm at 3 am and waking up to that and if not getting doused with water by my parents. Would eventually like to graduate to waking up to my dexcom alarm. Any Suggestions?</t>
        </is>
      </c>
      <c r="D4009" t="n">
        <v>2</v>
      </c>
      <c r="E4009" t="n">
        <v>10</v>
      </c>
      <c r="F4009">
        <f>HYPERLINK("https://www.reddit.com/r/diabetes/comments/7pd04l/waking_up_to_alarms_suggestions/")</f>
        <v/>
      </c>
      <c r="G4009" t="inlineStr">
        <is>
          <t>2018-01-09 20:00:37</t>
        </is>
      </c>
      <c r="H4009" t="inlineStr">
        <is>
          <t>Type 1</t>
        </is>
      </c>
    </row>
    <row r="4010">
      <c r="A4010" t="inlineStr">
        <is>
          <t>7pdi64</t>
        </is>
      </c>
      <c r="B4010" t="inlineStr">
        <is>
          <t>spaghetti wheat noodles, meat sauce = me feeling high</t>
        </is>
      </c>
      <c r="C4010" t="inlineStr">
        <is>
          <t>This evening I had some lovely spaghetti that I made myself. With wheat noodles meat sauce. My sugar has been feeling extremely high but I'm only registering right now at 122. What should I do? I'm about to lay down and go to sleep for the evening. And also watch the office on Netflix. If you know of any other good shows please let me know. take care to all my diabetic friends out there that I have yet to meet.
-Noel</t>
        </is>
      </c>
      <c r="D4010" t="n">
        <v>1</v>
      </c>
      <c r="E4010" t="n">
        <v>3</v>
      </c>
      <c r="F4010">
        <f>HYPERLINK("https://www.reddit.com/r/diabetes/comments/7pdi64/spaghetti_wheat_noodles_meat_sauce_me_feeling_high/")</f>
        <v/>
      </c>
      <c r="G4010" t="inlineStr">
        <is>
          <t>2018-01-09 21:33:07</t>
        </is>
      </c>
      <c r="H4010" t="inlineStr">
        <is>
          <t>Type 1</t>
        </is>
      </c>
    </row>
    <row r="4011">
      <c r="A4011" t="inlineStr">
        <is>
          <t>7pg0n5</t>
        </is>
      </c>
      <c r="B4011" t="inlineStr">
        <is>
          <t>Type 1 Diabetics who've taught abroad?</t>
        </is>
      </c>
      <c r="C4011" t="inlineStr">
        <is>
          <t>Hi, I'm thinking a career change and would love to teach English abroad in another country. I've been T1D for nearly 18 years and have good control of my numbers; but I'm concerned that if I were to interview for a position and be prompted to go through the visa process, I may not pass and be able to teach elsewhere because of my diabetes.
I'm wondering if anyone here has been through this process/successfully taught abroad or know anyone who has. And if so, what program did you teach through and what challenges did you face due to your diabetes?
Appreciate any insights you can provide!</t>
        </is>
      </c>
      <c r="D4011" t="n">
        <v>1</v>
      </c>
      <c r="E4011" t="n">
        <v>14</v>
      </c>
      <c r="F4011">
        <f>HYPERLINK("https://www.reddit.com/r/diabetes/comments/7pg0n5/type_1_diabetics_whove_taught_abroad/")</f>
        <v/>
      </c>
      <c r="G4011" t="inlineStr">
        <is>
          <t>2018-01-10 06:48:01</t>
        </is>
      </c>
      <c r="H4011" t="inlineStr">
        <is>
          <t>Type 1</t>
        </is>
      </c>
    </row>
    <row r="4012">
      <c r="A4012" t="inlineStr">
        <is>
          <t>7ph2hb</t>
        </is>
      </c>
      <c r="B4012" t="inlineStr">
        <is>
          <t>Frustrating blood sugar control</t>
        </is>
      </c>
      <c r="C4012" t="inlineStr">
        <is>
          <t>I don’t want to overload you guys with info so I’ll try and make this straight forward.
11 days ago I went out and had a couple of beers with my friend for his bday. I don’t drink often (maybe a 6 pack a year total). I didn’t really even feel the effects of the alcohol. Drank 21 oz over two hours. Went home, felt fine, went to sleep. Woke up, ate breakfast, took my metformin (500mg) and went to church. Started feeling shaky in church. Got home and was very shaky. Checked my reading. 64. 2 hours after breakfast. Crap. Well, maybe it’s due to the alcohol and metformin working against me. So, I ate to offset everything. I didn’t feel right the rest of the day. Just keep eating small things to stay afloat.
Fast forward to 7 days ago. I was feeling a bit better and went on a walk outside. I came back and felt a wave of gravity hit me all at once. I felt like I couldn’t breathe or walk straight. I chalked it up to low blood sugar or anxiety or both. Stopped taking my metformin since I couldn’t seem to control my lows. Went to doc the next day and got labs done for CBC and A1C. The CBC revealed normal values. Here’s my past and current A1C.
December 2016 - 7.3
June 2017 - 5.3
January 2018 - 5.1
Guys, I’m not even trying hard to keep my sugar low. I watch my carb intake, but I don’t imprison myself in no-carb jail. I limit my intake per meal/snack. I was on the lowest dosage I could be on (500mg metformin once a day with a 5mg lisinopril ace inhibitor). 
I was told by my doc to immediately cease my metformin dosage due to my A1C of 5.1. 
Been off of metformin for a week and every day I’ve felt the effects of low blood sugar. Confusion, wobbly legs, irritability, etc. I honestly feel drunk. On top of that I’ve built this ridiculous panic/anxiety over it and that peaks when I drop my bsg. It’s proving very difficult to keep my blood sugar up. I can’t skip a meal or wait on it. I haven’t seen a value over 130 yet as a result of these episodes. This morning I woke up, got ready, drank some juice since I had to run to work and bolted. Had a meeting and finally had a chance to eat. My sugar was 74 and I felt like crap. Like I was gonna pass out.
There are honestly even times where my sugar is in the 90-110 range and I feel very low. So, when I hit 65-75 I feel like I’m gonna die. 
My doc has me doing a diary for the next 4 days and I’ll follow up with them. Doesn’t change the fact that I feel like this. It’s really frustrating, scary, and I don’t feel like myself. I feel like I’m gonna die over some dumbass blood sugar problems.
Does anyone have any clue as to what is going on with me? This feels very much the opposite of what a T2 deals with. Am I even diabetic? Did I do some kind of irreversible damage to myself? Pretty desperate for answers at the moment. Thanks.</t>
        </is>
      </c>
      <c r="D4012" t="n">
        <v>2</v>
      </c>
      <c r="E4012" t="n">
        <v>9</v>
      </c>
      <c r="F4012">
        <f>HYPERLINK("https://www.reddit.com/r/diabetes/comments/7ph2hb/frustrating_blood_sugar_control/")</f>
        <v/>
      </c>
      <c r="G4012" t="inlineStr">
        <is>
          <t>2018-01-10 09:21:03</t>
        </is>
      </c>
      <c r="H4012" t="inlineStr">
        <is>
          <t>Type 2</t>
        </is>
      </c>
    </row>
    <row r="4013">
      <c r="A4013" t="inlineStr">
        <is>
          <t>7pijc2</t>
        </is>
      </c>
      <c r="B4013" t="inlineStr">
        <is>
          <t>OneTouch meters</t>
        </is>
      </c>
      <c r="C4013" t="inlineStr">
        <is>
          <t>I've been using a Freestyle Lite meter for years but now, my employer has switched to CVS for pharmacy and they want me to use either a Onetouch Verio, Verio Flex or Verio IQ.
Does anyone have any thoughts about which one to use? I've read various comments about accuracy on the OneTouch meters but think I don't have a choice since OneTouch is CVS' favored meter.
I sort of like the Verio over the Flex and IQ but still unsure. Any help is appreciated.</t>
        </is>
      </c>
      <c r="D4013" t="n">
        <v>2</v>
      </c>
      <c r="E4013" t="n">
        <v>7</v>
      </c>
      <c r="F4013">
        <f>HYPERLINK("https://www.reddit.com/r/diabetes/comments/7pijc2/onetouch_meters/")</f>
        <v/>
      </c>
      <c r="G4013" t="inlineStr">
        <is>
          <t>2018-01-10 12:39:26</t>
        </is>
      </c>
      <c r="H4013" t="inlineStr">
        <is>
          <t>Type 2</t>
        </is>
      </c>
    </row>
    <row r="4014">
      <c r="A4014" t="inlineStr">
        <is>
          <t>7pmrxu</t>
        </is>
      </c>
      <c r="B4014" t="inlineStr">
        <is>
          <t>Equivalent to toujeo (Australia)</t>
        </is>
      </c>
      <c r="C4014" t="inlineStr">
        <is>
          <t xml:space="preserve">Hi I was wondering there was a similar insulin on the market to that of Toujeo. Apparently my dad went to get some from his local doctor and it's not listed on the social security list yet. Any other suggestions for other types? </t>
        </is>
      </c>
      <c r="D4014" t="n">
        <v>0</v>
      </c>
      <c r="E4014" t="n">
        <v>7</v>
      </c>
      <c r="F4014">
        <f>HYPERLINK("https://www.reddit.com/r/diabetes/comments/7pmrxu/equivalent_to_toujeo_australia/")</f>
        <v/>
      </c>
      <c r="G4014" t="inlineStr">
        <is>
          <t>2018-01-11 00:36:23</t>
        </is>
      </c>
      <c r="H4014" t="inlineStr">
        <is>
          <t>Type 1</t>
        </is>
      </c>
    </row>
    <row r="4015">
      <c r="A4015" t="inlineStr">
        <is>
          <t>7ppzmk</t>
        </is>
      </c>
      <c r="B4015" t="inlineStr">
        <is>
          <t>B12</t>
        </is>
      </c>
      <c r="C4015" t="inlineStr">
        <is>
          <t>Does anyone have any experience with using B12 as a diabetic? I've been really struggling with my energy levels, especially after lunch at work (I'm in an office) when I really need to be getting stuff done. I've never taken B12 prior but bought some and am trying it out today. So far I feel great other than feeling hypo when I'm at an 83, but that's been happening anyway due to finally finding a good dose of Lantus. If not B12, other suggestions would be much appreciated!</t>
        </is>
      </c>
      <c r="D4015" t="n">
        <v>1</v>
      </c>
      <c r="E4015" t="n">
        <v>5</v>
      </c>
      <c r="F4015">
        <f>HYPERLINK("https://www.reddit.com/r/diabetes/comments/7ppzmk/b12/")</f>
        <v/>
      </c>
      <c r="G4015" t="inlineStr">
        <is>
          <t>2018-01-11 10:08:42</t>
        </is>
      </c>
      <c r="H4015" t="inlineStr">
        <is>
          <t>Type 1.5/LADA</t>
        </is>
      </c>
    </row>
    <row r="4016">
      <c r="A4016" t="inlineStr">
        <is>
          <t>7pq1dz</t>
        </is>
      </c>
      <c r="B4016" t="inlineStr">
        <is>
          <t>Arrrgggh! I hate diabetes</t>
        </is>
      </c>
      <c r="C4016" t="inlineStr">
        <is>
          <t>So I had the first real low today that I've had in a year. I've forgotten how shitty it feels when the number hits 62. Recently got put on Victoza and it is working gangbusters. Called doc because my long acting insulin needs to be reduced. Was reduced last week by 4u. Maybe need more.</t>
        </is>
      </c>
      <c r="D4016" t="n">
        <v>8</v>
      </c>
      <c r="E4016" t="n">
        <v>5</v>
      </c>
      <c r="F4016">
        <f>HYPERLINK("https://www.reddit.com/r/diabetes/comments/7pq1dz/arrrgggh_i_hate_diabetes/")</f>
        <v/>
      </c>
      <c r="G4016" t="inlineStr">
        <is>
          <t>2018-01-11 10:15:13</t>
        </is>
      </c>
      <c r="H4016" t="inlineStr">
        <is>
          <t>Type 2</t>
        </is>
      </c>
    </row>
    <row r="4017">
      <c r="A4017" t="inlineStr">
        <is>
          <t>7pr3ba</t>
        </is>
      </c>
      <c r="B4017" t="inlineStr">
        <is>
          <t>How do you guys deal with the existential grief of Type 1? That we were dealt a bad hand, and cheated out of a fuller life</t>
        </is>
      </c>
      <c r="C4017" t="inlineStr">
        <is>
          <t>I'm not even 30, and have neuropathic pain setting in. My eyesight is getting worse, sexual dysfunction. 
Many of my friends are planning for full lives, and I feel mine already ending, in some sort of complication tragedy or by me taking my own life when it gets too bad
How do you guys deal? Does anyone else with Type 1 feel like this</t>
        </is>
      </c>
      <c r="D4017" t="n">
        <v>8</v>
      </c>
      <c r="E4017" t="n">
        <v>23</v>
      </c>
      <c r="F4017">
        <f>HYPERLINK("https://www.reddit.com/r/diabetes/comments/7pr3ba/how_do_you_guys_deal_with_the_existential_grief/")</f>
        <v/>
      </c>
      <c r="G4017" t="inlineStr">
        <is>
          <t>2018-01-11 12:37:11</t>
        </is>
      </c>
      <c r="H4017" t="inlineStr">
        <is>
          <t>Type 1</t>
        </is>
      </c>
    </row>
    <row r="4018">
      <c r="A4018" t="inlineStr">
        <is>
          <t>7ps9rx</t>
        </is>
      </c>
      <c r="B4018" t="inlineStr">
        <is>
          <t>Nerve Pain</t>
        </is>
      </c>
      <c r="C4018" t="inlineStr">
        <is>
          <t>Type 2 here. Actually my doctor says I am a type 2/Type 1 hybrid, which has always confused me. 
I am sitting here trying to sleep (need to be to work in 4.5 hours) and I have this awful nerve pain in my big toe. Worst I have ever had. Throbs every 3 to 5 seconds. 
Any tips on how to deal with this? Took some over the counter pain meds to no effect. Trying not to have to use a sick day.</t>
        </is>
      </c>
      <c r="D4018" t="n">
        <v>2</v>
      </c>
      <c r="E4018" t="n">
        <v>3</v>
      </c>
      <c r="F4018">
        <f>HYPERLINK("https://www.reddit.com/r/diabetes/comments/7ps9rx/nerve_pain/")</f>
        <v/>
      </c>
      <c r="G4018" t="inlineStr">
        <is>
          <t>2018-01-11 15:22:42</t>
        </is>
      </c>
      <c r="H4018" t="inlineStr">
        <is>
          <t>Type 1.5/LADA</t>
        </is>
      </c>
    </row>
    <row r="4019">
      <c r="A4019" t="inlineStr">
        <is>
          <t>7pts0t</t>
        </is>
      </c>
      <c r="B4019" t="inlineStr">
        <is>
          <t>Parents of children with T1D, how do you proactively move forward?</t>
        </is>
      </c>
      <c r="C4019" t="inlineStr">
        <is>
          <t xml:space="preserve">My teenage daughter was diagnosed in June.  Within that time she was also diagnosed with severe depression and anxiety disorder. I had always considered myself as been a loving, attentive, and responsible single father (primary custody)...however, since my daughter's diagnosis, I've become even more so...to the tenth power.  I can only describe it as being on overdrive in order to make sure that my little girl is well.  
I'm by no means admiting any sort of defeat, not by a long shot.  However, emotionally I feel drained...physically tired/sleepy...socially I've become a hermit...and my faith, well I've come to question my beliefs for the first time in my life.  
Now, I am fully conscious that what I'm experiencing doesn't even come to compare to what my little girl is feeling.  With that in mind, I always put on my strong face and handle what needs to be handled for her benefit...never allowing her to see that I'm crushed inside by what her diagnosis is putting her through.  I need to continue being strong for her.
Which is why I turn to this community for possible words of wisdom.  
-How do parents move forward? 
-As a crummy "new normal" for my daughter, will there ever be a point in the future where second nature (as it pertains to managing T1D) takes hold?  
-As parents, how do you find time for working on your personal self?  (Physically, Socially, and Emotionally) 
-Any advice or recomendations?  </t>
        </is>
      </c>
      <c r="D4019" t="n">
        <v>1</v>
      </c>
      <c r="E4019" t="n">
        <v>26</v>
      </c>
      <c r="F4019">
        <f>HYPERLINK("https://www.reddit.com/r/diabetes/comments/7pts0t/parents_of_children_with_t1d_how_do_you/")</f>
        <v/>
      </c>
      <c r="G4019" t="inlineStr">
        <is>
          <t>2018-01-11 19:20:46</t>
        </is>
      </c>
      <c r="H4019" t="inlineStr">
        <is>
          <t>Type 1</t>
        </is>
      </c>
    </row>
    <row r="4020">
      <c r="A4020" t="inlineStr">
        <is>
          <t>7ptw28</t>
        </is>
      </c>
      <c r="B4020" t="inlineStr">
        <is>
          <t>Sky rocketing bg from GF foods. Help!</t>
        </is>
      </c>
      <c r="C4020" t="inlineStr">
        <is>
          <t xml:space="preserve">Hey all, lucky type 1 with celiac here. I’ve noticed over the years that when I dose for gluten free bread products my blood sugar sky rockets as if the carb count was wrong. I’m getting the carb count from the nutritional info on the packaging, but it’s as if I should be taking twice as much insulin for gf products. 
I’ve been frustrated enough that I’ve just been living on a low carb diet instead of battling the mystery carbs of these foods. 
Any one else experience this? Is there an explanation I’m missing? Thank you! </t>
        </is>
      </c>
      <c r="D4020" t="n">
        <v>3</v>
      </c>
      <c r="E4020" t="n">
        <v>16</v>
      </c>
      <c r="F4020">
        <f>HYPERLINK("https://www.reddit.com/r/diabetes/comments/7ptw28/sky_rocketing_bg_from_gf_foods_help/")</f>
        <v/>
      </c>
      <c r="G4020" t="inlineStr">
        <is>
          <t>2018-01-11 19:40:07</t>
        </is>
      </c>
      <c r="H4020" t="inlineStr">
        <is>
          <t>Type 1</t>
        </is>
      </c>
    </row>
    <row r="4021">
      <c r="A4021" t="inlineStr">
        <is>
          <t>7pur08</t>
        </is>
      </c>
      <c r="B4021" t="inlineStr">
        <is>
          <t>The New Normal</t>
        </is>
      </c>
      <c r="C4021" t="inlineStr">
        <is>
          <t xml:space="preserve">Hello everyone,
I have been lurking on here for a little while, and thought it was time to post 
with my story to get kind of involved in this community.
I was just diagnosed a month ago (Dec 5th admitted to hospital in DKA).  I had been waking up in the middle of the night for 2 weeks to go to the bathroom, was really thirsty with a dry mouth, on top of feeling really nauseous and craving anything sweet, and lost 20 pounds in about 2 weeks, a lot of weight for me 6'3" 160lbs normal weight.  Upon admission to the Hospital/ICU my blood sugar was 803 mg/dL and I had an A1c of 15.0%.  Luckily being in CO, I am near one of the top diabetes institutes in the nation, The Barbara Davis Center in Denver.  
It has been a long month working on trying to get the new normal to be the new normal.  I think normality sort of set in pretty early for me as my granddad has had T1 since the 1950s, so I have grown up seeing the process of managing the disease.  Despite this easyish transition, life has still been hard.  I was accepted and offered an appointment to the US Coast Guard Academy, but now will likely not be able to attend because diabetes is medically disqualifying (I am trying to get a waiver, but the chances are slim).  And I have had a few bad days where everything is done right, but the blood sugar is low one moment and high the next.  About two weeks in I have really sort of stabilized in the normal range, but will still have weird spikes here and there.  I hate having to think so much before eating anything, and having lost the freedom to eat whatever I want, whenever I want.  I eat about 300-400g of carbs a day, pretty high I know but within range according to my dietitian (40-50% calories = carbs, 3000-3500 calories/day).  Also, eating low carb is not really feasible for me as I am a long distance runner.  This has brought along its own host of problems.  Even just a short 10-15 minute run at a really easy pace drops me so fast, but I guess this is going to be one of the biggest learning curves yet.  I really want a cgm just for running, so I can easily see what is going on with my BG.  That's it for the venting.
My honeymoon is almost in full swing I think my I:C ratios have gone from 1:8 to 1:20 and my lantus has decreased from 19 to 14.  How long do you think it will last?  I am 18 years old, and the beginning of the honeymoon probably started 2 weeks ago according to my doctors.  Also, will the honeymoon get even more pronounced?
Thanks for listening to my ramblings, as well has just being on this subreddit with so much information and advice.  I have already decided to try and get a pump as soon as the doctors will let me because pens can be a pain in the ass sometimes. 
</t>
        </is>
      </c>
      <c r="D4021" t="n">
        <v>11</v>
      </c>
      <c r="E4021" t="n">
        <v>7</v>
      </c>
      <c r="F4021">
        <f>HYPERLINK("https://www.reddit.com/r/diabetes/comments/7pur08/the_new_normal/")</f>
        <v/>
      </c>
      <c r="G4021" t="inlineStr">
        <is>
          <t>2018-01-11 22:21:44</t>
        </is>
      </c>
      <c r="H4021" t="inlineStr">
        <is>
          <t>Type 1</t>
        </is>
      </c>
    </row>
    <row r="4022">
      <c r="A4022" t="inlineStr">
        <is>
          <t>7pwila</t>
        </is>
      </c>
      <c r="B4022" t="inlineStr">
        <is>
          <t>Blood sugar going up each meal?</t>
        </is>
      </c>
      <c r="C4022" t="inlineStr">
        <is>
          <t>My mom just got out of the hospital for a leg amputation. While she was in, she obviously had meals prepped for her and her blood sugar, while not great was pretty consistent. She's been diabetic for about 25 years now, and it's always been hard for her to control her sloop sugar.
Now that she's home we've been prepping her meals and portioning them out carefully, but her numbers are still going up. All day yesterday, they were higher each meal than the one before, snacks included. 
Although, Tuesday, she tanked out at 54 and Wednesday she had one at 82. We are frustrated, and I don't know why this is happening. 
We go to her primary on Thursday, and I am calling her Endo today, but can anyone give me some insight?</t>
        </is>
      </c>
      <c r="D4022" t="n">
        <v>5</v>
      </c>
      <c r="E4022" t="n">
        <v>7</v>
      </c>
      <c r="F4022">
        <f>HYPERLINK("https://www.reddit.com/r/diabetes/comments/7pwila/blood_sugar_going_up_each_meal/")</f>
        <v/>
      </c>
      <c r="G4022" t="inlineStr">
        <is>
          <t>2018-01-12 05:20:31</t>
        </is>
      </c>
      <c r="H4022" t="inlineStr">
        <is>
          <t>Type 2</t>
        </is>
      </c>
    </row>
    <row r="4023">
      <c r="A4023" t="inlineStr">
        <is>
          <t>7px2f7</t>
        </is>
      </c>
      <c r="B4023" t="inlineStr">
        <is>
          <t>Going on cruise with Dexcom G5 Mobile</t>
        </is>
      </c>
      <c r="C4023" t="inlineStr">
        <is>
          <t xml:space="preserve">Hi. My son and I are going on a cruise in a few weeks. He uses the Dexcom G5 mobile app to keep track of his sugars. He never received the G5 receiver; has always just used his iphone. I know he will not be able to use it on the cruise. But was wondering if I purchase the internet plan if his app will work? Does anyone have experience with this? I tried getting his G4 receiver updated but Dexcom said it could not be done since it is out of warranty. Said I have to purchase a G5 receiver which is expensive and really we would only use it for the cruise. Any advice is greatly appreciated. He's been using the Dexcom for several years and is not interested in going back to testing 10+ times a day. Also, anyone know of loaner programs for Dexcom receivers or a way to purchase one at a reduces cost? Thanks in advance. </t>
        </is>
      </c>
      <c r="D4023" t="n">
        <v>1</v>
      </c>
      <c r="E4023" t="n">
        <v>12</v>
      </c>
      <c r="F4023">
        <f>HYPERLINK("https://www.reddit.com/r/diabetes/comments/7px2f7/going_on_cruise_with_dexcom_g5_mobile/")</f>
        <v/>
      </c>
      <c r="G4023" t="inlineStr">
        <is>
          <t>2018-01-12 06:55:33</t>
        </is>
      </c>
      <c r="H4023" t="inlineStr">
        <is>
          <t>Type 1</t>
        </is>
      </c>
    </row>
    <row r="4024">
      <c r="A4024" t="inlineStr">
        <is>
          <t>7pxopd</t>
        </is>
      </c>
      <c r="B4024" t="inlineStr">
        <is>
          <t>CGM</t>
        </is>
      </c>
      <c r="C4024" t="inlineStr">
        <is>
          <t>Hi everyone, my doctor is recommending the FreeStyle Libre as a CGM.  I went to my pharmacy and that looked like $225 for a 90-day supply of sensors.  Does this sound typical or should I look for alternatives?  Thanks!</t>
        </is>
      </c>
      <c r="D4024" t="n">
        <v>10</v>
      </c>
      <c r="E4024" t="n">
        <v>27</v>
      </c>
      <c r="F4024">
        <f>HYPERLINK("https://www.reddit.com/r/diabetes/comments/7pxopd/cgm/")</f>
        <v/>
      </c>
      <c r="G4024" t="inlineStr">
        <is>
          <t>2018-01-12 08:28:15</t>
        </is>
      </c>
      <c r="H4024" t="inlineStr">
        <is>
          <t>Type 1</t>
        </is>
      </c>
    </row>
    <row r="4025">
      <c r="A4025" t="inlineStr">
        <is>
          <t>7pym1b</t>
        </is>
      </c>
      <c r="B4025" t="inlineStr">
        <is>
          <t>Question about complications</t>
        </is>
      </c>
      <c r="C4025" t="inlineStr">
        <is>
          <t>Hey, Im a 15 year old boy and I’ve had type one diabetes since I was 9 years old. I normally have good control over my blood sugar (my a1c is usually around 6-6.5) but recently I've had a much harder time and after a few weeks of struggling with my blood sugars got an a1c of 7.3. My doctor says that this is because of teenage hormones and not to worry to much about it so I didn't give it much thought until I started reading about all the complications that people who have had diabetes way longer than me received after not controlling their blood sugars (Nephropathy, retinopathy, neuropathy, nerve pain, and a bunch of other things) and I don't want to spend the rest of my life regretting not controlling my blood sugars as a teenager.So my questions to the people with more experience than me:
1. How bad are the complications
2. How bad do your blood sugars need to be in order to get the complications
3. If you control your blood sugars can you completely prevent complications
4. Are there any suggestions or other things I need to know
thanks to anyone who took the time read this, sorry if I sound stupid I just dont wanna fuck up the rest of my life because of mistake I made as a teenager
EDIT 1: Thanks to everyone who responded, it really helps. I'll try to worry less about my blood sugars and I'll start following the advice that everyone here talked about. :)</t>
        </is>
      </c>
      <c r="D4025" t="n">
        <v>30</v>
      </c>
      <c r="E4025" t="n">
        <v>25</v>
      </c>
      <c r="F4025">
        <f>HYPERLINK("https://www.reddit.com/r/diabetes/comments/7pym1b/question_about_complications/")</f>
        <v/>
      </c>
      <c r="G4025" t="inlineStr">
        <is>
          <t>2018-01-12 10:35:08</t>
        </is>
      </c>
      <c r="H4025" t="inlineStr">
        <is>
          <t>Type 1</t>
        </is>
      </c>
    </row>
    <row r="4026">
      <c r="A4026" t="inlineStr">
        <is>
          <t>7pzlcy</t>
        </is>
      </c>
      <c r="B4026" t="inlineStr">
        <is>
          <t>Does having T1D Children effect your Taxes?</t>
        </is>
      </c>
      <c r="C4026" t="inlineStr">
        <is>
          <t>First things first, minor update to [this post](https://www.reddit.com/r/diabetes/comments/76ad6l/just_learned_our_toddler_has_type_1_would_love/), kiddo is doing great all things considered.  It's been a wild ride getting used to the lifestyle changes we've had to make as parents to take care of his needs.  I lost count of how many times in these last months I've stayed up until 1-2am with a bottle or cup of milk ready for the inevitable sugar crash when he, being a toddler, refuses to eat the tasty dinner that's been prepared earlier the same night.  Meal preparation has evolved into an art-form involving mathematics, and he's finally used to the insulin needles and says "thank you" for after-meal doses, knowing that they help him not feel sick after eating big lunches and (sometimes) dinners :)
We took most of the advice we received to heart and he's now equipped with a Dexcom 5, which has been a real boon to our peace-of-mind.  We're talking with the docs about getting an Omnipod next.
My question, as mentioned in the title, is about taxes.  Taxes are just around the corner (USA) and a few people have mentioned something about medical deductions on taxes for diabetes care, as well as something called a Disability Tax Credit.  To those of you with T1D kids, does their situation impact your finances when you file taxes in the US?  If so, what's needed to account for that when filing?
Thanks,</t>
        </is>
      </c>
      <c r="D4026" t="n">
        <v>8</v>
      </c>
      <c r="E4026" t="n">
        <v>10</v>
      </c>
      <c r="F4026">
        <f>HYPERLINK("https://www.reddit.com/r/diabetes/comments/7pzlcy/does_having_t1d_children_effect_your_taxes/")</f>
        <v/>
      </c>
      <c r="G4026" t="inlineStr">
        <is>
          <t>2018-01-12 12:50:08</t>
        </is>
      </c>
      <c r="H4026" t="inlineStr">
        <is>
          <t>Type 1</t>
        </is>
      </c>
    </row>
    <row r="4027">
      <c r="A4027" t="inlineStr">
        <is>
          <t>7pzllt</t>
        </is>
      </c>
      <c r="B4027" t="inlineStr">
        <is>
          <t>Wahoo! Another improvement in A1C</t>
        </is>
      </c>
      <c r="C4027" t="inlineStr">
        <is>
          <t>I needed a good way to end the week and I sure got one. My A1C has dropped from 14% to 6.7% over the course of a year. I had to look at the test results again because I could not believe it. If this could just improve a little bit more by the time I go to gastric bypass surgery, I'll be even happier. Although, at this level, I am considered safe for surgery.</t>
        </is>
      </c>
      <c r="D4027" t="n">
        <v>22</v>
      </c>
      <c r="E4027" t="n">
        <v>5</v>
      </c>
      <c r="F4027">
        <f>HYPERLINK("https://www.reddit.com/r/diabetes/comments/7pzllt/wahoo_another_improvement_in_a1c/")</f>
        <v/>
      </c>
      <c r="G4027" t="inlineStr">
        <is>
          <t>2018-01-12 12:51:01</t>
        </is>
      </c>
      <c r="H4027" t="inlineStr">
        <is>
          <t>Type 2</t>
        </is>
      </c>
    </row>
    <row r="4028">
      <c r="A4028" t="inlineStr">
        <is>
          <t>7pzy8b</t>
        </is>
      </c>
      <c r="B4028" t="inlineStr">
        <is>
          <t>Diabetes and the Flu experiences?</t>
        </is>
      </c>
      <c r="C4028" t="inlineStr">
        <is>
          <t>I got my vaccine as I do every year, so I hope I stay flu free, but the news stories this year about the strain that’s going around have caught my attention. I’m an otherwise healthy 23 year old, so I don’t feel too concerned, but I figured you guys might have some flu stories to share. I really don’t know how bad it would actually be if a type 1 diabetic like myself caught it!</t>
        </is>
      </c>
      <c r="D4028" t="n">
        <v>2</v>
      </c>
      <c r="E4028" t="n">
        <v>4</v>
      </c>
      <c r="F4028">
        <f>HYPERLINK("https://www.reddit.com/r/diabetes/comments/7pzy8b/diabetes_and_the_flu_experiences/")</f>
        <v/>
      </c>
      <c r="G4028" t="inlineStr">
        <is>
          <t>2018-01-12 13:40:45</t>
        </is>
      </c>
      <c r="H4028" t="inlineStr">
        <is>
          <t>Type 1</t>
        </is>
      </c>
    </row>
    <row r="4029">
      <c r="A4029" t="inlineStr">
        <is>
          <t>7q2no6</t>
        </is>
      </c>
      <c r="B4029" t="inlineStr">
        <is>
          <t>Bleeding Dexcom site</t>
        </is>
      </c>
      <c r="C4029" t="inlineStr">
        <is>
          <t xml:space="preserve">For the first time, my daughter's Dexcom site began bleeding as soon as I inserted it.  Will it still function? </t>
        </is>
      </c>
      <c r="D4029" t="n">
        <v>2</v>
      </c>
      <c r="E4029" t="n">
        <v>6</v>
      </c>
      <c r="F4029">
        <f>HYPERLINK("https://www.reddit.com/r/diabetes/comments/7q2no6/bleeding_dexcom_site/")</f>
        <v/>
      </c>
      <c r="G4029" t="inlineStr">
        <is>
          <t>2018-01-12 21:26:05</t>
        </is>
      </c>
      <c r="H4029" t="inlineStr">
        <is>
          <t>Type 1</t>
        </is>
      </c>
    </row>
    <row r="4030">
      <c r="A4030" t="inlineStr">
        <is>
          <t>7q2v7p</t>
        </is>
      </c>
      <c r="B4030" t="inlineStr">
        <is>
          <t>A1C</t>
        </is>
      </c>
      <c r="C4030" t="inlineStr">
        <is>
          <t>My A1C dropped from an 8 to a 7.3 - my goal for my next check-up is to be at a 6.7. Fingers crossed and hard work put in!</t>
        </is>
      </c>
      <c r="D4030" t="n">
        <v>32</v>
      </c>
      <c r="E4030" t="n">
        <v>18</v>
      </c>
      <c r="F4030">
        <f>HYPERLINK("https://www.reddit.com/r/diabetes/comments/7q2v7p/a1c/")</f>
        <v/>
      </c>
      <c r="G4030" t="inlineStr">
        <is>
          <t>2018-01-12 22:13:28</t>
        </is>
      </c>
      <c r="H4030" t="inlineStr">
        <is>
          <t>Type 1</t>
        </is>
      </c>
    </row>
    <row r="4031">
      <c r="A4031" t="inlineStr">
        <is>
          <t>7q50wa</t>
        </is>
      </c>
      <c r="B4031" t="inlineStr">
        <is>
          <t>Anxiety about upcoming test for type 2</t>
        </is>
      </c>
      <c r="C4031" t="inlineStr">
        <is>
          <t xml:space="preserve">Hi all,
To give background, I was reading around the internet, and suddenly became extremely anxiety ridden about having Type 2. I am about 6 foot tall, 250lbs, and live a sedentary lifestyle and don’t eat well at all. Regardless of any doctor/health things, this needs to change and I’ve been making steady progress on that. 
In light of this, I emailed my GP. I just had a physical in late November, so we had fairly recent data to work with. While an A1C test was not included, blood glucose (98), triglycerides (129 mg/dL), and HDL cholesterol  (44mg/dL) were all tested in the blood test, while ketones and glucose were also tested for in a urine test (both of these were negative). Prior to the tests, I had not fasted (he asked for a different reason) - I had a bacon egg and cheese roll, and a chocolate chip scone alongside at least two cups of coffee. My B12 was low (289pg/mL), as was Vitamin D and testosterone.
He said after looking at the results that he didn’t think I needed an urgent test for diabetes, but because I have a mental disorder that sometimes gives me high anxiety (bipolar 2), I scheduled an appointment for a test next week. 
Since then, I can’t stop reading into things. For example, I freaked out this morning about wanting a glass of water, or noting that I drink a lot of water at work (4 liters per day, much less on the weekends). I often feel as if I have dribbles of pee that need to come out. I also had a recent eye exam and while my eyesight was worse than last year, it was only minorly so, with the doctor attributing it to excessive screen usage because of my office job. None of the other tests (eye pressure, glaucoma) came back with bad results. 
My half-sister is Type 1 diabetic, but she was diagnosed after showing the most extreme symptoms (like fainting, etc). 
How worried should I be? I can’t stop freaking out. </t>
        </is>
      </c>
      <c r="D4031" t="n">
        <v>7</v>
      </c>
      <c r="E4031" t="n">
        <v>11</v>
      </c>
      <c r="F4031">
        <f>HYPERLINK("https://www.reddit.com/r/diabetes/comments/7q50wa/anxiety_about_upcoming_test_for_type_2/")</f>
        <v/>
      </c>
      <c r="G4031" t="inlineStr">
        <is>
          <t>2018-01-13 07:24:09</t>
        </is>
      </c>
      <c r="H4031" t="inlineStr">
        <is>
          <t>Type 2</t>
        </is>
      </c>
    </row>
    <row r="4032">
      <c r="A4032" t="inlineStr">
        <is>
          <t>7q5n0f</t>
        </is>
      </c>
      <c r="B4032" t="inlineStr">
        <is>
          <t>Emotionally challenging situation - necessary precautions?</t>
        </is>
      </c>
      <c r="C4032" t="inlineStr">
        <is>
          <t>My SO just unexpectedly broke up with me, leaving me a complete emotional mess.
As long as I'm still somewhat receptive, I'd like to ask more experienced people for any tips you might have for treatment management (t1d) during acute distress. I am mostly worried about not eating and getting black out drunk. Staying with a friend would probably be #1 option and I am working on this. Anything else until then? Thanks!</t>
        </is>
      </c>
      <c r="D4032" t="n">
        <v>11</v>
      </c>
      <c r="E4032" t="n">
        <v>11</v>
      </c>
      <c r="F4032">
        <f>HYPERLINK("https://www.reddit.com/r/diabetes/comments/7q5n0f/emotionally_challenging_situation_necessary/")</f>
        <v/>
      </c>
      <c r="G4032" t="inlineStr">
        <is>
          <t>2018-01-13 09:06:53</t>
        </is>
      </c>
      <c r="H4032" t="inlineStr">
        <is>
          <t>Type 1</t>
        </is>
      </c>
    </row>
    <row r="4033">
      <c r="A4033" t="inlineStr">
        <is>
          <t>7q8fk0</t>
        </is>
      </c>
      <c r="B4033" t="inlineStr">
        <is>
          <t>Side affects of new medications....Jardiance.</t>
        </is>
      </c>
      <c r="C4033" t="inlineStr">
        <is>
          <t>I started taking Jardiance for the first time yesterday. I woke up at 2AM with a pounding headache. 
The Dr. told me that dehydration was a possible side affect but there's nothing online that mentions headaches. I normally drink a lot of water anyway but I started drinking more than normal. 
It's now 4PM and I still have a headache. It could be coincidence after starting this new medication but I don't normally get headaches (and rarely do they last this long).
Anyone else experience this?</t>
        </is>
      </c>
      <c r="D4033" t="n">
        <v>2</v>
      </c>
      <c r="E4033" t="n">
        <v>3</v>
      </c>
      <c r="F4033">
        <f>HYPERLINK("https://www.reddit.com/r/diabetes/comments/7q8fk0/side_affects_of_new_medicationsjardiance/")</f>
        <v/>
      </c>
      <c r="G4033" t="inlineStr">
        <is>
          <t>2018-01-13 16:18:35</t>
        </is>
      </c>
      <c r="H4033" t="inlineStr">
        <is>
          <t>Type 2</t>
        </is>
      </c>
    </row>
    <row r="4034">
      <c r="A4034" t="inlineStr">
        <is>
          <t>7q9rdv</t>
        </is>
      </c>
      <c r="B4034" t="inlineStr">
        <is>
          <t>Had to share with someone</t>
        </is>
      </c>
      <c r="C4034" t="inlineStr">
        <is>
          <t>So I've been using a dexcon for a little while now, and I just got my tandem insulin pump. Trying to get back on track after years of not taking care of myself in college. The chart in [this](http://imgur.com/ix7PshM.jpg) picture is probably the most stable 24 hours I've had in years. Very happy with myself, thanks for listening!</t>
        </is>
      </c>
      <c r="D4034" t="n">
        <v>22</v>
      </c>
      <c r="E4034" t="n">
        <v>12</v>
      </c>
      <c r="F4034">
        <f>HYPERLINK("https://www.reddit.com/r/diabetes/comments/7q9rdv/had_to_share_with_someone/")</f>
        <v/>
      </c>
      <c r="G4034" t="inlineStr">
        <is>
          <t>2018-01-13 20:25:13</t>
        </is>
      </c>
      <c r="H4034" t="inlineStr">
        <is>
          <t>Type 1</t>
        </is>
      </c>
    </row>
    <row r="4035">
      <c r="A4035" t="inlineStr">
        <is>
          <t>7q9ua6</t>
        </is>
      </c>
      <c r="B4035" t="inlineStr">
        <is>
          <t>Can you *nearly* remove bolus insulin with closed loop combined with Keto/low carb and Intermittent Fasting?</t>
        </is>
      </c>
      <c r="C4035" t="inlineStr">
        <is>
          <t>I figure that during fasting, blood sugar would be almost normal on a closed loop.  You don't have food to bring your bg up.  At mealtime, Keto does not raise your blood sugar very fast, so you might have a high bg, but I'm thinking closed loop could bring it down within a reasonable period of time to where a bolus might not even be necessary.  Has anyone experienced this with OpenAPS or 670g?</t>
        </is>
      </c>
      <c r="D4035" t="n">
        <v>3</v>
      </c>
      <c r="E4035" t="n">
        <v>2</v>
      </c>
      <c r="F4035">
        <f>HYPERLINK("https://www.reddit.com/r/diabetes/comments/7q9ua6/can_you_nearly_remove_bolus_insulin_with_closed/")</f>
        <v/>
      </c>
      <c r="G4035" t="inlineStr">
        <is>
          <t>2018-01-13 20:41:01</t>
        </is>
      </c>
      <c r="H4035" t="inlineStr">
        <is>
          <t>Type 1</t>
        </is>
      </c>
    </row>
    <row r="4036">
      <c r="A4036" t="inlineStr">
        <is>
          <t>7qe2z7</t>
        </is>
      </c>
      <c r="B4036" t="inlineStr">
        <is>
          <t>Just diagnosed with T1. How can I reassure myself that this isn't a death sentence?</t>
        </is>
      </c>
      <c r="C4036" t="inlineStr">
        <is>
          <t>After losing 25 lbs in 5 weeks, I tested my blood sugar and came back 298. I was diagnosed today and am anxious that this is a "x amount of years" diagnosis. I am 20, have already had emergency open heart surgery, so in my mind, the t1 diagnoses is a scary as my last one. Help me reassure myself I can live a long life. What are your stories? Thanks &amp;lt;3</t>
        </is>
      </c>
      <c r="D4036" t="n">
        <v>36</v>
      </c>
      <c r="E4036" t="n">
        <v>65</v>
      </c>
      <c r="F4036">
        <f>HYPERLINK("https://www.reddit.com/r/diabetes/comments/7qe2z7/just_diagnosed_with_t1_how_can_i_reassure_myself/")</f>
        <v/>
      </c>
      <c r="G4036" t="inlineStr">
        <is>
          <t>2018-01-14 11:44:47</t>
        </is>
      </c>
      <c r="H4036" t="inlineStr">
        <is>
          <t>Type 1</t>
        </is>
      </c>
    </row>
    <row r="4037">
      <c r="A4037" t="inlineStr">
        <is>
          <t>7qe4zt</t>
        </is>
      </c>
      <c r="B4037" t="inlineStr">
        <is>
          <t>Does anyone have a sibling living with type 1 diabetes?</t>
        </is>
      </c>
      <c r="C4037" t="inlineStr">
        <is>
          <t>Hi everyone,
I am currently conducting an online survey in health psychology, and looking for people who have one sibling with an autoimmune disease, including type 1 diabetes. The study aims to explore health beliefs and behaviours of individuals who may have grown up with, or now have, a sibling with type 1 diabetes/an autoimmune disease. This is an area which has not been studied much at all before, and we are keen to learn more. The idea came from volunteering with young people living with long-term health conditions and their siblings.
I am conducting this study as a student at the University of Surrey. Responses are anonymous, and relevant ethical approval from the University has been sought. 
Unfortunately I cannot offer payment as a result of participation, but we do hope that responses can be used to advance our current knowledge of this particular field of research.
If you are over 18 years old, have a sibling diagnosed with any autoimmune disease, and do NOT have a diagnosis of any autoimmune disease yourself, you could take part. 
If the study may be of interest, more detailed information and the study itself can be found below. Most people take around 15 minutes to complete the survey. https://surreyfahs.eu.qualtrics.com/jfe/form/SV_8dI0Vbrvoo1iENn 
Many thanks for your consideration:)</t>
        </is>
      </c>
      <c r="D4037" t="n">
        <v>1</v>
      </c>
      <c r="E4037" t="n">
        <v>0</v>
      </c>
      <c r="F4037">
        <f>HYPERLINK("https://www.reddit.com/r/diabetes/comments/7qe4zt/does_anyone_have_a_sibling_living_with_type_1/")</f>
        <v/>
      </c>
      <c r="G4037" t="inlineStr">
        <is>
          <t>2018-01-14 11:53:08</t>
        </is>
      </c>
      <c r="H4037" t="inlineStr">
        <is>
          <t>Type 1</t>
        </is>
      </c>
    </row>
    <row r="4038">
      <c r="A4038" t="inlineStr">
        <is>
          <t>7qfiit</t>
        </is>
      </c>
      <c r="B4038" t="inlineStr">
        <is>
          <t>Update and Question: Doctor just called about my 6yo daughter..</t>
        </is>
      </c>
      <c r="C4038" t="inlineStr">
        <is>
          <t xml:space="preserve">Hi r/diabetes. This is an update to [my previous post](https://www.reddit.com/r/diabetes/comments/7p203f/supportdoctor_just_called_about_my_6yo_daughter/). My daughter was admitted to the hospital on Tuesday with very high BG of 556. There she was formally dx with T1D with her a1c being 16.4. 
She is allergic to isopropyl alcohol so we have been using chlorhexidine wipes instead since they have a smaller amount of alcohol in them.. Well they have caused the same rash as plain alcohol wipes. 
I called her endocrinologist who is currently searching for a good alternative. I have been searching myself. When the dr called back I am going to ask about benzalkonium antiseptic wipes. They are the ones typically used for clean catches. 
So r/diabetes, do you guys think  benzalkonium would be a good substitution?
</t>
        </is>
      </c>
      <c r="D4038" t="n">
        <v>5</v>
      </c>
      <c r="E4038" t="n">
        <v>23</v>
      </c>
      <c r="F4038">
        <f>HYPERLINK("https://www.reddit.com/r/diabetes/comments/7qfiit/update_and_question_doctor_just_called_about_my/")</f>
        <v/>
      </c>
      <c r="G4038" t="inlineStr">
        <is>
          <t>2018-01-14 15:19:57</t>
        </is>
      </c>
      <c r="H4038" t="inlineStr">
        <is>
          <t>Type 1</t>
        </is>
      </c>
    </row>
    <row r="4039">
      <c r="A4039" t="inlineStr">
        <is>
          <t>7qk6ba</t>
        </is>
      </c>
      <c r="B4039" t="inlineStr">
        <is>
          <t>Advice for a new Type 1</t>
        </is>
      </c>
      <c r="C4039" t="inlineStr">
        <is>
          <t>Hello everyone, I am a new type 1 diagnosed last week and my doctor currently has just put me on a basal insulin, pretty sure Lanus until I see a Endo. Any advice on what I need to ask, what is the best to take and etc. Thanks just trying to get a perspective before I go in.</t>
        </is>
      </c>
      <c r="D4039" t="n">
        <v>4</v>
      </c>
      <c r="E4039" t="n">
        <v>21</v>
      </c>
      <c r="F4039">
        <f>HYPERLINK("https://www.reddit.com/r/diabetes/comments/7qk6ba/advice_for_a_new_type_1/")</f>
        <v/>
      </c>
      <c r="G4039" t="inlineStr">
        <is>
          <t>2018-01-15 07:00:34</t>
        </is>
      </c>
      <c r="H4039" t="inlineStr">
        <is>
          <t>Type 1</t>
        </is>
      </c>
    </row>
    <row r="4040">
      <c r="A4040" t="inlineStr">
        <is>
          <t>7qk7qk</t>
        </is>
      </c>
      <c r="B4040" t="inlineStr">
        <is>
          <t>Migraines</t>
        </is>
      </c>
      <c r="C4040" t="inlineStr">
        <is>
          <t>I generally get migraines whenever my sugar goes really quickly from high to low and they pretty bad. Anybody who gets migraines as well have a good way to deal with them. I just find them extremely annoying...</t>
        </is>
      </c>
      <c r="D4040" t="n">
        <v>2</v>
      </c>
      <c r="E4040" t="n">
        <v>5</v>
      </c>
      <c r="F4040">
        <f>HYPERLINK("https://www.reddit.com/r/diabetes/comments/7qk7qk/migraines/")</f>
        <v/>
      </c>
      <c r="G4040" t="inlineStr">
        <is>
          <t>2018-01-15 07:06:30</t>
        </is>
      </c>
      <c r="H4040" t="inlineStr">
        <is>
          <t>Type 1</t>
        </is>
      </c>
    </row>
    <row r="4041">
      <c r="A4041" t="inlineStr">
        <is>
          <t>7qkkkv</t>
        </is>
      </c>
      <c r="B4041" t="inlineStr">
        <is>
          <t>T1 Diabetic (British by nationality) currently living in the Philippines. Glucose testing strips are incredibly expensive and I test regularly - what should I do?</t>
        </is>
      </c>
      <c r="C4041" t="inlineStr">
        <is>
          <t>I test 10-15 times a day, and have done so for the past ten years. This ensures that I can closely monitor my blood sugar levels, which are generally pretty well controlled. When living in England, all my medical supplies were subsidised, however now that I'm living overseas (working as an English teacher) the costs are really a little much (about $170 just for the glucose testing strips each month, not including another $100 or so for insulin/needles etc). 
Any advise on how to reduce costs/alternative methods of treatment?</t>
        </is>
      </c>
      <c r="D4041" t="n">
        <v>2</v>
      </c>
      <c r="E4041" t="n">
        <v>5</v>
      </c>
      <c r="F4041">
        <f>HYPERLINK("https://www.reddit.com/r/diabetes/comments/7qkkkv/t1_diabetic_british_by_nationality_currently/")</f>
        <v/>
      </c>
      <c r="G4041" t="inlineStr">
        <is>
          <t>2018-01-15 08:01:43</t>
        </is>
      </c>
      <c r="H4041" t="inlineStr">
        <is>
          <t>Type 1</t>
        </is>
      </c>
    </row>
    <row r="4042">
      <c r="A4042" t="inlineStr">
        <is>
          <t>7qlhxo</t>
        </is>
      </c>
      <c r="B4042" t="inlineStr">
        <is>
          <t>Type 1 and swimming</t>
        </is>
      </c>
      <c r="C4042" t="inlineStr">
        <is>
          <t>How much does sugars drop while swimming? Talking about a waterpark type of swimming trip, not even trying to exercise here, any tips? Feeling anxious about this.
 In general I feel like I cant be outside for more than 2 to 4 hours with diabetes as I'll go low, even from just walking around casually or what-ever, sometimes you get a 4 mmol/l drop, sometimes even more, sometimes none.</t>
        </is>
      </c>
      <c r="D4042" t="n">
        <v>2</v>
      </c>
      <c r="E4042" t="n">
        <v>6</v>
      </c>
      <c r="F4042">
        <f>HYPERLINK("https://www.reddit.com/r/diabetes/comments/7qlhxo/type_1_and_swimming/")</f>
        <v/>
      </c>
      <c r="G4042" t="inlineStr">
        <is>
          <t>2018-01-15 10:08:30</t>
        </is>
      </c>
      <c r="H4042" t="inlineStr">
        <is>
          <t>Type 1</t>
        </is>
      </c>
    </row>
    <row r="4043">
      <c r="A4043" t="inlineStr">
        <is>
          <t>7qnc1t</t>
        </is>
      </c>
      <c r="B4043" t="inlineStr">
        <is>
          <t>Friendly reminder that things can get better.</t>
        </is>
      </c>
      <c r="C4043" t="inlineStr">
        <is>
          <t xml:space="preserve">Ok, long post, but...
I was diagnosed 10 years ago and have had a very hard time controlling my blood sugars. When I turned 16 or so, I completely gave up checking. My senior year of high school I spent in the nurses office because I physically could not handle going to class from all the dizziness, nausea, vomiting and abdominal pain. The only reason I was there at all was because I wanted to graduate and didn't want my mom to get in trouble for me not going to school. The district nurse finally went to all my teachers and they agreed to give me the grades I had before I became so sick and graduate me early. From there, I just became more sick - in and out of the hospital for DKA, then in and out for DKA/Depression and/or suicidal intent. It was an extremely rough time for me, but the worst part was all the physical pain that came along with it, mostly abdominal. I decided if this was what my life was going to be like, I didn't want to do it. My next year was spent going from the ER, to spending days in the ICU, to going home for a day or two, then right back in the ER. This went on for a good portion of a year, all throughout holidays and birthdays. I was put through so many tests - endoscopies, gastric emptying studies, MRIs, x-rays, etc. They thought that the pain and high numbers were coming from an infection or problem. They were minutes away from removing my gallbladder and doing a biopsy on my enlarged liver. They even ran blood tests for hepatitis, but it all was stemming from not checking and controlling my sugars. I was put on a pump, but my A1C was still consistently &amp;lt;14% and an average BG was 400+. After all of that, I was diagnosed with depression, gastroparesis and diabetic neuropathy and even spent 2 weeks in a psych ward. Yay, another diagnosis. And another. And another... What I didn't realize this meant was more medicine, more pills. Gastroparesis is basically neuropathy in your digestive tract. Food just sitting there - not moving, rotting, hardly being able to eat and at times not being able to keep down even water. I was taking 16 different pills in the morning, 22 in the afternoon and 12 at night and that was IF I could get them down. I wanted to die. And I thought I wanted to die before. Not like OD or slit my wrist sort of die, but if I were to get in a car accident or if I got hit by a bus while in a crosswalk and died, I would be perfectly ok with it. Death was literally all I could think about. Somehow, I finally got it in my head that all the pain and depression was diabetes related, something I previously had refused to accept. I also realized how much I had missed out on by letting my disease beat me time and time again - my senior year, birthdays, weddings, holidays... stuff I won't be able to get back and if I didn't make a change - my eyes, kidneys, legs... also things I couldn't get back. On top of it all, diabetes was something that my partner didn't realize the full extent of when falling in love with me. How could I have someone who wants to spend the rest of their life with me when I didn't even know how long the rest of my life would be? And how could I allow myself to let them do that when I knew that everyday I wasn't taking the best care of myself, was more time I was cutting him, and me short? 
In 2016, I decided to do everything in my power to better control my T1D. I started small by testing (with friendly reminders from family) once a day to testing before a meal, then to testing every time I ate something until it was second nature. I also started to ACTUALLY use my pump to its full potential. I dropped my A1C down to a 9%, lowest I had ever had it since just after diagnosis. I'm just going to say this straight up - I LOVE FOOD. It was very difficult for me as far as diet to cut back on things. I never had a poor diet and didn't eat much of processed foods, but there are things diabetics are better off without. I slowly started making better meal decisions with support from my family and then was approved for a CGM following a car accident caused by a low and a fight with insurance. I'm currently on the Dexcom and since using it I've dropped my A1C down to a 6.7%. AND I'm also considering starting a keto diet (sorry mashed potatoes...). Between the time diagnosed in 2007 and when I finally got my shit together (you do the math), a lot of damage was done. I know I am extremely lucky to still have working eyes, kidneys, and legs. I am no longer on any medication other than insulin and a kidney protector as a preventative and almost all of my symptoms have gone away.
Allow the people you love and people that love you the chance to help you when and where you need it and allow yourself the chance at a long, healthy life by knowing when to ask for it. Sure, most people don't understand the ins and outs of this disease, but I've learned the ones who care about you enough will try and those are the people you surround yourself with. </t>
        </is>
      </c>
      <c r="D4043" t="n">
        <v>14</v>
      </c>
      <c r="E4043" t="n">
        <v>8</v>
      </c>
      <c r="F4043">
        <f>HYPERLINK("https://www.reddit.com/r/diabetes/comments/7qnc1t/friendly_reminder_that_things_can_get_better/")</f>
        <v/>
      </c>
      <c r="G4043" t="inlineStr">
        <is>
          <t>2018-01-15 14:03:34</t>
        </is>
      </c>
      <c r="H4043" t="inlineStr">
        <is>
          <t>Type 1</t>
        </is>
      </c>
    </row>
    <row r="4044">
      <c r="A4044" t="inlineStr">
        <is>
          <t>7qnd08</t>
        </is>
      </c>
      <c r="B4044" t="inlineStr">
        <is>
          <t>British Type One Diabetic for Over 9 Years. No access to diabetic specialist or even a GP that knows what he is doing. Looking for some advice or resources.</t>
        </is>
      </c>
      <c r="C4044" t="inlineStr">
        <is>
          <t xml:space="preserve">So first time post. 
Background: Diagnosed in 2007. Went to hospital. Since then and up until last year was seeing the diabetic clinic at the hospital on an outpatient basis. Diabetic clinic is basically a bunch of doctors and nurses who specialise in diabetes care. Currently on novo rapid and levimir. Levimir is pretty much my problem. I carb count and my ratios are pretty accurate.
So last year I decided to travel before uni. I went to Australia for over a year. Before i left i had great control and was giving levimir once a day at night. While there i found an endocrinologist who was also helpful but i wasnt with him long enough to really fix the problems that had started to arise while there. He did help by suggesting i do two hits of levimir a day instead of one as i was finding a lot of morning highs even when i didn't eat anything or even when i would give novo rapid at breakfast time then not eat anything it would have went high. When he said to do two levimir it helped a little but it didn't completely fix the problem as i would find i would still have to give some novo rapid at breakfast if i didn't eat or my count would be very high, i just didn't need to give as much as before. My endocrinologist there talked about lantus being a good option, i was coming home soon so thought i will just tell my doctor in the uk to prescribe it since i will know all the information on how to use it from that endocrinologist.
The issue i have been having is that I have a lot of either night time lows. Or my blood glucose will be anywhere from 13-25 mmol. When i wake up, generally whether i have lows in the night or not my blood glucose will be ridiculously high when i wake up, even when i correct the high in the night. For example; i wake up this morning (5am), think to myself "wow im thirsty", check count its 9.1, i give my correction bolus (which is accurate as any other time i give insulin at this correction ratio it works perfectly in fact sometimes its a little too high of a correction and i may then go low still working it out) but the thing is, I wake up (after correcting at 5am) at 9am and my count is 16.9mmol, which makes me think my levimir is straight up not working at all anymore which im not sure is totally possible? I also dont eat far enough away from when i sleep to ensure the lows arent caused by my novo rapid and have come to the conclusion that its only when i raise my levimir to counteract the morning highs that i will suffer from night time lows. 
As i have been away for so long i am waiting on a referral to the diabetic clinic which i will be waiting for for 9 months apparently. So i have went to three different GPs and a nurse to explain the situation and ask them if they could prescribe me lantus which i believe would help alleviate the issues i have been having. (Though feel free to suggest otherwise?). None of the GPs or nurses have been able to prescribe this to me and i even had the nurse tell me to eat bread before sleeping and not to worry about the highs because they aren't that high and it's safe. Since when is a blood glucose of 25 over night constantly, safe? I have, long story short, been told to wait for the diabetic clinic. It's just very frustrating because sometimes im up to 3am worrying about and correcting lows. I dont know how i can function like this for the next nine months.
I have pretty much come here as a last ditch attempt to find some advice if anyone has any suggestions on how i could manage my control better, or something i might be missing/ forgetting? Or if anyone has any online resources that i could read over? Even some basic resources about the simple things that i might be forgetting after nine years? </t>
        </is>
      </c>
      <c r="D4044" t="n">
        <v>7</v>
      </c>
      <c r="E4044" t="n">
        <v>11</v>
      </c>
      <c r="F4044">
        <f>HYPERLINK("https://www.reddit.com/r/diabetes/comments/7qnd08/british_type_one_diabetic_for_over_9_years_no/")</f>
        <v/>
      </c>
      <c r="G4044" t="inlineStr">
        <is>
          <t>2018-01-15 14:06:46</t>
        </is>
      </c>
      <c r="H4044" t="inlineStr">
        <is>
          <t>Type 1</t>
        </is>
      </c>
    </row>
    <row r="4045">
      <c r="A4045" t="inlineStr">
        <is>
          <t>7qogyy</t>
        </is>
      </c>
      <c r="B4045" t="inlineStr">
        <is>
          <t>Increased chance of passing on my Diabetes?</t>
        </is>
      </c>
      <c r="C4045" t="inlineStr">
        <is>
          <t>Although I recently turned 19, I always wonder about the likelihood of my future children being a T1. I know that even though T1D is not determined to be genetic, it has some risk factors that are. I was wondering if anyone knew how much more likely, if any, the chance that my future children get diabetes. I thought I would ask here first instead of my endo. I just felt it would be weird, me being 19 and all, but I end up thinking about this every once and a while. Thank you.</t>
        </is>
      </c>
      <c r="D4045" t="n">
        <v>9</v>
      </c>
      <c r="E4045" t="n">
        <v>11</v>
      </c>
      <c r="F4045">
        <f>HYPERLINK("https://www.reddit.com/r/diabetes/comments/7qogyy/increased_chance_of_passing_on_my_diabetes/")</f>
        <v/>
      </c>
      <c r="G4045" t="inlineStr">
        <is>
          <t>2018-01-15 16:39:38</t>
        </is>
      </c>
      <c r="H4045" t="inlineStr">
        <is>
          <t>Type 1</t>
        </is>
      </c>
    </row>
    <row r="4046">
      <c r="A4046" t="inlineStr">
        <is>
          <t>7qp6kf</t>
        </is>
      </c>
      <c r="B4046" t="inlineStr">
        <is>
          <t>Invokana + Dimicron vs Lantus</t>
        </is>
      </c>
      <c r="C4046" t="inlineStr">
        <is>
          <t>My endo just took me off lantus (11 units in the morning) and put me on Invokana 300mg + Dimicron (Gliclazide) 30mg instead with less frequent blood sugar testing. I went to Costco (Canada) pharmacy today to fill my prescription and it's insanely more expensive (~$20/5mths vs ~$230/3mths) CAD$ after my shitty 50% insurance.
What is better? She said one is not better than the other, just no need to be a pin cushion.</t>
        </is>
      </c>
      <c r="D4046" t="n">
        <v>1</v>
      </c>
      <c r="E4046" t="n">
        <v>2</v>
      </c>
      <c r="F4046">
        <f>HYPERLINK("https://www.reddit.com/r/diabetes/comments/7qp6kf/invokana_dimicron_vs_lantus/")</f>
        <v/>
      </c>
      <c r="G4046" t="inlineStr">
        <is>
          <t>2018-01-15 18:35:27</t>
        </is>
      </c>
      <c r="H4046" t="inlineStr">
        <is>
          <t>Type 2</t>
        </is>
      </c>
    </row>
    <row r="4047">
      <c r="A4047" t="inlineStr">
        <is>
          <t>7qpa29</t>
        </is>
      </c>
      <c r="B4047" t="inlineStr">
        <is>
          <t>How can I convince my 75 yr old grandmother that it's time to go on insulin?</t>
        </is>
      </c>
      <c r="C4047" t="inlineStr">
        <is>
          <t>My grandmother is stubborn as all hell. Numerous doctor's have tried to convince her that insulin is the best option for her, as she's tried almost every else there is.
Her daily numbers are insanely high, and hardly consistent. Lately she's averaging 400-500 at night, and between 200-300 in the morning. The fact that she's already had a stroke and a heart attack does not phase her.
She only eats about 800 calories a day, and I make sure she doesn't go over her carb limit, which is basically 2 slices of burnt toast with peanut butter a day. 
When her sugar is high, she asks me to make her green tea, which used to help, but as of the last month; completely ineffective. 
She has an irrational fear of insulin dating back from when her father would take it, and feign pain every time he had an injection. She's afraid the insulin eat away the tissue around the area of injection and leave bumps. Every time the subject is brought up, she screams and yells, "NO INSULIN."
She claims she knows her body, and the doctors (more than one at this point) are just "Know it all's."  She's becoming increasingly more hostile. I even suggested other injectable non-insulin type drugs, and she's scoffed at the idea. That being said, her endo is a bit of a narcissist, and demanded we keep her current routine for 3 months to, "Figure out whats going on."  
She used to be on a metformin (don't know which one), and that seemed to work very well; however, no doctor will give it to her anymore due to kidney damage. She's currently on 2mg of repaglinide before every meal, but she might as well be taking tic tacs. 
And I believe the drug's side effects are affecting her; since her stroke, she's been a fall risk, but in the last few months where the doctor's have bumped up her dose; she's become noticeably more unstable on top of the other side effects (Diarrhea, dizziness, joint pain, blurred vision, a bit of hair loss.).
 I know metformin, and repaglinide are in two different schools when it comes to treatment, and are often taken together, but is there anything else she can try?  Sorry for the wall of text, I'm at my wit's end here. I can give more info is needed, but I just need some advice on what to do here.</t>
        </is>
      </c>
      <c r="D4047" t="n">
        <v>2</v>
      </c>
      <c r="E4047" t="n">
        <v>14</v>
      </c>
      <c r="F4047">
        <f>HYPERLINK("https://www.reddit.com/r/diabetes/comments/7qpa29/how_can_i_convince_my_75_yr_old_grandmother_that/")</f>
        <v/>
      </c>
      <c r="G4047" t="inlineStr">
        <is>
          <t>2018-01-15 18:51:44</t>
        </is>
      </c>
      <c r="H4047" t="inlineStr">
        <is>
          <t>Type 2</t>
        </is>
      </c>
    </row>
    <row r="4048">
      <c r="A4048" t="inlineStr">
        <is>
          <t>7qqcz5</t>
        </is>
      </c>
      <c r="B4048" t="inlineStr">
        <is>
          <t>I know this is a crazy question but how many units of Basal insulin are you taking?</t>
        </is>
      </c>
      <c r="C4048" t="inlineStr">
        <is>
          <t>I finally got a referral to see an endo after a few visits with my GP’s nurse practitioner and after several increases in doses of Metformin and adding Jenuvia didn’t help. 
My BG has been out of control for about a year now and the endo was concerned about how high my fasting BG was so he prescribed Tresiba which is a basal insulin. He had me start at 10 units and increase  by 1 unit nightly until my BG in the am was between 100 and 120. I took 22 units last night and thus far it seems like the Tresiba hasn’t had any real effect.
So I find my self wondering how many units do people typically take?</t>
        </is>
      </c>
      <c r="D4048" t="n">
        <v>1</v>
      </c>
      <c r="E4048" t="n">
        <v>9</v>
      </c>
      <c r="F4048">
        <f>HYPERLINK("https://www.reddit.com/r/diabetes/comments/7qqcz5/i_know_this_is_a_crazy_question_but_how_many/")</f>
        <v/>
      </c>
      <c r="G4048" t="inlineStr">
        <is>
          <t>2018-01-15 22:09:57</t>
        </is>
      </c>
      <c r="H4048" t="inlineStr">
        <is>
          <t>Type 2</t>
        </is>
      </c>
    </row>
    <row r="4049">
      <c r="A4049" t="inlineStr">
        <is>
          <t>7qv7p3</t>
        </is>
      </c>
      <c r="B4049" t="inlineStr">
        <is>
          <t>Breast Augmentation and T1D</t>
        </is>
      </c>
      <c r="C4049" t="inlineStr">
        <is>
          <t>My fiance who is a recently (in the last 3 years) diagnosed T1D. She is considering getting breast augmentation surgery.
Her diabetes is under control, taking under 5 units of insulin per day typically. She exercises and eats well. Has no history of problems with infection or difficulty healing.
She has a qualified doctor and anesthesiologist performing the surgery.
Does anyone here have any experience with elective surgery and their T1D? Particularly breast augmentation? Any information is helpful. Thank you!</t>
        </is>
      </c>
      <c r="D4049" t="n">
        <v>1</v>
      </c>
      <c r="E4049" t="n">
        <v>4</v>
      </c>
      <c r="F4049">
        <f>HYPERLINK("https://www.reddit.com/r/diabetes/comments/7qv7p3/breast_augmentation_and_t1d/")</f>
        <v/>
      </c>
      <c r="G4049" t="inlineStr">
        <is>
          <t>2018-01-16 12:21:20</t>
        </is>
      </c>
      <c r="H4049" t="inlineStr">
        <is>
          <t>Type 1</t>
        </is>
      </c>
    </row>
    <row r="4050">
      <c r="A4050" t="inlineStr">
        <is>
          <t>7qvlpp</t>
        </is>
      </c>
      <c r="B4050" t="inlineStr">
        <is>
          <t>Can't gain muscle. anyone else have this problem?</t>
        </is>
      </c>
      <c r="C4050" t="inlineStr">
        <is>
          <t xml:space="preserve">Hey r/diabetes I'm type 1 with an A1C of 6.4 and have been trying to gain muscle mass for the past half year to no avail. I'm eating 4000 calories a day with at least a gram of protein for every pound of bodyweight. I've been following a proven workout routine (Starting Strength) and have made minimal strength gains. Is there even a point to training? I've read about some diabetics who were lifting weights for 6 years and never put on an ounce of muscle. They even were told by there doctors that there no point of even trying...  </t>
        </is>
      </c>
      <c r="D4050" t="n">
        <v>1</v>
      </c>
      <c r="E4050" t="n">
        <v>15</v>
      </c>
      <c r="F4050">
        <f>HYPERLINK("https://www.reddit.com/r/diabetes/comments/7qvlpp/cant_gain_muscle_anyone_else_have_this_problem/")</f>
        <v/>
      </c>
      <c r="G4050" t="inlineStr">
        <is>
          <t>2018-01-16 13:12:06</t>
        </is>
      </c>
      <c r="H4050" t="inlineStr">
        <is>
          <t>Type 1</t>
        </is>
      </c>
    </row>
    <row r="4051">
      <c r="A4051" t="inlineStr">
        <is>
          <t>7qw26r</t>
        </is>
      </c>
      <c r="B4051" t="inlineStr">
        <is>
          <t>Question about carbs</t>
        </is>
      </c>
      <c r="C4051" t="inlineStr">
        <is>
          <t>So after taking a steroid for a cold I went into kidney failure and my blood sugar shot up to 40 (700~). It's gone down but fluctuates.
Met with a diatician today who said I should be consuming 45g of carbs per meal. One of her recommendations was a whole bagel which got me thinking about the glycemic index. The GI on a whole bagel is almost double a can of soda.
So my question is, could I just make a meal of steak, salad, and a can of cream soda which has 38 carbs per can?</t>
        </is>
      </c>
      <c r="D4051" t="n">
        <v>2</v>
      </c>
      <c r="E4051" t="n">
        <v>18</v>
      </c>
      <c r="F4051">
        <f>HYPERLINK("https://www.reddit.com/r/diabetes/comments/7qw26r/question_about_carbs/")</f>
        <v/>
      </c>
      <c r="G4051" t="inlineStr">
        <is>
          <t>2018-01-16 14:12:08</t>
        </is>
      </c>
      <c r="H4051" t="inlineStr">
        <is>
          <t>Type 2</t>
        </is>
      </c>
    </row>
    <row r="4052">
      <c r="A4052" t="inlineStr">
        <is>
          <t>7qx1vc</t>
        </is>
      </c>
      <c r="B4052" t="inlineStr">
        <is>
          <t>When do you go to the hospital when sick?</t>
        </is>
      </c>
      <c r="C4052" t="inlineStr">
        <is>
          <t>I have been throwing up since 3pm. I have been sick over a dozen times. I can't keep ice chips down. I have type 2. My blood sugar is okay, but I am so thristy and can't drink. The cramps are bad. Usually, I would just assume it was a bug and wait it out, but now that I am diabetic I know that can be dicey. I am praying for death. My husband is sick, too (but is a generally heathly guy). We have kids so leaving means getting a babysitter or calling an ambulance because I cannot drive. At what point do I throw in the towel?</t>
        </is>
      </c>
      <c r="D4052" t="n">
        <v>7</v>
      </c>
      <c r="E4052" t="n">
        <v>17</v>
      </c>
      <c r="F4052">
        <f>HYPERLINK("https://www.reddit.com/r/diabetes/comments/7qx1vc/when_do_you_go_to_the_hospital_when_sick/")</f>
        <v/>
      </c>
      <c r="G4052" t="inlineStr">
        <is>
          <t>2018-01-16 16:32:21</t>
        </is>
      </c>
      <c r="H4052" t="inlineStr">
        <is>
          <t>Type 2</t>
        </is>
      </c>
    </row>
    <row r="4053">
      <c r="A4053" t="inlineStr">
        <is>
          <t>7r5lip</t>
        </is>
      </c>
      <c r="B4053" t="inlineStr">
        <is>
          <t>How serious is the best by date on test strips?</t>
        </is>
      </c>
      <c r="C4053" t="inlineStr">
        <is>
          <t xml:space="preserve">I’ve got about 6 boxes of FreeStyle Lite test strips set to “go bad” in February - should I actually not use them?  </t>
        </is>
      </c>
      <c r="D4053" t="n">
        <v>8</v>
      </c>
      <c r="E4053" t="n">
        <v>9</v>
      </c>
      <c r="F4053">
        <f>HYPERLINK("https://www.reddit.com/r/diabetes/comments/7r5lip/how_serious_is_the_best_by_date_on_test_strips/")</f>
        <v/>
      </c>
      <c r="G4053" t="inlineStr">
        <is>
          <t>2018-01-17 16:10:00</t>
        </is>
      </c>
      <c r="H4053" t="inlineStr">
        <is>
          <t>Type 1</t>
        </is>
      </c>
    </row>
    <row r="4054">
      <c r="A4054" t="inlineStr">
        <is>
          <t>7r65qg</t>
        </is>
      </c>
      <c r="B4054" t="inlineStr">
        <is>
          <t>VC-01 Documentary</t>
        </is>
      </c>
      <c r="C4054" t="inlineStr">
        <is>
          <t>I sincerely hope that one day, 10, 15, 20 years from now, I can tell my children that I remember reading about the research that led to their dad living without diabetes. This is the first treatment of it's kind ever- and it's working. 
There are no words I can use to describe how it feels knowing that there's real, tangible progress being made to cure the disease I've lived with for almost 20 years- and that many have lived with for so much longer. 
One of the first people I met after being diagnosed was Kathi, my diabetes educator &amp;amp; Dr. Riddick, a pediatric endocrinologist at Albany Med. Over the next years of doctors appointments they both told me over and over again there would be a cure for type 1 diabetes in my lifetime- and it's coming. Praise God!
www.thehumantrial.com</t>
        </is>
      </c>
      <c r="D4054" t="n">
        <v>10</v>
      </c>
      <c r="E4054" t="n">
        <v>11</v>
      </c>
      <c r="F4054">
        <f>HYPERLINK("https://www.reddit.com/r/diabetes/comments/7r65qg/vc01_documentary/")</f>
        <v/>
      </c>
      <c r="G4054" t="inlineStr">
        <is>
          <t>2018-01-17 17:34:11</t>
        </is>
      </c>
      <c r="H4054" t="inlineStr">
        <is>
          <t>Type 1</t>
        </is>
      </c>
    </row>
    <row r="4055">
      <c r="A4055" t="inlineStr">
        <is>
          <t>7r6ye5</t>
        </is>
      </c>
      <c r="B4055" t="inlineStr">
        <is>
          <t>Net Carbs?</t>
        </is>
      </c>
      <c r="C4055" t="inlineStr">
        <is>
          <t xml:space="preserve">Say I am going to eat a protein bar with 21g of total carbs and 17g of dietary fiber.  Do I just subtract the fiber from the carbs and bolus 4 carbs worth of insulin for the bar? Or do I bolus for the 21 total carbs? </t>
        </is>
      </c>
      <c r="D4055" t="n">
        <v>1</v>
      </c>
      <c r="E4055" t="n">
        <v>8</v>
      </c>
      <c r="F4055">
        <f>HYPERLINK("https://www.reddit.com/r/diabetes/comments/7r6ye5/net_carbs/")</f>
        <v/>
      </c>
      <c r="G4055" t="inlineStr">
        <is>
          <t>2018-01-17 19:44:05</t>
        </is>
      </c>
      <c r="H4055" t="inlineStr">
        <is>
          <t>Type 1</t>
        </is>
      </c>
    </row>
    <row r="4056">
      <c r="A4056" t="inlineStr">
        <is>
          <t>7r710r</t>
        </is>
      </c>
      <c r="B4056" t="inlineStr">
        <is>
          <t>Started to use insulin as a type 1 after 3 years of keto and honeymoon, because I got an infection. Feeling weird but kinda missed eating stuff others do..</t>
        </is>
      </c>
      <c r="C4056" t="inlineStr">
        <is>
          <t>I use cortisone, so it pushes my blood sugar up lately. Which is why I use 24 units of Lantus in the morning, 6 units of Lantus in the evening (2 units less as cortisone drops, right now it is 20mg, 2 units less for each 4mg drop) and 4 units of Novarapid if my blood sugar is over 200 and it is almost always 200...
I still try to eat keto as possible but need carbs with novarapid to control it. Yesterday was my mom's birthday and I ate stuff others ate, even had a piece of cake, my blood sugar was 140 this morning (pretty normal with cortisone) and.. I kinda missed having occasional sweets and carbs.
I still plan to keep keto/low carb after my medications are over but I want to keep this going, maybe finally add grains, stuff like lentils etc. to my diet, eat fruit, occasionally (once a month) enjoy a smal  piece of cake with a friend.
I don't know.. just wanted to share this experience, it has been so long and it all feels so different yet so familiar. Keto isn't the hardest thing to do but it is still difficult. I heard some good books like Dr. Bernstein(?)'s book on diabetes, which is about low carb and type 1 diabetes.
I am still kinda scared though, I will move soon, will start going to fitness again. I want still want to eat healthy but not go "Oh that's impossible" to even eating my own birthday cake. I also want to enjoy healthy carbs, I want lentils god damn it, maybe an apple, not sure if they are the healthiest but you get my point...
This post is more of a "wanted to share my story" but also, anyone in a similar boat? Eating healthy/low carb with Type 1 but still enjoying the occasional cake?
I just want to feel like "Yes I can eat that.. a bit/sometimes" and not feel "I can't eat that at all"</t>
        </is>
      </c>
      <c r="D4056" t="n">
        <v>0</v>
      </c>
      <c r="E4056" t="n">
        <v>20</v>
      </c>
      <c r="F4056">
        <f>HYPERLINK("https://www.reddit.com/r/diabetes/comments/7r710r/started_to_use_insulin_as_a_type_1_after_3_years/")</f>
        <v/>
      </c>
      <c r="G4056" t="inlineStr">
        <is>
          <t>2018-01-17 19:56:56</t>
        </is>
      </c>
      <c r="H4056" t="inlineStr">
        <is>
          <t>Type 1</t>
        </is>
      </c>
    </row>
    <row r="4057">
      <c r="A4057" t="inlineStr">
        <is>
          <t>7r71fx</t>
        </is>
      </c>
      <c r="B4057" t="inlineStr">
        <is>
          <t>I just need someone to listen to me.</t>
        </is>
      </c>
      <c r="C4057" t="inlineStr">
        <is>
          <t xml:space="preserve">This is my rant and some what plea for help because I feel like I’m running out of energy to help myself. I don’t know where else to really put this but I just need to talk about it. 
Sorry if formatting is all fucked up im on mobile. 
I’m 22 years old I’ve had diabetes since I was 9. I’d like to think I know what I’m doing by now, but I really don’t any more.
About a year or so ago probably even before I was starting to get major issues with my pump every site I tried to put it in would instantly turn into scar tissue and wouldn’t absorb insulin. Thus having a few day spans where my BS would be well above 350 sometimes even above 400 so you can image the amount of physical and mental stress I was putting on myself. It finally got to the point where I wasn’t getting any insulin for days at a time. And with that my a1c ends up at 9.8 or something like that. When I finally see my endo he doesn’t listen to my problems and just concludes that I don’t do checks and correct for what I eat (which isn’t true.) Signs me up for all these stupid classes for counting carbs having a healthy diet how to bolus correctly. Like come on I’ve been doing this for 13 years now and 10 years with a pump I know what the problem is. So after a weeks worth of just flat out crying, crying to my girlfriend and myself crying myself to bed not being able to function as an adult and having to quit my job because I just couldn’t anymore. So I go back to my endo and say. I need prescriptions for regular lantus and novolog pens. He has the audacity to ask why. Like he clearly wasn’t even listing to me and my problems the first time. He instead signs me up to meet with the Medtronic rep to figure out a solution (insert gun into mouth here). The lady not even 5 minutes into our ‘meeting’ phone rings and says excuse me I must answer this. I couldn’t exactly tell you what the phone call was about but I know for sure that a phone call that can all be answered in yes and no’s is not important. So that ends, yet another week of complete unstable blood sugars and crying. My amazing girlfriend has finally had enough of it. She takes me to my parents house balling my eyes out and tells them you need to get him off of the pump. My dad the next day calls my endo and gets the job done. (Why it was so hard for me to ask I’ll never understand.) things are moving better now I’m finally more stable definitely could be better but it’s a start. Up until 5 or so months ago I’ve never had a single surgery and now in the span of 4 months I’ve had 4 different surgery’s and have to give up all my active sports that I used to play. And it through me for a wild depression and you guess it. More high and unstable blood sugars. I’m so tired of being so fucking close to getting my shit together then the next morning everything just get thrown out the window. I have all the tools necessary to be able to keep it under control. But some how I can’t I just get so close and then it’s all gone. I’m losing energy I’m losing sleep I’m losing the love of the person who loves me the most and cares for me. I’m losing myself I just want to give up and stop caring and just be done with it. Im currently in Miami on a little vacation with my amazing girlfriend and cousin and I’m ruining it all because of my mood swings. In fact a couple of hours ago I had to go to Walgreens to get lotion to rub on my armpits because my blood sugars being so high it gave me a rash. And I really just wanted that walk to be it for some reason. I didn’t want to have to deal with it anymore. And to top it all off I just feel so fucking alone with all my issues and I know I have my girlfriend that would love to listen to my problems but she just doesn’t understand. I really thing it’s hard for a non diabetic to understand our problems. I’ve tried looking for support groups in my area but they are mostly for moms, children and type 2. I’ve tried contacting the local hospital to see if they have or know of  anything to suggest but just get so frustrated talking to them on the phone because I cant articulate exactly what I need. But I know I need to try again. I’ll probably just end up going in person and seeing who can help me.
I’m sorry this was so long. I just don’t have a proper outlet to my problems and I have tried talking to professionals but again they just don’t understand and I feel like I cannot connect with them. </t>
        </is>
      </c>
      <c r="D4057" t="n">
        <v>19</v>
      </c>
      <c r="E4057" t="n">
        <v>21</v>
      </c>
      <c r="F4057">
        <f>HYPERLINK("https://www.reddit.com/r/diabetes/comments/7r71fx/i_just_need_someone_to_listen_to_me/")</f>
        <v/>
      </c>
      <c r="G4057" t="inlineStr">
        <is>
          <t>2018-01-17 19:58:50</t>
        </is>
      </c>
      <c r="H4057" t="inlineStr">
        <is>
          <t>Type 1</t>
        </is>
      </c>
    </row>
    <row r="4058">
      <c r="A4058" t="inlineStr">
        <is>
          <t>7r9u58</t>
        </is>
      </c>
      <c r="B4058" t="inlineStr">
        <is>
          <t>Sage Donnelly A Type 1 Professional Kayaker</t>
        </is>
      </c>
      <c r="C4058" t="inlineStr">
        <is>
          <t>I am a type 1 diabetic who is a whitewater kayaker around the OH/PA region. I stumbled upon an article in Rapid Magazine about this awesome 15 year old professional kayaker who was also a type 1 diabetic. Check out her story and get inspired to go out and do more in nature. 
Link: http://jacksonkayak.com/team-jk/factory-team/sage-donnelly/</t>
        </is>
      </c>
      <c r="D4058" t="n">
        <v>17</v>
      </c>
      <c r="E4058" t="n">
        <v>9</v>
      </c>
      <c r="F4058">
        <f>HYPERLINK("https://www.reddit.com/r/diabetes/comments/7r9u58/sage_donnelly_a_type_1_professional_kayaker/")</f>
        <v/>
      </c>
      <c r="G4058" t="inlineStr">
        <is>
          <t>2018-01-18 05:57:04</t>
        </is>
      </c>
      <c r="H4058" t="inlineStr">
        <is>
          <t>Type 1</t>
        </is>
      </c>
    </row>
    <row r="4059">
      <c r="A4059" t="inlineStr">
        <is>
          <t>7ray2c</t>
        </is>
      </c>
      <c r="B4059" t="inlineStr">
        <is>
          <t>Hypos, anxiety, and burnout. Having a tough time.</t>
        </is>
      </c>
      <c r="C4059" t="inlineStr">
        <is>
          <t>Hi everyone. A little background. I'm 28, been T1 for 17 years. I always had pretty solid control of my sugars with A1C around 6.7 most of the time until about a year ago. I was finishing my PhD and put my diabetes care on the back burner. I developed lots of stress and anxiety during this time, but it seemed to fade once I finished and relaxed. Until recently.
I've always had issues with nocturnal hypos, especially as I usually exercise later in the day. But a recent crash the morning after a workout left me on edge and after another crash a few days later it feels like my anxiety is back full force. 
Seeing downward trend arrows can worry me and I get afraid to eat because then I have to bolus and I fear the bolus will make me crash. Normally I enjoy exercising and the mood lift it brings but again the fear of dropping afterwards or overnight makes me hesitant. I've been trying very hard to keep my numbers level, and it will work for a few days. Then one kink or mistake and it feels like I ruined or wasted the hard work. I'm feeling exhausted and tired from trying so hard to treat my sugars well but still having highs and lows. I know there will always be variability, but it gets so draining to constantly be trying to adjust for every variable.
This post was mainly venting, but as many on this sub have mentioned before, it can be hard to find people who really understand the struggle it can be sometimes. As a side note, if anyone has any tips for making Enlite sensors be more accurate and last longer, I'd love to hear them.</t>
        </is>
      </c>
      <c r="D4059" t="n">
        <v>5</v>
      </c>
      <c r="E4059" t="n">
        <v>5</v>
      </c>
      <c r="F4059">
        <f>HYPERLINK("https://www.reddit.com/r/diabetes/comments/7ray2c/hypos_anxiety_and_burnout_having_a_tough_time/")</f>
        <v/>
      </c>
      <c r="G4059" t="inlineStr">
        <is>
          <t>2018-01-18 08:41:07</t>
        </is>
      </c>
      <c r="H4059" t="inlineStr">
        <is>
          <t>Type 1</t>
        </is>
      </c>
    </row>
    <row r="4060">
      <c r="A4060" t="inlineStr">
        <is>
          <t>7rb4n2</t>
        </is>
      </c>
      <c r="B4060" t="inlineStr">
        <is>
          <t>What is happening here?</t>
        </is>
      </c>
      <c r="C4060" t="inlineStr">
        <is>
          <t>I woke up this morning at 125 mg/dl. Two hours later, having consumed nothing with any kind of carbohydrate content, my bg is 259. 
Can anyone tell me what is happening here?</t>
        </is>
      </c>
      <c r="D4060" t="n">
        <v>6</v>
      </c>
      <c r="E4060" t="n">
        <v>19</v>
      </c>
      <c r="F4060">
        <f>HYPERLINK("https://www.reddit.com/r/diabetes/comments/7rb4n2/what_is_happening_here/")</f>
        <v/>
      </c>
      <c r="G4060" t="inlineStr">
        <is>
          <t>2018-01-18 09:04:46</t>
        </is>
      </c>
      <c r="H4060" t="inlineStr">
        <is>
          <t>Type 1</t>
        </is>
      </c>
    </row>
    <row r="4061">
      <c r="A4061" t="inlineStr">
        <is>
          <t>7rceku</t>
        </is>
      </c>
      <c r="B4061" t="inlineStr">
        <is>
          <t>Medtronic pump "No Delivery"</t>
        </is>
      </c>
      <c r="C4061" t="inlineStr">
        <is>
          <t>So I've been using a Medtronic pump for around 8 years and I'm familiar with the message as it appears every once one a while but the past 3 days I've been getting it instantly after I try to correct for anything. It is taking around 4-5 tries before it decides to work.</t>
        </is>
      </c>
      <c r="D4061" t="n">
        <v>2</v>
      </c>
      <c r="E4061" t="n">
        <v>9</v>
      </c>
      <c r="F4061">
        <f>HYPERLINK("https://www.reddit.com/r/diabetes/comments/7rceku/medtronic_pump_no_delivery/")</f>
        <v/>
      </c>
      <c r="G4061" t="inlineStr">
        <is>
          <t>2018-01-18 11:52:44</t>
        </is>
      </c>
      <c r="H4061" t="inlineStr">
        <is>
          <t>Type 1</t>
        </is>
      </c>
    </row>
    <row r="4062">
      <c r="A4062" t="inlineStr">
        <is>
          <t>7rcu1e</t>
        </is>
      </c>
      <c r="B4062" t="inlineStr">
        <is>
          <t>How do people like the Omnipod?</t>
        </is>
      </c>
      <c r="C4062" t="inlineStr">
        <is>
          <t>I'm currently using only injection pens and a Dexcom G5, thinking about getting a pump, had a few questions first.  
How do people like the Omnipod, any problems or concerns with it? 
how are upgrades handled by US insurance?  Do you still have to wait 4 years, or can you technically 'upgrade' by ordering the new versions as your supply refill?
How much does it cost you on average for US insurance companies?
Thanks!
-cylon1</t>
        </is>
      </c>
      <c r="D4062" t="n">
        <v>3</v>
      </c>
      <c r="E4062" t="n">
        <v>29</v>
      </c>
      <c r="F4062">
        <f>HYPERLINK("https://www.reddit.com/r/diabetes/comments/7rcu1e/how_do_people_like_the_omnipod/")</f>
        <v/>
      </c>
      <c r="G4062" t="inlineStr">
        <is>
          <t>2018-01-18 12:50:57</t>
        </is>
      </c>
      <c r="H4062" t="inlineStr">
        <is>
          <t>Type 1</t>
        </is>
      </c>
    </row>
    <row r="4063">
      <c r="A4063" t="inlineStr">
        <is>
          <t>7revuh</t>
        </is>
      </c>
      <c r="B4063" t="inlineStr">
        <is>
          <t>From 14.1 to 5.8 A1C - where do I go from here?</t>
        </is>
      </c>
      <c r="C4063" t="inlineStr">
        <is>
          <t>Diagnosed May 2017 with a 14.1 as type 2, though I was not overweight. I've been on pills and a low carb diet ever since. Measured 9.5 in August, 5.8 on Tuesday.
But I was a bit disappointed in that, as I was hoping for lower 5s. I thought that I would be happier with this result,  but I really just don't know what to do now. It feels so average after all the effort I've put in, like nothing I can do will be enough.  Should I shoot for a lower A1C? Is there some way I can get my morning highs down?  Should I try to convince my doctor to reduce my pill regimen?</t>
        </is>
      </c>
      <c r="D4063" t="n">
        <v>4</v>
      </c>
      <c r="E4063" t="n">
        <v>5</v>
      </c>
      <c r="F4063">
        <f>HYPERLINK("https://www.reddit.com/r/diabetes/comments/7revuh/from_141_to_58_a1c_where_do_i_go_from_here/")</f>
        <v/>
      </c>
      <c r="G4063" t="inlineStr">
        <is>
          <t>2018-01-18 17:45:44</t>
        </is>
      </c>
      <c r="H4063" t="inlineStr">
        <is>
          <t>Type 2</t>
        </is>
      </c>
    </row>
    <row r="4064">
      <c r="A4064" t="inlineStr">
        <is>
          <t>7rg6l0</t>
        </is>
      </c>
      <c r="B4064" t="inlineStr">
        <is>
          <t>My first (late) A1C after diagnosis!</t>
        </is>
      </c>
      <c r="C4064" t="inlineStr">
        <is>
          <t>Hello.
I was diagnosed 6 months ago as a type 1 diabetic, all quite by [chance](https://www.reddit.com/r/diabetes/comments/6lmwow/just_wanted_to_say_hello/).
Had multiple visits with my endo and my own blood sugar readings were looking ok, so for whatever reason I never got my A1C tested until this week.
My A1C at diagnosis showed 15.3 / 275.
This weeks readings showed 5.9 / 107.
I'm glad to get an official "you're doing ok" reading, as i've only gone off of my own manual readings. I'm not using a pump or any device that tracks my blood sugar automatically. It's all manual pens and pricks, so  in the back of my mind there was always that *what if my average is much higher than my readings due to long spans of no data*, but i'm happy that it's close enough!
Diet hasn't really changed. I try to stay away from faster carbs, like straight sugar or juice, but I hardly ate or drank too much of that before diagnosis. I still average between 220g-300g+ of carbs a day, and hope to keep this going as my pancreas start to slowly die off.</t>
        </is>
      </c>
      <c r="D4064" t="n">
        <v>5</v>
      </c>
      <c r="E4064" t="n">
        <v>6</v>
      </c>
      <c r="F4064">
        <f>HYPERLINK("https://www.reddit.com/r/diabetes/comments/7rg6l0/my_first_late_a1c_after_diagnosis/")</f>
        <v/>
      </c>
      <c r="G4064" t="inlineStr">
        <is>
          <t>2018-01-18 21:30:17</t>
        </is>
      </c>
      <c r="H4064" t="inlineStr">
        <is>
          <t>Type 1</t>
        </is>
      </c>
    </row>
    <row r="4065">
      <c r="A4065" t="inlineStr">
        <is>
          <t>7rid10</t>
        </is>
      </c>
      <c r="B4065" t="inlineStr">
        <is>
          <t>I also won the crappy genetic lottery</t>
        </is>
      </c>
      <c r="C4065" t="inlineStr">
        <is>
          <t xml:space="preserve">So, long story short as I'm sure you hear variations of this a lot around here, I went to the medical centre with a urine sample last week to fix a UTI which wasn't going away, and my nurse looked at the test strip and was like "uh, you should have mentioned you are diabetic" and I was like, "excuse me, what?".
As it turns out, I actually am diabetic, and the nurse has reasons to believe it's T1. While it's early days and my pancreas is still producing some insulin, the fact that I'm 30, have been slim throughout my lifetime and I am otherwise perfectly healthy make a T1 diagnosis more likely, which means that in a few months I might have to start insulin. In the meantime, I was given a BG monitor and will start Metformin next week. As soon as I heard I might be diabetic I cut carbs quite a bit (I'm Italian, I do like my pasta), swapped white bread and rice for wholegrain, purchased extra veggies, said no to the office's weekly Cake Day, and purchased some in-line skates to get my butt out of the house a couple times a week. 
Last year I lost a T1 uncle to diabetes, and while it sucked I'd rather keep this in mind an example of what can happen if I don't look after myself (he was a very heavy smoker, very sedentary and hardly monitoring BG). 
Considering that I just started playing the Diabetes game in easy mode and will likely switch to hard mode in a few months, what else can I do to prepare for it? At the moment I am managing to keep a positive attitude about this despite being initially blindsided, but it's requiring a lot of mental energies and I'd rather not to force myself to go super-low carb or run everyday just yet, because I'm afraid is going to make it a lot harder to stay positive and I'd rather take it gradually to get used to the big life change.
Any other tips, or things you would have liked to know when you were first diagnosed?
</t>
        </is>
      </c>
      <c r="D4065" t="n">
        <v>10</v>
      </c>
      <c r="E4065" t="n">
        <v>24</v>
      </c>
      <c r="F4065">
        <f>HYPERLINK("https://www.reddit.com/r/diabetes/comments/7rid10/i_also_won_the_crappy_genetic_lottery/")</f>
        <v/>
      </c>
      <c r="G4065" t="inlineStr">
        <is>
          <t>2018-01-19 05:40:48</t>
        </is>
      </c>
      <c r="H4065" t="inlineStr">
        <is>
          <t>Type 1</t>
        </is>
      </c>
    </row>
    <row r="4066">
      <c r="A4066" t="inlineStr">
        <is>
          <t>7riqps</t>
        </is>
      </c>
      <c r="B4066" t="inlineStr">
        <is>
          <t>Moving abroad - how to stock up on supplies?</t>
        </is>
      </c>
      <c r="C4066" t="inlineStr">
        <is>
          <t xml:space="preserve">Hi all, I've posted a similar question before, but I have a little more perspective on this now, so figured it'd be good to hear your thoughts again! I currently live in the US and have BCBS PPO. Because of visa matters, I have to stop working mid-February and will therefore lose insurance then. I will travel back to my home country at the end of February, and start working again in Poland in April. I am trying to figure out what would be the best way to have enough supplies to tide me over comfortably until I'm all set up with new insurance in Europe. I want to make sure I tell my doctor/insurance/the pharmacy the right things. I am currently on Lantus and Humalog, and wear a Dexcom G5 (perhaps the part I am most concerned about).
- Endo: I've already told her about the move - she's pretty new, and said she'd "ask around the office" about writing me some prescriptions for more supplies. I have an appointment with her coming up in a few weeks
- Insurance: I feel like I fall into a deep dark hole every time I call them to ask a question. Should I explain the move, or just say I'm going on extended holidays for a while? My fear is that if I ask them for advance supplies, they'll just tell me to get them abroad once I'm on my new insurance
- Pharmacy: I've done vacation overrides before to get birth control up to 3 months at a time - would this also apply to insulin, even with no insurance authorization? 
I will take whatever advice I can get on this, thank you in advance!
</t>
        </is>
      </c>
      <c r="D4066" t="n">
        <v>6</v>
      </c>
      <c r="E4066" t="n">
        <v>3</v>
      </c>
      <c r="F4066">
        <f>HYPERLINK("https://www.reddit.com/r/diabetes/comments/7riqps/moving_abroad_how_to_stock_up_on_supplies/")</f>
        <v/>
      </c>
      <c r="G4066" t="inlineStr">
        <is>
          <t>2018-01-19 06:43:58</t>
        </is>
      </c>
      <c r="H4066" t="inlineStr">
        <is>
          <t>Type 1</t>
        </is>
      </c>
    </row>
    <row r="4067">
      <c r="A4067" t="inlineStr">
        <is>
          <t>7ritho</t>
        </is>
      </c>
      <c r="B4067" t="inlineStr">
        <is>
          <t>Bolus insulin scares me. Is there a book/guide on how to have a healthy carb/bolus ratio?</t>
        </is>
      </c>
      <c r="C4067" t="inlineStr">
        <is>
          <t>Currently started using insulin again as a type 1, after 3 years of keto and honeymoon phase (yes it took 3 years) but got an infection and started to use insulin again. And I kinda like it.. I missed carbs, I still plan to keep my diet healthy and things in moderation but I am scared of Novarapid and similar bolus insulin, which was the main reason I started keto. Not to avoid highs but to avoid lows.
I was sleeping little worried every night knowing I may not wake up due to low blood sugar, keto kept me away from lows but I want to learn and live with insulin, not restrict myself from eating any carbs. But also be cautious, avoid lows as much as possible.
Right now I do a fixed amount, 4 units of novarapid before every meal, I eat bulgur rice, which has around half the carbs of white rice. I also joined a birthday meal after 3 years, ate some cake and pastry after doing 8 units. Because of my current medication (cortisone), my blood sugar is a little high (150-200) but I really missed all these..
What I want to learn is, how to properly manage a carb/bolus ratio and not have any lows or any highs? I assume my age and overall physical activity are also a factor, what I am looking for is how to figure something out myself, test and learn the optimal way for my body. What are some good sources, books etc?</t>
        </is>
      </c>
      <c r="D4067" t="n">
        <v>1</v>
      </c>
      <c r="E4067" t="n">
        <v>4</v>
      </c>
      <c r="F4067">
        <f>HYPERLINK("https://www.reddit.com/r/diabetes/comments/7ritho/bolus_insulin_scares_me_is_there_a_bookguide_on/")</f>
        <v/>
      </c>
      <c r="G4067" t="inlineStr">
        <is>
          <t>2018-01-19 06:56:14</t>
        </is>
      </c>
      <c r="H4067" t="inlineStr">
        <is>
          <t>Type 1</t>
        </is>
      </c>
    </row>
    <row r="4068">
      <c r="A4068" t="inlineStr">
        <is>
          <t>7rjxei</t>
        </is>
      </c>
      <c r="B4068" t="inlineStr">
        <is>
          <t>[Question] Any thing I should be aware of with Januvia and Jardiance?</t>
        </is>
      </c>
      <c r="C4068" t="inlineStr">
        <is>
          <t>Hey everyone, hope everybody's doing well.
So I just met with my PCP and we decided it was time to add extra medication to my program.
We talked and decided that, for the next three months, I would be prescribed Januvia and Jardiance.
Is anybody else using these? If so, or if you have in the past, anything you think I should be aware of?
My Doctor and I spoke about this, and it seemed the only slight problem they've had with Jardiance is, for those where the Diabetes was poorly maintained, it seemed to increase the risk of Diabetic amputation :O :/ .
My Doctor told me that it would be very unlikely for someone like me, but it got me thinking about a few things. Just wanted to put a word out there and see if anybody else in the Diabetic community had anything to say.
As always, I hope you guys are doing well and in good health. If anybody responds, please know that it's greatly appreciated.
Thanks.</t>
        </is>
      </c>
      <c r="D4068" t="n">
        <v>1</v>
      </c>
      <c r="E4068" t="n">
        <v>4</v>
      </c>
      <c r="F4068">
        <f>HYPERLINK("https://www.reddit.com/r/diabetes/comments/7rjxei/question_any_thing_i_should_be_aware_of_with/")</f>
        <v/>
      </c>
      <c r="G4068" t="inlineStr">
        <is>
          <t>2018-01-19 09:28:28</t>
        </is>
      </c>
      <c r="H4068" t="inlineStr">
        <is>
          <t>Type 2</t>
        </is>
      </c>
    </row>
    <row r="4069">
      <c r="A4069" t="inlineStr">
        <is>
          <t>7rkhg5</t>
        </is>
      </c>
      <c r="B4069" t="inlineStr">
        <is>
          <t>Type 1 preparing to start taking Jardiance</t>
        </is>
      </c>
      <c r="C4069" t="inlineStr">
        <is>
          <t>I've been a well controlled type 1 for over twenty years.  My endo recently prescribed me Jardiance to try and help with weight loss. Can anyone tell me what to expect? I have heard of frequent lows and I can prepare for that. Just looking for advice, really.</t>
        </is>
      </c>
      <c r="D4069" t="n">
        <v>3</v>
      </c>
      <c r="E4069" t="n">
        <v>5</v>
      </c>
      <c r="F4069">
        <f>HYPERLINK("https://www.reddit.com/r/diabetes/comments/7rkhg5/type_1_preparing_to_start_taking_jardiance/")</f>
        <v/>
      </c>
      <c r="G4069" t="inlineStr">
        <is>
          <t>2018-01-19 10:42:43</t>
        </is>
      </c>
      <c r="H4069" t="inlineStr">
        <is>
          <t>Type 1</t>
        </is>
      </c>
    </row>
    <row r="4070">
      <c r="A4070" t="inlineStr">
        <is>
          <t>7rkita</t>
        </is>
      </c>
      <c r="B4070" t="inlineStr">
        <is>
          <t>Dexcom VS Libre</t>
        </is>
      </c>
      <c r="C4070" t="inlineStr">
        <is>
          <t>Anyone have any pros/cons for either? I have tried the Dexcom for about a month, but it randomly started giving me numbers with incorrect Bgl, even when I calibrated it. My endo just suggested I try the Libre. Have any of you tried it? Any tips or suggestions?
Thanks a bunch!</t>
        </is>
      </c>
      <c r="D4070" t="n">
        <v>2</v>
      </c>
      <c r="E4070" t="n">
        <v>17</v>
      </c>
      <c r="F4070">
        <f>HYPERLINK("https://www.reddit.com/r/diabetes/comments/7rkita/dexcom_vs_libre/")</f>
        <v/>
      </c>
      <c r="G4070" t="inlineStr">
        <is>
          <t>2018-01-19 10:47:44</t>
        </is>
      </c>
      <c r="H4070" t="inlineStr">
        <is>
          <t>Type 1</t>
        </is>
      </c>
    </row>
    <row r="4071">
      <c r="A4071" t="inlineStr">
        <is>
          <t>7rltas</t>
        </is>
      </c>
      <c r="B4071" t="inlineStr">
        <is>
          <t>New to Type 2 and management, anxiety about hypos.</t>
        </is>
      </c>
      <c r="C4071" t="inlineStr">
        <is>
          <t>Hello r/diabetes!
Last year I was diagnosed as T2 the day before Thanksgiving. I went in with a BG of 469 and an A1C of 11. I was immediately placed on 1000mg of Metformin and I elected to observe a strict LCHF/Keto diet at 20-30 carbs a day. 
As of this week, I have regularly been testing around or below 120, with a few highs reaching 130 or lower 140s. The last three days having multiple readings in the 90s. I have also lost about 20 pounds. (270 to 250). An app I use on my phone estimates my A1C as 5.9, though I'm aware I'll need to wait for labs in a month or so to know this for certain. 
Now to the reason I'm posting: I've got a big phobia of a hypo episode, and trend to be a bit of a hypochondriac. These recent drops into the lower 90s and upper 80s are scaring me a little. I've 'felt' slightly hypo, and I don't know if it's real or not. I often get that shaky feeling or weakness attributed to a hypo, but test in the 90s or 80s. I feel as if the progression I've made has been incredibly rapid, to go from 469 to 90s in only two months. I worry the metformin and ketogenic diet may combine to starve my body of carbohydrates to a dangerous level. 
I don't fully understand the mechanism by which metformin works, other than it reduces glucose absorption by the intestines and production by the liver. Can r/diabetes ease my mind here and educate me a bit on all of this?</t>
        </is>
      </c>
      <c r="D4071" t="n">
        <v>1</v>
      </c>
      <c r="E4071" t="n">
        <v>20</v>
      </c>
      <c r="F4071">
        <f>HYPERLINK("https://www.reddit.com/r/diabetes/comments/7rltas/new_to_type_2_and_management_anxiety_about_hypos/")</f>
        <v/>
      </c>
      <c r="G4071" t="inlineStr">
        <is>
          <t>2018-01-19 13:47:56</t>
        </is>
      </c>
      <c r="H4071" t="inlineStr">
        <is>
          <t>Type 2</t>
        </is>
      </c>
    </row>
    <row r="4072">
      <c r="A4072" t="inlineStr">
        <is>
          <t>7rmomn</t>
        </is>
      </c>
      <c r="B4072" t="inlineStr">
        <is>
          <t>What does "Blowing Off" one's T1D look like?</t>
        </is>
      </c>
      <c r="C4072" t="inlineStr">
        <is>
          <t xml:space="preserve">No Judgement: I've come across countless comments in which people have stated that they have finally come around to managing their T1D after having blown it off for years...particularly the teenage years.  Other folk have stated that they have "winged it."  Most may already know the consequences of not treating one's T1D, however, many may not know what blowing it off looks like...or what winging it means.  I'm looking to hopefully have someone shed some light as to what the dynamics of ignoring ones T1D are like. 
- What does "blowing off" ones T1D mean to you from your own experience?
- What would "winging it" consist of?
-How does this occur? 
-How does one go about their day?
-If any (again, no judgement), are there pros to ignoring ones treatment or just "winging it?" 
-What have been the consequences for you?
-Any anecdotes? 
Thank you for sharing! 
Edit: I would like to clarify that I am asking as a father of a teenage girl with Type 1 Diabetes. </t>
        </is>
      </c>
      <c r="D4072" t="n">
        <v>1</v>
      </c>
      <c r="E4072" t="n">
        <v>31</v>
      </c>
      <c r="F4072">
        <f>HYPERLINK("https://www.reddit.com/r/diabetes/comments/7rmomn/what_does_blowing_off_ones_t1d_look_like/")</f>
        <v/>
      </c>
      <c r="G4072" t="inlineStr">
        <is>
          <t>2018-01-19 15:59:16</t>
        </is>
      </c>
      <c r="H4072" t="inlineStr">
        <is>
          <t>Type 1</t>
        </is>
      </c>
    </row>
    <row r="4073">
      <c r="A4073" t="inlineStr">
        <is>
          <t>7ro4s3</t>
        </is>
      </c>
      <c r="B4073" t="inlineStr">
        <is>
          <t>I'm a complete idiot.</t>
        </is>
      </c>
      <c r="C4073" t="inlineStr">
        <is>
          <t>Been bolusing constantly after not going down from 220 for 3 hours, checked my site, its been out half the day. I now feel like an idiot.</t>
        </is>
      </c>
      <c r="D4073" t="n">
        <v>29</v>
      </c>
      <c r="E4073" t="n">
        <v>5</v>
      </c>
      <c r="F4073">
        <f>HYPERLINK("https://www.reddit.com/r/diabetes/comments/7ro4s3/im_a_complete_idiot/")</f>
        <v/>
      </c>
      <c r="G4073" t="inlineStr">
        <is>
          <t>2018-01-19 20:15:10</t>
        </is>
      </c>
      <c r="H4073" t="inlineStr">
        <is>
          <t>Type 1</t>
        </is>
      </c>
    </row>
    <row r="4074">
      <c r="A4074" t="inlineStr">
        <is>
          <t>7rqv8y</t>
        </is>
      </c>
      <c r="B4074" t="inlineStr">
        <is>
          <t>Paying It Forward</t>
        </is>
      </c>
      <c r="C4074" t="inlineStr">
        <is>
          <t xml:space="preserve">I’ve recently switched from Dexcom’s CGM to Medtronic now that their supply is back after the destruction caused by the hurricane to Puerto Rico’s manufacturing facility.
I have the following brand new/unused items for free:
1ea Dexcom G5 Mobile Transmitter Kit
8ea Dexcom G5 Mobile/G4 PLATINUM Sensor Kit
If anyone is in need of these items as a set, message me and I can find out the best way to get them to you. I will most likely send it in a flat rate USPS box. </t>
        </is>
      </c>
      <c r="D4074" t="n">
        <v>13</v>
      </c>
      <c r="E4074" t="n">
        <v>11</v>
      </c>
      <c r="F4074">
        <f>HYPERLINK("https://www.reddit.com/r/diabetes/comments/7rqv8y/paying_it_forward/")</f>
        <v/>
      </c>
      <c r="G4074" t="inlineStr">
        <is>
          <t>2018-01-20 07:07:39</t>
        </is>
      </c>
      <c r="H4074" t="inlineStr">
        <is>
          <t>Type 1</t>
        </is>
      </c>
    </row>
    <row r="4075">
      <c r="A4075" t="inlineStr">
        <is>
          <t>7rrjq8</t>
        </is>
      </c>
      <c r="B4075" t="inlineStr">
        <is>
          <t>Problems with the FreeStyle Libre</t>
        </is>
      </c>
      <c r="C4075" t="inlineStr">
        <is>
          <t>I have been using the FreeStyle Libre for a couple of months now and I've been really liking it. However yesterday I had a big problem with it.
 Yesterday night it said my mmol/L was ''HIGH'' not a number just HIGH. So I thought my mmol/L was around 30 or 540 mg/dL. (i dont know if these numbers are 100% correct but im using an online converter) So I injected 6 units in a panic. After injecting myself with 6 units I checked my mmol/L with my old Accu-Check. It said my mmol/L was 9 or 162 mg/dL. Today my FreeStyle Libre said my glucose was 18 mmol/L or 324 mg/dL, but Accu-Check said it was 13mmol/L or 234 mg/dL. Has anyone else had this problem with the FreeStyle Libre? I know that it has a bit of a delay but I didn't expect such a big delay.
TLDR:
has anyone else had very different glucose levels between the FreeStyle Libre and the Accu-Check?</t>
        </is>
      </c>
      <c r="D4075" t="n">
        <v>1</v>
      </c>
      <c r="E4075" t="n">
        <v>5</v>
      </c>
      <c r="F4075">
        <f>HYPERLINK("https://www.reddit.com/r/diabetes/comments/7rrjq8/problems_with_the_freestyle_libre/")</f>
        <v/>
      </c>
      <c r="G4075" t="inlineStr">
        <is>
          <t>2018-01-20 09:02:07</t>
        </is>
      </c>
      <c r="H4075" t="inlineStr">
        <is>
          <t>Type 1</t>
        </is>
      </c>
    </row>
    <row r="4076">
      <c r="A4076" t="inlineStr">
        <is>
          <t>7rrke7</t>
        </is>
      </c>
      <c r="B4076" t="inlineStr">
        <is>
          <t>Has anyone switched from Novomix to basal/bolus? Advice please</t>
        </is>
      </c>
      <c r="C4076" t="inlineStr">
        <is>
          <t xml:space="preserve">Hi, I've been insulin dependent since August '17 (pancreatitis) and I'm on novomix 30 twice a day.
I feel like I'm balancing what i eat to the level of insulin im injecting. Consequently my BG levels are a bit of a wild ride.
It seems to me that switching to a basal/ bolus regimen can lead to better control. 
The trade off seems to be more injections and carb counting.  I've got no problems with more injections and I'm already keeping a food diary with carb levels.
Has anyone here made the switch? What was it like? What address the gotchas? 
</t>
        </is>
      </c>
      <c r="D4076" t="n">
        <v>0</v>
      </c>
      <c r="E4076" t="n">
        <v>4</v>
      </c>
      <c r="F4076">
        <f>HYPERLINK("https://www.reddit.com/r/diabetes/comments/7rrke7/has_anyone_switched_from_novomix_to_basalbolus/")</f>
        <v/>
      </c>
      <c r="G4076" t="inlineStr">
        <is>
          <t>2018-01-20 09:05:11</t>
        </is>
      </c>
      <c r="H4076" t="inlineStr">
        <is>
          <t>Type 1</t>
        </is>
      </c>
    </row>
    <row r="4077">
      <c r="A4077" t="inlineStr">
        <is>
          <t>7rrqf6</t>
        </is>
      </c>
      <c r="B4077" t="inlineStr">
        <is>
          <t>Question about blood glucose goals</t>
        </is>
      </c>
      <c r="C4077" t="inlineStr">
        <is>
          <t xml:space="preserve">Hello! I was diagnosed T2 six months ago with AIC of 8.5. Since then I’ve lost about 55 lbs, and my A1C was 5.7 in October. I’m watching my carbs (80-100 g a day), but not keto. I’m using Metformin, which does seem to drop my morning fasting numbers. 
I’m now reliably waking up with fasting numbers between 95-105, and my one hour and two hour numbers (I only do one hours when I’m trying something new) are almost always (90%) under 120 and rarely over 130 (5 of those readings in three months) and seem pretty clearly correlated to a carb heavy meal. I test about 4-6 times a day and my past 30 day average is 103, 90 day is 105. 
My question is this: the more I read of the medical literature, the more confused I am about what an optimum target range really is and what a reasonable post-prandial level actually is. I know I’m in the ballpark, but what additional benefit is gained by even tighter control? </t>
        </is>
      </c>
      <c r="D4077" t="n">
        <v>5</v>
      </c>
      <c r="E4077" t="n">
        <v>5</v>
      </c>
      <c r="F4077">
        <f>HYPERLINK("https://www.reddit.com/r/diabetes/comments/7rrqf6/question_about_blood_glucose_goals/")</f>
        <v/>
      </c>
      <c r="G4077" t="inlineStr">
        <is>
          <t>2018-01-20 09:32:22</t>
        </is>
      </c>
      <c r="H4077" t="inlineStr">
        <is>
          <t>Type 2</t>
        </is>
      </c>
    </row>
    <row r="4078">
      <c r="A4078" t="inlineStr">
        <is>
          <t>7rsggn</t>
        </is>
      </c>
      <c r="B4078" t="inlineStr">
        <is>
          <t>Self Harm Awareness</t>
        </is>
      </c>
      <c r="C4078" t="inlineStr">
        <is>
          <t xml:space="preserve">Self-harm via intentional mismanagement of one's T1D is an area that many may not be aware of and is as raw as T1D can get.  T1D coupled with a diagnosis such as Depression and Anxiety disorders can become a magnified and awful combination if treatment via counseling/therapy and medication is not sought or available...in these cases, strong support from family, friends, and you good people from r/diabetes and r/diabetes_t1 becomes vital.  While my daughter has such combination of diagnosis', we are blessed that self harm is not an area of current concern. However, I am posting this in attempt to raise an awareness of sorts.  I just finished responding to a trully amazing person who shared her/his personal experience with this on a separate post.  I am very thankful that this was shared with me as it can allow for a proactive approach in the future if it were ever to become a reality.  </t>
        </is>
      </c>
      <c r="D4078" t="n">
        <v>29</v>
      </c>
      <c r="E4078" t="n">
        <v>10</v>
      </c>
      <c r="F4078">
        <f>HYPERLINK("https://www.reddit.com/r/diabetes/comments/7rsggn/self_harm_awareness/")</f>
        <v/>
      </c>
      <c r="G4078" t="inlineStr">
        <is>
          <t>2018-01-20 11:25:35</t>
        </is>
      </c>
      <c r="H4078" t="inlineStr">
        <is>
          <t>Type 1</t>
        </is>
      </c>
    </row>
    <row r="4079">
      <c r="A4079" t="inlineStr">
        <is>
          <t>7rsmjs</t>
        </is>
      </c>
      <c r="B4079" t="inlineStr">
        <is>
          <t>Humalog viles, should they be refrigerated after first use?</t>
        </is>
      </c>
      <c r="C4079" t="inlineStr">
        <is>
          <t xml:space="preserve">Or should they be kept at room temperature after first use?  </t>
        </is>
      </c>
      <c r="D4079" t="n">
        <v>3</v>
      </c>
      <c r="E4079" t="n">
        <v>13</v>
      </c>
      <c r="F4079">
        <f>HYPERLINK("https://www.reddit.com/r/diabetes/comments/7rsmjs/humalog_viles_should_they_be_refrigerated_after/")</f>
        <v/>
      </c>
      <c r="G4079" t="inlineStr">
        <is>
          <t>2018-01-20 11:49:23</t>
        </is>
      </c>
      <c r="H4079" t="inlineStr">
        <is>
          <t>Type 1</t>
        </is>
      </c>
    </row>
    <row r="4080">
      <c r="A4080" t="inlineStr">
        <is>
          <t>7rttxu</t>
        </is>
      </c>
      <c r="B4080" t="inlineStr">
        <is>
          <t>How do I gain weight</t>
        </is>
      </c>
      <c r="C4080" t="inlineStr">
        <is>
          <t>So I had the flu and bronchitis over the course of two weeks and my entire appetite went out the window. I managed my BG just fine but I lost weight and would like to gain it back to my normal weight. How do other diabetics gain weight and take on calories without having to bolus a ridiculous amount. Am I just gonna have to expect to use a ton of insulin or is there another way?</t>
        </is>
      </c>
      <c r="D4080" t="n">
        <v>1</v>
      </c>
      <c r="E4080" t="n">
        <v>3</v>
      </c>
      <c r="F4080">
        <f>HYPERLINK("https://www.reddit.com/r/diabetes/comments/7rttxu/how_do_i_gain_weight/")</f>
        <v/>
      </c>
      <c r="G4080" t="inlineStr">
        <is>
          <t>2018-01-20 15:01:51</t>
        </is>
      </c>
      <c r="H4080" t="inlineStr">
        <is>
          <t>Type 1</t>
        </is>
      </c>
    </row>
    <row r="4081">
      <c r="A4081" t="inlineStr">
        <is>
          <t>7ruqur</t>
        </is>
      </c>
      <c r="B4081" t="inlineStr">
        <is>
          <t>I've lost motivation to test myself</t>
        </is>
      </c>
      <c r="C4081" t="inlineStr">
        <is>
          <t>My dad has been constantly yelling at me to test myself but I ignore it because I feel like it bothers me and I feel like it's pointless because I'm only going to give myself insulin to cover my meal. He wants me to do it every 2 hours. I used to be on the dexcom but my dad cut me off of it because I was ignoring the readings and there was no android app at the time so I'm stuck shitty FreeStyle Lite. My parents are worried that I'll have my foot amputated if I don't take care of myself. I want to please my parents and myself, what should I do to motivate myself again?</t>
        </is>
      </c>
      <c r="D4081" t="n">
        <v>1</v>
      </c>
      <c r="E4081" t="n">
        <v>6</v>
      </c>
      <c r="F4081">
        <f>HYPERLINK("https://www.reddit.com/r/diabetes/comments/7ruqur/ive_lost_motivation_to_test_myself/")</f>
        <v/>
      </c>
      <c r="G4081" t="inlineStr">
        <is>
          <t>2018-01-20 17:36:49</t>
        </is>
      </c>
      <c r="H4081" t="inlineStr">
        <is>
          <t>Type 1</t>
        </is>
      </c>
    </row>
    <row r="4082">
      <c r="A4082" t="inlineStr">
        <is>
          <t>7rvl54</t>
        </is>
      </c>
      <c r="B4082" t="inlineStr">
        <is>
          <t>I have a question about numbness/tingling in my arms and feet.</t>
        </is>
      </c>
      <c r="C4082" t="inlineStr">
        <is>
          <t>So i've had type 1 diabetes for about 4-5 months now and noticed that sometimes my hands and feet get the pins and needles feeling. I've googled it a little and found out that it can cause nerve damage but it was more dangerous for type 2 diabetics. 
The feeling comes and goes kind of randomly but it is also more prevalent when i wake up in the morning.
I guess what Im asking is whether or not i should be concerned with this or if everyone faces the same thing and if its something i should be concerned with, how should i deal with it?</t>
        </is>
      </c>
      <c r="D4082" t="n">
        <v>1</v>
      </c>
      <c r="E4082" t="n">
        <v>3</v>
      </c>
      <c r="F4082">
        <f>HYPERLINK("https://www.reddit.com/r/diabetes/comments/7rvl54/i_have_a_question_about_numbnesstingling_in_my/")</f>
        <v/>
      </c>
      <c r="G4082" t="inlineStr">
        <is>
          <t>2018-01-20 20:13:21</t>
        </is>
      </c>
      <c r="H4082" t="inlineStr">
        <is>
          <t>Type 1</t>
        </is>
      </c>
    </row>
    <row r="4083">
      <c r="A4083" t="inlineStr">
        <is>
          <t>7rx5m7</t>
        </is>
      </c>
      <c r="B4083" t="inlineStr">
        <is>
          <t>Diabetes science experiments.</t>
        </is>
      </c>
      <c r="C4083" t="inlineStr">
        <is>
          <t>Hey Reddit, I would love some experiments to do regarding diabetes. Bit of background , I am a grade 10 who has had type 1 for almost 11 months. I have a school science expo project and have to have some ideas on a project I could work. I am thinking of testing how fitness affects blood sugar during intense exercise. If you have any other suggestions as to things I could do I would be very grateful. Thanks :)</t>
        </is>
      </c>
      <c r="D4083" t="n">
        <v>2</v>
      </c>
      <c r="E4083" t="n">
        <v>8</v>
      </c>
      <c r="F4083">
        <f>HYPERLINK("https://www.reddit.com/r/diabetes/comments/7rx5m7/diabetes_science_experiments/")</f>
        <v/>
      </c>
      <c r="G4083" t="inlineStr">
        <is>
          <t>2018-01-21 03:08:01</t>
        </is>
      </c>
      <c r="H4083" t="inlineStr">
        <is>
          <t>Type 1</t>
        </is>
      </c>
    </row>
    <row r="4084">
      <c r="A4084" t="inlineStr">
        <is>
          <t>7rz5sb</t>
        </is>
      </c>
      <c r="B4084" t="inlineStr">
        <is>
          <t>Reset</t>
        </is>
      </c>
      <c r="C4084" t="inlineStr">
        <is>
          <t>Over the past 10-12 years of being on a pump I’ve changed so many things and everything seems to be off now. I feel like I need to reset my basal and bolus rates, carb ratios, sensitivity, etc.
I’ve recently moved to a new state and am on the look for a new doctor. I’d like to make adjustments myself before I see the doctor, probably in a couple months being a new patient has been my experience, to tell them what I’ve done and how it’s changed my control. I’ve skated by with decent blood sugars and A1Cs my whole life but need and want to improve my control for myself. 
How would you all recommend I get better control on adjusting my pump settings? 
Thanks in advance, I’ve learned a lot on this sub!</t>
        </is>
      </c>
      <c r="D4084" t="n">
        <v>3</v>
      </c>
      <c r="E4084" t="n">
        <v>4</v>
      </c>
      <c r="F4084">
        <f>HYPERLINK("https://www.reddit.com/r/diabetes/comments/7rz5sb/reset/")</f>
        <v/>
      </c>
      <c r="G4084" t="inlineStr">
        <is>
          <t>2018-01-21 09:50:29</t>
        </is>
      </c>
      <c r="H4084" t="inlineStr">
        <is>
          <t>Type 1</t>
        </is>
      </c>
    </row>
    <row r="4085">
      <c r="A4085" t="inlineStr">
        <is>
          <t>7s1uuk</t>
        </is>
      </c>
      <c r="B4085" t="inlineStr">
        <is>
          <t>Dexcom G5 displays --- on Apple watch half the time?</t>
        </is>
      </c>
      <c r="C4085" t="inlineStr">
        <is>
          <t xml:space="preserve">Does anybody else have this problem where you have to open the actual application on your apple watch to get it to update (and even then sometimes you have to go to your phone app)? Is there any fix to this? </t>
        </is>
      </c>
      <c r="D4085" t="n">
        <v>1</v>
      </c>
      <c r="E4085" t="n">
        <v>7</v>
      </c>
      <c r="F4085">
        <f>HYPERLINK("https://www.reddit.com/r/diabetes/comments/7s1uuk/dexcom_g5_displays_on_apple_watch_half_the_time/")</f>
        <v/>
      </c>
      <c r="G4085" t="inlineStr">
        <is>
          <t>2018-01-21 16:25:03</t>
        </is>
      </c>
      <c r="H4085" t="inlineStr">
        <is>
          <t>Type 1</t>
        </is>
      </c>
    </row>
    <row r="4086">
      <c r="A4086" t="inlineStr">
        <is>
          <t>7s1v5f</t>
        </is>
      </c>
      <c r="B4086" t="inlineStr">
        <is>
          <t>Just tested my blood sugars and it said Hi</t>
        </is>
      </c>
      <c r="C4086" t="inlineStr">
        <is>
          <t>I tried again a couple of times and it's still saying hi, what does this mean? I feel like my sugars are rather high right now but not crazy high? I don't know I'm freaking out right now 
I have been diagnosed for 8 months now and this is the first time.
Edit: Thanks for all the advice you've all given! Gave myself an extra injection a few hours before bed and woke up at 13.9, still not perfect but a lot better than "Hi" haha</t>
        </is>
      </c>
      <c r="D4086" t="n">
        <v>3</v>
      </c>
      <c r="E4086" t="n">
        <v>10</v>
      </c>
      <c r="F4086">
        <f>HYPERLINK("https://www.reddit.com/r/diabetes/comments/7s1v5f/just_tested_my_blood_sugars_and_it_said_hi/")</f>
        <v/>
      </c>
      <c r="G4086" t="inlineStr">
        <is>
          <t>2018-01-21 16:26:21</t>
        </is>
      </c>
      <c r="H4086" t="inlineStr">
        <is>
          <t>Type 1</t>
        </is>
      </c>
    </row>
    <row r="4087">
      <c r="A4087" t="inlineStr">
        <is>
          <t>7s4c84</t>
        </is>
      </c>
      <c r="B4087" t="inlineStr">
        <is>
          <t>Expired test strips?</t>
        </is>
      </c>
      <c r="C4087" t="inlineStr">
        <is>
          <t>My last A1C was a 4.7. I eat very low-carb (Not quite keto) and tend to have readings around 70-120.
Only... I haven't tested myself in over a year. After my A1Cs started coming back normal over and over again, I just kept to my diet and made sure I didn't gain much weight.
So, when I just tested myself out of curiosity and got a reading of 262, you can imagine my shock and panic.
Looking at the bottle, the test strips expired 10/2017. Should I trust them and commence panic mode, or are they just bad strips?</t>
        </is>
      </c>
      <c r="D4087" t="n">
        <v>0</v>
      </c>
      <c r="E4087" t="n">
        <v>3</v>
      </c>
      <c r="F4087">
        <f>HYPERLINK("https://www.reddit.com/r/diabetes/comments/7s4c84/expired_test_strips/")</f>
        <v/>
      </c>
      <c r="G4087" t="inlineStr">
        <is>
          <t>2018-01-22 00:04:19</t>
        </is>
      </c>
      <c r="H4087" t="inlineStr">
        <is>
          <t>Type 2</t>
        </is>
      </c>
    </row>
    <row r="4088">
      <c r="A4088" t="inlineStr">
        <is>
          <t>7s4li7</t>
        </is>
      </c>
      <c r="B4088" t="inlineStr">
        <is>
          <t>Insulin resistance gone</t>
        </is>
      </c>
      <c r="C4088" t="inlineStr">
        <is>
          <t>It appears that my insulin resistance has gone away randomly, but why? What the fuck? I cant believe this, why did it go away? Anyone else who has experienced this miracle?</t>
        </is>
      </c>
      <c r="D4088" t="n">
        <v>1</v>
      </c>
      <c r="E4088" t="n">
        <v>9</v>
      </c>
      <c r="F4088">
        <f>HYPERLINK("https://www.reddit.com/r/diabetes/comments/7s4li7/insulin_resistance_gone/")</f>
        <v/>
      </c>
      <c r="G4088" t="inlineStr">
        <is>
          <t>2018-01-22 01:12:02</t>
        </is>
      </c>
      <c r="H4088" t="inlineStr">
        <is>
          <t>Type 1</t>
        </is>
      </c>
    </row>
    <row r="4089">
      <c r="A4089" t="inlineStr">
        <is>
          <t>7s4mgp</t>
        </is>
      </c>
      <c r="B4089" t="inlineStr">
        <is>
          <t>How bad are short duration highs (2-4 hours)?</t>
        </is>
      </c>
      <c r="C4089" t="inlineStr">
        <is>
          <t>Lately, I am back on insulin. I use cortisone to treat an infection and my blood sugar is pushed up a little bit (around 200) and on average, it is 160. Before I take cortisone (which takes effect around afternoon) my blood sugar is fine, around 100-150, cortisone's effect happens before lunch, where I inject a good dose of insulin and my blood sugar goes to 130-150 in a couple hours.
So basically, my blood sugar goes like, 100-150 without cortisone, a big high (200-220) after cortisone, then back to normal after lunch, staying around 100-150 even during sleep.
Question is, how bad is this 200-220 period, how harmful is it to my body? There isn't really much I can do for it, I am doing all my doctors told me well. But curious if it is too bad for my body or anything. Or is it just mild damage that will easily go away after taking cortisone is over and my blood sugar is back to normal ranges (used to be 90-130, now a little higher because I have to take higher amounts of carbs to balance insulin I take to reduce cortisone spikes), I have like 10 days left until cortisone treatment is over.</t>
        </is>
      </c>
      <c r="D4089" t="n">
        <v>1</v>
      </c>
      <c r="E4089" t="n">
        <v>7</v>
      </c>
      <c r="F4089">
        <f>HYPERLINK("https://www.reddit.com/r/diabetes/comments/7s4mgp/how_bad_are_short_duration_highs_24_hours/")</f>
        <v/>
      </c>
      <c r="G4089" t="inlineStr">
        <is>
          <t>2018-01-22 01:18:32</t>
        </is>
      </c>
      <c r="H4089" t="inlineStr">
        <is>
          <t>Type 1</t>
        </is>
      </c>
    </row>
    <row r="4090">
      <c r="A4090" t="inlineStr">
        <is>
          <t>7s5ted</t>
        </is>
      </c>
      <c r="B4090" t="inlineStr">
        <is>
          <t>Off alcohol and blood sugar way down</t>
        </is>
      </c>
      <c r="C4090" t="inlineStr">
        <is>
          <t>As its January I am taking a month off the booze. I have noticed that my blood sugars are way down. Overnight they used to get to 170+ (us) 10.0+ (uk). Now they are down to 135 (us) 7.5 (uk). I am still exercising by walking a few time per week and maintain my carb intake. Even if I get a bit naughty with the carbs I am not getting the 200+ (11.1+) peaks I was getting previously. I used to drink a lot for the US but average for UK.  Might have to continue this trend past the end of the month. PS diagnosed T2 15 years ago. My whole family is lousy with T2 as its genetic. My BMI is healthy.</t>
        </is>
      </c>
      <c r="D4090" t="n">
        <v>4</v>
      </c>
      <c r="E4090" t="n">
        <v>13</v>
      </c>
      <c r="F4090">
        <f>HYPERLINK("https://www.reddit.com/r/diabetes/comments/7s5ted/off_alcohol_and_blood_sugar_way_down/")</f>
        <v/>
      </c>
      <c r="G4090" t="inlineStr">
        <is>
          <t>2018-01-22 05:43:37</t>
        </is>
      </c>
      <c r="H4090" t="inlineStr">
        <is>
          <t>Type 2</t>
        </is>
      </c>
    </row>
    <row r="4091">
      <c r="A4091" t="inlineStr">
        <is>
          <t>7s8x2t</t>
        </is>
      </c>
      <c r="B4091" t="inlineStr">
        <is>
          <t>Dexcom G5 transmitter issue??</t>
        </is>
      </c>
      <c r="C4091" t="inlineStr">
        <is>
          <t xml:space="preserve">Hey, looking to see if anyone can help. The other day I got a message saying that the transmitter has about 3 weeks left (What a quick 90 days that was!) Anyway tonight we changed the sensor and since the calibration after the two hour warm up over an hour ago there has been signal loss - everything was working fine with the old sensor, it just got caught and came off, is this because the transmitter is on its way out? Or just unlucky? </t>
        </is>
      </c>
      <c r="D4091" t="n">
        <v>1</v>
      </c>
      <c r="E4091" t="n">
        <v>5</v>
      </c>
      <c r="F4091">
        <f>HYPERLINK("https://www.reddit.com/r/diabetes/comments/7s8x2t/dexcom_g5_transmitter_issue/")</f>
        <v/>
      </c>
      <c r="G4091" t="inlineStr">
        <is>
          <t>2018-01-22 12:55:35</t>
        </is>
      </c>
      <c r="H4091" t="inlineStr">
        <is>
          <t>Type 1</t>
        </is>
      </c>
    </row>
    <row r="4092">
      <c r="A4092" t="inlineStr">
        <is>
          <t>7s93q3</t>
        </is>
      </c>
      <c r="B4092" t="inlineStr">
        <is>
          <t>Lows</t>
        </is>
      </c>
      <c r="C4092" t="inlineStr">
        <is>
          <t>Rant ahead. I had a stroke two Fridays ago caused by my diabetes (Type 2). I'm due to leave the hospital later this week, but in the meantime they have me on an 1800 calorie per day diet.
I'm hungry and grumpy. I have had four lows since I've been here. Every afternoon I'm dropping like EA's karma score. Give me some food!</t>
        </is>
      </c>
      <c r="D4092" t="n">
        <v>1</v>
      </c>
      <c r="E4092" t="n">
        <v>0</v>
      </c>
      <c r="F4092">
        <f>HYPERLINK("https://www.reddit.com/r/diabetes/comments/7s93q3/lows/")</f>
        <v/>
      </c>
      <c r="G4092" t="inlineStr">
        <is>
          <t>2018-01-22 13:19:50</t>
        </is>
      </c>
      <c r="H4092" t="inlineStr">
        <is>
          <t>Type 2</t>
        </is>
      </c>
    </row>
    <row r="4093">
      <c r="A4093" t="inlineStr">
        <is>
          <t>7sav74</t>
        </is>
      </c>
      <c r="B4093" t="inlineStr">
        <is>
          <t>Weird numbers</t>
        </is>
      </c>
      <c r="C4093" t="inlineStr">
        <is>
          <t>I’m T2, about 10 years, really struggling to keep it down, especially in the morning, for the last two years.  Eating 30-40 grams of carbs a day, except on cheat days when it might be a slice of bread or half a potato higher.  Taking same meds for the last three years and waking every morning over 200.  
For the last week I have been bad, very bad, yesterday was a croissant and three pecan waffles.  Today was IHOP.   Lots of carbs, especially in the morning,  all week.  And for the last week my sugars have not been over 130.  (Testing first thing in the morning, 2-3 hrs after breakfast and evening).
Is this a thing?  What’s going on?  My husband is also T2 and being very carby, and he’s down too.</t>
        </is>
      </c>
      <c r="D4093" t="n">
        <v>1</v>
      </c>
      <c r="E4093" t="n">
        <v>1</v>
      </c>
      <c r="F4093">
        <f>HYPERLINK("https://www.reddit.com/r/diabetes/comments/7sav74/weird_numbers/")</f>
        <v/>
      </c>
      <c r="G4093" t="inlineStr">
        <is>
          <t>2018-01-22 17:34:56</t>
        </is>
      </c>
      <c r="H4093" t="inlineStr">
        <is>
          <t>Type 2</t>
        </is>
      </c>
    </row>
    <row r="4094">
      <c r="A4094" t="inlineStr">
        <is>
          <t>7sbwbw</t>
        </is>
      </c>
      <c r="B4094" t="inlineStr">
        <is>
          <t>My essay on 'Mental Load' for the MiniMed 670G</t>
        </is>
      </c>
      <c r="C4094" t="inlineStr">
        <is>
          <t xml:space="preserve">A little background about me for context. Diabetes onset in my early 20s, now in my early 50s. I have had multiple pumps over many years, most recently the Medtronic MiniMed 630G with the continuous blood glucose monitor CGM, and now the 670G with CGM and Auto Mode. I would say that I am not very disciplined, I do well but I could do better. The CGM helped a great deal with learning more about control than I did from just testing, as seeing your level does help you correct faster when you go high or low. I was lucky enough to get in early on the 670G with Auto Mode, and part of the deal was to give Medtronic feedback. This is the story that I submitted:
The “Mental Load” of Diabetes
(We know there’s a mental load having diabetes puts on you and that others often don’t see or realize. Share with us what that’s like both before and after using the MiniMed 670G system.)
So, just to let you know, I really wanted to do a video to tell the story of my time with the 670G System. I first thought of having my Dachshund, Noodle, play the pump:
===begin===
Noodle: “BARK BARK BARK!”
Me: “What is it Noodle? Do you need something?”
He must be hungry. Always hungry for a BG number. I look for Noodle, but he is in the closet, so I have to get up and go in the other room, and when I get to the door, I reach for the door knob, and when I touch it and turn it, it doesn’t open! It says this time I have to turn it the other way to open the door! So I reach for the door again and turn the knob the other way. The door opens and I see Noodle.
Me: “What is it Noodle? Do you need something?”
Noodle walks out of the closet and over to the stairs. He pauses, I stop, then he takes me up the stairs, step step step step step step, pause at the landing, step step step step step step, we get to the top, he stops, I turns into a bedroom thinking that is where he wants to go then I realize that was the wrong room, step back out, we go down the hall to the office. I open the door and give him his BG.
===end===
Or maybe I am Luke Skywalker, and the pump is Darth Vader...
===begin===
Luke: “Zzzzzz. Zzzzzz. Zzzzzz”. Luke is sound asleep.
Darth Vader’s lightsaber “Schvrmmmmmmm”.
Luke: “Zzzzzz. Zzzzzz. Zzzzzz”
Darth Vader’s light saber “Schvrmmmmmmm”... 
“wwwwOOWWwww”… 
“WOOOOwwwOOWwwww”...
“BJJJJJJJZZZZHKKHKJZJJJJJJJZZZZZZZvvvwwommmmm”
Luke stirs and with half-opens his eyes, sees Darth Vader standing next to his bed.
Luke: “What… What is it now?”
Darth: “Luke, you must calibrate the lightsaber.”
Luke: “Oh please just be quiet.”
Darth: “Ok, but only for an hour, then I will wake you up again. To calibrate the lightsaber.”
Luke: “But it is 1 AM! Please be quiet.”
One hour later… “Schvrmmmmmmm”...  
Luke struggles out of bed, walks over to Darth Vader, reaches for the controls on his chest, but there is a hose in the way so he tries to turn Darth Vader all the way around but the hose is twisted the other way so he turns Darth Vader around twice the other direction, finds the keypad on his chest, pokes a button but it says “Wrong key pressed Try again” so he tries again and unlocks it.
Darth Vader walks out of the room and over to the stairs and Luke follows him. Darth Vader pauses, Luke stops, then Darth Vader takes Luke down the stairs, step step step step step step, pause at the landing, step step step step step step, they get to the bottom, Darth Vader stops, Luke turns into the dining room thinking that is where Darth wants to go then he realizes that was the wrong room, steps back out, they go down the hall to the kitchen. Luke turns off the lightsaber and goes back to bed.
Later the next day Luke gets challenged to a duel. You should have seen his face when he realizes he turned off the lightsaber, and it takes forever to warm up and once it does, he'll have to calibrate it. His foe waits patiently. 
===end===
I had other ideas. Cooking in the kitchen, setting the oven temperature to 100, but I could only set it to 120, and yet the temperature has been at steady at 199 for the past two hours. Or needing a pencil, I have to open a drawer, pull a secret lever, an envelope pops out, there is a deck of cards, I have to find the 2 of Diamonds, looking at one card at a time, when I select the wrong card the envelope warns me that I messed up, and when I start again looking at the cards it buzzes at me because it took forever for the warning to ring the buzzer. And by now I forget what I was looking for. Or maybe I get in a cab, and when I want to talk to the cab driver, I open the little window and he says most of what he needs to say but he then closes the window, so I have to open the window again for him to say the last word. “Do you know where the museum is?” “Yes it is just past the.” He closes the window. I open the window. He says “library”. I click OK.
These short skits, had they gone to production, would have easily kept you on the edge of your seat with frustration, and possibly would have won many awards. I would have hoped that they could capture a small piece of my day to day “Mental Load” of Diabetes with the 670G System.
Having a disease is frustrating. Diseases that require constant management put a significant load on the mental health of the patient. Long term thoughts include: Am I going to be a burden on my family when I get older? Am I a burden already? Am I getting enough exercise, eating right, taking the right amount of insulin? Can I afford this? Am I going to die? Do I care enough to make the effort to take care of myself?
Short term, the day to day mental load of diabetes is an odd mix of nagging interruptions, disappointing highs, debilitating lows, missed forgetful bolusing, late correction boluses, and the welcome simple moments of calm when in control.
This has changed somewhat between the older 630G and the new 670G.  Though the increase in simple moments of calm when in control is wonderful, and the highs don't seem quite as high as before, they are often littered with those nagging interruptions. In the past two weeks, I was on Auto Mode 56% of the time, which I find disappointing. It looks like I disabled it, my guess is because it was annoying me at night and I then forgot to put it back on, or I had the sensor out entirely and took my time putting in a new one. When I am on Auto Mode, I do see that my control is better, but I wish it would target 100 instead of 120, or be more aggressive when trying to correct a high. The max delivery could be higher I believe. Better control has helped ease my long term ‘Mental Load’, especially when I see that my A1C has improved. This is a good thing and something that I truly am excited about. 
But it is frustrating. The 670G System seems to excel at the nagging interruptions. Ok, so I have something that needs attention, I am OK with that, I understand that I need to maintain the system so that it can perform. Where it gets frustrating, where it increases my “mental load”, well I am sure you are well aware and you have heard it before:
It notified something it just finished notifying already. Seriously, you just asked me for that! I have had it notify me about something while I was IN THE MIDDLE of acknowledging the first time it told me.
I have to enter a value when it knows the value already. Why let me make a mistake?
It tells me the same messages that it tells me every time. I know I am high and I could check my ketones, and you know I know that so why do you keep telling me? No, I don't want to go to the Auto Mode status screen as I already know why it is not in Auto Mode, and yes, I already know what you won't do now that you are not in Auto Mode, you have told me before. Button press, press, press...
So much unnecessary dialog, the notifications take more than one screen (more than one button press) to tell me something, often when there is enough room to tell me it and still have the OK button. The notification that ‘I am warming up’ - well no kidding just two minutes ago I started you, so I KNOW THAT ALREADY.
That moving ‘unlock’ key, seriously what in the world were you thinking, that is pure torture! I can't imagine any purpose that it serves.
I can’t tell it to shut up for 7 hours! Please just be quiet unless you want to let me know I am low! Even then, tell me once and let me tell you to leave me alone, I am sleeping, I am not going to calibrate or enter a BG and I had my sugar so I am fine. 
The hose is always in the way of the screen, I wish it could go sideways, and being on the top means I have to pull a longer length out to access the pump.
The menu needs help, it seems like it was put together at the last minute. Why isn’t ‘Audio Options’ under ‘Options’? How is ‘Reservoir &amp;amp; Tubing’ an ‘Option’? I am pretty sure it is required. The things I use seem to be the furthest away, about 20 button presses to calibrate or turn off the sensor? ‘Quick Status’ takes 11 presses! And it doesn't tell me time left on insulin like the 630G did.
Is ‘Confirm BG’ the same as ‘Enter BG’? I still don’t know. And I am sure you know that when it asks me to ‘Enter BG’ I more often than not just look at what the sensor says and enter that value. Can’t it just ask me to confirm that I agree with the sensor?
It. is. slow. I hit a button and nothing happens so I hit it again, or wait, it just took a while. I get a notification and when I am reading through it, the buzz buzzes so much later that I think it is a new notification.
When the CGM is wrong, sometimes it is way wrong. Especially when it is near the end, it gets confused and it does this ‘don't calibrate for the next three hours I am updating’ routine. So you wait it out and it comes back finally, and it says you have to change it out.
The meter takes forever to send the pump the value. And if it is high or low you get the message that it is high or low. Guess what, I know, and now I have several button presses to get through. Please quit telling me what I know. 
I know there are more frustrations that I have that could be on this list, but like I said I think that you probably have heard it all already. And I realize that I sound pretty whiny and petty. But I am frustrated as it does seem that it is unnecessarily chatty and almost evil sometimes, so much that I actually yell at it. 
Really, the Auto Mode is awesome, it does work. And it does improve my control over my diabetes and my health as shown with my lower A1C. But I am sacrificing a bit of my sanity to get there, enough that I do sometimes choose to turn it off just for some peace and quiet.
Edit TLDR: Auto Mode works well enough but it is annoying and I sometimes turn it off for some peace and quiet. </t>
        </is>
      </c>
      <c r="D4094" t="n">
        <v>7</v>
      </c>
      <c r="E4094" t="n">
        <v>27</v>
      </c>
      <c r="F4094">
        <f>HYPERLINK("https://www.reddit.com/r/diabetes/comments/7sbwbw/my_essay_on_mental_load_for_the_minimed_670g/")</f>
        <v/>
      </c>
      <c r="G4094" t="inlineStr">
        <is>
          <t>2018-01-22 20:24:33</t>
        </is>
      </c>
      <c r="H4094" t="inlineStr">
        <is>
          <t>Type 1</t>
        </is>
      </c>
    </row>
    <row r="4095">
      <c r="A4095" t="inlineStr">
        <is>
          <t>7sctcq</t>
        </is>
      </c>
      <c r="B4095" t="inlineStr">
        <is>
          <t>Why is so much urine produced with diabetes type 2 ?</t>
        </is>
      </c>
      <c r="C4095" t="inlineStr">
        <is>
          <t>Why is so much urine produced with diabetes?... what organs/physiological/biochemical mechanisms are acting, how does it work that more urine gets produced than without diabetes?</t>
        </is>
      </c>
      <c r="D4095" t="n">
        <v>4</v>
      </c>
      <c r="E4095" t="n">
        <v>14</v>
      </c>
      <c r="F4095">
        <f>HYPERLINK("https://www.reddit.com/r/diabetes/comments/7sctcq/why_is_so_much_urine_produced_with_diabetes_type_2/")</f>
        <v/>
      </c>
      <c r="G4095" t="inlineStr">
        <is>
          <t>2018-01-22 23:31:15</t>
        </is>
      </c>
      <c r="H4095" t="inlineStr">
        <is>
          <t>Type 2</t>
        </is>
      </c>
    </row>
    <row r="4096">
      <c r="A4096" t="inlineStr">
        <is>
          <t>7sdvfb</t>
        </is>
      </c>
      <c r="B4096" t="inlineStr">
        <is>
          <t>Spooky morning surprise trend</t>
        </is>
      </c>
      <c r="C4096" t="inlineStr">
        <is>
          <t>[The trend](https://i.imgur.com/yWku8Lv.png)
Context: 
Last evening playing floorball 7pm to 8 pm. 
Supper at 10 pm with regular dose and Levemir. 
Around 11pm I measured the trend at around 16.0 mmoL/L (288.0 mg/dL). 
Adjusted with 2 units of Novorapid instead of 1 since I had had a bit of extra snacks for the exercise and the trend was directed upwards.
Waited a few hours after the adjustment, at around 1.40 am measured 11.3 mmol/L (203.4 mg/dL) and went to bed.
As is visible from the trend, the blue line is actually between 10 mmol/L (180 mg/dL) and 4 mmol/L (72 mg/dL) which means I have gone below 3(54) or maybe even 2(36), dunno if it flatlines because the sensor doesn't read or what but the spookiest thing is I didn't notice anything or wake up at all so two times I have dipped during the night and recovered up on its own.</t>
        </is>
      </c>
      <c r="D4096" t="n">
        <v>2</v>
      </c>
      <c r="E4096" t="n">
        <v>12</v>
      </c>
      <c r="F4096">
        <f>HYPERLINK("https://www.reddit.com/r/diabetes/comments/7sdvfb/spooky_morning_surprise_trend/")</f>
        <v/>
      </c>
      <c r="G4096" t="inlineStr">
        <is>
          <t>2018-01-23 03:50:51</t>
        </is>
      </c>
      <c r="H4096" t="inlineStr">
        <is>
          <t>Type 1</t>
        </is>
      </c>
    </row>
    <row r="4097">
      <c r="A4097" t="inlineStr">
        <is>
          <t>7sgnf7</t>
        </is>
      </c>
      <c r="B4097" t="inlineStr">
        <is>
          <t>Does anyone have any suggestions for store bought snacks for T1 kids?</t>
        </is>
      </c>
      <c r="C4097" t="inlineStr">
        <is>
          <t>My daughter is a recently diagnosed T1. She is four years old and a typical child. Her preschool has playtime in the gym after snack and another round of activity prior to lunch. The exercise is dropping her glucose level lower than we would like it. I need suggestions for snacks that she can have before playtime to keep her sugar levels steady but not increase too high that an injection is called for prior to her lunch dose. Any help is appreciated. Thank you!</t>
        </is>
      </c>
      <c r="D4097" t="n">
        <v>2</v>
      </c>
      <c r="E4097" t="n">
        <v>14</v>
      </c>
      <c r="F4097">
        <f>HYPERLINK("https://www.reddit.com/r/diabetes/comments/7sgnf7/does_anyone_have_any_suggestions_for_store_bought/")</f>
        <v/>
      </c>
      <c r="G4097" t="inlineStr">
        <is>
          <t>2018-01-23 10:48:57</t>
        </is>
      </c>
      <c r="H4097" t="inlineStr">
        <is>
          <t>Type 1</t>
        </is>
      </c>
    </row>
    <row r="4098">
      <c r="A4098" t="inlineStr">
        <is>
          <t>7siuaw</t>
        </is>
      </c>
      <c r="B4098" t="inlineStr">
        <is>
          <t>Help? I'm failing to help my parents cope with new type two diagnosis</t>
        </is>
      </c>
      <c r="C4098" t="inlineStr">
        <is>
          <t>Long story short, my pop was diagnosed with type two about a month ago, and both my parents are wrecked. I tried to do research and make shopping lists and meal plans and all that to try and help my mom. She called me yesterday to say my father's sugar is worse now after his diet overhaul and she is just lost and confused. The dietician at the hospital is telling her all the healthy vegetables I told her to buy and prepare are just full of carbs and bad. I'm so lost. How do you figure out what you can and can't eat with diabetes? We thought fish and veggies and all that would be good, but apparently not? Should we get him on the Atkins or other low carb diet? Any help would be so appreciated. Thank you.</t>
        </is>
      </c>
      <c r="D4098" t="n">
        <v>1</v>
      </c>
      <c r="E4098" t="n">
        <v>8</v>
      </c>
      <c r="F4098">
        <f>HYPERLINK("https://www.reddit.com/r/diabetes/comments/7siuaw/help_im_failing_to_help_my_parents_cope_with_new/")</f>
        <v/>
      </c>
      <c r="G4098" t="inlineStr">
        <is>
          <t>2018-01-23 15:39:27</t>
        </is>
      </c>
      <c r="H4098" t="inlineStr">
        <is>
          <t>Type 2</t>
        </is>
      </c>
    </row>
    <row r="4099">
      <c r="A4099" t="inlineStr">
        <is>
          <t>7skurl</t>
        </is>
      </c>
      <c r="B4099" t="inlineStr">
        <is>
          <t>Diagnosed last week. Tons of information has been thrown at me and I’m a confused and scared mess. Any advice, tips, etc would be appreciated.</t>
        </is>
      </c>
      <c r="C4099" t="inlineStr">
        <is>
          <t xml:space="preserve">After a couple of years of trying to figure out wtf is going on, we’ve finally figured it out. My doctor was pushing for PCOS even though I had none of the indicators but I got a second opinion, did the glucose test and now I’m here. 
He’s got me started on 1000mg metformin XR once a day and basically wrote my referral to a diabetes educator and an dietician and sent me on my way. 
I’ve just finished my first session with the educator and my head is spinning. What the hell did I allow to happen to me, why didn’t I do things differently. I feel like I’m on the cusp of a panic attack and I don’t know what I’m going to do. </t>
        </is>
      </c>
      <c r="D4099" t="n">
        <v>4</v>
      </c>
      <c r="E4099" t="n">
        <v>8</v>
      </c>
      <c r="F4099">
        <f>HYPERLINK("https://www.reddit.com/r/diabetes/comments/7skurl/diagnosed_last_week_tons_of_information_has_been/")</f>
        <v/>
      </c>
      <c r="G4099" t="inlineStr">
        <is>
          <t>2018-01-23 21:01:49</t>
        </is>
      </c>
      <c r="H4099" t="inlineStr">
        <is>
          <t>Type 2</t>
        </is>
      </c>
    </row>
    <row r="4100">
      <c r="A4100" t="inlineStr">
        <is>
          <t>7sl2p7</t>
        </is>
      </c>
      <c r="B4100" t="inlineStr">
        <is>
          <t>Insulin does not seem to be working</t>
        </is>
      </c>
      <c r="C4100" t="inlineStr">
        <is>
          <t xml:space="preserve">The bottle is about two weeks old and has been in the fridge the whole time so I don't think it's that. I felt flu like symptoms today and am wondering if me having a virus could completely negate the effects of insulin and not just effect my bgs. I have been over 300 for hours now and taken corrective doses during that time and it just keeps going up. I used ketone strips (that have been reliable in the past) and have no ketones.  I'd like to avoid the ER if possible but I'm starting to get worried. My last reading was 439. Any experience with this kind of reaction when sick with a virus? Husband is keeping watch btw and will bring me to an ER if this doesn't get under control quickly. 
</t>
        </is>
      </c>
      <c r="D4100" t="n">
        <v>0</v>
      </c>
      <c r="E4100" t="n">
        <v>8</v>
      </c>
      <c r="F4100">
        <f>HYPERLINK("https://www.reddit.com/r/diabetes/comments/7sl2p7/insulin_does_not_seem_to_be_working/")</f>
        <v/>
      </c>
      <c r="G4100" t="inlineStr">
        <is>
          <t>2018-01-23 21:43:37</t>
        </is>
      </c>
      <c r="H4100" t="inlineStr">
        <is>
          <t>Type 1.5/LADA</t>
        </is>
      </c>
    </row>
    <row r="4101">
      <c r="A4101" t="inlineStr">
        <is>
          <t>7so7ka</t>
        </is>
      </c>
      <c r="B4101" t="inlineStr">
        <is>
          <t>xDrip questions</t>
        </is>
      </c>
      <c r="C4101" t="inlineStr">
        <is>
          <t xml:space="preserve">I´ve been using the xDrip+ application for a couple of weeks and I´m very happy with it. I´m currently using with a Dextrom G5 but I´m planning to use with a Libre + Smartwatch in the future.
I have some doubts and I haven't been able t find any documentation that answers them. I'd appreciate some answers or a pointer to RTFM
* How can you export the data? I see you can sync it with cloud solutions but I'd like to export the data from the phone directly to a CSV, XML, XLS.. file. I found the feature to export a single day but I'd like to export periods to be disucssed with my doctor.
* Sometimes at night the mobile phone stops reading the data from the sensor. Are there any tips to ensure it is always reading it?
* Green Line: This looks like the projection of the insulin effect but in my case is wrong. It always looks I´m going to have a sever low but it is not the case. How can I calibrate it?
* Purple doted line: What is this?
* Some times, when using other apps, the xDrip application comes to the foreground without any apparent reason. Is there a way to disable it? With the alarms it is enough for me.
* Is there a way to edit previous values? Imagine I entered the wrong carb units and I realized 5 hours later. Can I edit this? How?
* What is the meaning of the glucose level value with a strike?
* What is the best way to communicate with the developers in terms of feature requests? For instance it would help to separate the buttons to add values and add notes but I´m not sure what is the best way to request this.
</t>
        </is>
      </c>
      <c r="D4101" t="n">
        <v>3</v>
      </c>
      <c r="E4101" t="n">
        <v>16</v>
      </c>
      <c r="F4101">
        <f>HYPERLINK("https://www.reddit.com/r/diabetes/comments/7so7ka/xdrip_questions/")</f>
        <v/>
      </c>
      <c r="G4101" t="inlineStr">
        <is>
          <t>2018-01-24 08:23:18</t>
        </is>
      </c>
      <c r="H4101" t="inlineStr">
        <is>
          <t>Type 1</t>
        </is>
      </c>
    </row>
    <row r="4102">
      <c r="A4102" t="inlineStr">
        <is>
          <t>7spmad</t>
        </is>
      </c>
      <c r="B4102" t="inlineStr">
        <is>
          <t>Thank you!</t>
        </is>
      </c>
      <c r="C4102" t="inlineStr">
        <is>
          <t>Yesterday was my 1 month doctor visit, post diagnosis. This has been the most difficult month of my life. It was quite a lifestyle change, but yesterday I was convinced that I'm doing the right thing. 
When I was diagnosed a month ago, my A1C was 11.9 and my glucose was 297 (It was REALLY bad).  Yesterday I got my numbers back and even though it's only been a month, my A1C is already down to 9.3 and my glucose is 137. My cholesterol was high before, and now it's back in the normal range. In fact, now *all* my numbers are in the normal range (with the exception of the A1C and glucose, of course).  
And it's all thanks to you guys!! This reddit has been an unending source of information and guidance, and you're all so wonderful answering any questions I had and supporting me through this. So I just wanted to say thank you. Technically, you've all just helped save my life, which I'm pretty sure makes you heroes. 
Remember, NO CAPES!</t>
        </is>
      </c>
      <c r="D4102" t="n">
        <v>9</v>
      </c>
      <c r="E4102" t="n">
        <v>5</v>
      </c>
      <c r="F4102">
        <f>HYPERLINK("https://www.reddit.com/r/diabetes/comments/7spmad/thank_you/")</f>
        <v/>
      </c>
      <c r="G4102" t="inlineStr">
        <is>
          <t>2018-01-24 11:25:33</t>
        </is>
      </c>
      <c r="H4102" t="inlineStr">
        <is>
          <t>Type 2</t>
        </is>
      </c>
    </row>
    <row r="4103">
      <c r="A4103" t="inlineStr">
        <is>
          <t>7sq2o5</t>
        </is>
      </c>
      <c r="B4103" t="inlineStr">
        <is>
          <t>Help! My pump insertion sites are suddenly getting red, itchy, and irritated!</t>
        </is>
      </c>
      <c r="C4103" t="inlineStr">
        <is>
          <t>I've been on the Animas Vibe pump for a few years and had problems with the sticky part and the actual insertion process with the Inset 30 infusion system (the one that inserts at an angle) so switched to the regular Inset infusion system (the one that inserts straight in). It was fine for about 8 months, but all of a sudden my sites have started getting extremely itchy and irritated. When I change my site, the old site is bright red, eventually scabs, and leaves an awful scar. I haven't changed anything about my routine or insertion process at all.
Any advice?</t>
        </is>
      </c>
      <c r="D4103" t="n">
        <v>2</v>
      </c>
      <c r="E4103" t="n">
        <v>4</v>
      </c>
      <c r="F4103">
        <f>HYPERLINK("https://www.reddit.com/r/diabetes/comments/7sq2o5/help_my_pump_insertion_sites_are_suddenly_getting/")</f>
        <v/>
      </c>
      <c r="G4103" t="inlineStr">
        <is>
          <t>2018-01-24 12:25:42</t>
        </is>
      </c>
      <c r="H4103" t="inlineStr">
        <is>
          <t>Type 1</t>
        </is>
      </c>
    </row>
    <row r="4104">
      <c r="A4104" t="inlineStr">
        <is>
          <t>7ssqa3</t>
        </is>
      </c>
      <c r="B4104" t="inlineStr">
        <is>
          <t>Seeking advice - "reverse" dawn phenomenon</t>
        </is>
      </c>
      <c r="C4104" t="inlineStr">
        <is>
          <t>Hey diabetes, hoping I can lean on you for some thoughts on a sudden trend I've been facing this month. Background - I'm type 1 and on a pump with a G5 Dex.
From what I've found, I seem to drop 75+ mg from around a stable 90 -120 within 30 min of waking, and it doesn't rebound unless I stop basal for an hour or carb up. It doesn't seem to be time dependent, since this happens as early as 4 am to as late at 8:30 am on the occasional late-rise weekend. Weirder still, I always shower right after getting up, which I do with my pump removed, so factor 15 min with my pump not dosing basal. My usual rate is 1.3 units/hr.
Has anyone encountered something like this? I haven't changed and dietary or exercise habits (no new years resolution side effects that I can tell). I've never seen or heard of something like this before. Thanks very much for any help, folks!</t>
        </is>
      </c>
      <c r="D4104" t="n">
        <v>1</v>
      </c>
      <c r="E4104" t="n">
        <v>22</v>
      </c>
      <c r="F4104">
        <f>HYPERLINK("https://www.reddit.com/r/diabetes/comments/7ssqa3/seeking_advice_reverse_dawn_phenomenon/")</f>
        <v/>
      </c>
      <c r="G4104" t="inlineStr">
        <is>
          <t>2018-01-24 18:25:42</t>
        </is>
      </c>
      <c r="H4104" t="inlineStr">
        <is>
          <t>Type 1</t>
        </is>
      </c>
    </row>
    <row r="4105">
      <c r="A4105" t="inlineStr">
        <is>
          <t>7st6pc</t>
        </is>
      </c>
      <c r="B4105" t="inlineStr">
        <is>
          <t>My son's essay on 'Mental Load' for the MiniMed 670G</t>
        </is>
      </c>
      <c r="C4105" t="inlineStr">
        <is>
          <t>My son and I were both on the "MiniMed™ 670G Priority Access program", and have been on the 670G System since about last summer. We were asked to submit our thoughts in a survey in a choice of several topics and formats. We both chose to write about the "Mental Load" of diabetes and how the 670G has changed it since the last pump. My story was posted at:
https://www.reddit.com/r/diabetes/comments/7sbwbw/my_essay_on_mental_load_for_the_minimed_670g/
and my TLDR is that Auto Mode does work but it is annoying, and I turn it off occasionally for some peace and quiet.
My son took a much stronger position against the 670G, finding that he could not tolerate the faults he found with the system. He has not worn the sensor since about October of last year (and not taken advantage of Auto Mode), and is considering breaking out his old pump the next time he changes his infusion. For context, he is a teen ager that is brutally honest can tolerate very little bullsh*t, has had diabetes since the summer before first grade, and has been on a pump for most of that time.
I am sharing these posts with you to get your feedback, in fact I learned some important tips from my post. I am also posting these to help set your expectations - Auto Mode works but it probably is not everything you hoped for.
His story that he shared with Medtronic:
The 670G is a burden. The sensor works well enough, and is for the most part accurate, but when it is switched from Manual to Auto mode, it becomes too much of a hassle to be worth the time and effort. 
The screens/alerts are my biggest complaint. The time it takes for a screen to load can take from 3 seconds all the way to 10 seconds, which is unacceptable when the 630G was able to load the screens significantly faster. The menu navigation makes little sense (how is changing my reservoir an “option”, and not a menu item of its own, or located somewhere closer to the top?) and requires an inappropriate amount of keystrokes to get to where you need to be. Additionally, screens will repeat themselves as I complete the requested action, such as a calibration screen popping up as I hit "calibrate" on the BG alert screen, causing the screens to overlap and slow down. Within the alert menus, the unnecessary amount of keystrokes required to advance screens is baffling, especially when I have to hit the down key on a wall of text just to see the word "BG" on its own screen so that I can correct myself for a blood glucose that I am fully aware is high. 
The slowness may be due to the advanced amount of capabilities the pump has with the sensor, but even without the sensor connected, the meter and pump take an excessively long amount of time to connect, the screens are slow, and the locking feature is still infuriating.
The shape of the pump is even questionable, as it feels upside-down due to the placement of the cord. Pulling it out of my pump holster requires me to hold it awkwardly due to the hose being in the way, as opposed to the older models, which had the cord and screen sideways, out of the way and easier to hold. This is especially frustrating when trying to quickly bolus for something. I can understand the positioning would help get rid of bubbles, or maybe even prop the pump up vertically. However, chances are, if I’m going to keep my pump out on the table for whatever reason, the cord placement on the 670G just makes it unhelpful, as the cord on top of the screen forces the cord to be tucked behind the pump or draped over the side, shortening the length of slack I have to even be able to rest it on the table in the first place.
Additionally, two things that I miss from my older pumps are the parts of the menu that tell me the approximate time that I have left in my current reservoir and my bolus history of that day, bolus by bolus. The screen that does display history is too complex and is not user-friendly to manage, making the 670G history menu hard to use. If I want to see if I bolused for something and forgot, if my BG starts to spike or dip (if I don’t have the sensor in, which is common), I can’t. My older pumps would give a concise list of every single bolus for the past few days while the 670G gives an insufficient summary of the past single day.
Before I had the 670G, I had the 630G. Before that, I had a Paradigm, and I had never used a sensor. I started using the sensor with the 630G, and had a few bad experiences, but the manual mode that it was capable of was easy enough to manage and I used it consistently. The 630G was fast with or without the sensor on, and I had high hopes about Auto Mode on the 670G. My first time using it, the Auto Mode kept me at around 340 for a few hours, but the person who gave me the introduction on it said that it wouldn’t be perfect the first few times, and that it had to have time to adjust, so I didn’t mind. Upon further use, it adjusted, but it also introduced me to the needlessly high number of alarms. While it did keep me in range, it would alarm so frequently that it would get to the point of frustrating. Due to this, I would take large breaks in between sensor uses so that I wouldn’t have to deal with the alarms at 3 in the morning telling me that it had reached the max basal delivery, despite my bloodsugar having evened out.
My blood sugar would even out if I were lucky. The max amount of basal that Auto Mode is allowed to deliver is shy of what it should be able to. If it detected my blood sugar rising, and it delivered all that it could, it would pull up the gray shield to tell me that I was, indeed, high, and that it was going to turn off Auto Mode. It told me, of course, after telling me several times before, and me having left it to Auto Mode to sort itself out. It made doing corrections for high BGs seem trivial because it cuts the amount of insulin being manually delivered significantly, leaving most of the responsibility to bring the blood sugar down to the Auto Mode.
I haven’t worn the sensor in about 3 months. 2/3 times, the sensor would stop being accurate with about 2 days left, forcing me to remove it to charge it. Most of the time, I would go a week or two without the sensor after it would give me a malfunction, such as one week when it kept alerting me that I was 41 when I was actually 78. After calibrating, it continued to perceive that my BG was 41, and it kept alarming at me until I turned the entire sensor off. 
Overall, my experience with the 670G has been a nightmare. Very little feels right with the whole system. However, if a few adjustments were made to the system itself, the whole thing would be forgivable. The shape of the pump is what it is, it’s not great, but if the rest of the pump would just operate like a piece of technology from this decade, it would be passable. I wouldn’t be so critical about this pump if it weren’t offensively slow at all times. If the menus would load faster and if they would actually pace themselves when they stack, then I would likely use the sensor more often. I can deal with the sensor lying occasionally, but to add insult to injury by barraging me with information spread over several menu screens that could easily fit into one? To remove helpful features like “time left”? To increase the time I spend looking at my pump telling it to shut up, when the whole point is to make managing diabetes easier? That is the most unattractive thing in a piece of technology, the one thing that I rely on every single day not to kill me, the piece of equipment that never leaves my side, the sole device that, if corrected, would actually decrease the mental stress that type 1 doles out.
TLDR: my son found that the 670G design and performance was enough to be such a burden that it stressed him out, and he is not using the sensors or the Auto Mode.</t>
        </is>
      </c>
      <c r="D4105" t="n">
        <v>1</v>
      </c>
      <c r="E4105" t="n">
        <v>13</v>
      </c>
      <c r="F4105">
        <f>HYPERLINK("https://www.reddit.com/r/diabetes/comments/7st6pc/my_sons_essay_on_mental_load_for_the_minimed_670g/")</f>
        <v/>
      </c>
      <c r="G4105" t="inlineStr">
        <is>
          <t>2018-01-24 19:24:17</t>
        </is>
      </c>
      <c r="H4105" t="inlineStr">
        <is>
          <t>Type 1</t>
        </is>
      </c>
    </row>
    <row r="4106">
      <c r="A4106" t="inlineStr">
        <is>
          <t>7st7z3</t>
        </is>
      </c>
      <c r="B4106" t="inlineStr">
        <is>
          <t>Experience with Livongo?</t>
        </is>
      </c>
      <c r="C4106" t="inlineStr">
        <is>
          <t>My employer reached out to us stating that as part of our new health benefits, they would be covering the monthly fee if we enroll in Livongo. I’ve been doing my own research on the side and can’t find a whole lot or reviews on the program. Have any of you used or are using this?  If so, how has your experience been?</t>
        </is>
      </c>
      <c r="D4106" t="n">
        <v>1</v>
      </c>
      <c r="E4106" t="n">
        <v>4</v>
      </c>
      <c r="F4106">
        <f>HYPERLINK("https://www.reddit.com/r/diabetes/comments/7st7z3/experience_with_livongo/")</f>
        <v/>
      </c>
      <c r="G4106" t="inlineStr">
        <is>
          <t>2018-01-24 19:29:16</t>
        </is>
      </c>
      <c r="H4106" t="inlineStr">
        <is>
          <t>Type 1</t>
        </is>
      </c>
    </row>
    <row r="4107">
      <c r="A4107" t="inlineStr">
        <is>
          <t>7sx1ue</t>
        </is>
      </c>
      <c r="B4107" t="inlineStr">
        <is>
          <t>Is there a way to accurately guess how much something I eat will increase my blood sugar and how much insulin I will need?</t>
        </is>
      </c>
      <c r="C4107" t="inlineStr">
        <is>
          <t>It probably depends on many factors like age, if I even produce any insulin at all etc. and I may need medical tests but I am wondering, is it possible to know and have better control over what I eat by knowing how much my blood sugar will rise and how much insulin will I need to balance that rising?</t>
        </is>
      </c>
      <c r="D4107" t="n">
        <v>9</v>
      </c>
      <c r="E4107" t="n">
        <v>21</v>
      </c>
      <c r="F4107">
        <f>HYPERLINK("https://www.reddit.com/r/diabetes/comments/7sx1ue/is_there_a_way_to_accurately_guess_how_much/")</f>
        <v/>
      </c>
      <c r="G4107" t="inlineStr">
        <is>
          <t>2018-01-25 08:03:21</t>
        </is>
      </c>
      <c r="H4107" t="inlineStr">
        <is>
          <t>Type 1</t>
        </is>
      </c>
    </row>
    <row r="4108">
      <c r="A4108" t="inlineStr">
        <is>
          <t>7sx3nk</t>
        </is>
      </c>
      <c r="B4108" t="inlineStr">
        <is>
          <t>Communicating with a loved one about low BG symptoms and the severity of being type 1.</t>
        </is>
      </c>
      <c r="C4108" t="inlineStr">
        <is>
          <t>After snapping at my husband today while having a low, I realize that I need to communicate better about the role T1 plays in my relationship and how it affects me. I know it is unacceptable to lash out at my husband and I don't like to make excuses for bad behavior, even if it is kind of valid.  However, I do feel that the ups and downs of my numbers and symptoms have become par for the course and since it has become normalized it may appear like I'm being dramatic and using my condition as a scapegoat.  For example, I slept through my alarm for 45 minutes this morning, which he heard.  I can't really afford to be late to work so I was rushing around and then Dexcom alerts that I have a low, and then an urgent low.  Fast forward to me blowing up about how he could have driven me to the train station and then storming out of the house with a 60 mg/Dl.  I cried the entire walk to the train and it dawned on me that I'm hurt because I feel like it's as though my being diabetic isn't a big deal.  What if I wasn't just sleeping through my alarm for 45 minutes because I was slipping into a coma? What if I passed out on my way to work?  I feel like that would be a ridiculous thing for me to say to him and I'm starting to wonder if the fact that I even feel that way is a big problem.
Does anyone else fly off the handle when having a low BG?  Sometimes I have trouble determining whether it's a diabetic symptom or just me being difficult.  I would like to discuss it when I get home but I'm wondering if anyone has any advice on how to articulate this, or what some talking points may be.  
In 7 years, we have never had a real fight and this is the closest we have ever come. I am going to apologize for blowing up at him because I know that I am accountable for that but I also want to acknowledge that I feel hurt and a little lonely because of all this.</t>
        </is>
      </c>
      <c r="D4108" t="n">
        <v>34</v>
      </c>
      <c r="E4108" t="n">
        <v>17</v>
      </c>
      <c r="F4108">
        <f>HYPERLINK("https://www.reddit.com/r/diabetes/comments/7sx3nk/communicating_with_a_loved_one_about_low_bg/")</f>
        <v/>
      </c>
      <c r="G4108" t="inlineStr">
        <is>
          <t>2018-01-25 08:10:09</t>
        </is>
      </c>
      <c r="H4108" t="inlineStr">
        <is>
          <t>Type 1</t>
        </is>
      </c>
    </row>
    <row r="4109">
      <c r="A4109" t="inlineStr">
        <is>
          <t>7sz3cf</t>
        </is>
      </c>
      <c r="B4109" t="inlineStr">
        <is>
          <t>Dry Skin</t>
        </is>
      </c>
      <c r="C4109" t="inlineStr">
        <is>
          <t>Hello, me again!! So, I have to stick myself 4-6 times a day, which means I wash my hands a LOT. My hands are *so* dry. 
I saw that Gold Bond has "diabetic lotion," but it's so thick and greasy, I just can't stand it. Have any of you managed to find something that works? What do you use?</t>
        </is>
      </c>
      <c r="D4109" t="n">
        <v>7</v>
      </c>
      <c r="E4109" t="n">
        <v>18</v>
      </c>
      <c r="F4109">
        <f>HYPERLINK("https://www.reddit.com/r/diabetes/comments/7sz3cf/dry_skin/")</f>
        <v/>
      </c>
      <c r="G4109" t="inlineStr">
        <is>
          <t>2018-01-25 12:31:55</t>
        </is>
      </c>
      <c r="H4109" t="inlineStr">
        <is>
          <t>Type 2</t>
        </is>
      </c>
    </row>
    <row r="4110">
      <c r="A4110" t="inlineStr">
        <is>
          <t>7t6rkt</t>
        </is>
      </c>
      <c r="B4110" t="inlineStr">
        <is>
          <t>How long till I see a difference in BS now that I'm on basal insulin?</t>
        </is>
      </c>
      <c r="C4110" t="inlineStr">
        <is>
          <t>I am now on basal insulin. I just started yesterday with my first dose.  I expected to see a lower fasting number this morning. I woke up all excited ready to shmoney dance and give it up to the homies Banting, Best, MacLeod, and Collip and then .... my fasting was only 0.2 mmol lower than it was yesterday morning.  **I definitely had unrealistic expectations.** I know there will probably need to be some fine tuning of the dosage, but **I want single digit BSL readings now!!!!!** (Current Mood: Table flipping Teresa Guidice). I am feeling frustrated as it was so easy to get my BSL into the "control" range after diagnosis in 2012 and maintain it.  When now, over the last few months, it's spiked so high and it's so hard to get back down. 
When will I be able to give it up to my homies?</t>
        </is>
      </c>
      <c r="D4110" t="n">
        <v>9</v>
      </c>
      <c r="E4110" t="n">
        <v>13</v>
      </c>
      <c r="F4110">
        <f>HYPERLINK("https://www.reddit.com/r/diabetes/comments/7t6rkt/how_long_till_i_see_a_difference_in_bs_now_that/")</f>
        <v/>
      </c>
      <c r="G4110" t="inlineStr">
        <is>
          <t>2018-01-26 11:00:14</t>
        </is>
      </c>
      <c r="H4110" t="inlineStr">
        <is>
          <t>Type 2</t>
        </is>
      </c>
    </row>
    <row r="4111">
      <c r="A4111" t="inlineStr">
        <is>
          <t>7td4v4</t>
        </is>
      </c>
      <c r="B4111" t="inlineStr">
        <is>
          <t>Mysterious spikes</t>
        </is>
      </c>
      <c r="C4111" t="inlineStr">
        <is>
          <t>I’m having a bit of a conundrum. I’ve been doing the low carb/no sugar diet since I was diagnosed a little over a month ago, and it’s been working great. My numbers were 120 and under pretty consistently. For some reason, though, this week I haven’t been able to get it under 140, and this morning my pre-breakfast reading was 177. 
I know it’s only a few points higher, but I’ve changed literally NOTHING. What could be making my numbers spike?
I have another appt next week but I’m hoping you guys might have some ideas.</t>
        </is>
      </c>
      <c r="D4111" t="n">
        <v>3</v>
      </c>
      <c r="E4111" t="n">
        <v>27</v>
      </c>
      <c r="F4111">
        <f>HYPERLINK("https://www.reddit.com/r/diabetes/comments/7td4v4/mysterious_spikes/")</f>
        <v/>
      </c>
      <c r="G4111" t="inlineStr">
        <is>
          <t>2018-01-27 06:58:48</t>
        </is>
      </c>
      <c r="H4111" t="inlineStr">
        <is>
          <t>Type 2</t>
        </is>
      </c>
    </row>
    <row r="4112">
      <c r="A4112" t="inlineStr">
        <is>
          <t>7tfd9o</t>
        </is>
      </c>
      <c r="B4112" t="inlineStr">
        <is>
          <t>I just switched from Levemir to Tresiba insulin.</t>
        </is>
      </c>
      <c r="C4112" t="inlineStr">
        <is>
          <t>I took my first dose of Tresiba Insulin this morning (12 hours ago as I post this.) And I took 30 IE. Before this I took 18 IE of Levemir before and after bedtime.
I'm wondering if I should split up my doses with Tresiba because I noticed with Levemir the dose would only be active for about 10 hours, even though it said the dose is active 24 hours, with a couple hours build-up and build-down time.
It says Tresiba is active for 24+ hours but I'm a bit skeptical considering Levemir has not been working as promised. Does anyone have experience with this?</t>
        </is>
      </c>
      <c r="D4112" t="n">
        <v>3</v>
      </c>
      <c r="E4112" t="n">
        <v>12</v>
      </c>
      <c r="F4112">
        <f>HYPERLINK("https://www.reddit.com/r/diabetes/comments/7tfd9o/i_just_switched_from_levemir_to_tresiba_insulin/")</f>
        <v/>
      </c>
      <c r="G4112" t="inlineStr">
        <is>
          <t>2018-01-27 12:31:53</t>
        </is>
      </c>
      <c r="H4112" t="inlineStr">
        <is>
          <t>Type 1</t>
        </is>
      </c>
    </row>
    <row r="4113">
      <c r="A4113" t="inlineStr">
        <is>
          <t>7tfe1i</t>
        </is>
      </c>
      <c r="B4113" t="inlineStr">
        <is>
          <t>I just donated to Faustman Lab, my first charity donation in my life</t>
        </is>
      </c>
      <c r="C4113" t="inlineStr">
        <is>
          <t xml:space="preserve">I recently watched this talk 
https://www.youtube.com/watch?v=BMmO2MWECv0
and it actually gave me hope that there might a cure for this some day in the future so I decided to donate $150.
It has been posted here before, but it's really interesting.
Anyone else hopeful for faustman's findings? Even though it might be 10+ years away, I feel like there is a hope here. Maybe I'll get a chance to live without this decease some time in the future.
</t>
        </is>
      </c>
      <c r="D4113" t="n">
        <v>10</v>
      </c>
      <c r="E4113" t="n">
        <v>7</v>
      </c>
      <c r="F4113">
        <f>HYPERLINK("https://www.reddit.com/r/diabetes/comments/7tfe1i/i_just_donated_to_faustman_lab_my_first_charity/")</f>
        <v/>
      </c>
      <c r="G4113" t="inlineStr">
        <is>
          <t>2018-01-27 12:35:07</t>
        </is>
      </c>
      <c r="H4113" t="inlineStr">
        <is>
          <t>Type 1</t>
        </is>
      </c>
    </row>
    <row r="4114">
      <c r="A4114" t="inlineStr">
        <is>
          <t>7tjdtc</t>
        </is>
      </c>
      <c r="B4114" t="inlineStr">
        <is>
          <t>Woke up with a BG of 2.8 mmol.</t>
        </is>
      </c>
      <c r="C4114" t="inlineStr">
        <is>
          <t>Seems to be happening more often. Should i feel lucky i woke up? 
Sometimes i'll hit 4 or 3.8 and feel like i am starving. At other times I can drop down to 3 or below and not even realize it until i start sweating and shaking uncontrollably.</t>
        </is>
      </c>
      <c r="D4114" t="n">
        <v>1</v>
      </c>
      <c r="E4114" t="n">
        <v>22</v>
      </c>
      <c r="F4114">
        <f>HYPERLINK("https://www.reddit.com/r/diabetes/comments/7tjdtc/woke_up_with_a_bg_of_28_mmol/")</f>
        <v/>
      </c>
      <c r="G4114" t="inlineStr">
        <is>
          <t>2018-01-28 01:35:53</t>
        </is>
      </c>
      <c r="H4114" t="inlineStr">
        <is>
          <t>Type 1</t>
        </is>
      </c>
    </row>
    <row r="4115">
      <c r="A4115" t="inlineStr">
        <is>
          <t>7tk91c</t>
        </is>
      </c>
      <c r="B4115" t="inlineStr">
        <is>
          <t>Omnipod Pump bolus not lowering BG level</t>
        </is>
      </c>
      <c r="C4115" t="inlineStr">
        <is>
          <t xml:space="preserve">I have an ominpod.    I bolus before I eat and I have Dexcom CGM so I see my BG level go up but it seems the bolus is not lowering it at all.     It goes up and stays there for a long time like hours.   I should add that I need a lot of insulin so I use U 500 which is only made as humalin.     These boluses are 5 units which is the same as 25 for regular U 100 inuslin.   </t>
        </is>
      </c>
      <c r="D4115" t="n">
        <v>13</v>
      </c>
      <c r="E4115" t="n">
        <v>11</v>
      </c>
      <c r="F4115">
        <f>HYPERLINK("https://www.reddit.com/r/diabetes/comments/7tk91c/omnipod_pump_bolus_not_lowering_bg_level/")</f>
        <v/>
      </c>
      <c r="G4115" t="inlineStr">
        <is>
          <t>2018-01-28 05:33:10</t>
        </is>
      </c>
      <c r="H4115" t="inlineStr">
        <is>
          <t>Type 1</t>
        </is>
      </c>
    </row>
    <row r="4116">
      <c r="A4116" t="inlineStr">
        <is>
          <t>7tm9yl</t>
        </is>
      </c>
      <c r="B4116" t="inlineStr">
        <is>
          <t>Is it better to overestimate my insulin need and go low than estimate it wrong and go high?</t>
        </is>
      </c>
      <c r="C4116" t="inlineStr">
        <is>
          <t>Still new to novorapid, did 8 units for a plate of whole grain pasta, which is 67g (7g fiber) compared to 75g of regular pasta because my blood sugar was a bit high (160). Then took a bit of nap while watching a movie, woke up with 260...
Now ate some bulgur rice, which is 18g carbs with 4.5g fiber compared to 28g of white rice per 100g, ate a bit much, probably 150g, along with some chicken schnitzel. Probably less carbs than that plate of pasta, did 10 units.
Now these are mostly blind estimations. I will see how it goes, I will also get a food scale to better measure my food and guess my insulin need. Question is, is it better to go "60g carbs, 1 unit per 10g, let's make 6" or "60g carbs, 1 unit per 10g, 6 units. Let's make 8"
Is it better to end up with 65 after a meal and eat 4 cubes of sugar (my doctor told me this 4 cubes of sugar then 20 minute wait to raise my BS, not sure how good it is) than let's say 165 and let basal take care of it a bit?</t>
        </is>
      </c>
      <c r="D4116" t="n">
        <v>2</v>
      </c>
      <c r="E4116" t="n">
        <v>18</v>
      </c>
      <c r="F4116">
        <f>HYPERLINK("https://www.reddit.com/r/diabetes/comments/7tm9yl/is_it_better_to_overestimate_my_insulin_need_and/")</f>
        <v/>
      </c>
      <c r="G4116" t="inlineStr">
        <is>
          <t>2018-01-28 11:07:25</t>
        </is>
      </c>
      <c r="H4116" t="inlineStr">
        <is>
          <t>Type 1</t>
        </is>
      </c>
    </row>
    <row r="4117">
      <c r="A4117" t="inlineStr">
        <is>
          <t>7tnpxt</t>
        </is>
      </c>
      <c r="B4117" t="inlineStr">
        <is>
          <t>Keto &amp;amp; MyFitnessPal</t>
        </is>
      </c>
      <c r="C4117" t="inlineStr">
        <is>
          <t xml:space="preserve">I need some help. Can someone give me some guidance on setting up MyFitnessPal and the nutritional goals. 
I put in my height and weight and it defaults to a normal person. I know I can’t have 99 g of sugar a day. </t>
        </is>
      </c>
      <c r="D4117" t="n">
        <v>2</v>
      </c>
      <c r="E4117" t="n">
        <v>7</v>
      </c>
      <c r="F4117">
        <f>HYPERLINK("https://www.reddit.com/r/diabetes/comments/7tnpxt/keto_myfitnesspal/")</f>
        <v/>
      </c>
      <c r="G4117" t="inlineStr">
        <is>
          <t>2018-01-28 14:38:35</t>
        </is>
      </c>
      <c r="H4117" t="inlineStr">
        <is>
          <t>Type 2</t>
        </is>
      </c>
    </row>
    <row r="4118">
      <c r="A4118" t="inlineStr">
        <is>
          <t>7tnts0</t>
        </is>
      </c>
      <c r="B4118" t="inlineStr">
        <is>
          <t>Unexpected Low BG after change in eating schedule</t>
        </is>
      </c>
      <c r="C4118" t="inlineStr">
        <is>
          <t>My 15 year old daughter has been going very low recently for her first meals.  Generally speaking, she has breakfast at about 6:45 a.m. and has lunch at 10:50 a.m...no major problems.  However,  just recently she has been skipping breakfast which technically makes lunch her first meal...during the weekends when she sleeps in she might not have her first meal until noon.  In any case, I have recently noticed that her BG has gone abnormally low to the point that we have to correct with Glucotabs (30-60 carbs worth) which in turn will later make her go high.  What might be causing these lows? 
The following is some background info:
-Up until last month she was using insulin pens (Humalog and Lantus).  Breakfast 1:8, Lunch 1:10, Dinner 1:8.  Her Lantus was 22 units daily.  
-A month ago she began using an insulin pump for which the Endochronilogist set it to reflect the same ratios as mentioned above.  
Might this be eather a Basal or Bolus matter?
Please help.</t>
        </is>
      </c>
      <c r="D4118" t="n">
        <v>0</v>
      </c>
      <c r="E4118" t="n">
        <v>5</v>
      </c>
      <c r="F4118">
        <f>HYPERLINK("https://www.reddit.com/r/diabetes/comments/7tnts0/unexpected_low_bg_after_change_in_eating_schedule/")</f>
        <v/>
      </c>
      <c r="G4118" t="inlineStr">
        <is>
          <t>2018-01-28 14:55:10</t>
        </is>
      </c>
      <c r="H4118" t="inlineStr">
        <is>
          <t>Type 1</t>
        </is>
      </c>
    </row>
    <row r="4119">
      <c r="A4119" t="inlineStr">
        <is>
          <t>7tohjy</t>
        </is>
      </c>
      <c r="B4119" t="inlineStr">
        <is>
          <t>My BG is out of control and I don't know what to do</t>
        </is>
      </c>
      <c r="C4119" t="inlineStr">
        <is>
          <t>Up until a couple months ago, my BG was generally pretty fantastic. In the half year after I had been diagnosed, I had worked my A1C down to around 6. Then at some point, something just broke. Since then I've consistently had 200's every day, and sometimes up to 400. I changed my insulin rate to 1 unit of novolog per 10 carbs, where it was 15 carbs before, but it has not helped. I'm at a complete loss. I don't know why this is happening, I'm eating the same, sometimes better than I used to but it's like my fast acting insulin just doesn't work like it used to anymore. 
Why is this happening? Is there something I can do to fix this?</t>
        </is>
      </c>
      <c r="D4119" t="n">
        <v>2</v>
      </c>
      <c r="E4119" t="n">
        <v>5</v>
      </c>
      <c r="F4119">
        <f>HYPERLINK("https://www.reddit.com/r/diabetes/comments/7tohjy/my_bg_is_out_of_control_and_i_dont_know_what_to_do/")</f>
        <v/>
      </c>
      <c r="G4119" t="inlineStr">
        <is>
          <t>2018-01-28 16:36:59</t>
        </is>
      </c>
      <c r="H4119" t="inlineStr">
        <is>
          <t>Type 1</t>
        </is>
      </c>
    </row>
    <row r="4120">
      <c r="A4120" t="inlineStr">
        <is>
          <t>7tos92</t>
        </is>
      </c>
      <c r="B4120" t="inlineStr">
        <is>
          <t>About to enter the world of the CGM</t>
        </is>
      </c>
      <c r="C4120" t="inlineStr">
        <is>
          <t xml:space="preserve">I've just received the Medtronic Guardian sensor in the mail, and I'm charging up my transmitter right now. 
I am about to start using a cgm for the first time in my life, and pair it up with my 670G pump with auto mode. I cannot wait.
What are some tips or advice you might have for me, from those of you who have done this before and know what you're doing? </t>
        </is>
      </c>
      <c r="D4120" t="n">
        <v>11</v>
      </c>
      <c r="E4120" t="n">
        <v>11</v>
      </c>
      <c r="F4120">
        <f>HYPERLINK("https://www.reddit.com/r/diabetes/comments/7tos92/about_to_enter_the_world_of_the_cgm/")</f>
        <v/>
      </c>
      <c r="G4120" t="inlineStr">
        <is>
          <t>2018-01-28 17:26:09</t>
        </is>
      </c>
      <c r="H4120" t="inlineStr">
        <is>
          <t>Type 1</t>
        </is>
      </c>
    </row>
    <row r="4121">
      <c r="A4121" t="inlineStr">
        <is>
          <t>7tph1p</t>
        </is>
      </c>
      <c r="B4121" t="inlineStr">
        <is>
          <t>6 years into type 1 and I'm losing control/hypo anxiety.</t>
        </is>
      </c>
      <c r="C4121" t="inlineStr">
        <is>
          <t>I'm writing this at the moment in a really bad state of panic as I've become very scared of hypos and am panic eating things even though I feel sick as a dog from being so full as I over-bolused for a food I don't normally eat, and I forgot to check my BG before I bolused. 
I was diagnosed in 2012 when I was 23 years old, I was on a mixed insulin for a while and my levels were fantastic. I got put on basal bolus in 2014 or 2015, and it was fine for a while, but starting late 2016 my doses seemed to triple when I had an allergy and got put on a 4 day course of steroids and my doctor neglected to mention that my sugars would go up into the high 20s and 30s even without eating. Ever since then, my control has really.. well, gone out of control. My insulin needs for the same foods are never the same. I went from needing about 5 units of Novorapid for a sandwich to 20. I never got taught to carb count properly, I eat a lot of the same foods and usually take anywhere from 10-18 units of Novorapid for meals, and that will cover anything sweet I want to have afterwards too.
Late last year I had a suspected stomach ulcer, and I had many frightening hypos in the low 2s as I was still taking my insulin but would get really full and nauseous after 2 bites of food (even when I thought I was getting better and feeling very hungry), and then a panic attack would come over me because I knew I had to force myself to eat. I would shake like crazy for hours and feel sick as hell even if I caught the hypo before it started with apple juice. I've finished the medicine and my stomach seems 90% better but I still have these days where I don't feel quite right and want to lay down. I'm getting these almost anxiety-mini hypos before my blood sugar even drops if I'm worried I might have a hypo. I feel sick sometimes when I bolus because I worry it's too much, end up over eating and make sure my sugars are in the low teens before I feel safe to start work. 
The anxiety of a possible hypo is literally making me shake and get up and go to the bathroom. I never had this issue before, but since the ulcer I think I lost weight so my doses have gone down, and the trial and error/adjusting has been horrible. I haven't seen my diabetes nurse in forever because depression and anxiety just makes me not want to go, and I have a major phobia of blood tests as I get sick afterwards and one of my biggest fears is being ill in public.
Who do I talk to about this? My diabetes control isn't horrendous (Never see levels higher than 17 mmol, and even that is rare), but I am having a lot more hypos lately and have been purposely running my sugars higher than usual for peace of mind. I find with Novorapid it's either too strong or too weak, there's no happy medium. I also take 30 units of Lantus once a day, but due to shift work it's really hard for me to take it at the same time.
I feel like an absolute wreck and eating/drinking sugar for hypos seems to be making me feel really nauseous and gives me the poops.
Any advice/talk would be appreciated, although i know I probably need to seriously consider going on a pump. I would like CGM to improve my confidence, but I don't think you can get it on the NHS unless you completely lose hypo awareness. :( I can't talk to anyone who understands because I don't know any other diabetics.</t>
        </is>
      </c>
      <c r="D4121" t="n">
        <v>14</v>
      </c>
      <c r="E4121" t="n">
        <v>15</v>
      </c>
      <c r="F4121">
        <f>HYPERLINK("https://www.reddit.com/r/diabetes/comments/7tph1p/6_years_into_type_1_and_im_losing_controlhypo/")</f>
        <v/>
      </c>
      <c r="G4121" t="inlineStr">
        <is>
          <t>2018-01-28 19:25:03</t>
        </is>
      </c>
      <c r="H4121" t="inlineStr">
        <is>
          <t>Type 1</t>
        </is>
      </c>
    </row>
    <row r="4122">
      <c r="A4122" t="inlineStr">
        <is>
          <t>7tpu3g</t>
        </is>
      </c>
      <c r="B4122" t="inlineStr">
        <is>
          <t>The Day all my tech falls off...(my fault)</t>
        </is>
      </c>
      <c r="C4122" t="inlineStr">
        <is>
          <t xml:space="preserve">Me: Rolls over in bed to plug in iPad...feels something flap around 
3 day old Dexcom sensor: hanging by a moment 
Me: well I guess I’ll get to shower without a sensor and my pump tonight, I’ll just have on my 1.5 day old Libre sensor. 
Libre Sensor: knocked off as I cut the corner to the bathroom too close and hit it on the door 
I know it seems small, and yes I have other Dex sensors, and the Libre was exactly 30 points off from Dex and Meter all the time so i wasn’t in love anyway but dayng! 
Oh well, I guess I’ll suck it up, reattach and keep going, I just know you guys would understand why I’m bummed! </t>
        </is>
      </c>
      <c r="D4122" t="n">
        <v>11</v>
      </c>
      <c r="E4122" t="n">
        <v>9</v>
      </c>
      <c r="F4122">
        <f>HYPERLINK("https://www.reddit.com/r/diabetes/comments/7tpu3g/the_day_all_my_tech_falls_offmy_fault/")</f>
        <v/>
      </c>
      <c r="G4122" t="inlineStr">
        <is>
          <t>2018-01-28 20:30:35</t>
        </is>
      </c>
      <c r="H4122" t="inlineStr">
        <is>
          <t>Type 1</t>
        </is>
      </c>
    </row>
    <row r="4123">
      <c r="A4123" t="inlineStr">
        <is>
          <t>7tr2ec</t>
        </is>
      </c>
      <c r="B4123" t="inlineStr">
        <is>
          <t>[20F] Swollen feet...</t>
        </is>
      </c>
      <c r="C4123" t="inlineStr">
        <is>
          <t>My girlfriends feet are extremely swollen. As everyone’s Sunday goes, we just spent all day at home: cleaning, relaxing, and cooking (no intensive activities). 
We were sitting on the couch and she put her feet up on my lap and I grabbed them, and immediately I was taken by shock! They were ginormous. Nothing else is swollen; not even ankles! There are no sores, blisters, or discoloration. What could it be?
Her blood sugars run on the higher side. She’s a tiny girl, but she has the feet of a pregnant woman, no she is not pregnant...
If there is any questions that need to be answered, I am more than happy to help.</t>
        </is>
      </c>
      <c r="D4123" t="n">
        <v>5</v>
      </c>
      <c r="E4123" t="n">
        <v>27</v>
      </c>
      <c r="F4123">
        <f>HYPERLINK("https://www.reddit.com/r/diabetes/comments/7tr2ec/20f_swollen_feet/")</f>
        <v/>
      </c>
      <c r="G4123" t="inlineStr">
        <is>
          <t>2018-01-29 00:58:29</t>
        </is>
      </c>
      <c r="H4123" t="inlineStr">
        <is>
          <t>Type 1</t>
        </is>
      </c>
    </row>
    <row r="4124">
      <c r="A4124" t="inlineStr">
        <is>
          <t>7trzjw</t>
        </is>
      </c>
      <c r="B4124" t="inlineStr">
        <is>
          <t>Insulin vs a heating pad</t>
        </is>
      </c>
      <c r="C4124" t="inlineStr">
        <is>
          <t>Hey friends,
So, before I even start... I know about the degradation of insulin and heat. I lost quite a few pump sites to sitting a little too close to our fireplace over Christmas and it was a pain in the ass.
The issue now, is that I have endometriosis all on my bowels, so I’m in pain 100% of the day. I use cannabis for the pain during the day, and have “light” opiates for when I have a flare up (which has been happening more and more lately.) So I’ve been sleeping with a heating pad, and it does really help. I’ll usually fall asleep with it, and it helps quite a bit. But I’ve been running my “insulin near heat” numbers” (9-12), and I feel like my heating pad is somewhat to blame.
I make a conscious effort to have my pump floating to the side of me away from the pad, so the pump getting warm isn’t the issue. I have my pump sites on my hips, mostly because my absorption differs in other places and it makes it the most user friendly. While my pump isn’t touching the pad, I know the infusion set on my hip is. Do you think that would be enough to render the insulin down enough to be less effective? I’m in such an amount of pain and I know the pad is helping me fall asleep, so if I can’t use it because of what it’s doing to my insulin, any suggestions as to how I get my pelvis in a nice, warm, happy place in the evening?
Thanks!</t>
        </is>
      </c>
      <c r="D4124" t="n">
        <v>1</v>
      </c>
      <c r="E4124" t="n">
        <v>6</v>
      </c>
      <c r="F4124">
        <f>HYPERLINK("https://www.reddit.com/r/diabetes/comments/7trzjw/insulin_vs_a_heating_pad/")</f>
        <v/>
      </c>
      <c r="G4124" t="inlineStr">
        <is>
          <t>2018-01-29 04:32:47</t>
        </is>
      </c>
      <c r="H4124" t="inlineStr">
        <is>
          <t>Type 1</t>
        </is>
      </c>
    </row>
    <row r="4125">
      <c r="A4125" t="inlineStr">
        <is>
          <t>7tsyg7</t>
        </is>
      </c>
      <c r="B4125" t="inlineStr">
        <is>
          <t>Medtronic Guardian vs Enlite</t>
        </is>
      </c>
      <c r="C4125" t="inlineStr">
        <is>
          <t>Hey /r/diabetes,
I'm looking into getting a new insulin pump, and am seriously considering the Medtronic 670G system. Have major concerns with the Guardian sensor, seeing as how in the 4 years that I've had it, I could never get the Enlite to work. My doctors all say that the difference between these two sensors is day and night, but I'm interested to here others opinions.
Here are my main questions:
1.   **How prevalent are calibration errors on the Guardian vs Enlite?** In my experience, the Enlite only ever lasted a couple days, at which point, any time I calibrated the sensor, I would be hit with an error, and the sensor would become wildly inaccurate.
2. **How is insertion with the Guardian?** For some reason, I always had issues with getting the Enlite to stick in me and start up correctly. I've heard good things this time around, but I'm still weary.
3. **How is Auto Mode?** The "revolutionary" Threshold suspend that the 530G boasted was more of a nuisance than anything, and is turned off 90% of the time when I use the sensor. Does Auto Mode actually live up to the hype? 
Thanks so much for the help everyone! If there are any other general opinions you all have for this system, please share!</t>
        </is>
      </c>
      <c r="D4125" t="n">
        <v>8</v>
      </c>
      <c r="E4125" t="n">
        <v>14</v>
      </c>
      <c r="F4125">
        <f>HYPERLINK("https://www.reddit.com/r/diabetes/comments/7tsyg7/medtronic_guardian_vs_enlite/")</f>
        <v/>
      </c>
      <c r="G4125" t="inlineStr">
        <is>
          <t>2018-01-29 07:18:20</t>
        </is>
      </c>
      <c r="H4125" t="inlineStr">
        <is>
          <t>Type 1</t>
        </is>
      </c>
    </row>
    <row r="4126">
      <c r="A4126" t="inlineStr">
        <is>
          <t>7tt0fq</t>
        </is>
      </c>
      <c r="B4126" t="inlineStr">
        <is>
          <t>How do I adjust my I:C ratio?</t>
        </is>
      </c>
      <c r="C4126" t="inlineStr">
        <is>
          <t xml:space="preserve">Hello! I've had diabetes for 8 years now and for the first time in 8 years (finally!!!) I am managing it and controlling my BGLs. My levels are kind of steady, except when I'm stressed (they spike above 200). I've been using a 1:10 ratio so far, and it's been kind of working for me... but not always. I have a food diary to track carbs and understand my numbers and a Freestyle Libre.
How do I fine-tune my I:C ratio? I never know when to increase/decrease it or not... </t>
        </is>
      </c>
      <c r="D4126" t="n">
        <v>11</v>
      </c>
      <c r="E4126" t="n">
        <v>7</v>
      </c>
      <c r="F4126">
        <f>HYPERLINK("https://www.reddit.com/r/diabetes/comments/7tt0fq/how_do_i_adjust_my_ic_ratio/")</f>
        <v/>
      </c>
      <c r="G4126" t="inlineStr">
        <is>
          <t>2018-01-29 07:26:35</t>
        </is>
      </c>
      <c r="H4126" t="inlineStr">
        <is>
          <t>Type 1</t>
        </is>
      </c>
    </row>
    <row r="4127">
      <c r="A4127" t="inlineStr">
        <is>
          <t>7tu8sm</t>
        </is>
      </c>
      <c r="B4127" t="inlineStr">
        <is>
          <t>Can anyone recommend a good Android app for recording BG numbers and insulin doses for someone on MDI?</t>
        </is>
      </c>
      <c r="C4127" t="inlineStr">
        <is>
          <t>After years of saying "I'll pull the numbers off my meter later..." and procrastinating that endlessly have failed miserably I want to start typing them into an app right then and there when I test.  I also want to record my bolusing and basal dosing.  Ideally this app would also export these BG numbers onto a graph with the insulin doses shown on the same plot.  This would provide much needed insight for myself and my future endo (in between endos at the moment).  Is there anything like this available?  Anyone have experience using one?
Just as an aside, I don't use a CGM and don't plan on getting one anytime soon.</t>
        </is>
      </c>
      <c r="D4127" t="n">
        <v>1</v>
      </c>
      <c r="E4127" t="n">
        <v>10</v>
      </c>
      <c r="F4127">
        <f>HYPERLINK("https://www.reddit.com/r/diabetes/comments/7tu8sm/can_anyone_recommend_a_good_android_app_for/")</f>
        <v/>
      </c>
      <c r="G4127" t="inlineStr">
        <is>
          <t>2018-01-29 10:12:56</t>
        </is>
      </c>
      <c r="H4127" t="inlineStr">
        <is>
          <t>Type 1</t>
        </is>
      </c>
    </row>
    <row r="4128">
      <c r="A4128" t="inlineStr">
        <is>
          <t>7tuwov</t>
        </is>
      </c>
      <c r="B4128" t="inlineStr">
        <is>
          <t>I am optimistic about my life with Type 1, especially now that I consider getting a pump and CGM. But I am nervous and just feel weird about needing things attached to my body...</t>
        </is>
      </c>
      <c r="C4128" t="inlineStr">
        <is>
          <t>I hear great things about pumps and CGM, I want to get them too. I hear they are close as I can get to "being normal" with good control.
But still... it just feels weird. I had this for 3 years, I did keto, I did exercise, I was on honeymoon so I didn't need insulin, I didn't need anything, especially nothing attached to me.
And I am not uncomfortable with having something attached, it is just... weird. Kinda hard to accept. It is not necessary, it is just useful.
I just want to have a good, healthy life. Eat well, not junk food or anything, just well. Exercise, be healthy, be fit. And enjoy the occasional cake with a friend that I love or my mom's baking. That is what I tell myself a lot lately. I have started pens again, I eat a lot of junk food, I drifted away from keto probably further as possible...
Maybe this isn't about pumps or CGMs, I just find it hard to accept. But I am hopeful and optimistic, I am good with schedules, routines, numbers, this is going to be nothing to me. This is a challenge, Type 1. No cure in sight, as far as I know, maybe one in 5 years? They say that every 5 years, don't they? But I can still eat food, I can still drink water, I can still walk, enjoy life, I can still exercise, make love, take care of myself. I can still be healthy, maybe healthier, than "normal".
I don't know... just feeling weird, I wish I didn't have this. I want to be normal. But maybe this is normal, having challenges in life, imperfections, having something attached to your body so you can enjoy life well.
There are worse situations, I always hear that since I got diagnosed and that doesn't make me one bit of happier about what I have. But I am not sad anyway, I just wish I didn't have it.
But I will make it, I will get a pump, I will get a CGM, I will eat better, I will exercise. I am going to make it, we are all going to make it.
After all, I am still young and healthy, probably healthier than most people my age. I just need to use an electronic pancreas, not an organic one and go manual rather than auto.</t>
        </is>
      </c>
      <c r="D4128" t="n">
        <v>8</v>
      </c>
      <c r="E4128" t="n">
        <v>21</v>
      </c>
      <c r="F4128">
        <f>HYPERLINK("https://www.reddit.com/r/diabetes/comments/7tuwov/i_am_optimistic_about_my_life_with_type_1/")</f>
        <v/>
      </c>
      <c r="G4128" t="inlineStr">
        <is>
          <t>2018-01-29 11:40:06</t>
        </is>
      </c>
      <c r="H4128" t="inlineStr">
        <is>
          <t>Type 1</t>
        </is>
      </c>
    </row>
    <row r="4129">
      <c r="A4129" t="inlineStr">
        <is>
          <t>7txeyo</t>
        </is>
      </c>
      <c r="B4129" t="inlineStr">
        <is>
          <t>Any other drinks that aren't water and diet soda?</t>
        </is>
      </c>
      <c r="C4129" t="inlineStr">
        <is>
          <t xml:space="preserve">I've been a diabetic since 12/25/2012, and i am finally getting sick and tired of the same choice of drink. Water and any diet soda. those are the only drinks that I know of that I can drink without having to bolus. When I talk about drinks, I'm talking about stuff to drink regularly. Nothing alcoholic or anything like that. 
Does anybody have any other suggestions? Most juices require insulin, regular soda is gross now cause i can taste all the syrups and i still need insulin, milk needs insulin, literally anything and everything needs insuling. I'm tired of water and Coke 0, HELP! </t>
        </is>
      </c>
      <c r="D4129" t="n">
        <v>2</v>
      </c>
      <c r="E4129" t="n">
        <v>22</v>
      </c>
      <c r="F4129">
        <f>HYPERLINK("https://www.reddit.com/r/diabetes/comments/7txeyo/any_other_drinks_that_arent_water_and_diet_soda/")</f>
        <v/>
      </c>
      <c r="G4129" t="inlineStr">
        <is>
          <t>2018-01-29 17:33:29</t>
        </is>
      </c>
      <c r="H4129" t="inlineStr">
        <is>
          <t>Type 1</t>
        </is>
      </c>
    </row>
    <row r="4130">
      <c r="A4130" t="inlineStr">
        <is>
          <t>7tyu4v</t>
        </is>
      </c>
      <c r="B4130" t="inlineStr">
        <is>
          <t>Emergency Pump Supplies on Backorder (Los Angeles)</t>
        </is>
      </c>
      <c r="C4130" t="inlineStr">
        <is>
          <t>Hey guys! In a bit of a pickle here. Recently upgraded to a 670G Medtronic pump amid an insurance change. I had an old prescription for pump supplies and when I went to refill my prescription it sounds like:
A) It'll take 14 business days to verify with new insurance (despite being high priorty according to Medtronic rep)
B) Emergency supplies are on backorder
C) Doctor has no spare supplies.
I use the Resovior and Quick Set. If any of you fellow diabetes are in the Los Angeles area I'd gladly exchange some hard earned cash for something to get me through until I get my refill. I talked to my doctor and they basically just told me I'm going to have to self inject until my supplies come in. I would very much prefer this to not be the case if possible.</t>
        </is>
      </c>
      <c r="D4130" t="n">
        <v>2</v>
      </c>
      <c r="E4130" t="n">
        <v>9</v>
      </c>
      <c r="F4130">
        <f>HYPERLINK("https://www.reddit.com/r/diabetes/comments/7tyu4v/emergency_pump_supplies_on_backorder_los_angeles/")</f>
        <v/>
      </c>
      <c r="G4130" t="inlineStr">
        <is>
          <t>2018-01-29 21:34:43</t>
        </is>
      </c>
      <c r="H4130" t="inlineStr">
        <is>
          <t>Type 1</t>
        </is>
      </c>
    </row>
    <row r="4131">
      <c r="A4131" t="inlineStr">
        <is>
          <t>7u0mrn</t>
        </is>
      </c>
      <c r="B4131" t="inlineStr">
        <is>
          <t>Kickbacks for UHC?</t>
        </is>
      </c>
      <c r="C4131" t="inlineStr">
        <is>
          <t xml:space="preserve">Hello! Quick question:
Does UHC get kickbacks from Lifescan or Johnson &amp;amp; Johnson? I ask because I got prescribed Bayer Contour Next strips and UHC decided to cover it as a tier 3 medication, making it more expensive than just buying it over the counter. 
Thanks! </t>
        </is>
      </c>
      <c r="D4131" t="n">
        <v>2</v>
      </c>
      <c r="E4131" t="n">
        <v>13</v>
      </c>
      <c r="F4131">
        <f>HYPERLINK("https://www.reddit.com/r/diabetes/comments/7u0mrn/kickbacks_for_uhc/")</f>
        <v/>
      </c>
      <c r="G4131" t="inlineStr">
        <is>
          <t>2018-01-30 04:20:31</t>
        </is>
      </c>
      <c r="H4131" t="inlineStr">
        <is>
          <t>Type 1</t>
        </is>
      </c>
    </row>
    <row r="4132">
      <c r="A4132" t="inlineStr">
        <is>
          <t>7u2oeo</t>
        </is>
      </c>
      <c r="B4132" t="inlineStr">
        <is>
          <t>Now what?</t>
        </is>
      </c>
      <c r="C4132" t="inlineStr">
        <is>
          <t xml:space="preserve">So, recently, I was forced to switch insurance because of all the fun that comes along with getting insurance through the ACA. The new plan is probably better, except that it doesn't cover my Lantus. I only have about 2 weeks of Novolog and Lantus left before my prescription runs out.
To make things worse. I can't get an endocrinologist appointment in this city without a referral from another doctor. The endo office is also completely booked until May.
Due to my schedule, I haven't see a doctor in quite a while. I  graduated from college, went overseas, lived in the middle of the wilderness for a while, and now work 2nd shift 7 days a week. Because of all this, I haven't seen a doctor in about 8 months. I was stupid and let my prescriptions run out.
Now what? I need to get a new prescription, but I can't afford to pay full price for Lantus. My insurance *does* cover Levemir, but I'm not sure how safe it would be to switch medications without seeing an endo about it. </t>
        </is>
      </c>
      <c r="D4132" t="n">
        <v>2</v>
      </c>
      <c r="E4132" t="n">
        <v>8</v>
      </c>
      <c r="F4132">
        <f>HYPERLINK("https://www.reddit.com/r/diabetes/comments/7u2oeo/now_what/")</f>
        <v/>
      </c>
      <c r="G4132" t="inlineStr">
        <is>
          <t>2018-01-30 09:31:56</t>
        </is>
      </c>
      <c r="H4132" t="inlineStr">
        <is>
          <t>Type 1</t>
        </is>
      </c>
    </row>
    <row r="4133">
      <c r="A4133" t="inlineStr">
        <is>
          <t>7u4dpe</t>
        </is>
      </c>
      <c r="B4133" t="inlineStr">
        <is>
          <t>Yesterday was rough</t>
        </is>
      </c>
      <c r="C4133" t="inlineStr">
        <is>
          <t>I had no idea why I was feeling so physically ill all day long. I wasn't experiencing the normal blood sugar low symptoms that I previously had. Normally I experience a low with rapid heart beat and shakiness so I thought the nausea I was feeling was related to something else. Well, I got home from work and checked my blood sugars and I was at 69. Then this afternoon I had a low of 65. After immediately grabbing some OJ, the nausea went away. Has anyone else experienced nausea as a symptom of low sugars? Well, two lows in a row means contact the endo. Got my Lantus dose down from 15u to 9u. Less insulin = more happiness. LOL! I couldn't figure out why I was such a curmudgeon for the last 4 days.</t>
        </is>
      </c>
      <c r="D4133" t="n">
        <v>2</v>
      </c>
      <c r="E4133" t="n">
        <v>7</v>
      </c>
      <c r="F4133">
        <f>HYPERLINK("https://www.reddit.com/r/diabetes/comments/7u4dpe/yesterday_was_rough/")</f>
        <v/>
      </c>
      <c r="G4133" t="inlineStr">
        <is>
          <t>2018-01-30 13:15:43</t>
        </is>
      </c>
      <c r="H4133" t="inlineStr">
        <is>
          <t>Type 2</t>
        </is>
      </c>
    </row>
    <row r="4134">
      <c r="A4134" t="inlineStr">
        <is>
          <t>7u5ovh</t>
        </is>
      </c>
      <c r="B4134" t="inlineStr">
        <is>
          <t>T2 - Pre/Post Exercise #'s</t>
        </is>
      </c>
      <c r="C4134" t="inlineStr">
        <is>
          <t xml:space="preserve">This is crazy.  I recently started testing more regularly and I'm seeing crazy numbers before and after workout time.  I workout at 6:00 am.  Here is my routine today: *Wake up 4:50am, get ready to workout. *Fasting bsg: 131. *drink 1 cup of coffee and eat a small banana and a tblspoon of almond butter. *5:30am - bsg: 152.  *6:00am preworkout bsg: 192.  workout 1 hour.  *7:00am bsg: 339. *11:00am bsg's finally under 200
BSG's have stayed around 140 the rest of the day.  
Some days my post workout bsg is in the 200's not 300's.  My Endo says that as long as the numbers come down within a few hours not to worry... but 300's???  anyone have experience workout out and seeing extremely high numbers?   FYI - I've been doing this workout (Orange Theory Fitness) for about 1.5 years.  I started using the Freestyle libre so I'm  testing fiend!    </t>
        </is>
      </c>
      <c r="D4134" t="n">
        <v>3</v>
      </c>
      <c r="E4134" t="n">
        <v>3</v>
      </c>
      <c r="F4134">
        <f>HYPERLINK("https://www.reddit.com/r/diabetes/comments/7u5ovh/t2_prepost_exercise_s/")</f>
        <v/>
      </c>
      <c r="G4134" t="inlineStr">
        <is>
          <t>2018-01-30 16:19:21</t>
        </is>
      </c>
      <c r="H4134" t="inlineStr">
        <is>
          <t>Type 2</t>
        </is>
      </c>
    </row>
    <row r="4135">
      <c r="A4135" t="inlineStr">
        <is>
          <t>7u5vk7</t>
        </is>
      </c>
      <c r="B4135" t="inlineStr">
        <is>
          <t>A1c 6.3</t>
        </is>
      </c>
      <c r="C4135" t="inlineStr">
        <is>
          <t>Diagnosed in September with an A1C OF 8.8.  4 months later and I’m down to 6.3 and I’ve lost 30lbs!!  Feeling really good about myself and my determination with my diet and exercise.  This check up was the motivation I needed to stay focused!!</t>
        </is>
      </c>
      <c r="D4135" t="n">
        <v>34</v>
      </c>
      <c r="E4135" t="n">
        <v>33</v>
      </c>
      <c r="F4135">
        <f>HYPERLINK("https://www.reddit.com/r/diabetes/comments/7u5vk7/a1c_63/")</f>
        <v/>
      </c>
      <c r="G4135" t="inlineStr">
        <is>
          <t>2018-01-30 16:47:27</t>
        </is>
      </c>
      <c r="H4135" t="inlineStr">
        <is>
          <t>Type 2</t>
        </is>
      </c>
    </row>
    <row r="4136">
      <c r="A4136" t="inlineStr">
        <is>
          <t>7uao16</t>
        </is>
      </c>
      <c r="B4136" t="inlineStr">
        <is>
          <t>Has anybody had success or recommend meal replacement drinks?</t>
        </is>
      </c>
      <c r="C4136" t="inlineStr">
        <is>
          <t xml:space="preserve">I am relatively new to diabetes and find that managing a diet and an active lifestyle to be exhausting.  In fact, I would love if I could just subscribe to a meal planning service without having to thoroughly dissect the nutritional information on every ingredient. 
I have enjoyed supplementing my meals and snacks with shakes/drinks because it takes a lot of the thought out of it.  
Is this something to consider for long-term success?  Are there any brands you recommend?  [DIY Soylent](https://www.completefoods.co/) is an interesting site I found that helps you to build your own meal replacement drinks and connect with other people and their recipes.  </t>
        </is>
      </c>
      <c r="D4136" t="n">
        <v>2</v>
      </c>
      <c r="E4136" t="n">
        <v>33</v>
      </c>
      <c r="F4136">
        <f>HYPERLINK("https://www.reddit.com/r/diabetes/comments/7uao16/has_anybody_had_success_or_recommend_meal/")</f>
        <v/>
      </c>
      <c r="G4136" t="inlineStr">
        <is>
          <t>2018-01-31 07:29:36</t>
        </is>
      </c>
      <c r="H4136" t="inlineStr">
        <is>
          <t>Type 2</t>
        </is>
      </c>
    </row>
    <row r="4137">
      <c r="A4137" t="inlineStr">
        <is>
          <t>7ub5kc</t>
        </is>
      </c>
      <c r="B4137" t="inlineStr">
        <is>
          <t>GAD 65 levels</t>
        </is>
      </c>
      <c r="C4137" t="inlineStr">
        <is>
          <t>Fellow 1.5ers, what were your GAD levels at diagnosis? I finally got my results back and am at a &amp;gt;250 (or as my endo said, very positive.) Just curious what everyone was at!
Also, I'm about to start bolusing and got a CGM. Am I part of the club now?</t>
        </is>
      </c>
      <c r="D4137" t="n">
        <v>1</v>
      </c>
      <c r="E4137" t="n">
        <v>18</v>
      </c>
      <c r="F4137">
        <f>HYPERLINK("https://www.reddit.com/r/diabetes/comments/7ub5kc/gad_65_levels/")</f>
        <v/>
      </c>
      <c r="G4137" t="inlineStr">
        <is>
          <t>2018-01-31 08:35:26</t>
        </is>
      </c>
      <c r="H4137" t="inlineStr">
        <is>
          <t>Type 1.5/LADA</t>
        </is>
      </c>
    </row>
    <row r="4138">
      <c r="A4138" t="inlineStr">
        <is>
          <t>7ubi80</t>
        </is>
      </c>
      <c r="B4138" t="inlineStr">
        <is>
          <t>Some questions about medicine (this is going to be long). Experiences with Quercetin, Metformin and Jardiance. WARNING: Wall of text.</t>
        </is>
      </c>
      <c r="C4138" t="inlineStr">
        <is>
          <t>I've been a diagnosed T2 for quite a number of years.  I have made the decision to control my blood sugar using a ketogenic diet along with some meds.
So, back in December 2016 my fasting blood sugar was 211.  Not good.  I was put on 2000 mg of extended release metformin.  This got my fasting blood sugar down to 180 after a month.  Which sucked. 
So on 1/1/2017 I started a ketogenic diet along with metformin.  That got my fasting blood sugar down to 140-150 range.  My A1C in July was 6.6 and just 2 weeks ago was 6.7.  My blood sugar tends to bounce around between 125-150 throughout the day, but never seems to go out of those parameters.  It's always the highest when I wake up.
Good, but not good enough.
Went to the doctor and after much discussion was given a prescription for Jardiance.  Popped the first pill yesterday morning.  6:00 AM blood sugar was 148, 10:00 AM blood sugar was 110,  12:00 PM blood sugar was 98.
I was like "Holy crap!  This stuff is awesome!"
Today comes around, and my fasting blood sugar is 115, again awesome (compared to my normal 150).  Pop both the Jardiance and the Metformin.  My 11:00 blood sugar is 149!  I immediately have a WTF moment, and get a little depressed.
Then I realize that yesterday I took 2 Quercetin tablets and I forgot to do so this morning.  So I popped two at 11:00 AM.  11:57 AM, and my blood sugar is 97!
My plan now is to get off the Jardiance for a few days and just use the Quercetin and see if my blood sugar stays that low, or if I need to take the Jardiance again.
Was wondering if anyone else is taking Quercetin and what results they are seeing from it.
Some backstory:  I was put on non-ER metformin years ago and it TORE my stomach up.  Major pain.  Chronic diarrhea that lasted for WEEKS.  It only stopped when I stopped taking the metformin.
So, I ordered some berberine to try instead.  It wasn't doing much.  Research said that adding Quercetin to the Berberine, significantly improves it's blood sugar lowering properties.  So I ordered some and tried the two together.  I stopped taking both when I didn't see much improvement in blood sugar levels, and the diet was keeping my blood sugar around 150 by itself.  Well as things always go when you get cocky and stop checking your glucose, you start introducing foods you shouldn't into your diet, and your blood sugar goes up without your realizing it, bring me back to December 2016 and the 211 blood sugar levels.
So, there's the whole story.  Thanks for reading the wall of text.</t>
        </is>
      </c>
      <c r="D4138" t="n">
        <v>1</v>
      </c>
      <c r="E4138" t="n">
        <v>3</v>
      </c>
      <c r="F4138">
        <f>HYPERLINK("https://www.reddit.com/r/diabetes/comments/7ubi80/some_questions_about_medicine_this_is_going_to_be/")</f>
        <v/>
      </c>
      <c r="G4138" t="inlineStr">
        <is>
          <t>2018-01-31 09:20:55</t>
        </is>
      </c>
      <c r="H4138" t="inlineStr">
        <is>
          <t>Type 2</t>
        </is>
      </c>
    </row>
    <row r="4139">
      <c r="A4139" t="inlineStr">
        <is>
          <t>7udp19</t>
        </is>
      </c>
      <c r="B4139" t="inlineStr">
        <is>
          <t>Possible T2?</t>
        </is>
      </c>
      <c r="C4139" t="inlineStr">
        <is>
          <t>I'm a ~175lb male (about 27 BMI, 20% BF). My family history has T2 diabetes (both sides) so I know I'm higher risk. I lift weights about 3-4 times a week and am active in sports for about 2-3 hours in the week.
A few days ago, I had a very dry mouth (thirsty) and was urinating very frequently. The dry mouth and thirst only lasted for less than half a day when it initially started. It was very sudden. I did not feel a change in appetite, nor a change in vision. I was a bit fatigued overall, but that could have been due to lack of sleep, late night games, and work. I usually wake up at most once a night to pee, but I've been waking up about 3 times a night for the last two days or so. I know these are classic T2 symptoms.
Today, I still am urinating frequently, but less than before. I will be getting blood work later today, and am curious the likelihood of having T2. I went to the doctor earlier and my blood pressure was about 140 - it's about 25 over the last time I checked (possibly due to the stress of self diagnosis).
Thanks,</t>
        </is>
      </c>
      <c r="D4139" t="n">
        <v>0</v>
      </c>
      <c r="E4139" t="n">
        <v>2</v>
      </c>
      <c r="F4139">
        <f>HYPERLINK("https://www.reddit.com/r/diabetes/comments/7udp19/possible_t2/")</f>
        <v/>
      </c>
      <c r="G4139" t="inlineStr">
        <is>
          <t>2018-01-31 14:03:00</t>
        </is>
      </c>
      <c r="H4139" t="inlineStr">
        <is>
          <t>Type 2</t>
        </is>
      </c>
    </row>
    <row r="4140">
      <c r="A4140" t="inlineStr">
        <is>
          <t>7uh4u8</t>
        </is>
      </c>
      <c r="B4140" t="inlineStr">
        <is>
          <t>On a ketogenic diet, why do you need to use insulin with meals?</t>
        </is>
      </c>
      <c r="C4140" t="inlineStr">
        <is>
          <t>I did keto for 3 years, did that during honeymoon so didn't need any insulin at all.
I am back to carbs and pens now and either considering going back to keto or getting a pump and CGM to continue carbs
My brother said (who is also diabetic), I can just do lantus with this diet now that my honeymoon is coming to an end (probably ended already?)
But I keep hearing about people doing novorapid and I wonder, why do you need it? Most keto diets are like, 25g-50g carbs a day, that is, for my current insulin needs (that is increased by some medications) 2.5-5 units of novorapid per day. For one meal, if I am having let's say 6g-12g carbs per meal and 3g-6g carbs with snacks, 1 unit of novorapid.
Question is, how much can those amounts even increase my blood sugar and doesn't Lantus already take care of such small amounts? If it doesn't, why do you need Novorapid "with meals".
Can't I just do keto, keep my blood sugar 90-110, see that it raised a bit to let's say 130, do some exercise or inject a bit insulin like 2 units at most?
Do I need fast acting insulin for digestion of fat and protein I take along with small amounts of carbs?</t>
        </is>
      </c>
      <c r="D4140" t="n">
        <v>2</v>
      </c>
      <c r="E4140" t="n">
        <v>10</v>
      </c>
      <c r="F4140">
        <f>HYPERLINK("https://www.reddit.com/r/diabetes/comments/7uh4u8/on_a_ketogenic_diet_why_do_you_need_to_use/")</f>
        <v/>
      </c>
      <c r="G4140" t="inlineStr">
        <is>
          <t>2018-01-31 23:32:18</t>
        </is>
      </c>
      <c r="H4140" t="inlineStr">
        <is>
          <t>Type 1</t>
        </is>
      </c>
    </row>
    <row r="4141">
      <c r="A4141" t="inlineStr">
        <is>
          <t>7uhcvf</t>
        </is>
      </c>
      <c r="B4141" t="inlineStr">
        <is>
          <t>Type 2 into remission</t>
        </is>
      </c>
      <c r="C4141" t="inlineStr">
        <is>
          <t>I did it.  😀  I reversed my diabetes mellitus type 2.  I don't mean to boast but it feels great.  No more metformin, at least for a few decades.  I post this as a way to encourage other sufferers.  You can do it if you try very hard.
I was diagnosed in 2012.  I immediately eliminated sugar from my diet; that wasn't difficult for me.  I stopped drinking alcohol and never had desert.  It was the carbs that took me a long time to get over.  
I started to do a lot of walking and lifted weights more regularly.  I was able to leave my overweight status behind thanks to walking.  I would encourage diabetics to investigate walking techniques and to learn how to walk better.  How you carry yourself, your stride and drawing energy from your hips when walking are very useful.  I would often come home from a long walk feeling like I lifted weights.  Eventually I learned to stimulate the muscles in my skull as well as my back and legs from walking.
In 2015, I started to binge eat but it wasn't a disorder.  I would reward myself for going for a long walk with two large packets of chips and a sugar free energy drink bought from the local shops on my return home from walking.  My HBa1C results were non-diabetic however I knew I was spiking after my chippies.  This is something I recommend other diabetics avoid.  Do not reward your exercise with a little treat afterwards.  It is too easy for a binge habit to develop. I then decided to only have salad sandwiches for lunch and in 2016 stopped eating bread.  My binge eating of potato chips intensified because of the lack of bread. 
In October 2017, I started intermittent fasting.  I felt strongly that it was right for me.  I saw much benefits from fasting, as many as from walking and lifting weights.  I would encourage every adult to try intermittent fasting.  Not for 15 or 20 days; just 2 or 3 days of fasting a couple of times per month.  I also started jogging and pushed my exercise level to high. Doing this I was able to get my BMI to an optimal level.  At worst I was 102 kg.  I am now 75 kg.
I wanted to get off metformin but I knew my binging was problematic.  I had no choice.  I had to get over whatever other bullshit I had in my life (like we all have to deal with) and not use chippies as a crutch. I am a man of little means facing great adversity.  If I can do this then almost anyone can.  I am happy to answer question and provide suggestions.
TL;DR.  Eliminating sweets was easy, carbs not so much.  Eat salads for lunch.  Walk heaps but don't reward yourself with anything afterwards.  Try intermittent fasting and any exercise you can.  Your test results will become good.  Now you have to eat perfectly as well as maintain exercise so you can then forget your medication and not have to tell anyone you are diabetic, because you aren't.</t>
        </is>
      </c>
      <c r="D4141" t="n">
        <v>1</v>
      </c>
      <c r="E4141" t="n">
        <v>6</v>
      </c>
      <c r="F4141">
        <f>HYPERLINK("https://www.reddit.com/r/diabetes/comments/7uhcvf/type_2_into_remission/")</f>
        <v/>
      </c>
      <c r="G4141" t="inlineStr">
        <is>
          <t>2018-02-01 00:25:00</t>
        </is>
      </c>
      <c r="H4141" t="inlineStr">
        <is>
          <t>Type 2</t>
        </is>
      </c>
    </row>
    <row r="4142">
      <c r="A4142" t="inlineStr">
        <is>
          <t>7uiwaw</t>
        </is>
      </c>
      <c r="B4142" t="inlineStr">
        <is>
          <t>Question for all the CGM users out there</t>
        </is>
      </c>
      <c r="C4142" t="inlineStr">
        <is>
          <t>I have been having trouble with my sensors. I just got two 'calibration not accepted' alerts, and finally a 'change sensor' alert. 
Here's how it all happened. I was getting ready to go to sleep and the pump started warning me about a low blood sugar. Huh, weird, I just checked and my blood was 160. I calibrated the pump at this value and, there's the first calibration not accepted alert. Oh well, I go to bed and wake up at 7 this morning, check my blood, still 160, so I calibrate it again and there's the second calibration not accepted alert, and the change sensor alert. 
Now, my bg was stable the whole night (slightly high, I know). The sensor isn't in a bad spot, it's in one of the few fatty spots in my body, the top of my butt. No blood, no pain when I inserted it. The sensor was only a day old. I washed my hands with soap and water both times and made sure that my bg was not elevating or dropping quickly before I calibrated. 
I am trying to trick my pump into recognizing this sensor as a new one, by disconnecting and reconnecting the transmitter, which seems to have worked. I am currently in warm up mode for the old sensor. 
Anyone have any ideas as to why this could have happened?</t>
        </is>
      </c>
      <c r="D4142" t="n">
        <v>1</v>
      </c>
      <c r="E4142" t="n">
        <v>6</v>
      </c>
      <c r="F4142">
        <f>HYPERLINK("https://www.reddit.com/r/diabetes/comments/7uiwaw/question_for_all_the_cgm_users_out_there/")</f>
        <v/>
      </c>
      <c r="G4142" t="inlineStr">
        <is>
          <t>2018-02-01 06:00:15</t>
        </is>
      </c>
      <c r="H4142" t="inlineStr">
        <is>
          <t>Type 1</t>
        </is>
      </c>
    </row>
    <row r="4143">
      <c r="A4143" t="inlineStr">
        <is>
          <t>7ujuy2</t>
        </is>
      </c>
      <c r="B4143" t="inlineStr">
        <is>
          <t>Endo who doesn't believe in CGM or pumps??</t>
        </is>
      </c>
      <c r="C4143" t="inlineStr">
        <is>
          <t>I am T1 and newly pregnant. I've never had an a1c above 6.8 (currently 6.0), so you can say I have good control. Because of this, I've always managed my diabetes with my GP and haven't seen a specialist since I was diagnosed. Pregnancy hormones apparently make your blood sugars go wonky. I made an appointment with an endo to discuss options so I don't have to stick my fingers every 2 hours. I got all the way there, and went through the song and dance only to have the doc say "I don't do CGM or pumps." Wait what? Is that a thing? Has anybody else ever heard of an endo who won't prescribe a CGM or a pump? I was blown away! Needless to say I hightailed it out of there and called my GP right away, who is currently working on a prescription for a CGM for me.</t>
        </is>
      </c>
      <c r="D4143" t="n">
        <v>16</v>
      </c>
      <c r="E4143" t="n">
        <v>50</v>
      </c>
      <c r="F4143">
        <f>HYPERLINK("https://www.reddit.com/r/diabetes/comments/7ujuy2/endo_who_doesnt_believe_in_cgm_or_pumps/")</f>
        <v/>
      </c>
      <c r="G4143" t="inlineStr">
        <is>
          <t>2018-02-01 08:22:17</t>
        </is>
      </c>
      <c r="H4143" t="inlineStr">
        <is>
          <t>Type 1</t>
        </is>
      </c>
    </row>
    <row r="4144">
      <c r="A4144" t="inlineStr">
        <is>
          <t>7ul1dd</t>
        </is>
      </c>
      <c r="B4144" t="inlineStr">
        <is>
          <t>I feel defeated</t>
        </is>
      </c>
      <c r="C4144" t="inlineStr">
        <is>
          <t xml:space="preserve">Introduction: Type 1 Diabetes of 23 years, diagnosed two weeks before I turned 4 years old (happy birthday to me!). 
I used to have somewhat good control, but lately I dont know whats going on. Maybe its the stress of actually having to be an adult, but the last couple of years my A1C has been consistently over 10. Me and my endo cheered when I got it down to 10, and now I know for a fact its going to be back up in the 12s, as I've been using a logging app that calculates the A1C, and its pretty accurate. 
I just feel so defeated. I check my blood sugar, its a little high, I bolus, and one of two things happen: Either it doesn't absorb, and I get high for the next few hours, or it absorbs crazy fast and I crash into a low. I feel like almost 25 years of injections has just created too much scar tissue on my small frame and I'm running out of spots I can inject and know it will absorb. 
I tried going on the CGM, but am horribly allergic to the adhesive - any time I try to use it, a terrifying rash breaks out, starting from the site and then my whole body gets a rash. It's miserable. 
I sometimes wonder if just not eating would be better than even trying to eat anything only to watch it spike into the 400s every day. 
My endo lowered my basal rate because he said it was too high, but at this point I think thats stupid. I'd rather have a good A1C and high basal rates than a low basal rate and an A1C in the sky. I'm so frustrated and tired and stressed and I don't know what to do anymore. I've tried doing the fasting tests, but I'm so goddamn high all the time I can't even fucking START one. 
I just don't know what to do anymore. </t>
        </is>
      </c>
      <c r="D4144" t="n">
        <v>1</v>
      </c>
      <c r="E4144" t="n">
        <v>21</v>
      </c>
      <c r="F4144">
        <f>HYPERLINK("https://www.reddit.com/r/diabetes/comments/7ul1dd/i_feel_defeated/")</f>
        <v/>
      </c>
      <c r="G4144" t="inlineStr">
        <is>
          <t>2018-02-01 10:57:56</t>
        </is>
      </c>
      <c r="H4144" t="inlineStr">
        <is>
          <t>Type 1</t>
        </is>
      </c>
    </row>
    <row r="4145">
      <c r="A4145" t="inlineStr">
        <is>
          <t>7umicj</t>
        </is>
      </c>
      <c r="B4145" t="inlineStr">
        <is>
          <t>Weed and insluin pump</t>
        </is>
      </c>
      <c r="C4145" t="inlineStr">
        <is>
          <t>Im thinking about getting a insulin pump next month. I been doagnoised with t1 since augest 2017. I want to know if anyone esle who has a pump and smokes does it affect the pump in any way. I also what is a good brand.  Thank you</t>
        </is>
      </c>
      <c r="D4145" t="n">
        <v>1</v>
      </c>
      <c r="E4145" t="n">
        <v>6</v>
      </c>
      <c r="F4145">
        <f>HYPERLINK("https://www.reddit.com/r/diabetes/comments/7umicj/weed_and_insluin_pump/")</f>
        <v/>
      </c>
      <c r="G4145" t="inlineStr">
        <is>
          <t>2018-02-01 14:11:38</t>
        </is>
      </c>
      <c r="H4145" t="inlineStr">
        <is>
          <t>Type 1</t>
        </is>
      </c>
    </row>
    <row r="4146">
      <c r="A4146" t="inlineStr">
        <is>
          <t>7ummm7</t>
        </is>
      </c>
      <c r="B4146" t="inlineStr">
        <is>
          <t>2 Months In</t>
        </is>
      </c>
      <c r="C4146" t="inlineStr">
        <is>
          <t xml:space="preserve">Just had my 1 month follow up (really 2 months into diagnosis). A1c is down from 15.0 (at diagnosis) to 8.1. I wish it was lower, but then I have to remember it’s still counting all of November when my blood sugar was extremely high. I also just got a pump (tslim x2) and a cgm (Dexcom g5) ordered and will start using them within the next month. Honestly that was the best part of the visit as I have been so reluctant to get back into running without having a cgm, but now I can.  Thanks for all the info and help this sub has been over the course of these couple of months as it has made the new normal a bit easier. </t>
        </is>
      </c>
      <c r="D4146" t="n">
        <v>8</v>
      </c>
      <c r="E4146" t="n">
        <v>8</v>
      </c>
      <c r="F4146">
        <f>HYPERLINK("https://www.reddit.com/r/diabetes/comments/7ummm7/2_months_in/")</f>
        <v/>
      </c>
      <c r="G4146" t="inlineStr">
        <is>
          <t>2018-02-01 14:28:28</t>
        </is>
      </c>
      <c r="H4146" t="inlineStr">
        <is>
          <t>Type 1</t>
        </is>
      </c>
    </row>
    <row r="4147">
      <c r="A4147" t="inlineStr">
        <is>
          <t>7ungon</t>
        </is>
      </c>
      <c r="B4147" t="inlineStr">
        <is>
          <t>After 6 months my hba1c has gone from 11.8 to 5.2 I'm so happy right now!</t>
        </is>
      </c>
      <c r="C4147" t="inlineStr">
        <is>
          <t>I've worked so hard for this and it's really paid off. Over 6 months without and fast-food, soft drink or snacks and I'm down to 5.2 and down 40kg :D</t>
        </is>
      </c>
      <c r="D4147" t="n">
        <v>114</v>
      </c>
      <c r="E4147" t="n">
        <v>31</v>
      </c>
      <c r="F4147">
        <f>HYPERLINK("https://www.reddit.com/r/diabetes/comments/7ungon/after_6_months_my_hba1c_has_gone_from_118_to_52/")</f>
        <v/>
      </c>
      <c r="G4147" t="inlineStr">
        <is>
          <t>2018-02-01 16:32:59</t>
        </is>
      </c>
      <c r="H4147" t="inlineStr">
        <is>
          <t>Type 2</t>
        </is>
      </c>
    </row>
    <row r="4148">
      <c r="A4148" t="inlineStr">
        <is>
          <t>7uo8e9</t>
        </is>
      </c>
      <c r="B4148" t="inlineStr">
        <is>
          <t>[Type2] Having a rough week</t>
        </is>
      </c>
      <c r="C4148" t="inlineStr">
        <is>
          <t xml:space="preserve">I was diagnosed with Type 2 diabetes after one blood test I took on 12/28/2017. My results came back and my doctor called me in on 1/7/2018 and informed me that I tested with a 243 mg/dL and a 10.6 hemoglobin A1C. This wasn't exactly the biggest shock to me that I had diabetes as I wasn't sleeping well and was urinating a lot more than normal.  I started to feel a lot better and was eating better cooking my own food and limiting my daily carbs to less than 20g per day.  I'm also going to the gym 3-4 times per week.  
My family has been very supportive but I don't live with them, and I feel very isolated.  The past couple of days my mind has betrayed me and all I can think about is the super negatives of diabetes like blindness and amputation and keep having nightmares of this happening to me despite me knowing that I'm doing all that I can possibly do to avoid that.   
Do you guys have any words of wisdom to stay positive? </t>
        </is>
      </c>
      <c r="D4148" t="n">
        <v>2</v>
      </c>
      <c r="E4148" t="n">
        <v>5</v>
      </c>
      <c r="F4148">
        <f>HYPERLINK("https://www.reddit.com/r/diabetes/comments/7uo8e9/type2_having_a_rough_week/")</f>
        <v/>
      </c>
      <c r="G4148" t="inlineStr">
        <is>
          <t>2018-02-01 18:40:46</t>
        </is>
      </c>
      <c r="H4148" t="inlineStr">
        <is>
          <t>Type 2</t>
        </is>
      </c>
    </row>
    <row r="4149">
      <c r="A4149" t="inlineStr">
        <is>
          <t>7uq1c6</t>
        </is>
      </c>
      <c r="B4149" t="inlineStr">
        <is>
          <t>Is it common to experience hairloss after diagnosis?</t>
        </is>
      </c>
      <c r="C4149" t="inlineStr">
        <is>
          <t>Hi all, 
I've been lurking here for the last couple of months. My diagnosis was a little rough. I was diagnosed with type 2 diabetes in October last year (with a BGL of 26mmol and a hba1c of 9.7). My GP put me on Metformin and referred me to an educator. When I saw the educator she thought something wasn't right, as I had a normal BMI, am reasonably active and have no familial history of type 2, so she asked a registrar to come see me who ordered some blood tests. Fast forward a couple of months I was talking to the same registrar who was telling me my GAD and islet antibody were high, suggesting type 1 or LADA.
Not long after this I've noticed my hair falling out and thinning. Every time I run my fingers through my hair 10-20 strands come out, and when ever I brushy hair I end up with a pile of hair in the sink. Is this common? And will it stop and grow back? Or will I end up with no or very thin hair?</t>
        </is>
      </c>
      <c r="D4149" t="n">
        <v>1</v>
      </c>
      <c r="E4149" t="n">
        <v>11</v>
      </c>
      <c r="F4149">
        <f>HYPERLINK("https://www.reddit.com/r/diabetes/comments/7uq1c6/is_it_common_to_experience_hairloss_after/")</f>
        <v/>
      </c>
      <c r="G4149" t="inlineStr">
        <is>
          <t>2018-02-02 00:46:07</t>
        </is>
      </c>
      <c r="H4149" t="inlineStr">
        <is>
          <t>Type 1.5/LADA</t>
        </is>
      </c>
    </row>
    <row r="4150">
      <c r="A4150" t="inlineStr">
        <is>
          <t>7urg0n</t>
        </is>
      </c>
      <c r="B4150" t="inlineStr">
        <is>
          <t>Day 4 of taking 500mg of Quercetin twice a day.</t>
        </is>
      </c>
      <c r="C4150" t="inlineStr">
        <is>
          <t>I've been treating my Type 2 Diabetes with a combination of a ketogenic diet and 2000 mg of Metformin ER per day.
The Metformin got my fasting blood sugar down to 180 from 211.  Keto got my fasting blood sugar down to 150.  Throughout the day my blood sugar would bounce between 129-150 and there I have been for the last year.
Tuesday I decided to try a dietary supplement called Quercetin.  I woke up with a blood sugar of 150 and took 1000mg of Quercetin.  My pre lunch blood sugar was 97, the lowest it's probably been in 5 years.
My post lunch blood sugar was 120.
That was Tuesday.
I woke up Wednesday morning and my fasting blood sugar was 115, the lowest I have ever seen.  By 10:30 AM my blood sugar was 149.  At the point, I remember I forgot to take the quercetin.  Took 1000 mg.  My 11:30 AM pre-meal blood sugar was 97.  1 hour post meal was 119.
Thursday morning I again woke up to a fasting blood sugar of 115, pre lunch blood sugar of 100, and post lunch blood sugar of 118.  On Thursday I split the dose to 500mg twice a day, rather than 1000 mg all at once.
This morning my fasting blood sugar was 118.  Will be checking my blood sugar again at 9:30.
On Tuesday and Thursday I checked my blood sugar hourly until 10:00 PM and my blood sugar never went above 120 the entire day.
As usual, YMMV.  Talk to your doctor.  Etc.  But I thought I would pass on my results from 4 days of Quercetin use.
These results were obtained with 2000mg metformin ER + 500mg quercetin BID + keto.</t>
        </is>
      </c>
      <c r="D4150" t="n">
        <v>0</v>
      </c>
      <c r="E4150" t="n">
        <v>2</v>
      </c>
      <c r="F4150">
        <f>HYPERLINK("https://www.reddit.com/r/diabetes/comments/7urg0n/day_4_of_taking_500mg_of_quercetin_twice_a_day/")</f>
        <v/>
      </c>
      <c r="G4150" t="inlineStr">
        <is>
          <t>2018-02-02 05:56:58</t>
        </is>
      </c>
      <c r="H4150" t="inlineStr">
        <is>
          <t>Type 2</t>
        </is>
      </c>
    </row>
    <row r="4151">
      <c r="A4151" t="inlineStr">
        <is>
          <t>7us30b</t>
        </is>
      </c>
      <c r="B4151" t="inlineStr">
        <is>
          <t>Always waking up with high blood glucose, are there things I can do?</t>
        </is>
      </c>
      <c r="C4151" t="inlineStr">
        <is>
          <t xml:space="preserve">T2 diagnose a year ago.  Started with A1C of 10.2 and my last test was at 6.9.  I am on 2000 mg of metformin, 1000mg in the morning and another at night.  
I can go to bed with a reading of 120 but will wake up at 180.  My last meal would be around 7:00 PM and sometimes I will have an apple around 8:00 PM but nothing after.  What should I be doing?  How can I avoid this spike in the morning?  
My doctor isn't that concerned with the spike since my A1C is going down.  But I just thought you folks might have some suggestions.   Thanks in advance. </t>
        </is>
      </c>
      <c r="D4151" t="n">
        <v>7</v>
      </c>
      <c r="E4151" t="n">
        <v>15</v>
      </c>
      <c r="F4151">
        <f>HYPERLINK("https://www.reddit.com/r/diabetes/comments/7us30b/always_waking_up_with_high_blood_glucose_are/")</f>
        <v/>
      </c>
      <c r="G4151" t="inlineStr">
        <is>
          <t>2018-02-02 07:36:11</t>
        </is>
      </c>
      <c r="H4151" t="inlineStr">
        <is>
          <t>Type 2</t>
        </is>
      </c>
    </row>
    <row r="4152">
      <c r="A4152" t="inlineStr">
        <is>
          <t>7ut1aj</t>
        </is>
      </c>
      <c r="B4152" t="inlineStr">
        <is>
          <t>Hypo awareness</t>
        </is>
      </c>
      <c r="C4152" t="inlineStr">
        <is>
          <t xml:space="preserve">Can lack of hydration determine your hypo awareness? I didn’t drink much water today at work and before I left I decided to check my BG. It was 2.6, but I didn’t feel the signs for another 5 minutes. I’ve noticed the moment I downed some water, I felt a lot more aware of my sugars. Anyone else experience this? </t>
        </is>
      </c>
      <c r="D4152" t="n">
        <v>2</v>
      </c>
      <c r="E4152" t="n">
        <v>1</v>
      </c>
      <c r="F4152">
        <f>HYPERLINK("https://www.reddit.com/r/diabetes/comments/7ut1aj/hypo_awareness/")</f>
        <v/>
      </c>
      <c r="G4152" t="inlineStr">
        <is>
          <t>2018-02-02 09:45:26</t>
        </is>
      </c>
      <c r="H4152" t="inlineStr">
        <is>
          <t>Type 1</t>
        </is>
      </c>
    </row>
    <row r="4153">
      <c r="A4153" t="inlineStr">
        <is>
          <t>7utyl2</t>
        </is>
      </c>
      <c r="B4153" t="inlineStr">
        <is>
          <t>T1D question about waffles</t>
        </is>
      </c>
      <c r="C4153" t="inlineStr">
        <is>
          <t>Hi everyone, I’ve been type 1 for about a year now so I’m still figuring a lot of things out. I’ve been going low a lot last night and today and the only thing I can think of in common is waffles. I had chicken and waffles last night for dinner and waffles this morning for breakfast (I know what you’re thinking but they’re easy to make so sue me). Anyway has anybody else had unpredictable blood sugar after eating eggo waffles?</t>
        </is>
      </c>
      <c r="D4153" t="n">
        <v>2</v>
      </c>
      <c r="E4153" t="n">
        <v>17</v>
      </c>
      <c r="F4153">
        <f>HYPERLINK("https://www.reddit.com/r/diabetes/comments/7utyl2/t1d_question_about_waffles/")</f>
        <v/>
      </c>
      <c r="G4153" t="inlineStr">
        <is>
          <t>2018-02-02 11:48:10</t>
        </is>
      </c>
      <c r="H4153" t="inlineStr">
        <is>
          <t>Type 1</t>
        </is>
      </c>
    </row>
    <row r="4154">
      <c r="A4154" t="inlineStr">
        <is>
          <t>7uvw9s</t>
        </is>
      </c>
      <c r="B4154" t="inlineStr">
        <is>
          <t>My turn to make one of these posts 😀 a1c results today down from 9.6 just 3 months ago to 5.8!</t>
        </is>
      </c>
      <c r="C4154" t="inlineStr">
        <is>
          <t xml:space="preserve">Very happy about this news because I’ve been working very hard. I started on a basal insulin 3 months ago which had an affect on me of making exercise work again. I am sure it worked before but it was painful. Now I feel great after exercise. 
I’ve been brisk walking/jogging approximately 50 miles per week and that all combined with a significantly reduced carb diet (max of about 100 - 150 carbs per day) along with the long acting insulin did the trick for me. 
The impact is noticeable, I am also down 30 lbs. </t>
        </is>
      </c>
      <c r="D4154" t="n">
        <v>92</v>
      </c>
      <c r="E4154" t="n">
        <v>19</v>
      </c>
      <c r="F4154">
        <f>HYPERLINK("https://www.reddit.com/r/diabetes/comments/7uvw9s/my_turn_to_make_one_of_these_posts_a1c_results/")</f>
        <v/>
      </c>
      <c r="G4154" t="inlineStr">
        <is>
          <t>2018-02-02 16:25:30</t>
        </is>
      </c>
      <c r="H4154" t="inlineStr">
        <is>
          <t>Type 2</t>
        </is>
      </c>
    </row>
    <row r="4155">
      <c r="A4155" t="inlineStr">
        <is>
          <t>7uxjc4</t>
        </is>
      </c>
      <c r="B4155" t="inlineStr">
        <is>
          <t>Medtronic MiniMed Connect? Anyone know what happened?</t>
        </is>
      </c>
      <c r="C4155" t="inlineStr">
        <is>
          <t>https://www.medtronicdiabetes.com/blog/minimed-connect-with-android/ was available for the 530g and then... It seems to have just disappeared.
There doesn't seem to be any attempt to make a similar offering available for the 630/670g and I really have a hard time understanding why that is. Does anyone know what happened here? I love the hybrid loop system the 670g is offering, but the sysadmin data nerd in me is hating that the only way to get comprehensive data out of the system involves Internet Explorer, a website, and a solid few minutes to dump it all to that system. It would be so much better to get that data in realtime on the one computer that I always have with me in my pocket.
Does anyone have connections with Medtronic and/or know why they haven't pursued a passive data interface like this for their new systems?
In hopes of ending these lines of conversation before they start: I'm aware that other pump/cgm combos have this already. When those systems get a manufacturer covered hybrid loop (or better) of any sort I'll jump ship on day one to whatever system that is.</t>
        </is>
      </c>
      <c r="D4155" t="n">
        <v>2</v>
      </c>
      <c r="E4155" t="n">
        <v>1</v>
      </c>
      <c r="F4155">
        <f>HYPERLINK("https://www.reddit.com/r/diabetes/comments/7uxjc4/medtronic_minimed_connect_anyone_know_what/")</f>
        <v/>
      </c>
      <c r="G4155" t="inlineStr">
        <is>
          <t>2018-02-02 21:36:36</t>
        </is>
      </c>
      <c r="H4155" t="inlineStr">
        <is>
          <t>Type 1</t>
        </is>
      </c>
    </row>
    <row r="4156">
      <c r="A4156" t="inlineStr">
        <is>
          <t>7uylb8</t>
        </is>
      </c>
      <c r="B4156" t="inlineStr">
        <is>
          <t>Two things I wonder about pumps: How does it affect your 1) Everyday movement and flexibility? 2) Attractiveness and love life?</t>
        </is>
      </c>
      <c r="C4156" t="inlineStr">
        <is>
          <t>I am considering getting a pump and going over some things to consider.
1) I sometimes sit on the ground on a bus or subway if there is no seats, I plan to put my pump mostly on my thighs but also maybe belly so I wonder, can I still sit comfortably however I want? Can I run with a pump? Jump up and down? Jump down from heights like a big step? I climb stairs fast, like run up 2-3 steps at once, can I still do it?
2) Has anyone commented ever made a comment on your pump looking bad? Has it ever been a deal breaker? Has a friend ever said something like "I wouldn't date someone with a pump"?
After all it will be visible and especially visible when "more things are visible", speaking of which how does it affect your sex life? Or just hugging, kissing, cuddling?
I hear a pump is the closest thing to having a normal pancreas and I want to be "normal" but I would also like to look normal and move normal as possible.</t>
        </is>
      </c>
      <c r="D4156" t="n">
        <v>7</v>
      </c>
      <c r="E4156" t="n">
        <v>30</v>
      </c>
      <c r="F4156">
        <f>HYPERLINK("https://www.reddit.com/r/diabetes/comments/7uylb8/two_things_i_wonder_about_pumps_how_does_it/")</f>
        <v/>
      </c>
      <c r="G4156" t="inlineStr">
        <is>
          <t>2018-02-03 02:19:29</t>
        </is>
      </c>
      <c r="H4156" t="inlineStr">
        <is>
          <t>Type 1</t>
        </is>
      </c>
    </row>
    <row r="4157">
      <c r="A4157" t="inlineStr">
        <is>
          <t>7uzi4e</t>
        </is>
      </c>
      <c r="B4157" t="inlineStr">
        <is>
          <t>I feel like I made a mistake....</t>
        </is>
      </c>
      <c r="C4157" t="inlineStr">
        <is>
          <t>Recently upgraded to Medtronics 670g.... Constant interface stuttering, too many alarms especially using smart guard, too many clicks to get to important functions......
Anyone know how I can switch before the four year expiration period?</t>
        </is>
      </c>
      <c r="D4157" t="n">
        <v>9</v>
      </c>
      <c r="E4157" t="n">
        <v>10</v>
      </c>
      <c r="F4157">
        <f>HYPERLINK("https://www.reddit.com/r/diabetes/comments/7uzi4e/i_feel_like_i_made_a_mistake/")</f>
        <v/>
      </c>
      <c r="G4157" t="inlineStr">
        <is>
          <t>2018-02-03 06:11:24</t>
        </is>
      </c>
      <c r="H4157" t="inlineStr">
        <is>
          <t>Type 1</t>
        </is>
      </c>
    </row>
    <row r="4158">
      <c r="A4158" t="inlineStr">
        <is>
          <t>7v1l75</t>
        </is>
      </c>
      <c r="B4158" t="inlineStr">
        <is>
          <t>Discharged by new PCP because not seeing endo</t>
        </is>
      </c>
      <c r="C4158" t="inlineStr">
        <is>
          <t xml:space="preserve">I started seeing a new PCP a couple months ago because of new insurance. I had an entry appointment and today I had the follow-up appointment. About 4-5 months ago, I had my last appointment with my old endocrinologist. She was not covered with the new insurance. 
I was hoping the new PCP would  treat my diabetes. I Was rather reluctant to see a new Endo. I've been seeing them for nearly 25 years now and my diabetes is stable and I honestly feel it's a waste. The new PCP filled my requested prescriptions when I saw him the first time but also issued a referral to a new Endo, who unfortunately wasn't in my insurance network. This time I saw the PCP today and he indicated he would not see me if I wouldn't see an endocrinologist. I indicated my frustration but that I was willing to set something up. Despite that, when I went to check out, the staff member gave me a letter saying I was being discharged as a patient. I thought everything was fine!
I'm really pissed off. Has this happened to any of you? Things like this are making me more of a crazy libertarian. Our medical establishment is just a bunch of bureaucratic bullshit that runs a protection racket. You got to pay them money or they withhold your drugs and you die.  </t>
        </is>
      </c>
      <c r="D4158" t="n">
        <v>5</v>
      </c>
      <c r="E4158" t="n">
        <v>28</v>
      </c>
      <c r="F4158">
        <f>HYPERLINK("https://www.reddit.com/r/diabetes/comments/7v1l75/discharged_by_new_pcp_because_not_seeing_endo/")</f>
        <v/>
      </c>
      <c r="G4158" t="inlineStr">
        <is>
          <t>2018-02-03 11:47:41</t>
        </is>
      </c>
      <c r="H4158" t="inlineStr">
        <is>
          <t>Type 1</t>
        </is>
      </c>
    </row>
    <row r="4159">
      <c r="A4159" t="inlineStr">
        <is>
          <t>7v1lik</t>
        </is>
      </c>
      <c r="B4159" t="inlineStr">
        <is>
          <t>Insulin and Weight Gain</t>
        </is>
      </c>
      <c r="C4159" t="inlineStr">
        <is>
          <t>Hi everyone, 
I'm about 6 months into my T1D diagnosis. Since diagnosis, I've gained about 7 or 8 pounds. I'm just doing basal insulin (Tresiba 11 units before bed). I have had the occasional high bg day, where I have corrected with 1-2 units of Novolog. I am on a keto diet (roughly 50 total carbs a day). Generally, I track my food, but I'm not that staunch about calorie counting. I've been primarily focused on carb counting. That being said, I don't usually go calorie crazy.
Prior to diagnosis, I worked out and ate clean. I did drop a few pounds in the run-up to diagnosis, so I can account for some of my weight gain as probably water weight from dehydration. However, I do have some concerns regarding long-term insulin use and weight gain. Does anyone care to share their experiences and/or insight on this? Thanks in advance!</t>
        </is>
      </c>
      <c r="D4159" t="n">
        <v>2</v>
      </c>
      <c r="E4159" t="n">
        <v>21</v>
      </c>
      <c r="F4159">
        <f>HYPERLINK("https://www.reddit.com/r/diabetes/comments/7v1lik/insulin_and_weight_gain/")</f>
        <v/>
      </c>
      <c r="G4159" t="inlineStr">
        <is>
          <t>2018-02-03 11:49:00</t>
        </is>
      </c>
      <c r="H4159" t="inlineStr">
        <is>
          <t>Type 1</t>
        </is>
      </c>
    </row>
    <row r="4160">
      <c r="A4160" t="inlineStr">
        <is>
          <t>7v2g9c</t>
        </is>
      </c>
      <c r="B4160" t="inlineStr">
        <is>
          <t>Menstrual cycle and low blood sugar</t>
        </is>
      </c>
      <c r="C4160" t="inlineStr">
        <is>
          <t>I'm on my period and ever since I started, I constantly keep running low. Even after I treat it, I go low again a few hours later. Right now, my blood sugar is 43. I use omnipod. Any suggestions ?</t>
        </is>
      </c>
      <c r="D4160" t="n">
        <v>2</v>
      </c>
      <c r="E4160" t="n">
        <v>7</v>
      </c>
      <c r="F4160">
        <f>HYPERLINK("https://www.reddit.com/r/diabetes/comments/7v2g9c/menstrual_cycle_and_low_blood_sugar/")</f>
        <v/>
      </c>
      <c r="G4160" t="inlineStr">
        <is>
          <t>2018-02-03 14:02:59</t>
        </is>
      </c>
      <c r="H4160" t="inlineStr">
        <is>
          <t>Type 1</t>
        </is>
      </c>
    </row>
    <row r="4161">
      <c r="A4161" t="inlineStr">
        <is>
          <t>7v358x</t>
        </is>
      </c>
      <c r="B4161" t="inlineStr">
        <is>
          <t>Is keto good for people with pre-diabetes?</t>
        </is>
      </c>
      <c r="C4161" t="inlineStr">
        <is>
          <t xml:space="preserve">I have exhibited every symptom of Type I for a few years (excessive thirst, pee 15 times/day, leg muscle spasms, deep lethargic lows, tingling feet/hands, losing weight despite eating a lot, post-meal hunger) but haven't gotten tested/needed any medical correction as it hasn't had any serious impact on my life yet. I know that it is inevitable. I have read that T1 diabetics have effectively used the keto diet to lower their insulin needs. Would this diet also help delay the onset of T1? I'm basically just waiting to go into DKA at this point to start insulin treatment. </t>
        </is>
      </c>
      <c r="D4161" t="n">
        <v>0</v>
      </c>
      <c r="E4161" t="n">
        <v>14</v>
      </c>
      <c r="F4161">
        <f>HYPERLINK("https://www.reddit.com/r/diabetes/comments/7v358x/is_keto_good_for_people_with_prediabetes/")</f>
        <v/>
      </c>
      <c r="G4161" t="inlineStr">
        <is>
          <t>2018-02-03 15:56:11</t>
        </is>
      </c>
      <c r="H4161" t="inlineStr">
        <is>
          <t>Type 1</t>
        </is>
      </c>
    </row>
    <row r="4162">
      <c r="A4162" t="inlineStr">
        <is>
          <t>7v3xyr</t>
        </is>
      </c>
      <c r="B4162" t="inlineStr">
        <is>
          <t>Feeling anxious/discouraged after scary hypo this morning</t>
        </is>
      </c>
      <c r="C4162" t="inlineStr">
        <is>
          <t xml:space="preserve">Hey guys. Long time lurker on this subreddit but I’ve never posted before. Just feeling down and needed some support so I figured I’d reach out instead of keeping it bottled in. 
I had a really scary episode this morning that has left me feeling rattled. Went out to dinner last night and had a rare indulgence of pasta which is always tough to bolus for. I under bolused a little because I’ve been going slightly low over night more frequently lately, then went to bed a couple hrs later with a normal blood sugar. 3am rolls around and I wake up having to pee badly which is usually a sign that I’m high. Check my Dexcom and I’m at 357... yikes!! Guess I didn’t bolus nearly enough. Confirm the reading with my meter, correct using my usual ratio, chug some water, and go back to bed hoping that by the time I wake up it’ll be back within normal range.
Next thing I know it’s 5am, my Dexcom is beeping loudly at me and my blood sugar is dropping very quickly (two down arrows on Dexcom) I’m at 70, which usually would not be that much cause for concern, however I look at my pump and realize I still have almost 4 units of humalog on board. Shit. I immediately start drinking juice, turn my basal off, and wake my boyfriend up in a panic. Over the course of the next 10 mins we basically watched in horror as my blood sugar dropped from 70 to 60 to 50 to 40 to an unreadable “LOW” all while knowing that my humalog is working furiously to keep it going lower. I drank about 60 grams of sugar via apple juice and had 3 glucose tabs and it was just dropping faster than my body could absorb what I was consuming. 
I knew logically that if I could just hang in there for another 10-15 minutes eventually I’d start to come back up but it just felt like an absolute eternity and I honestly debated calling an ambulance or using my glucagon pen.  I was crying and shaking and just couldn’t calm myself down. My boyfriend tried to quiz me on state capitals to keep me awake, I felt so dizzy and like I was going to pass out at any moment. My hands were shaking so bad, and I couldn’t stand at all. After 30 mins from when I first went hypo I started to at least get back into the range where my Dexcom could at least get a reading and my blood sugar started to ever so slightly climb back up from there. Hung around in the 50s 60s for a while and after 45 mins from drinking all that juice I was back up around 150. 
I went hypo again this afternoon but only down to 75 and didn’t have any insulin on board so I was able to easily correct. Basically, I’m physically fine now but I just have been an emotional wreck all day and cannot seem to shake the panicky feeling I had when I realized how fast my BS was dropping. I’m embarrassed at how much I needed my boyfriend and can’t help but think about what would have happened if he wasn’t there. I’m frustrated that I follow every single damn Diabetes rule and one of the rare times that I deviate I end up with near catastrophe. Also I’m pissed that I feel like pasta is ruined now which I know is dramatic haha but that’s how I feel. I generally am a pretty positive person and don’t let Diabetes get me down but I’ve been so anxious all day and going through crisis scenarios in my head on repeat. I just hate feeling like I can’t trust my own body, ya know?  
Ugh :( 
TLDR: Correction for high blood sugar worked a little too well and I went from 357 to sub 40 in 2 hrs. Anxious all day since then. </t>
        </is>
      </c>
      <c r="D4162" t="n">
        <v>6</v>
      </c>
      <c r="E4162" t="n">
        <v>22</v>
      </c>
      <c r="F4162">
        <f>HYPERLINK("https://www.reddit.com/r/diabetes/comments/7v3xyr/feeling_anxiousdiscouraged_after_scary_hypo_this/")</f>
        <v/>
      </c>
      <c r="G4162" t="inlineStr">
        <is>
          <t>2018-02-03 18:14:19</t>
        </is>
      </c>
      <c r="H4162" t="inlineStr">
        <is>
          <t>Type 1</t>
        </is>
      </c>
    </row>
    <row r="4163">
      <c r="A4163" t="inlineStr">
        <is>
          <t>7v83pp</t>
        </is>
      </c>
      <c r="B4163" t="inlineStr">
        <is>
          <t>Pump users: How do you wear your pump? (Clip, case, pocket, etc.)</t>
        </is>
      </c>
      <c r="C4163" t="inlineStr">
        <is>
          <t>How does everyone wear their pump?
Out of curiosity, and also because I'm looking into other options besides just putting my 530G into my pocket like I always have.</t>
        </is>
      </c>
      <c r="D4163" t="n">
        <v>2</v>
      </c>
      <c r="E4163" t="n">
        <v>15</v>
      </c>
      <c r="F4163">
        <f>HYPERLINK("https://www.reddit.com/r/diabetes/comments/7v83pp/pump_users_how_do_you_wear_your_pump_clip_case/")</f>
        <v/>
      </c>
      <c r="G4163" t="inlineStr">
        <is>
          <t>2018-02-04 09:32:53</t>
        </is>
      </c>
      <c r="H4163" t="inlineStr">
        <is>
          <t>Type 1</t>
        </is>
      </c>
    </row>
    <row r="4164">
      <c r="A4164" t="inlineStr">
        <is>
          <t>7v8654</t>
        </is>
      </c>
      <c r="B4164" t="inlineStr">
        <is>
          <t>40lbs down</t>
        </is>
      </c>
      <c r="C4164" t="inlineStr">
        <is>
          <t>This morning my fasting number was 96 and I weighed myself and realized it's been 7 months since Type 2 diagnosis and I'm now down 40lbs! I started at 226 and currently at 185. 
In 6 months I had gotten my a1c from 9.1% to 5.2% and in the last month cut down to 1/day metformin. I'm hoping to be completely off metformin and cholesterol meds and be able to maintain somewhere in the mid 5s. The past few days were a bit rough for me but this was a great realization this morning.
Edit: I eat low carb (usually 30g-50g net) borderline/not quite keto</t>
        </is>
      </c>
      <c r="D4164" t="n">
        <v>49</v>
      </c>
      <c r="E4164" t="n">
        <v>22</v>
      </c>
      <c r="F4164">
        <f>HYPERLINK("https://www.reddit.com/r/diabetes/comments/7v8654/40lbs_down/")</f>
        <v/>
      </c>
      <c r="G4164" t="inlineStr">
        <is>
          <t>2018-02-04 09:42:52</t>
        </is>
      </c>
      <c r="H4164" t="inlineStr">
        <is>
          <t>Type 2</t>
        </is>
      </c>
    </row>
    <row r="4165">
      <c r="A4165" t="inlineStr">
        <is>
          <t>7v930j</t>
        </is>
      </c>
      <c r="B4165" t="inlineStr">
        <is>
          <t>Holy moly Victoza</t>
        </is>
      </c>
      <c r="C4165" t="inlineStr">
        <is>
          <t>I'm a t2 who just started Victoza 0.6 a few days ago, am on Metformin 2000mg also. THE SIDE EFFECTS ARE KILLING ME. I spent ALL of last night alternately vomiting or having awful diarrhea. Imodium does nothing. I just read here that people have had luck switching the injection site to their thigh rather than belly -- I am going to try that. Am also taking a probiotic and eating yoghurt. Does anyone else have anything that helped them through this, that I may have missed? I really, really want this medication to work, but I need this to be over!</t>
        </is>
      </c>
      <c r="D4165" t="n">
        <v>2</v>
      </c>
      <c r="E4165" t="n">
        <v>15</v>
      </c>
      <c r="F4165">
        <f>HYPERLINK("https://www.reddit.com/r/diabetes/comments/7v930j/holy_moly_victoza/")</f>
        <v/>
      </c>
      <c r="G4165" t="inlineStr">
        <is>
          <t>2018-02-04 11:53:14</t>
        </is>
      </c>
      <c r="H4165" t="inlineStr">
        <is>
          <t>Type 2</t>
        </is>
      </c>
    </row>
    <row r="4166">
      <c r="A4166" t="inlineStr">
        <is>
          <t>7veh7i</t>
        </is>
      </c>
      <c r="B4166" t="inlineStr">
        <is>
          <t>[Research] Trainee clinical psychologist recruiting adults (18+) with type 1 diabetes living in the UK for an online research study</t>
        </is>
      </c>
      <c r="C4166" t="inlineStr">
        <is>
          <t xml:space="preserve">Hi all, 
As part of my doctorate degree in Clinical Psychology, I am carrying out a research project through the University of East Anglia (UEA) looking at some of the reasons that people with type 1 diabetes might find it difficult to take their insulin as prescribed. The research will involve completing online, anonymous questionnaires that should take no more than 45 minutes and can be completed from home (it's likely to be quicker, but you can also stop and come back to the survey at a later point if you like). Those who participate will be in with a chance to win a £25 amazon.co.uk gift voucher. 
If you are aged 18 or older, living in the UK, and you have been diagnosed with type 1 diabetes and prescribed an insulin regime for at least 1 year, we would love to hear from you! 
We are interested in gathering information about the reasons that people with type 1 diabetes may skip doses or take more or less insulin than prescribed or recommended. We know from previous research that this can be quite complicated, and that there may be many reasons for not taking your insulin as you know that you should at times.
For this study, we are particularly interested in eating attitudes and behaviours, how you feel about your body, any distress experienced as a result of having diabetes and other reasons that you might suggest for missing or taking an altered dose of insulin. The aim of the study is to get a better understanding of whether any of these things might make managing insulin more difficult. Understanding these factors in greater depth may help inform treatment options in the future.
If you are interested in taking part, please follow this link for more information.
https://uea.onlinesurveys.ac.uk/insulin-and-eating
Or you can email me directly at v.matthews@uea.ac.uk if you have any questions or comments. I'll also check back here regularly. 
Thank you for reading this far, and for your interest!
Edited to add: I am of course happy to share the outcome of the research here once the data has been collected and analysed. There's also an opportunity to provide your email address so that you will be directly emailed a brief account of the findings. </t>
        </is>
      </c>
      <c r="D4166" t="n">
        <v>10</v>
      </c>
      <c r="E4166" t="n">
        <v>4</v>
      </c>
      <c r="F4166">
        <f>HYPERLINK("https://www.reddit.com/r/diabetes/comments/7veh7i/research_trainee_clinical_psychologist_recruiting/")</f>
        <v/>
      </c>
      <c r="G4166" t="inlineStr">
        <is>
          <t>2018-02-05 04:37:38</t>
        </is>
      </c>
      <c r="H4166" t="inlineStr">
        <is>
          <t>Type 1</t>
        </is>
      </c>
    </row>
    <row r="4167">
      <c r="A4167" t="inlineStr">
        <is>
          <t>7vf8iy</t>
        </is>
      </c>
      <c r="B4167" t="inlineStr">
        <is>
          <t>Car rental restrictions in US as type-1 Diabetic?</t>
        </is>
      </c>
      <c r="C4167" t="inlineStr">
        <is>
          <t>I am travelling to US soon and I would like to rent a car while in there. Is there any known restrictions in US regarding car rental and its insurance policies as T1 diabetic?</t>
        </is>
      </c>
      <c r="D4167" t="n">
        <v>3</v>
      </c>
      <c r="E4167" t="n">
        <v>7</v>
      </c>
      <c r="F4167">
        <f>HYPERLINK("https://www.reddit.com/r/diabetes/comments/7vf8iy/car_rental_restrictions_in_us_as_type1_diabetic/")</f>
        <v/>
      </c>
      <c r="G4167" t="inlineStr">
        <is>
          <t>2018-02-05 06:54:26</t>
        </is>
      </c>
      <c r="H4167" t="inlineStr">
        <is>
          <t>Type 1</t>
        </is>
      </c>
    </row>
    <row r="4168">
      <c r="A4168" t="inlineStr">
        <is>
          <t>7vikhi</t>
        </is>
      </c>
      <c r="B4168" t="inlineStr">
        <is>
          <t>I'm getting my wisdom teeth (and a few others) removed in about a week. What kind of foods can I eat during recovery as a Type 1?</t>
        </is>
      </c>
      <c r="C4168" t="inlineStr">
        <is>
          <t>I guess my title is a little poorly phrased, but I'm a bit nervous about it.
I know soft foods and liquids are sorta what I have to eat when I'll only be able to open my mouth half an inch at best, so which sort of foods in particular should I stick to during the recovery process to not screw around with my diabetes?
Thanks guys.</t>
        </is>
      </c>
      <c r="D4168" t="n">
        <v>2</v>
      </c>
      <c r="E4168" t="n">
        <v>21</v>
      </c>
      <c r="F4168">
        <f>HYPERLINK("https://www.reddit.com/r/diabetes/comments/7vikhi/im_getting_my_wisdom_teeth_and_a_few_others/")</f>
        <v/>
      </c>
      <c r="G4168" t="inlineStr">
        <is>
          <t>2018-02-05 14:24:32</t>
        </is>
      </c>
      <c r="H4168" t="inlineStr">
        <is>
          <t>Type 1</t>
        </is>
      </c>
    </row>
    <row r="4169">
      <c r="A4169" t="inlineStr">
        <is>
          <t>7vk1h0</t>
        </is>
      </c>
      <c r="B4169" t="inlineStr">
        <is>
          <t>Insulin expiry</t>
        </is>
      </c>
      <c r="C4169" t="inlineStr">
        <is>
          <t>How can you tell if insulin has gone bad? I have some vials with an expiration date of sept 2017, but they have been working fine for me until recently. I started a new reservoir and infusion set and noticed I was higher than I expected. I figured it might be a bad set, but when I replaced it I was still pretty high. At a meal I took twice the amount of the suggested bolus and now I’m still about 140, but not as bad as before. Do I just need fresh insulin or is there something else I can try?</t>
        </is>
      </c>
      <c r="D4169" t="n">
        <v>1</v>
      </c>
      <c r="E4169" t="n">
        <v>2</v>
      </c>
      <c r="F4169">
        <f>HYPERLINK("https://www.reddit.com/r/diabetes/comments/7vk1h0/insulin_expiry/")</f>
        <v/>
      </c>
      <c r="G4169" t="inlineStr">
        <is>
          <t>2018-02-05 18:05:53</t>
        </is>
      </c>
      <c r="H4169" t="inlineStr">
        <is>
          <t>Type 1</t>
        </is>
      </c>
    </row>
    <row r="4170">
      <c r="A4170" t="inlineStr">
        <is>
          <t>7vmni2</t>
        </is>
      </c>
      <c r="B4170" t="inlineStr">
        <is>
          <t>Struggling with type 1 and anxiety</t>
        </is>
      </c>
      <c r="C4170" t="inlineStr">
        <is>
          <t>I am a 23 year old t1, diagnosed at 10. 
I went through all of high school and university with very little anxiety regarding the diabetes, I used to do a lot of sport, work out and never worry about low blood readings. However recently I've been suffering with extreme anxiety regarding my diabetes which means I'm having constantly high blood glucose levels as I'm scared of having hypos, it's holding me back in a lot a areas such as looking for a new job, doing exercise and social interaction as I'm just constantly worried about hypos.
 I read a lot about people being high having bad control because they're ignoring their diabetes but I seem to have the opposite issue, I'm testing far too much (I have a freestyle libre on NHS) and I'm not comfortable unless my blood sugar is above about 13 mmols. Has anyone ever had this issue and can offer advice? Sorry for the essay I'm just sick of having this control my life. 
Tl:Dr. Constantly struggling with hypo anxiety, effecting all aspects of my life and don't feel comfortable at a healthy blood glucose level, looking for advice</t>
        </is>
      </c>
      <c r="D4170" t="n">
        <v>15</v>
      </c>
      <c r="E4170" t="n">
        <v>21</v>
      </c>
      <c r="F4170">
        <f>HYPERLINK("https://www.reddit.com/r/diabetes/comments/7vmni2/struggling_with_type_1_and_anxiety/")</f>
        <v/>
      </c>
      <c r="G4170" t="inlineStr">
        <is>
          <t>2018-02-06 03:11:27</t>
        </is>
      </c>
      <c r="H4170" t="inlineStr">
        <is>
          <t>Type 1</t>
        </is>
      </c>
    </row>
    <row r="4171">
      <c r="A4171" t="inlineStr">
        <is>
          <t>7voh5h</t>
        </is>
      </c>
      <c r="B4171" t="inlineStr">
        <is>
          <t>(Type 1) Travelling the states and Canada for a month...what do?</t>
        </is>
      </c>
      <c r="C4171" t="inlineStr">
        <is>
          <t>Hi folks, I'm from the UK and travelling Canada and the US for a little over a month soon. Health/travel insurance is getting sorted as we speak, but I just wondered what to do about travelling with insulin for such a long time, as it has to be kept cold? Also any other tips for travelling with diabetes that I just might not have thought of?  
Thanks guys</t>
        </is>
      </c>
      <c r="D4171" t="n">
        <v>4</v>
      </c>
      <c r="E4171" t="n">
        <v>12</v>
      </c>
      <c r="F4171">
        <f>HYPERLINK("https://www.reddit.com/r/diabetes/comments/7voh5h/type_1_travelling_the_states_and_canada_for_a/")</f>
        <v/>
      </c>
      <c r="G4171" t="inlineStr">
        <is>
          <t>2018-02-06 08:27:34</t>
        </is>
      </c>
      <c r="H4171" t="inlineStr">
        <is>
          <t>Type 1</t>
        </is>
      </c>
    </row>
    <row r="4172">
      <c r="A4172" t="inlineStr">
        <is>
          <t>7voyu1</t>
        </is>
      </c>
      <c r="B4172" t="inlineStr">
        <is>
          <t>xDrip+ &amp;amp; Nightscout - Initial Setup Question</t>
        </is>
      </c>
      <c r="C4172" t="inlineStr">
        <is>
          <t>Long time lurker but first time poster here. I recently discovered xDrip+ and Nightscout and figured I'd try and set everything up and see how it compares to the standard Dexcom android app. My current setup is as follows:
- t:slim x2
- dexcom g5
I know that the Dexcom g5 transmitter can only connect to 2 Bluetooth devices at a time so I disabled and turned off the official Dexcom g5 mobile app to allow xDrip+ to connect to the transmitter. This worked and I started receiving data on the xDrip+ app. However, when I input my calibration numbers into the xDrip+ app they were never transferred to my t:slim x2 pump. Is there a way to have both devices display the same BG value? Or is xDrip+ running its own algorithms and therefore the numbers won't match and this is normal? It would be great if they did align in case I leave my phone somewhere I don't want to have 2 different data sources.</t>
        </is>
      </c>
      <c r="D4172" t="n">
        <v>3</v>
      </c>
      <c r="E4172" t="n">
        <v>2</v>
      </c>
      <c r="F4172">
        <f>HYPERLINK("https://www.reddit.com/r/diabetes/comments/7voyu1/xdrip_nightscout_initial_setup_question/")</f>
        <v/>
      </c>
      <c r="G4172" t="inlineStr">
        <is>
          <t>2018-02-06 09:32:05</t>
        </is>
      </c>
      <c r="H4172" t="inlineStr">
        <is>
          <t>Type 1</t>
        </is>
      </c>
    </row>
    <row r="4173">
      <c r="A4173" t="inlineStr">
        <is>
          <t>7vtkie</t>
        </is>
      </c>
      <c r="B4173" t="inlineStr">
        <is>
          <t>No Honeymoon?</t>
        </is>
      </c>
      <c r="C4173" t="inlineStr">
        <is>
          <t>Type 1 recently diagnosed in January. I've been working to get my carb and correction ratios right and have noticed that they seem a lot higher than anything I would consider honeymooning.  Around 1-15 carb and 1-40 correction. I had symptoms for months before finally getting diagnosed so maybe my pancreas is completely squat already. What was it like for you guys in the beginning and is it common to just not have a honeymoon phase? Any info appreciated (=</t>
        </is>
      </c>
      <c r="D4173" t="n">
        <v>1</v>
      </c>
      <c r="E4173" t="n">
        <v>5</v>
      </c>
      <c r="F4173">
        <f>HYPERLINK("https://www.reddit.com/r/diabetes/comments/7vtkie/no_honeymoon/")</f>
        <v/>
      </c>
      <c r="G4173" t="inlineStr">
        <is>
          <t>2018-02-06 20:27:48</t>
        </is>
      </c>
      <c r="H4173" t="inlineStr">
        <is>
          <t>Type 1</t>
        </is>
      </c>
    </row>
    <row r="4174">
      <c r="A4174" t="inlineStr">
        <is>
          <t>7vtkws</t>
        </is>
      </c>
      <c r="B4174" t="inlineStr">
        <is>
          <t>For those using the Guardian sensor 3</t>
        </is>
      </c>
      <c r="C4174" t="inlineStr">
        <is>
          <t xml:space="preserve">Do you only use the sensor for the recommended time frame? Or do you push the sensor beyond the recommended usage? How do you do so safely? </t>
        </is>
      </c>
      <c r="D4174" t="n">
        <v>1</v>
      </c>
      <c r="E4174" t="n">
        <v>2</v>
      </c>
      <c r="F4174">
        <f>HYPERLINK("https://www.reddit.com/r/diabetes/comments/7vtkws/for_those_using_the_guardian_sensor_3/")</f>
        <v/>
      </c>
      <c r="G4174" t="inlineStr">
        <is>
          <t>2018-02-06 20:29:46</t>
        </is>
      </c>
      <c r="H4174" t="inlineStr">
        <is>
          <t>Type 1</t>
        </is>
      </c>
    </row>
    <row r="4175">
      <c r="A4175" t="inlineStr">
        <is>
          <t>7vxoem</t>
        </is>
      </c>
      <c r="B4175" t="inlineStr">
        <is>
          <t>[T1] Insulin doesn't bring my BG down unless I excercise.</t>
        </is>
      </c>
      <c r="C4175" t="inlineStr">
        <is>
          <t>I've had this problem for past week or so where the insulin I use (NovoRapid) is very ineffective unless I (at minimum) go for a 30 minute power walk each day. My current ratio is 1 unit per 10g of carbs and my long acting insulin doses (Levemir) are 8 in the morning and 8 in the evening. 
For example, I eat a meal with 60g of carbs. My starting BG is 6.0. I inject 6 units of insulin. 2 hours later my blood sugar is 14. I inject 4 units to correct. 2 hours after this my BG has dropped to, at best, 10. 
Worst was when my BG had risen to 17. I got angry and injected 10 units to correct (way too much I know, but I was going to closely monitor my BG to avoid going too low). 3 hours later my BG was 12. 
Only fix to this seems to be excercise. After the 30 minute power walk my BG stays low for the rest of the day but if I go even for a day without doing any excercise this issue comes back.
I was diagnosed 10 months ago so could this be the end of my honeymoon period?</t>
        </is>
      </c>
      <c r="D4175" t="n">
        <v>21</v>
      </c>
      <c r="E4175" t="n">
        <v>42</v>
      </c>
      <c r="F4175">
        <f>HYPERLINK("https://www.reddit.com/r/diabetes/comments/7vxoem/t1_insulin_doesnt_bring_my_bg_down_unless_i/")</f>
        <v/>
      </c>
      <c r="G4175" t="inlineStr">
        <is>
          <t>2018-02-07 09:20:44</t>
        </is>
      </c>
      <c r="H4175" t="inlineStr">
        <is>
          <t>Type 1</t>
        </is>
      </c>
    </row>
    <row r="4176">
      <c r="A4176" t="inlineStr">
        <is>
          <t>7w0wyk</t>
        </is>
      </c>
      <c r="B4176" t="inlineStr">
        <is>
          <t>Splitting Lantus dose?</t>
        </is>
      </c>
      <c r="C4176" t="inlineStr">
        <is>
          <t>I know people have discussed splitting Lantus doses on this sub, but I wanted to get some more info on this from people who have tried it. I have had some fluctuating blood sugars (due to pregnancy) and have been doing a lot of tweaking with the regimen I've used for the past 15+ years. I typically take my full dose of Lantus after dinner. When I select a dose that works the best for my daytime blood sugars, I tend to run low at night. If I lower the dose back down to the level where I don't wake up with hypos, I tend to run higher throughout the day. I wondered if splitting my dose would help with this. Maybe 60% in the AM and 40% in the PM? Has anyone had this similar issue and found a way to correct it?</t>
        </is>
      </c>
      <c r="D4176" t="n">
        <v>1</v>
      </c>
      <c r="E4176" t="n">
        <v>9</v>
      </c>
      <c r="F4176">
        <f>HYPERLINK("https://www.reddit.com/r/diabetes/comments/7w0wyk/splitting_lantus_dose/")</f>
        <v/>
      </c>
      <c r="G4176" t="inlineStr">
        <is>
          <t>2018-02-07 16:39:23</t>
        </is>
      </c>
      <c r="H4176" t="inlineStr">
        <is>
          <t>Type 1</t>
        </is>
      </c>
    </row>
    <row r="4177">
      <c r="A4177" t="inlineStr">
        <is>
          <t>7w2rm4</t>
        </is>
      </c>
      <c r="B4177" t="inlineStr">
        <is>
          <t>What’s making my sugar high?</t>
        </is>
      </c>
      <c r="C4177" t="inlineStr">
        <is>
          <t>So I’m a 16 year old boy, 5’11 and fit, and I eat a ton. Im skinny but because I’m young and growing I’m constantly shoving food down my throat. My A1C has been 8.0 for the past couple years, it had been in the 6s all till then. Are there others out there that eat tons and are able to control their sugar so it’s just a matter of dosing? Or does everyone who has good sugar just have more discipline when eating?</t>
        </is>
      </c>
      <c r="D4177" t="n">
        <v>3</v>
      </c>
      <c r="E4177" t="n">
        <v>9</v>
      </c>
      <c r="F4177">
        <f>HYPERLINK("https://www.reddit.com/r/diabetes/comments/7w2rm4/whats_making_my_sugar_high/")</f>
        <v/>
      </c>
      <c r="G4177" t="inlineStr">
        <is>
          <t>2018-02-07 21:56:38</t>
        </is>
      </c>
      <c r="H4177" t="inlineStr">
        <is>
          <t>Type 1</t>
        </is>
      </c>
    </row>
    <row r="4178">
      <c r="A4178" t="inlineStr">
        <is>
          <t>7w5p44</t>
        </is>
      </c>
      <c r="B4178" t="inlineStr">
        <is>
          <t>What is the modern consensus on Questbar?</t>
        </is>
      </c>
      <c r="C4178" t="inlineStr">
        <is>
          <t>Years ago this seemed like a debated topic.  Some of you used them and others did not.  New products from Questbar have since come out.  I would love to hear everyone's opinions and usage of Questbar.</t>
        </is>
      </c>
      <c r="D4178" t="n">
        <v>1</v>
      </c>
      <c r="E4178" t="n">
        <v>11</v>
      </c>
      <c r="F4178">
        <f>HYPERLINK("https://www.reddit.com/r/diabetes/comments/7w5p44/what_is_the_modern_consensus_on_questbar/")</f>
        <v/>
      </c>
      <c r="G4178" t="inlineStr">
        <is>
          <t>2018-02-08 07:49:42</t>
        </is>
      </c>
      <c r="H4178" t="inlineStr">
        <is>
          <t>Type 2</t>
        </is>
      </c>
    </row>
    <row r="4179">
      <c r="A4179" t="inlineStr">
        <is>
          <t>7w6ijk</t>
        </is>
      </c>
      <c r="B4179" t="inlineStr">
        <is>
          <t>I have recently been diagnosed with type 2 diabetes. I'm hoping someone can help me...</t>
        </is>
      </c>
      <c r="C4179" t="inlineStr">
        <is>
          <t xml:space="preserve">I am on Metformin 500mg a day. My appetite is DEAD. I am hungry but cannot handle the thought of eating. I am forcing myself to eat because I get sugar lows if I don't. I have been losing weight since June last year due to gym and diet. I am now losing quite quickly but I suppose that is to be expected because of the drastic change in diet. Is it normal to have no appetite? I have very high cholesterol because I stupidly followed a fad diet so I am on meds now to get it down. Has anyone got any advice that can help me? Also I live in Zimbabwe and there is none of the fancy foods, supplements etc. It is literally veggies and white meat for me. Thank you in advance! </t>
        </is>
      </c>
      <c r="D4179" t="n">
        <v>1</v>
      </c>
      <c r="E4179" t="n">
        <v>2</v>
      </c>
      <c r="F4179">
        <f>HYPERLINK("https://www.reddit.com/r/diabetes/comments/7w6ijk/i_have_recently_been_diagnosed_with_type_2/")</f>
        <v/>
      </c>
      <c r="G4179" t="inlineStr">
        <is>
          <t>2018-02-08 09:35:39</t>
        </is>
      </c>
      <c r="H4179" t="inlineStr">
        <is>
          <t>Type 2</t>
        </is>
      </c>
    </row>
    <row r="4180">
      <c r="A4180" t="inlineStr">
        <is>
          <t>7w7jhm</t>
        </is>
      </c>
      <c r="B4180" t="inlineStr">
        <is>
          <t>Occasional, inconsistent, honeymoon phases? Addison's?</t>
        </is>
      </c>
      <c r="C4180" t="inlineStr">
        <is>
          <t xml:space="preserve">I'm 2.5-ish years since diagnosis, and never had a long-term "honeymoon" phase where I could get by on low insulin, or where I got a little bit of help from my body. My dosage levels have generally been pretty constant since diagnosis.
However, I do get occasional, seemingly random, periods of 3-4 days where my insulin requirements plummet and I'm extremely sensitive. During these days, my basal drops by about 25% and my bolus insulin drops by usually 30-40%, but it is extremely unpredictable.
Is this common or typical honeymoon behavior?
I'm worried that I may have Addison's and I want to ask my endo to check for it. I know it isn't common, and I don't want to be laughed out of the room. I'm pretty well conditioned to believe that doctors are too busy to actually address a patient's concerns and genuinely don't care about their patients. </t>
        </is>
      </c>
      <c r="D4180" t="n">
        <v>1</v>
      </c>
      <c r="E4180" t="n">
        <v>3</v>
      </c>
      <c r="F4180">
        <f>HYPERLINK("https://www.reddit.com/r/diabetes/comments/7w7jhm/occasional_inconsistent_honeymoon_phases_addisons/")</f>
        <v/>
      </c>
      <c r="G4180" t="inlineStr">
        <is>
          <t>2018-02-08 11:47:42</t>
        </is>
      </c>
      <c r="H4180" t="inlineStr">
        <is>
          <t>Type 1</t>
        </is>
      </c>
    </row>
    <row r="4181">
      <c r="A4181" t="inlineStr">
        <is>
          <t>7w7kbo</t>
        </is>
      </c>
      <c r="B4181" t="inlineStr">
        <is>
          <t>T1 blood circulation problems</t>
        </is>
      </c>
      <c r="C4181" t="inlineStr">
        <is>
          <t>I was diagnosed with T1 4 month ago with an A1c of 11.5%. Since my family can't afford a good medical service (at the present moment) we are going to a family doctor to treat me. I was given acarbose instead of insulin for 3 weeks (no more meds since then) which helped me drop my BS really quick, I started to do exercise 5 times a week and taking my dog for a walk every day for about 2 km every day. I cut carbs and fats immediately to really low amounts. With foods every 3 hrs and trying to keep my calories between 1500 - 2000 a day I been able to keep my BS from 70-80 in the mornings and 90-110 throughout the day for the past 2 months. The problem that makes me worry is my blood circulation as I get constant tingles when I sit down on the toilet almost instantaneously or when I put one leg over another. When I was diagnosed my hands had some purple spots and had such a dry skin they bleed, fortunately, this has gone to "normal" yet sometimes the purple spots keep coming out if there is too much cold. I know I need to go to an endo and have some studies done, but we don't have the money at the present moment. 
If anyone has any tips or suggestions on how to make my blood circulation better, while I save up for an endo, I will much appreciate it.</t>
        </is>
      </c>
      <c r="D4181" t="n">
        <v>7</v>
      </c>
      <c r="E4181" t="n">
        <v>17</v>
      </c>
      <c r="F4181">
        <f>HYPERLINK("https://www.reddit.com/r/diabetes/comments/7w7kbo/t1_blood_circulation_problems/")</f>
        <v/>
      </c>
      <c r="G4181" t="inlineStr">
        <is>
          <t>2018-02-08 11:50:41</t>
        </is>
      </c>
      <c r="H4181" t="inlineStr">
        <is>
          <t>Type 1</t>
        </is>
      </c>
    </row>
    <row r="4182">
      <c r="A4182" t="inlineStr">
        <is>
          <t>7w8l5w</t>
        </is>
      </c>
      <c r="B4182" t="inlineStr">
        <is>
          <t>Does anyone have a decent handle on why the incidence of T1 varies so dramatically even amongst geographically/culturally close countries?</t>
        </is>
      </c>
      <c r="C4182" t="inlineStr">
        <is>
          <t>See this list for instance https://www.diabetes.org.uk/about_us/news_landing_page/uk-has-worlds-5th-highest-rate-of-type-1-diabetes-in-children/list-of-countries-by-incidence-of-type-1-diabetes-ages-0-to-14.</t>
        </is>
      </c>
      <c r="D4182" t="n">
        <v>1</v>
      </c>
      <c r="E4182" t="n">
        <v>9</v>
      </c>
      <c r="F4182">
        <f>HYPERLINK("https://www.reddit.com/r/diabetes/comments/7w8l5w/does_anyone_have_a_decent_handle_on_why_the/")</f>
        <v/>
      </c>
      <c r="G4182" t="inlineStr">
        <is>
          <t>2018-02-08 14:05:47</t>
        </is>
      </c>
      <c r="H4182" t="inlineStr">
        <is>
          <t>Type 1</t>
        </is>
      </c>
    </row>
    <row r="4183">
      <c r="A4183" t="inlineStr">
        <is>
          <t>7w8svh</t>
        </is>
      </c>
      <c r="B4183" t="inlineStr">
        <is>
          <t>Metformin -- Necessary for Keto diet?</t>
        </is>
      </c>
      <c r="C4183" t="inlineStr">
        <is>
          <t>I have been diabetic for a little over a year now and fully graps the foods that I ought to avoid. I am on 500mg of metformin. I have not succeeded in significantly reducing my A1C for being carless and undisciplined. I have thought of doing a Keto diet since it has done wonders for most people. From what I see, with exercise and little to no sugary foods will help drop my A1C by a ton.
I am running out of Metformin soon and I'll need to do another A1c test, but money is short and I have no health insurance. Should I simply stop taking Metformin while I do the keto diet ? (Because why take it to help prevents spikes if I can do it on my own by avoiding foods that causes it?)</t>
        </is>
      </c>
      <c r="D4183" t="n">
        <v>3</v>
      </c>
      <c r="E4183" t="n">
        <v>11</v>
      </c>
      <c r="F4183">
        <f>HYPERLINK("https://www.reddit.com/r/diabetes/comments/7w8svh/metformin_necessary_for_keto_diet/")</f>
        <v/>
      </c>
      <c r="G4183" t="inlineStr">
        <is>
          <t>2018-02-08 14:35:27</t>
        </is>
      </c>
      <c r="H4183" t="inlineStr">
        <is>
          <t>Type 2</t>
        </is>
      </c>
    </row>
    <row r="4184">
      <c r="A4184" t="inlineStr">
        <is>
          <t>7w9s5f</t>
        </is>
      </c>
      <c r="B4184" t="inlineStr">
        <is>
          <t>Help! Pregnant and HUNGRY</t>
        </is>
      </c>
      <c r="C4184" t="inlineStr">
        <is>
          <t>I was diagnosed in August at almost 29 years old. I had a miscarriage that led to the discovery of my diabetes. 
In any case, I am now controlling my sugars with levemir and humalog. I dropped my a1c from 10.5 to 7 and discovered a few weeks ago that I’m pregnant.
I’m about 8 weeks along and craving all kinds of things I “shouldn’t” be eating. I was wondering if any moms have advice for snacks to curb sweet (think cake and chocolate) and savory (like French fries and fresh bread) cravings? I’m just so hungry all the time and feel like I’m not allowed to feed any cravings at all. Help!</t>
        </is>
      </c>
      <c r="D4184" t="n">
        <v>8</v>
      </c>
      <c r="E4184" t="n">
        <v>10</v>
      </c>
      <c r="F4184">
        <f>HYPERLINK("https://www.reddit.com/r/diabetes/comments/7w9s5f/help_pregnant_and_hungry/")</f>
        <v/>
      </c>
      <c r="G4184" t="inlineStr">
        <is>
          <t>2018-02-08 17:04:05</t>
        </is>
      </c>
      <c r="H4184" t="inlineStr">
        <is>
          <t>Type 1</t>
        </is>
      </c>
    </row>
    <row r="4185">
      <c r="A4185" t="inlineStr">
        <is>
          <t>7w9yw4</t>
        </is>
      </c>
      <c r="B4185" t="inlineStr">
        <is>
          <t>DiaBits</t>
        </is>
      </c>
      <c r="C4185" t="inlineStr">
        <is>
          <t xml:space="preserve">Hi All, 
We've developed an app for CGM users to see their future glucose fluctuations an hour ahead of time using machine learning. If you have a Dexcom G5 or Nightscout please give the app a go and let us know if you find it useful in managing your glucose fluctuations.  
https://itunes.apple.com/us/app/docto/id965600611?ls=1&amp;amp;mt=8
You will see your predictions right away but the app has a learning period of 2/3 weeks for the predictions to reach maximum accuracy. </t>
        </is>
      </c>
      <c r="D4185" t="n">
        <v>16</v>
      </c>
      <c r="E4185" t="n">
        <v>23</v>
      </c>
      <c r="F4185">
        <f>HYPERLINK("https://www.reddit.com/r/diabetes/comments/7w9yw4/diabits/")</f>
        <v/>
      </c>
      <c r="G4185" t="inlineStr">
        <is>
          <t>2018-02-08 17:34:25</t>
        </is>
      </c>
      <c r="H4185" t="inlineStr">
        <is>
          <t>Type 1</t>
        </is>
      </c>
    </row>
    <row r="4186">
      <c r="A4186" t="inlineStr">
        <is>
          <t>7wbods</t>
        </is>
      </c>
      <c r="B4186" t="inlineStr">
        <is>
          <t>Viacyte VC-01</t>
        </is>
      </c>
      <c r="C4186" t="inlineStr">
        <is>
          <t xml:space="preserve">http://viacyte.com/archives/press-releases/viacyte-selected-as-a-finalist-for-connects-30th-annual-most-innovative-new-product-awards
</t>
        </is>
      </c>
      <c r="D4186" t="n">
        <v>3</v>
      </c>
      <c r="E4186" t="n">
        <v>3</v>
      </c>
      <c r="F4186">
        <f>HYPERLINK("https://www.reddit.com/r/diabetes/comments/7wbods/viacyte_vc01/")</f>
        <v/>
      </c>
      <c r="G4186" t="inlineStr">
        <is>
          <t>2018-02-08 22:42:03</t>
        </is>
      </c>
      <c r="H4186" t="inlineStr">
        <is>
          <t>Type 1</t>
        </is>
      </c>
    </row>
    <row r="4187">
      <c r="A4187" t="inlineStr">
        <is>
          <t>7wbpqk</t>
        </is>
      </c>
      <c r="B4187" t="inlineStr">
        <is>
          <t>Emergecy medtronic users</t>
        </is>
      </c>
      <c r="C4187" t="inlineStr">
        <is>
          <t>I recently just moved to Pasadena and I forgot to bring my infusion sets with me. I have two more and my benefits do not start until March 1st. Does anyone have sets they are willing to give or sell? I have the reservoirs just no infusion sets</t>
        </is>
      </c>
      <c r="D4187" t="n">
        <v>7</v>
      </c>
      <c r="E4187" t="n">
        <v>8</v>
      </c>
      <c r="F4187">
        <f>HYPERLINK("https://www.reddit.com/r/diabetes/comments/7wbpqk/emergecy_medtronic_users/")</f>
        <v/>
      </c>
      <c r="G4187" t="inlineStr">
        <is>
          <t>2018-02-08 22:50:56</t>
        </is>
      </c>
      <c r="H4187" t="inlineStr">
        <is>
          <t>Type 1</t>
        </is>
      </c>
    </row>
    <row r="4188">
      <c r="A4188" t="inlineStr">
        <is>
          <t>7wdlt7</t>
        </is>
      </c>
      <c r="B4188" t="inlineStr">
        <is>
          <t>[t1/24m] PSA: most people don’t know it, but almost every manufacturer of insulin or test strips makes a discount card that is free, and could cut your cost in half or down to nothing. I get my toujeo for free every month. Please get this to the top</t>
        </is>
      </c>
      <c r="C4188" t="inlineStr">
        <is>
          <t xml:space="preserve">https://www.humalog.com/u-200-kwikpen/#savings-card
https://www.toujeo.com/toujeo-savings-card-coupon-and-support
https://www.novologpro.com/prescribing/prescription-savings.html
</t>
        </is>
      </c>
      <c r="D4188" t="n">
        <v>255</v>
      </c>
      <c r="E4188" t="n">
        <v>46</v>
      </c>
      <c r="F4188">
        <f>HYPERLINK("https://www.reddit.com/r/diabetes/comments/7wdlt7/t124m_psa_most_people_dont_know_it_but_almost/")</f>
        <v/>
      </c>
      <c r="G4188" t="inlineStr">
        <is>
          <t>2018-02-09 06:02:32</t>
        </is>
      </c>
      <c r="H4188" t="inlineStr">
        <is>
          <t>Type 1</t>
        </is>
      </c>
    </row>
    <row r="4189">
      <c r="A4189" t="inlineStr">
        <is>
          <t>7wea8l</t>
        </is>
      </c>
      <c r="B4189" t="inlineStr">
        <is>
          <t>What are your favorite non-traditional low blood sugar treatments?</t>
        </is>
      </c>
      <c r="C4189" t="inlineStr">
        <is>
          <t xml:space="preserve">Hello! I have been T1 for almost 15 years and have probably consumed thousands of juice boxes, glucose tabs, and cups of warm sugar water (desperate times call for desperate measures) in that time. 
I'm always looking for new and different ways to treat low blood sugar. I sometimes feel like if I have to look at another juice box I'm gonna lose it. 
I exercise frequently, often outside (running, hiking, skiing, etc), so the more portable the better. I recently discovered Clif Bloks which are pretty sugar dense - but also expensive. 
</t>
        </is>
      </c>
      <c r="D4189" t="n">
        <v>2</v>
      </c>
      <c r="E4189" t="n">
        <v>20</v>
      </c>
      <c r="F4189">
        <f>HYPERLINK("https://www.reddit.com/r/diabetes/comments/7wea8l/what_are_your_favorite_nontraditional_low_blood/")</f>
        <v/>
      </c>
      <c r="G4189" t="inlineStr">
        <is>
          <t>2018-02-09 07:47:17</t>
        </is>
      </c>
      <c r="H4189" t="inlineStr">
        <is>
          <t>Type 1</t>
        </is>
      </c>
    </row>
    <row r="4190">
      <c r="A4190" t="inlineStr">
        <is>
          <t>7wg405</t>
        </is>
      </c>
      <c r="B4190" t="inlineStr">
        <is>
          <t>Type 1 Horror Stories</t>
        </is>
      </c>
      <c r="C4190" t="inlineStr">
        <is>
          <t xml:space="preserve">I was diagnosed at the age of 7 (I’ll be 19 in a month). 
Most of the horrible stories I have involve running out of insulin on a holiday (where all the stores are closed), going into DKA, having the ER nurse break my pump, being called out/bullied for having a pump, teachers/professors not understanding diabetes, traveling, having the pump start beeping during an exam/test. Etc. 
What are some of your Type 1 horror stories? </t>
        </is>
      </c>
      <c r="D4190" t="n">
        <v>3</v>
      </c>
      <c r="E4190" t="n">
        <v>46</v>
      </c>
      <c r="F4190">
        <f>HYPERLINK("https://www.reddit.com/r/diabetes/comments/7wg405/type_1_horror_stories/")</f>
        <v/>
      </c>
      <c r="G4190" t="inlineStr">
        <is>
          <t>2018-02-09 11:56:09</t>
        </is>
      </c>
      <c r="H4190" t="inlineStr">
        <is>
          <t>Type 1</t>
        </is>
      </c>
    </row>
    <row r="4191">
      <c r="A4191" t="inlineStr">
        <is>
          <t>7wh2iy</t>
        </is>
      </c>
      <c r="B4191" t="inlineStr">
        <is>
          <t>Selfless appreciation post for myself... I'm finally doing well!</t>
        </is>
      </c>
      <c r="C4191" t="inlineStr">
        <is>
          <t>I'm on track to receive my first single digit a1c in 15 years. Yes I know this is a long time, and it's not good for my body and all the stuff. But I'm looking (at least right now) at a ~9.3%. Thanks Freestyle Libre!</t>
        </is>
      </c>
      <c r="D4191" t="n">
        <v>13</v>
      </c>
      <c r="E4191" t="n">
        <v>3</v>
      </c>
      <c r="F4191">
        <f>HYPERLINK("https://www.reddit.com/r/diabetes/comments/7wh2iy/selfless_appreciation_post_for_myself_im_finally/")</f>
        <v/>
      </c>
      <c r="G4191" t="inlineStr">
        <is>
          <t>2018-02-09 14:12:15</t>
        </is>
      </c>
      <c r="H4191" t="inlineStr">
        <is>
          <t>Type 1</t>
        </is>
      </c>
    </row>
    <row r="4192">
      <c r="A4192" t="inlineStr">
        <is>
          <t>7wjdh6</t>
        </is>
      </c>
      <c r="B4192" t="inlineStr">
        <is>
          <t>diabetes management applications (competition-based) for checking glucose.</t>
        </is>
      </c>
      <c r="C4192" t="inlineStr">
        <is>
          <t>Hey guys, recently diagnosed diabetic here and just discovered this subreddit. 
Was wondering if you guys use any apps that can help me check my glucose more actively?
I saw this the other day, and was wondering if anyone has used it: https://www.facebook.com/thecheckmateapp/?ref=br_rs</t>
        </is>
      </c>
      <c r="D4192" t="n">
        <v>1</v>
      </c>
      <c r="E4192" t="n">
        <v>3</v>
      </c>
      <c r="F4192">
        <f>HYPERLINK("https://www.reddit.com/r/diabetes/comments/7wjdh6/diabetes_management_applications_competitionbased/")</f>
        <v/>
      </c>
      <c r="G4192" t="inlineStr">
        <is>
          <t>2018-02-09 20:42:39</t>
        </is>
      </c>
      <c r="H4192" t="inlineStr">
        <is>
          <t>Type 1</t>
        </is>
      </c>
    </row>
    <row r="4193">
      <c r="A4193" t="inlineStr">
        <is>
          <t>7wvavm</t>
        </is>
      </c>
      <c r="B4193" t="inlineStr">
        <is>
          <t>Extreme BG Drops with Medtronic Pump</t>
        </is>
      </c>
      <c r="C4193" t="inlineStr">
        <is>
          <t>**18 year old T1D since 2.5 years old.** 
Anyone here have any experience with checking your BG, getting a high reading and confirming it's high, correcting, and then checking 20 minutes later only to find you've dropped 200 points?
My rates are right and I even under bolus to ensure that this doesn't happen from time to time but I am starting to think my pump might be defective and over delivering. 
To me, it makes sense that you shouldn't drop from a 450 blood sugar to 250 in under 30 minutes unless you have a false reading initially. For the past week I've been making sure my hands are clean and testing on two meters to make sure the meter is not at fault, it does not seem to be. 
Any one have any ideas here? Sorry if this post is a bit all over the place, currently having one of those massive spikes and it makes it hard for me to think.</t>
        </is>
      </c>
      <c r="D4193" t="n">
        <v>1</v>
      </c>
      <c r="E4193" t="n">
        <v>10</v>
      </c>
      <c r="F4193">
        <f>HYPERLINK("https://www.reddit.com/r/diabetes/comments/7wvavm/extreme_bg_drops_with_medtronic_pump/")</f>
        <v/>
      </c>
      <c r="G4193" t="inlineStr">
        <is>
          <t>2018-02-11 12:25:29</t>
        </is>
      </c>
      <c r="H4193" t="inlineStr">
        <is>
          <t>Type 1</t>
        </is>
      </c>
    </row>
    <row r="4194">
      <c r="A4194" t="inlineStr">
        <is>
          <t>7wvoiq</t>
        </is>
      </c>
      <c r="B4194" t="inlineStr">
        <is>
          <t>Ranting a bit about false information I was told in the hospital after diagnosis</t>
        </is>
      </c>
      <c r="C4194" t="inlineStr">
        <is>
          <t>I was diagnosed a bit more than a week ago and spent several days in the hospital to recover from ketoacidosis and to teach me how to take care of myself. They did a pretty good job on that.
However, on the evening I was brought there, two doctors (one whose husband has T1, the other whose son has it, they came in at different times) came in to tell me a bit about how I will still be able to live a fairly normal life if I take care of myself. They were pretty nice and they definitely meant well, but now that I look back on it, some of the things they told me really irritate me now that I know better. They kept saying, "Don't worry, you'll be able to go back to your normal life, as long as you take the correct amount of insulin you can eat *w h a t e v e r  y o u  w a n t."* I didn't give it a second thought then, but after living with it for a week I can tell that this is sooo untrue. Yeah, sure, I technically can eat "whatever I want" and take insulin for it and it will probably be fine, but I've seen how much the type and amount of carbs I eat affect my blood sugar, even if I take the correct amount of insulin. A week ago I had 2 slices of Little Caesar's pepperoni pizza (aka lots of simple carbs) and took the exact amount of units I was supposed to. Several hours later before I took my lantus, I tested my blood sugar and it was 340. More recently I've started to exercise and cut down the amount of carbs I eat by a lot (not keto levels of low, but definitely lower. I've also started eating whole grains/high fiber foods and mostly stopped eating sugary desserts) and my average yesterday was about 130, which is the lowest average from 1 day that I've had since diagnosis. It would have been really nice to know how many carbs is "healthy" and how the type of carbs I eat affect my BG levels.
tl;dr doctors told me I could eat whatever I want and be fine if I take enough insulin but that's really not true if I want to be healthy.
EDIT: I should have worded it better, I know I don't necessarily *have* to avoid foods high in simple carbs, but it's a lot more complicated than just counting carbs and injecting before I eat. Thanks for the tips and the replies.</t>
        </is>
      </c>
      <c r="D4194" t="n">
        <v>3</v>
      </c>
      <c r="E4194" t="n">
        <v>29</v>
      </c>
      <c r="F4194">
        <f>HYPERLINK("https://www.reddit.com/r/diabetes/comments/7wvoiq/ranting_a_bit_about_false_information_i_was_told/")</f>
        <v/>
      </c>
      <c r="G4194" t="inlineStr">
        <is>
          <t>2018-02-11 13:21:20</t>
        </is>
      </c>
      <c r="H4194" t="inlineStr">
        <is>
          <t>Type 1</t>
        </is>
      </c>
    </row>
    <row r="4195">
      <c r="A4195" t="inlineStr">
        <is>
          <t>7wx8k2</t>
        </is>
      </c>
      <c r="B4195" t="inlineStr">
        <is>
          <t>Insurance covering 100% yet Dexcom sends me a bill for nearly $1000</t>
        </is>
      </c>
      <c r="C4195" t="inlineStr">
        <is>
          <t xml:space="preserve">Has this happened to anyone?  The document states that my insurance only covered a certain amount...however, I was never told about this.  There have been a few times when Dexcom sent replacement sensors due to malfunction but they assured me that all was covered.  Please help.  </t>
        </is>
      </c>
      <c r="D4195" t="n">
        <v>14</v>
      </c>
      <c r="E4195" t="n">
        <v>11</v>
      </c>
      <c r="F4195">
        <f>HYPERLINK("https://www.reddit.com/r/diabetes/comments/7wx8k2/insurance_covering_100_yet_dexcom_sends_me_a_bill/")</f>
        <v/>
      </c>
      <c r="G4195" t="inlineStr">
        <is>
          <t>2018-02-11 17:24:17</t>
        </is>
      </c>
      <c r="H4195" t="inlineStr">
        <is>
          <t>Type 1</t>
        </is>
      </c>
    </row>
    <row r="4196">
      <c r="A4196" t="inlineStr">
        <is>
          <t>7wyhea</t>
        </is>
      </c>
      <c r="B4196" t="inlineStr">
        <is>
          <t>Can my family ship insulin to me from my home country?</t>
        </is>
      </c>
      <c r="C4196" t="inlineStr">
        <is>
          <t>I understand that insulin prices are extremely high in the US and I am about to go study in the US—I’m a type-1 diabetic international student. I was wondering if it is possible for my family to ship insulin to me periodically while I am in the US. And if that is possible, what is the legal amount they could send me? 
Thank you</t>
        </is>
      </c>
      <c r="D4196" t="n">
        <v>6</v>
      </c>
      <c r="E4196" t="n">
        <v>11</v>
      </c>
      <c r="F4196">
        <f>HYPERLINK("https://www.reddit.com/r/diabetes/comments/7wyhea/can_my_family_ship_insulin_to_me_from_my_home/")</f>
        <v/>
      </c>
      <c r="G4196" t="inlineStr">
        <is>
          <t>2018-02-11 21:06:37</t>
        </is>
      </c>
      <c r="H4196" t="inlineStr">
        <is>
          <t>Type 1</t>
        </is>
      </c>
    </row>
    <row r="4197">
      <c r="A4197" t="inlineStr">
        <is>
          <t>7wzl00</t>
        </is>
      </c>
      <c r="B4197" t="inlineStr">
        <is>
          <t>film project</t>
        </is>
      </c>
      <c r="C4197" t="inlineStr">
        <is>
          <t>hi, im a 17 year old year 12 student. I have had t1 diabetes since i was 10. i am going to film an awareness video regarding diabetes. it has a max length of 7 minutes, and if like to cover both t1 and t2. how should i go abou. covering this topic? i want to cover the misconceptions regarding t1. diabetes, at the very least. i currently have info on the percentages of diabetics in my school district. any advice or tips would be much appreciated. once i make this awareness video i will upload it to my YouTube and share it here.</t>
        </is>
      </c>
      <c r="D4197" t="n">
        <v>2</v>
      </c>
      <c r="E4197" t="n">
        <v>8</v>
      </c>
      <c r="F4197">
        <f>HYPERLINK("https://www.reddit.com/r/diabetes/comments/7wzl00/film_project/")</f>
        <v/>
      </c>
      <c r="G4197" t="inlineStr">
        <is>
          <t>2018-02-12 01:16:45</t>
        </is>
      </c>
      <c r="H4197" t="inlineStr">
        <is>
          <t>Type 1</t>
        </is>
      </c>
    </row>
    <row r="4198">
      <c r="A4198" t="inlineStr">
        <is>
          <t>7x30q4</t>
        </is>
      </c>
      <c r="B4198" t="inlineStr">
        <is>
          <t>Freestyle LIbre and Athletics</t>
        </is>
      </c>
      <c r="C4198" t="inlineStr">
        <is>
          <t>Hey, just curious on people's experience using the freestyle libre and being very athletically active. I tend to workout 10-14 times a week or more, cardio/crossfit/weightlifting. Do they tend to stay on for the full duration without falling off from sweat?</t>
        </is>
      </c>
      <c r="D4198" t="n">
        <v>2</v>
      </c>
      <c r="E4198" t="n">
        <v>13</v>
      </c>
      <c r="F4198">
        <f>HYPERLINK("https://www.reddit.com/r/diabetes/comments/7x30q4/freestyle_libre_and_athletics/")</f>
        <v/>
      </c>
      <c r="G4198" t="inlineStr">
        <is>
          <t>2018-02-12 10:53:50</t>
        </is>
      </c>
      <c r="H4198" t="inlineStr">
        <is>
          <t>Type 1</t>
        </is>
      </c>
    </row>
    <row r="4199">
      <c r="A4199" t="inlineStr">
        <is>
          <t>7x5fdy</t>
        </is>
      </c>
      <c r="B4199" t="inlineStr">
        <is>
          <t>Any advice for a LifeStyle Libre meter with the sensor?</t>
        </is>
      </c>
      <c r="C4199" t="inlineStr">
        <is>
          <t xml:space="preserve">I ordered one of the new LifeStyle meters and it comes with a sensor. Applied to the back of the arm, it lasts two weeks and all you have to do is swipe the meter pat the sensor for a reading. I thought this would be a good precursor to using a pump and also given better control which I have never really felt like I have. Today is my first full day of use and it's been going great, I thought. Unfortunately, I scanned for my sugars and the reading was low (&amp;lt;3.0mmol), despite my not experiencing any low symptoms. So, out of curiosity I checked with my regular VerioIQ meter and lancet and it gave me a reading that was in the clear (&amp;gt;4.0mmol). So I'm just wondering if anyone here has tried this LifeStyle meter, other products they offer or similar products and if you have any observations or advice. Thanks. </t>
        </is>
      </c>
      <c r="D4199" t="n">
        <v>2</v>
      </c>
      <c r="E4199" t="n">
        <v>17</v>
      </c>
      <c r="F4199">
        <f>HYPERLINK("https://www.reddit.com/r/diabetes/comments/7x5fdy/any_advice_for_a_lifestyle_libre_meter_with_the/")</f>
        <v/>
      </c>
      <c r="G4199" t="inlineStr">
        <is>
          <t>2018-02-12 16:26:24</t>
        </is>
      </c>
      <c r="H4199" t="inlineStr">
        <is>
          <t>Type 1</t>
        </is>
      </c>
    </row>
    <row r="4200">
      <c r="A4200" t="inlineStr">
        <is>
          <t>7x69vf</t>
        </is>
      </c>
      <c r="B4200" t="inlineStr">
        <is>
          <t>Advice for daughter</t>
        </is>
      </c>
      <c r="C4200" t="inlineStr">
        <is>
          <t>I am needing some insight. 
Two months ago my 12-year-old daughter started having headaches. They are almost constant. They come and go in severity, but she says that it's always there. At first, I thought it was stress due to the fact that her cousin is having a baby that was diagnosed with a fatal anomaly. 
But that has settled, we have talked and talked about it and she is at peace with the situation. We started tracking her headaches and when they got worse
It typically happens after she eats something carb/sugar heavy. 
SO.... I started having her test her glucose first thing in the morning and 2 hrs after eating. 
The past two weeks her fasting has never been below 120 (she usually tests within 30 mins of waking up) 
And she can eat something simple (like we split a piece of chocolate pie from Burger King) and within two hours her glucose level was 189.
My husband thought it was kind of a fluke but then he started observing her. She is guzzling drinks like crazy, peeing an insane amount, and she has lost about 4 lbs in the past month.
Oh and the doctor sent her for a CT scan, it was normal. 
Urine showed trace ketones being passed, she has been up to mild amounts of ketones before. And when she did the two hr OGGT this morning her levels were normal. (Fasting 104, 1 hr 130 and 2hr 128) I asked her doctor for a referral to endo. Which he gave, but endo refused to see her because her glucose levels are extremely elevated.
What should I be doing? Questions to ask? I am seriously confused by all of this</t>
        </is>
      </c>
      <c r="D4200" t="n">
        <v>2</v>
      </c>
      <c r="E4200" t="n">
        <v>7</v>
      </c>
      <c r="F4200">
        <f>HYPERLINK("https://www.reddit.com/r/diabetes/comments/7x69vf/advice_for_daughter/")</f>
        <v/>
      </c>
      <c r="G4200" t="inlineStr">
        <is>
          <t>2018-02-12 18:41:46</t>
        </is>
      </c>
      <c r="H4200" t="inlineStr">
        <is>
          <t>Type 1</t>
        </is>
      </c>
    </row>
    <row r="4201">
      <c r="A4201" t="inlineStr">
        <is>
          <t>7x71mf</t>
        </is>
      </c>
      <c r="B4201" t="inlineStr">
        <is>
          <t>Protein for lows?</t>
        </is>
      </c>
      <c r="C4201" t="inlineStr">
        <is>
          <t>What protein do you guys pair with sugar to bring up a low and keep it up? I usually eat a couple spoonfuls of peanut butter with a juice box, but the PB hasn’t seemed to keep me steady without dropping again lately.</t>
        </is>
      </c>
      <c r="D4201" t="n">
        <v>1</v>
      </c>
      <c r="E4201" t="n">
        <v>6</v>
      </c>
      <c r="F4201">
        <f>HYPERLINK("https://www.reddit.com/r/diabetes/comments/7x71mf/protein_for_lows/")</f>
        <v/>
      </c>
      <c r="G4201" t="inlineStr">
        <is>
          <t>2018-02-12 20:54:40</t>
        </is>
      </c>
      <c r="H4201" t="inlineStr">
        <is>
          <t>Type 1</t>
        </is>
      </c>
    </row>
    <row r="4202">
      <c r="A4202" t="inlineStr">
        <is>
          <t>7x72qb</t>
        </is>
      </c>
      <c r="B4202" t="inlineStr">
        <is>
          <t>Type 2's on Insulin</t>
        </is>
      </c>
      <c r="C4202" t="inlineStr">
        <is>
          <t xml:space="preserve">I've been on insulin for a few weeks now and I've I had 3 hypos this week. Two were legit, and one my meter said 3.8 but would probably in the low 4s if measured by a lab. I get hypos if I go more than 3-4 hours without eating and usually if I take a daytime nap (though I don't get symptoms of nocturnal hypos). For my hypos I correct with only 15 grams of fasting acting carbs and then go back to low carb eating. However, though I get hypos since I've been on insulin, I also still get hyperglycemia. It's not as high as previously, but it does reach almost 12. According to diabetes Canada I should aim to have blood sugar under 8 post meals 'cause my A1C in double digits. Once my A1C comes down, there is a little more wiggle room. I don't know what do with my dosage. I am currently on 12 units of lantus. I get a fasting glucose of 4.8/4.9. However, I still get high post prandials, but also get hypos or risk for hypos. I don't know how to decide my dosage. I think as a type 2 that basal is also to somewhat cover eating, but I don't want to raise my dosage as I think my fasting may drop too low.
**Background info:**
5'3, 130s, started on 15 units. Took a few days for blood sugar to come down. Once my blood sugar came down and I started getting hypos, reduced to 12 units. Have authorization from nurse to self adjust within the 10 to 15 units range and have to advise if I'm outside that range. Also on metformin. I was previously on a sulfonylurea, but it had no impact even on the maximum dosage so I discontinued. 
</t>
        </is>
      </c>
      <c r="D4202" t="n">
        <v>1</v>
      </c>
      <c r="E4202" t="n">
        <v>8</v>
      </c>
      <c r="F4202">
        <f>HYPERLINK("https://www.reddit.com/r/diabetes/comments/7x72qb/type_2s_on_insulin/")</f>
        <v/>
      </c>
      <c r="G4202" t="inlineStr">
        <is>
          <t>2018-02-12 21:00:32</t>
        </is>
      </c>
      <c r="H4202" t="inlineStr">
        <is>
          <t>Type 2</t>
        </is>
      </c>
    </row>
    <row r="4203">
      <c r="A4203" t="inlineStr">
        <is>
          <t>7x7eng</t>
        </is>
      </c>
      <c r="B4203" t="inlineStr">
        <is>
          <t>[Type 2 Diabetes] Some days, for no reason, I feel ravenously hungry, even after I eat. Anyone else?</t>
        </is>
      </c>
      <c r="C4203" t="inlineStr">
        <is>
          <t>I was diagnosed as a type 2 diabetic a couple years back. I've drastically cut down on my carb intake and eliminated any unnecessary sugar consumption. Most days I feel fine, and my average blood sugar hovers around 100 mg/dl.
Some days, however, I feel insanely hungry. Like, ridiculously so. I feel ravenous and dizzy, even if I've just recently eaten. It feels like my stomach got nothing of what I put into my mouth.  It happens maybe once every 2-3 months. 
Every single time this happens, I panic, thinking maybe somehow my blood sugar has dropped to incredibly low/unsafe levels, but I take my blood sugar, and it's normal. Tonight, for example. I woke up, had some ravioli (not the healthiest, I know, but I'm also poor). An hour later, it felt like I'd eaten nothing. So I had a couple turkey sausages with egg whites. Three hours after that, I'm so lightheaded and dizzy I can barely see straight. I eat some mixed veggies and half a sandwich.  And a half hour later I feel like I've eaten nothing all day.
I just took my blood sugar, about 40 minutes after having eaten, and it's 115. I don't know what could be causing this, and if it's normal or not. I tried bringing it up with my doctor during my last visit but he sort of brushed it aside.  Does anyone else have this randomly happen to them? It's so random and sporadic that I have no guesses as to the cause.</t>
        </is>
      </c>
      <c r="D4203" t="n">
        <v>11</v>
      </c>
      <c r="E4203" t="n">
        <v>12</v>
      </c>
      <c r="F4203">
        <f>HYPERLINK("https://www.reddit.com/r/diabetes/comments/7x7eng/type_2_diabetes_some_days_for_no_reason_i_feel/")</f>
        <v/>
      </c>
      <c r="G4203" t="inlineStr">
        <is>
          <t>2018-02-12 22:01:38</t>
        </is>
      </c>
      <c r="H4203" t="inlineStr">
        <is>
          <t>Type 2</t>
        </is>
      </c>
    </row>
    <row r="4204">
      <c r="A4204" t="inlineStr">
        <is>
          <t>7x8p4v</t>
        </is>
      </c>
      <c r="B4204" t="inlineStr">
        <is>
          <t>Just got back from the hospital from DKA, found out im type 1 at age 28. Just wanted to stop by and say hi before I read all my materials over and over and oh god why i didn't ask for any of this its all so much.</t>
        </is>
      </c>
      <c r="C4204" t="inlineStr">
        <is>
          <t>and also what candy is good for using as a glucose tab substitute?</t>
        </is>
      </c>
      <c r="D4204" t="n">
        <v>74</v>
      </c>
      <c r="E4204" t="n">
        <v>75</v>
      </c>
      <c r="F4204">
        <f>HYPERLINK("https://www.reddit.com/r/diabetes/comments/7x8p4v/just_got_back_from_the_hospital_from_dka_found/")</f>
        <v/>
      </c>
      <c r="G4204" t="inlineStr">
        <is>
          <t>2018-02-13 03:11:40</t>
        </is>
      </c>
      <c r="H4204" t="inlineStr">
        <is>
          <t>Type 1</t>
        </is>
      </c>
    </row>
    <row r="4205">
      <c r="A4205" t="inlineStr">
        <is>
          <t>7xa7sz</t>
        </is>
      </c>
      <c r="B4205" t="inlineStr">
        <is>
          <t>Type 1 - My newest meter isn't accurate? Or is it something else?</t>
        </is>
      </c>
      <c r="C4205" t="inlineStr">
        <is>
          <t>I'm on my first week with the FreeStyle Libre system. Day 5. 
I purchased some test strips for it yesterday. I just checked with a test strip and immediately following with the sensor. Test strip reading was 244. sensor read 328. Yesterday when I got the strips, the strip read 136 and the sensor 164. 
Questions is if this is common with others using this system? I feel like the spread is just distant enough to just not know where I am ever until I get to 70 or less. The only indicator I have is when I feel REALLY low now. Thanks for any help.</t>
        </is>
      </c>
      <c r="D4205" t="n">
        <v>1</v>
      </c>
      <c r="E4205" t="n">
        <v>9</v>
      </c>
      <c r="F4205">
        <f>HYPERLINK("https://www.reddit.com/r/diabetes/comments/7xa7sz/type_1_my_newest_meter_isnt_accurate_or_is_it/")</f>
        <v/>
      </c>
      <c r="G4205" t="inlineStr">
        <is>
          <t>2018-02-13 07:40:50</t>
        </is>
      </c>
      <c r="H4205" t="inlineStr">
        <is>
          <t>Type 1</t>
        </is>
      </c>
    </row>
    <row r="4206">
      <c r="A4206" t="inlineStr">
        <is>
          <t>7xamh6</t>
        </is>
      </c>
      <c r="B4206" t="inlineStr">
        <is>
          <t>670g users, what changes did you have to make?</t>
        </is>
      </c>
      <c r="C4206" t="inlineStr">
        <is>
          <t>I recently switched to the 670g from a 530g. I am finding that the dawn phenomenon is hitting me pretty hard and the pump tends to hover me around 140-150 instead of 120 for its target. For others that have switched, what changes have you made to improve your control?</t>
        </is>
      </c>
      <c r="D4206" t="n">
        <v>6</v>
      </c>
      <c r="E4206" t="n">
        <v>21</v>
      </c>
      <c r="F4206">
        <f>HYPERLINK("https://www.reddit.com/r/diabetes/comments/7xamh6/670g_users_what_changes_did_you_have_to_make/")</f>
        <v/>
      </c>
      <c r="G4206" t="inlineStr">
        <is>
          <t>2018-02-13 08:36:32</t>
        </is>
      </c>
      <c r="H4206" t="inlineStr">
        <is>
          <t>Type 1</t>
        </is>
      </c>
    </row>
    <row r="4207">
      <c r="A4207" t="inlineStr">
        <is>
          <t>7xb678</t>
        </is>
      </c>
      <c r="B4207" t="inlineStr">
        <is>
          <t>Have no idea what to do (type 1 diabetes)</t>
        </is>
      </c>
      <c r="C4207" t="inlineStr">
        <is>
          <t xml:space="preserve">So I’ve just been removed from diabetic clinic for accidentally missing an appointment, I have no idea about carb counting or other stuff. I’m just screwed, what will happen to me now with no checkups.etc? </t>
        </is>
      </c>
      <c r="D4207" t="n">
        <v>1</v>
      </c>
      <c r="E4207" t="n">
        <v>10</v>
      </c>
      <c r="F4207">
        <f>HYPERLINK("https://www.reddit.com/r/diabetes/comments/7xb678/have_no_idea_what_to_do_type_1_diabetes/")</f>
        <v/>
      </c>
      <c r="G4207" t="inlineStr">
        <is>
          <t>2018-02-13 09:49:54</t>
        </is>
      </c>
      <c r="H4207" t="inlineStr">
        <is>
          <t>Type 1</t>
        </is>
      </c>
    </row>
    <row r="4208">
      <c r="A4208" t="inlineStr">
        <is>
          <t>7xbqcu</t>
        </is>
      </c>
      <c r="B4208" t="inlineStr">
        <is>
          <t>starting the pump tomorrow</t>
        </is>
      </c>
      <c r="C4208" t="inlineStr">
        <is>
          <t>18 year old type 1 here, tomorrow morning i'll be starting the accu-chek insight, but i'm still feeling incredibly scared of the prospect of the cannulas. i feel faint whenever i've had to inject insulin into my stomach area and the thought of a thicker and longer tube being there is really scary to me. however, i've been still pushing through it and injecting my stomach to try and make myself somewhat more used to it, but it hasn't helped much. does anyone have any advice on how they've overcome their fear of the cannulas?</t>
        </is>
      </c>
      <c r="D4208" t="n">
        <v>6</v>
      </c>
      <c r="E4208" t="n">
        <v>3</v>
      </c>
      <c r="F4208">
        <f>HYPERLINK("https://www.reddit.com/r/diabetes/comments/7xbqcu/starting_the_pump_tomorrow/")</f>
        <v/>
      </c>
      <c r="G4208" t="inlineStr">
        <is>
          <t>2018-02-13 11:02:52</t>
        </is>
      </c>
      <c r="H4208" t="inlineStr">
        <is>
          <t>Type 1</t>
        </is>
      </c>
    </row>
    <row r="4209">
      <c r="A4209" t="inlineStr">
        <is>
          <t>7xbqva</t>
        </is>
      </c>
      <c r="B4209" t="inlineStr">
        <is>
          <t>It's my Anniversary!</t>
        </is>
      </c>
      <c r="C4209" t="inlineStr">
        <is>
          <t xml:space="preserve">Diagnosed 21 years ago today with type 1 at age 11 years. I don't have anything fun to add. Just wanted to share. 
My diabetes can legally buy a drink. </t>
        </is>
      </c>
      <c r="D4209" t="n">
        <v>69</v>
      </c>
      <c r="E4209" t="n">
        <v>10</v>
      </c>
      <c r="F4209">
        <f>HYPERLINK("https://www.reddit.com/r/diabetes/comments/7xbqva/its_my_anniversary/")</f>
        <v/>
      </c>
      <c r="G4209" t="inlineStr">
        <is>
          <t>2018-02-13 11:04:26</t>
        </is>
      </c>
      <c r="H4209" t="inlineStr">
        <is>
          <t>Type 1</t>
        </is>
      </c>
    </row>
    <row r="4210">
      <c r="A4210" t="inlineStr">
        <is>
          <t>7xe9s3</t>
        </is>
      </c>
      <c r="B4210" t="inlineStr">
        <is>
          <t>Just checked my blood sugar after 1 month on the path</t>
        </is>
      </c>
      <c r="C4210" t="inlineStr">
        <is>
          <t>Stopped by my grandmother's this afternoon to borrow her meter (she's been type 2 for about 13 years) to see if I have made progress.  My result was 83; last time I had it checked was in early January, in the morning after fasting, and it was 117.  Today I had eaten 3 eggs for breakfast and a double meat roast beef sandwich on white with lettuce, tomato, black olives and hot mustard, but that's it.  I tested about 5-6 hours after finishing the sandwich. I also spent 30 minutes on the stationary bike right after waking up which has becoming my routine.
Honestly I feel pretty good.  I am hoping the exercise and portion control has had something to do with it.  I have ordered my own meter so I can see how different meals I like affect me and then I'll adjust accordingly.</t>
        </is>
      </c>
      <c r="D4210" t="n">
        <v>2</v>
      </c>
      <c r="E4210" t="n">
        <v>1</v>
      </c>
      <c r="F4210">
        <f>HYPERLINK("https://www.reddit.com/r/diabetes/comments/7xe9s3/just_checked_my_blood_sugar_after_1_month_on_the/")</f>
        <v/>
      </c>
      <c r="G4210" t="inlineStr">
        <is>
          <t>2018-02-13 16:59:50</t>
        </is>
      </c>
      <c r="H4210" t="inlineStr">
        <is>
          <t>Type 2</t>
        </is>
      </c>
    </row>
    <row r="4211">
      <c r="A4211" t="inlineStr">
        <is>
          <t>7xi9gc</t>
        </is>
      </c>
      <c r="B4211" t="inlineStr">
        <is>
          <t>What is a "normal" amount of basal rates to have in a insulin pump (Medtronic)</t>
        </is>
      </c>
      <c r="C4211" t="inlineStr">
        <is>
          <t xml:space="preserve">For the past 10 years I've had an insulin pump, and have always had around 6 basal rates per day. I saw a new endo this past week who was blown away by the fact that I had so many, and took me down to 4 instead of 6 because he's "never seen someone have that many before" and didn't think it was necessary. 
My only worry is now, since changing them, I haven't had a normal blood sugar reading. I'm always high, between 180-300, and nothing about my diet has changed. I've been eating the same and even giving myself more insulin at times to try and bring it down. 
Anyway, my question is, is there a "normal" number of basal rates to have in your insulin pump? Now that my blood sugar isn't as regular I'm starting to think I needed those 6. But my doctor seemed to think it was pointless. </t>
        </is>
      </c>
      <c r="D4211" t="n">
        <v>2</v>
      </c>
      <c r="E4211" t="n">
        <v>22</v>
      </c>
      <c r="F4211">
        <f>HYPERLINK("https://www.reddit.com/r/diabetes/comments/7xi9gc/what_is_a_normal_amount_of_basal_rates_to_have_in/")</f>
        <v/>
      </c>
      <c r="G4211" t="inlineStr">
        <is>
          <t>2018-02-14 06:14:10</t>
        </is>
      </c>
      <c r="H4211" t="inlineStr">
        <is>
          <t>Type 1</t>
        </is>
      </c>
    </row>
    <row r="4212">
      <c r="A4212" t="inlineStr">
        <is>
          <t>7xmp7t</t>
        </is>
      </c>
      <c r="B4212" t="inlineStr">
        <is>
          <t>About blindness from diabetes</t>
        </is>
      </c>
      <c r="C4212" t="inlineStr">
        <is>
          <t>Hi all, I'm a type 1 and have been for over a decade now (got mine via genetics, thanks mother's side of the family). My worst fear is going completely blind (although I currently have perfect vision), and it keeps me up at night thinking I probably have the disease most likely to cause that. So I wanted to ask a few questions to either help me calm my fears, or confirm them.
* Does diabetes cause blindness if your sugars are in decent control?
-Mine aren't in decent control, but I'm curious to see if no matter what I could do, I might go blind one day anyway.
* How often is blindness the result of bad control over a different result (such as losing a foot, or a leg?)
-I'd obviously like to stay in one piece, but I'd feel better about my life if I knew i'm more likely to lose a foot than my vision
* If blindness occurs as a result of diabetes, are we doomed to *complete* blindness, or do our eyes just get worse and we end up needing glasses?
-I might be able to manage it if I'm reduced to only seeing blurs, but again my worst fear is total loss of vision.
So please, diabetics of Reddit. Calm or confirm my fears. I just want to know what could be ahead of me in terms of my eyes.</t>
        </is>
      </c>
      <c r="D4212" t="n">
        <v>4</v>
      </c>
      <c r="E4212" t="n">
        <v>14</v>
      </c>
      <c r="F4212">
        <f>HYPERLINK("https://www.reddit.com/r/diabetes/comments/7xmp7t/about_blindness_from_diabetes/")</f>
        <v/>
      </c>
      <c r="G4212" t="inlineStr">
        <is>
          <t>2018-02-14 16:30:53</t>
        </is>
      </c>
      <c r="H4212" t="inlineStr">
        <is>
          <t>Type 1</t>
        </is>
      </c>
    </row>
    <row r="4213">
      <c r="A4213" t="inlineStr">
        <is>
          <t>7xob4i</t>
        </is>
      </c>
      <c r="B4213" t="inlineStr">
        <is>
          <t>My average BG for the past few days has been 110 mg/dl, and then out of nowhere it's 166</t>
        </is>
      </c>
      <c r="C4213" t="inlineStr">
        <is>
          <t>I was diagnosed with type 1 2 weeks ago and for the most part I've only been improving. I think that at this point my body has gotten used to the insulin and my ratio seems right. For the past few days my average blood glucose levels were 110 after a week of being at 160-200. My daily average took about 2 days to drop from the latter to the former (I also started eating about 40% less carbs per day to see how that would affect my average. This may be a coincidence though, as my body might just have adjusted to getting insulin from external sources. I'm not sure though, I obviously don't have much experience.) After several days of my BG being consistently under 120, when I tested this evening several hours after dinner (my dinner had a lot more carbs than most foods I've been eating in the past few days. They were mostly complex carbs though. This seems like a likely cause of the high) my BG had gone up to 166. That's really not that high, at least compared to the first few days out of the hospital, but jumping up to that after being at such a good level is kind of disappointing - I hadn't needed a correction for 2 days, and I wanted to continue that streak.
166 really isn't that bad, but if I can prevent any highs I want to be able to. Plus, it feels rewarding to have control over my BG and I find it really hard to study over 175.
If you think you might know a potential cause, please post it. Anything that's not bad advice or false information helps.</t>
        </is>
      </c>
      <c r="D4213" t="n">
        <v>0</v>
      </c>
      <c r="E4213" t="n">
        <v>5</v>
      </c>
      <c r="F4213">
        <f>HYPERLINK("https://www.reddit.com/r/diabetes/comments/7xob4i/my_average_bg_for_the_past_few_days_has_been_110/")</f>
        <v/>
      </c>
      <c r="G4213" t="inlineStr">
        <is>
          <t>2018-02-14 21:18:50</t>
        </is>
      </c>
      <c r="H4213" t="inlineStr">
        <is>
          <t>Type 1</t>
        </is>
      </c>
    </row>
    <row r="4214">
      <c r="A4214" t="inlineStr">
        <is>
          <t>7xoxz1</t>
        </is>
      </c>
      <c r="B4214" t="inlineStr">
        <is>
          <t>Question on how to avoid over corrections on Tandem T-Slim X2</t>
        </is>
      </c>
      <c r="C4214" t="inlineStr">
        <is>
          <t xml:space="preserve">My daughter is new to pumping and is currently using the T-Slim X2 and we have come across what could have possibly been a very dangerous situation.  Several days ago I woke her up in the middle of the night to correct a high BG reading.  She was at around 300 and she began to input her BG into her pump for the needed correction when I suddenly noticed that she was inputting 300 as a CARB bolus!  Had we not caught this, it could have been a very scary ordeal.  She then proceeded to input the number as a correction and problem solved...back to bed for her.
Has anyone here ever have this happen to them? Are there any safeguards to avoid such a thing?  Any tips? Tricks? Any and all input is greatly appreciated.  
Edit (Addendum): ok...for now we discovered a safe and temporary workaround. We set her Bolus Ratio between Midnight and 6 a.m. to 1:99 (her correction ratio remains the same).  Since she doesn't eat between Midnight and 6 a.m., then if we were to make the aformentioned mistake it would not deliver much insulin and risk a terrible hypo...her Endochronilogist just Ok'd this! However, we need to keep an eye on one thing...if she does eat between these times, we would have to make sure to change her settings back in order for her to get enough insulin.  Has anyone tried this? </t>
        </is>
      </c>
      <c r="D4214" t="n">
        <v>2</v>
      </c>
      <c r="E4214" t="n">
        <v>15</v>
      </c>
      <c r="F4214">
        <f>HYPERLINK("https://www.reddit.com/r/diabetes/comments/7xoxz1/question_on_how_to_avoid_over_corrections_on/")</f>
        <v/>
      </c>
      <c r="G4214" t="inlineStr">
        <is>
          <t>2018-02-14 23:45:27</t>
        </is>
      </c>
      <c r="H4214" t="inlineStr">
        <is>
          <t>Type 1</t>
        </is>
      </c>
    </row>
    <row r="4215">
      <c r="A4215" t="inlineStr">
        <is>
          <t>7xpbyw</t>
        </is>
      </c>
      <c r="B4215" t="inlineStr">
        <is>
          <t>High ketones with regular bloodsugar</t>
        </is>
      </c>
      <c r="C4215" t="inlineStr">
        <is>
          <t>I'm a type LADA on Novorapid/Toujeo. Last night I was feeling really awful (nausea, dizziness, thirst). I used a ketostick for my urine and it was really dark, the second darkest color on the bottle. Thing is, my bloodsugar was absolutely fine between 7.9mmol - 4.7mmol all day. My basal insulin is fine, I'm very steady between meals.
I have been feeling unwell for the past week or so with a bad stomach bug where I'm not eating much. I know that triggers ketosis due to lack of carbs, which is fine, but I don't understand why it got so high. I've had maybe 4 hypers in the past 7 days so it's not high blood sugar causing it.
Can this be caused by just (forcibly due to sickness) fasting for most of the day and having only small meals or a single meal in the day? I feel better this morning, I still have ketones but less than before bed. Just curious if this is something anyone else has experienced under similar circumstances.</t>
        </is>
      </c>
      <c r="D4215" t="n">
        <v>3</v>
      </c>
      <c r="E4215" t="n">
        <v>8</v>
      </c>
      <c r="F4215">
        <f>HYPERLINK("https://www.reddit.com/r/diabetes/comments/7xpbyw/high_ketones_with_regular_bloodsugar/")</f>
        <v/>
      </c>
      <c r="G4215" t="inlineStr">
        <is>
          <t>2018-02-15 01:41:29</t>
        </is>
      </c>
      <c r="H4215" t="inlineStr">
        <is>
          <t>Type 1.5/LADA</t>
        </is>
      </c>
    </row>
    <row r="4216">
      <c r="A4216" t="inlineStr">
        <is>
          <t>7xptxz</t>
        </is>
      </c>
      <c r="B4216" t="inlineStr">
        <is>
          <t>Can what a "low" or "high" is change from person to person?</t>
        </is>
      </c>
      <c r="C4216" t="inlineStr">
        <is>
          <t>I feel low when my BG is below 100 while as far as I know, 80-90 is a perfectly good range. I also feel okay around 180, even 200 with none of that "high feel" I get when my BG is around 250 or something.
As far as I know 90-130 is the "healthy range" while 90-160 is the "good range". But for me it seems like 100-150 is "healthy" and 150-200 is "good". Is that possible?</t>
        </is>
      </c>
      <c r="D4216" t="n">
        <v>3</v>
      </c>
      <c r="E4216" t="n">
        <v>12</v>
      </c>
      <c r="F4216">
        <f>HYPERLINK("https://www.reddit.com/r/diabetes/comments/7xptxz/can_what_a_low_or_high_is_change_from_person_to/")</f>
        <v/>
      </c>
      <c r="G4216" t="inlineStr">
        <is>
          <t>2018-02-15 03:45:07</t>
        </is>
      </c>
      <c r="H4216" t="inlineStr">
        <is>
          <t>Type 1</t>
        </is>
      </c>
    </row>
    <row r="4217">
      <c r="A4217" t="inlineStr">
        <is>
          <t>7xr1z9</t>
        </is>
      </c>
      <c r="B4217" t="inlineStr">
        <is>
          <t>Gonna be a new CGM user, Doc wants me to have a Libre, are they bluetooth compatible?</t>
        </is>
      </c>
      <c r="C4217" t="inlineStr">
        <is>
          <t>I briefly searched the Freestyle website but didn't find any info on data transfer capabilities. I'm looking to transfer the data into Excel spreadsheet format. If Libre doesn't do it can anybody suggest who does?</t>
        </is>
      </c>
      <c r="D4217" t="n">
        <v>3</v>
      </c>
      <c r="E4217" t="n">
        <v>19</v>
      </c>
      <c r="F4217">
        <f>HYPERLINK("https://www.reddit.com/r/diabetes/comments/7xr1z9/gonna_be_a_new_cgm_user_doc_wants_me_to_have_a/")</f>
        <v/>
      </c>
      <c r="G4217" t="inlineStr">
        <is>
          <t>2018-02-15 07:25:48</t>
        </is>
      </c>
      <c r="H4217" t="inlineStr">
        <is>
          <t>Type 2</t>
        </is>
      </c>
    </row>
    <row r="4218">
      <c r="A4218" t="inlineStr">
        <is>
          <t>7xrfqd</t>
        </is>
      </c>
      <c r="B4218" t="inlineStr">
        <is>
          <t>Endo Appt and best A1c ever!!</t>
        </is>
      </c>
      <c r="C4218" t="inlineStr">
        <is>
          <t>I didn’t know who else to tell that would understand!! I got a pump and a CGM in November and today was my first HbA1c since September and I went from 14.5 to 6.5! I’m not saying one form of treatment is better than others but for me a proper diagnosis, technology and data have made a huge difference!</t>
        </is>
      </c>
      <c r="D4218" t="n">
        <v>2</v>
      </c>
      <c r="E4218" t="n">
        <v>4</v>
      </c>
      <c r="F4218">
        <f>HYPERLINK("https://www.reddit.com/r/diabetes/comments/7xrfqd/endo_appt_and_best_a1c_ever/")</f>
        <v/>
      </c>
      <c r="G4218" t="inlineStr">
        <is>
          <t>2018-02-15 08:21:41</t>
        </is>
      </c>
      <c r="H4218" t="inlineStr">
        <is>
          <t>Type 1</t>
        </is>
      </c>
    </row>
    <row r="4219">
      <c r="A4219" t="inlineStr">
        <is>
          <t>7xsbzp</t>
        </is>
      </c>
      <c r="B4219" t="inlineStr">
        <is>
          <t>Heroin and How It Affects My Blood Glucose Level.</t>
        </is>
      </c>
      <c r="C4219" t="inlineStr">
        <is>
          <t xml:space="preserve">**The purpose of this post is harm reduction and not to advocate the use of legal of illegal drugs. I understand the controversial nature of the topic, however I hope you can all remain civil and try your best to understand that I am simply trying to help anyone else who uses heroin, has been recently diagnosed with T1 diabetes like myself and is unsure on how it will affect them. If anyone has any questions regarding my substance use feel free to ask away.**
**Thank you.**
--------------------
Personal information:
* Male
* Mid-twenties
* 6ft
* 70kg
The IV solution:
* 0.6mL water
* 45mg heroin base (H#3)
* 15mg citric acid
Before injecting myself, I measured my blood glucose level to be **7.9 mmol/L**. I had recently drank a cup of tea with milk, no sugar and a chocolate biscuit (cookie for any Americans). My last shot of bolus insluin was a little over 4 hours prior to injecting the heroin.
Hands were washed  with warm water before each blood test, after injecting I drank a little bit of water here and there but did not eat until 65 minutes had passed.
After injecting myself, my blood glucose levels changed as follows:
Time After Injecting | Blood Glucose Level (mmol/L) | Comments
--------------------|----------------------------|--------
+5 Minutes | 7.6 | 
+10 Minutes | 7.4 | Hands are mildly shaking.
+20 Minutes | 6.3 | 
+35 Minutes | 5.7 | Hands are shaking noticeably more.
+50 Minutes | 5.4 | 
+65 Minutes | 4.9 | Hands are shaking uncomfortably now so have eaten some biscuits.
-----
In conclusion, it seems likely that heroin causes my blood sugar to drop noticeably and therefore it is important that I pay close attention to my blood glucose levels when using heroin. It also seems it would be a good idea to snack appropriately. 
</t>
        </is>
      </c>
      <c r="D4219" t="n">
        <v>5</v>
      </c>
      <c r="E4219" t="n">
        <v>36</v>
      </c>
      <c r="F4219">
        <f>HYPERLINK("https://www.reddit.com/r/diabetes/comments/7xsbzp/heroin_and_how_it_affects_my_blood_glucose_level/")</f>
        <v/>
      </c>
      <c r="G4219" t="inlineStr">
        <is>
          <t>2018-02-15 10:21:30</t>
        </is>
      </c>
      <c r="H4219" t="inlineStr">
        <is>
          <t>Type 1</t>
        </is>
      </c>
    </row>
    <row r="4220">
      <c r="A4220" t="inlineStr">
        <is>
          <t>7xt8b1</t>
        </is>
      </c>
      <c r="B4220" t="inlineStr">
        <is>
          <t>[Type 1] Anyone else have "weird" kidneys?</t>
        </is>
      </c>
      <c r="C4220" t="inlineStr">
        <is>
          <t xml:space="preserve">Alright, lets just jump into it.
Since I was 12 years old, I've had protein in my urine (microalbumin), spilled out from my kidneys. My A1C was about 6.9 when this started and has bounced around since. EDIT: This is just me saying that it doesn't appear correlated to my a1c, as I've had insanely high results even when I was young and at an a1c of about 7. 
My lab results, when I don't do a fast or a low activity test, are a microalbumin of over 1000 (one time it was 1780 haha). When this first showed up at 12, the doctors had a little freak out and had me do a few different tests. I did a fast 4 hours before bed, pee then was to lie down, and then pee again and lastly go to bed and give a urine sample in the morning. After we did this test, it came back at.... 10. 
So from then on, thats how we did things. I would do a urine test, my microalbumin was high, and then I would do a fast/lying down test and it would come back fine. The doctor I had at the time said as long as it could come back fine from a fasting/lying down test, I probably wouldn't need any medication. I was told some people just do that naturally, and that if I wanted to I could do meds. I had the same doctor from ~12 to ~20.
Fast forward to now. I have a new doctor, who is constantly overbooked. He took a look at my results (which actually were only 100 with no fasting test, honestly when I saw them I was pleased) and he immediately prescribed me medication. I tried to explain that it always came back funky and even pointed to my last two tests in my records, one which came back at 1500 and one fasting one that came back at 13. He still wants me to go on meds, which is fair I guess because I've been diabetic over 20 years. Protect them kidneys and whatnot. 
But I now kinda wonder.... does anyone else have weird kidneys like these? Do you know what causes it? I've been thinking I should just go to a specialist and see if we can find a cause of this (cuz I'd rather get specific treatment for the weirdness than just stay on a medication to treat a symptom).
Anyone also have bizarre microalbumin? </t>
        </is>
      </c>
      <c r="D4220" t="n">
        <v>3</v>
      </c>
      <c r="E4220" t="n">
        <v>5</v>
      </c>
      <c r="F4220">
        <f>HYPERLINK("https://www.reddit.com/r/diabetes/comments/7xt8b1/type_1_anyone_else_have_weird_kidneys/")</f>
        <v/>
      </c>
      <c r="G4220" t="inlineStr">
        <is>
          <t>2018-02-15 12:21:59</t>
        </is>
      </c>
      <c r="H4220" t="inlineStr">
        <is>
          <t>Type 1</t>
        </is>
      </c>
    </row>
    <row r="4221">
      <c r="A4221" t="inlineStr">
        <is>
          <t>7xua96</t>
        </is>
      </c>
      <c r="B4221" t="inlineStr">
        <is>
          <t>Parents With T1D Children In Canada!</t>
        </is>
      </c>
      <c r="C4221" t="inlineStr">
        <is>
          <t>For parents of type one diabetics in Canada, Diabetes Canada runs several overnight summer camps all across the country and registration opened this week. Read more here: http://www.dcamps.ca</t>
        </is>
      </c>
      <c r="D4221" t="n">
        <v>1</v>
      </c>
      <c r="E4221" t="n">
        <v>2</v>
      </c>
      <c r="F4221">
        <f>HYPERLINK("https://www.reddit.com/r/diabetes/comments/7xua96/parents_with_t1d_children_in_canada/")</f>
        <v/>
      </c>
      <c r="G4221" t="inlineStr">
        <is>
          <t>2018-02-15 14:48:48</t>
        </is>
      </c>
      <c r="H4221" t="inlineStr">
        <is>
          <t>Type 1</t>
        </is>
      </c>
    </row>
    <row r="4222">
      <c r="A4222" t="inlineStr">
        <is>
          <t>7xubdw</t>
        </is>
      </c>
      <c r="B4222" t="inlineStr">
        <is>
          <t>What is your carb to insulin ratio?</t>
        </is>
      </c>
      <c r="C4222" t="inlineStr">
        <is>
          <t>Ive been type 1 for around 6 months and my carb to insulin ratio is fluctuating constantly (due to honeymoon) and recently ive had to take a lot more as my carb to insulin ratio went from 16g per unit to 11g per unit, i know everyone elses situations are unrelated as our bodies are all different but just out of curiosity how much insulin are you taking?</t>
        </is>
      </c>
      <c r="D4222" t="n">
        <v>5</v>
      </c>
      <c r="E4222" t="n">
        <v>29</v>
      </c>
      <c r="F4222">
        <f>HYPERLINK("https://www.reddit.com/r/diabetes/comments/7xubdw/what_is_your_carb_to_insulin_ratio/")</f>
        <v/>
      </c>
      <c r="G4222" t="inlineStr">
        <is>
          <t>2018-02-15 14:53:26</t>
        </is>
      </c>
      <c r="H4222" t="inlineStr">
        <is>
          <t>Type 1</t>
        </is>
      </c>
    </row>
    <row r="4223">
      <c r="A4223" t="inlineStr">
        <is>
          <t>7xvhmw</t>
        </is>
      </c>
      <c r="B4223" t="inlineStr">
        <is>
          <t>Device free...for 30 minutes!!</t>
        </is>
      </c>
      <c r="C4223" t="inlineStr">
        <is>
          <t xml:space="preserve">All my fellow pump &amp;amp; cgm wearers you know what I'm talking about!! It's that one in a million day where both my Dexcom and omnipod need to be replaced. Dexcom, you've given me a wonderful 3 weeks but you gots to goooo! I get to shower without wearing any devices! I'm so stoked right now.  Be right back. :D </t>
        </is>
      </c>
      <c r="D4223" t="n">
        <v>82</v>
      </c>
      <c r="E4223" t="n">
        <v>22</v>
      </c>
      <c r="F4223">
        <f>HYPERLINK("https://www.reddit.com/r/diabetes/comments/7xvhmw/device_freefor_30_minutes/")</f>
        <v/>
      </c>
      <c r="G4223" t="inlineStr">
        <is>
          <t>2018-02-15 17:59:01</t>
        </is>
      </c>
      <c r="H4223" t="inlineStr">
        <is>
          <t>Type 1</t>
        </is>
      </c>
    </row>
    <row r="4224">
      <c r="A4224" t="inlineStr">
        <is>
          <t>7xvvzh</t>
        </is>
      </c>
      <c r="B4224" t="inlineStr">
        <is>
          <t>Does anyone use Glyburide?</t>
        </is>
      </c>
      <c r="C4224" t="inlineStr">
        <is>
          <t>My wife was diagnosed type 2 on Dec 24th and put on 500 mg Metformin by the ER doctor. When we finally got her in to the family doctor on Jan 12th, her dose was increased to twice a day for a total of 1000 mg. Her glucose levels still run around 150-200 after meals so today her doctor started her on Glyburide instead of Metformin.  She took her first dose with dinner and 90 minutes later she felt weird and checked her levels.... 61! She ate some applause and 30 minutes later she is now at 90.
We are still fairly new to this, I’ve only been diagnosed diabetic about 6 months or so ago so 61 scared the crap out of us. 
Could the Glyburide be too strong for her? Did the doctor not give the Metformin enough time to work?
We could use some advice. Thanks.</t>
        </is>
      </c>
      <c r="D4224" t="n">
        <v>2</v>
      </c>
      <c r="E4224" t="n">
        <v>3</v>
      </c>
      <c r="F4224">
        <f>HYPERLINK("https://www.reddit.com/r/diabetes/comments/7xvvzh/does_anyone_use_glyburide/")</f>
        <v/>
      </c>
      <c r="G4224" t="inlineStr">
        <is>
          <t>2018-02-15 19:07:00</t>
        </is>
      </c>
      <c r="H4224" t="inlineStr">
        <is>
          <t>Type 2</t>
        </is>
      </c>
    </row>
    <row r="4225">
      <c r="A4225" t="inlineStr">
        <is>
          <t>7xzuri</t>
        </is>
      </c>
      <c r="B4225" t="inlineStr">
        <is>
          <t>I don't know what type I am</t>
        </is>
      </c>
      <c r="C4225" t="inlineStr">
        <is>
          <t>Hello,
Last week I was admitted to the hospital with ketoacidosis. My blood glucose level was 450 at urgent care so they immediately sent me to the emergency room. They told me that I have T1D and to do all the insulin things relating to that. Since then I've felt so much better.
However, during a followup visit with a diabetes instructor nurse, she said I might have T2D and to not think of it as either until I see the endocrinologist next week. Today I looked through the tests the hospital put online and I really don't get it. From what I understand, my glutamic acid decarboxylase should be up if I have T1D, right? The test said I had 0.00 nmol/L. The only other relevant test I saw was for beta hydroxybutyrate at 7.96 mmol/L where it should be under 0.3, but I think that just confirms it was ketoacidosis. As far as I can tell there was no c peptide test.
I have no idea what any of this means and the diabetes instructor just said to wait for the endocrinologist, but I'm freaking out until then. Does anyone have any ideas?
EDIT: I also had an A1c of 11.4 if that makes any difference</t>
        </is>
      </c>
      <c r="D4225" t="n">
        <v>2</v>
      </c>
      <c r="E4225" t="n">
        <v>25</v>
      </c>
      <c r="F4225">
        <f>HYPERLINK("https://www.reddit.com/r/diabetes/comments/7xzuri/i_dont_know_what_type_i_am/")</f>
        <v/>
      </c>
      <c r="G4225" t="inlineStr">
        <is>
          <t>2018-02-16 08:26:10</t>
        </is>
      </c>
      <c r="H4225" t="inlineStr">
        <is>
          <t>Type 1</t>
        </is>
      </c>
    </row>
    <row r="4226">
      <c r="A4226" t="inlineStr">
        <is>
          <t>7y3ja3</t>
        </is>
      </c>
      <c r="B4226" t="inlineStr">
        <is>
          <t>I need some advice (im also venting)</t>
        </is>
      </c>
      <c r="C4226" t="inlineStr">
        <is>
          <t>[things to know about me] 
I’m not a native English speaker and I’m typing this on my phone, so sorry for any typos.
I was diagnosed with T1 diabetes back in 2015.
I use the freestyle libre for my glucose and pens to inject novorapid and tresiba.
This post is on my throwaway account so to stay anominous.
I’m in the middle of puberty so that might have something to do with it.
I’m not secretive about my diabetes. Basically everyone I know knows about my diabetes.
Ever since I got diabetes I’ve been struggeling with my blood glucose. Because of that I’m tired very often and missing a lot of school. And because of that I’m getting stressed out because of my bad grades what makes me more tired ect. My school doesn’t understand this so they want to send me to some kind of special education. Thanks to my very nice and supportive mom and hospital I’m getting a second chance to get my grades up, but I don’t think I’m able to do it. I’m also starting to feel a bit down and depressed again. I should be able to switch quite easily to a pump or a different glucose meter. Health care in the Netherlands is great compaired to the things I’ve read on this sub. I need some advice from a stranger on the internet.
TLDR: I need advice on how to keep my glucose levels right to stay in a normal school.</t>
        </is>
      </c>
      <c r="D4226" t="n">
        <v>6</v>
      </c>
      <c r="E4226" t="n">
        <v>17</v>
      </c>
      <c r="F4226">
        <f>HYPERLINK("https://www.reddit.com/r/diabetes/comments/7y3ja3/i_need_some_advice_im_also_venting/")</f>
        <v/>
      </c>
      <c r="G4226" t="inlineStr">
        <is>
          <t>2018-02-16 17:17:11</t>
        </is>
      </c>
      <c r="H4226" t="inlineStr">
        <is>
          <t>Type 1</t>
        </is>
      </c>
    </row>
    <row r="4227">
      <c r="A4227" t="inlineStr">
        <is>
          <t>7y44ma</t>
        </is>
      </c>
      <c r="B4227" t="inlineStr">
        <is>
          <t>I'm sure you get a lot of posts like this... Newly diagnosed but don't have any details yet. Help!</t>
        </is>
      </c>
      <c r="C4227" t="inlineStr">
        <is>
          <t xml:space="preserve">Like the title says, I've gotten the initial diagnosis, but haven't gotten a chance to go over the results of the test with my doctor yet.  I keep making the mistake of googling the tests and results, and that doesn't seem to be helping.  I am hoping you fine folks could possibly take a look at my story and tell me any insights you might have.
I have been tested a few times throughout my life, so I know that my numbers have been normal up through most of my twenties.  I got pregnant and at the start of my third trimester I was diagnosed with Gestational Diabetes.  My number was about 245 on the 1 hour glucose, so I automatically got referred to an endo who put me on insulin and a relatively easy to follow diet (although i missed cupcakes and ice cream like crazy).  This was about two years ago.  Within two weeks after the birth my numbers were back to normal (although I didn't test much to track it, but they were in a normal range)
Fast forward to last July.  I was working from home and decided to test after a lunch of a sandwich and apple sauce. My number an hour after eating was 215.  I called the doctor and got in for an A1C.  I don't recall was the specific number was, but it was right on the cusp of normal and prediabetic.  The doc sent me on my way.
Now, three days ago, my husband noticed that I was drinking a ton of water lately and he said maybe I should test.  This was maybe an hour and a half after 3 pieces of freezer pizza, about a half cup of ice cream, and a few tablespoons of my sons leftover apple sauce.  My number was 519, test again, 545, test again 35 minutes later, 508.  I thought something was wrong with the test. 
Next day I go into the doc and she orders a blood and urine test.  She also preemptively ordered a metformin prescription based on the results that I showed her.  They were still in the 300's the next day, during which I was eating low carb.
Now, I know this is asking a lot, and I really appreciate you if you are still reading this, but I would love for someone to give me any information you can on these results.  I am under the impression that I would be type 2.  Do I follow the same diet that I followed when I was pregnant?  Am I going to have to be on insulin again?
HEMOGLOBIN A1C SCREENING	7.8 %
BUN/CREAT RATIO	13  
CREATININE	0.77 mg/dL
BUN	10 mg/dL
ALBUMIN,URINE	  80 mg/L	
CREATININE,URINE	50 mg/dL
ALBUMIN/CREAT RATIO	&amp;gt;300 mg/G	
Also, any recommendations on diet?  I am reading on here that the Keto diet seems to be popular.  
Thank you ahead of time for any and all help, you are cutting down on the amount of anxiety and defeat I feel right now.
And for the record, I do have a doctors appointment next week, but next week feels like a lifetime away and I would love to hear others first hand experiences-helps me not feel so alone (as cliche as that sounds)
</t>
        </is>
      </c>
      <c r="D4227" t="n">
        <v>2</v>
      </c>
      <c r="E4227" t="n">
        <v>11</v>
      </c>
      <c r="F4227">
        <f>HYPERLINK("https://www.reddit.com/r/diabetes/comments/7y44ma/im_sure_you_get_a_lot_of_posts_like_this_newly/")</f>
        <v/>
      </c>
      <c r="G4227" t="inlineStr">
        <is>
          <t>2018-02-16 19:03:56</t>
        </is>
      </c>
      <c r="H4227" t="inlineStr">
        <is>
          <t>Type 2</t>
        </is>
      </c>
    </row>
    <row r="4228">
      <c r="A4228" t="inlineStr">
        <is>
          <t>7y4cbm</t>
        </is>
      </c>
      <c r="B4228" t="inlineStr">
        <is>
          <t>T2 under control but I get headaches</t>
        </is>
      </c>
      <c r="C4228" t="inlineStr">
        <is>
          <t xml:space="preserve">I am a T2 with good control, (latest a1c is 5.8) I’m also eating healthy and exercising and losing a lot of weight. 
Recently though I started getting headaches right after eating, usually before the meal ends. This feels like the headaches I used to get back when my BSL would hit 250+. Except when this happens and i test my bsl is normal. 
Today I had a soup and salad for dinner. I got the headache and didn’t measure right away but at two hours post dinner I was at 93. So I’m definitely not going too high. No pattern of what I eat either. Just seems like it’s happening each night after dinner. 
Anyone know what this might be? </t>
        </is>
      </c>
      <c r="D4228" t="n">
        <v>1</v>
      </c>
      <c r="E4228" t="n">
        <v>5</v>
      </c>
      <c r="F4228">
        <f>HYPERLINK("https://www.reddit.com/r/diabetes/comments/7y4cbm/t2_under_control_but_i_get_headaches/")</f>
        <v/>
      </c>
      <c r="G4228" t="inlineStr">
        <is>
          <t>2018-02-16 19:46:55</t>
        </is>
      </c>
      <c r="H4228" t="inlineStr">
        <is>
          <t>Type 2</t>
        </is>
      </c>
    </row>
    <row r="4229">
      <c r="A4229" t="inlineStr">
        <is>
          <t>7y5fwi</t>
        </is>
      </c>
      <c r="B4229" t="inlineStr">
        <is>
          <t>Hives and inflammation after giving injection. (T1)</t>
        </is>
      </c>
      <c r="C4229" t="inlineStr">
        <is>
          <t>I’ve been a T1 since I was diagnosed in 2003 and I’ve had this issue now for the second time in my life.
The first time was in 2006 when injecting into my legs. I had used both legs before and never had a problem, except with irregular absorption. Within about 3-5 minutes after giving my shot, I  would become hot and itchy in various places on my body, accompanied by massive hives. The burning would be everywhere that sensitive, including my groin and inside my ears. The doctors chalked it up to an insulin problem and changed me to Lantus and NovoRapide, with the issue never occurring again... until this past week.
I started a new med, Wellbutrin, a few weeks ago and had to stop it because it gave me hives, but not right away. It’s not a common occurrence, but it is documented. It’s strange for me, since I don’t have any other allergies. It took about 10 days for the hives appear.
It’s now been well over a week and the constant hives have gone, although they are occurring at night when I take my Lantus. Within 5 minutes I’m afflicted.
Antihistamines work well, and I’ve been resorting to liquid Benedryl since it also makes me sleep. I’m just hoping this isn’t long term. Has anyone experienced this before?</t>
        </is>
      </c>
      <c r="D4229" t="n">
        <v>1</v>
      </c>
      <c r="E4229" t="n">
        <v>2</v>
      </c>
      <c r="F4229">
        <f>HYPERLINK("https://www.reddit.com/r/diabetes/comments/7y5fwi/hives_and_inflammation_after_giving_injection_t1/")</f>
        <v/>
      </c>
      <c r="G4229" t="inlineStr">
        <is>
          <t>2018-02-17 00:04:19</t>
        </is>
      </c>
      <c r="H4229" t="inlineStr">
        <is>
          <t>Type 1</t>
        </is>
      </c>
    </row>
    <row r="4230">
      <c r="A4230" t="inlineStr">
        <is>
          <t>7y61dk</t>
        </is>
      </c>
      <c r="B4230" t="inlineStr">
        <is>
          <t>Any T1 pilots out there? Fixed wing or rotary wing.</t>
        </is>
      </c>
      <c r="C4230" t="inlineStr">
        <is>
          <t>Ever since I was a kid, I’ve wanted to be a pilot. I got diagnosed w/ T1 when I was 11, and I’m also very mildly colorblind.
Is there any hope for pursuing these pilot dreams? I wanted to see if any of y’all are pilots, have been pilots with type 1, or know anybody who is/was.
Is there any possibility of doing commercial pilot work with either/both of these conditions?
If it’s relevant, I’m currently living in the US.
Any advice or ideas are welcome :)</t>
        </is>
      </c>
      <c r="D4230" t="n">
        <v>1</v>
      </c>
      <c r="E4230" t="n">
        <v>1</v>
      </c>
      <c r="F4230">
        <f>HYPERLINK("https://www.reddit.com/r/diabetes/comments/7y61dk/any_t1_pilots_out_there_fixed_wing_or_rotary_wing/")</f>
        <v/>
      </c>
      <c r="G4230" t="inlineStr">
        <is>
          <t>2018-02-17 02:54:14</t>
        </is>
      </c>
      <c r="H4230" t="inlineStr">
        <is>
          <t>Type 1</t>
        </is>
      </c>
    </row>
    <row r="4231">
      <c r="A4231" t="inlineStr">
        <is>
          <t>7y93p1</t>
        </is>
      </c>
      <c r="B4231" t="inlineStr">
        <is>
          <t>7.5 A1C!</t>
        </is>
      </c>
      <c r="C4231" t="inlineStr">
        <is>
          <t xml:space="preserve">I still have a long ways to go, however, this is my best A1C in over 3 years! It was 9.3 six months ago, and 8.5 just three months ago. I need to get it below 7, and i will be working hard to do that these coming three months.
Just wanted to let you all know and thank you for helping me! </t>
        </is>
      </c>
      <c r="D4231" t="n">
        <v>60</v>
      </c>
      <c r="E4231" t="n">
        <v>9</v>
      </c>
      <c r="F4231">
        <f>HYPERLINK("https://www.reddit.com/r/diabetes/comments/7y93p1/75_a1c/")</f>
        <v/>
      </c>
      <c r="G4231" t="inlineStr">
        <is>
          <t>2018-02-17 12:15:06</t>
        </is>
      </c>
      <c r="H4231" t="inlineStr">
        <is>
          <t>Type 1</t>
        </is>
      </c>
    </row>
    <row r="4232">
      <c r="A4232" t="inlineStr">
        <is>
          <t>7yb627</t>
        </is>
      </c>
      <c r="B4232" t="inlineStr">
        <is>
          <t>Tricks to quickly lower blood sugar?</t>
        </is>
      </c>
      <c r="C4232" t="inlineStr">
        <is>
          <t>I have been high all day and feel like shit. I’ve now given a LOT of Humalog to correct the high, but it’s not budging. I’m going out soon and would like to stop feeling like I have maple syrup instead of blood. 
Does anyone have any quick tricks to get their blood sugar to drop fast?
Normally a correction dose and eating would do it (my liver likes to dump glucagon if I haven’t eaten), but that isn’t working today. 
Edit 11pm C: Down to 105! Thanks for reminding me things I had completely forgotten in my frustration! :)</t>
        </is>
      </c>
      <c r="D4232" t="n">
        <v>2</v>
      </c>
      <c r="E4232" t="n">
        <v>18</v>
      </c>
      <c r="F4232">
        <f>HYPERLINK("https://www.reddit.com/r/diabetes/comments/7yb627/tricks_to_quickly_lower_blood_sugar/")</f>
        <v/>
      </c>
      <c r="G4232" t="inlineStr">
        <is>
          <t>2018-02-17 17:41:55</t>
        </is>
      </c>
      <c r="H4232" t="inlineStr">
        <is>
          <t>Type 1</t>
        </is>
      </c>
    </row>
    <row r="4233">
      <c r="A4233" t="inlineStr">
        <is>
          <t>7yb8o2</t>
        </is>
      </c>
      <c r="B4233" t="inlineStr">
        <is>
          <t>Dexcom - readings all over the place with new transmitter and sensor</t>
        </is>
      </c>
      <c r="C4233" t="inlineStr">
        <is>
          <t>Curious if this is a common thing. Paired a new sensor and I’ve never had readings so off. In the last few hours, I’ve had two urgent low alarms and in between them, one high alert. Each time I checked my bg was between 90 and 120.   It usually takes a little while after a new sensor for my readings to fall into place - but never this long or so off.  Thinking it might be the new transmitter and I wait it out- if it keeps on like this I’ll call customer service. Just curious if this happens to others here as well and whether anyone has tips for getting it on track.</t>
        </is>
      </c>
      <c r="D4233" t="n">
        <v>1</v>
      </c>
      <c r="E4233" t="n">
        <v>13</v>
      </c>
      <c r="F4233">
        <f>HYPERLINK("https://www.reddit.com/r/diabetes/comments/7yb8o2/dexcom_readings_all_over_the_place_with_new/")</f>
        <v/>
      </c>
      <c r="G4233" t="inlineStr">
        <is>
          <t>2018-02-17 17:54:18</t>
        </is>
      </c>
      <c r="H4233" t="inlineStr">
        <is>
          <t>Type 1</t>
        </is>
      </c>
    </row>
    <row r="4234">
      <c r="A4234" t="inlineStr">
        <is>
          <t>7yc7vj</t>
        </is>
      </c>
      <c r="B4234" t="inlineStr">
        <is>
          <t>Starving all the time...</t>
        </is>
      </c>
      <c r="C4234" t="inlineStr">
        <is>
          <t>So I'll preface with the fact that I do plan on speaking with my endo about this when I see her on the 1st, but I was curious if anyone else experiences this. I am hungry all the damn time. I'm talking like I can eat a big meal and then be hungry again 20 minutes later. I'm about a month in to MDI and it seems like my ratios are pretty good (1:12 at meals and 21 units of basaglar at night). I have had a few lows recently, but usually when I'm feeling hungry like this my bs is normal. Most of the time I don't want to eat more because I either would have to dose for it and risk going low or not dose and go high. And even when I do low/no carb snacks I'm still hungry again like immediately. Any suggestions are appreciated!</t>
        </is>
      </c>
      <c r="D4234" t="n">
        <v>1</v>
      </c>
      <c r="E4234" t="n">
        <v>22</v>
      </c>
      <c r="F4234">
        <f>HYPERLINK("https://www.reddit.com/r/diabetes/comments/7yc7vj/starving_all_the_time/")</f>
        <v/>
      </c>
      <c r="G4234" t="inlineStr">
        <is>
          <t>2018-02-17 20:56:00</t>
        </is>
      </c>
      <c r="H4234" t="inlineStr">
        <is>
          <t>Type 1.5/LADA</t>
        </is>
      </c>
    </row>
    <row r="4235">
      <c r="A4235" t="inlineStr">
        <is>
          <t>7yhkc5</t>
        </is>
      </c>
      <c r="B4235" t="inlineStr">
        <is>
          <t>Diabetic friendly alcohol beverages</t>
        </is>
      </c>
      <c r="C4235" t="inlineStr">
        <is>
          <t xml:space="preserve">Heading to the Orlando/St. Pete’s area on vacation. First time I’ve been on vacation since being diagnosed. Usually on vacation I’m all about them frozen strawberry Daiquiris, but I just looked up the carb count, and I don’t think that’ll be happening.  wondering if anyone knows of any diabetic friendly mixed drinks I can order, or even any restaurants that make their drinks with sugar free syrups! </t>
        </is>
      </c>
      <c r="D4235" t="n">
        <v>1</v>
      </c>
      <c r="E4235" t="n">
        <v>20</v>
      </c>
      <c r="F4235">
        <f>HYPERLINK("https://www.reddit.com/r/diabetes/comments/7yhkc5/diabetic_friendly_alcohol_beverages/")</f>
        <v/>
      </c>
      <c r="G4235" t="inlineStr">
        <is>
          <t>2018-02-18 13:37:03</t>
        </is>
      </c>
      <c r="H4235" t="inlineStr">
        <is>
          <t>Type 1</t>
        </is>
      </c>
    </row>
    <row r="4236">
      <c r="A4236" t="inlineStr">
        <is>
          <t>7yhztf</t>
        </is>
      </c>
      <c r="B4236" t="inlineStr">
        <is>
          <t>Posted a similar post before regarding sensors... but how do you guys keep Omnipods on?</t>
        </is>
      </c>
      <c r="C4236" t="inlineStr">
        <is>
          <t>I've started using skin tac wipes for my sensor and my pods. Works great for the sensor, but my pods will still sometimes want to fall off in as little as 24 hours depending on the humidity (I live in Mississippi) and how much I sweat. Are there tapes large enough to cover the entire pod that will stand up to the elements? Is there something stronger than skin tac wipes?</t>
        </is>
      </c>
      <c r="D4236" t="n">
        <v>1</v>
      </c>
      <c r="E4236" t="n">
        <v>8</v>
      </c>
      <c r="F4236">
        <f>HYPERLINK("https://www.reddit.com/r/diabetes/comments/7yhztf/posted_a_similar_post_before_regarding_sensors/")</f>
        <v/>
      </c>
      <c r="G4236" t="inlineStr">
        <is>
          <t>2018-02-18 14:39:46</t>
        </is>
      </c>
      <c r="H4236" t="inlineStr">
        <is>
          <t>Type 1</t>
        </is>
      </c>
    </row>
    <row r="4237">
      <c r="A4237" t="inlineStr">
        <is>
          <t>7ynywe</t>
        </is>
      </c>
      <c r="B4237" t="inlineStr">
        <is>
          <t>Using Dexcom on the beach</t>
        </is>
      </c>
      <c r="C4237" t="inlineStr">
        <is>
          <t>Has anyone had experience with using their dexcom while on a beach vacation? Is there anything I need to worry about or watch out for other than the inevitable sensor tan?</t>
        </is>
      </c>
      <c r="D4237" t="n">
        <v>1</v>
      </c>
      <c r="E4237" t="n">
        <v>5</v>
      </c>
      <c r="F4237">
        <f>HYPERLINK("https://www.reddit.com/r/diabetes/comments/7ynywe/using_dexcom_on_the_beach/")</f>
        <v/>
      </c>
      <c r="G4237" t="inlineStr">
        <is>
          <t>2018-02-19 08:44:23</t>
        </is>
      </c>
      <c r="H4237" t="inlineStr">
        <is>
          <t>Type 1</t>
        </is>
      </c>
    </row>
    <row r="4238">
      <c r="A4238" t="inlineStr">
        <is>
          <t>7yqqrh</t>
        </is>
      </c>
      <c r="B4238" t="inlineStr">
        <is>
          <t>Has anyone experienced pain/stinging at cannula site when using Fiasp?</t>
        </is>
      </c>
      <c r="C4238" t="inlineStr">
        <is>
          <t>I currently use the Animas vibe pump and have just changed from novorapid to Fiasp. Every time I bolus I get stinging/pain which gets worse with unit increases. I just wondered if this was a common side effect? If so does anyone have any tips to make it stop/reduce? I have tried various different sites and changing my cannula more regularly (every 2 days rather than 3) and it doesn't seems to help, I currently use the 6mm cannula's would 9mm be better? I have found my bm's to be much better than with novorapid however I don't know whether this benefits outweigh the pain of every bolus.</t>
        </is>
      </c>
      <c r="D4238" t="n">
        <v>1</v>
      </c>
      <c r="E4238" t="n">
        <v>3</v>
      </c>
      <c r="F4238">
        <f>HYPERLINK("https://www.reddit.com/r/diabetes/comments/7yqqrh/has_anyone_experienced_painstinging_at_cannula/")</f>
        <v/>
      </c>
      <c r="G4238" t="inlineStr">
        <is>
          <t>2018-02-19 14:19:48</t>
        </is>
      </c>
      <c r="H4238" t="inlineStr">
        <is>
          <t>Type 1</t>
        </is>
      </c>
    </row>
    <row r="4239">
      <c r="A4239" t="inlineStr">
        <is>
          <t>7ysx1c</t>
        </is>
      </c>
      <c r="B4239" t="inlineStr">
        <is>
          <t>Have you tried a water diet?</t>
        </is>
      </c>
      <c r="C4239" t="inlineStr">
        <is>
          <t>Did you find any success with it? I want to try it but after about 15 hours I get tremendous headaches. And with school and work I just can't make it work. But with a 280mg/dl fasting I really want to try this to get over my terrible eating habits and have an (essentially) nice fresh start.</t>
        </is>
      </c>
      <c r="D4239" t="n">
        <v>1</v>
      </c>
      <c r="E4239" t="n">
        <v>15</v>
      </c>
      <c r="F4239">
        <f>HYPERLINK("https://www.reddit.com/r/diabetes/comments/7ysx1c/have_you_tried_a_water_diet/")</f>
        <v/>
      </c>
      <c r="G4239" t="inlineStr">
        <is>
          <t>2018-02-19 19:41:42</t>
        </is>
      </c>
      <c r="H4239" t="inlineStr">
        <is>
          <t>Type 2</t>
        </is>
      </c>
    </row>
    <row r="4240">
      <c r="A4240" t="inlineStr">
        <is>
          <t>7ytehz</t>
        </is>
      </c>
      <c r="B4240" t="inlineStr">
        <is>
          <t>Financial side of T1D in College?</t>
        </is>
      </c>
      <c r="C4240" t="inlineStr">
        <is>
          <t>Hey all. I'm 18, gonna be college next school year. For the first year I'm going to be living with my parents. They also are taking care of my medical bills and such as well. I guess my question is - how do full time students afford their doctor's appt's and medication while in college? Do all of them rely on their parents? Or do you have to get a job just to pay for the necessities? How exactly does this work?
Thanks.</t>
        </is>
      </c>
      <c r="D4240" t="n">
        <v>2</v>
      </c>
      <c r="E4240" t="n">
        <v>9</v>
      </c>
      <c r="F4240">
        <f>HYPERLINK("https://www.reddit.com/r/diabetes/comments/7ytehz/financial_side_of_t1d_in_college/")</f>
        <v/>
      </c>
      <c r="G4240" t="inlineStr">
        <is>
          <t>2018-02-19 21:04:49</t>
        </is>
      </c>
      <c r="H4240" t="inlineStr">
        <is>
          <t>Type 1</t>
        </is>
      </c>
    </row>
    <row r="4241">
      <c r="A4241" t="inlineStr">
        <is>
          <t>7ytl2t</t>
        </is>
      </c>
      <c r="B4241" t="inlineStr">
        <is>
          <t>Story/somebody with a similar situation?</t>
        </is>
      </c>
      <c r="C4241" t="inlineStr">
        <is>
          <t xml:space="preserve">Hi there, new type 1 (at least for the moment, still waiting for antibodies and C-Peptide) so, at the beginning of December, I was really tired, thirsty and went a loooot to the bathroom, also,  I started to see really blurry (I related this with my myopia). At christmas, my appetite was almost gone. Well, Thursday 12/28, I'm started to throw up almost everything I ate or drank, this lasts until 12/31 (yeah, three days) so my dad took me to the clinic and they put on me an IV, also had tachycardia. Diagnostic: stomach flu. With the IV I started to feel better, spent two days there. I had an ultrasound to see if my organs were right and at the night I went to home with some meds for my heartburn. I didn't eat anything, but the heartburn was killing me. 4am 01/03 I started to throw up all over the floor, my mom took me to the clinic again but there was no doctors to attend me, so we went back to home and waited, I took a pill for the heartburn and I was able to sleep a little bit. Went to the clinic again at 8am and they put on me an IV again. The doctor said that they needed to do an endoscopy to see what was wrong with my stomach. 11am they took a blood and pee sample. 2pm the doctor came to my room and said "dude, you're diabetic" my face was "wut?" they started to put insulin on me but I needed more cares so I ended in the ICU almost five days without my smartphone or anything else to entertain me :( They put on me like 4 IV, took blood samples everyday, even more than one the same day aaaand controlled my BS and blood pressure every two hours. To all this, the doctors couldn't believe that I entered the ICU talking and walking without help, but feeling like shit. Hope that the high blood sugar sustained in the time not damaged something on me.
Resume: I spent like 7 days in DKA until I was diagnosed.
P/D: sorry if you find some errors, it's not my native language. </t>
        </is>
      </c>
      <c r="D4241" t="n">
        <v>2</v>
      </c>
      <c r="E4241" t="n">
        <v>11</v>
      </c>
      <c r="F4241">
        <f>HYPERLINK("https://www.reddit.com/r/diabetes/comments/7ytl2t/storysomebody_with_a_similar_situation/")</f>
        <v/>
      </c>
      <c r="G4241" t="inlineStr">
        <is>
          <t>2018-02-19 21:38:02</t>
        </is>
      </c>
      <c r="H4241" t="inlineStr">
        <is>
          <t>Type 1</t>
        </is>
      </c>
    </row>
    <row r="4242">
      <c r="A4242" t="inlineStr">
        <is>
          <t>7yv6af</t>
        </is>
      </c>
      <c r="B4242" t="inlineStr">
        <is>
          <t>Looking for someone with diabetes type 2 for a small interview.</t>
        </is>
      </c>
      <c r="C4242" t="inlineStr">
        <is>
          <t>Hey guys,
I'm studying physiotherapy in the Netherlands and I'm working on a self-management project at the moment.
I chose to focus a bit mor eon diabetes type 2 patients and would need someone to do a small interview about it with me.
If somebody woule be motivated to have a chat with me, I would be really happy!
Best regards! :)</t>
        </is>
      </c>
      <c r="D4242" t="n">
        <v>1</v>
      </c>
      <c r="E4242" t="n">
        <v>3</v>
      </c>
      <c r="F4242">
        <f>HYPERLINK("https://www.reddit.com/r/diabetes/comments/7yv6af/looking_for_someone_with_diabetes_type_2_for_a/")</f>
        <v/>
      </c>
      <c r="G4242" t="inlineStr">
        <is>
          <t>2018-02-20 03:21:44</t>
        </is>
      </c>
      <c r="H4242" t="inlineStr">
        <is>
          <t>Type 2</t>
        </is>
      </c>
    </row>
    <row r="4243">
      <c r="A4243" t="inlineStr">
        <is>
          <t>7yxkw5</t>
        </is>
      </c>
      <c r="B4243" t="inlineStr">
        <is>
          <t>Effectiveness and Safety of a Novel Care Model for the Management of Type 2 Diabetes at 1 Year: An Open-Label, Non-Randomized, Controlled Study [Virta Health - Ketogenic Diet reverses T2D]</t>
        </is>
      </c>
      <c r="C4243" t="inlineStr">
        <is>
          <t>https://link.springer.com/article/10.1007%2Fs13300-018-0373-9
Hey there,
I'm a mod over at /r/ketoscience and I noticed you guys don't have this study's results posted. You should know that a company called Virta Health has created an online app that helps diabetics with doing a very low carb ketogenic diet and that people in the program have reversed their diabetes by limiting carbohydrate intake. 
**Abstract**
**Introduction**
&amp;gt;Carbohydrate restriction markedly improves glycemic control in patients with type 2 diabetes (T2D) but necessitates prompt medication changes. Therefore, we assessed the effectiveness and safety of a novel care model providing continuous remote care with medication management based on biometric feedback combined with the metabolic approach of nutritional ketosis for T2D management.
**Methods**
&amp;gt;We conducted an open-label, non-randomized, controlled, before-and-after 1-year study of this continuous care intervention (CCI) and usual care (UC). Primary outcomes were glycosylated hemoglobin (HbA1c), weight, and medication use. Secondary outcomes included fasting serum glucose and insulin, HOMA-IR, blood lipids and lipoproteins, liver and kidney function markers, and high-sensitivity C-reactive protein (hsCRP).
**Results**
&amp;gt;349 adults with T2D enrolled: CCI: n = 262 [mean (SD); 54 (8) years, 116.5 (25.9) kg, 40.4 (8.8) kg m2, 92% obese, 88% prescribed T2D medication]; UC: n = 87 (52 (10) years, 105.6 (22.15) kg, 36.72 (7.26) kg m2, 82% obese, 87% prescribed T2D medication]. 218 participants (83%) remained enrolled in the CCI at 1 year. Intention-to-treat analysis of the CCI (mean ± SE) revealed HbA1c declined from 59.6 ± 1.0 to 45.2 ± 0.8 mmol mol−1 (7.6 ± 0.09% to 6.3 ± 0.07%, P &amp;lt; 1.0 × 10−16), weight declined 13.8 ± 0.71 kg (P &amp;lt; 1.0 × 10−16), and T2D medication prescription other than metformin declined from 56.9 ± 3.1% to 29.7 ± 3.0% (P &amp;lt; 1.0 × 10−16). Insulin therapy was reduced or eliminated in 94% of users; sulfonylureas were entirely eliminated in the CCI. No adverse events were attributed to the CCI. Additional CCI 1-year effects were HOMA-IR − 55% (P = 3.2 × 10−5), hsCRP − 39% (P &amp;lt; 1.0 × 10−16), triglycerides − 24% (P &amp;lt; 1.0 × 10−16), HDL-cholesterol + 18% (P &amp;lt; 1.0 × 10−16), and LDL-cholesterol + 10% (P = 5.1 × 10−5); serum creatinine and liver enzymes (ALT, AST, and ALP) declined (P ≤ 0.0001), and apolipoprotein B was unchanged (P = 0.37). UC participants had no significant changes in biomarkers or T2D medication prescription at 1 year.
**Conclusions**
&amp;gt;These results demonstrate that a novel metabolic and continuous remote care model can support adults with T2D to safely improve HbA1c, weight, and other biomarkers while reducing diabetes medication use.</t>
        </is>
      </c>
      <c r="D4243" t="n">
        <v>0</v>
      </c>
      <c r="E4243" t="n">
        <v>0</v>
      </c>
      <c r="F4243">
        <f>HYPERLINK("https://www.reddit.com/r/diabetes/comments/7yxkw5/effectiveness_and_safety_of_a_novel_care_model/")</f>
        <v/>
      </c>
      <c r="G4243" t="inlineStr">
        <is>
          <t>2018-02-20 09:16:11</t>
        </is>
      </c>
      <c r="H4243" t="inlineStr">
        <is>
          <t>Type 2</t>
        </is>
      </c>
    </row>
    <row r="4244">
      <c r="A4244" t="inlineStr">
        <is>
          <t>7yy52l</t>
        </is>
      </c>
      <c r="B4244" t="inlineStr">
        <is>
          <t>Man this is really overwhelming.</t>
        </is>
      </c>
      <c r="C4244" t="inlineStr">
        <is>
          <t xml:space="preserve">It's me again. I'm learning more and more that my diabetes education was completely substandard, and even worse I was BG near 300 during my education. I read the book "Think like a pancreas" and I'm meandering my way through "Bright Spots and Landmines", but they both seem like a masterclass when I am still getting a handle on the basics... still really helpful and I expect every time I re-read it I'll pick up more ways to get tighter control. I actually wish I was diagnosed as a child so I could have had all this shit ingrained in my life vs. feeling like I got discharged from the hospital with a fistful of insulin and a "good luck your first endo appt. is in a month try not to die before then". It really pisses me off that I'm watching youtube vids of 7 year olds to get a better handle of what this disease is like and how you're supposed to adjust your habits to work with it.
I'm measuring my blood sugar before/after meals and when I wake/sleep. I'm counting carbs as best I can and using my sliding scale to calculate insulin doses. I'm waiting 15 min. after dosing before eating to prevent post-meal spikes, because feeling like my eyes are swimming in alcohol doesn't help me keep my job. I took a 30 min. walk today post-meal. That is all. Not gonna worry about it today.
</t>
        </is>
      </c>
      <c r="D4244" t="n">
        <v>6</v>
      </c>
      <c r="E4244" t="n">
        <v>23</v>
      </c>
      <c r="F4244">
        <f>HYPERLINK("https://www.reddit.com/r/diabetes/comments/7yy52l/man_this_is_really_overwhelming/")</f>
        <v/>
      </c>
      <c r="G4244" t="inlineStr">
        <is>
          <t>2018-02-20 10:23:43</t>
        </is>
      </c>
      <c r="H4244" t="inlineStr">
        <is>
          <t>Type 1</t>
        </is>
      </c>
    </row>
    <row r="4245">
      <c r="A4245" t="inlineStr">
        <is>
          <t>7yyroi</t>
        </is>
      </c>
      <c r="B4245" t="inlineStr">
        <is>
          <t>Peak blood sugar 4 hours after eating?</t>
        </is>
      </c>
      <c r="C4245" t="inlineStr">
        <is>
          <t>I'm type 2 and pregnant, in my first trimester.  I was previously well-controlled with glipizide and metformin (less than 120 2 hrs pp, 75-100 inbetween meals) but my fasting numbers were about 130, no matter what I did.  My doctor recently switched me to Lantus and novolog, taking me off of all my other meds.  I test obsessively, sometimes 8x a day, even though my doctors only requested 4.  
All of this was supposed to lower those morning numbers (it hasn't) and prevent the low blood sugars I was having (yup it did that.  I no longer drop below 100 between meals, ever.). The weirdest part is that my 2 hour pp numbers are pretty good, usually around 120, but 4 hours after eating, (when I would like to eat something else), my blood sugar has gone up to 140.  What the heck?   (I'd never have known about this if I stuck to their testing schedule, BTW).  Am I just too insulin resistant for this protocol to work?  
I was taking 12 units Lantus, and then 4 units novolog with each meal, as prescribed.  My doctor upped my Lantus to 16 yesterday,  and my morning glucose was even higher today.  I'm currently trying to eat around 20-30 g of carb per meal, less than 80 total a day.  My doctors are fussing at me to eat 175g a day (I know, right???) But there is no way I can do that with just insulin.  I never thought I'd miss "metfartin" , but gosh this has me a nervous wreck.  I just want a healthy baby.</t>
        </is>
      </c>
      <c r="D4245" t="n">
        <v>2</v>
      </c>
      <c r="E4245" t="n">
        <v>27</v>
      </c>
      <c r="F4245">
        <f>HYPERLINK("https://www.reddit.com/r/diabetes/comments/7yyroi/peak_blood_sugar_4_hours_after_eating/")</f>
        <v/>
      </c>
      <c r="G4245" t="inlineStr">
        <is>
          <t>2018-02-20 11:38:33</t>
        </is>
      </c>
      <c r="H4245" t="inlineStr">
        <is>
          <t>Type 2</t>
        </is>
      </c>
    </row>
    <row r="4246">
      <c r="A4246" t="inlineStr">
        <is>
          <t>7z01dd</t>
        </is>
      </c>
      <c r="B4246" t="inlineStr">
        <is>
          <t>X-rays and insulin</t>
        </is>
      </c>
      <c r="C4246" t="inlineStr">
        <is>
          <t>Is it true that insulin shouldn't go through x rays? I am getting different opinion and heard stories of people being completely fine using insulin afterwards, but my physician says the rays would affect the insulin</t>
        </is>
      </c>
      <c r="D4246" t="n">
        <v>0</v>
      </c>
      <c r="E4246" t="n">
        <v>12</v>
      </c>
      <c r="F4246">
        <f>HYPERLINK("https://www.reddit.com/r/diabetes/comments/7z01dd/xrays_and_insulin/")</f>
        <v/>
      </c>
      <c r="G4246" t="inlineStr">
        <is>
          <t>2018-02-20 14:06:36</t>
        </is>
      </c>
      <c r="H4246" t="inlineStr">
        <is>
          <t>Type 1</t>
        </is>
      </c>
    </row>
    <row r="4247">
      <c r="A4247" t="inlineStr">
        <is>
          <t>7z1cqi</t>
        </is>
      </c>
      <c r="B4247" t="inlineStr">
        <is>
          <t>My mother is a T2 diabetic for 18 years, her A1C is 10.0 she takes humalog and lantus, and inconsistently takes metformin. Bad Diet. Need Advice!</t>
        </is>
      </c>
      <c r="C4247" t="inlineStr">
        <is>
          <t>Hi,
I'm just looking for advice to help my mother. She is 52 years old. She has been type 2 diabetic since having her fifth child... so for 18 years. My mother is about 5'5" and weighs 160lbs. My mom likes sweets. We always have some form of cookies or cake in the house. She also likes tea and always adds sugar and creamer - she drinks tea atleast 3-4 times a day... though lately she has been trying to use stevia but she hates the taste. 
My mom's A1C last year was 9.8. This year it has gone up to 10.0. 
She has never been on a consistent regimen, constantly jumping from endocrinologist to endocrinologist. She checks her sugar maybe once a day, and it's nearly always in the 'teens. She has been prescribed diamicron, januvia, metformin, jardiance, invokana, lantus, and humalog and probably more I don't even know about. She fills the scripts and takes maybe one or two doses and quits. She says that all the pills have bad side effects.
The only thing she has been consistent in taking is her Lantus (30 units at bedtime) and humalog (between 5-10 units) twice a day depending on size of meals.  
She has been better about trying to take Metformin, the doctor said 1000mg twice a day... she only takes one dose a day instead, if she decides that
I need serious help in how to convince my mom to stick to a medication regimen and also serious tips on how I can help her lower her sweets intake. Any cookbooks or recipes you can recommend.
Also her cholesterol is up and she can't take any of the meds perscribed because they cause her joint and muscle pains... so any tips you have on lowering her cholesterol too. Thanks!</t>
        </is>
      </c>
      <c r="D4247" t="n">
        <v>7</v>
      </c>
      <c r="E4247" t="n">
        <v>14</v>
      </c>
      <c r="F4247">
        <f>HYPERLINK("https://www.reddit.com/r/diabetes/comments/7z1cqi/my_mother_is_a_t2_diabetic_for_18_years_her_a1c/")</f>
        <v/>
      </c>
      <c r="G4247" t="inlineStr">
        <is>
          <t>2018-02-20 17:00:10</t>
        </is>
      </c>
      <c r="H4247" t="inlineStr">
        <is>
          <t>Type 2</t>
        </is>
      </c>
    </row>
    <row r="4248">
      <c r="A4248" t="inlineStr">
        <is>
          <t>7z1tda</t>
        </is>
      </c>
      <c r="B4248" t="inlineStr">
        <is>
          <t>What is the difference between a CGM and FGM? Which is better? How can a T2 diabetic get this covered under insurance in Canada?</t>
        </is>
      </c>
      <c r="C4248" t="inlineStr">
        <is>
          <t xml:space="preserve">What is the difference between a CGM and FGM? Which is better? How can a T2 diabetic get this covered under insurance in Canada? </t>
        </is>
      </c>
      <c r="D4248" t="n">
        <v>3</v>
      </c>
      <c r="E4248" t="n">
        <v>22</v>
      </c>
      <c r="F4248">
        <f>HYPERLINK("https://www.reddit.com/r/diabetes/comments/7z1tda/what_is_the_difference_between_a_cgm_and_fgm/")</f>
        <v/>
      </c>
      <c r="G4248" t="inlineStr">
        <is>
          <t>2018-02-20 18:04:38</t>
        </is>
      </c>
      <c r="H4248" t="inlineStr">
        <is>
          <t>Type 2</t>
        </is>
      </c>
    </row>
    <row r="4249">
      <c r="A4249" t="inlineStr">
        <is>
          <t>7z2pzm</t>
        </is>
      </c>
      <c r="B4249" t="inlineStr">
        <is>
          <t>Type 1 brother's long-term bad HBA1C now causing symptoms of neuropathy &amp;amp; eye disease, and he still refuses to get diet under control...</t>
        </is>
      </c>
      <c r="C4249" t="inlineStr">
        <is>
          <t>Hello everyone,
My apologies for the throw-away account and my lack of knowledge on the matter, but I need some advice.
My younger brother (mid 20s) has had Type 1 diabetes since a very young age, and hasn't taken care of it very well for probably for at least a decade or so. Basically ever since adolescence and adulthood has made it difficult for my parents to get through to him and "tell him how to live his life". I don't have much insight into it, he never wanted to share much information about it and before it got bad, I moved away, but I do know that his HBA1C value has probably been around 10-12% for years.
More recently, he has started receiving treatment for numbness and severe pain in his feet and legs, and pain in his eyes. Apparently, his HBA1C value has improved somewhat, but he is still chugging energy drinks daily and eating unhealthy food like junk food and candy, an overall really bad diet.
When my parents bring it up or ask about it, my brother doesn't wanna talk about it, if they push it, he gets frustrated or angry. My parents don't know what to do anymore and feel like they worry more about his health than him. As his older brother, I have not really brought it up with him for a long, long time (I live overseas now and don't see/talk to him often), but both my parents and I think that maybe, if I do it right, I could be able to get through to him.
I don't have any sort of health / medical issues, and have been very lucky both with my health and my work. He has been less fortunate in really any direction. Yet, he is very smart and has a good heart. I fear that right now, he has lost any drive for the effort to make things better, because things seem hopeless and dire when he looks into the future, and he doesn't want to think ahead. He rather shuts himself in and distracts himself.
When I bring it up, I don't want to come off like the know-it-all older brother who really knows nothing about how hard his life is. And I also wanna make sure that I am indeed constructive to the situation.
Now my question is: How do I do that? How do I approach it so it feels genuine and helpful, and not like just another person telling him how he's "doing bad"? Any tactics or ways to suggest a positive experience that makes it feel like I am on his side?
Also, once these symptoms begin kicking in at his age, how much of a chance is there that things can get better for him, can his body heal? I apologize if I am asking basic questions, but my web research has only given me so many answers.
He lives in Germany, so health insurance etc. is not the problem.
I appreciate any advice.</t>
        </is>
      </c>
      <c r="D4249" t="n">
        <v>33</v>
      </c>
      <c r="E4249" t="n">
        <v>41</v>
      </c>
      <c r="F4249">
        <f>HYPERLINK("https://www.reddit.com/r/diabetes/comments/7z2pzm/type_1_brothers_longterm_bad_hba1c_now_causing/")</f>
        <v/>
      </c>
      <c r="G4249" t="inlineStr">
        <is>
          <t>2018-02-20 20:16:41</t>
        </is>
      </c>
      <c r="H4249" t="inlineStr">
        <is>
          <t>Type 1</t>
        </is>
      </c>
    </row>
    <row r="4250">
      <c r="A4250" t="inlineStr">
        <is>
          <t>7z36g1</t>
        </is>
      </c>
      <c r="B4250" t="inlineStr">
        <is>
          <t>Medtronic closed loop system</t>
        </is>
      </c>
      <c r="C4250" t="inlineStr">
        <is>
          <t xml:space="preserve">Has anyone used it? I am getting it this week (hopefully - they said it should ship tomorrow). I would love feedback. I was diagnosed about 2 1/2 years ago and have been on a mini med ever since - I am hoping this will help better control nighttime lows and post workout lows. </t>
        </is>
      </c>
      <c r="D4250" t="n">
        <v>6</v>
      </c>
      <c r="E4250" t="n">
        <v>6</v>
      </c>
      <c r="F4250">
        <f>HYPERLINK("https://www.reddit.com/r/diabetes/comments/7z36g1/medtronic_closed_loop_system/")</f>
        <v/>
      </c>
      <c r="G4250" t="inlineStr">
        <is>
          <t>2018-02-20 21:29:41</t>
        </is>
      </c>
      <c r="H4250" t="inlineStr">
        <is>
          <t>Type 1</t>
        </is>
      </c>
    </row>
    <row r="4251">
      <c r="A4251" t="inlineStr">
        <is>
          <t>7z67rc</t>
        </is>
      </c>
      <c r="B4251" t="inlineStr">
        <is>
          <t>Rough diabetes day already</t>
        </is>
      </c>
      <c r="C4251" t="inlineStr">
        <is>
          <t>My blood sugar has been out of whack for several weeks now. Highs overnight and sometimes during the day. I am determined to correct this so I altered my diet and set up a fasting test schedule that was set to begin this morning. 
The plan was to get up early to eat a big, low carb breakfast and then skip lunch to test my basal levels from 11-5. I set alarms throughout the night so I could correct the highs and begin today on a good level for the fasting test. 
Dexcom was all over the place and I drank a juice box when it alerted me to an urgent low. I then tested with my meter and was at 180 so that was pointless. I treated the high and covered the juice box and went back to sleep. I woke up a few hours later expecting to be in a good range and I was at 350 because my fucking pump tubing come undone and I wasn't getting any insulin. I brought that down and woke up at 190 and dropping. 
By the time I left to go eat breakfast, I was at 90. I ate scrambled eggs and bacon so zero carbs but I still covered with 1 unit of insulin. I then proceeded to spike from 90 to 295 for no fucking reason, effectively ruining my fasting test before it even began.
I'm so so frustrated and sick of dealing with this disease.</t>
        </is>
      </c>
      <c r="D4251" t="n">
        <v>25</v>
      </c>
      <c r="E4251" t="n">
        <v>17</v>
      </c>
      <c r="F4251">
        <f>HYPERLINK("https://www.reddit.com/r/diabetes/comments/7z67rc/rough_diabetes_day_already/")</f>
        <v/>
      </c>
      <c r="G4251" t="inlineStr">
        <is>
          <t>2018-02-21 07:11:50</t>
        </is>
      </c>
      <c r="H4251" t="inlineStr">
        <is>
          <t>Type 1</t>
        </is>
      </c>
    </row>
    <row r="4252">
      <c r="A4252" t="inlineStr">
        <is>
          <t>7z7h32</t>
        </is>
      </c>
      <c r="B4252" t="inlineStr">
        <is>
          <t>How can I prolong my honeymoon phase for as long as possible without a low carb diet?</t>
        </is>
      </c>
      <c r="C4252" t="inlineStr">
        <is>
          <t>My honeymoon phase started recently, and I'd really like to preserve it for as long as possible, but a dietitian told me it's a bad idea to go low carb (which I've heard is one way to keep the honeymoon phase) as I'm a teenager and need the carbs to grow. This makes sense, but later I asked if I would ever be able to do a low carb diet, and they said "no, you shouldn't ever do that." This, along with the 230g carbs per day recommendation they gave me, made me extremely skeptical (also, I started reading Dr. Bernstein's Diabetes Solution recently and he says that high carbs will end my honeymoon phase sooner, while a low carb diet can extend it. Is this true?)
I'm really not sure what I should do. I really want to keep my honeymoon phase as long as possible, but I probably really do need the carbs. Will a low carb diet harm me or stunt my growth? If so, how can I keep mine for an extended period of time without cutting carbs? Were you able to extend your honeymoon without eating low carb? If you can answer any of these questions, please reply, it would be much appreciated.
tl;dr: Will a low carb diet stunt my growth? What are other ways besides a low carb diet I can use to keep my remaining pancreatic function?</t>
        </is>
      </c>
      <c r="D4252" t="n">
        <v>2</v>
      </c>
      <c r="E4252" t="n">
        <v>33</v>
      </c>
      <c r="F4252">
        <f>HYPERLINK("https://www.reddit.com/r/diabetes/comments/7z7h32/how_can_i_prolong_my_honeymoon_phase_for_as_long/")</f>
        <v/>
      </c>
      <c r="G4252" t="inlineStr">
        <is>
          <t>2018-02-21 09:49:32</t>
        </is>
      </c>
      <c r="H4252" t="inlineStr">
        <is>
          <t>Type 1</t>
        </is>
      </c>
    </row>
    <row r="4253">
      <c r="A4253" t="inlineStr">
        <is>
          <t>7z80ll</t>
        </is>
      </c>
      <c r="B4253" t="inlineStr">
        <is>
          <t>Can I get some advice to ease my anxiety?</t>
        </is>
      </c>
      <c r="C4253" t="inlineStr">
        <is>
          <t xml:space="preserve">Hey all, Type 1 here. I was wearing my thick comfy winter socks for 3 days in a row (take them off at night) other than that I've literally left the house once so can't be shoes. But i have blisters on the top of each big toe. When I google it i'm given a hundred pictures of black feet and ulcers and YOU'LL LOSE YOUR FOOT stuff. not really encouraging... 
I have Panic disorder and generalized anxiety as well so seeing worst case scenarios really isn't helping. i'm due to see my doctor soon but even if i call now it'll take a couple days to get in. 
So should I worry? Do you guys have any tips? They haven't popped yet. left foot is small barely there just red, right foot is about 1/4", more blistery and a bump, was hurting in my sleep under the covers all night. I know your never supposed to ignore foot stuff as a diabetic and i think this is the first time I've actually gotten a blister on my foot.
Thanks in advance!
</t>
        </is>
      </c>
      <c r="D4253" t="n">
        <v>2</v>
      </c>
      <c r="E4253" t="n">
        <v>10</v>
      </c>
      <c r="F4253">
        <f>HYPERLINK("https://www.reddit.com/r/diabetes/comments/7z80ll/can_i_get_some_advice_to_ease_my_anxiety/")</f>
        <v/>
      </c>
      <c r="G4253" t="inlineStr">
        <is>
          <t>2018-02-21 10:56:26</t>
        </is>
      </c>
      <c r="H4253" t="inlineStr">
        <is>
          <t>Type 1</t>
        </is>
      </c>
    </row>
    <row r="4254">
      <c r="A4254" t="inlineStr">
        <is>
          <t>7z8abq</t>
        </is>
      </c>
      <c r="B4254" t="inlineStr">
        <is>
          <t>Type 2 Benefits of Tahini</t>
        </is>
      </c>
      <c r="C4254" t="inlineStr">
        <is>
          <t>Two weeks after a bout with food poisoning and a UTI, I ended up in the hospital.  I was then diagnosed with Type 2 diabetes.  This has been since August 2017.  I have been successful in surpassing the goal for A1C but would still have times when my blood sugar would fluctuate wildly.  I started using hummus as a veggie dip and that greatly stabilized my levels.  I thought it was the chick peas but it turns out it was the tahinni(sesame seed paste) in it.  I've been using the tahinni in more and more cooking and I've gotten to the point where I do not have to take insulin before I eat.  I just have to take the Levimir before going to bed.  Hass anyone had good results from tahinni?  Can you recommend other foods like tahinni that you've had success with?</t>
        </is>
      </c>
      <c r="D4254" t="n">
        <v>0</v>
      </c>
      <c r="E4254" t="n">
        <v>3</v>
      </c>
      <c r="F4254">
        <f>HYPERLINK("https://www.reddit.com/r/diabetes/comments/7z8abq/type_2_benefits_of_tahini/")</f>
        <v/>
      </c>
      <c r="G4254" t="inlineStr">
        <is>
          <t>2018-02-21 11:29:21</t>
        </is>
      </c>
      <c r="H4254" t="inlineStr">
        <is>
          <t>Type 2</t>
        </is>
      </c>
    </row>
    <row r="4255">
      <c r="A4255" t="inlineStr">
        <is>
          <t>7z97v8</t>
        </is>
      </c>
      <c r="B4255" t="inlineStr">
        <is>
          <t>Some times a new doctor helps (my success story)</t>
        </is>
      </c>
      <c r="C4255" t="inlineStr">
        <is>
          <t xml:space="preserve">First, I'm new to this sub so I apologize in advance if this is off topic or not the right place to post this. I thought maybe my learnings over the last year may help someone?
The TL;DR version is I've had T2 diabetes for ~20 years. I changed doctors at the beginning of 2017. She put me on different meds and I dropped a ton of weight and yesterday I'm pump free! 
I was diagnosed with type 2 diabetes back 97-98. I remember it well, I was already displaying symptoms (peeing a lot, etc) and I had already setup an appointment to get it checked out. The Sunday prior I was in our local Walmart and they were doing free diabetes tests. The nurse checked my blood sugar and went pale - she started asking me if I felt okay, if I wanted to sit down, etc. My blood sugar was over 400. She was completely freaked out. I felt fine, ironically enough.  Went to the doctor shortly after and she confirmed the Walmart test - I was diabetic.
For the next year or so, I tried various oral medications, changes to the diet, etc. None of it really impacted me, so my doctor moved me to insulin (Lantus and Humalog). Eventually the U100 was not doing enough and they moved me to Humalog U500. That stabilized my numbers.
Roughly 10 years ago I got on the Omnipod Insulin Pump. I really loved it - it really helped keep things stable and my numbers were decent. However, I was taking ~50U of U500 daily between bolus and basal.  I also noticed my weight was going up - I was never thin, but I was starting to push 300. I considered gastric bypass  - I actually bailed on the process right before the surgery. I felt like I hadn't tried everything - though my doctors didn't really have any other thoughts.
One of my challenges was my endocrinologist - she made me feel like a "bad diabetic". If my H1c was too high, she'd yell at me (and I'm not exaggerating).   I already felt pretty bad about it - her pushing didn't help. I eventually dropped her and just had my primary keep me going.
We moved at the end of 2016 and my current Primary was just too far away. I found a new one closer and he wanted me to go see a new endocrinologist in their system. I went to see her and she went through all of my meds and everything and we started to make changes.
First was metformin - I had tried it when I was first diagnosed and I couldn't tolerate it. This time I did much better -  I still had the gas and the upset stomach, but it wasn't uncontrollable like the first time. That started to help bring my numbers down, as did going to a dietician.  
I've been to dietician in the past and knew the whole counting carbs routine - I felt good about that. So this dietician started to look at my testing numbers and pointed out how inconsistent I was (something my new doctor notices as well). They got me on a CGM (Dexcom) which I really love.
After I settled down with the metformin, my doctor put me on Victoza. That was another case of getting use to it - I still get the occasional side effect, but seeing my numbers makes it totally worth it. We also moved me down from U500 to U100 since my numbers were improving.
Almost a year later, I'm down from 300lbs to 225lbs. My H1c yesterday was 4.9 (yes, my doctor said that may be a bit too low). I've reduced my insulin need to almost nothing - starting today I'm off the pod and off the short acting insulin. I do take a small shot (8U) of Lantus, the metformin, and Victoza. According to DexCom, my blood sugars in 98% in range (I blame that donut on the other 2% :) ).
My take away here is that sometimes it's worth talking to someone new. At least have them confirm you are on the right path. Maybe consider what new options are available. I didn't know that I had options - I had no idea what Victoza was or if I could use a CGM. It took a new doctor who was asking her own questions which helped me figure out what I didn't know. 
 </t>
        </is>
      </c>
      <c r="D4255" t="n">
        <v>6</v>
      </c>
      <c r="E4255" t="n">
        <v>7</v>
      </c>
      <c r="F4255">
        <f>HYPERLINK("https://www.reddit.com/r/diabetes/comments/7z97v8/some_times_a_new_doctor_helps_my_success_story/")</f>
        <v/>
      </c>
      <c r="G4255" t="inlineStr">
        <is>
          <t>2018-02-21 13:23:54</t>
        </is>
      </c>
      <c r="H4255" t="inlineStr">
        <is>
          <t>Type 2</t>
        </is>
      </c>
    </row>
    <row r="4256">
      <c r="A4256" t="inlineStr">
        <is>
          <t>7z9kd6</t>
        </is>
      </c>
      <c r="B4256" t="inlineStr">
        <is>
          <t>7.5 A1c for the first time in 4 years.</t>
        </is>
      </c>
      <c r="C4256" t="inlineStr">
        <is>
          <t>Next March will mark 8 years since my Type 1 Diabetes onset. Last visit my A1c had risen to 8.8 which was really discouraging. My highest A1c, during the peak of my depression, was over 10.0. I'm really proud of myself for being healthy both mentally and physically after struggling so hard and for so long, so I figured I'd share :)</t>
        </is>
      </c>
      <c r="D4256" t="n">
        <v>66</v>
      </c>
      <c r="E4256" t="n">
        <v>6</v>
      </c>
      <c r="F4256">
        <f>HYPERLINK("https://www.reddit.com/r/diabetes/comments/7z9kd6/75_a1c_for_the_first_time_in_4_years/")</f>
        <v/>
      </c>
      <c r="G4256" t="inlineStr">
        <is>
          <t>2018-02-21 14:08:46</t>
        </is>
      </c>
      <c r="H4256" t="inlineStr">
        <is>
          <t>Type 1</t>
        </is>
      </c>
    </row>
    <row r="4257">
      <c r="A4257" t="inlineStr">
        <is>
          <t>7zbwgg</t>
        </is>
      </c>
      <c r="B4257" t="inlineStr">
        <is>
          <t>Diabetic with Flu - no jab *emergency?*</t>
        </is>
      </c>
      <c r="C4257" t="inlineStr">
        <is>
          <t>I've just woken up with flu symptomns - chills, headache, sore throat. I could feel it coming on yesterday evening but now I'm fully there.
This is the first time in years I haven't had the flu jab and have just been reading all the online articles of how this is one of the deadliest in years. I'm now petrified. 
Is there anything I can do now? It's 3am here in the UK but don't know if I should phone a doctor or something?
I'm 27 years old, have been diabetic for 10 years and this is the first time I've had the flu. I've been checking my BG and so far it seems fine. 
Please help.</t>
        </is>
      </c>
      <c r="D4257" t="n">
        <v>1</v>
      </c>
      <c r="E4257" t="n">
        <v>21</v>
      </c>
      <c r="F4257">
        <f>HYPERLINK("https://www.reddit.com/r/diabetes/comments/7zbwgg/diabetic_with_flu_no_jab_emergency/")</f>
        <v/>
      </c>
      <c r="G4257" t="inlineStr">
        <is>
          <t>2018-02-21 19:49:29</t>
        </is>
      </c>
      <c r="H4257" t="inlineStr">
        <is>
          <t>Type 1</t>
        </is>
      </c>
    </row>
    <row r="4258">
      <c r="A4258" t="inlineStr">
        <is>
          <t>7zcreo</t>
        </is>
      </c>
      <c r="B4258" t="inlineStr">
        <is>
          <t>taking metformin for 2 weeks, my perscription glasses and contact lenses are now useless, yet I now see better without either.</t>
        </is>
      </c>
      <c r="C4258" t="inlineStr">
        <is>
          <t>So newly diagnosed type 2 here, i was put on metformin and lisinopril, which i have been taking for 2 weeks now.  Well slowly I noticed my vision decline.  I could no longer read things up close, and distance was blurry.  Needless to say i was scared shitless.  I do wear corrective lenses, and I have had the same glasses and contact lens perscription for the past 10 years, however, i can see better now without them!  Its not 100 percent, but better than i have ever seen without the aid of corrective lenses in years.  Im just wondering if anyone else has noticed 'improvement' in vision after taking metformin?  And will it go back to my 'normal' vision after awhile?</t>
        </is>
      </c>
      <c r="D4258" t="n">
        <v>4</v>
      </c>
      <c r="E4258" t="n">
        <v>4</v>
      </c>
      <c r="F4258">
        <f>HYPERLINK("https://www.reddit.com/r/diabetes/comments/7zcreo/taking_metformin_for_2_weeks_my_perscription/")</f>
        <v/>
      </c>
      <c r="G4258" t="inlineStr">
        <is>
          <t>2018-02-21 22:20:31</t>
        </is>
      </c>
      <c r="H4258" t="inlineStr">
        <is>
          <t>Type 2</t>
        </is>
      </c>
    </row>
    <row r="4259">
      <c r="A4259" t="inlineStr">
        <is>
          <t>7zeys3</t>
        </is>
      </c>
      <c r="B4259" t="inlineStr">
        <is>
          <t>Worried about my granddad</t>
        </is>
      </c>
      <c r="C4259" t="inlineStr">
        <is>
          <t xml:space="preserve">My 85 year old granddad has type 2 diabetes but eats a lot of sugar still. On a typical day he has cornflakes, white toast, a sandwich on white bread, crisps, a desert like an éclair and biscuits. It's a terrible diet even for some without diabetes. The doctors give conflicting opinions. Some seem to say he should eradicate sugar and others seem to think it doesn't matter because he's old anyway. </t>
        </is>
      </c>
      <c r="D4259" t="n">
        <v>1</v>
      </c>
      <c r="E4259" t="n">
        <v>9</v>
      </c>
      <c r="F4259">
        <f>HYPERLINK("https://www.reddit.com/r/diabetes/comments/7zeys3/worried_about_my_granddad/")</f>
        <v/>
      </c>
      <c r="G4259" t="inlineStr">
        <is>
          <t>2018-02-22 05:44:49</t>
        </is>
      </c>
      <c r="H4259" t="inlineStr">
        <is>
          <t>Type 2</t>
        </is>
      </c>
    </row>
    <row r="4260">
      <c r="A4260" t="inlineStr">
        <is>
          <t>7zf802</t>
        </is>
      </c>
      <c r="B4260" t="inlineStr">
        <is>
          <t>[T1] Insulin resistance suddenly far too strong?</t>
        </is>
      </c>
      <c r="C4260" t="inlineStr">
        <is>
          <t>I've had my share of insulin-resistant periods in the past. Usually after a bad day or two I have to up my dosages by 1.5 or 2x to get it back to normal, but what's happening right now is downright absurd.  
I'm bolusing 3-4x normal dosage, for half the intended effect. 15 units will bring me from 270 to 200 over several hours, fasting, when I used to only need 5u or so to go from 300 to 150 in 2 hours. 
On top of that, I'll get random spikes throughout the night where my blood sugar drops by like 100 units in 30 minutes, for no reason at all.
I'm taking hummalog through an Omnipod pump, with Dexcom CGM. I'm really a little frightened and I don't know what to do. I'm running out of insulin extremely fast with these massive boluses. I've tried:
-Changing insulin vials
-Changing infusion sites (from thigh to arm)
-Changing CGM
What else could be the problem? Is it lifestyle issues? I don't exercise much sure, and I know it's good for you, but I didn't think it would be such a massive concern?  
I don't think I'm developing type 2 diabetes, at least I hope. I'm only 18, American Overweight (225lb) and was diagnosed not 3 years ago.
Help??</t>
        </is>
      </c>
      <c r="D4260" t="n">
        <v>5</v>
      </c>
      <c r="E4260" t="n">
        <v>15</v>
      </c>
      <c r="F4260">
        <f>HYPERLINK("https://www.reddit.com/r/diabetes/comments/7zf802/t1_insulin_resistance_suddenly_far_too_strong/")</f>
        <v/>
      </c>
      <c r="G4260" t="inlineStr">
        <is>
          <t>2018-02-22 06:24:38</t>
        </is>
      </c>
      <c r="H4260" t="inlineStr">
        <is>
          <t>Type 1</t>
        </is>
      </c>
    </row>
    <row r="4261">
      <c r="A4261" t="inlineStr">
        <is>
          <t>7zgt4s</t>
        </is>
      </c>
      <c r="B4261" t="inlineStr">
        <is>
          <t>Time for a new pump</t>
        </is>
      </c>
      <c r="C4261" t="inlineStr">
        <is>
          <t>Ok. I’ve been on the Omnipod for 5 years, and I love it. I use it with the dexcom g5. My only complaint is the adhesive drives me crazy! I’ve done tough pads and Flonase and all that stuff, but it didn’t help. I just have sensitive skin. 
   Anyhow. It’s time for a new pump. My warranty is up. My HbA1C is a bit higher than I like at 7.0. So my dr suggested I go to the MiniMed 670g. I know it’s supposed to be great, but I’m not sure it’s worth having tubes. Anybody make this switch and love it?? Or made the switch and hated it?</t>
        </is>
      </c>
      <c r="D4261" t="n">
        <v>3</v>
      </c>
      <c r="E4261" t="n">
        <v>12</v>
      </c>
      <c r="F4261">
        <f>HYPERLINK("https://www.reddit.com/r/diabetes/comments/7zgt4s/time_for_a_new_pump/")</f>
        <v/>
      </c>
      <c r="G4261" t="inlineStr">
        <is>
          <t>2018-02-22 09:53:27</t>
        </is>
      </c>
      <c r="H4261" t="inlineStr">
        <is>
          <t>Type 1</t>
        </is>
      </c>
    </row>
    <row r="4262">
      <c r="A4262" t="inlineStr">
        <is>
          <t>7zhj8o</t>
        </is>
      </c>
      <c r="B4262" t="inlineStr">
        <is>
          <t>Medtronic 670g auto issues</t>
        </is>
      </c>
      <c r="C4262" t="inlineStr">
        <is>
          <t xml:space="preserve">Hello everyone wanted to see if other people had a similar experience. I recently got a medtronic 670g and was recently put into auto mode by my trainer. First day was good and after that I am just constantly high, it doesn't matter what I eat and also exercising goes right back up. My bg normally is around 120ish but seems auto mode sucks so far. Who else has had a similar experience? Thanks in advance </t>
        </is>
      </c>
      <c r="D4262" t="n">
        <v>10</v>
      </c>
      <c r="E4262" t="n">
        <v>5</v>
      </c>
      <c r="F4262">
        <f>HYPERLINK("https://www.reddit.com/r/diabetes/comments/7zhj8o/medtronic_670g_auto_issues/")</f>
        <v/>
      </c>
      <c r="G4262" t="inlineStr">
        <is>
          <t>2018-02-22 11:22:18</t>
        </is>
      </c>
      <c r="H4262" t="inlineStr">
        <is>
          <t>Type 1</t>
        </is>
      </c>
    </row>
    <row r="4263">
      <c r="A4263" t="inlineStr">
        <is>
          <t>7zhpko</t>
        </is>
      </c>
      <c r="B4263" t="inlineStr">
        <is>
          <t>Released from ICU 1 week ago after DKA, Newly diagnosed eating low carb and not taking my insulin, am i crazy?</t>
        </is>
      </c>
      <c r="C4263" t="inlineStr">
        <is>
          <t xml:space="preserve">Edit: I flaired as type 2 but haven't actually received any info as to what diabetes I actually have 
can someone help me shed some light on whats been going on with me. last week i went to the er with dka symptoms. i was peeing near every hour and my mouth was constantly dry, those symptoms lasted probably since November, then the last 2 weeks before i went to the er i was forcing food in my mouth, throwing up half the time, falling asleep throughout the day, basically close to a coma as i learned later. i checked my blood sugar a couple days before i went to the er and got a HI reading, so i knew i had to go in. The night of the ER my BG was 395, and a couple days later they told me my a1c was at a 12. i spent 5 nights in the ICU being pumped with potassium IVs and insulin till i was close to normal. they put me on 50 units of lantis every morning and 10 units + sliding scale of humalog for after i got out. however the past 3 days ive been checking religiously and haven't taken any insulin day 1 was around a 200 average, then ive been going down since and been running around 170-190 today. is this a honeymoon phase kinda thing or is my body catching up. im a 22 year old male i was about 375lbs before i had symptoms but now im down to about 315 after all this DKA stuff took over my body. sorry if this just sounds like a giant ramble im not the best writer. ive been eating sometimes 5g of carbs a meal up to last night i ate about 60g of carbs in pizza and my blood sugar was only a 170 when i woke up in the morning! i have a follow up with a GP who was looking after me everyday in the ICU next week and then an endo visit who saw me everyday in 2 weeks. i ate like shit before i went to the hospital but havent even drank pop since ive been out and can gladly give up all the junk if it means i dont have to stab myself (besides testing i can live with that) </t>
        </is>
      </c>
      <c r="D4263" t="n">
        <v>6</v>
      </c>
      <c r="E4263" t="n">
        <v>18</v>
      </c>
      <c r="F4263">
        <f>HYPERLINK("https://www.reddit.com/r/diabetes/comments/7zhpko/released_from_icu_1_week_ago_after_dka_newly/")</f>
        <v/>
      </c>
      <c r="G4263" t="inlineStr">
        <is>
          <t>2018-02-22 11:44:35</t>
        </is>
      </c>
      <c r="H4263" t="inlineStr">
        <is>
          <t>Type 2</t>
        </is>
      </c>
    </row>
    <row r="4264">
      <c r="A4264" t="inlineStr">
        <is>
          <t>7zi9nz</t>
        </is>
      </c>
      <c r="B4264" t="inlineStr">
        <is>
          <t>CGM Users that work a 9-5, do you bring your original testing kit to work with you?</t>
        </is>
      </c>
      <c r="C4264" t="inlineStr">
        <is>
          <t>Title. I am getting my dexcom g5 tomorrow! (So excited), this is big for me because I am very anxious about testing in public. Everyone in the office knows I am T1, but I still don't feel comfy enough, so I test in the bathroom. I also don't go out with friends - who also know I have t1 because I am too "ashamed" to test in public. My question to you is do you still bring your test kit to work with you? I am in the process of correcting and tightening my numbers after running a little high - so I get false hypos from time to time. I see myself panicking when I see that I am at 96 mg/dl but I am shakey and I feel it might be low - so I'd grab for my test kit to be sure. Is this an anxiety people get before they get their first CGM? This is a pretty big deal for me because I feel its one step closer for me controlling this disease, rather than controlling me - very liberating actually. Thanks Lads and Lasses</t>
        </is>
      </c>
      <c r="D4264" t="n">
        <v>1</v>
      </c>
      <c r="E4264" t="n">
        <v>19</v>
      </c>
      <c r="F4264">
        <f>HYPERLINK("https://www.reddit.com/r/diabetes/comments/7zi9nz/cgm_users_that_work_a_95_do_you_bring_your/")</f>
        <v/>
      </c>
      <c r="G4264" t="inlineStr">
        <is>
          <t>2018-02-22 12:56:08</t>
        </is>
      </c>
      <c r="H4264" t="inlineStr">
        <is>
          <t>Type 1</t>
        </is>
      </c>
    </row>
    <row r="4265">
      <c r="A4265" t="inlineStr">
        <is>
          <t>7zitzb</t>
        </is>
      </c>
      <c r="B4265" t="inlineStr">
        <is>
          <t>Thanks to everyone here!</t>
        </is>
      </c>
      <c r="C4265" t="inlineStr">
        <is>
          <t>I was diagnosed with Type 2 diabetes November 8th of last year. My A1C was 12.1, I was tired, thirsty, and running to the bathroom constantly. I immediately cleaned up my diet, started going to the gym consistently, and read this subreddit somewhat obsessively for help. It has all paid off: I'm down 35 pounds, feel great, and my A1C was a freaking 5.2 as of today!!! The advice and stories on this sub have been invaluable. It sucks to be in this club, but at least the members are great :)</t>
        </is>
      </c>
      <c r="D4265" t="n">
        <v>14</v>
      </c>
      <c r="E4265" t="n">
        <v>6</v>
      </c>
      <c r="F4265">
        <f>HYPERLINK("https://www.reddit.com/r/diabetes/comments/7zitzb/thanks_to_everyone_here/")</f>
        <v/>
      </c>
      <c r="G4265" t="inlineStr">
        <is>
          <t>2018-02-22 14:07:59</t>
        </is>
      </c>
      <c r="H4265" t="inlineStr">
        <is>
          <t>Type 2</t>
        </is>
      </c>
    </row>
    <row r="4266">
      <c r="A4266" t="inlineStr">
        <is>
          <t>7zjd69</t>
        </is>
      </c>
      <c r="B4266" t="inlineStr">
        <is>
          <t>Randomly higher readings? How do you know when the honeymoon phase is over?</t>
        </is>
      </c>
      <c r="C4266" t="inlineStr">
        <is>
          <t>I was diagnosed with LADA in September, and since then I’ve enjoyed decent control. My A1C was 10.2 in September, and I got it down to 5.9 as of this month. I don’t know if I’m just having a bad week or what, but despite doing nothing different in terms of diet or exercise, my pre-meal (usually before dinner) readings have climbed up past the 150 (8.3?) mark, which is extremely unusual for me. I don’t know if it’s related or not, but now I’m left wondering if my honeymoon phase is just over. I’ve had very few surprises when it comes to my blood sugar so far, so this is a bit frustrating, and I don’t know where the issue lies which makes it all the more distressing. Should I even be worried? Maybe I’m just crazy and overthinking this, but I’m just curious to know what the warning signs were for other LADA/T1 folks.
Thanks in advance for any insight you might have and I’m sorry if this post is all over the place... I’m just really upset and scared (probably irrationally so)</t>
        </is>
      </c>
      <c r="D4266" t="n">
        <v>1</v>
      </c>
      <c r="E4266" t="n">
        <v>2</v>
      </c>
      <c r="F4266">
        <f>HYPERLINK("https://www.reddit.com/r/diabetes/comments/7zjd69/randomly_higher_readings_how_do_you_know_when_the/")</f>
        <v/>
      </c>
      <c r="G4266" t="inlineStr">
        <is>
          <t>2018-02-22 15:20:01</t>
        </is>
      </c>
      <c r="H4266" t="inlineStr">
        <is>
          <t>Type 1.5/LADA</t>
        </is>
      </c>
    </row>
    <row r="4267">
      <c r="A4267" t="inlineStr">
        <is>
          <t>7zk0l3</t>
        </is>
      </c>
      <c r="B4267" t="inlineStr">
        <is>
          <t>Pump broken help please!</t>
        </is>
      </c>
      <c r="C4267" t="inlineStr">
        <is>
          <t>This is likely a common post so I’m sorry if it is, but my pump stopped working correctly and I can’t use it overnight, will be getting the new one tomorrow afternoon. I only have humalog insulin and syringes to use until then. How should I approach tonight so that I don’t skyrocket as I sleep?</t>
        </is>
      </c>
      <c r="D4267" t="n">
        <v>1</v>
      </c>
      <c r="E4267" t="n">
        <v>4</v>
      </c>
      <c r="F4267">
        <f>HYPERLINK("https://www.reddit.com/r/diabetes/comments/7zk0l3/pump_broken_help_please/")</f>
        <v/>
      </c>
      <c r="G4267" t="inlineStr">
        <is>
          <t>2018-02-22 16:52:50</t>
        </is>
      </c>
      <c r="H4267" t="inlineStr">
        <is>
          <t>Type 1</t>
        </is>
      </c>
    </row>
    <row r="4268">
      <c r="A4268" t="inlineStr">
        <is>
          <t>7zk9eg</t>
        </is>
      </c>
      <c r="B4268" t="inlineStr">
        <is>
          <t>traveling to japan with medication</t>
        </is>
      </c>
      <c r="C4268" t="inlineStr">
        <is>
          <t>i am going to japan for 10 days. i know they have pretty strict drug laws, so i was wondering if anyone has traveled there and how they handled it. 
normally when i go on larger trips like this i take 3 bottles of insulin for my pump, a package of syringes and a few languages pens in case my pump breaks. i’m worried this might be too much with their laws. has anyone had experience with this?</t>
        </is>
      </c>
      <c r="D4268" t="n">
        <v>1</v>
      </c>
      <c r="E4268" t="n">
        <v>5</v>
      </c>
      <c r="F4268">
        <f>HYPERLINK("https://www.reddit.com/r/diabetes/comments/7zk9eg/traveling_to_japan_with_medication/")</f>
        <v/>
      </c>
      <c r="G4268" t="inlineStr">
        <is>
          <t>2018-02-22 17:30:08</t>
        </is>
      </c>
      <c r="H4268" t="inlineStr">
        <is>
          <t>Type 1</t>
        </is>
      </c>
    </row>
    <row r="4269">
      <c r="A4269" t="inlineStr">
        <is>
          <t>7zkoi7</t>
        </is>
      </c>
      <c r="B4269" t="inlineStr">
        <is>
          <t>DIY Loopers (Loop or OpenAPS) - Has anyone tried only jacking in for sleep?</t>
        </is>
      </c>
      <c r="C4269" t="inlineStr">
        <is>
          <t xml:space="preserve">Hi guys, 
I have been toying with the idea of a DIY closed loop system for a while. Problem is, I don't know how to code for shit (I've tried) and I'm genuinely worried about being able to keep all of my gear charged while on the go in a very demanding job that also requires me to keep a bunch of other gadgets charged and so on. I'm a skinny female too, which doesn't help (I don't think -- ladies, I'd love to hear how you carry the kit for a DIY setup on your person at all times...if I'm overthinking it and can use this to justify a medium sized purse purchase, I know just the sample sale this weekend). 
Basically, when my Dexcom CGM is working smoothly, I feel empowered with the information I need to control my BGs during the day. It's when I'm unable to pay attention (aka asleep) that I have the most variation that feels unnecessarily out of my control when I could plug into a DIY closed loop for at least overnight, to start. 
Am I crazy for thinking about this as a way to dip my toes into the DIY loop system? The only hang ups I have about not doing it full time are: (a) Not charging everything (b) Not having a stable connection between everything all the time (c) Not trusting the speed of adjustments needed during exercise as I drop like a rock and (d) I honestly don't know where to begin when it comes to programming my own set up, so my hope is that I can find an old loaner pump, use my normal settings during the day, and switch to a DIY closed loop style system at night. 
Before anyone suggests Medtronic 670G - That's a non-starter for me. Dexcom forever (believe me, I've tried Enlite several times). Also I do not like the restrictions hard coded on target BGs. 
When it comes to programming my own set up: Obviously I'm willing to invest in educating myself and getting the help I need, but am hoping this approach would keep the initial effort low. 
Thanks to all in advance! </t>
        </is>
      </c>
      <c r="D4269" t="n">
        <v>5</v>
      </c>
      <c r="E4269" t="n">
        <v>5</v>
      </c>
      <c r="F4269">
        <f>HYPERLINK("https://www.reddit.com/r/diabetes/comments/7zkoi7/diy_loopers_loop_or_openaps_has_anyone_tried_only/")</f>
        <v/>
      </c>
      <c r="G4269" t="inlineStr">
        <is>
          <t>2018-02-22 18:35:41</t>
        </is>
      </c>
      <c r="H4269" t="inlineStr">
        <is>
          <t>Type 1</t>
        </is>
      </c>
    </row>
    <row r="4270">
      <c r="A4270" t="inlineStr">
        <is>
          <t>7zlxk0</t>
        </is>
      </c>
      <c r="B4270" t="inlineStr">
        <is>
          <t>How long have you had T1D?</t>
        </is>
      </c>
      <c r="C4270" t="inlineStr">
        <is>
          <t>Personally, I was 4 years old when I was diagnosed and I’ve had it for 12 years now, as I’m 16. 
Note: feel free to share as much or as little information as you want, (or none) I understand this can be a personal topic for some people. I look forward to reading these comments! :D</t>
        </is>
      </c>
      <c r="D4270" t="n">
        <v>3</v>
      </c>
      <c r="E4270" t="n">
        <v>44</v>
      </c>
      <c r="F4270">
        <f>HYPERLINK("https://www.reddit.com/r/diabetes/comments/7zlxk0/how_long_have_you_had_t1d/")</f>
        <v/>
      </c>
      <c r="G4270" t="inlineStr">
        <is>
          <t>2018-02-22 22:05:48</t>
        </is>
      </c>
      <c r="H4270" t="inlineStr">
        <is>
          <t>Type 1</t>
        </is>
      </c>
    </row>
    <row r="4271">
      <c r="A4271" t="inlineStr">
        <is>
          <t>7zo45q</t>
        </is>
      </c>
      <c r="B4271" t="inlineStr">
        <is>
          <t>Today we are winning</t>
        </is>
      </c>
      <c r="C4271" t="inlineStr">
        <is>
          <t xml:space="preserve">Our little T1 was diagnosed 8 months ago. A1c at diagnosis was 10.something, two months later is was 8.something.  In October we has our 3rd test and got a 6.2, I was ecstatic but also worried that it was just a fluke.
Today we got another 6.2. In the last 3 months there has been Christmas, a week long camping trip, he's had a cold, had a growth spurt, done swimming lessons and started kindy and we still managed to get a decent number.
Things are much more planned now, we eat lower carb, but not **low** carb and treats far fewer and further between, but I don't cringe like I used to when someone suggests going out to eat or having an ice-cream and for the most part we have reclaimed everything we used to do pre-diagnosis.
Some days diabetes really beats us, but today we are on top of it and living our lives at the same time. </t>
        </is>
      </c>
      <c r="D4271" t="n">
        <v>46</v>
      </c>
      <c r="E4271" t="n">
        <v>8</v>
      </c>
      <c r="F4271">
        <f>HYPERLINK("https://www.reddit.com/r/diabetes/comments/7zo45q/today_we_are_winning/")</f>
        <v/>
      </c>
      <c r="G4271" t="inlineStr">
        <is>
          <t>2018-02-23 05:44:07</t>
        </is>
      </c>
      <c r="H4271" t="inlineStr">
        <is>
          <t>Type 1</t>
        </is>
      </c>
    </row>
    <row r="4272">
      <c r="A4272" t="inlineStr">
        <is>
          <t>7zobmz</t>
        </is>
      </c>
      <c r="B4272" t="inlineStr">
        <is>
          <t>Freestyle sensor no longer works after shower</t>
        </is>
      </c>
      <c r="C4272" t="inlineStr">
        <is>
          <t xml:space="preserve">I've been using the freestyle libre for over a year now and never had any problems with the sensor after showering or even swimming. However this morning I took a 20 minute long shower. Afterwards the reader notified me that there were some problems and I should try again in 10 minutes. I already received this message a few times so I didn't think it would be a problem. For the next 2 hours I tried again a few times until the reader showed the message that the sensor no longer works and I should use a new one. I will definitely try to get it refunded since it wasn't even 5 days old. Did anybody have a similar experience? </t>
        </is>
      </c>
      <c r="D4272" t="n">
        <v>1</v>
      </c>
      <c r="E4272" t="n">
        <v>9</v>
      </c>
      <c r="F4272">
        <f>HYPERLINK("https://www.reddit.com/r/diabetes/comments/7zobmz/freestyle_sensor_no_longer_works_after_shower/")</f>
        <v/>
      </c>
      <c r="G4272" t="inlineStr">
        <is>
          <t>2018-02-23 06:16:23</t>
        </is>
      </c>
      <c r="H4272" t="inlineStr">
        <is>
          <t>Type 1</t>
        </is>
      </c>
    </row>
    <row r="4273">
      <c r="A4273" t="inlineStr">
        <is>
          <t>7zpzfa</t>
        </is>
      </c>
      <c r="B4273" t="inlineStr">
        <is>
          <t>670g, auto mode, marathons and food</t>
        </is>
      </c>
      <c r="C4273" t="inlineStr">
        <is>
          <t>So, I'm in the middle of training for the Twin Cities marathon in October. One of the things I know I've got to do on 10+ mile runs is eat, just to keep my energy up. But I generally haven't been bolusing for it during a run, because I'm just gonna burn it all off quickly anyway.
How do you guys handle this sort of thing?</t>
        </is>
      </c>
      <c r="D4273" t="n">
        <v>5</v>
      </c>
      <c r="E4273" t="n">
        <v>7</v>
      </c>
      <c r="F4273">
        <f>HYPERLINK("https://www.reddit.com/r/diabetes/comments/7zpzfa/670g_auto_mode_marathons_and_food/")</f>
        <v/>
      </c>
      <c r="G4273" t="inlineStr">
        <is>
          <t>2018-02-23 09:56:40</t>
        </is>
      </c>
      <c r="H4273" t="inlineStr">
        <is>
          <t>Type 1</t>
        </is>
      </c>
    </row>
    <row r="4274">
      <c r="A4274" t="inlineStr">
        <is>
          <t>7ztd33</t>
        </is>
      </c>
      <c r="B4274" t="inlineStr">
        <is>
          <t>Freestyle Libre 12 hour waiting period?</t>
        </is>
      </c>
      <c r="C4274" t="inlineStr">
        <is>
          <t>Any way to skip this? Could I put on a 2nd sensor 12 hours before the original dies then not have any downtime?
I’m hoping it doesn’t start the countdown once you connect the reader. 
Thanks for any help!</t>
        </is>
      </c>
      <c r="D4274" t="n">
        <v>1</v>
      </c>
      <c r="E4274" t="n">
        <v>19</v>
      </c>
      <c r="F4274">
        <f>HYPERLINK("https://www.reddit.com/r/diabetes/comments/7ztd33/freestyle_libre_12_hour_waiting_period/")</f>
        <v/>
      </c>
      <c r="G4274" t="inlineStr">
        <is>
          <t>2018-02-23 17:44:22</t>
        </is>
      </c>
      <c r="H4274" t="inlineStr">
        <is>
          <t>Type 1</t>
        </is>
      </c>
    </row>
    <row r="4275">
      <c r="A4275" t="inlineStr">
        <is>
          <t>7ztw7m</t>
        </is>
      </c>
      <c r="B4275" t="inlineStr">
        <is>
          <t>Is my Lantus still good or should I throw it out and start my Basaglar?</t>
        </is>
      </c>
      <c r="C4275" t="inlineStr">
        <is>
          <t>Last night when I took my Lantus I was pretty upset about something unrelated and almost took Humalog instead of Lantus. Fortunately, I realized what I was doing and took the right kind. However, I only caught myself after I put the needle on to the Humalog pen, possibly mixing a miniscule amount of Humalog into the ~20 units of Lantus I have left. I've read that even a tiny bit of cross contamination from Humalog to Lantus can spoil the entire vial. Fortunately, the pen only has, as I said, about 20 units left, so if I need to start a new pen it's not a huge waste. The Lantus doesn't look cloudy. Should I still take it or avoid the risk?</t>
        </is>
      </c>
      <c r="D4275" t="n">
        <v>2</v>
      </c>
      <c r="E4275" t="n">
        <v>3</v>
      </c>
      <c r="F4275">
        <f>HYPERLINK("https://www.reddit.com/r/diabetes/comments/7ztw7m/is_my_lantus_still_good_or_should_i_throw_it_out/")</f>
        <v/>
      </c>
      <c r="G4275" t="inlineStr">
        <is>
          <t>2018-02-23 19:15:18</t>
        </is>
      </c>
      <c r="H4275" t="inlineStr">
        <is>
          <t>Type 1</t>
        </is>
      </c>
    </row>
    <row r="4276">
      <c r="A4276" t="inlineStr">
        <is>
          <t>7zvm36</t>
        </is>
      </c>
      <c r="B4276" t="inlineStr">
        <is>
          <t>Pump holder for lots of dancing</t>
        </is>
      </c>
      <c r="C4276" t="inlineStr">
        <is>
          <t>I'm off to what is essentially a 4-day rave in a couple of weeks and realised I probably won't be wanting to clip my pump to my bra (both for clothing reasons and the amount of sweating I predict!) I also don't think it will slip very securely to leggings seeing as there will be lots of moving around...
I know people like those Spibelt things but I want to reduce bulk and things wrapped around me as much as possible. I'm also UK-based, so any suggestions that I can easily find are most welcome.
I'm sure there is some sort of obvious option I'm missing, but I've never put my pump anywhere but on my belt clip or on my bra!</t>
        </is>
      </c>
      <c r="D4276" t="n">
        <v>4</v>
      </c>
      <c r="E4276" t="n">
        <v>6</v>
      </c>
      <c r="F4276">
        <f>HYPERLINK("https://www.reddit.com/r/diabetes/comments/7zvm36/pump_holder_for_lots_of_dancing/")</f>
        <v/>
      </c>
      <c r="G4276" t="inlineStr">
        <is>
          <t>2018-02-24 01:30:58</t>
        </is>
      </c>
      <c r="H4276" t="inlineStr">
        <is>
          <t>Type 1</t>
        </is>
      </c>
    </row>
    <row r="4277">
      <c r="A4277" t="inlineStr">
        <is>
          <t>7zwxke</t>
        </is>
      </c>
      <c r="B4277" t="inlineStr">
        <is>
          <t>Concerned with meter read reliability.</t>
        </is>
      </c>
      <c r="C4277" t="inlineStr">
        <is>
          <t>I'm kinda new at this and I just got a new One Touch Verio so I could download the data. Just for kicks I tried comparing reads with my old meter(s) - Never had more than one meter. Boy was I surprised, none of them read matched. I had to read the manual which said "don't compare meters." I'm still a little leery about the accuracy thing but I chose the Verio and trashed the rest, it's the newest and presumably the most accurate.</t>
        </is>
      </c>
      <c r="D4277" t="n">
        <v>1</v>
      </c>
      <c r="E4277" t="n">
        <v>2</v>
      </c>
      <c r="F4277">
        <f>HYPERLINK("https://www.reddit.com/r/diabetes/comments/7zwxke/concerned_with_meter_read_reliability/")</f>
        <v/>
      </c>
      <c r="G4277" t="inlineStr">
        <is>
          <t>2018-02-24 06:36:16</t>
        </is>
      </c>
      <c r="H4277" t="inlineStr">
        <is>
          <t>Type 2</t>
        </is>
      </c>
    </row>
    <row r="4278">
      <c r="A4278" t="inlineStr">
        <is>
          <t>7zy289</t>
        </is>
      </c>
      <c r="B4278" t="inlineStr">
        <is>
          <t>Dexcom placement question</t>
        </is>
      </c>
      <c r="C4278" t="inlineStr">
        <is>
          <t>I’ve always placed my sensor on my stomach. I’ve been seeing a lot of post on Instagram and such where people are posting it in various and (to me) odd places. Where do you put you sensor?</t>
        </is>
      </c>
      <c r="D4278" t="n">
        <v>3</v>
      </c>
      <c r="E4278" t="n">
        <v>23</v>
      </c>
      <c r="F4278">
        <f>HYPERLINK("https://www.reddit.com/r/diabetes/comments/7zy289/dexcom_placement_question/")</f>
        <v/>
      </c>
      <c r="G4278" t="inlineStr">
        <is>
          <t>2018-02-24 09:32:18</t>
        </is>
      </c>
      <c r="H4278" t="inlineStr">
        <is>
          <t>Type 1</t>
        </is>
      </c>
    </row>
    <row r="4279">
      <c r="A4279" t="inlineStr">
        <is>
          <t>7zz9rg</t>
        </is>
      </c>
      <c r="B4279" t="inlineStr">
        <is>
          <t>Question about late complications</t>
        </is>
      </c>
      <c r="C4279" t="inlineStr">
        <is>
          <t>I got diagnosed with Type 1 about a month ago, was hospitalized with 47,7 mmol and 12% hba1c. Now I eat 4 meals per day and take my insulin etc. Down to the 5’s and the 6’s etc. Just got an omnipod, and i can’t shake the feeling that i’m gonna go blind idk why, it fucking scares me
I got full control but I can not stop thinking about the blindness thing.. what do you guys think, can I prevent it?</t>
        </is>
      </c>
      <c r="D4279" t="n">
        <v>3</v>
      </c>
      <c r="E4279" t="n">
        <v>15</v>
      </c>
      <c r="F4279">
        <f>HYPERLINK("https://www.reddit.com/r/diabetes/comments/7zz9rg/question_about_late_complications/")</f>
        <v/>
      </c>
      <c r="G4279" t="inlineStr">
        <is>
          <t>2018-02-24 12:27:10</t>
        </is>
      </c>
      <c r="H4279" t="inlineStr">
        <is>
          <t>Type 1</t>
        </is>
      </c>
    </row>
    <row r="4280">
      <c r="A4280" t="inlineStr">
        <is>
          <t>7zzf6y</t>
        </is>
      </c>
      <c r="B4280" t="inlineStr">
        <is>
          <t>Basal insulin question. Posted in /r/Diabetes_T1 also</t>
        </is>
      </c>
      <c r="C4280" t="inlineStr">
        <is>
          <t xml:space="preserve">T1, diagnosed 7 years ago at age 46. Got diabetes after a bought with the flu! Started insulin a year ago after a 6 year honeymoon period. In hindsight I should have started insulin sooner. A1C 8.9% (working on it!)
Hello All,
I have some basal questions. 
I had an issue about a year ago when I got a bad vial of Lantus. I'll spare the details to avoid a wall of text. When I got the bad vial of Lantus, we didn't realize immediately it was the Lantus that was bad. My nightly sugars where going up into the 350 mg/dl range. This was shortly after tests showed my pancreas was now producing almost 0 insulin. The doctors answer was to up my Lantus dosage, which didn't help of course, but seemed reasonable. After gradually upping it from 11 units a day to 16 units a day with no results, I finally got a new pen, and the sugars started to drop back to what they normally were. One thing that was neglected, was to lower my dosage back to what it was. This resulted in me experiencing some very quick, seemingly random drops in blood sugars. The worst was dropping about 100 mg/dl in 20 minutes. While driving! Having drops like that made me afraid to let my blood sugars go low, resulting in my high averages and a high A1C.
I battled with doctors over lowering my basal insulin. They didn't want me to lower it back to what it was as my averages and A1C where high, no matter that I explained to them that I was not letting them go low because of the quick drops I was experiencing. My basal tests finally managed to convince them, and currently I am at 13 units a day, which I think is still 1 unit too high. This week I lowered my basal to a total of 12 units, 6 in the morning and 6 in the evening and am monitoring food and blood sugars closely to see what happens.
Sorry, that turned into a wall of text anyway!
My questions:
Lantus is said to last in the body from 18 to 26 hours. Is this per individual, or can a single individual have varying rates? Example, if Lantus lasts for 20 hours for me, will it do that consistently, or might it last 20 hours one day, and 24 hours the next day?
If basal dosage is split into morning and evening doses, is here any difference between an even split vs giving more in the morning than in the evening. I have been told 2 different things by my heath care providers. One told me more in the morning and less in the evening (say like, 7 in the morning and 5 in the evening) will lower my chances for lows at night. Another said it doesn't matter as it lasts 24 hours. Internet searches haven't given much insight either.
Thanks for in advance.
</t>
        </is>
      </c>
      <c r="D4280" t="n">
        <v>1</v>
      </c>
      <c r="E4280" t="n">
        <v>15</v>
      </c>
      <c r="F4280">
        <f>HYPERLINK("https://www.reddit.com/r/diabetes/comments/7zzf6y/basal_insulin_question_posted_in_rdiabetes_t1_also/")</f>
        <v/>
      </c>
      <c r="G4280" t="inlineStr">
        <is>
          <t>2018-02-24 12:49:31</t>
        </is>
      </c>
      <c r="H4280" t="inlineStr">
        <is>
          <t>Type 1</t>
        </is>
      </c>
    </row>
    <row r="4281">
      <c r="A4281" t="inlineStr">
        <is>
          <t>801j3h</t>
        </is>
      </c>
      <c r="B4281" t="inlineStr">
        <is>
          <t>Has anyone tried inhaled insulin?</t>
        </is>
      </c>
      <c r="C4281" t="inlineStr">
        <is>
          <t>for Type 1 Diabetics I am really interested in it... wanted to know if anyone has tried it out, how well it works compared to other insulin and how do you get tested to see if you can used inhaled insulin??</t>
        </is>
      </c>
      <c r="D4281" t="n">
        <v>1</v>
      </c>
      <c r="E4281" t="n">
        <v>5</v>
      </c>
      <c r="F4281">
        <f>HYPERLINK("https://www.reddit.com/r/diabetes/comments/801j3h/has_anyone_tried_inhaled_insulin/")</f>
        <v/>
      </c>
      <c r="G4281" t="inlineStr">
        <is>
          <t>2018-02-24 18:23:57</t>
        </is>
      </c>
      <c r="H4281" t="inlineStr">
        <is>
          <t>Type 1</t>
        </is>
      </c>
    </row>
    <row r="4282">
      <c r="A4282" t="inlineStr">
        <is>
          <t>802yrh</t>
        </is>
      </c>
      <c r="B4282" t="inlineStr">
        <is>
          <t>Just got confirmed diagnosis of type 2. 29 year old male need all the basic information and tips like food, diet, exercise etc</t>
        </is>
      </c>
      <c r="C4282" t="inlineStr">
        <is>
          <t>Basically clueless and in the dark and have no idea what to eat what to avoid what to not avoid and other stuff my doctor may have missed.
Hardest part is finding what to eat. For now I am just reducing my portions by a huge amount but still would like to eat low carb low sugar foods only. Am slightly vegetarian at times which is good as usually the vegetarian options have less fat, sugar and carbs sometimes.
SO HIT ME WITH YOUR BEST TYPE 2 DIABETES FACTS AND RECIPES AND CHEAT FOODS AND ETC AND ALSO WHAT TO AVOID AND BIG NO NO'S
Thank you.
I am removing the soft drinks, the ice cream, the rice, the pasta, the noodles, the potatoes, the pumpkin, the fatty foods, the chocolate, the bread, the fatty meats.
So far been eating eggs, chicken, some meats, milk, no cereal :( , no chips :(</t>
        </is>
      </c>
      <c r="D4282" t="n">
        <v>6</v>
      </c>
      <c r="E4282" t="n">
        <v>29</v>
      </c>
      <c r="F4282">
        <f>HYPERLINK("https://www.reddit.com/r/diabetes/comments/802yrh/just_got_confirmed_diagnosis_of_type_2_29_year/")</f>
        <v/>
      </c>
      <c r="G4282" t="inlineStr">
        <is>
          <t>2018-02-24 23:04:41</t>
        </is>
      </c>
      <c r="H4282" t="inlineStr">
        <is>
          <t>Type 2</t>
        </is>
      </c>
    </row>
    <row r="4283">
      <c r="A4283" t="inlineStr">
        <is>
          <t>8034th</t>
        </is>
      </c>
      <c r="B4283" t="inlineStr">
        <is>
          <t>Cons of using the same injection site?</t>
        </is>
      </c>
      <c r="C4283" t="inlineStr">
        <is>
          <t>I'm type 1 and have been using only my stomach for novalog pen injections ...for about a year now (minimum 3x a day). I know that's a no-no, but I was wondering what the negatives are? It usually hurts to do it on my thighs/upper arms.</t>
        </is>
      </c>
      <c r="D4283" t="n">
        <v>1</v>
      </c>
      <c r="E4283" t="n">
        <v>6</v>
      </c>
      <c r="F4283">
        <f>HYPERLINK("https://www.reddit.com/r/diabetes/comments/8034th/cons_of_using_the_same_injection_site/")</f>
        <v/>
      </c>
      <c r="G4283" t="inlineStr">
        <is>
          <t>2018-02-24 23:47:13</t>
        </is>
      </c>
      <c r="H4283" t="inlineStr">
        <is>
          <t>Type 1</t>
        </is>
      </c>
    </row>
    <row r="4284">
      <c r="A4284" t="inlineStr">
        <is>
          <t>80776b</t>
        </is>
      </c>
      <c r="B4284" t="inlineStr">
        <is>
          <t>Type 2: exercise causing HIGHER fasting BS readings - HELP!</t>
        </is>
      </c>
      <c r="C4284" t="inlineStr">
        <is>
          <t>I am a keto dieter since my diagnoses a few months ago and have had no issues following the Keto diet very strictly.
I recently added in exercise - mostly just an hour of walking AFTER dinner each night.
Recently, I have added in some jogging into that walking and gotten way more intense with my cardio.
However, my fasting blood sugar averages over the course of 3 days have gone from 90-95 or so WITHOUT exercise to the following: On mornings where I've exercised strenuously the night before, my readings are averaging 110-120, irrespective of my diet.
Because I'm using the "303 Protocol" to handle my insulin dosage, it's very important to me to continue to lower my fasting BS so I can continue to eventually ween off of my insulin later in life.
If it's important - here's how it goes...
5 PM - Eat dinner
5:30 PM - take prescribed Metformin dosage and 15 units of Levemir Insulin.
6 PM - 7 PM - work out.
8 AM (the next morning) - take blood sugar and have MUCH higher readings than on days I DON'T work out the night before.
HALP!
FYI - I have to work out at night, if I work out in the mornings, I actually was having symptoms of Low Blood Sugar (dizziness on the treadmill, etc). About 30 to 60 mins after my biggest meal of the day is the sweet spot for getting in a good workout.
Can anyone explain this or possibly suggest some tips on how to avoid these BS spikes. Should I eat something small AFTER my work outs? Should I change the workout times? I'm so confused.</t>
        </is>
      </c>
      <c r="D4284" t="n">
        <v>0</v>
      </c>
      <c r="E4284" t="n">
        <v>7</v>
      </c>
      <c r="F4284">
        <f>HYPERLINK("https://www.reddit.com/r/diabetes/comments/80776b/type_2_exercise_causing_higher_fasting_bs/")</f>
        <v/>
      </c>
      <c r="G4284" t="inlineStr">
        <is>
          <t>2018-02-25 12:29:14</t>
        </is>
      </c>
      <c r="H4284" t="inlineStr">
        <is>
          <t>Type 2</t>
        </is>
      </c>
    </row>
    <row r="4285">
      <c r="A4285" t="inlineStr">
        <is>
          <t>80auqz</t>
        </is>
      </c>
      <c r="B4285" t="inlineStr">
        <is>
          <t>Does getting vaccines cause elevated blood sugar?</t>
        </is>
      </c>
      <c r="C4285" t="inlineStr">
        <is>
          <t>Hey everybody, I was diagnosed in December and I am on a pretty strong honeymoon (1:30 carb ratio and 8u lantus). I am taking part in a drug study, and I had to get some immunizations (pneumonia, flu, HPV) before being allowed to get the experimental drug (an immunosuppressant). These last two days have been horrible as far as blood sugar goes, take the normal amount of insulin and my blood sugar skyrockets to 250-300. I even reduced my insulin/carb ratio today to 1:25 and did cardio for 45 minutes and still went high.  No ketones, but I just want to understand what is going on. I don’t think my honeymoon is ending, but I really just don’t know. Do vaccines cause high blood sugar because the body is “sick” but not really sick?  I have been correcting and drinking a ton, but any other tips or insights would be helpful. Thanks</t>
        </is>
      </c>
      <c r="D4285" t="n">
        <v>0</v>
      </c>
      <c r="E4285" t="n">
        <v>9</v>
      </c>
      <c r="F4285">
        <f>HYPERLINK("https://www.reddit.com/r/diabetes/comments/80auqz/does_getting_vaccines_cause_elevated_blood_sugar/")</f>
        <v/>
      </c>
      <c r="G4285" t="inlineStr">
        <is>
          <t>2018-02-25 22:11:22</t>
        </is>
      </c>
      <c r="H4285" t="inlineStr">
        <is>
          <t>Type 1</t>
        </is>
      </c>
    </row>
    <row r="4286">
      <c r="A4286" t="inlineStr">
        <is>
          <t>80eqgq</t>
        </is>
      </c>
      <c r="B4286" t="inlineStr">
        <is>
          <t>Keto to Low Carb</t>
        </is>
      </c>
      <c r="C4286" t="inlineStr">
        <is>
          <t>Any Type 1s here switch from Keto &amp;gt;30g carbs to the borders of 60-100g a day? If so, what sort of adjustments did you have to make (besides an increase in bolus)? How are you BG levels in comparison? What sort of carbs do you eat now?</t>
        </is>
      </c>
      <c r="D4286" t="n">
        <v>1</v>
      </c>
      <c r="E4286" t="n">
        <v>1</v>
      </c>
      <c r="F4286">
        <f>HYPERLINK("https://www.reddit.com/r/diabetes/comments/80eqgq/keto_to_low_carb/")</f>
        <v/>
      </c>
      <c r="G4286" t="inlineStr">
        <is>
          <t>2018-02-26 09:27:37</t>
        </is>
      </c>
      <c r="H4286" t="inlineStr">
        <is>
          <t>Type 1</t>
        </is>
      </c>
    </row>
    <row r="4287">
      <c r="A4287" t="inlineStr">
        <is>
          <t>80f1tj</t>
        </is>
      </c>
      <c r="B4287" t="inlineStr">
        <is>
          <t>Got another question</t>
        </is>
      </c>
      <c r="C4287" t="inlineStr">
        <is>
          <t>I started weight lifting again about a month after I got diagnosed with T1D. I’m thinking about going back to training 4 times a week, and I’m wondering whats you guys take on Whey Protein powder? Is it ok for me to take since I now got T1D? It says on the box that is 4g carbs per serving. I’m just kinda scared cause I got diagnosed right after I bought the strawberry Whey protein one haha</t>
        </is>
      </c>
      <c r="D4287" t="n">
        <v>5</v>
      </c>
      <c r="E4287" t="n">
        <v>21</v>
      </c>
      <c r="F4287">
        <f>HYPERLINK("https://www.reddit.com/r/diabetes/comments/80f1tj/got_another_question/")</f>
        <v/>
      </c>
      <c r="G4287" t="inlineStr">
        <is>
          <t>2018-02-26 10:05:41</t>
        </is>
      </c>
      <c r="H4287" t="inlineStr">
        <is>
          <t>Type 1</t>
        </is>
      </c>
    </row>
    <row r="4288">
      <c r="A4288" t="inlineStr">
        <is>
          <t>80gxge</t>
        </is>
      </c>
      <c r="B4288" t="inlineStr">
        <is>
          <t>Libre/Glimp says "warning sensor xxxx is broken"</t>
        </is>
      </c>
      <c r="C4288" t="inlineStr">
        <is>
          <t>Hi everyone, my Glimp app just said this last time I scanned my libre. The scan was identical to my blood glucose from a meter so it seems to still be working even though that warning came up. Does anyone have any experience with this? Is it going to stop working or should I leave it on for now? This is only day 2-3 with this new sensor and it's only my 2nd sensor (4th if you count the ones that came right off before using medical tape and switching it to my legs)</t>
        </is>
      </c>
      <c r="D4288" t="n">
        <v>1</v>
      </c>
      <c r="E4288" t="n">
        <v>0</v>
      </c>
      <c r="F4288">
        <f>HYPERLINK("https://www.reddit.com/r/diabetes/comments/80gxge/libreglimp_says_warning_sensor_xxxx_is_broken/")</f>
        <v/>
      </c>
      <c r="G4288" t="inlineStr">
        <is>
          <t>2018-02-26 13:58:49</t>
        </is>
      </c>
      <c r="H4288" t="inlineStr">
        <is>
          <t>Type 1</t>
        </is>
      </c>
    </row>
    <row r="4289">
      <c r="A4289" t="inlineStr">
        <is>
          <t>80jae5</t>
        </is>
      </c>
      <c r="B4289" t="inlineStr">
        <is>
          <t>What are the possibilities?</t>
        </is>
      </c>
      <c r="C4289" t="inlineStr">
        <is>
          <t xml:space="preserve">Hi there, I've been diagnosed with T1 a couple months ago, and I'm very afraid because my aunt has celiac disease. I know that people with T1 have like 10% of possibilities to develop this. My question is, are mine higher because I have a member of my family with the disease? Thanks in advance. </t>
        </is>
      </c>
      <c r="D4289" t="n">
        <v>1</v>
      </c>
      <c r="E4289" t="n">
        <v>5</v>
      </c>
      <c r="F4289">
        <f>HYPERLINK("https://www.reddit.com/r/diabetes/comments/80jae5/what_are_the_possibilities/")</f>
        <v/>
      </c>
      <c r="G4289" t="inlineStr">
        <is>
          <t>2018-02-26 19:36:07</t>
        </is>
      </c>
      <c r="H4289" t="inlineStr">
        <is>
          <t>Type 1</t>
        </is>
      </c>
    </row>
    <row r="4290">
      <c r="A4290" t="inlineStr">
        <is>
          <t>80lhic</t>
        </is>
      </c>
      <c r="B4290" t="inlineStr">
        <is>
          <t>Question about High Blood Sugar after exercise and a meal?</t>
        </is>
      </c>
      <c r="C4290" t="inlineStr">
        <is>
          <t>I usually exercise late and have a big meal and try to go to ged with a reasonably high number (150). However, the infusion sometimes messes up and I wake up two hours later to check and I’m 400. Does that in any way negate the effects of the calories consumed or the exercise I I did in terms of muscle growth?</t>
        </is>
      </c>
      <c r="D4290" t="n">
        <v>1</v>
      </c>
      <c r="E4290" t="n">
        <v>10</v>
      </c>
      <c r="F4290">
        <f>HYPERLINK("https://www.reddit.com/r/diabetes/comments/80lhic/question_about_high_blood_sugar_after_exercise/")</f>
        <v/>
      </c>
      <c r="G4290" t="inlineStr">
        <is>
          <t>2018-02-27 02:32:34</t>
        </is>
      </c>
      <c r="H4290" t="inlineStr">
        <is>
          <t>Type 1</t>
        </is>
      </c>
    </row>
    <row r="4291">
      <c r="A4291" t="inlineStr">
        <is>
          <t>80pe8a</t>
        </is>
      </c>
      <c r="B4291" t="inlineStr">
        <is>
          <t>Anyone ever feel their BS is high, but when you test it is normal?</t>
        </is>
      </c>
      <c r="C4291" t="inlineStr">
        <is>
          <t>I feel like my BS is high (like I feel when I am &amp;gt;200 mg/dl) right now, did a test with 3 different lots of strips and they are all in the normal range.  I feel like I need an injection, but my tests show that I do not.  I checked with my calibration solution as well, so it is not my meter or strips.  Kind of concerning.</t>
        </is>
      </c>
      <c r="D4291" t="n">
        <v>47</v>
      </c>
      <c r="E4291" t="n">
        <v>46</v>
      </c>
      <c r="F4291">
        <f>HYPERLINK("https://www.reddit.com/r/diabetes/comments/80pe8a/anyone_ever_feel_their_bs_is_high_but_when_you/")</f>
        <v/>
      </c>
      <c r="G4291" t="inlineStr">
        <is>
          <t>2018-02-27 11:41:29</t>
        </is>
      </c>
      <c r="H4291" t="inlineStr">
        <is>
          <t>Type 1</t>
        </is>
      </c>
    </row>
    <row r="4292">
      <c r="A4292" t="inlineStr">
        <is>
          <t>80plu7</t>
        </is>
      </c>
      <c r="B4292" t="inlineStr">
        <is>
          <t>Do you guys wait 15 mins after taking bosul to eat or just eat it straight away?</t>
        </is>
      </c>
      <c r="C4292" t="inlineStr">
        <is>
          <t>Is there a difference</t>
        </is>
      </c>
      <c r="D4292" t="n">
        <v>4</v>
      </c>
      <c r="E4292" t="n">
        <v>20</v>
      </c>
      <c r="F4292">
        <f>HYPERLINK("https://www.reddit.com/r/diabetes/comments/80plu7/do_you_guys_wait_15_mins_after_taking_bosul_to/")</f>
        <v/>
      </c>
      <c r="G4292" t="inlineStr">
        <is>
          <t>2018-02-27 12:06:55</t>
        </is>
      </c>
      <c r="H4292" t="inlineStr">
        <is>
          <t>Type 1</t>
        </is>
      </c>
    </row>
    <row r="4293">
      <c r="A4293" t="inlineStr">
        <is>
          <t>80rkjh</t>
        </is>
      </c>
      <c r="B4293" t="inlineStr">
        <is>
          <t>New Dexcom G5 Mobile Owner</t>
        </is>
      </c>
      <c r="C4293" t="inlineStr">
        <is>
          <t xml:space="preserve">T1D for approaching 6 years, woo! Just got the Dexcom and I love it. I was wondering how long you guys extend past the 7 day sensor time? I'm thinking I'm gonna try to push it to 10 days. </t>
        </is>
      </c>
      <c r="D4293" t="n">
        <v>4</v>
      </c>
      <c r="E4293" t="n">
        <v>18</v>
      </c>
      <c r="F4293">
        <f>HYPERLINK("https://www.reddit.com/r/diabetes/comments/80rkjh/new_dexcom_g5_mobile_owner/")</f>
        <v/>
      </c>
      <c r="G4293" t="inlineStr">
        <is>
          <t>2018-02-27 16:14:45</t>
        </is>
      </c>
      <c r="H4293" t="inlineStr">
        <is>
          <t>Type 1</t>
        </is>
      </c>
    </row>
    <row r="4294">
      <c r="A4294" t="inlineStr">
        <is>
          <t>80rw97</t>
        </is>
      </c>
      <c r="B4294" t="inlineStr">
        <is>
          <t>Need help with Wife and her unconventional diabetes.</t>
        </is>
      </c>
      <c r="C4294" t="inlineStr">
        <is>
          <t>Hi,
My wife has type 2 but is only at most 10lbs overweight, (5'4", 122lb).  She has high blood readings when she checks (which is not often unfortunately), usually in the 250 to 350 range.  Her last A1c was around 15.  She is always tired, has burning or ice feet at night, drinks tons of water (which is the only way i think she is surviving) and is stubborn as a ox.  She tried metformin but the side affects were much worse and it did not bring down the sugar so she stopped .  She would pass out and barely be able to do anything while on it.  Her primary then tried to get her to take another med that also caused bladder cancer so she would not take that.
My question is, since her Doctor is just primary, should we next go to a endocrinologist or a nephropathy dr?  Her dad had bad type 2 and was a drinker and ended up having double leg amputation, so i get very frustrated in her denial.
Her primary also tried to get her to go to a diabetes class but once she realized it was just about diet she cancelled... She is pretty good on no sugar, stopped most rice, but still eats bread and drinks too much juice.  She says she needs the juice to feel better, even though i explain it is only a temp blip and then she feels worse after.
The ironic part is I was on keto,and if she would i would go back in a second to support her so we only have good foods in the house, but she is too stubborn.  
I just do not understand why her sugar is so high when besides the juices she only eats salads all day.  she is also slowly wasting away since she does not eat enough protein.
Any insights or anyone with a history like this would be appreciated.  Thanks!
Edit:. Thanks to everyone for their comments.  It has helped and I will be helping her pick a Endo tommorow to see asap.  It sounds  like it might be type 1 as much as 2.  She really thinks she is an exception so I brought it up then backed off for now since it was just going to lead to a fight, but at least she agreed to see a new Endo.  Denial is strong in this one...</t>
        </is>
      </c>
      <c r="D4294" t="n">
        <v>3</v>
      </c>
      <c r="E4294" t="n">
        <v>31</v>
      </c>
      <c r="F4294">
        <f>HYPERLINK("https://www.reddit.com/r/diabetes/comments/80rw97/need_help_with_wife_and_her_unconventional/")</f>
        <v/>
      </c>
      <c r="G4294" t="inlineStr">
        <is>
          <t>2018-02-27 17:01:47</t>
        </is>
      </c>
      <c r="H4294" t="inlineStr">
        <is>
          <t>Type 2</t>
        </is>
      </c>
    </row>
    <row r="4295">
      <c r="A4295" t="inlineStr">
        <is>
          <t>80sc9c</t>
        </is>
      </c>
      <c r="B4295" t="inlineStr">
        <is>
          <t>Sudden ratio change</t>
        </is>
      </c>
      <c r="C4295" t="inlineStr">
        <is>
          <t>I was diagnosed about 15 months ago, but it still feels pretty new. For that entire time my insulin to carbs ratio has been 1u:15g, but in the past few weeks that seems to have changed. I know that's normal, but it has nearly doubled! I'm always high these days unless I dose literally double what 1:15 would suggest.
Is that normal?</t>
        </is>
      </c>
      <c r="D4295" t="n">
        <v>5</v>
      </c>
      <c r="E4295" t="n">
        <v>6</v>
      </c>
      <c r="F4295">
        <f>HYPERLINK("https://www.reddit.com/r/diabetes/comments/80sc9c/sudden_ratio_change/")</f>
        <v/>
      </c>
      <c r="G4295" t="inlineStr">
        <is>
          <t>2018-02-27 18:08:34</t>
        </is>
      </c>
      <c r="H4295" t="inlineStr">
        <is>
          <t>Type 1</t>
        </is>
      </c>
    </row>
    <row r="4296">
      <c r="A4296" t="inlineStr">
        <is>
          <t>80sgxb</t>
        </is>
      </c>
      <c r="B4296" t="inlineStr">
        <is>
          <t>Keep going high after my karate class</t>
        </is>
      </c>
      <c r="C4296" t="inlineStr">
        <is>
          <t>I take a 1 hour long karate class once a week after dinner. I keep going high after the class, even though it involves pretty intense exercise. I test my blood afterwards and every single time I've 
gone I've needed a correction. It's usually about 150-180, so not that bad, but it really irritates me that I exercise for an hour and my levels go way up, after a day, or several, or even a week, of being below 140. I think it goes up due to the adrenaline boost I get when sparring with other people in the class. Whenever I do other exercise, whether it's jogging or a slow walk on the treadmill, it always brings my blood sugar down instead of up. Is there anything I can do to prevent the highs? I can't take more Humalog, because going low during the class is worse than taking a correction, but is taking a portion of my Basaglar before the class/earlier in the day an option, or is there another solution?
tl;dr how can I prevent/counteract adrenaline's blood sugar boost?</t>
        </is>
      </c>
      <c r="D4296" t="n">
        <v>6</v>
      </c>
      <c r="E4296" t="n">
        <v>7</v>
      </c>
      <c r="F4296">
        <f>HYPERLINK("https://www.reddit.com/r/diabetes/comments/80sgxb/keep_going_high_after_my_karate_class/")</f>
        <v/>
      </c>
      <c r="G4296" t="inlineStr">
        <is>
          <t>2018-02-27 18:28:46</t>
        </is>
      </c>
      <c r="H4296" t="inlineStr">
        <is>
          <t>Type 1</t>
        </is>
      </c>
    </row>
    <row r="4297">
      <c r="A4297" t="inlineStr">
        <is>
          <t>80wyzs</t>
        </is>
      </c>
      <c r="B4297" t="inlineStr">
        <is>
          <t>Bolus for ice-cream</t>
        </is>
      </c>
      <c r="C4297" t="inlineStr">
        <is>
          <t xml:space="preserve">How do you guys bolus for high sugar things like ice-cream? I’m not planning on having it everyday, but everyone in a while, my friends and I go to the local dessert parlour and would like to be a little more involved instead of sticking to a coffee or diet soda. They offer 1 scoop as an option and in all honesty, I would be happy just having that small amount if it means it’s more manageable! 
Thanks! </t>
        </is>
      </c>
      <c r="D4297" t="n">
        <v>2</v>
      </c>
      <c r="E4297" t="n">
        <v>17</v>
      </c>
      <c r="F4297">
        <f>HYPERLINK("https://www.reddit.com/r/diabetes/comments/80wyzs/bolus_for_icecream/")</f>
        <v/>
      </c>
      <c r="G4297" t="inlineStr">
        <is>
          <t>2018-02-28 07:44:45</t>
        </is>
      </c>
      <c r="H4297" t="inlineStr">
        <is>
          <t>Type 1</t>
        </is>
      </c>
    </row>
    <row r="4298">
      <c r="A4298" t="inlineStr">
        <is>
          <t>80xabo</t>
        </is>
      </c>
      <c r="B4298" t="inlineStr">
        <is>
          <t>Android phone user looking to use Dexcom w/smart watch questions</t>
        </is>
      </c>
      <c r="C4298" t="inlineStr">
        <is>
          <t>I have an appointment to finally get a Dexcom ordered.  I do have some questions though...My understanding is that the Dexcom system does not work directly with smart watches (I would be required to carry my smart phone with me at all times in order to utilize the watch).  
Is this correct?  Are there any work-arounds?  I would love to take full advantage of the system and limit the amount of devices I always have to carry.  We diabetics already are required so much.</t>
        </is>
      </c>
      <c r="D4298" t="n">
        <v>2</v>
      </c>
      <c r="E4298" t="n">
        <v>8</v>
      </c>
      <c r="F4298">
        <f>HYPERLINK("https://www.reddit.com/r/diabetes/comments/80xabo/android_phone_user_looking_to_use_dexcom_wsmart/")</f>
        <v/>
      </c>
      <c r="G4298" t="inlineStr">
        <is>
          <t>2018-02-28 08:25:44</t>
        </is>
      </c>
      <c r="H4298" t="inlineStr">
        <is>
          <t>Type 1</t>
        </is>
      </c>
    </row>
    <row r="4299">
      <c r="A4299" t="inlineStr">
        <is>
          <t>80xfzf</t>
        </is>
      </c>
      <c r="B4299" t="inlineStr">
        <is>
          <t>Question about units to carbs ratio</t>
        </is>
      </c>
      <c r="C4299" t="inlineStr">
        <is>
          <t>Let’s say I eat a meal with 76g carbs and i dose it with 1:19 with my pump, and after 1 hour and 30 min it goes from 5.0 mmol to 11.5 mmol, is that too little insulin or is that ok? Or does it depend om how many carbs you eat in one meal and not how much insulin you intake?
You all are very helpful with me,
cheers
- a kinda nervous newly diagnosed 19 year old T1D kid &amp;lt;3</t>
        </is>
      </c>
      <c r="D4299" t="n">
        <v>1</v>
      </c>
      <c r="E4299" t="n">
        <v>25</v>
      </c>
      <c r="F4299">
        <f>HYPERLINK("https://www.reddit.com/r/diabetes/comments/80xfzf/question_about_units_to_carbs_ratio/")</f>
        <v/>
      </c>
      <c r="G4299" t="inlineStr">
        <is>
          <t>2018-02-28 08:44:58</t>
        </is>
      </c>
      <c r="H4299" t="inlineStr">
        <is>
          <t>Type 1</t>
        </is>
      </c>
    </row>
    <row r="4300">
      <c r="A4300" t="inlineStr">
        <is>
          <t>80yr9j</t>
        </is>
      </c>
      <c r="B4300" t="inlineStr">
        <is>
          <t>Frustrated Husband of Type 1</t>
        </is>
      </c>
      <c r="C4300" t="inlineStr">
        <is>
          <t xml:space="preserve">Hi All,
I am not sure where to begin but I need help understanding my wife sometimes.  Let me preface this by saying she is really good about her blood sugar, diet, exercise etc MOST of the time.  She always has good A1C numbers at her checkups and all other vitals and blood work is always good, almost normal.  She is also fairly successful in her career and has a pretty demanding job….me too so I get it.  We are both in our late 30s at this point.
Sometimes I feel like she uses her T1 as a crutch/excuse and I’m not sure if it’s wrong of me to think this.  I love my wife to death so I want to understand and maybe find a better way to communicate about her T1 with her, help her manage it and help her to be safer.
What I’m having issues with is probably a little hard to put into words but I’ll try, it’s a multi-faceted issue.  
First I’ll say I understand that T1 is serious, life threatening, constant, draining, scary and a massive PITA to deal with every single day forever, I get it, I’ve been with her for 15 years and I’ve seen all of it…But, because I don’t live it myself I’m not allowed any opinion or input.   Basically anything I say other than commiseration/”back patting and there theres” is immediately met with anger.  I cannot talk about anything related to her TI without putting her on high alert waiting for something she can latch onto as a potential “slight” against her and her “burdon”, regardless of context.  I cannot even suggest small ways to help manage her TI more efficiently without her getting mad.  That’s the first part.  
The second part is where I think T1 is often used as a crutch to excuse laziness.  It’s the small things usually.  Things like not paying attention to her surroundings or not thinking through her actions to their logical conclusions.  Usually I ignore this stuff if it’s small and harmless but occasionally these things have financial or safety ramifications so I feel I have to speak up.  It’s also frustrating to see the same kinds of “lazy/thoughtless” stuff happening over and over again. 
A good example of a financial ramification is recently she damaged the interior of our new car my not putting protections down before loading dirty items in it, which is an example of not following things through to their logical conclusion.  This type of thing is super frequent and I have to replace/repair a lot of stuff, often expensive stuff.  It’s been like this the entire time I’ve known her.  She often falls back to “My T1 is difficult and I have to remember to always take care of my T1”  as if there is only enough room in her brain to stay on top of that one thing and disregard pretty much everything else.  All in all it’s just money and stuff so while this is a concern it’s not my primary concern.
Safety is a much bigger concern, obviously.  Pill bottles.  She is incapable of capping a pill bottle ever, and I find random pills everywhere.  She takes a billion dietary supplements and allergy pills and lord knows what else and for some reason they are everywhere, floor, counters, bottom of bags, the floor of her car, it’s ridiculous.  It’s part of her inability to ever put anything away after using it, it’s like wherever she happens to be she just drops whats in her hands and walks away.  The pills issue seems a big deal as we have pets that could eat them, luckily we don’t have children, yet.  This is, for now, a relatively small safety concern.  When I say something about this she still says something to the effect of “ but my T1…”
A more urgent safety issue came up again last night, for the billionth time, and this is what prompted this post.  
All of her serious lows, like passed out call the ambulance lows, happen first thing in the AM.  Makes sense since she is asleep for 8 hours not monitoring her levels.  Ok I get it.  She recently(6 months ago) got a Dexcom and it certainly helps to alert me at night when she is low.  The problem is, she seems to be low at night A LOT, like 4-5 times a week.  She goes to bed with a BS of like 90 and is then surprised when 2-3 hours later she is at 40.  When she goes to bed with BS over 100(like 120 is perf) she doesn’t seem to have lows at night.  On top of this she frequently doesn’t have any sugars next to her, and when she does she has them in whatever random place she dropped them, so she has turn the lights on and rummage around for 5 minutes to sort her stuff out.  I also frequently have to wake up, get out of bed walk downstairs and figure something out for her because I don’t want her doing that alone with low BS.
As you can imagine this has gotten very frustrating for me and her family.   Being woken up at 12-1am(3-4am for her mom) by dexcom alarms several times a week is infuriating and tiring.  I have suggested she keep sugar/protein in a designated spot next to the bed and make sure she knows where it is and that it’s restocked as needed many many times, yet she just constantly fails to do so.  I tried reminding her each night before bed, and she just gets mad at me and ignores me.  I have also asked that she check her BS before falling asleep and if it is lower than 100 to please have a little snack, and she just gets mad and brushes me off.  When I bring it up she very often says “ But my T1 is unpredictable and you don’t understand and….”   I get that it can be unpredictable, but it seems that’s all the more reason to be prepared.
Am I a dick?  Am I wrong?  Does diabetes make you incapable of thinking ahead or incapable of cleaning up after yourself or taking care of your things?  Or is she just using T1 as an excuse to not put effort forth on things adults should be able to do?
Sorry if this feels ranty, I’m just really frustrated and looking for insight from other T1’s or their family that might explain some of this stuff.  
</t>
        </is>
      </c>
      <c r="D4300" t="n">
        <v>1</v>
      </c>
      <c r="E4300" t="n">
        <v>42</v>
      </c>
      <c r="F4300">
        <f>HYPERLINK("https://www.reddit.com/r/diabetes/comments/80yr9j/frustrated_husband_of_type_1/")</f>
        <v/>
      </c>
      <c r="G4300" t="inlineStr">
        <is>
          <t>2018-02-28 11:22:17</t>
        </is>
      </c>
      <c r="H4300" t="inlineStr">
        <is>
          <t>Type 1</t>
        </is>
      </c>
    </row>
    <row r="4301">
      <c r="A4301" t="inlineStr">
        <is>
          <t>80yvrc</t>
        </is>
      </c>
      <c r="B4301" t="inlineStr">
        <is>
          <t>Advice for omnipod/dexcom placement?</t>
        </is>
      </c>
      <c r="C4301" t="inlineStr">
        <is>
          <t>So, right now I keep the dexcom on my stomach. I do this because it's the only spot Dexcom recommends to put it, and I have no issues with it here.
However, I choose to keep my Omnipod away from my stomach since my CGM is always there. I used to solely use my stomach when I was with Medtronic. I tried the backs of my arms, but I sleep on my side-ish, and I couldn't sleep comfortably that way.
I've mostly been using the fronts of my thighs (the sides get in the way of sleep). I had adhesion issues, which I fixed w skin-tac and grif grips. However, when I am active, the skin stretches a lot and causes some discomfort and the sensation that the cannula is moving about.
I tried the pod on my lower back today. Some mild annoyance when I lay down on my back, but nothing too bad. I'm waiting to see how it will turn out when I work out and shower/bathe (typically when adhesion issues occur for me). I may try my butt next for comparison, which I think exhausts all of my options.
How do other active people with this combo work it out? Or simply, what do others suggest?</t>
        </is>
      </c>
      <c r="D4301" t="n">
        <v>1</v>
      </c>
      <c r="E4301" t="n">
        <v>12</v>
      </c>
      <c r="F4301">
        <f>HYPERLINK("https://www.reddit.com/r/diabetes/comments/80yvrc/advice_for_omnipoddexcom_placement/")</f>
        <v/>
      </c>
      <c r="G4301" t="inlineStr">
        <is>
          <t>2018-02-28 11:37:29</t>
        </is>
      </c>
      <c r="H4301" t="inlineStr">
        <is>
          <t>Type 1</t>
        </is>
      </c>
    </row>
    <row r="4302">
      <c r="A4302" t="inlineStr">
        <is>
          <t>80yzge</t>
        </is>
      </c>
      <c r="B4302" t="inlineStr">
        <is>
          <t>Dexcom G5 + XDrip+ vs Libre +BlueCon Nightrider + XDrip+. Which is better?</t>
        </is>
      </c>
      <c r="C4302" t="inlineStr">
        <is>
          <t xml:space="preserve">I used Libre for more than a year and I´m now testing the Dexcom G5. I also recently discovered XDrip and I'very happy with it. I don´t use the Dexcom transmitter, only the mobile phone with XDrip+.
Now is the time to decide if I keep using Dexom or go back to Libre and would like to hear other opinions, in particular because if I go back to Libre I plan to use the BlueCon Nightrider which I have not used before. Also the insurance does not allow me to go back and forward.
For me what is more important is usability and ease of use. Accuracy, alarming and reporting will be managed by XDrip and hence are not relevant for the comparison. Cost is not an issue because all is covered by the public health system (the only think not covered is the BlueCon Nightrider)
At the moment I'm more inclined to use Libre for two stupid reasons but at the same time relevant for me:
1) The Dexcom adhesive is not strong enough and hardly last for a week (and I have not used in the beach or swiming pool yet!!)
2) Libre last for 15 days (I'm in EU) while Dexcom should be replaced every week.
My concerns in using Libre are basically around the BlueCon Nightride
1) Connectivity with a Google Pixel XL + XDrip
2) Size. I don´t like that the Dexcom is bulkier than the Libre but I´ve seen that the BlueCon Nightride is like 2 stacked Libre, which means it wll triple the size. Using Trans Am is not an option due to cost reasons. </t>
        </is>
      </c>
      <c r="D4302" t="n">
        <v>1</v>
      </c>
      <c r="E4302" t="n">
        <v>12</v>
      </c>
      <c r="F4302">
        <f>HYPERLINK("https://www.reddit.com/r/diabetes/comments/80yzge/dexcom_g5_xdrip_vs_libre_bluecon_nightrider_xdrip/")</f>
        <v/>
      </c>
      <c r="G4302" t="inlineStr">
        <is>
          <t>2018-02-28 11:50:03</t>
        </is>
      </c>
      <c r="H4302" t="inlineStr">
        <is>
          <t>Type 1</t>
        </is>
      </c>
    </row>
    <row r="4303">
      <c r="A4303" t="inlineStr">
        <is>
          <t>80zvub</t>
        </is>
      </c>
      <c r="B4303" t="inlineStr">
        <is>
          <t>Running high even without eating any carbs at all?</t>
        </is>
      </c>
      <c r="C4303" t="inlineStr">
        <is>
          <t>I keep myself on a strict low-carb diet. The most I'll have in a day is 15g.
I have eaten nothing but two slices of cheese and two slices of bologna today. (Total of 8g carbs for the bologna) Just tested at a 142.
It's been like this for weeks. I don't understand. Any advice is welcome. I've made a doctor's appointment.</t>
        </is>
      </c>
      <c r="D4303" t="n">
        <v>7</v>
      </c>
      <c r="E4303" t="n">
        <v>27</v>
      </c>
      <c r="F4303">
        <f>HYPERLINK("https://www.reddit.com/r/diabetes/comments/80zvub/running_high_even_without_eating_any_carbs_at_all/")</f>
        <v/>
      </c>
      <c r="G4303" t="inlineStr">
        <is>
          <t>2018-02-28 13:41:29</t>
        </is>
      </c>
      <c r="H4303" t="inlineStr">
        <is>
          <t>Type 2</t>
        </is>
      </c>
    </row>
    <row r="4304">
      <c r="A4304" t="inlineStr">
        <is>
          <t>810o7w</t>
        </is>
      </c>
      <c r="B4304" t="inlineStr">
        <is>
          <t>What to do with used needles while travelling?</t>
        </is>
      </c>
      <c r="C4304" t="inlineStr">
        <is>
          <t>Travelling the states for 6 weeks. What do I do with used needles?</t>
        </is>
      </c>
      <c r="D4304" t="n">
        <v>0</v>
      </c>
      <c r="E4304" t="n">
        <v>19</v>
      </c>
      <c r="F4304">
        <f>HYPERLINK("https://www.reddit.com/r/diabetes/comments/810o7w/what_to_do_with_used_needles_while_travelling/")</f>
        <v/>
      </c>
      <c r="G4304" t="inlineStr">
        <is>
          <t>2018-02-28 15:24:21</t>
        </is>
      </c>
      <c r="H4304" t="inlineStr">
        <is>
          <t>Type 1</t>
        </is>
      </c>
    </row>
    <row r="4305">
      <c r="A4305" t="inlineStr">
        <is>
          <t>815v6u</t>
        </is>
      </c>
      <c r="B4305" t="inlineStr">
        <is>
          <t>Dexcom G6 FDA submission link (pics too)</t>
        </is>
      </c>
      <c r="C4305" t="inlineStr">
        <is>
          <t>https://fccid.io/PH29588
I would guess coming sooner than later at this point. 1 3v battery this time. Will be curious to see if users get to replacing the battery in this model.</t>
        </is>
      </c>
      <c r="D4305" t="n">
        <v>15</v>
      </c>
      <c r="E4305" t="n">
        <v>51</v>
      </c>
      <c r="F4305">
        <f>HYPERLINK("https://www.reddit.com/r/diabetes/comments/815v6u/dexcom_g6_fda_submission_link_pics_too/")</f>
        <v/>
      </c>
      <c r="G4305" t="inlineStr">
        <is>
          <t>2018-03-01 07:04:04</t>
        </is>
      </c>
      <c r="H4305" t="inlineStr">
        <is>
          <t>Type 1</t>
        </is>
      </c>
    </row>
    <row r="4306">
      <c r="A4306" t="inlineStr">
        <is>
          <t>81699m</t>
        </is>
      </c>
      <c r="B4306" t="inlineStr">
        <is>
          <t>What the fuck is honeymoon :o</t>
        </is>
      </c>
      <c r="C4306" t="inlineStr">
        <is>
          <t>For the last week since I got my pump my BS has been going way too low after eating, so my doctor said that my pancreas have started working a little again, it happens and its called honeymoon?? So yesterday my U:C ratio was 1:19 now she put it at 1:27(!) 
And my basal ratio is now 0,30 U/h all day
Wtf why is this happening</t>
        </is>
      </c>
      <c r="D4306" t="n">
        <v>0</v>
      </c>
      <c r="E4306" t="n">
        <v>24</v>
      </c>
      <c r="F4306">
        <f>HYPERLINK("https://www.reddit.com/r/diabetes/comments/81699m/what_the_fuck_is_honeymoon_o/")</f>
        <v/>
      </c>
      <c r="G4306" t="inlineStr">
        <is>
          <t>2018-03-01 07:57:36</t>
        </is>
      </c>
      <c r="H4306" t="inlineStr">
        <is>
          <t>Type 1</t>
        </is>
      </c>
    </row>
    <row r="4307">
      <c r="A4307" t="inlineStr">
        <is>
          <t>816dej</t>
        </is>
      </c>
      <c r="B4307" t="inlineStr">
        <is>
          <t>Morning rise</t>
        </is>
      </c>
      <c r="C4307" t="inlineStr">
        <is>
          <t>Does anyone else’s blood sugar rise like a son of a gun when they wake up in the morning and get going for the day?</t>
        </is>
      </c>
      <c r="D4307" t="n">
        <v>15</v>
      </c>
      <c r="E4307" t="n">
        <v>17</v>
      </c>
      <c r="F4307">
        <f>HYPERLINK("https://www.reddit.com/r/diabetes/comments/816dej/morning_rise/")</f>
        <v/>
      </c>
      <c r="G4307" t="inlineStr">
        <is>
          <t>2018-03-01 08:12:13</t>
        </is>
      </c>
      <c r="H4307" t="inlineStr">
        <is>
          <t>Type 1</t>
        </is>
      </c>
    </row>
    <row r="4308">
      <c r="A4308" t="inlineStr">
        <is>
          <t>81776q</t>
        </is>
      </c>
      <c r="B4308" t="inlineStr">
        <is>
          <t>Had six days of 40mg Prednisone a month ago, and I'm still having really bad side effects despite my glucose levels being normal...</t>
        </is>
      </c>
      <c r="C4308" t="inlineStr">
        <is>
          <t>So I'm not diabetic, but I was close to being pre-diabetic about a year ago (fasting bg ~95 mg/dl), and ever since then I've noticed weird side effects (dry mouth,  and exhaustion after taking a hot shower) whenever I've been eating too many carbs, or when my morning bg gets above 90ish. I think my side effects are way worse than you'd expect for how mildly elevated my bg was, so maybe some other underlying issue.
So I had to take 6 days of 40mg prednisone for this allergy shot course, and I think has seriously messed me up. My bg was only mildly elevated for a week or afterwards, and now its totally normal, but I wake up *insanely dehydrated every day,* (despite me drinking tons of water before bed and having a humidifier on full-blast by my face at night) and if I take a hot shower at night I wake up feeling terrible the next day.
These two things only used to happen when my bg was elevated after a few days/weeks of eating too much sugar or white flour, but now its happening even when my morning bg is 80-85...
Its really scary.
I've looked at previous threads on prednisone here, and I'm not sure what to do... I feel like I should see my doctor, but they're always so unhelpful.
I bought some mouth tape to see if maybe part of my issue is moisture loss from sleeping with it open, but we'll see...
Any thoughts?</t>
        </is>
      </c>
      <c r="D4308" t="n">
        <v>2</v>
      </c>
      <c r="E4308" t="n">
        <v>1</v>
      </c>
      <c r="F4308">
        <f>HYPERLINK("https://www.reddit.com/r/diabetes/comments/81776q/had_six_days_of_40mg_prednisone_a_month_ago_and/")</f>
        <v/>
      </c>
      <c r="G4308" t="inlineStr">
        <is>
          <t>2018-03-01 09:55:51</t>
        </is>
      </c>
      <c r="H4308" t="inlineStr">
        <is>
          <t>Type 2</t>
        </is>
      </c>
    </row>
    <row r="4309">
      <c r="A4309" t="inlineStr">
        <is>
          <t>818cx2</t>
        </is>
      </c>
      <c r="B4309" t="inlineStr">
        <is>
          <t>Type 2 looking for cooking/eating advice.</t>
        </is>
      </c>
      <c r="C4309" t="inlineStr">
        <is>
          <t>So I have what I think is a bit of a unique situation. I have been diagnosed T2 since 2015 and have been trying to make better eating choices that the diagnosis requires. The hitch I run into is I am a super/hyper taster. To save you a google I experience taste, especially bitter, far more intensely than most.
This leads to me having problems adding more vegetables to my diet. Most raw vegetables literally taste like dirt, like actual soil dirt, to me making them virtually unpalatable. I can get by with things like corn, carrots, and beans but I know those are not the healthiest choices. Essentially if it is green the taste is almost nauseating. The smell of broccoli alone can turn my stomach.
Does anyone have any advice on healthy options I can supplement my diet with? I am strongly considering consulting a nutritionist on a meat and bean heavy diet supplemented with vitamins but I would really rather consider that the nuclear option.
I know some would say I am just a picky eater...but it really isn't picky eating when the taste of a simple lettuce leaf makes you nauseous.  
I really hope I am not breaking any rules asking for advice on this... and preemptively thank you for your help!
[](/starlightconcern)</t>
        </is>
      </c>
      <c r="D4309" t="n">
        <v>3</v>
      </c>
      <c r="E4309" t="n">
        <v>13</v>
      </c>
      <c r="F4309">
        <f>HYPERLINK("https://www.reddit.com/r/diabetes/comments/818cx2/type_2_looking_for_cookingeating_advice/")</f>
        <v/>
      </c>
      <c r="G4309" t="inlineStr">
        <is>
          <t>2018-03-01 12:18:53</t>
        </is>
      </c>
      <c r="H4309" t="inlineStr">
        <is>
          <t>Type 2</t>
        </is>
      </c>
    </row>
    <row r="4310">
      <c r="A4310" t="inlineStr">
        <is>
          <t>81b5r8</t>
        </is>
      </c>
      <c r="B4310" t="inlineStr">
        <is>
          <t>Tandem t:slim X2 Unboxing by my daughter Kara</t>
        </is>
      </c>
      <c r="C4310" t="inlineStr">
        <is>
          <t>https://youtu.be/qSqFiXCeFnQ  
6 months after her T1D diagnosis, my daughter found the bright side of it in sharing her experiences.  Here she is "unboxing" her insulin pump...the disclaimer being that she had already opened it in the first of six takes...so yup, in this final take she faked the unopened box.  Hope you enjoy.</t>
        </is>
      </c>
      <c r="D4310" t="n">
        <v>7</v>
      </c>
      <c r="E4310" t="n">
        <v>4</v>
      </c>
      <c r="F4310">
        <f>HYPERLINK("https://www.reddit.com/r/diabetes/comments/81b5r8/tandem_tslim_x2_unboxing_by_my_daughter_kara/")</f>
        <v/>
      </c>
      <c r="G4310" t="inlineStr">
        <is>
          <t>2018-03-01 18:51:23</t>
        </is>
      </c>
      <c r="H4310" t="inlineStr">
        <is>
          <t>Type 1</t>
        </is>
      </c>
    </row>
    <row r="4311">
      <c r="A4311" t="inlineStr">
        <is>
          <t>81byzc</t>
        </is>
      </c>
      <c r="B4311" t="inlineStr">
        <is>
          <t>I realized my blood sugar was high because I got mad at a piece of chicken</t>
        </is>
      </c>
      <c r="C4311" t="inlineStr">
        <is>
          <t>The title is pretty self explanatory but pretty much I was in a crappy mood for no real reason. Sometimes it happens without explanation even though my BG isn’t high. But today was weird because it was preceded by me being in a great mood. It wasn’t until I got pissed off at a piece of chicken for having cartilage in it that I realized that a) it wasn’t the chicken’s fault and b) my BG was probably high. Lo and behold it was actually high. Anyway, I guess the moral of the story is that there are often many chickens in our lives whether it’s your father, mother, siblings, friends, etc. and we should be careful not to lash out at them when our BG is high. Love your chickens.</t>
        </is>
      </c>
      <c r="D4311" t="n">
        <v>59</v>
      </c>
      <c r="E4311" t="n">
        <v>16</v>
      </c>
      <c r="F4311">
        <f>HYPERLINK("https://www.reddit.com/r/diabetes/comments/81byzc/i_realized_my_blood_sugar_was_high_because_i_got/")</f>
        <v/>
      </c>
      <c r="G4311" t="inlineStr">
        <is>
          <t>2018-03-01 21:14:09</t>
        </is>
      </c>
      <c r="H4311" t="inlineStr">
        <is>
          <t>Type 1</t>
        </is>
      </c>
    </row>
    <row r="4312">
      <c r="A4312" t="inlineStr">
        <is>
          <t>81crwv</t>
        </is>
      </c>
      <c r="B4312" t="inlineStr">
        <is>
          <t>Type 2: Is CGM really needed?</t>
        </is>
      </c>
      <c r="C4312" t="inlineStr">
        <is>
          <t>I was originally diagnosed with Type 2 in 2014 and have since been on insulin treatment and on/off medication. However the insulin seems to be the primary treatment with diet / exercise and doing what I can to decrease mental stress.
The issue I experience is either 
1. High BG 
- Triggered by high stress
- Triggered when I get sick
- Been as high as 600 BG
2. Low BG
- Been as low as 45 BG
- This generally happens in the middle of the night. A light snack is eaten prior to the insulin. However I wake up from a deep sleep and feel sick to my stomach and dizzy and end up crawling to my meter to test and see how low I am.  Sometimes I can ride it out if its in the 90s or as low as 70 and it may go back up to a stable level on its own as I produce morning sugars. Other times it keeps dropping and I've been as low as 45 BG
The question I have is if CGM is worth it for T2 diabetes patients? or should we simply stick to the pricking of the finger daily?
My main concern is not knowing what my BG is and having to find my meter and taking the time to put it all together to test. Compared to CGM it can quickly give me a glance and may even send out an alert when i'm too low or too high and out and about with no meter.
Right now my insurance provider seems to only approve it for patients with low BG and they don't seem to see a benefit to issuing it for people who battle highs and lows.
Insurance Provider: Kaiser</t>
        </is>
      </c>
      <c r="D4312" t="n">
        <v>2</v>
      </c>
      <c r="E4312" t="n">
        <v>18</v>
      </c>
      <c r="F4312">
        <f>HYPERLINK("https://www.reddit.com/r/diabetes/comments/81crwv/type_2_is_cgm_really_needed/")</f>
        <v/>
      </c>
      <c r="G4312" t="inlineStr">
        <is>
          <t>2018-03-02 00:15:12</t>
        </is>
      </c>
      <c r="H4312" t="inlineStr">
        <is>
          <t>Type 2</t>
        </is>
      </c>
    </row>
    <row r="4313">
      <c r="A4313" t="inlineStr">
        <is>
          <t>81fi90</t>
        </is>
      </c>
      <c r="B4313" t="inlineStr">
        <is>
          <t>I've been feeling lost lately</t>
        </is>
      </c>
      <c r="C4313" t="inlineStr">
        <is>
          <t>I've been a type two diabetic for about 5 years now and when I was first diagnosed I did well with my diet but they put me on Metformin and it made me physically ill for about 1 year. During that time the doctor would only change the dose and change from regular to ER but would never offer me any other medication to go on. So after losing 3 jobs and having my engagement end because of lack of employment my doctor finally put me on glipizide. I did well on that but I was going through a hard time and stopped caring about what I ate and generally didn't take care of myself. Fast forward to mid last year and my doctor put my on Januvia as well to help with my blood sugar levels and it was working but now my insurance won't cover it and even with my taking that plus glipizide I haven't been able to get my blood sugar below 200. I just don't know what to do and I really don't want to be put on insulin. Sorry for the rant. It's hard for my close family to understand and my friends try but it's hard for them too.
Thanks for listening.</t>
        </is>
      </c>
      <c r="D4313" t="n">
        <v>9</v>
      </c>
      <c r="E4313" t="n">
        <v>26</v>
      </c>
      <c r="F4313">
        <f>HYPERLINK("https://www.reddit.com/r/diabetes/comments/81fi90/ive_been_feeling_lost_lately/")</f>
        <v/>
      </c>
      <c r="G4313" t="inlineStr">
        <is>
          <t>2018-03-02 08:35:14</t>
        </is>
      </c>
      <c r="H4313" t="inlineStr">
        <is>
          <t>Type 2</t>
        </is>
      </c>
    </row>
    <row r="4314">
      <c r="A4314" t="inlineStr">
        <is>
          <t>81fpit</t>
        </is>
      </c>
      <c r="B4314" t="inlineStr">
        <is>
          <t>Question about the omnipod</t>
        </is>
      </c>
      <c r="C4314" t="inlineStr">
        <is>
          <t xml:space="preserve">Do I turn it off when im going to sleep? Or do I basal there too? And also I have a question about hypos: If I eat four meals a day spread out and always take enough insulin and not too much, is there possible to never get hypo? I’m so scared to die :( </t>
        </is>
      </c>
      <c r="D4314" t="n">
        <v>2</v>
      </c>
      <c r="E4314" t="n">
        <v>11</v>
      </c>
      <c r="F4314">
        <f>HYPERLINK("https://www.reddit.com/r/diabetes/comments/81fpit/question_about_the_omnipod/")</f>
        <v/>
      </c>
      <c r="G4314" t="inlineStr">
        <is>
          <t>2018-03-02 09:00:56</t>
        </is>
      </c>
      <c r="H4314" t="inlineStr">
        <is>
          <t>Type 1</t>
        </is>
      </c>
    </row>
    <row r="4315">
      <c r="A4315" t="inlineStr">
        <is>
          <t>81gt0y</t>
        </is>
      </c>
      <c r="B4315" t="inlineStr">
        <is>
          <t>Stuffing my face to avoid the gym crash</t>
        </is>
      </c>
      <c r="C4315" t="inlineStr">
        <is>
          <t>So I've decided to change my lifestyle and have been hitting the gym pretty hard for a about a month now. Problem is I keep crashing at the gym 40's/50's. To compensate I've been eating my way above 200 before the gym so I can make it for my full hour gym time, at least then I can make it home and eat again before the low hits. I'm not happy with all the food intake - I'm trying to lose weight. I'm thinking the solution is to dose less RU500 at breakfast, or thinking I can take a shake to the gym, something with carbs but little calories, but don't know what. Today I started cutting back on the RU500 and it was a little better - only went down to 80 from 210. Almost makes me afraid to go. Anyway, that's my dilemma for now. See the doc next week maybe he has a solution.</t>
        </is>
      </c>
      <c r="D4315" t="n">
        <v>1</v>
      </c>
      <c r="E4315" t="n">
        <v>7</v>
      </c>
      <c r="F4315">
        <f>HYPERLINK("https://www.reddit.com/r/diabetes/comments/81gt0y/stuffing_my_face_to_avoid_the_gym_crash/")</f>
        <v/>
      </c>
      <c r="G4315" t="inlineStr">
        <is>
          <t>2018-03-02 11:01:47</t>
        </is>
      </c>
      <c r="H4315" t="inlineStr">
        <is>
          <t>Type 2</t>
        </is>
      </c>
    </row>
    <row r="4316">
      <c r="A4316" t="inlineStr">
        <is>
          <t>81hfxp</t>
        </is>
      </c>
      <c r="B4316" t="inlineStr">
        <is>
          <t>type 2- blood sugar level in the morning</t>
        </is>
      </c>
      <c r="C4316" t="inlineStr">
        <is>
          <t>I was diagnosed with type 2 diabetes and high blood pressure about a month ago. I was prescribed Metformin 500 mg (twice a day). During a visit to Diabetes clinic, my fasting blood sugar was about 10 (Canadian standard) and endocrinologist asked me take metformin 3 times a day. I used to weigh 200 pounds at time of diagnosis. In the last month I have changed my lifestyle and diet. I am eating healthy (no processed food, rice, pasta, wheat chapattis, bread, soda, sugar treats) and workout nearly 5 times a week. During the whole last month, I consumed Metformin 1-2 time a day (some days only once and some days twice) but never tool 3 time a day. Now after a month, I have lost 15-17 pounds. I have taken any metformin for last 7 days. My blood sugar level in the morning (after waking up, 10-12 hours after last meal at dinner) are around 5.4-5.7 (Canadian standard). I have read that usually blood sugar level is high in the morning due to dawn effect but mine are well within normal range) Is this normal? I have an appointment with a doctor 2 weeks from now. Should I take metformin or not? Any feedback, help is really appreciated Thanks, best for luck http://www.diabetes.ca/diabetes-and-you/healthy-living-resources/blood-glucose-insulin/managing-your-blood-sugar</t>
        </is>
      </c>
      <c r="D4316" t="n">
        <v>4</v>
      </c>
      <c r="E4316" t="n">
        <v>5</v>
      </c>
      <c r="F4316">
        <f>HYPERLINK("https://www.reddit.com/r/diabetes/comments/81hfxp/type_2_blood_sugar_level_in_the_morning/")</f>
        <v/>
      </c>
      <c r="G4316" t="inlineStr">
        <is>
          <t>2018-03-02 11:57:51</t>
        </is>
      </c>
      <c r="H4316" t="inlineStr">
        <is>
          <t>Type 2</t>
        </is>
      </c>
    </row>
    <row r="4317">
      <c r="A4317" t="inlineStr">
        <is>
          <t>81hvc6</t>
        </is>
      </c>
      <c r="B4317" t="inlineStr">
        <is>
          <t>Walmart insulin compared to Humalog</t>
        </is>
      </c>
      <c r="C4317" t="inlineStr">
        <is>
          <t>Hey all, I've had Type 1 since I was 7 (22 now) and I've been off and on a few different combinations of Humalog, Novolog, and Lantus but for the past decade almost my doctor has had me steadily on Humalog via a Minimed insulin pump. At the moment I don't have any insurance and I just got notified that my discount that took my Humalog down to $8 a bottle was being discontinued. I don't have the money to shell out $250+ a bottle at this time and was suggested to get one of the non prescription insulins from Walmart.
My understanding was they take longer to activate and can peak anywhere from 7-10 hours. I was just wondering what to expect going into this, and if I should continue to use my pump or try to use shots until I know more. 
I know I should contact my doctor for better advice but atm I can't get a hold of him and unfortunately without the discount I was receiving I can't afford to pay for an appointment.
Thanks in advance and I appreciate all of you.</t>
        </is>
      </c>
      <c r="D4317" t="n">
        <v>10</v>
      </c>
      <c r="E4317" t="n">
        <v>15</v>
      </c>
      <c r="F4317">
        <f>HYPERLINK("https://www.reddit.com/r/diabetes/comments/81hvc6/walmart_insulin_compared_to_humalog/")</f>
        <v/>
      </c>
      <c r="G4317" t="inlineStr">
        <is>
          <t>2018-03-02 12:34:30</t>
        </is>
      </c>
      <c r="H4317" t="inlineStr">
        <is>
          <t>Type 1</t>
        </is>
      </c>
    </row>
    <row r="4318">
      <c r="A4318" t="inlineStr">
        <is>
          <t>81iwc0</t>
        </is>
      </c>
      <c r="B4318" t="inlineStr">
        <is>
          <t>What does basal/bolus mean?</t>
        </is>
      </c>
      <c r="C4318" t="inlineStr">
        <is>
          <t>Okay, this sounds dumb. I’ve been Type 1 for 10 years and still don’t know what basal and bolus mean. I know they’re terms associated with pumps, but I’ve never been off the pen, so that’s why.</t>
        </is>
      </c>
      <c r="D4318" t="n">
        <v>2</v>
      </c>
      <c r="E4318" t="n">
        <v>6</v>
      </c>
      <c r="F4318">
        <f>HYPERLINK("https://www.reddit.com/r/diabetes/comments/81iwc0/what_does_basalbolus_mean/")</f>
        <v/>
      </c>
      <c r="G4318" t="inlineStr">
        <is>
          <t>2018-03-02 14:03:34</t>
        </is>
      </c>
      <c r="H4318" t="inlineStr">
        <is>
          <t>Type 1</t>
        </is>
      </c>
    </row>
    <row r="4319">
      <c r="A4319" t="inlineStr">
        <is>
          <t>81j2bp</t>
        </is>
      </c>
      <c r="B4319" t="inlineStr">
        <is>
          <t>Talking to my wife about diabetes</t>
        </is>
      </c>
      <c r="C4319" t="inlineStr">
        <is>
          <t>This is a throwaway because my wife knows my Reddit account.
My wife (25) was diagnosed with T1D 3 years ago. She has had a dexcom and a pod and has been managing it well, and everything has been fine.
About 3 months ago, her dexcom battery died. Insurance approved a new one, but the distributor has been stalling for some reason. 3 weeks ago, she had to be hospitalized for DKA. She kept telling me everything was under control and she was managing everything just fine. The first I found out something was wrong was when I got the call from the ER.
Since she's been back, she has sworn she'll manage things better. Things were fine at first, but I don't think she's managing it well anymore. Every time I try to talk to her about things, she shuts me down and gets defensive.
I'm concerned about her, and I don't know what to do. She keeps telling me I don't know better and she's managing things just fine and I don't understand how diabetes works. 
Has anybody been in this situation? How can I talk to her about this?</t>
        </is>
      </c>
      <c r="D4319" t="n">
        <v>1</v>
      </c>
      <c r="E4319" t="n">
        <v>12</v>
      </c>
      <c r="F4319">
        <f>HYPERLINK("https://www.reddit.com/r/diabetes/comments/81j2bp/talking_to_my_wife_about_diabetes/")</f>
        <v/>
      </c>
      <c r="G4319" t="inlineStr">
        <is>
          <t>2018-03-02 14:18:18</t>
        </is>
      </c>
      <c r="H4319" t="inlineStr">
        <is>
          <t>Type 1</t>
        </is>
      </c>
    </row>
    <row r="4320">
      <c r="A4320" t="inlineStr">
        <is>
          <t>81kf3t</t>
        </is>
      </c>
      <c r="B4320" t="inlineStr">
        <is>
          <t>Humalog to Novolog?</t>
        </is>
      </c>
      <c r="C4320" t="inlineStr">
        <is>
          <t>I was diagnosed with Type 1 when I was 11. I’m now 32.  I’ve been on Humalog and Lantus for the last 21 years. I just switched jobs, which means my insurance changed. Unfortunately, my new insurance doesn’t cover Humalog, which means I have to now switch to Novolog. 
I called the only Endocrinologist within 50 miles in my new insurance network and they’re not able to see a new patient until June, which simply won’t work. I’ll run out of insulin before then.
I was able to schedule an appointment with a new family medicine doc for next week, and I know they’ll be able to write me a new Rx for the Novolog.
My question is, is there a big difference between these two insulins? How will my doses change? Or can I keep the same ratio of units of insulin to carbohydrates consumed as I’m now doing with Humalog?
Any help is appreciated!</t>
        </is>
      </c>
      <c r="D4320" t="n">
        <v>2</v>
      </c>
      <c r="E4320" t="n">
        <v>7</v>
      </c>
      <c r="F4320">
        <f>HYPERLINK("https://www.reddit.com/r/diabetes/comments/81kf3t/humalog_to_novolog/")</f>
        <v/>
      </c>
      <c r="G4320" t="inlineStr">
        <is>
          <t>2018-03-02 16:28:29</t>
        </is>
      </c>
      <c r="H4320" t="inlineStr">
        <is>
          <t>Type 1</t>
        </is>
      </c>
    </row>
    <row r="4321">
      <c r="A4321" t="inlineStr">
        <is>
          <t>81lb6z</t>
        </is>
      </c>
      <c r="B4321" t="inlineStr">
        <is>
          <t>Dexcom Clarity Uploader on MacOS High Sierra</t>
        </is>
      </c>
      <c r="C4321" t="inlineStr">
        <is>
          <t xml:space="preserve">Does anyone get the Dexcom Clarity uploader with a G4 receiver to work successfully on MacOS High Sierra? Mine always gets stuck at the Step 1 "Reading" phase. This was already iffy before the last minor update, but I have been unable to upload data from my own computer since December. I did call Tech Support and they suggested setting an App Store permission, but the App Store doesn't doesn't show up in my Privacy &amp;amp; Security where they said it should be. They also couldn't give me an ETA for an update :( 
So for now I get my data uploaded at the endo's office, but it was useful to share the data in between visits. 
   </t>
        </is>
      </c>
      <c r="D4321" t="n">
        <v>3</v>
      </c>
      <c r="E4321" t="n">
        <v>1</v>
      </c>
      <c r="F4321">
        <f>HYPERLINK("https://www.reddit.com/r/diabetes/comments/81lb6z/dexcom_clarity_uploader_on_macos_high_sierra/")</f>
        <v/>
      </c>
      <c r="G4321" t="inlineStr">
        <is>
          <t>2018-03-02 17:59:05</t>
        </is>
      </c>
      <c r="H4321" t="inlineStr">
        <is>
          <t>Type 1.5/LADA</t>
        </is>
      </c>
    </row>
    <row r="4322">
      <c r="A4322" t="inlineStr">
        <is>
          <t>81q52i</t>
        </is>
      </c>
      <c r="B4322" t="inlineStr">
        <is>
          <t>Probs my 1000th question</t>
        </is>
      </c>
      <c r="C4322" t="inlineStr">
        <is>
          <t>I’m on my honeymoon and I just had a breakfast of 45 g of carbs and took 1,20 Units of insulin on my omnipod, I never got over 7 and ended up low and eating some sugar. Next meal I’m having now is Eggs and cheese. Thats about 0g carbs, and I’m wondering does my pancreas shoot out insulin for that meal too? Or does it know that it is 0g carbs? I do not wanna go low again...</t>
        </is>
      </c>
      <c r="D4322" t="n">
        <v>6</v>
      </c>
      <c r="E4322" t="n">
        <v>28</v>
      </c>
      <c r="F4322">
        <f>HYPERLINK("https://www.reddit.com/r/diabetes/comments/81q52i/probs_my_1000th_question/")</f>
        <v/>
      </c>
      <c r="G4322" t="inlineStr">
        <is>
          <t>2018-03-03 05:32:53</t>
        </is>
      </c>
      <c r="H4322" t="inlineStr">
        <is>
          <t>Type 1</t>
        </is>
      </c>
    </row>
    <row r="4323">
      <c r="A4323" t="inlineStr">
        <is>
          <t>81qtsl</t>
        </is>
      </c>
      <c r="B4323" t="inlineStr">
        <is>
          <t>I’m becoming more insulin resistant</t>
        </is>
      </c>
      <c r="C4323" t="inlineStr">
        <is>
          <t xml:space="preserve">I’m currently doing injections. I’m taking 45units of Levemir and my correction ratio is 1/10. 
Two years ago I was taking 30units of Levemir and my correction ratio was 1/15. 
I have a Dexcom and I test regularly. I’m noticing that I’m having to take even more insulin. I’m trying 1/8 to see if that will improve my numbers this week. I just don’t understand the resistance. Is there a “natural” way to make my body use the insulin? My endo has just prescribed more insulin. </t>
        </is>
      </c>
      <c r="D4323" t="n">
        <v>8</v>
      </c>
      <c r="E4323" t="n">
        <v>37</v>
      </c>
      <c r="F4323">
        <f>HYPERLINK("https://www.reddit.com/r/diabetes/comments/81qtsl/im_becoming_more_insulin_resistant/")</f>
        <v/>
      </c>
      <c r="G4323" t="inlineStr">
        <is>
          <t>2018-03-03 07:38:09</t>
        </is>
      </c>
      <c r="H4323" t="inlineStr">
        <is>
          <t>Type 1</t>
        </is>
      </c>
    </row>
    <row r="4324">
      <c r="A4324" t="inlineStr">
        <is>
          <t>81s5zc</t>
        </is>
      </c>
      <c r="B4324" t="inlineStr">
        <is>
          <t>Coffee</t>
        </is>
      </c>
      <c r="C4324" t="inlineStr">
        <is>
          <t>Does anyone else feel like when they drink coffee their sugar drops? I dont know if theres actually a correlation, but my suagar will be steady, and I'll drink coffee and it drops. Doesnt matter if its just black, or has cream and sugar, it'll drop. 
I was just drinking some coffee and my sugar dropped, so I thought I'd ask if this happens to anyone else, haha.</t>
        </is>
      </c>
      <c r="D4324" t="n">
        <v>0</v>
      </c>
      <c r="E4324" t="n">
        <v>7</v>
      </c>
      <c r="F4324">
        <f>HYPERLINK("https://www.reddit.com/r/diabetes/comments/81s5zc/coffee/")</f>
        <v/>
      </c>
      <c r="G4324" t="inlineStr">
        <is>
          <t>2018-03-03 11:00:09</t>
        </is>
      </c>
      <c r="H4324" t="inlineStr">
        <is>
          <t>Type 1</t>
        </is>
      </c>
    </row>
    <row r="4325">
      <c r="A4325" t="inlineStr">
        <is>
          <t>81tnar</t>
        </is>
      </c>
      <c r="B4325" t="inlineStr">
        <is>
          <t>Any tips on affordable life insurance?</t>
        </is>
      </c>
      <c r="C4325" t="inlineStr">
        <is>
          <t xml:space="preserve">I’m having a daughter in July and would like to get life insurance, but it’s so expensive. </t>
        </is>
      </c>
      <c r="D4325" t="n">
        <v>2</v>
      </c>
      <c r="E4325" t="n">
        <v>5</v>
      </c>
      <c r="F4325">
        <f>HYPERLINK("https://www.reddit.com/r/diabetes/comments/81tnar/any_tips_on_affordable_life_insurance/")</f>
        <v/>
      </c>
      <c r="G4325" t="inlineStr">
        <is>
          <t>2018-03-03 14:49:33</t>
        </is>
      </c>
      <c r="H4325" t="inlineStr">
        <is>
          <t>Type 1</t>
        </is>
      </c>
    </row>
    <row r="4326">
      <c r="A4326" t="inlineStr">
        <is>
          <t>81ubzv</t>
        </is>
      </c>
      <c r="B4326" t="inlineStr">
        <is>
          <t>Diagnosed @ 28! 6.5 A1C Type Two.</t>
        </is>
      </c>
      <c r="C4326" t="inlineStr">
        <is>
          <t xml:space="preserve">Hello everyone, my name is Peter and I was diagnosed last month on February 13th. My A1C was 6.5. Because of my age my doctor believes that I can manage it through diet and exercise, I attended a 3 day course on Diabetes education and management and for the past month have been reading this subreddit for comfort and guidance.
In the beginning i had a tough time accepting it because my A1C was right on the border, I kept convincing myself that it was a false positive, but I went to the clinic the other day and spoke with a nurse who broke down my blood test results for me. She said that everything else was fine and healthy, except for of course my A1C. 
Because I have type two, I have been heavyset for the past three years now, living a sedentary life style and not really getting the exercise that I needed to keep my blood sugar down. But I have lost 20 pounds so far, I've been generally eating low carb, I think it's liberal low carb where I eat like 130-150 carbs a day. 
I have a follow up appointment with my doctor on the 12th of March and suspect that this is where I'll get my glucometer, I'm going to ask her for a referral to an endo. Anyway, I've taken up enough of your time and thank you for reading. I hope to be a positive addition to this wonderful subreddit and look forward to getting to know each and every one of you. 
P.S I am looking/hoping for a penpal partner where we can help one another achieve our goals by motivating each other. I have 'Whatsapp' and 'Telegram'. </t>
        </is>
      </c>
      <c r="D4326" t="n">
        <v>14</v>
      </c>
      <c r="E4326" t="n">
        <v>16</v>
      </c>
      <c r="F4326">
        <f>HYPERLINK("https://www.reddit.com/r/diabetes/comments/81ubzv/diagnosed_28_65_a1c_type_two/")</f>
        <v/>
      </c>
      <c r="G4326" t="inlineStr">
        <is>
          <t>2018-03-03 16:40:50</t>
        </is>
      </c>
      <c r="H4326" t="inlineStr">
        <is>
          <t>Type 2</t>
        </is>
      </c>
    </row>
    <row r="4327">
      <c r="A4327" t="inlineStr">
        <is>
          <t>81wn7i</t>
        </is>
      </c>
      <c r="B4327" t="inlineStr">
        <is>
          <t>Traveling Abroad for long periods of time.</t>
        </is>
      </c>
      <c r="C4327" t="inlineStr">
        <is>
          <t>Hello, Next year I am looking to travel through Europe for a month or 2. However I am worried about carrying my insulin around for that length of time as Insulin pens i am not using need to stay refrigerated. Are there any seasoned travelers that can advise me on what to do with my insulin when traveling for so long??
Thanks,
Type 1 Callum. :)</t>
        </is>
      </c>
      <c r="D4327" t="n">
        <v>10</v>
      </c>
      <c r="E4327" t="n">
        <v>10</v>
      </c>
      <c r="F4327">
        <f>HYPERLINK("https://www.reddit.com/r/diabetes/comments/81wn7i/traveling_abroad_for_long_periods_of_time/")</f>
        <v/>
      </c>
      <c r="G4327" t="inlineStr">
        <is>
          <t>2018-03-04 00:53:12</t>
        </is>
      </c>
      <c r="H4327" t="inlineStr">
        <is>
          <t>Type 1</t>
        </is>
      </c>
    </row>
    <row r="4328">
      <c r="A4328" t="inlineStr">
        <is>
          <t>81ynrp</t>
        </is>
      </c>
      <c r="B4328" t="inlineStr">
        <is>
          <t>Couldn't get my prescription yesterday...</t>
        </is>
      </c>
      <c r="C4328" t="inlineStr">
        <is>
          <t>I had my first run in of not being able to get my insulin yesterday. I moved last week and had my endo switch my prescriptions from CVS to Walgreens because they are closer to my new place. Anyway, I've hit a very strong honeymoon period where I haven't needed much insulin, but the past two days I've been getting insane spikes and I realized my last pen had expired. Went it to pick up my prescription and there's a long line, wait 20 minutes and finally get to the front and they can't find it. I had to inform the pharmacy tech that insulin is refrigerated...They finally find it and try to run my insurance but it's not pulling up and not saying why. The tech tells me if I want the insulin now I would have to pay the cash price, which was almost $600. Needless to say I ran out of the store crying. I am picking up from my old CVS today, I'm mostly just here to vent because I have never been so frustrated and embarrassed in my life. Insulin is something we need to live and they think they can charge that much for it? What do you guys in the US without insurance do?</t>
        </is>
      </c>
      <c r="D4328" t="n">
        <v>12</v>
      </c>
      <c r="E4328" t="n">
        <v>5</v>
      </c>
      <c r="F4328">
        <f>HYPERLINK("https://www.reddit.com/r/diabetes/comments/81ynrp/couldnt_get_my_prescription_yesterday/")</f>
        <v/>
      </c>
      <c r="G4328" t="inlineStr">
        <is>
          <t>2018-03-04 08:29:15</t>
        </is>
      </c>
      <c r="H4328" t="inlineStr">
        <is>
          <t>Type 1.5/LADA</t>
        </is>
      </c>
    </row>
    <row r="4329">
      <c r="A4329" t="inlineStr">
        <is>
          <t>81z8co</t>
        </is>
      </c>
      <c r="B4329" t="inlineStr">
        <is>
          <t>Frustrated</t>
        </is>
      </c>
      <c r="C4329" t="inlineStr">
        <is>
          <t xml:space="preserve">I went low and I overate. I checked my blood sugar 4 hours later and I was 367. Put in insulin and checked hours later I was 297. I put insulin again via my omnipod and I am now 147 an hour later and I know my blood sugar is going to crash any minute. I'm so frustrated. I'm either too low or too high and it's horrible. I hate being afraid to fall asleep at night knowing I'm going to crash and wake up at a dangerously low level. </t>
        </is>
      </c>
      <c r="D4329" t="n">
        <v>4</v>
      </c>
      <c r="E4329" t="n">
        <v>4</v>
      </c>
      <c r="F4329">
        <f>HYPERLINK("https://www.reddit.com/r/diabetes/comments/81z8co/frustrated/")</f>
        <v/>
      </c>
      <c r="G4329" t="inlineStr">
        <is>
          <t>2018-03-04 09:54:52</t>
        </is>
      </c>
      <c r="H4329" t="inlineStr">
        <is>
          <t>Type 1</t>
        </is>
      </c>
    </row>
    <row r="4330">
      <c r="A4330" t="inlineStr">
        <is>
          <t>81zsuo</t>
        </is>
      </c>
      <c r="B4330" t="inlineStr">
        <is>
          <t>Since my son was diagnosed T1 ten years ago I've been told every year that a cure was only a couple years away.</t>
        </is>
      </c>
      <c r="C4330" t="inlineStr">
        <is>
          <t>I'm getting real tired of hearing that.
So when are we going to see a cure?</t>
        </is>
      </c>
      <c r="D4330" t="n">
        <v>4</v>
      </c>
      <c r="E4330" t="n">
        <v>28</v>
      </c>
      <c r="F4330">
        <f>HYPERLINK("https://www.reddit.com/r/diabetes/comments/81zsuo/since_my_son_was_diagnosed_t1_ten_years_ago_ive/")</f>
        <v/>
      </c>
      <c r="G4330" t="inlineStr">
        <is>
          <t>2018-03-04 11:16:05</t>
        </is>
      </c>
      <c r="H4330" t="inlineStr">
        <is>
          <t>Type 1</t>
        </is>
      </c>
    </row>
    <row r="4331">
      <c r="A4331" t="inlineStr">
        <is>
          <t>8201re</t>
        </is>
      </c>
      <c r="B4331" t="inlineStr">
        <is>
          <t>Meter scared the crap out of me with a 35! (cold weather)</t>
        </is>
      </c>
      <c r="C4331" t="inlineStr">
        <is>
          <t>So I’m visiting Berlin for a week on work and went out for a walk to burn off my lunch. I started to feel a bit low so I thought I’d check to make sure I wasn’t having a hypo. My meter came back with 35! I ran into the restaurant next to me told them to get my orange juice now, it was an emergency. Before stuffing glucose tablets in my mouth I took a quick reading, it was 79... once I’d calmed down a bit and let a little chocolate boost my level I left and carried on. Outside I checked my level again, 45... I’d just checked before I left, 89 so I knew I was ok. Berlin is -5deg celcius (a little below freezing for the Americans) and the cold obviously has a big effect on my meter. Is this an issue with all meters? Do you have any tricks for getting accurate readings in the cold?</t>
        </is>
      </c>
      <c r="D4331" t="n">
        <v>5</v>
      </c>
      <c r="E4331" t="n">
        <v>4</v>
      </c>
      <c r="F4331">
        <f>HYPERLINK("https://www.reddit.com/r/diabetes/comments/8201re/meter_scared_the_crap_out_of_me_with_a_35_cold/")</f>
        <v/>
      </c>
      <c r="G4331" t="inlineStr">
        <is>
          <t>2018-03-04 11:52:20</t>
        </is>
      </c>
      <c r="H4331" t="inlineStr">
        <is>
          <t>Type 2</t>
        </is>
      </c>
    </row>
    <row r="4332">
      <c r="A4332" t="inlineStr">
        <is>
          <t>8205r5</t>
        </is>
      </c>
      <c r="B4332" t="inlineStr">
        <is>
          <t>Insulin Leaking From Site?</t>
        </is>
      </c>
      <c r="C4332" t="inlineStr">
        <is>
          <t>Hey all, been a diabetic for a while now, using the T-slim pump for about 3 - 4 years at this point, I've been finding recently that my sites seem to leak sometimes? It's happened before when I've kept on a site a little too long, but now I've noticed it on much newer sites also. I alternate my sites on both sides of my stomach. Anyone experienced this or have suggestions?</t>
        </is>
      </c>
      <c r="D4332" t="n">
        <v>5</v>
      </c>
      <c r="E4332" t="n">
        <v>13</v>
      </c>
      <c r="F4332">
        <f>HYPERLINK("https://www.reddit.com/r/diabetes/comments/8205r5/insulin_leaking_from_site/")</f>
        <v/>
      </c>
      <c r="G4332" t="inlineStr">
        <is>
          <t>2018-03-04 12:08:22</t>
        </is>
      </c>
      <c r="H4332" t="inlineStr">
        <is>
          <t>Type 1</t>
        </is>
      </c>
    </row>
    <row r="4333">
      <c r="A4333" t="inlineStr">
        <is>
          <t>820tox</t>
        </is>
      </c>
      <c r="B4333" t="inlineStr">
        <is>
          <t>Burnout</t>
        </is>
      </c>
      <c r="C4333" t="inlineStr">
        <is>
          <t>Having one of those days when I'm sick of having to be a pancreas. My numbers have been shit for a little while and I think I need some basal rate adjustment.
I've asked my specialist nurse for a call but I'm just fed up of having to think about all this stuff and even when I'm eating food from a packet with nutrition info on it things don't always go smoothly.
I've had a 2.2 hypo and a 33 hyper (curse you, beer!) in the last two weeks. Wish I could just stop bothering but dying isn't very fun I hear.
Blah! I'm pretty good at dealing with things usually but right now I'm sad and angry with my lot in life. I know it'll pass and things will get back on track but right now it just sucks donkey balls, y'know?</t>
        </is>
      </c>
      <c r="D4333" t="n">
        <v>4</v>
      </c>
      <c r="E4333" t="n">
        <v>4</v>
      </c>
      <c r="F4333">
        <f>HYPERLINK("https://www.reddit.com/r/diabetes/comments/820tox/burnout/")</f>
        <v/>
      </c>
      <c r="G4333" t="inlineStr">
        <is>
          <t>2018-03-04 13:43:40</t>
        </is>
      </c>
      <c r="H4333" t="inlineStr">
        <is>
          <t>Type 1</t>
        </is>
      </c>
    </row>
    <row r="4334">
      <c r="A4334" t="inlineStr">
        <is>
          <t>8265pi</t>
        </is>
      </c>
      <c r="B4334" t="inlineStr">
        <is>
          <t>Has anyone experiences with pumps and Freestyle Libre/cgm at concerts, festivals, etc?</t>
        </is>
      </c>
      <c r="C4334" t="inlineStr">
        <is>
          <t xml:space="preserve">Small female, what is already a reason to be scared, and people also tried to rip my Libre sensor even at a small party ('you have something on your arm, let me take it off').
Any advice/experiences/etc? </t>
        </is>
      </c>
      <c r="D4334" t="n">
        <v>1</v>
      </c>
      <c r="E4334" t="n">
        <v>15</v>
      </c>
      <c r="F4334">
        <f>HYPERLINK("https://www.reddit.com/r/diabetes/comments/8265pi/has_anyone_experiences_with_pumps_and_freestyle/")</f>
        <v/>
      </c>
      <c r="G4334" t="inlineStr">
        <is>
          <t>2018-03-05 06:10:21</t>
        </is>
      </c>
      <c r="H4334" t="inlineStr">
        <is>
          <t>Type 1</t>
        </is>
      </c>
    </row>
    <row r="4335">
      <c r="A4335" t="inlineStr">
        <is>
          <t>827j7h</t>
        </is>
      </c>
      <c r="B4335" t="inlineStr">
        <is>
          <t>Diabetes 10.6 a1c in 2014. Now 5.0. Is that good?</t>
        </is>
      </c>
      <c r="C4335" t="inlineStr">
        <is>
          <t>I lost 93 lbs over 10 months and then gained 30 lbs while going to the gym. Bulking Is what you would call it. I haven't REALLY been controlling my portions every day. Before I started to bulk, my a1c was 5.3. Now it's 5.0, and I'm shocked because I gained 30 lbs.
Is this common?
Type 2 diabetes and I'm 20 years old.
I eat in smaller portions than before I weighed a lot more, but I still eat carbs. Rice, noodles, etc. I eat a lot more protein, however.</t>
        </is>
      </c>
      <c r="D4335" t="n">
        <v>5</v>
      </c>
      <c r="E4335" t="n">
        <v>14</v>
      </c>
      <c r="F4335">
        <f>HYPERLINK("https://www.reddit.com/r/diabetes/comments/827j7h/diabetes_106_a1c_in_2014_now_50_is_that_good/")</f>
        <v/>
      </c>
      <c r="G4335" t="inlineStr">
        <is>
          <t>2018-03-05 09:17:51</t>
        </is>
      </c>
      <c r="H4335" t="inlineStr">
        <is>
          <t>Type 2</t>
        </is>
      </c>
    </row>
    <row r="4336">
      <c r="A4336" t="inlineStr">
        <is>
          <t>829r71</t>
        </is>
      </c>
      <c r="B4336" t="inlineStr">
        <is>
          <t>Family member having major issues with type 1 and getting it under control.</t>
        </is>
      </c>
      <c r="C4336" t="inlineStr">
        <is>
          <t>First time post here so excuse my ignorance*
I have a young family member (female 11yo) who has been diagnosed t1 about 6 months ago. She has been following all direction given by medical professionals and has been trying a constant monitoring system. With multiple visits and admissions to the hospital as she has been having multiple highs every day (20s plus) and now is constantly dropping low. She has been taking huge doses of insulin, both Lantes and another type. The constant extreme fluctuation has become quite distressing for all involved. The consultant dealing with the case has insisted that she stick with her current way of doing things and it will get better. However I am sure that is these fluctuations continue it will have negative effects later in life. Her diet is well balanced and she is fit and doing regular exercise. Has anyone been here, if so did it one day begin to calm down? Did you make any changes that helped?</t>
        </is>
      </c>
      <c r="D4336" t="n">
        <v>0</v>
      </c>
      <c r="E4336" t="n">
        <v>11</v>
      </c>
      <c r="F4336">
        <f>HYPERLINK("https://www.reddit.com/r/diabetes/comments/829r71/family_member_having_major_issues_with_type_1_and/")</f>
        <v/>
      </c>
      <c r="G4336" t="inlineStr">
        <is>
          <t>2018-03-05 13:58:29</t>
        </is>
      </c>
      <c r="H4336" t="inlineStr">
        <is>
          <t>Type 1</t>
        </is>
      </c>
    </row>
    <row r="4337">
      <c r="A4337" t="inlineStr">
        <is>
          <t>82aeyj</t>
        </is>
      </c>
      <c r="B4337" t="inlineStr">
        <is>
          <t>Diabetic who's worried about having early signs of kidney disease/failure</t>
        </is>
      </c>
      <c r="C4337" t="inlineStr">
        <is>
          <t>If you're a diabetic and have experienced high blood sugars, you would know that your urine is much lighter in color when your blood sugar is high. Today, my blood sugar was 500 and my urine was almost tea colored.
I had a small panic, but the first thing I did was drink two bottles of water. I immediately went to the bathroom and forced myself to get a stream going, and my urine was now much lighter than it was. Does this mean that I was simply dehydrated, because I'd assume that if the issue was due to my kidneys the urine would be dark regardless. What should I do?</t>
        </is>
      </c>
      <c r="D4337" t="n">
        <v>1</v>
      </c>
      <c r="E4337" t="n">
        <v>5</v>
      </c>
      <c r="F4337">
        <f>HYPERLINK("https://www.reddit.com/r/diabetes/comments/82aeyj/diabetic_whos_worried_about_having_early_signs_of/")</f>
        <v/>
      </c>
      <c r="G4337" t="inlineStr">
        <is>
          <t>2018-03-05 15:22:51</t>
        </is>
      </c>
      <c r="H4337" t="inlineStr">
        <is>
          <t>Type 1</t>
        </is>
      </c>
    </row>
    <row r="4338">
      <c r="A4338" t="inlineStr">
        <is>
          <t>82aje7</t>
        </is>
      </c>
      <c r="B4338" t="inlineStr">
        <is>
          <t>Do you ever just walk around the supermarket looking at all the stuff you can't have? Kinda a rant</t>
        </is>
      </c>
      <c r="C4338" t="inlineStr">
        <is>
          <t xml:space="preserve">I got diagnosed with type 1 a few months ago, (am turning 19 in April) and honestly life is just fucking awful with diabetes. I'm angry at how randomly it just came into my life and there's nothing I could have done about it. I hate the tension that's developed between my me and my parents. I get angry when they constantly check up on me even though I know it's just them loving me and I should have the opposite reaction. 
I hate the false hopes of discovering a food that seems okay to eat for dinner, only to wake up to a high blood sugar in the morning. I hate the fact that I can't eat pizza, and that there's no point going to the movies since I can't eat popcorn. I hate the fact that I can't binge movies eating junk food on weekends. Can't go get drunk with my friends. 
Today I walked around two supermarkets for hours, looking at all the stuff I used to love. Also checking every type of cereal box to see if maybe one miraculously had a low GI. 
This life is really fucking miserable and grey and I hope they find a cure soon. Sorry if this is just repetitive ranting but I hope you can understand. </t>
        </is>
      </c>
      <c r="D4338" t="n">
        <v>3</v>
      </c>
      <c r="E4338" t="n">
        <v>27</v>
      </c>
      <c r="F4338">
        <f>HYPERLINK("https://www.reddit.com/r/diabetes/comments/82aje7/do_you_ever_just_walk_around_the_supermarket/")</f>
        <v/>
      </c>
      <c r="G4338" t="inlineStr">
        <is>
          <t>2018-03-05 15:40:56</t>
        </is>
      </c>
      <c r="H4338" t="inlineStr">
        <is>
          <t>Type 1</t>
        </is>
      </c>
    </row>
    <row r="4339">
      <c r="A4339" t="inlineStr">
        <is>
          <t>82b0bk</t>
        </is>
      </c>
      <c r="B4339" t="inlineStr">
        <is>
          <t>Neuropathy when dosing off?</t>
        </is>
      </c>
      <c r="C4339" t="inlineStr">
        <is>
          <t xml:space="preserve">Hi.
Newly diagnosed type 2 who used to drink way too much. I already have foot issues, but I’m finding when I dose off or take a short nap, my hands and legs get super tingly and I feel sorta sick. But it only happens when I start to fall asleep or only take a short nap. Im wondering if im not getting enough oxygen when I sleep or my Bs is spiking. I dont have my meter yet, but Id like to know if anyone else has experienced this. </t>
        </is>
      </c>
      <c r="D4339" t="n">
        <v>1</v>
      </c>
      <c r="E4339" t="n">
        <v>1</v>
      </c>
      <c r="F4339">
        <f>HYPERLINK("https://www.reddit.com/r/diabetes/comments/82b0bk/neuropathy_when_dosing_off/")</f>
        <v/>
      </c>
      <c r="G4339" t="inlineStr">
        <is>
          <t>2018-03-05 16:52:10</t>
        </is>
      </c>
      <c r="H4339" t="inlineStr">
        <is>
          <t>Type 2</t>
        </is>
      </c>
    </row>
    <row r="4340">
      <c r="A4340" t="inlineStr">
        <is>
          <t>82d3lh</t>
        </is>
      </c>
      <c r="B4340" t="inlineStr">
        <is>
          <t>Bladder infections are running my life, please help.</t>
        </is>
      </c>
      <c r="C4340" t="inlineStr">
        <is>
          <t xml:space="preserve">Hi I am a 24 y/o recently diagnosed T1D. I've heard high BG can be a factor in how frequently you may get bladder infections (UTIs). I have had maybe 6 UTIs in the last 3 months. I'm not sure if some of those have been the same UTI and I have been resistant to antibiotics or if I'm contracting them that frequently. I drink plenty of water, wipe the right way, and pee after sex every single time. I started taking a cranberry pill in the mornings. What else can I do? Should I switch back to condoms with my partner? Use baby wipes instead of toilet paper? I hope this isn't a problem unique to me, I haven't been on this sub before. Thank you for reading. </t>
        </is>
      </c>
      <c r="D4340" t="n">
        <v>1</v>
      </c>
      <c r="E4340" t="n">
        <v>15</v>
      </c>
      <c r="F4340">
        <f>HYPERLINK("https://www.reddit.com/r/diabetes/comments/82d3lh/bladder_infections_are_running_my_life_please_help/")</f>
        <v/>
      </c>
      <c r="G4340" t="inlineStr">
        <is>
          <t>2018-03-05 22:50:10</t>
        </is>
      </c>
      <c r="H4340" t="inlineStr">
        <is>
          <t>Type 1</t>
        </is>
      </c>
    </row>
    <row r="4341">
      <c r="A4341" t="inlineStr">
        <is>
          <t>82d9qt</t>
        </is>
      </c>
      <c r="B4341" t="inlineStr">
        <is>
          <t>oh no</t>
        </is>
      </c>
      <c r="C4341" t="inlineStr">
        <is>
          <t>Hi...went to open my new box of insulin pens Tresiba u-100 is what I take but the new ones are u-200. Do I take half my dose since its 200 instead of 100? yikes...</t>
        </is>
      </c>
      <c r="D4341" t="n">
        <v>5</v>
      </c>
      <c r="E4341" t="n">
        <v>8</v>
      </c>
      <c r="F4341">
        <f>HYPERLINK("https://www.reddit.com/r/diabetes/comments/82d9qt/oh_no/")</f>
        <v/>
      </c>
      <c r="G4341" t="inlineStr">
        <is>
          <t>2018-03-05 23:27:52</t>
        </is>
      </c>
      <c r="H4341" t="inlineStr">
        <is>
          <t>Type 2</t>
        </is>
      </c>
    </row>
    <row r="4342">
      <c r="A4342" t="inlineStr">
        <is>
          <t>82e1h9</t>
        </is>
      </c>
      <c r="B4342" t="inlineStr">
        <is>
          <t>T1 diabetes’s and battling depression</t>
        </is>
      </c>
      <c r="C4342" t="inlineStr">
        <is>
          <t>Anyone out there taking meds for depression on top of insulin. How does the depression meds help and do they affect everyday T1 life?</t>
        </is>
      </c>
      <c r="D4342" t="n">
        <v>2</v>
      </c>
      <c r="E4342" t="n">
        <v>6</v>
      </c>
      <c r="F4342">
        <f>HYPERLINK("https://www.reddit.com/r/diabetes/comments/82e1h9/t1_diabetess_and_battling_depression/")</f>
        <v/>
      </c>
      <c r="G4342" t="inlineStr">
        <is>
          <t>2018-03-06 02:20:07</t>
        </is>
      </c>
      <c r="H4342" t="inlineStr">
        <is>
          <t>Type 1</t>
        </is>
      </c>
    </row>
    <row r="4343">
      <c r="A4343" t="inlineStr">
        <is>
          <t>82ii1y</t>
        </is>
      </c>
      <c r="B4343" t="inlineStr">
        <is>
          <t>He's not big boned, he's just fat.</t>
        </is>
      </c>
      <c r="C4343" t="inlineStr">
        <is>
          <t>TL;DR - diagnosed type 2 over a year and a half ago, in the last 6 months, I have lost over 45 pounds(as of just now).  Frustrated because my NP's hurried and quick nature leaves me no time for questions, so I feel in the dark about my condition, treatment goals, and expected outcomes at times.
What follows is part rant, and part screaming into the darkness, and at internet strangers for answers that they may not be qualified* to give. Forgive my lack of brevity.
Well, at least I can rest easy that I'm not misdiagnosed. I'm just overweight and that caused me to get it, right? Does type 2 run in families? My grandfather on my mothers side had it, and he was reasonably healthy, held down two jobs and ran 5k races on weekends. I have so many questions that my NP just doesn't have time to field. It was just a case of "you're too fat, Mr Maximus. You feel like you're gonna die because your blood sugar is almost 550. Take this metformin."
Honestly, it feels like I'm managing my treatment by rote. The problem now is, nothing worked until  I begged my doctor to let me go on insulin since metformin and anything else she prescribed made me so sick I'd go a couple of days without eating.  I knew it would work because one weekend I just said, screw it, and went to Sam's club and bought a vial of 70/30 and a box of needles. 
After a period of very careful testing and so much monitoring I went through 6 or more test strips a day, I arrived at what I thought was an ideal dose. For two glorious weeks, I lived with what I'd call a normal response to food. I would eat, my blood glucose would run up to 150-160, and then fall to a baseline of around 100. My fasting glucose during that period would be around 85-95 in the morning. It was awesome. 
Armed with this in mind, I moved my normal doctors appointment up to two weeks later, and I went off the insulin. I woke up the next morning after discontinuing my nightly dose to a BG well over 225. By that night, it hovered around 100 points higher. Even if I discontinued as many carbs as possible, my BG never went below 210 or so. 
By the time I saw my doctor, I felt like death. I was in so much pain that it felt like I had a spear going through me. I asked to go on insulin, and told her that we had tried everything and nothing else had worked. She agreed to it, and sent in the prescription. I started out on a very low dose, and had to work my way up. (If I had told her that I had experimented with insulin, she would have told me to find another health care professional.)
Now, I've lost 40 pounds(and still going, but now at a rate of 2 or so a week), but have only been able to reduce my dosage by 5 units. Any further reductions results in absurd BG reactions to food. I tried going down by 10 units, but then I would start seeing low 60s pop up. 
Looking back, I am seeing that even when I was within 10 pounds of my ideal weight and hadn't yet packed on extra pounds, I had some of the symptoms in my early 20s. I was constantly thirsty, like dying of thirst type, could drink ALL of the tap water and would still be thirsty. I was getting up 4 to 6 times a night to pee. (And all times during the day too, my friends would comment on the frequency, and I just told them I had the world's most efficient kidneys. Could turn 20 ounces of water into 32 ounces of urine in under am hour.)
I'm not a doctor, didn't even play one on tv.  But I honestly sometimes wonder if the NP is looking at me, and just seeing a fat guy having fat guy problems. Yeah, I probably am type 2, because if it was type one, I'd be dead already due to non treatment in my 20s, right?
Didn't mean to ramble, but I'm just frustrated, and wondering why my body isn't behaving like it should given what I've read so far regarding type 2 folks. I guess, given the sheer volume of insulin it takes to keep my body in check, there's really no doubt. But, I guess I really needed to vent.</t>
        </is>
      </c>
      <c r="D4343" t="n">
        <v>10</v>
      </c>
      <c r="E4343" t="n">
        <v>9</v>
      </c>
      <c r="F4343">
        <f>HYPERLINK("https://www.reddit.com/r/diabetes/comments/82ii1y/hes_not_big_boned_hes_just_fat/")</f>
        <v/>
      </c>
      <c r="G4343" t="inlineStr">
        <is>
          <t>2018-03-06 12:56:31</t>
        </is>
      </c>
      <c r="H4343" t="inlineStr">
        <is>
          <t>Type 2</t>
        </is>
      </c>
    </row>
    <row r="4344">
      <c r="A4344" t="inlineStr">
        <is>
          <t>82li0v</t>
        </is>
      </c>
      <c r="B4344" t="inlineStr">
        <is>
          <t>Water consumption during keto</t>
        </is>
      </c>
      <c r="C4344" t="inlineStr">
        <is>
          <t>Hey folks,
I've been on keto diet for roughly 10 days now and I've noticed my water consumption is through the roof, I'm basically always thirsty, even though my numbers are within range. 
Is this normal, does anyone else have this effect?
Thanks</t>
        </is>
      </c>
      <c r="D4344" t="n">
        <v>0</v>
      </c>
      <c r="E4344" t="n">
        <v>3</v>
      </c>
      <c r="F4344">
        <f>HYPERLINK("https://www.reddit.com/r/diabetes/comments/82li0v/water_consumption_during_keto/")</f>
        <v/>
      </c>
      <c r="G4344" t="inlineStr">
        <is>
          <t>2018-03-06 20:15:58</t>
        </is>
      </c>
      <c r="H4344" t="inlineStr">
        <is>
          <t>Type 1</t>
        </is>
      </c>
    </row>
    <row r="4345">
      <c r="A4345" t="inlineStr">
        <is>
          <t>82ln0e</t>
        </is>
      </c>
      <c r="B4345" t="inlineStr">
        <is>
          <t>Had a bad day [rant]</t>
        </is>
      </c>
      <c r="C4345" t="inlineStr">
        <is>
          <t xml:space="preserve">So, I'm a college freshman. Was diagnosed in November and figured I'd be put together enough in my spring semester to keep moving. Well honestly things haven't been going okay at all and now im just worried I'm not balancing my health and school at all. Today in particular was just an off day where i have no idea why but i rode the roller coaster from ranging 420 (ayye) to 47... 
At this point i honestly feel like im breaking and struggling completely with it all. Even on days where my blood sugar is fine i still dont have the energy to do tge work i need to, and days like today put me further behind since i eitger cant make it to class at all or lose focus while im low. 
Anyway i really just needed to rant but any advice would be appreciated. </t>
        </is>
      </c>
      <c r="D4345" t="n">
        <v>8</v>
      </c>
      <c r="E4345" t="n">
        <v>10</v>
      </c>
      <c r="F4345">
        <f>HYPERLINK("https://www.reddit.com/r/diabetes/comments/82ln0e/had_a_bad_day_rant/")</f>
        <v/>
      </c>
      <c r="G4345" t="inlineStr">
        <is>
          <t>2018-03-06 20:40:35</t>
        </is>
      </c>
      <c r="H4345" t="inlineStr">
        <is>
          <t>Type 1</t>
        </is>
      </c>
    </row>
    <row r="4346">
      <c r="A4346" t="inlineStr">
        <is>
          <t>82o5vk</t>
        </is>
      </c>
      <c r="B4346" t="inlineStr">
        <is>
          <t>Why does breakfast hate me</t>
        </is>
      </c>
      <c r="C4346" t="inlineStr">
        <is>
          <t xml:space="preserve">Send help. No matter how much I dose for breakfast I always end up in the 250+ range. I eat oatmeal with agave (~50 carbs depending on the flavor of the oatmeal) and coffee (~20 carbs bc creamer). I’m not looking for different breakfast options, I just want to know if anyone can noodle out why this happens. Generally I dose around 12u for this, but I’ve tried dosing 20u and i still spiked and stayed there for 3 or so hours before falling rapidly. I know coffee can cause spikes, but it’s really frustrating. I had tea today instead (straight tea, no cream or sugar or anything) and am still in the 200s and I dosed the same 12u. I also know the morning phenomenon or whatever makes your sugar higher but man I’m frustrated that I can’t get it under control. </t>
        </is>
      </c>
      <c r="D4346" t="n">
        <v>5</v>
      </c>
      <c r="E4346" t="n">
        <v>51</v>
      </c>
      <c r="F4346">
        <f>HYPERLINK("https://www.reddit.com/r/diabetes/comments/82o5vk/why_does_breakfast_hate_me/")</f>
        <v/>
      </c>
      <c r="G4346" t="inlineStr">
        <is>
          <t>2018-03-07 05:14:45</t>
        </is>
      </c>
      <c r="H4346" t="inlineStr">
        <is>
          <t>Type 1</t>
        </is>
      </c>
    </row>
    <row r="4347">
      <c r="A4347" t="inlineStr">
        <is>
          <t>82odfr</t>
        </is>
      </c>
      <c r="B4347" t="inlineStr">
        <is>
          <t>Is a spike of 7.0 (126) bad?</t>
        </is>
      </c>
      <c r="C4347" t="inlineStr">
        <is>
          <t xml:space="preserve">I’m testing the waters after going Keto, by including some low/medium GI carbs.
I had 100g of rice for lunch post workout (32g of carbs). Pre-meal test was 5.8 (104) an hour later it was 7.0 (126) and then a further hour later it was 4.5 (81). Was that spike too high? Is it dangerous for it to spike like that? </t>
        </is>
      </c>
      <c r="D4347" t="n">
        <v>0</v>
      </c>
      <c r="E4347" t="n">
        <v>15</v>
      </c>
      <c r="F4347">
        <f>HYPERLINK("https://www.reddit.com/r/diabetes/comments/82odfr/is_a_spike_of_70_126_bad/")</f>
        <v/>
      </c>
      <c r="G4347" t="inlineStr">
        <is>
          <t>2018-03-07 05:49:06</t>
        </is>
      </c>
      <c r="H4347" t="inlineStr">
        <is>
          <t>Type 1</t>
        </is>
      </c>
    </row>
    <row r="4348">
      <c r="A4348" t="inlineStr">
        <is>
          <t>82oroq</t>
        </is>
      </c>
      <c r="B4348" t="inlineStr">
        <is>
          <t>Diabetes</t>
        </is>
      </c>
      <c r="C4348" t="inlineStr">
        <is>
          <t>Hi. I’m a type 2  diabetes patient and need to know if tomatoes can be included in the diet and if there are any restrictions on variety of tomatoes and any guidelines on how much per day should be consumed..........</t>
        </is>
      </c>
      <c r="D4348" t="n">
        <v>3</v>
      </c>
      <c r="E4348" t="n">
        <v>6</v>
      </c>
      <c r="F4348">
        <f>HYPERLINK("https://www.reddit.com/r/diabetes/comments/82oroq/diabetes/")</f>
        <v/>
      </c>
      <c r="G4348" t="inlineStr">
        <is>
          <t>2018-03-07 06:47:06</t>
        </is>
      </c>
      <c r="H4348" t="inlineStr">
        <is>
          <t>Type 2</t>
        </is>
      </c>
    </row>
    <row r="4349">
      <c r="A4349" t="inlineStr">
        <is>
          <t>82os7z</t>
        </is>
      </c>
      <c r="B4349" t="inlineStr">
        <is>
          <t>Quick questions for individuals with T1D</t>
        </is>
      </c>
      <c r="C4349" t="inlineStr">
        <is>
          <t>Hi! I'm trying to make this in compliance with the rules. Please let me know if something is amiss. I have a small survey:
Basic information about the research: I am currently a student at BYU studying entrepreneurship. We're trying to see if there is a need to develop a product that would help individuals with T1D to manage their intake of carbs. We think we've developed an easier way to do this, but we'd like your feedback.
Estimated time for survey/research completion: less than 5 minutes.
Remuneration (compensation) for time: I'm sorry I can not pay you for the survey completion. However, I will keep you updated on our development if you would like.
Contact information: entrepreneurship@marriottschool.byu.edu (or you can just PM me)
The following link goes to a short survey:
https://byu.az1.qualtrics.com/jfe/form/SV_5sCG8LN7ZYy0jch
Thank you for your help, it is greatly appreciated!
Edit: To reduce confusion about what we're developing:
First of all **this is not an app.** From some of the interviews I've done (mostly dealing with children and their caretakers) I've noticed some parents expressing difficulty in over/under-compensating the number of carbs their child should take when glucose levels are low. Usually, the go-to is a juice box, I've heard of a parent making their child a smoothie, giving them snack etc.
Now I don't know the exact number of carbs a child should take when hypoglycemic (From what I understand, it varies from person to person), but the idea is to create very small snacks (A jolly rancher type packaging, or maybe even a container full of snacks. think of gummy bear vitamins in a jar. Let me know if that doesn't make sense), where every snack is filled with exactly 1-5 grams of carbs (not sure on the exact amount). That way, individuals can get a precise measurement of the number of carbs going into their body, reducing the confusion in compensation.
From research conducted, we have not found a product designed to specifically do this. Additionally, I get that this may be a product that no one needs: everyone is fine with current solutions. But that's kind of the point of this survey to discover whether or not that is the case. If that is not the case, I hope another deeper issue will be discovered that we can help alleviate.</t>
        </is>
      </c>
      <c r="D4349" t="n">
        <v>0</v>
      </c>
      <c r="E4349" t="n">
        <v>15</v>
      </c>
      <c r="F4349">
        <f>HYPERLINK("https://www.reddit.com/r/diabetes/comments/82os7z/quick_questions_for_individuals_with_t1d/")</f>
        <v/>
      </c>
      <c r="G4349" t="inlineStr">
        <is>
          <t>2018-03-07 06:49:11</t>
        </is>
      </c>
      <c r="H4349" t="inlineStr">
        <is>
          <t>Type 1</t>
        </is>
      </c>
    </row>
    <row r="4350">
      <c r="A4350" t="inlineStr">
        <is>
          <t>82rox7</t>
        </is>
      </c>
      <c r="B4350" t="inlineStr">
        <is>
          <t>Allergic Reaction to Levemir</t>
        </is>
      </c>
      <c r="C4350" t="inlineStr">
        <is>
          <t xml:space="preserve">Back in October, I started to experience chronic hives or a odd rash all over my body. Back then, the severity was mild, but enough I asked my doctor about it. Thinking it was an allergic reaction to "something" she asked me what changed. My insurance recently changed, so one of the first things I said was my long acting insulin changed from Lantus to Levemir. She discounted Levemir as the cause saying research showed almost no allergic reaction. She gave me a list of other things to try to eliminate.
Well, close to 5 months later, after eliminating everything that could cause an allergic reaction, the hives/rash are worse with a freaking lot of itching.
Does anyone have any experience or knowledge about allergic reactions to Levemir?
</t>
        </is>
      </c>
      <c r="D4350" t="n">
        <v>10</v>
      </c>
      <c r="E4350" t="n">
        <v>6</v>
      </c>
      <c r="F4350">
        <f>HYPERLINK("https://www.reddit.com/r/diabetes/comments/82rox7/allergic_reaction_to_levemir/")</f>
        <v/>
      </c>
      <c r="G4350" t="inlineStr">
        <is>
          <t>2018-03-07 12:50:16</t>
        </is>
      </c>
      <c r="H4350" t="inlineStr">
        <is>
          <t>Type 1</t>
        </is>
      </c>
    </row>
    <row r="4351">
      <c r="A4351" t="inlineStr">
        <is>
          <t>82ttm3</t>
        </is>
      </c>
      <c r="B4351" t="inlineStr">
        <is>
          <t>Alternative to Metformin (Type 2)</t>
        </is>
      </c>
      <c r="C4351" t="inlineStr">
        <is>
          <t>Does anyone know of a good alternative medication that doesn't give you explosive diarrhea, that works like Metformin? (and hopefully the least amount of side effects). I had that issue with 1000mg a day and now even worse it seems with 2000mg a day. Currently on 20 units of basaglar as well.
I want to get off Metformin as I'm tired of having to worry about being near a bathroom. (I'm Sure a lot of people can relate) Insulin and low carb would be ideal if I could. Anyone else being able to manage it with diet and insulin alone?</t>
        </is>
      </c>
      <c r="D4351" t="n">
        <v>3</v>
      </c>
      <c r="E4351" t="n">
        <v>29</v>
      </c>
      <c r="F4351">
        <f>HYPERLINK("https://www.reddit.com/r/diabetes/comments/82ttm3/alternative_to_metformin_type_2/")</f>
        <v/>
      </c>
      <c r="G4351" t="inlineStr">
        <is>
          <t>2018-03-07 17:46:09</t>
        </is>
      </c>
      <c r="H4351" t="inlineStr">
        <is>
          <t>Type 2</t>
        </is>
      </c>
    </row>
    <row r="4352">
      <c r="A4352" t="inlineStr">
        <is>
          <t>82ynv4</t>
        </is>
      </c>
      <c r="B4352" t="inlineStr">
        <is>
          <t>Hows my pancreas doing</t>
        </is>
      </c>
      <c r="C4352" t="inlineStr">
        <is>
          <t>22 yo Diagnosed type 1 due to dka and cpeptide being low, not taking insulin as low carb is keeping my numbers in normal range right now, and I wouldn't care to end the honeymoon as soon as I possibly can.  Now when they tested my cpep I had basically not eaten anything in 2 days, not sure if that has an effect on it? I ate at 9am, about 30 carbs, checked at 10:40 was at 145, checked again at 10:55 and I was at 125. What does this mean???</t>
        </is>
      </c>
      <c r="D4352" t="n">
        <v>1</v>
      </c>
      <c r="E4352" t="n">
        <v>18</v>
      </c>
      <c r="F4352">
        <f>HYPERLINK("https://www.reddit.com/r/diabetes/comments/82ynv4/hows_my_pancreas_doing/")</f>
        <v/>
      </c>
      <c r="G4352" t="inlineStr">
        <is>
          <t>2018-03-08 08:16:11</t>
        </is>
      </c>
      <c r="H4352" t="inlineStr">
        <is>
          <t>Type 1</t>
        </is>
      </c>
    </row>
    <row r="4353">
      <c r="A4353" t="inlineStr">
        <is>
          <t>82zrsx</t>
        </is>
      </c>
      <c r="B4353" t="inlineStr">
        <is>
          <t>Health issues and depression.</t>
        </is>
      </c>
      <c r="C4353" t="inlineStr">
        <is>
          <t>Hey all just wanted to reach out to the community and share whats been on my chest. 
So in January I was hospitalized with the flu and pneumonia then I went septic. With all of the illness I went into renal failure, I spent five days in ICU and by the time I went home my kidney function had improved but there could possibly be damage since I’m spilling protein in my urine. 
Since being home I have been retaining a lot of fluid and have pretty significant edema in my lower extremities which has been making things such as getting dressed and putting on shoes difficult. I have also learned that my lungs were affected by the sepsis and I will be needing more testing done to determine what exactly is wrong, so with the fluid retention and lung problems I have been extremely tired and haven’t had energy to do much.
My heart is working overtime with everything going wrong within my body so my blood pressure has been  super high and won’t come down. My doctor has tried three medications to bring down my BP but my diastolic number won’t budge. So I’m seeing her again soon to try the next least invasive (on my kidneys) medication. 
I’m starting to get down in the dumps with all of these health issues, I feel like it’s one thing after the other l cannot seem to catch a break. I can’t sleep because I’m stressed and when I do sleep I don’t want to get back out of bed. I had to resign from my job because I was missing work for appointments and I didn’t have PTO and I don’t qualify for FMLA or any other leave. 
I’m 25 years old and I’ve been a T1D for 17 years. I’ve had three knee surgeries in the past three years which has also been really hard on my body. I just feel hopeless and could use  any advice anyone has to offer about my conditions 
Thanks. JC!</t>
        </is>
      </c>
      <c r="D4353" t="n">
        <v>1</v>
      </c>
      <c r="E4353" t="n">
        <v>4</v>
      </c>
      <c r="F4353">
        <f>HYPERLINK("https://www.reddit.com/r/diabetes/comments/82zrsx/health_issues_and_depression/")</f>
        <v/>
      </c>
      <c r="G4353" t="inlineStr">
        <is>
          <t>2018-03-08 10:33:44</t>
        </is>
      </c>
      <c r="H4353" t="inlineStr">
        <is>
          <t>Type 1</t>
        </is>
      </c>
    </row>
    <row r="4354">
      <c r="A4354" t="inlineStr">
        <is>
          <t>8309oa</t>
        </is>
      </c>
      <c r="B4354" t="inlineStr">
        <is>
          <t>"Low carb causes eating disorders" - my endocrinologist</t>
        </is>
      </c>
      <c r="C4354" t="inlineStr">
        <is>
          <t>This happened a few weeks ago but I've been thinking about it way too much and it's been eating away at me so I decided to say something.
A few weeks ago I posted about something my endocrinologist told me about why I shouldn't go low carb. They told me that going low carb at my age won't let my brain develop and will stunt my growth, and that I shouldn't do it in the future either. I was pretty sure these claims were wrong, so later I talked to them on the phone. I already knew that low carb/keto is used for treating people with epilepsy (most prominently children) so I knew that whatever keto does to younger people is safer than the alternative for some. Knowing this, I decided to ask them about low carb adults to see what they thought of that (some people have been low carb for 30 years and they're fine) and of all things they could have chosen, they decided to tell me that a diet like this *causes* eating disorders. I've heard of quite a few negative side effects of ketosis, but the only person I've ever heard making this specific claim is my endo. In fact, I did a google search (not the best source but better than blindly believing what my endo says) and several sources say keto can actually help people who have problems with binge eating/purging. 
Are eating disorders caused by low carb a real thing that just doesn't show up on google, or is my endo just an idiot? 
It's also worth mentioning that everyone else in my family believes them about everything without questioning it. I want to make my own decisions on what I eat, especially if I'm trying to improve my health, and they're making it really difficult for me. My family does really care for my health, but they'll believe anything my endo says.
Sorry for any bad formatting or confusing sentences. I'm pretty stressed out right now, partly from this, and I can't focus that well.
tl;dr: endocrinologist thinks I shouldn't go low carb, not because of any reason specific to me, but because it "doesn't allow my brain to develop, stunts growth, and causes eating disorders" even though literally everyone else says this is false. Do I listen to them or go low carb against their advice? Also, what could the consequences of not listening to their advice be besides any harm that would come from changing my diet?</t>
        </is>
      </c>
      <c r="D4354" t="n">
        <v>6</v>
      </c>
      <c r="E4354" t="n">
        <v>33</v>
      </c>
      <c r="F4354">
        <f>HYPERLINK("https://www.reddit.com/r/diabetes/comments/8309oa/low_carb_causes_eating_disorders_my/")</f>
        <v/>
      </c>
      <c r="G4354" t="inlineStr">
        <is>
          <t>2018-03-08 11:34:48</t>
        </is>
      </c>
      <c r="H4354" t="inlineStr">
        <is>
          <t>Type 1</t>
        </is>
      </c>
    </row>
    <row r="4355">
      <c r="A4355" t="inlineStr">
        <is>
          <t>8312pt</t>
        </is>
      </c>
      <c r="B4355" t="inlineStr">
        <is>
          <t>T2D - Got my A1C back, what an awful few months it's been</t>
        </is>
      </c>
      <c r="C4355" t="inlineStr">
        <is>
          <t>Shit, I am not looking forward to seeing my Doctor on Monday. Almost out of medication though, so I need to.
I had such big plans to get my blood sugar under control and lose some weight when I last saw him in early/mid-November. Had a terrible A1C rating (although, at the time, I expected it to be much worse than what it was). Then I got sick with the flu at the end of November and missed a bunch of work. Had no energy for all of December and then developed complications from the flu. Then caught another case of the flu in mid January. I was sick pretty much from Thanksgiving until early February.
The result? No exercise, bad diet, forgetting medications and now an A1C that actually rose by .3
I know I can get my A1C in control with exercise and diet. I just need to not get sick like that again. :\</t>
        </is>
      </c>
      <c r="D4355" t="n">
        <v>9</v>
      </c>
      <c r="E4355" t="n">
        <v>4</v>
      </c>
      <c r="F4355">
        <f>HYPERLINK("https://www.reddit.com/r/diabetes/comments/8312pt/t2d_got_my_a1c_back_what_an_awful_few_months_its/")</f>
        <v/>
      </c>
      <c r="G4355" t="inlineStr">
        <is>
          <t>2018-03-08 13:15:52</t>
        </is>
      </c>
      <c r="H4355" t="inlineStr">
        <is>
          <t>Type 2</t>
        </is>
      </c>
    </row>
    <row r="4356">
      <c r="A4356" t="inlineStr">
        <is>
          <t>831jr2</t>
        </is>
      </c>
      <c r="B4356" t="inlineStr">
        <is>
          <t>Question about the FreeStyle and doing water sports</t>
        </is>
      </c>
      <c r="C4356" t="inlineStr">
        <is>
          <t>Hello guys;
I´m looking for someone who have made some type of water related sport with the FreeStyle;
I know that it limit underwater is half hour, but i'm curious about the frequency that i can submerge again, for example, can i be underwater like half hour, rest 5 minutes and then submerge again? Shortly i'll beggining with scuba diving so that information would be very useful
Thanks in advance 
e: I'm using the FreeStyle Libre</t>
        </is>
      </c>
      <c r="D4356" t="n">
        <v>3</v>
      </c>
      <c r="E4356" t="n">
        <v>5</v>
      </c>
      <c r="F4356">
        <f>HYPERLINK("https://www.reddit.com/r/diabetes/comments/831jr2/question_about_the_freestyle_and_doing_water/")</f>
        <v/>
      </c>
      <c r="G4356" t="inlineStr">
        <is>
          <t>2018-03-08 14:18:06</t>
        </is>
      </c>
      <c r="H4356" t="inlineStr">
        <is>
          <t>Type 1</t>
        </is>
      </c>
    </row>
    <row r="4357">
      <c r="A4357" t="inlineStr">
        <is>
          <t>8322ta</t>
        </is>
      </c>
      <c r="B4357" t="inlineStr">
        <is>
          <t>Can you use Walmart Novolin R in a pump?</t>
        </is>
      </c>
      <c r="C4357" t="inlineStr">
        <is>
          <t xml:space="preserve">My mom is having trouble getting Novolog insulin on time and we wondered if she could use Novolin ahead of her meals with the help of her granddaughter, who is a nurse practitioner. We were also wondering in case she went to Novolin to get a cheaper Medicare Part D and avoid the donut hole. </t>
        </is>
      </c>
      <c r="D4357" t="n">
        <v>1</v>
      </c>
      <c r="E4357" t="n">
        <v>5</v>
      </c>
      <c r="F4357">
        <f>HYPERLINK("https://www.reddit.com/r/diabetes/comments/8322ta/can_you_use_walmart_novolin_r_in_a_pump/")</f>
        <v/>
      </c>
      <c r="G4357" t="inlineStr">
        <is>
          <t>2018-03-08 15:26:16</t>
        </is>
      </c>
      <c r="H4357" t="inlineStr">
        <is>
          <t>Type 2</t>
        </is>
      </c>
    </row>
    <row r="4358">
      <c r="A4358" t="inlineStr">
        <is>
          <t>836v1b</t>
        </is>
      </c>
      <c r="B4358" t="inlineStr">
        <is>
          <t>Big spikes after eating?</t>
        </is>
      </c>
      <c r="C4358" t="inlineStr">
        <is>
          <t>I just recently got on the pump and dexcom. After every meal I get a huge spike up to like 300+. ): It goes down, but I was wondering if this happens to anyone else and is it normal. Any tips or advice? It takes a little bit for it to start going down like 2 hours idk.</t>
        </is>
      </c>
      <c r="D4358" t="n">
        <v>3</v>
      </c>
      <c r="E4358" t="n">
        <v>18</v>
      </c>
      <c r="F4358">
        <f>HYPERLINK("https://www.reddit.com/r/diabetes/comments/836v1b/big_spikes_after_eating/")</f>
        <v/>
      </c>
      <c r="G4358" t="inlineStr">
        <is>
          <t>2018-03-09 06:01:53</t>
        </is>
      </c>
      <c r="H4358" t="inlineStr">
        <is>
          <t>Type 1</t>
        </is>
      </c>
    </row>
    <row r="4359">
      <c r="A4359" t="inlineStr">
        <is>
          <t>8394aj</t>
        </is>
      </c>
      <c r="B4359" t="inlineStr">
        <is>
          <t>Forgot to take Insulin this Morning</t>
        </is>
      </c>
      <c r="C4359" t="inlineStr">
        <is>
          <t xml:space="preserve">So, feeling kinda stupid, but I forgot to take my insulin this morning. I’m type 2 and take Novolin NPH twice a day. Should I double my dose tonight, or just let it go and work harder at remembering to take the shot. I was recently diagnosed and haven’t run into this before and unfortunately my doctor is away., so any advice would be great. Thanks </t>
        </is>
      </c>
      <c r="D4359" t="n">
        <v>3</v>
      </c>
      <c r="E4359" t="n">
        <v>3</v>
      </c>
      <c r="F4359">
        <f>HYPERLINK("https://www.reddit.com/r/diabetes/comments/8394aj/forgot_to_take_insulin_this_morning/")</f>
        <v/>
      </c>
      <c r="G4359" t="inlineStr">
        <is>
          <t>2018-03-09 10:54:40</t>
        </is>
      </c>
      <c r="H4359" t="inlineStr">
        <is>
          <t>Type 2</t>
        </is>
      </c>
    </row>
    <row r="4360">
      <c r="A4360" t="inlineStr">
        <is>
          <t>839b2o</t>
        </is>
      </c>
      <c r="B4360" t="inlineStr">
        <is>
          <t>People with diabetes in good control who used to be in terrible control, what changes did u make that actually helped? What would u tell your younger selves to get them to improve sooner?</t>
        </is>
      </c>
      <c r="C4360" t="inlineStr">
        <is>
          <t>Disclaimer: thanks for the responses!  I don't actually have diabetes, im a pedi Endo, and looking for ways to motivate my patients who really just don't seem to care</t>
        </is>
      </c>
      <c r="D4360" t="n">
        <v>7</v>
      </c>
      <c r="E4360" t="n">
        <v>42</v>
      </c>
      <c r="F4360">
        <f>HYPERLINK("https://www.reddit.com/r/diabetes/comments/839b2o/people_with_diabetes_in_good_control_who_used_to/")</f>
        <v/>
      </c>
      <c r="G4360" t="inlineStr">
        <is>
          <t>2018-03-09 11:17:57</t>
        </is>
      </c>
      <c r="H4360" t="inlineStr">
        <is>
          <t>Type 1</t>
        </is>
      </c>
    </row>
    <row r="4361">
      <c r="A4361" t="inlineStr">
        <is>
          <t>83ajf9</t>
        </is>
      </c>
      <c r="B4361" t="inlineStr">
        <is>
          <t>t1- Where do you like your blood sugar to be when you start exercising?</t>
        </is>
      </c>
      <c r="C4361" t="inlineStr">
        <is>
          <t>I like to race bicycles and occasionally will do a foot race as well. Usually, I like to start around 220ish. I have no idea why, I think I started there once and had a really good race.
Anyone have a number they like to be at when they start endurance exercising?</t>
        </is>
      </c>
      <c r="D4361" t="n">
        <v>1</v>
      </c>
      <c r="E4361" t="n">
        <v>15</v>
      </c>
      <c r="F4361">
        <f>HYPERLINK("https://www.reddit.com/r/diabetes/comments/83ajf9/t1_where_do_you_like_your_blood_sugar_to_be_when/")</f>
        <v/>
      </c>
      <c r="G4361" t="inlineStr">
        <is>
          <t>2018-03-09 14:00:33</t>
        </is>
      </c>
      <c r="H4361" t="inlineStr">
        <is>
          <t>Type 1</t>
        </is>
      </c>
    </row>
    <row r="4362">
      <c r="A4362" t="inlineStr">
        <is>
          <t>83bnrb</t>
        </is>
      </c>
      <c r="B4362" t="inlineStr">
        <is>
          <t>Anyone's arms get bigger when in normal BG range as compared to hyperglycemic?</t>
        </is>
      </c>
      <c r="C4362" t="inlineStr">
        <is>
          <t xml:space="preserve">Recently diagnosed, but I was a (amateur, natural) bodybuilder before (still am), and I notice when my blood sugar is high (&amp;gt;225 or so) my arms are small. When I correct it to normal levels (~100-120 for me; still new to this) my arms get bigger. </t>
        </is>
      </c>
      <c r="D4362" t="n">
        <v>2</v>
      </c>
      <c r="E4362" t="n">
        <v>1</v>
      </c>
      <c r="F4362">
        <f>HYPERLINK("https://www.reddit.com/r/diabetes/comments/83bnrb/anyones_arms_get_bigger_when_in_normal_bg_range/")</f>
        <v/>
      </c>
      <c r="G4362" t="inlineStr">
        <is>
          <t>2018-03-09 16:43:19</t>
        </is>
      </c>
      <c r="H4362" t="inlineStr">
        <is>
          <t>Type 1</t>
        </is>
      </c>
    </row>
    <row r="4363">
      <c r="A4363" t="inlineStr">
        <is>
          <t>83cdel</t>
        </is>
      </c>
      <c r="B4363" t="inlineStr">
        <is>
          <t>What is the best diet to reverse diabetes in an unmedicated Type 2 diabetic?</t>
        </is>
      </c>
      <c r="C4363" t="inlineStr">
        <is>
          <t xml:space="preserve">First I want to say that I absolutely understand the  the difference between “reversing and “curing” diabetes. My father absolutely refuses to begin taking diabetes medication until he has attempted to lower his numbers with diet and exercise. I will be bringing him home cooked meals regularly and teaching him to eat properly. All the advice I’ve found so far is either obvious pseudoscience or takes for granted that everyone following the diet is medicated and therefore needs to avoid going hypo. I am not completely ignorant about nutrition, but I want to give him the best advice possible.
Please do not tell me to convince him to come on here to ask the question himself, because frankly he’s nearly 60, and even though he’s very computer literate, there’s absolutely no chance he will use reddit for anything ever, lol. </t>
        </is>
      </c>
      <c r="D4363" t="n">
        <v>8</v>
      </c>
      <c r="E4363" t="n">
        <v>12</v>
      </c>
      <c r="F4363">
        <f>HYPERLINK("https://www.reddit.com/r/diabetes/comments/83cdel/what_is_the_best_diet_to_reverse_diabetes_in_an/")</f>
        <v/>
      </c>
      <c r="G4363" t="inlineStr">
        <is>
          <t>2018-03-09 18:41:58</t>
        </is>
      </c>
      <c r="H4363" t="inlineStr">
        <is>
          <t>Type 2</t>
        </is>
      </c>
    </row>
    <row r="4364">
      <c r="A4364" t="inlineStr">
        <is>
          <t>83eyhs</t>
        </is>
      </c>
      <c r="B4364" t="inlineStr">
        <is>
          <t>Is it arguably safer to inject basal insulin in the morning?</t>
        </is>
      </c>
      <c r="C4364" t="inlineStr">
        <is>
          <t xml:space="preserve">The standard advice I've heard is that it doesn't matter when you take Lantus, just as long as you're consistent. It seems like a lot of people prefer taking it at night, myself included.
Last night, though, I was preparing to take my Lantus as usual and suddenly realized that I was about to inject myself with Humalog instead. If I'd accidentally taken 5u of Humalog and gone to sleep, the result would've been a severe hypo or worse.
I consider it just a matter of time before I do actually make this mistake, maybe due to tiredness, force of habit, a night out drinking, being distracted, etc. I'm bound to at some point over the coming years. But it seems to me that other people are equally at risk. Shouldn't it therefore be standard advice for people who use two types of insulin to take their basal in the morning? That way, you'd at least be awake and able to deal with the hypo if you take the wrong insulin by mistake.
This question is more relevant for people on MDI who don't have CGMs. </t>
        </is>
      </c>
      <c r="D4364" t="n">
        <v>2</v>
      </c>
      <c r="E4364" t="n">
        <v>4</v>
      </c>
      <c r="F4364">
        <f>HYPERLINK("https://www.reddit.com/r/diabetes/comments/83eyhs/is_it_arguably_safer_to_inject_basal_insulin_in/")</f>
        <v/>
      </c>
      <c r="G4364" t="inlineStr">
        <is>
          <t>2018-03-10 04:46:28</t>
        </is>
      </c>
      <c r="H4364" t="inlineStr">
        <is>
          <t>Type 1</t>
        </is>
      </c>
    </row>
    <row r="4365">
      <c r="A4365" t="inlineStr">
        <is>
          <t>83hei3</t>
        </is>
      </c>
      <c r="B4365" t="inlineStr">
        <is>
          <t>Can't eat, help</t>
        </is>
      </c>
      <c r="C4365" t="inlineStr">
        <is>
          <t>I haven't been able to properly eat for a few days now, and couldn't get anything past my mouth today at all. I am not particularly sick, my BGLS have been in range all day since yesterday and are a steady 100 (after going hectic for 2 days before that) I don't know what's wrong with me. Could this be diabetes related? Help!</t>
        </is>
      </c>
      <c r="D4365" t="n">
        <v>0</v>
      </c>
      <c r="E4365" t="n">
        <v>6</v>
      </c>
      <c r="F4365">
        <f>HYPERLINK("https://www.reddit.com/r/diabetes/comments/83hei3/cant_eat_help/")</f>
        <v/>
      </c>
      <c r="G4365" t="inlineStr">
        <is>
          <t>2018-03-10 11:35:37</t>
        </is>
      </c>
      <c r="H4365" t="inlineStr">
        <is>
          <t>Type 1</t>
        </is>
      </c>
    </row>
    <row r="4366">
      <c r="A4366" t="inlineStr">
        <is>
          <t>83icv2</t>
        </is>
      </c>
      <c r="B4366" t="inlineStr">
        <is>
          <t>T1's: Is it normal to feel like crap if you eat a lot of carbs, even if you keep your blood sugar under control?</t>
        </is>
      </c>
      <c r="C4366" t="inlineStr">
        <is>
          <t>I find if I eat lots of carbs I feel like crap, have slightly blurred vision and things like that, even if I take my insulin and my blood sugar doesn't go that high.  Is this abnormal?</t>
        </is>
      </c>
      <c r="D4366" t="n">
        <v>0</v>
      </c>
      <c r="E4366" t="n">
        <v>11</v>
      </c>
      <c r="F4366">
        <f>HYPERLINK("https://www.reddit.com/r/diabetes/comments/83icv2/t1s_is_it_normal_to_feel_like_crap_if_you_eat_a/")</f>
        <v/>
      </c>
      <c r="G4366" t="inlineStr">
        <is>
          <t>2018-03-10 14:01:59</t>
        </is>
      </c>
      <c r="H4366" t="inlineStr">
        <is>
          <t>Type 1</t>
        </is>
      </c>
    </row>
    <row r="4367">
      <c r="A4367" t="inlineStr">
        <is>
          <t>83iimg</t>
        </is>
      </c>
      <c r="B4367" t="inlineStr">
        <is>
          <t>I have the first signs of diabetes retinopathy (rant)</t>
        </is>
      </c>
      <c r="C4367" t="inlineStr">
        <is>
          <t xml:space="preserve">I got the letter just now. I've never had this before and at the time they said it looked okay.
But I guess it's not. I'm only just 25, my feet are tingling / numb, I'm totally lost with what I want out of my life and I just don't know what to do about it. I've tried everything to lower my levels safely and nothing has worked. My team are unhelpful and are against me improving my control because of hypos. I can't switch team. Reddit doesn't even recognise retinopathy as a word. Just feel completely out of my depth. </t>
        </is>
      </c>
      <c r="D4367" t="n">
        <v>5</v>
      </c>
      <c r="E4367" t="n">
        <v>17</v>
      </c>
      <c r="F4367">
        <f>HYPERLINK("https://www.reddit.com/r/diabetes/comments/83iimg/i_have_the_first_signs_of_diabetes_retinopathy/")</f>
        <v/>
      </c>
      <c r="G4367" t="inlineStr">
        <is>
          <t>2018-03-10 14:26:45</t>
        </is>
      </c>
      <c r="H4367" t="inlineStr">
        <is>
          <t>Type 1</t>
        </is>
      </c>
    </row>
    <row r="4368">
      <c r="A4368" t="inlineStr">
        <is>
          <t>83jjta</t>
        </is>
      </c>
      <c r="B4368" t="inlineStr">
        <is>
          <t>Does having diabetes (type 2) mean that I will live shorter?</t>
        </is>
      </c>
      <c r="C4368" t="inlineStr">
        <is>
          <t>Even if my a1c is 5.0, I lost over 90 lbs, and am weightlifting? Or am I the same as those people w/o diabetes?
It used to be 10.6. I controlled my sugar intake and it dropped to like 6.6, then a year later I started to lose weight.
I'm 20 years old.
Edit: I see that the average is 77-81 years old, but I am definitely not average. I put in so much work already to become fit and I am already fit...but I just wanna get some opinions!!!
EDIT2: My blood glucose level is 60, which is on the low side. This is 5 hours after eating without medication. Is this bad?</t>
        </is>
      </c>
      <c r="D4368" t="n">
        <v>1</v>
      </c>
      <c r="E4368" t="n">
        <v>40</v>
      </c>
      <c r="F4368">
        <f>HYPERLINK("https://www.reddit.com/r/diabetes/comments/83jjta/does_having_diabetes_type_2_mean_that_i_will_live/")</f>
        <v/>
      </c>
      <c r="G4368" t="inlineStr">
        <is>
          <t>2018-03-10 17:14:28</t>
        </is>
      </c>
      <c r="H4368" t="inlineStr">
        <is>
          <t>Type 2</t>
        </is>
      </c>
    </row>
    <row r="4369">
      <c r="A4369" t="inlineStr">
        <is>
          <t>83kct5</t>
        </is>
      </c>
      <c r="B4369" t="inlineStr">
        <is>
          <t>Any resources out there regarding T1 and Keto/Low Carb dieting?</t>
        </is>
      </c>
      <c r="C4369" t="inlineStr">
        <is>
          <t>Hi all, the past 2 weeks I've been eating a mainly Keto/Low carb diet (I wouldn't say strictly keto as I have had some carbs pre exercise so I don't go low) and so far the results have been great. I personally feel better physically and my blood sugar levels have been MUCH more stable than before. I have been having my long acting insulin as normal but my NovaRapid doses have dropped considerably, some meals I don't have any at all and my glucose levels stay the same. Unfortunately I have not been able to find any studies regarding T1's who adopt the diet and my next endo appointment is not for another month, just wondering if anyone knows of any studies that are out there or have any experiences to share.</t>
        </is>
      </c>
      <c r="D4369" t="n">
        <v>2</v>
      </c>
      <c r="E4369" t="n">
        <v>5</v>
      </c>
      <c r="F4369">
        <f>HYPERLINK("https://www.reddit.com/r/diabetes/comments/83kct5/any_resources_out_there_regarding_t1_and_ketolow/")</f>
        <v/>
      </c>
      <c r="G4369" t="inlineStr">
        <is>
          <t>2018-03-10 19:42:14</t>
        </is>
      </c>
      <c r="H4369" t="inlineStr">
        <is>
          <t>Type 1</t>
        </is>
      </c>
    </row>
    <row r="4370">
      <c r="A4370" t="inlineStr">
        <is>
          <t>83mbe3</t>
        </is>
      </c>
      <c r="B4370" t="inlineStr">
        <is>
          <t>Wildly different readings between 2 different meters</t>
        </is>
      </c>
      <c r="C4370" t="inlineStr">
        <is>
          <t>This morning I checked my fasting blood sugar on two different meters, the Freestyle Freedom Lite and the Prodigy Pocket. The Freestyle is my first meter, and I just recently purchased the Prodigy because the strips are a lot cheaper. 
The Freestyle gave me a reading of 66, which is very low.  I've been getting some low readings recently from this meter and I'm wondering if it might be faulty, but the reading from the control solution is where it should be (I have some "normal" control solution and it reads 95).  The Prodigy however gave me a reading of 119; I don't have any control solution for this meter but I have ordered some.
I know these meters can only be so accurate but this is just bugging me.  I'm going back to the doctor next week so I'll know for sure whether I've actually made progress then.</t>
        </is>
      </c>
      <c r="D4370" t="n">
        <v>2</v>
      </c>
      <c r="E4370" t="n">
        <v>10</v>
      </c>
      <c r="F4370">
        <f>HYPERLINK("https://www.reddit.com/r/diabetes/comments/83mbe3/wildly_different_readings_between_2_different/")</f>
        <v/>
      </c>
      <c r="G4370" t="inlineStr">
        <is>
          <t>2018-03-11 04:58:22</t>
        </is>
      </c>
      <c r="H4370" t="inlineStr">
        <is>
          <t>Type 2</t>
        </is>
      </c>
    </row>
    <row r="4371">
      <c r="A4371" t="inlineStr">
        <is>
          <t>83orip</t>
        </is>
      </c>
      <c r="B4371" t="inlineStr">
        <is>
          <t>What are you T1D diagnosis stories?</t>
        </is>
      </c>
      <c r="C4371" t="inlineStr">
        <is>
          <t xml:space="preserve">Hi, all!
I was a nanny for almost a year for two young sisters who both had T1D. I was often frustrated by the lack of media involving T1D, especially when I saw how embarrassed the older (and more recently diagnosed) sister would get about her pump and counting carbs. 
As a writer, I think I have an opportunity to help change this. I'm working on getting a project off the ground that would tell the fictional story of a 13-year-old girl who was recently diagnosed with T1D. Although I know the stories of how both of these girls came to be diagnosed and am familiar with the textbook symptoms, it would be really helpful to have an idea of the breadth of symptoms and circumstances that have led to T1D diagnoses.
With that in mind, how old were you when you were diagnosed? How did you know something was wrong? How did you feel before the diagnosis -- physically and emotionally?
None of this will be used in my project -- I'm just looking for some anecdotal information and some kickass inspiration! </t>
        </is>
      </c>
      <c r="D4371" t="n">
        <v>6</v>
      </c>
      <c r="E4371" t="n">
        <v>55</v>
      </c>
      <c r="F4371">
        <f>HYPERLINK("https://www.reddit.com/r/diabetes/comments/83orip/what_are_you_t1d_diagnosis_stories/")</f>
        <v/>
      </c>
      <c r="G4371" t="inlineStr">
        <is>
          <t>2018-03-11 12:01:43</t>
        </is>
      </c>
      <c r="H4371" t="inlineStr">
        <is>
          <t>Type 1</t>
        </is>
      </c>
    </row>
    <row r="4372">
      <c r="A4372" t="inlineStr">
        <is>
          <t>83p7p6</t>
        </is>
      </c>
      <c r="B4372" t="inlineStr">
        <is>
          <t>T1D thru-hikers: tips for the HST?</t>
        </is>
      </c>
      <c r="C4372" t="inlineStr">
        <is>
          <t xml:space="preserve">Thanks in advance for your help! I just received my permit approval for a late July thru-hike of the HST starting from Crescent Meadow and ending at Whitney Portal. I'm hoping to crowd source t1d focused tips/advice for long distance hikers/backpackers. I attempted to summit Mt. Whitney from the Eastern side in September 2017 but had to stop at trail camp due to a high volume of ketones in my urine. Long story short, I have a high insulin sensitivity and ended up suspending my pump way too long to avoid the frequent lows I was struggling with as soon as we hit the portal. Some lessons I learned from that trip were:
1.) NEVER suspend your pump for long intervals of time, or at all if you can help it. I now know that I need to keep my pump (Omnipod) at a basal rate of 0.05u/hr when I am hiking for long periods of time. I also have to remember to change my basal settings several hours in advance of starting the trail (I did not do this last time, which is why I had to keep eating so much to keep my blood sugar up).
2.) Personal lesson: ALWAYS rely on meals for energy instead of snacks, when possible. I started our hike up the portal having eaten nothing more than a bagel for breakfast (we had plans to sit down for a proper breakfast at the portal but the kitchen was closed this past summer due to e.coli contamination). I was pounding back snacks the entire way up the portal and it was horrible (I'll get to snacks in my next point). Oatmeal is quick and works really well for me while hiking (I usually hang out in the high 100s/low 200s with a single packet) and I plan to bring a few back up packets instead of relying on food in town (though if we're able to fuel up with a big breakfast in town before picking up our permits, that would be preferred). I also struggled to communicate my needs with the group I was with.
3.) Pack snacks you would realistically eat! I brought way too much healthy shit and hardly any fast acting carbs at all. I brought a lot of peanut butter packets, pretzels, fruit strips, and nuts. Fruit strips were only about 12g of carbs so I had to blow through several if I was having a bad low. It was very uncomfortable digestion-wise to eat so much food while moving and I know I wouldn't have been able to summit even if I didn't have ketones due to the fact that I'd blown through most of my food. Moving forward, I want to explore energy goos (that I would experiment with beforehand) and I would definitely pack more junky snacks, if for no other reason than to keep morale up. 
4.) ALWAYS have manual diabetes supplies! Despite duct taping my pod, it failed (I still have to call Insulet corp. to check the failure code because it didn't look like a static failure...I have no idea what happened). My CGM was constantly throwing off "???" errors and was wildly inaccurate the whole hike. Having ketone strips probably prevented me from putting myself in a situation I would have struggled to get out of. Having syringes and a vial of insulin helped me stabilize when my pump couldn't. These things will ALWAYS be in my pack now. 
I know things like a low base weight and backup supplies will make the trip easier, but what advice do you have, especially if you've hiked in the Sierra? I'm worried about heat (I tend to go low when I'm outside and active for long periods of time), food and the general mental challenges that come with managing t1d. </t>
        </is>
      </c>
      <c r="D4372" t="n">
        <v>13</v>
      </c>
      <c r="E4372" t="n">
        <v>5</v>
      </c>
      <c r="F4372">
        <f>HYPERLINK("https://www.reddit.com/r/diabetes/comments/83p7p6/t1d_thruhikers_tips_for_the_hst/")</f>
        <v/>
      </c>
      <c r="G4372" t="inlineStr">
        <is>
          <t>2018-03-11 13:06:07</t>
        </is>
      </c>
      <c r="H4372" t="inlineStr">
        <is>
          <t>Type 1</t>
        </is>
      </c>
    </row>
    <row r="4373">
      <c r="A4373" t="inlineStr">
        <is>
          <t>83smya</t>
        </is>
      </c>
      <c r="B4373" t="inlineStr">
        <is>
          <t>Anyone taking Bupropion (Wellbutrin, Zyban) and experiencing rise in blood glucose</t>
        </is>
      </c>
      <c r="C4373" t="inlineStr">
        <is>
          <t>Specifically for ADD. But I imagine for a person susceptible to glucose control issues they could be taking bupropion for depression or quitting smoking as well. And if you were/are taking it for ADD - how much of an impact did it have on your A1C? Or your average fasting glucose? Thanks!</t>
        </is>
      </c>
      <c r="D4373" t="n">
        <v>2</v>
      </c>
      <c r="E4373" t="n">
        <v>0</v>
      </c>
      <c r="F4373">
        <f>HYPERLINK("https://www.reddit.com/r/diabetes/comments/83smya/anyone_taking_bupropion_wellbutrin_zyban_and/")</f>
        <v/>
      </c>
      <c r="G4373" t="inlineStr">
        <is>
          <t>2018-03-11 22:25:46</t>
        </is>
      </c>
      <c r="H4373" t="inlineStr">
        <is>
          <t>Type 2</t>
        </is>
      </c>
    </row>
    <row r="4374">
      <c r="A4374" t="inlineStr">
        <is>
          <t>83tcg6</t>
        </is>
      </c>
      <c r="B4374" t="inlineStr">
        <is>
          <t>Question for someone that's had type II for a long time</t>
        </is>
      </c>
      <c r="C4374" t="inlineStr">
        <is>
          <t>I'll be the first to admit, I haven't been good about being disciplined.
I went a long time without even starting on Medicine. For the last 10 years I've tried to be better.
My problem is financial. i don't have the money to get bloodwork done as I'm uninsured and too young to get medicare.
I did an A1C test i bought from amazon last year. it was awful. 10.1
It came with 2 test kits, so i tried it now after trying to be better.
A year later it reads 7.1 which is still bad but one heck of an improvement.
Can someone give me any indication of those tests are at all reliable, and if that's anywhere near a controlled number?</t>
        </is>
      </c>
      <c r="D4374" t="n">
        <v>2</v>
      </c>
      <c r="E4374" t="n">
        <v>7</v>
      </c>
      <c r="F4374">
        <f>HYPERLINK("https://www.reddit.com/r/diabetes/comments/83tcg6/question_for_someone_thats_had_type_ii_for_a_long/")</f>
        <v/>
      </c>
      <c r="G4374" t="inlineStr">
        <is>
          <t>2018-03-12 01:06:49</t>
        </is>
      </c>
      <c r="H4374" t="inlineStr">
        <is>
          <t>Type 2</t>
        </is>
      </c>
    </row>
    <row r="4375">
      <c r="A4375" t="inlineStr">
        <is>
          <t>83tvuk</t>
        </is>
      </c>
      <c r="B4375" t="inlineStr">
        <is>
          <t>Just found this sub!</t>
        </is>
      </c>
      <c r="C4375" t="inlineStr">
        <is>
          <t xml:space="preserve">Hi guys, really happy that i found this sub! I was diagnosed in 2012 when i was 12, now im 17 and have learned a lot! I have a few questions id like to ask:
1) How do you guys control the urge? As a girl who experiences some crazy cravings on her period, it's so hard for me to resist food. I don't crave sweet things but I crave breaded chicken, cheese, sandwiches, etc. 
2) What are the vegetables that spike glucose levels and why? I dont understand the science behind it. Maybe an ELI5 if anyone's up for it?
3) I'll be moving to Washington at the end of this year to further my studies and I'll be living on my own. Are there any pharmacies/drugstores in the Bothell-Lynnwood area that can supply insulin like one pen at a time? I use the Novorapid pen and rarely buy it in bulk (a whole box)
4) How do you carry insulin when its freezing cold outside???
:D 
</t>
        </is>
      </c>
      <c r="D4375" t="n">
        <v>3</v>
      </c>
      <c r="E4375" t="n">
        <v>4</v>
      </c>
      <c r="F4375">
        <f>HYPERLINK("https://www.reddit.com/r/diabetes/comments/83tvuk/just_found_this_sub/")</f>
        <v/>
      </c>
      <c r="G4375" t="inlineStr">
        <is>
          <t>2018-03-12 03:10:56</t>
        </is>
      </c>
      <c r="H4375" t="inlineStr">
        <is>
          <t>Type 1</t>
        </is>
      </c>
    </row>
    <row r="4376">
      <c r="A4376" t="inlineStr">
        <is>
          <t>83vujz</t>
        </is>
      </c>
      <c r="B4376" t="inlineStr">
        <is>
          <t>Have a question</t>
        </is>
      </c>
      <c r="C4376" t="inlineStr">
        <is>
          <t>I took a random sugar test 90 minutes after lunch and the reading was 130. I took my medication (metaformin sustained release)post lunch. What I want to know is how much does the pill influence the result as the reading is quite low.</t>
        </is>
      </c>
      <c r="D4376" t="n">
        <v>1</v>
      </c>
      <c r="E4376" t="n">
        <v>3</v>
      </c>
      <c r="F4376">
        <f>HYPERLINK("https://www.reddit.com/r/diabetes/comments/83vujz/have_a_question/")</f>
        <v/>
      </c>
      <c r="G4376" t="inlineStr">
        <is>
          <t>2018-03-12 08:37:47</t>
        </is>
      </c>
      <c r="H4376" t="inlineStr">
        <is>
          <t>Type 2</t>
        </is>
      </c>
    </row>
    <row r="4377">
      <c r="A4377" t="inlineStr">
        <is>
          <t>83w382</t>
        </is>
      </c>
      <c r="B4377" t="inlineStr">
        <is>
          <t>A1C drop and retinopathy</t>
        </is>
      </c>
      <c r="C4377" t="inlineStr">
        <is>
          <t xml:space="preserve">Hi everyone, I was diagnosed a couple of months ago, February 10th was my first A1C post-diagnosis and it was 8.88%. Now I'm doing pretty well, but I saw some posts where people who dropped their A1C too fast get some retinopathy. Now I'm a little bit afraid of it and thinking to stay more high and drop it slowly. Any recommendations?
EDIT: I'll add some links :)
https://forum.tudiabetes.org/t/retinopathy-worsening-with-rapid-a1c-drop/47645/11
https://forum.fudiabetes.org/t/reducing-your-a1c-too-quickly/2320/20
I saw some people here talking about that and in a spanish forum a woman who dropped it really fast get nerve damage in her legs, but it disappeared a few years after good control. Idk if it's coincidence or these cases really happened because a sudden drop in A1C. </t>
        </is>
      </c>
      <c r="D4377" t="n">
        <v>0</v>
      </c>
      <c r="E4377" t="n">
        <v>10</v>
      </c>
      <c r="F4377">
        <f>HYPERLINK("https://www.reddit.com/r/diabetes/comments/83w382/a1c_drop_and_retinopathy/")</f>
        <v/>
      </c>
      <c r="G4377" t="inlineStr">
        <is>
          <t>2018-03-12 09:08:50</t>
        </is>
      </c>
      <c r="H4377" t="inlineStr">
        <is>
          <t>Type 1</t>
        </is>
      </c>
    </row>
    <row r="4378">
      <c r="A4378" t="inlineStr">
        <is>
          <t>83wj0i</t>
        </is>
      </c>
      <c r="B4378" t="inlineStr">
        <is>
          <t>Type 1 diabetes and private pilots license</t>
        </is>
      </c>
      <c r="C4378" t="inlineStr">
        <is>
          <t>I am a type 1 diabetic and I am interested in getting my private pilot's license.  This would be a class 3 license for non-commercial use.  
I have pretty decent control.  I use shots and my A1Cs are typically between 6.5 and 7.  I have been a diabetic for a little over 20 years, and don't have any complications.  My one issue was fairly serious car accident 2 years ago that was caused by passing out from low blood sugar.  
I have been trying to figure out if the car accident would disqualify me, or if there was a proper way to frame it.  Has anyone gone through this process with the FAA?  Thanks.</t>
        </is>
      </c>
      <c r="D4378" t="n">
        <v>3</v>
      </c>
      <c r="E4378" t="n">
        <v>11</v>
      </c>
      <c r="F4378">
        <f>HYPERLINK("https://www.reddit.com/r/diabetes/comments/83wj0i/type_1_diabetes_and_private_pilots_license/")</f>
        <v/>
      </c>
      <c r="G4378" t="inlineStr">
        <is>
          <t>2018-03-12 10:01:39</t>
        </is>
      </c>
      <c r="H4378" t="inlineStr">
        <is>
          <t>Type 1</t>
        </is>
      </c>
    </row>
    <row r="4379">
      <c r="A4379" t="inlineStr">
        <is>
          <t>83woy4</t>
        </is>
      </c>
      <c r="B4379" t="inlineStr">
        <is>
          <t>Best US-based charities to donate to in memory of my fiance</t>
        </is>
      </c>
      <c r="C4379" t="inlineStr">
        <is>
          <t>My fiance suddenly passed away 2 weeks ago today. While we don't have a cause of death, he did live with Type 1. In lieu of flowers his family is accepting donations to a UK-based diabetes organization at his UK funeral.
I am holding a separate memorial for him when I return to the US for my fiance's US-based family and friends. I want donations to go to Type 1 diabetes  research based in the US but am too fragile/overwhelmed to fully research which foundation is the best to send donations to. Which foundations can I trust to use the money to help those suffering with Type 1, especially those who are unable to afford insulin?
Thank you so much in advance!</t>
        </is>
      </c>
      <c r="D4379" t="n">
        <v>38</v>
      </c>
      <c r="E4379" t="n">
        <v>19</v>
      </c>
      <c r="F4379">
        <f>HYPERLINK("https://www.reddit.com/r/diabetes/comments/83woy4/best_usbased_charities_to_donate_to_in_memory_of/")</f>
        <v/>
      </c>
      <c r="G4379" t="inlineStr">
        <is>
          <t>2018-03-12 10:21:51</t>
        </is>
      </c>
      <c r="H4379" t="inlineStr">
        <is>
          <t>Type 1</t>
        </is>
      </c>
    </row>
    <row r="4380">
      <c r="A4380" t="inlineStr">
        <is>
          <t>83wy0t</t>
        </is>
      </c>
      <c r="B4380" t="inlineStr">
        <is>
          <t>Dexcom day 1</t>
        </is>
      </c>
      <c r="C4380" t="inlineStr">
        <is>
          <t xml:space="preserve">Hello /r/diabetes, you guys have always been there for me when I was feeling alone in dealing with the hand I've been dealt in life. 
I was diagnosed with T1D at 13 months of age, and this sub reminds me to be grateful to my parents, so koodos to all you parents of young T1 kids out there. Your kids may not even feel thankful now for your incessant nagging but one day, they will.
I was 10 years old at camp Huronda for diabetic children the first time I saw a pump and started bugging my parents about getting me one as soon as I got home. They were covered under my dad's insurance and I have been grateful to have been given the opportunity to use a pump since I was 12 when I finally got one. 
I will be 30 next month, and my last A1C was over 10. I have finally make the decision to stop making excuses and start being a lot more proactive. Testing regularly has always been a struggle for me. Today my Dexcom arrived, and after a bit of difficulty involving rewinding the tutorial video multiple times with a sensor half in, I have inserted my first sensor and I'm current waiting through the 2 hour warm up period. I have never been so excited to test my blood.
Thanks for reading my story. Do you have a dexcom or other GCM? Do you have any tips for what worked well for you? </t>
        </is>
      </c>
      <c r="D4380" t="n">
        <v>19</v>
      </c>
      <c r="E4380" t="n">
        <v>32</v>
      </c>
      <c r="F4380">
        <f>HYPERLINK("https://www.reddit.com/r/diabetes/comments/83wy0t/dexcom_day_1/")</f>
        <v/>
      </c>
      <c r="G4380" t="inlineStr">
        <is>
          <t>2018-03-12 10:53:04</t>
        </is>
      </c>
      <c r="H4380" t="inlineStr">
        <is>
          <t>Type 1</t>
        </is>
      </c>
    </row>
    <row r="4381">
      <c r="A4381" t="inlineStr">
        <is>
          <t>83x81i</t>
        </is>
      </c>
      <c r="B4381" t="inlineStr">
        <is>
          <t>Dexcom stuff help</t>
        </is>
      </c>
      <c r="C4381" t="inlineStr">
        <is>
          <t>I have been trying to get nightscout to work, but I'm not sure what to do.
I have
• Samsung galaxy j7 Sky Pro
•iPhone 4s
•Dexcom G5 reciever
•Dexcom G5 transmitter
What will I need to get nightscout to work?</t>
        </is>
      </c>
      <c r="D4381" t="n">
        <v>3</v>
      </c>
      <c r="E4381" t="n">
        <v>4</v>
      </c>
      <c r="F4381">
        <f>HYPERLINK("https://www.reddit.com/r/diabetes/comments/83x81i/dexcom_stuff_help/")</f>
        <v/>
      </c>
      <c r="G4381" t="inlineStr">
        <is>
          <t>2018-03-12 11:26:12</t>
        </is>
      </c>
      <c r="H4381" t="inlineStr">
        <is>
          <t>Type 1</t>
        </is>
      </c>
    </row>
    <row r="4382">
      <c r="A4382" t="inlineStr">
        <is>
          <t>8432ub</t>
        </is>
      </c>
      <c r="B4382" t="inlineStr">
        <is>
          <t>Can you please help us understand the spike in my father's blood sugar from this morning?</t>
        </is>
      </c>
      <c r="C4382" t="inlineStr">
        <is>
          <t xml:space="preserve">My father (70yo diabetic for 20 years) woke up at 4AM. He measured his sugar at 134. He ate a bowl of quaker oats in water, almonds and raisins and a cup of black coffee with one teaspoon of honey. He measured his sugar again at 11AM (hasn't eaten in between) and his sugar is 234. Why is his sugar so high? Did he wait too long to eat or is something wrong with his breakfast? </t>
        </is>
      </c>
      <c r="D4382" t="n">
        <v>1</v>
      </c>
      <c r="E4382" t="n">
        <v>16</v>
      </c>
      <c r="F4382">
        <f>HYPERLINK("https://www.reddit.com/r/diabetes/comments/8432ub/can_you_please_help_us_understand_the_spike_in_my/")</f>
        <v/>
      </c>
      <c r="G4382" t="inlineStr">
        <is>
          <t>2018-03-13 03:20:52</t>
        </is>
      </c>
      <c r="H4382" t="inlineStr">
        <is>
          <t>Type 2</t>
        </is>
      </c>
    </row>
    <row r="4383">
      <c r="A4383" t="inlineStr">
        <is>
          <t>844m6k</t>
        </is>
      </c>
      <c r="B4383" t="inlineStr">
        <is>
          <t>Visited the Doctor today...</t>
        </is>
      </c>
      <c r="C4383" t="inlineStr">
        <is>
          <t>I'd been running high lately (Sunday last I started at 357 and came down).
Got in to see one of my GP's fellow Doctors today.
My A1C, which *had* been 6.8....
Was 
#9.0#
New battle plan. 
Packed a low carb salad for lunch (checked the dressing, sunflower kernels and portion sizes...no croutons ಠ_ಠ )
Scheduling an appointment with a dietician through work (and will politely tune her out if she mentions eating 45 carbs in a meal).
I am wearing my walking shoes. I figure I can get 15 or 20 minutes in on my lunch break and another five to ten during my two shift breaks.
I'm already on Glyburide 5mg 2 x day. He added Januvia 50mg 1 x day.
I've already cut out sugared pop. I drink water at work anyway (we have a nice water cooler/filter and an ice machine).
I don't drink much at all, perhaps one or two beers a week, maybe three on very rare occasions. Sadly, I have grown accustomed to Miller Light and Bud Right.
Tonight when I get home and after I tell my wife, once she finishes worrying and being frustrated with me, I'm going to go over all of /u/alan_s helpful notes and build a better plan of action.
My question to you, my fellow 'betics.
What am I missing?</t>
        </is>
      </c>
      <c r="D4383" t="n">
        <v>4</v>
      </c>
      <c r="E4383" t="n">
        <v>9</v>
      </c>
      <c r="F4383">
        <f>HYPERLINK("https://www.reddit.com/r/diabetes/comments/844m6k/visited_the_doctor_today/")</f>
        <v/>
      </c>
      <c r="G4383" t="inlineStr">
        <is>
          <t>2018-03-13 07:37:00</t>
        </is>
      </c>
      <c r="H4383" t="inlineStr">
        <is>
          <t>Type 2</t>
        </is>
      </c>
    </row>
    <row r="4384">
      <c r="A4384" t="inlineStr">
        <is>
          <t>845g68</t>
        </is>
      </c>
      <c r="B4384" t="inlineStr">
        <is>
          <t>Diet for working out as a T1?</t>
        </is>
      </c>
      <c r="C4384" t="inlineStr">
        <is>
          <t xml:space="preserve">So I am a 170 pound 19 year old who has been diabetic since I was 8. However, I have always struggled to gain weight, I could never figure out how to take in alot of calories without eating way too many carbs. My question is, for those of you that workout regularly, What do you eat? I am trying to gain muscle mass and it is proving to be extremely difficult. My a1c was 5.8 last i checked. </t>
        </is>
      </c>
      <c r="D4384" t="n">
        <v>11</v>
      </c>
      <c r="E4384" t="n">
        <v>31</v>
      </c>
      <c r="F4384">
        <f>HYPERLINK("https://www.reddit.com/r/diabetes/comments/845g68/diet_for_working_out_as_a_t1/")</f>
        <v/>
      </c>
      <c r="G4384" t="inlineStr">
        <is>
          <t>2018-03-13 09:24:17</t>
        </is>
      </c>
      <c r="H4384" t="inlineStr">
        <is>
          <t>Type 1</t>
        </is>
      </c>
    </row>
    <row r="4385">
      <c r="A4385" t="inlineStr">
        <is>
          <t>848oe5</t>
        </is>
      </c>
      <c r="B4385" t="inlineStr">
        <is>
          <t>How can I be the best partner to my T1D fiancé?</t>
        </is>
      </c>
      <c r="C4385" t="inlineStr">
        <is>
          <t>This might be all over the place -- sorry in advance!
My fiancé was diagnosed with T1D when he was 7, and he's 26 now [Animas OneTouch Ping with Humalog; Dexcom G5]. Some background: we've been together for nearly three years, and live together, so I know his habits pretty well. I'm in nursing school (nearrrrly finished) and I work in a hospital, so I see all the bad, bad diabetes stuff pretty much daily. I love my fiancé and don't want that for him (obviously). As I gain more medical knowledge, I'm really struggling with toeing the line between being an overbearing killjoy and a caring/supportive partner.
The main things he struggles with are erratic highs/lows, nighttime highs, and highs that won't come down no matter how much insulin he dumps. He virtually never gets a full night's rest because he has to stay up managing a high or waiting for his sugar to get up to 200+ before going to sleep (his preference). He tends to treat "lows" at 100-150 -- at a recent appointment, his endo pointed out that he hadn't been below 120 (ish?) for 3 months. His last A1C was his "best ever", at 6.8 (surprising for us both, actually, because he anecdotally averages more like 200). The A1C before that one was like 7.7, so I'm proud of him for dropping it, but at the same time I know that a 6-8 level isn't going to give him the best long-term outcomes. His GFR is already slightly impaired at 83, and he's currently got a fracture in each eye.
I've been reading this sub for a while, saw lots of praise for Dr. Bernstein, and decided to look more closely into his methods. Countless testimonies talked about having the EXACT issues my fiancé does, going low-to-no carb, and then having perfect BGs. I suggested this as something we look into and try together, since we've *both* been trying to eat healthier/lose weight. I showed him the book description and reviews on Amazon and after reading for a couple minutes, he completely shut down and said he'll NEVER be able to do that, then scolded me for "micromanaging" him.
Most of our more in-depth conversations about diabetes go that way -- he gets defensive and will say I'm trying to make him my "patient". He's obviously dealt with diabetes a lot longer than I have, and I'm sure he doesn't want another person telling him what to do with his life. But I love him, and I'm in it for the long haul! I feel like it's only natural for me to want to help him stay healthy and complication-free for as long as possible. 
I do try really, really hard to not talk about diabetes more than necessary (usually he's the one who brings it up). When we do talk, I keep a calm, non-judgemental, and loving demeanor. I don't interfere with what he eats (besides the suggestion of looking into the Dr. B stuff -- that's kind of a first) or tell him how to dose himself. I have access to his CGM data on my phone, but I hardly ever look at it and the only notifications I get are for an urgent low. I really don't think I micromanage him... But maybe I do?
What do you all think? Is this something I should just drop, and leave him alone? Should I dump all the nurse stuff out of my brain and just love him?... And, is it right/okay for me to feel that I have a "stake" in his diabetes, as his future wife?
What should I do?</t>
        </is>
      </c>
      <c r="D4385" t="n">
        <v>3</v>
      </c>
      <c r="E4385" t="n">
        <v>9</v>
      </c>
      <c r="F4385">
        <f>HYPERLINK("https://www.reddit.com/r/diabetes/comments/848oe5/how_can_i_be_the_best_partner_to_my_t1d_fiancé/")</f>
        <v/>
      </c>
      <c r="G4385" t="inlineStr">
        <is>
          <t>2018-03-13 16:15:18</t>
        </is>
      </c>
      <c r="H4385" t="inlineStr">
        <is>
          <t>Type 1</t>
        </is>
      </c>
    </row>
    <row r="4386">
      <c r="A4386" t="inlineStr">
        <is>
          <t>8497zt</t>
        </is>
      </c>
      <c r="B4386" t="inlineStr">
        <is>
          <t>Recently diagnosed T2 - New life!</t>
        </is>
      </c>
      <c r="C4386" t="inlineStr">
        <is>
          <t xml:space="preserve">what’s up everyone? I'm a 39 year old male and this is my first post here.
&amp;amp;nbsp;
Well in the last week of January I started to have several symptoms that would indicate that I might be diabetic like thirst, peeing all the time, bad taste in my mount, blurred vision etc. 
&amp;amp;nbsp;
On Friday (1/26/18) I had called my doctor's office to schedule an appointment and got it scheduled for the following Tuesday (1/30/18), on Monday (1/29/18) I called in sick to work as I wasn't feeling well, later in the day I saw that my feet and legs were completely white and kind of thin (I'm a big guy, 293 lbs so don't remember seeing my legs so thin before) so I went to the ER, the nurse got my info and checked my vitals and the BS device couldn't even register my numbers as it can't read past 700 mg/dl, you could see how worried they were so they admitted me right of way and then started to give me insulin to bring the BS down.
&amp;amp;nbsp;
If I remember correctly my BS was 738, my A1C was 11!!! it took a long time to lower my BS and I ended up staying in the hospital for 5 days, they gave me tons of information and to be honest I was freaked about how bad diabetes is and that my life has changed and I have a lot to learn and educate myself and I have to be very careful from now on.
&amp;amp;nbsp;
They all got me very concern, but after a few days in the hospital my doctor tells me that if I do everything right I can "reverse" my situation so that kinda gave me hope.
&amp;amp;nbsp;
I read a lot and did a lot of soul searching and decided that I am going to see this T2 as something positive!
&amp;amp;nbsp;
I left the hospital on 02/02/18 with my BS at 219, and was sent home with two types of insulin, Humalog (20 units before every meal) and Lantus (60 units). 
&amp;amp;nbsp;
I immediately started to eat as healthy as possible, no junk food whatsoever, no soda or alcoholic drinks and I cut rice, pasta and bread out of my diet, started to drink tea and added chia seeds to my diet. I also started to walk 30-50 min almost every day and was able to lower my BS a little bit every day.
&amp;amp;nbsp;
I scheduled a follow up with my doctor to get a refill for the insulin as I was about to run out, come to find out my insurance would not cover it and if I wanted to pay out of pocket it would cost me over $800 for a month’s supply which is freaking scary and ridiculous. My doc fought to get it approved, they refused but after a few days they approved a generic/alternative insulin which I can’t remember the name at the moment but during this little battle I went 3 days without any insulin whatsoever, but let me tell you I was able to keep my BS within good range and this insurance nonsense just made me more determined to do everything that I can to not depend on drugs. 
&amp;amp;nbsp;
I’ve been doing so well, that I had to lower the units that I was taking because it was actually dropping my BS too much, so I went back to my doctor on 02/27/18 and he told me to stop taking the pre- meals insulin and to start taking metformin twice a day and to lower my nighttime insulin to 50 units, I was happy to hear that but I wanted to get rid of the nighttime insulin as well. 
&amp;amp;nbsp;
On 03/08/18 I went to see an endocrinologist and she told me that I can also stop with the nighttime insulin, I just need to keep taking the metformin and she also prescribed another medication that I can remember the name at the moment but I only need to take it once a day.
&amp;amp;nbsp;
I cannot tell you guys how happy I am to be able to get my T2 under control, and I know it will be a non-ending battle but to be able to get off the insulin shots is huge for me.
&amp;amp;nbsp;
I can say that I am a completely different person, something flipped in my head and I’m taking care of my body like never before, today 3/13/18 I weigh 268.3 lbs (haven’t weighted below 270 in years). I feel better than I’ve felt in years and even though I’ve heard several times people saying diabetes is a curse and people makes a sad face when I tell them, I’ve decided to be as positive as I possibly can about it.
&amp;amp;nbsp;
My goal is to bring my weight down to 220 lbs, depending on how I feel I might try to lower to 200 lbs and of course if possible eliminate the need for drugs. 
&amp;amp;nbsp;
Thanks for taking the time to read and let’s keep kicking some diabetes butt! :-P
</t>
        </is>
      </c>
      <c r="D4386" t="n">
        <v>4</v>
      </c>
      <c r="E4386" t="n">
        <v>6</v>
      </c>
      <c r="F4386">
        <f>HYPERLINK("https://www.reddit.com/r/diabetes/comments/8497zt/recently_diagnosed_t2_new_life/")</f>
        <v/>
      </c>
      <c r="G4386" t="inlineStr">
        <is>
          <t>2018-03-13 17:35:51</t>
        </is>
      </c>
      <c r="H4386" t="inlineStr">
        <is>
          <t>Type 2</t>
        </is>
      </c>
    </row>
    <row r="4387">
      <c r="A4387" t="inlineStr">
        <is>
          <t>849cth</t>
        </is>
      </c>
      <c r="B4387" t="inlineStr">
        <is>
          <t>Is there a way to password protect my Nightscout site?</t>
        </is>
      </c>
      <c r="C4387" t="inlineStr">
        <is>
          <t>I just set up a Nightscout site, and it seems great! I'm just having a hard time figuring out how to password it so the data isn't publicly visible. Has anyone done this? Thank you!</t>
        </is>
      </c>
      <c r="D4387" t="n">
        <v>1</v>
      </c>
      <c r="E4387" t="n">
        <v>2</v>
      </c>
      <c r="F4387">
        <f>HYPERLINK("https://www.reddit.com/r/diabetes/comments/849cth/is_there_a_way_to_password_protect_my_nightscout/")</f>
        <v/>
      </c>
      <c r="G4387" t="inlineStr">
        <is>
          <t>2018-03-13 17:55:59</t>
        </is>
      </c>
      <c r="H4387" t="inlineStr">
        <is>
          <t>Type 1</t>
        </is>
      </c>
    </row>
    <row r="4388">
      <c r="A4388" t="inlineStr">
        <is>
          <t>84a87c</t>
        </is>
      </c>
      <c r="B4388" t="inlineStr">
        <is>
          <t>Ice breakers ice cubes say 'sugar free'. here's a question</t>
        </is>
      </c>
      <c r="C4388" t="inlineStr">
        <is>
          <t>I've seen this claimed before. it was on a candy of some sort. maybe tic tacs?
they claimed sugar free, but i read a story that those gums/candy like this are not actually sugar free. the problem is they have such a small sugar content due to the size of each piece that they aren't required  by law to announce it.
is that true? Wouldn't it be a big legal issue to blast 'SUGAR FReE' on the label?
I want these things so bad but have stayed away for this worry alone. but I'm not finding anything to support this on the web now.</t>
        </is>
      </c>
      <c r="D4388" t="n">
        <v>2</v>
      </c>
      <c r="E4388" t="n">
        <v>10</v>
      </c>
      <c r="F4388">
        <f>HYPERLINK("https://www.reddit.com/r/diabetes/comments/84a87c/ice_breakers_ice_cubes_say_sugar_free_heres_a/")</f>
        <v/>
      </c>
      <c r="G4388" t="inlineStr">
        <is>
          <t>2018-03-13 20:15:23</t>
        </is>
      </c>
      <c r="H4388" t="inlineStr">
        <is>
          <t>Type 2</t>
        </is>
      </c>
    </row>
    <row r="4389">
      <c r="A4389" t="inlineStr">
        <is>
          <t>84anub</t>
        </is>
      </c>
      <c r="B4389" t="inlineStr">
        <is>
          <t>Out of nowhere, absolutely cannot get my blood sugar out of the double digits even after a literal bag of candy... WTF???</t>
        </is>
      </c>
      <c r="C4389" t="inlineStr">
        <is>
          <t xml:space="preserve">So for the last three days my blood sugar has been behaving in a completely bizarre way. For some reason, I cannot get it over 100! My meter's 7 day average is now 74. Initially I was happy, but I feel awful all of the time; dizzy, shaky, foggy-headed, the works. Today after a 27 carb breakfast my 1 hour post-pradinal reading was 67. An hour later I was down to 52. I scarfed a bag of candy (I don't know the carb count as it came from a self-serve candy bar--maybe 2/3 cups MnM's?) and managed to hit 83, but sank back to the 60's an hour later.
As a T2 diabetic, I blame this entirely on my meds: 25mg of Jardiance plus 2 mg of Glyburide. The bizarre thing is that I have been on this medicine regimen for about 7 months without issue save for the occasional "low" of 80-ish if I skipped breakfast. Obviously I will be cutting the dose in half and testing vigorously, but... nothing has changed in my normal routine. Same amount of exercise, same amount of sleep, same amount of carbs. The only dietary change I have made recently is to swap some meat for vegetarian proteins since my cholesterol was creeping up. Unless meat sensitivity is a thing, I can't imagine that would impact my blood sugar this way. In the five years of diagnosis, I have never experienced something like this. Should I call my pharmacy and have them check out the pills I was given? Has anyone else had an experience like this? I guess I should enjoy an excuse to eat candy, but it makes work awfully difficult.... </t>
        </is>
      </c>
      <c r="D4389" t="n">
        <v>2</v>
      </c>
      <c r="E4389" t="n">
        <v>15</v>
      </c>
      <c r="F4389">
        <f>HYPERLINK("https://www.reddit.com/r/diabetes/comments/84anub/out_of_nowhere_absolutely_cannot_get_my_blood/")</f>
        <v/>
      </c>
      <c r="G4389" t="inlineStr">
        <is>
          <t>2018-03-13 21:27:57</t>
        </is>
      </c>
      <c r="H4389" t="inlineStr">
        <is>
          <t>Type 2</t>
        </is>
      </c>
    </row>
    <row r="4390">
      <c r="A4390" t="inlineStr">
        <is>
          <t>84bjoy</t>
        </is>
      </c>
      <c r="B4390" t="inlineStr">
        <is>
          <t>Type 1s who do keto/low carb, how do you handle low BS?</t>
        </is>
      </c>
      <c r="C4390" t="inlineStr">
        <is>
          <t>I did keto for 3 years but that was during honeymoon, now I use insulin daily, lantus and novorapid but I am afraid to start keto again because of lows. I never had any significant lows (like &amp;lt;60), even once, during keto and my "lows" were mostly due to hunger, not too much insulin, and they were mostly around 80s.
How do you and how can I handle lows if I start keto again?</t>
        </is>
      </c>
      <c r="D4390" t="n">
        <v>2</v>
      </c>
      <c r="E4390" t="n">
        <v>16</v>
      </c>
      <c r="F4390">
        <f>HYPERLINK("https://www.reddit.com/r/diabetes/comments/84bjoy/type_1s_who_do_ketolow_carb_how_do_you_handle_low/")</f>
        <v/>
      </c>
      <c r="G4390" t="inlineStr">
        <is>
          <t>2018-03-14 00:27:54</t>
        </is>
      </c>
      <c r="H4390" t="inlineStr">
        <is>
          <t>Type 1</t>
        </is>
      </c>
    </row>
    <row r="4391">
      <c r="A4391" t="inlineStr">
        <is>
          <t>84brk7</t>
        </is>
      </c>
      <c r="B4391" t="inlineStr">
        <is>
          <t>Is anyone else on Trulicity?</t>
        </is>
      </c>
      <c r="C4391" t="inlineStr">
        <is>
          <t xml:space="preserve">I just had my first injection today and my doctor said a side effect is nausea. 
I just took it 10 hours ago, and I'm starting to feel nauseous.. if you've taken it what are things to help with nausea and how long did it last?? </t>
        </is>
      </c>
      <c r="D4391" t="n">
        <v>1</v>
      </c>
      <c r="E4391" t="n">
        <v>5</v>
      </c>
      <c r="F4391">
        <f>HYPERLINK("https://www.reddit.com/r/diabetes/comments/84brk7/is_anyone_else_on_trulicity/")</f>
        <v/>
      </c>
      <c r="G4391" t="inlineStr">
        <is>
          <t>2018-03-14 01:19:09</t>
        </is>
      </c>
      <c r="H4391" t="inlineStr">
        <is>
          <t>Type 2</t>
        </is>
      </c>
    </row>
    <row r="4392">
      <c r="A4392" t="inlineStr">
        <is>
          <t>84danh</t>
        </is>
      </c>
      <c r="B4392" t="inlineStr">
        <is>
          <t>Worsening depression after DKA in t1d</t>
        </is>
      </c>
      <c r="C4392" t="inlineStr">
        <is>
          <t>Good morning all.
I am not a diabetic myself, but am engaged to an incredible 27m who is t1 since age 18 (although they thought he was t2 for the first few years.) He also has gp and ongoing gastric issues, although we have seen huge improvements in that over the year we've been together - he's gone from a diet limited to three or four "safe" foods to eating whatever he wants (although we generally stick to low-carb, me for weight loss, him for BG management.) He recently was put on the Medtronics 670 pump and has been doing extremely well overall. However, in his past - due to depression, poor self-care, stress due to an ugly divorce and custody battle, and severe gp/gallbladder issues, and once the flu - he had 3-4 DKA between 2014-early 2017.
Unfortunately, a few weeks ago, a perfect storm occurred between a box of faulty infusion kits and a stomach bug, and I woke up one morning to find him extremely ill. After having to literally lift him out of the bathtub, it finally clicked in my head that this wasn't just a stomach bug and I called an ambulance. He recovered remarkably quickly, only spending ~12hr in ICU and another day on med/surg unit, and came home with backpats from the entire medical team who had handled his 5-day flu-related DKA ICU stay a year earlier at how much healthier he is and how much better he's doing. We have high hopes that with a new, strict pump troubleshooting &amp;amp; backup insulin protocol, we won't be admitted for DKA for a long time.
That brings me to my question. Yesterday he admitted to me that he is severely depressed. I know that this can be an aftereffect of DKA, and I know that DKA can cause long-term brain changes. My cousin passed away at age 30 from complications from t1d, and depression and "giving up" as a result was a huge contributor to his death. He was diagnosed at the same age as my fiance and the doctors felt that his depression was due to brain changes from repeated DKA episodes.
I am curious if depression is common after DKA, or if anyone out there has experienced long-term mental changes after repeated episodes of DKA. I just want to help and support him as much as I can, and learn as much as I can to do so. He has been on 10mg Prozac since Feb. 2017. He is scheduling a doctor's appointment today, but we live in a rural area with fairly limited resources and our doctor is great and the one who pushed the pump through for him, but probably has very few patients with a complicated history like this and I'm not sure how helpful she'd be regarding possible emotional/neurological issues - and personal experiences are always helpful regardless.
Thank you for reading and any advice, thoughts, or experiences you can provide.</t>
        </is>
      </c>
      <c r="D4392" t="n">
        <v>1</v>
      </c>
      <c r="E4392" t="n">
        <v>3</v>
      </c>
      <c r="F4392">
        <f>HYPERLINK("https://www.reddit.com/r/diabetes/comments/84danh/worsening_depression_after_dka_in_t1d/")</f>
        <v/>
      </c>
      <c r="G4392" t="inlineStr">
        <is>
          <t>2018-03-14 06:16:58</t>
        </is>
      </c>
      <c r="H4392" t="inlineStr">
        <is>
          <t>Type 1</t>
        </is>
      </c>
    </row>
    <row r="4393">
      <c r="A4393" t="inlineStr">
        <is>
          <t>84e52j</t>
        </is>
      </c>
      <c r="B4393" t="inlineStr">
        <is>
          <t>Why are my Libre and Blood readings so different?</t>
        </is>
      </c>
      <c r="C4393" t="inlineStr">
        <is>
          <t>I’m currently running a Libre trial. I understand there is a 5 minute delay on the Libre but it still makes no sense to have reading so differing.
Libre: 7.1
Blood reading: 4.8
1HR later 
Libre: 6.4
Blood reading: 4.1
2HR later 
Libre: 6.9
Blood reading: 4.8
Is my sensor messed up?</t>
        </is>
      </c>
      <c r="D4393" t="n">
        <v>1</v>
      </c>
      <c r="E4393" t="n">
        <v>8</v>
      </c>
      <c r="F4393">
        <f>HYPERLINK("https://www.reddit.com/r/diabetes/comments/84e52j/why_are_my_libre_and_blood_readings_so_different/")</f>
        <v/>
      </c>
      <c r="G4393" t="inlineStr">
        <is>
          <t>2018-03-14 08:15:24</t>
        </is>
      </c>
      <c r="H4393" t="inlineStr">
        <is>
          <t>Type 1</t>
        </is>
      </c>
    </row>
    <row r="4394">
      <c r="A4394" t="inlineStr">
        <is>
          <t>84e9lp</t>
        </is>
      </c>
      <c r="B4394" t="inlineStr">
        <is>
          <t>Sleep</t>
        </is>
      </c>
      <c r="C4394" t="inlineStr">
        <is>
          <t>How do you guys sleep? 
I haven't been sleeping well these past two weeks and was wondering if this was just one of those things that go with being a diabetic (type two) or if it's something wrong with me personally but generally I try and sleep around midnight but normally wake up around 2 0 clock and sleep until 7 and then I'm wide awake feeling tired but awake.
I'm on vacation at the moment and go back to work in two weeks so if anyone has any suggestions I am open to them. 
Generally before bed I test myself and I'm sitting around 5.6, and when I wake up i'm normally around 4.6-4.8</t>
        </is>
      </c>
      <c r="D4394" t="n">
        <v>1</v>
      </c>
      <c r="E4394" t="n">
        <v>5</v>
      </c>
      <c r="F4394">
        <f>HYPERLINK("https://www.reddit.com/r/diabetes/comments/84e9lp/sleep/")</f>
        <v/>
      </c>
      <c r="G4394" t="inlineStr">
        <is>
          <t>2018-03-14 08:32:00</t>
        </is>
      </c>
      <c r="H4394" t="inlineStr">
        <is>
          <t>Type 2</t>
        </is>
      </c>
    </row>
    <row r="4395">
      <c r="A4395" t="inlineStr">
        <is>
          <t>84en42</t>
        </is>
      </c>
      <c r="B4395" t="inlineStr">
        <is>
          <t>Questions for T1 who maintain tight control with a moderate/high carb diet</t>
        </is>
      </c>
      <c r="C4395" t="inlineStr">
        <is>
          <t xml:space="preserve">* How often do you experience mild lows (3.0-3.9mmol / 54-70mg) or a BG that would trend into a mild low if untreated?
* How often do you experience a more serious low? (under 3.0mmol / 54mg)
* Do you get a lot of criticism &amp;amp; concern from your diabetes care team, endocrinologist, etc? How do you deal with this in the moment? 
I'm coming up on my 1 year anniversary of diagnosis, and never did I think the most frustrating part of having a chronic illness would be dealing with medical professionals. They seem annoyed that I don't eat the same number of carbs at the same time of day every day with 4 hours between each meal. They're worried that responding to the trends of my Dexcom will be too much work and stress, when in reality I find a routine diet is a much worse quality-of-life issue. And of course they're also worried because any A1C under 6.0% is "too low" and must mean I'm low too often. 
My goal is to eat "normally" and maintain a &amp;lt;6.0% A1C (successful so far). For me, this means sometimes low carb meals and sometimes high carb meals. It means having 2 pieces of pizza then having 2 more an hour later, then deciding on dessert as well after that. Often it means skipping breakfast and having a nice flat line at 4.5mmol for 14 hours. So far, the Dexcom lets me be very flexible and responsive. I can react to the trends quickly with more insulin to stop a rise or a few candies to level off a decline. I feel like there's so many moving parts that more often than not your post-prandial numbers aren't perfect anyway. I almost never have serious lows, but I often (daily) drift into the kinda-low range and intervene because I'm impatient with highs that are too high or lasting too long. 
I feel like my methods are working for me, but during appointments I'm put on the defensive by nurses/endos who want to see much higher numbers than I'm comfortable with, and who feel any lows are too many. I'm at the point where I'm not sure what they're adding to my health care other than stress and judgement. </t>
        </is>
      </c>
      <c r="D4395" t="n">
        <v>3</v>
      </c>
      <c r="E4395" t="n">
        <v>22</v>
      </c>
      <c r="F4395">
        <f>HYPERLINK("https://www.reddit.com/r/diabetes/comments/84en42/questions_for_t1_who_maintain_tight_control_with/")</f>
        <v/>
      </c>
      <c r="G4395" t="inlineStr">
        <is>
          <t>2018-03-14 09:19:12</t>
        </is>
      </c>
      <c r="H4395" t="inlineStr">
        <is>
          <t>Type 1</t>
        </is>
      </c>
    </row>
    <row r="4396">
      <c r="A4396" t="inlineStr">
        <is>
          <t>84g265</t>
        </is>
      </c>
      <c r="B4396" t="inlineStr">
        <is>
          <t>In need of advice: Took Lantus instead of Humalog for meal dose.</t>
        </is>
      </c>
      <c r="C4396" t="inlineStr">
        <is>
          <t>Heya! So I made a silly mistake at lunch today and I'm still having issues crunching the numbers to figure out how I'll be feeling later.
Normally I take 24 units fo Lantus every night before bed, at around 11pm. Today I slept in a bit and woke up with a high blood sugar of 13, and so I was to have 11.5 units of Humalog with my meal.
In my groggy state, I wasn't paying attention to which pen I was using, and I injected 11.5 units of LANTUS instead of my Humalog. This is at about 12pm. I realized this immediately, so I took 8 units of Humalog to take care of the food I was eating/some of the high, but I was wary of taking the full dose I needed since I'm not sure what to expect from the Lantus right now.
I know its not entirely an emergency, and I've been keeping an eye on my sugars since. Admittedly I'm not a super well-controlled diabetic but I've been dancing between getting better and getting fed up. Its been 17 years since I was diagnosed at 10 years old.
I called a hospital to speak to a nurse about my predicament, but she seemed utterly clueless and no one was willing to forward me to an endocrinologist. They told me to call my pharmacy for advice instead, but I feel as though I'll get told to call the nurse by them. I'll likely call them anyways, but I was wondering if anyone here has had a similar experience and could help me out. Ultimately I'm just not certain if I should have my full Lantus dose tonight at 11, or subtract my mistake from the 24 units I normally have.
Thanks!!</t>
        </is>
      </c>
      <c r="D4396" t="n">
        <v>1</v>
      </c>
      <c r="E4396" t="n">
        <v>7</v>
      </c>
      <c r="F4396">
        <f>HYPERLINK("https://www.reddit.com/r/diabetes/comments/84g265/in_need_of_advice_took_lantus_instead_of_humalog/")</f>
        <v/>
      </c>
      <c r="G4396" t="inlineStr">
        <is>
          <t>2018-03-14 12:12:48</t>
        </is>
      </c>
      <c r="H4396" t="inlineStr">
        <is>
          <t>Type 1</t>
        </is>
      </c>
    </row>
    <row r="4397">
      <c r="A4397" t="inlineStr">
        <is>
          <t>84gbr6</t>
        </is>
      </c>
      <c r="B4397" t="inlineStr">
        <is>
          <t>A little vent</t>
        </is>
      </c>
      <c r="C4397" t="inlineStr">
        <is>
          <t>Why bother with all the tight control, spending so much money on CGMs, constantly feeling like shit about myself after every high or low.  
Why be told “you’re doing good” only for the government to think you’re only good enough for a max of three years on a driving licence.
Why the hell cant we be rewarded for longer driving licences!? 
Edit: To clarify, in the UK we have to declare it to the DVLA if we have to treat our diabetes with insulin
Then we’re issued a 1,2 or 3 year licence depending on their judgement, and we have to reapply when it runs out :/</t>
        </is>
      </c>
      <c r="D4397" t="n">
        <v>3</v>
      </c>
      <c r="E4397" t="n">
        <v>21</v>
      </c>
      <c r="F4397">
        <f>HYPERLINK("https://www.reddit.com/r/diabetes/comments/84gbr6/a_little_vent/")</f>
        <v/>
      </c>
      <c r="G4397" t="inlineStr">
        <is>
          <t>2018-03-14 12:47:21</t>
        </is>
      </c>
      <c r="H4397" t="inlineStr">
        <is>
          <t>Type 1</t>
        </is>
      </c>
    </row>
    <row r="4398">
      <c r="A4398" t="inlineStr">
        <is>
          <t>84gwhz</t>
        </is>
      </c>
      <c r="B4398" t="inlineStr">
        <is>
          <t>Long term effects of mild hypos?</t>
        </is>
      </c>
      <c r="C4398" t="inlineStr">
        <is>
          <t xml:space="preserve">Is there any evidence of health effects from mild lows like 60-75? I know extreme lows can do damage but if you often get readings of 60-70 what are the possible effects? </t>
        </is>
      </c>
      <c r="D4398" t="n">
        <v>2</v>
      </c>
      <c r="E4398" t="n">
        <v>2</v>
      </c>
      <c r="F4398">
        <f>HYPERLINK("https://www.reddit.com/r/diabetes/comments/84gwhz/long_term_effects_of_mild_hypos/")</f>
        <v/>
      </c>
      <c r="G4398" t="inlineStr">
        <is>
          <t>2018-03-14 13:58:41</t>
        </is>
      </c>
      <c r="H4398" t="inlineStr">
        <is>
          <t>Type 1</t>
        </is>
      </c>
    </row>
    <row r="4399">
      <c r="A4399" t="inlineStr">
        <is>
          <t>84ifhi</t>
        </is>
      </c>
      <c r="B4399" t="inlineStr">
        <is>
          <t>I apologized to my endo</t>
        </is>
      </c>
      <c r="C4399" t="inlineStr">
        <is>
          <t>Apparently my doctor's office is having trouble keeping new endos so I've been bounced around to a minimum of 3 in the past 1.5 years. This current endo is nice enough, seems young and very by the books. Anyways, I tried out the 670g (Rx'd by previous endo) and then didn't like it so I went through this whole ordeal to return it. I had a phone appt with the new endo during the return process and she sung the praises of Medtronic and why it was better than Tslim. A month later, the 670g return is complete and i get confirmation that insurance has been credited, so i contact her to get back on my dexcom (was using for years previously) and discuss moving on to a tslim.
Well, the appt got heated and she kept telling me things that suggested I wasn't able to learn "new technology" and that it was hard. I was so frustrated that I lost it and spouted off my spiel "I'm 30 years old, i've been diabetic for 20, on a pump for almost as long. I have a masters degree, can build a computer and don't appreciate being treated like I'm 6 and don't know how to do this!" 
She immediately started saying "i'm sorry, i didn't mean to make you feel that way etc." I could tell she was eager to get off the phone and practically hung up on me, without even a "any questions?"
You guys, I felt so bad that I immediately emailed her an apology for being curt and rude towards her and told her that I appreciated her help and time. It's so important to stand up for yourself and demand the quality of care and support that we need from our doctors. It's equally important to remember that our doctors are likely exhausted, overworked, cramming in phone appts at 5pm just to make sure they get to everybody. They are people too, and most probably aren't diabetic themselves. There's not really a point to this, except to encourage everyone to make an effort to build positive relationships with their endos and care teams. And don't be a rudey mcrude face like I was :(</t>
        </is>
      </c>
      <c r="D4399" t="n">
        <v>63</v>
      </c>
      <c r="E4399" t="n">
        <v>41</v>
      </c>
      <c r="F4399">
        <f>HYPERLINK("https://www.reddit.com/r/diabetes/comments/84ifhi/i_apologized_to_my_endo/")</f>
        <v/>
      </c>
      <c r="G4399" t="inlineStr">
        <is>
          <t>2018-03-14 17:31:56</t>
        </is>
      </c>
      <c r="H4399" t="inlineStr">
        <is>
          <t>Type 1</t>
        </is>
      </c>
    </row>
    <row r="4400">
      <c r="A4400" t="inlineStr">
        <is>
          <t>84iyan</t>
        </is>
      </c>
      <c r="B4400" t="inlineStr">
        <is>
          <t>Medtronic pump vs. Dexcom t slim x2 pump?</t>
        </is>
      </c>
      <c r="C4400" t="inlineStr">
        <is>
          <t xml:space="preserve">Curious if anyone has made the switch from Medtronic pumps to Dexcom's T Slim X2. 
I've used Medtronic's 715 pump for oh...13 years now? Wow. Longer than I realized. Anyways, it was pretty much the forgone best pump for most of those years. No real competitors. 
I tried Medtronic's CGM 4 years ago and never used it. Didn't like it. I've been on Dexcom's G5 CGM for several months now and love it, hence my interest in the T Slim x2. 
I need a new pump and am debating between getting the Medtronic 670g (seems SO cool), but Dexcom's T Slim x2 seems interesting, especially given that I like my G5 CGM. Has anyone made the switch? Would love to hear from anyone that's used both are any/all of the three pumps (715, 670, tslim x2). I'm certainly not in love with Medtronic, but for years they've just seemed like the best option. Should I go Medtronic 670 and ditch the G5, or go full out Dexcom? </t>
        </is>
      </c>
      <c r="D4400" t="n">
        <v>7</v>
      </c>
      <c r="E4400" t="n">
        <v>27</v>
      </c>
      <c r="F4400">
        <f>HYPERLINK("https://www.reddit.com/r/diabetes/comments/84iyan/medtronic_pump_vs_dexcom_t_slim_x2_pump/")</f>
        <v/>
      </c>
      <c r="G4400" t="inlineStr">
        <is>
          <t>2018-03-14 18:54:01</t>
        </is>
      </c>
      <c r="H4400" t="inlineStr">
        <is>
          <t>Type 1</t>
        </is>
      </c>
    </row>
    <row r="4401">
      <c r="A4401" t="inlineStr">
        <is>
          <t>84lg0d</t>
        </is>
      </c>
      <c r="B4401" t="inlineStr">
        <is>
          <t>I’m requiring aid in creating a low carb, vegetarian diet for a t1 diabetic</t>
        </is>
      </c>
      <c r="C4401" t="inlineStr">
        <is>
          <t>Hey all!! So I’ve let myself go a bit recently and I’ve decided to give dieting a bit of a go, alongside joining the gym (yay me!). I’ve never “dieted” before though, and I’m not very educated on food groups... Is there anyone here who could recommend me some low carb, high-protein vegetarian suggestions for breakfast/lunch/dinner? Thanks so much in advance :)</t>
        </is>
      </c>
      <c r="D4401" t="n">
        <v>3</v>
      </c>
      <c r="E4401" t="n">
        <v>10</v>
      </c>
      <c r="F4401">
        <f>HYPERLINK("https://www.reddit.com/r/diabetes/comments/84lg0d/im_requiring_aid_in_creating_a_low_carb/")</f>
        <v/>
      </c>
      <c r="G4401" t="inlineStr">
        <is>
          <t>2018-03-15 03:28:21</t>
        </is>
      </c>
      <c r="H4401" t="inlineStr">
        <is>
          <t>Type 1</t>
        </is>
      </c>
    </row>
    <row r="4402">
      <c r="A4402" t="inlineStr">
        <is>
          <t>84mjs6</t>
        </is>
      </c>
      <c r="B4402" t="inlineStr">
        <is>
          <t>New diagnosis</t>
        </is>
      </c>
      <c r="C4402" t="inlineStr">
        <is>
          <t>I was just diagnosed yesterday. I'm starting insulin today, and am supposed to check my levels before lunch and dinner, and take a small dose of insulin before my meals according to my numbers. But my Dr forgot to give me a sliding scale for what that should be. Are all scales the same? Can I go off one I find online? Or will it be personalized to me? I don't want to start day one not taking what I should. My pharmacy is going to try and get ahold of my Dr for me, and then call me to let me know as well. But I'm asking here just in case one or both are too busy. Thanks for the help.</t>
        </is>
      </c>
      <c r="D4402" t="n">
        <v>7</v>
      </c>
      <c r="E4402" t="n">
        <v>11</v>
      </c>
      <c r="F4402">
        <f>HYPERLINK("https://www.reddit.com/r/diabetes/comments/84mjs6/new_diagnosis/")</f>
        <v/>
      </c>
      <c r="G4402" t="inlineStr">
        <is>
          <t>2018-03-15 06:45:40</t>
        </is>
      </c>
      <c r="H4402" t="inlineStr">
        <is>
          <t>Type 2</t>
        </is>
      </c>
    </row>
    <row r="4403">
      <c r="A4403" t="inlineStr">
        <is>
          <t>84mmkw</t>
        </is>
      </c>
      <c r="B4403" t="inlineStr">
        <is>
          <t>Why does my insurance company want me on HSA?</t>
        </is>
      </c>
      <c r="C4403" t="inlineStr">
        <is>
          <t xml:space="preserve">I noticed the last few years there has been a big push at three different companys i worked for to get people on health savings accounts instead of regular insurance. My current company is saying that all diabetes medication is free if you have an HSA. Is there some sort of catch? If I have some major health issue am I gonna be left with a huge bill?  </t>
        </is>
      </c>
      <c r="D4403" t="n">
        <v>2</v>
      </c>
      <c r="E4403" t="n">
        <v>11</v>
      </c>
      <c r="F4403">
        <f>HYPERLINK("https://www.reddit.com/r/diabetes/comments/84mmkw/why_does_my_insurance_company_want_me_on_hsa/")</f>
        <v/>
      </c>
      <c r="G4403" t="inlineStr">
        <is>
          <t>2018-03-15 06:57:38</t>
        </is>
      </c>
      <c r="H4403" t="inlineStr">
        <is>
          <t>Type 1</t>
        </is>
      </c>
    </row>
    <row r="4404">
      <c r="A4404" t="inlineStr">
        <is>
          <t>84q2at</t>
        </is>
      </c>
      <c r="B4404" t="inlineStr">
        <is>
          <t>Basaglar doesn't cover all day?</t>
        </is>
      </c>
      <c r="C4404" t="inlineStr">
        <is>
          <t xml:space="preserve">Hi everyone, I'm taking 34u of Basaglar at 10pm, I'm managing my BS pretty well until the afternoon where my BS starts to rise without reason. This means that my basal doesn't cover all day? My next appointment with my endo is in three weeks, she already talked to me about Tresiba, hopefully I will make the change in a short time. </t>
        </is>
      </c>
      <c r="D4404" t="n">
        <v>3</v>
      </c>
      <c r="E4404" t="n">
        <v>10</v>
      </c>
      <c r="F4404">
        <f>HYPERLINK("https://www.reddit.com/r/diabetes/comments/84q2at/basaglar_doesnt_cover_all_day/")</f>
        <v/>
      </c>
      <c r="G4404" t="inlineStr">
        <is>
          <t>2018-03-15 14:15:15</t>
        </is>
      </c>
      <c r="H4404" t="inlineStr">
        <is>
          <t>Type 1</t>
        </is>
      </c>
    </row>
    <row r="4405">
      <c r="A4405" t="inlineStr">
        <is>
          <t>84q9sx</t>
        </is>
      </c>
      <c r="B4405" t="inlineStr">
        <is>
          <t>Good spot to administer insulin?</t>
        </is>
      </c>
      <c r="C4405" t="inlineStr">
        <is>
          <t>I know like the arms and legs of course but one as just curious of any other places to do it. I'm on a pen if that helps. Also, where do you think the best place is?</t>
        </is>
      </c>
      <c r="D4405" t="n">
        <v>3</v>
      </c>
      <c r="E4405" t="n">
        <v>19</v>
      </c>
      <c r="F4405">
        <f>HYPERLINK("https://www.reddit.com/r/diabetes/comments/84q9sx/good_spot_to_administer_insulin/")</f>
        <v/>
      </c>
      <c r="G4405" t="inlineStr">
        <is>
          <t>2018-03-15 14:44:01</t>
        </is>
      </c>
      <c r="H4405" t="inlineStr">
        <is>
          <t>Type 1</t>
        </is>
      </c>
    </row>
    <row r="4406">
      <c r="A4406" t="inlineStr">
        <is>
          <t>84r3tz</t>
        </is>
      </c>
      <c r="B4406" t="inlineStr">
        <is>
          <t>Need help getting a firm diagnosis</t>
        </is>
      </c>
      <c r="C4406" t="inlineStr">
        <is>
          <t>Apologies in advance, first time poster. This will also be a little long.
I need some help from some diabetes pros. I think I’m diabetic but am struggling to get my primary to diagnose me. Here’s some backstory.
I found out I was pregnant last year on March 17th. My prenatal blood work up had me with an A1C of 6.3, but my OB said “everything looked great” when she reviewed the results. I hit 20 weeks and was in for my routine OB appointment, and I was spilling sugar in my urine, so they ordered a 2 hour GTT. I got a call three days later, and my OB immediately admitted me into the hospital for three days to get me started on an insulin regimen because my fasting was 157, 1-hr was 300 and 2-hr was 326. She and the MFM I saw said this wasn’t typical of gestational diabetes, and that I was most likely an undiagnosed diabetic. It had been a couple years since I had a physical and full blood work up, and I was running in the obese BMI range with a crappy diet. I started my insulin regimen, and stuck very close to the GD diet. After lots of monitoring and an induction, baby girl was born an average size, with no complications at the end of October.
My blood sugar was stable during my labor and when they did my postprandial checks while I was in the hospital I was in normal range, with the exception of my first check after my first post delivery meal (I was at 164, so was given 4 units of insulin before my next meal). My A1C was checked right before my induction and was at 5.5.
Upon coming home, I had somewhat high fastings for the first 2 months postpartum. Usually in the 100-117 range. My 2 hour postprandial numbers were usually in the 120-140 range, with 1-2 that occasionally made it to 160. We switched insurance in January, and my new primary wasn’t concerned with the high fastings or occasional high postprandial because of all the broken sleep I was getting. They checked my A1C and it was 5.3. Since everything was looking good, my primary said I was ok to stop testing my sugars unless I was feeling symptomatic, and I could eat normally since I’m breastfeeding and she didn’t want me to lower carbs too much and effect the quality of the milk my baby is getting. All sounded logical to me, so I put the meter away and have been feeling good. 
We’ve survived the worst of the newborn phase and I’m about 4.5 months postpartum now, still breastfeeding. Last weekend I started to not feel great and was having blurry vision. So I pulled out my meter and tested. First test was a whopping 330. I drank a bunch of water and walked around a bit. Ate some protein snacks and a low carb meal. Retested the rest of the afternoon and the best reading I got was 234. I was still not feeling well Monday night, so hubs watched the baby while I went into urgent care (blurry vision got better as my sugars came down). They took my vitals and tested me. I was at 254. So the doctor I saw said I was type 2, and prescribed a meter and metformin, and told me to start meds that night, test 4 times a day and make another appointment with my primary.
Saw my primary yesterday morning and she reviewed my meter readings and “isn’t convinced” it’s diabetes until she does another A1C, since she’s seeing conflicting results (January A1C vs my meter readings). However, she wants me to stop metformin (so I can continue breastfeeding), drink loads of water and exercise, and wait two weeks before doing the test. I asked if there is any other way to confirm the diagnosis, and she said no. Based on the results, she expects to see a high A1C and be able to diagnose me, or a normal A1C and she will consult an endocrinologist at that point. 
My fasting today was 267 and I’ve been hovering in the 350-380 range today. I’ve got another phone appointment in to my doctor for tomorrow morning. What kind of questions or tests should I ask for? Should I just get another doctor (we have Kaiser, so pretty easy to switch)?
I obviously would like to not be diabetic, but I realize that a diagnosis will mean I can start getting things under control and minimize any secondary problems I can have from sustained high blood sugar. If you read through all this, I really appreciate you taking the time.</t>
        </is>
      </c>
      <c r="D4406" t="n">
        <v>7</v>
      </c>
      <c r="E4406" t="n">
        <v>35</v>
      </c>
      <c r="F4406">
        <f>HYPERLINK("https://www.reddit.com/r/diabetes/comments/84r3tz/need_help_getting_a_firm_diagnosis/")</f>
        <v/>
      </c>
      <c r="G4406" t="inlineStr">
        <is>
          <t>2018-03-15 16:38:19</t>
        </is>
      </c>
      <c r="H4406" t="inlineStr">
        <is>
          <t>Type 2</t>
        </is>
      </c>
    </row>
    <row r="4407">
      <c r="A4407" t="inlineStr">
        <is>
          <t>84rhpv</t>
        </is>
      </c>
      <c r="B4407" t="inlineStr">
        <is>
          <t>First HI reading?</t>
        </is>
      </c>
      <c r="C4407" t="inlineStr">
        <is>
          <t>Hey y’all, I am a new diabetic (diagnosed in October) whose pancreas quit in January and is on both Levemir and Humalog. 
Long story short, I had an “off day” and didn’t do what I was supposed to, and got my first HI reading. What do I do? How am I supposed to correct if I don’t know what my number is?
Please advise. Thanks!</t>
        </is>
      </c>
      <c r="D4407" t="n">
        <v>2</v>
      </c>
      <c r="E4407" t="n">
        <v>18</v>
      </c>
      <c r="F4407">
        <f>HYPERLINK("https://www.reddit.com/r/diabetes/comments/84rhpv/first_hi_reading/")</f>
        <v/>
      </c>
      <c r="G4407" t="inlineStr">
        <is>
          <t>2018-03-15 17:36:57</t>
        </is>
      </c>
      <c r="H4407" t="inlineStr">
        <is>
          <t>Type 2</t>
        </is>
      </c>
    </row>
    <row r="4408">
      <c r="A4408" t="inlineStr">
        <is>
          <t>84s6z6</t>
        </is>
      </c>
      <c r="B4408" t="inlineStr">
        <is>
          <t>Abbott Freestyle LibreLink iOS app in Canada</t>
        </is>
      </c>
      <c r="C4408" t="inlineStr">
        <is>
          <t>I just got the Libre and grabbed the LibreLink iOs app from the UK store but the sensors appear to have region information so you can’t use the UK app with Canadian sensors. Which means I have to use the terrible stand alone reader.
I can’t find any info online about availability of the app in Canada nor can I find a contact email or twitter account to ask about it. Does anyone have any info about whether the app is coming soon to Canada?
I have an Ambrosia NightRider ordered so I can dump the reader eventually anyways but being able to scan on my iPhone would be helpful.
Thanks.
P.s. I stuck the sensor in my lower back fat and it seems to work well.</t>
        </is>
      </c>
      <c r="D4408" t="n">
        <v>2</v>
      </c>
      <c r="E4408" t="n">
        <v>5</v>
      </c>
      <c r="F4408">
        <f>HYPERLINK("https://www.reddit.com/r/diabetes/comments/84s6z6/abbott_freestyle_librelink_ios_app_in_canada/")</f>
        <v/>
      </c>
      <c r="G4408" t="inlineStr">
        <is>
          <t>2018-03-15 19:29:39</t>
        </is>
      </c>
      <c r="H4408" t="inlineStr">
        <is>
          <t>Type 1</t>
        </is>
      </c>
    </row>
    <row r="4409">
      <c r="A4409" t="inlineStr">
        <is>
          <t>84sk3c</t>
        </is>
      </c>
      <c r="B4409" t="inlineStr">
        <is>
          <t>The perfect snack to eat when your sugar is low when you wake up that doesn’t make your sugar sky rocket to 300. Healthy as well!</t>
        </is>
      </c>
      <c r="C4409" t="inlineStr">
        <is>
          <t xml:space="preserve">There have been several times times where I have woken up because my sugar is low and I ate the whole entire fridge almost immediately regretting it as my sugar climbs up to 400. 
Our bodies crave 3 different things. Sugar, fat, and salt. So does a healthy combination of all 3 really exist to satisfy ourselves without going to 300? The answer, is yes. Here’s the story. 
Last night, was one of those nights where I woke up drenched in sweat with my CGM beeping. My sugar was 42. I ran down stairs and downed a can of Sanpellegrino. (For those of you who don’t know what that is, it’s soda minus all the crap that usually gets pet into it. And yes, it is good.... for me at least) Right after that can I could feel it, that craving sensation which always gets the best of me. I frantically searched the fridge and cupboard for something to eat. I saw a bag of slightly salted crackers and leftover guacamole. I shoved about 5 crackers with guac smeared all over them into mouth. To my surprise, after eating 5-7 more, I was full. I was no longer feeling like I was dying from hunger. That small, yet delicious snack really worked. 
I highly recommend all of you T1D’s try this out, as it worked a miracle for me and hopefully it will for you to! </t>
        </is>
      </c>
      <c r="D4409" t="n">
        <v>4</v>
      </c>
      <c r="E4409" t="n">
        <v>18</v>
      </c>
      <c r="F4409">
        <f>HYPERLINK("https://www.reddit.com/r/diabetes/comments/84sk3c/the_perfect_snack_to_eat_when_your_sugar_is_low/")</f>
        <v/>
      </c>
      <c r="G4409" t="inlineStr">
        <is>
          <t>2018-03-15 20:33:14</t>
        </is>
      </c>
      <c r="H4409" t="inlineStr">
        <is>
          <t>Type 1</t>
        </is>
      </c>
    </row>
    <row r="4410">
      <c r="A4410" t="inlineStr">
        <is>
          <t>84so40</t>
        </is>
      </c>
      <c r="B4410" t="inlineStr">
        <is>
          <t>Donating Blood</t>
        </is>
      </c>
      <c r="C4410" t="inlineStr">
        <is>
          <t>After seeing that I met all of the health requirements, I signed up to participate in my school’s blood drive tomorrow. Does anyone have any personal experience on how it will affect blood sugar and if there’s anything extra I should do to prepare? 
I’d assume that I won’t see too big of a drop due to the rise I get when nervous. I do have a Dexcom, so I will be able to monitor during and after donation.</t>
        </is>
      </c>
      <c r="D4410" t="n">
        <v>3</v>
      </c>
      <c r="E4410" t="n">
        <v>15</v>
      </c>
      <c r="F4410">
        <f>HYPERLINK("https://www.reddit.com/r/diabetes/comments/84so40/donating_blood/")</f>
        <v/>
      </c>
      <c r="G4410" t="inlineStr">
        <is>
          <t>2018-03-15 20:53:30</t>
        </is>
      </c>
      <c r="H4410" t="inlineStr">
        <is>
          <t>Type 1</t>
        </is>
      </c>
    </row>
    <row r="4411">
      <c r="A4411" t="inlineStr">
        <is>
          <t>84uo06</t>
        </is>
      </c>
      <c r="B4411" t="inlineStr">
        <is>
          <t>Got my HbA1c one year after I was diagnosed... 5.8%!</t>
        </is>
      </c>
      <c r="C4411" t="inlineStr">
        <is>
          <t xml:space="preserve">I have to admit I did not expect it to be that low. The doctors called it "pretty much as low as it should be". </t>
        </is>
      </c>
      <c r="D4411" t="n">
        <v>35</v>
      </c>
      <c r="E4411" t="n">
        <v>15</v>
      </c>
      <c r="F4411">
        <f>HYPERLINK("https://www.reddit.com/r/diabetes/comments/84uo06/got_my_hba1c_one_year_after_i_was_diagnosed_58/")</f>
        <v/>
      </c>
      <c r="G4411" t="inlineStr">
        <is>
          <t>2018-03-16 04:16:41</t>
        </is>
      </c>
      <c r="H4411" t="inlineStr">
        <is>
          <t>Type 1</t>
        </is>
      </c>
    </row>
    <row r="4412">
      <c r="A4412" t="inlineStr">
        <is>
          <t>84uzh0</t>
        </is>
      </c>
      <c r="B4412" t="inlineStr">
        <is>
          <t>When do you know the Honeymoon's over?</t>
        </is>
      </c>
      <c r="C4412" t="inlineStr">
        <is>
          <t>Pretty much the title.  My endo has given me his definition of what to look for, based on a few signs, but was curious what other docs have told you folks or what tipped you off personally that the honeymoon had definitely ended and the realities of marriage to a non-functional pancreas set in?
Happy Friday, everyone.</t>
        </is>
      </c>
      <c r="D4412" t="n">
        <v>1</v>
      </c>
      <c r="E4412" t="n">
        <v>10</v>
      </c>
      <c r="F4412">
        <f>HYPERLINK("https://www.reddit.com/r/diabetes/comments/84uzh0/when_do_you_know_the_honeymoons_over/")</f>
        <v/>
      </c>
      <c r="G4412" t="inlineStr">
        <is>
          <t>2018-03-16 05:18:54</t>
        </is>
      </c>
      <c r="H4412" t="inlineStr">
        <is>
          <t>Type 1</t>
        </is>
      </c>
    </row>
    <row r="4413">
      <c r="A4413" t="inlineStr">
        <is>
          <t>84wbrj</t>
        </is>
      </c>
      <c r="B4413" t="inlineStr">
        <is>
          <t>Need some lantus advice. ASAP.</t>
        </is>
      </c>
      <c r="C4413" t="inlineStr">
        <is>
          <t>Accidentally just doubled up on my lantus did 26 units at 11pm yesterday and just gave myself 26 move at 1030am today. 
What should be my protocol with doing that. I wear a cgm so I’ll be able to track it okay. Anything else</t>
        </is>
      </c>
      <c r="D4413" t="n">
        <v>1</v>
      </c>
      <c r="E4413" t="n">
        <v>8</v>
      </c>
      <c r="F4413">
        <f>HYPERLINK("https://www.reddit.com/r/diabetes/comments/84wbrj/need_some_lantus_advice_asap/")</f>
        <v/>
      </c>
      <c r="G4413" t="inlineStr">
        <is>
          <t>2018-03-16 08:36:27</t>
        </is>
      </c>
      <c r="H4413" t="inlineStr">
        <is>
          <t>Type 1</t>
        </is>
      </c>
    </row>
    <row r="4414">
      <c r="A4414" t="inlineStr">
        <is>
          <t>84xpov</t>
        </is>
      </c>
      <c r="B4414" t="inlineStr">
        <is>
          <t>Am I in DKA?</t>
        </is>
      </c>
      <c r="C4414" t="inlineStr">
        <is>
          <t>Blood sugar is normal - was high over night (250-300) but it was back down within 8 hours. I'm peeing like a racehorse, but this didn't start until after my BG was back to normal. I don't feel tired, nauseous, or sick at all. I'm relatively hydrated and had a cup of coffee this morning, but I haven't been chugging water or anything. My pee is clear which is also weird because like I said, I feel hydrated, but haven't been absolutely chugging water.
I don't have ketone strips at the moment and can't get any right now. What do?</t>
        </is>
      </c>
      <c r="D4414" t="n">
        <v>1</v>
      </c>
      <c r="E4414" t="n">
        <v>5</v>
      </c>
      <c r="F4414">
        <f>HYPERLINK("https://www.reddit.com/r/diabetes/comments/84xpov/am_i_in_dka/")</f>
        <v/>
      </c>
      <c r="G4414" t="inlineStr">
        <is>
          <t>2018-03-16 11:37:33</t>
        </is>
      </c>
      <c r="H4414" t="inlineStr">
        <is>
          <t>Type 1</t>
        </is>
      </c>
    </row>
    <row r="4415">
      <c r="A4415" t="inlineStr">
        <is>
          <t>84ye7z</t>
        </is>
      </c>
      <c r="B4415" t="inlineStr">
        <is>
          <t>Brother's having a hypo as I type this in the middle of a small forest.</t>
        </is>
      </c>
      <c r="C4415" t="inlineStr">
        <is>
          <t>My brother's currently having a hypo in the middle of a small forest where we live as he likes to go out there to ride his bike.
He managed to call his friend who ran to our house (2 miles roughly) and now our parents have rushed down there to try and find him.
He was on the phone saying "I'm going to paradise" "I'm going to sleep now" 
I don't know much about hypos but is this normal and do you think he'll be okay?
We called the ambulance but they didn't help because they don't have an exact location.
I'm just worries.</t>
        </is>
      </c>
      <c r="D4415" t="n">
        <v>37</v>
      </c>
      <c r="E4415" t="n">
        <v>75</v>
      </c>
      <c r="F4415">
        <f>HYPERLINK("https://www.reddit.com/r/diabetes/comments/84ye7z/brothers_having_a_hypo_as_i_type_this_in_the/")</f>
        <v/>
      </c>
      <c r="G4415" t="inlineStr">
        <is>
          <t>2018-03-16 13:08:29</t>
        </is>
      </c>
      <c r="H4415" t="inlineStr">
        <is>
          <t>Type 2</t>
        </is>
      </c>
    </row>
    <row r="4416">
      <c r="A4416" t="inlineStr">
        <is>
          <t>84zhzd</t>
        </is>
      </c>
      <c r="B4416" t="inlineStr">
        <is>
          <t>T1 Question about CGMs and Pump Connectivity</t>
        </is>
      </c>
      <c r="C4416" t="inlineStr">
        <is>
          <t>Hello friends! I've been a long time pump user, long enough that I remember when Medtronic was still Minimed! SO- as an Animas user, I have 0 desire to switch over to the Medtronic pump/CGM, but it might be the only option I have financially- and that won't be until around July when the warranty on my Ping expires.  
HOWEVER- in investigating some options this week, Dexcom let me know that their system would be $0 cost to me through my prescription insurance. So my question is- do any of you have a separate pump/CGM set up? Is it a reasonable option? Am I going to need to buy nothing but cargo pants to carry all of the gadgets close to my body? I'm debating going with the Dexcom now, because the cost is zero- but if we're being 100% honest I don't love the size of the sensor, and I don't love the idea of having the receiver on me at all times (in addition to my pump, and cell phone.)  I do recognize that getting the CGM sooner is a better option for getting a handle on my blood sugars....
Can anyone weigh in on this?</t>
        </is>
      </c>
      <c r="D4416" t="n">
        <v>6</v>
      </c>
      <c r="E4416" t="n">
        <v>8</v>
      </c>
      <c r="F4416">
        <f>HYPERLINK("https://www.reddit.com/r/diabetes/comments/84zhzd/t1_question_about_cgms_and_pump_connectivity/")</f>
        <v/>
      </c>
      <c r="G4416" t="inlineStr">
        <is>
          <t>2018-03-16 15:41:42</t>
        </is>
      </c>
      <c r="H4416" t="inlineStr">
        <is>
          <t>Type 1</t>
        </is>
      </c>
    </row>
    <row r="4417">
      <c r="A4417" t="inlineStr">
        <is>
          <t>853wzo</t>
        </is>
      </c>
      <c r="B4417" t="inlineStr">
        <is>
          <t>Bolusing for protein</t>
        </is>
      </c>
      <c r="C4417" t="inlineStr">
        <is>
          <t>I'm not worried about bolusing for protein yet because I'm on my honeymoon at this moment but when it does end I want to know how I should count protein so I can hit the ground running. This is pretty important because I have a smoothie with a scoop of whey protein in it (20g carbs 10 of them being fiber, 24g fat, and 30g protein, I'm adding fats and fiber to it, could slow a spike?) every few days and I like Quest bars (going to get Kirkland soon because of the price) every so often. I know that both of these can spike blood sugar really high because whey protein is absorbed so fast. I know that adding fats either in or on the side of them will help a little, but I'll still need to take some insulin. Is it normal to need to bolus for protein, or is that uncommon? If so, how many carbs do you count a gram of protein as? (as in if you're eating 30g protein and you bolus for 10 carbs or whatever you do)
I know Dr. Bernstein recommends bolusing for protein, but I would like to know how necessary it really is.</t>
        </is>
      </c>
      <c r="D4417" t="n">
        <v>5</v>
      </c>
      <c r="E4417" t="n">
        <v>3</v>
      </c>
      <c r="F4417">
        <f>HYPERLINK("https://www.reddit.com/r/diabetes/comments/853wzo/bolusing_for_protein/")</f>
        <v/>
      </c>
      <c r="G4417" t="inlineStr">
        <is>
          <t>2018-03-17 07:05:53</t>
        </is>
      </c>
      <c r="H4417" t="inlineStr">
        <is>
          <t>Type 1</t>
        </is>
      </c>
    </row>
    <row r="4418">
      <c r="A4418" t="inlineStr">
        <is>
          <t>8543gb</t>
        </is>
      </c>
      <c r="B4418" t="inlineStr">
        <is>
          <t>Is there a free Android app to see my Dexcom, Animas Vibe, and notes in one view?</t>
        </is>
      </c>
      <c r="C4418" t="inlineStr">
        <is>
          <t>I have an Animas Vibe and recently got a new Dexcom G5. I'd like to view the data from both together, as well as be able to record notes about my meals and physical activity so I can get a fuller picture of how different things affect my blood sugar and hopefully more easily detect patterns. Is there a free app like this for Android?
I tried [Tidepool](https://tidepool.org/) but their Android app is unmaintained and buggy (apparently they're working on a new version but who knows when it'll be ready) and they don't yet support the newer G5 touchscreen receiver that I have.
I tried [mySugr](https://mysugr.com/) but they don't allow importing Dexcom except through Apple Health - so no Dexcom data on Android.
[Glooko](https://www.glooko.com/) seems to be a paid service.
[Diabetes:M](https://www.diabetes-m.com/) doesn't look like it supports the G5 yet, just Dexcom Studio, which only mentions the G4. Am I wrong about that?
[OneDrop](https://onedrop.today/mobile/) looks like Dexcom data is [only available for iOS](https://help.onedrop.today/support/solutions/articles/19000055029-setting-up-your-cgm-ios-only-).
Also, the Dexcom G5 mobile app isn't compatible with my Android device, a Moto E.
Is there no way to track my data like I want without switching to an iPhone? Should I try to root my phone and try to install the Dexcom mobile app anyway? Should I switch to a G4? (I only got the G5 a couple months ago, so I'd really rather not.)</t>
        </is>
      </c>
      <c r="D4418" t="n">
        <v>1</v>
      </c>
      <c r="E4418" t="n">
        <v>1</v>
      </c>
      <c r="F4418">
        <f>HYPERLINK("https://www.reddit.com/r/diabetes/comments/8543gb/is_there_a_free_android_app_to_see_my_dexcom/")</f>
        <v/>
      </c>
      <c r="G4418" t="inlineStr">
        <is>
          <t>2018-03-17 07:36:41</t>
        </is>
      </c>
      <c r="H4418" t="inlineStr">
        <is>
          <t>Type 1</t>
        </is>
      </c>
    </row>
    <row r="4419">
      <c r="A4419" t="inlineStr">
        <is>
          <t>854882</t>
        </is>
      </c>
      <c r="B4419" t="inlineStr">
        <is>
          <t>Blood sugar problems with Fathead Pizza?</t>
        </is>
      </c>
      <c r="C4419" t="inlineStr">
        <is>
          <t>Hey guys - I've been trying to eat low carb at the recommendation of my endo. One of my biggest guilty pleasures has to be pizza (and I'm sure you know how difficult it is to keep your blood sugar at normal levels overnight after eating pizza. 😥)
I thought I hit the jackpot when I found the recipe for Fathead Pizza (https://www.reddit.com/r/ketorecipes/comments/67p15u/the_official_fathead_pizza_megathread/). Unfortunately, my blood sugar was TERRIBLE after eating this. 
The first night I made a pizza using the recipe linked above and bolused for about 25g carbs. I woke up at over 300 and it took multiple boluses totaling the equivalent of 90g carbs to get back within my target range (I hate those stubborn blood sugars that just won't budge when you take the recommended dose). I couldn't believe it.
So last night I tried again, this time double checking the carbs on the sauce (the toppings were all unsauced meat + cheese). I also only ate 2 of the 6 slices of the ~10 inch pizza. This time I bolused for 15 g (Which should have certainly been in excess) and I once again had to take an additional 25g carb equivalent of insulin to get back within my target range. Like WTH??
This works out for both nights to about 20g per 1/6 of pizza whereas the recipe says this should be the total carbs for the whole recipe. 
Anyone else experience this??</t>
        </is>
      </c>
      <c r="D4419" t="n">
        <v>3</v>
      </c>
      <c r="E4419" t="n">
        <v>10</v>
      </c>
      <c r="F4419">
        <f>HYPERLINK("https://www.reddit.com/r/diabetes/comments/854882/blood_sugar_problems_with_fathead_pizza/")</f>
        <v/>
      </c>
      <c r="G4419" t="inlineStr">
        <is>
          <t>2018-03-17 07:58:20</t>
        </is>
      </c>
      <c r="H4419" t="inlineStr">
        <is>
          <t>Type 1</t>
        </is>
      </c>
    </row>
    <row r="4420">
      <c r="A4420" t="inlineStr">
        <is>
          <t>856idy</t>
        </is>
      </c>
      <c r="B4420" t="inlineStr">
        <is>
          <t>Constantly fatigued, lost 15 pounds in 2 months, hungry all the time... Help?</t>
        </is>
      </c>
      <c r="C4420" t="inlineStr">
        <is>
          <t>Hi everyone, 20 yr old Type 1 Diabetic from Ohio here. So for the past 3-4 months I have been sleeping an absolute shit ton. Most days, as I work &amp;amp; am a full time student, I sleep about 10-12 hours throughout the day, but on days that I have nothing going on I sleep for anywhere up to 16 hours. At first I thought that my body simply needed the rest, but I never feel any less fatigued than when I went to sleep. Ever. I am tired all the time. On top of this I have lost 15 pounds in 2 months, even though I've been eating at least 2,000 calories every day. I'm constantly hungry too, so a lot of days I'll binge at certain hours and the total can go up towards 3,000 a day. My blood sugar has been running a tad bit on the higher side as of recent, but I feel as though that's more of a symptom than the cause for me feeling all of this. If anyone else has experienced anything else like this, I would love to know. Its starting to affect my life pretty negatively. Thanks everyone</t>
        </is>
      </c>
      <c r="D4420" t="n">
        <v>3</v>
      </c>
      <c r="E4420" t="n">
        <v>6</v>
      </c>
      <c r="F4420">
        <f>HYPERLINK("https://www.reddit.com/r/diabetes/comments/856idy/constantly_fatigued_lost_15_pounds_in_2_months/")</f>
        <v/>
      </c>
      <c r="G4420" t="inlineStr">
        <is>
          <t>2018-03-17 13:38:02</t>
        </is>
      </c>
      <c r="H4420" t="inlineStr">
        <is>
          <t>Type 1</t>
        </is>
      </c>
    </row>
    <row r="4421">
      <c r="A4421" t="inlineStr">
        <is>
          <t>8574la</t>
        </is>
      </c>
      <c r="B4421" t="inlineStr">
        <is>
          <t>Transitioning from pump back to shots</t>
        </is>
      </c>
      <c r="C4421" t="inlineStr">
        <is>
          <t>Hello, everyone, 
I've been reading Dr. Bernstein's book, and he raises some good points about insulin pumps and their overall unpredictability. For example, I've noticed some injection sites on my abdomen are beginning to affect insulin effectiveness. I've also noticed insulin effectiveness dropping over the three days that I have my pump in. The first day, I see lower sugars, and by the last day, I'm seeing higher sugars. 
These concerns, mixed with swimsuit season coming up, have me thinking about switching to shots. Has anyone made the switch? Are shots more or less predictable? Any insight would be appreciated!</t>
        </is>
      </c>
      <c r="D4421" t="n">
        <v>3</v>
      </c>
      <c r="E4421" t="n">
        <v>6</v>
      </c>
      <c r="F4421">
        <f>HYPERLINK("https://www.reddit.com/r/diabetes/comments/8574la/transitioning_from_pump_back_to_shots/")</f>
        <v/>
      </c>
      <c r="G4421" t="inlineStr">
        <is>
          <t>2018-03-17 15:17:19</t>
        </is>
      </c>
      <c r="H4421" t="inlineStr">
        <is>
          <t>Type 1</t>
        </is>
      </c>
    </row>
    <row r="4422">
      <c r="A4422" t="inlineStr">
        <is>
          <t>857b2a</t>
        </is>
      </c>
      <c r="B4422" t="inlineStr">
        <is>
          <t>Are energy drinks safe?</t>
        </is>
      </c>
      <c r="C4422" t="inlineStr">
        <is>
          <t>Aside from the fact that a lot of them are packed with sugar &amp;amp; carbs and that caffeine raises some people’s blood sugar, are there any other things to watch out for in energy drinks as diabetics?</t>
        </is>
      </c>
      <c r="D4422" t="n">
        <v>2</v>
      </c>
      <c r="E4422" t="n">
        <v>4</v>
      </c>
      <c r="F4422">
        <f>HYPERLINK("https://www.reddit.com/r/diabetes/comments/857b2a/are_energy_drinks_safe/")</f>
        <v/>
      </c>
      <c r="G4422" t="inlineStr">
        <is>
          <t>2018-03-17 15:47:09</t>
        </is>
      </c>
      <c r="H4422" t="inlineStr">
        <is>
          <t>Type 1</t>
        </is>
      </c>
    </row>
    <row r="4423">
      <c r="A4423" t="inlineStr">
        <is>
          <t>857gpp</t>
        </is>
      </c>
      <c r="B4423" t="inlineStr">
        <is>
          <t>Xfit did it: switched from Toujeo (back) to Levemir.</t>
        </is>
      </c>
      <c r="C4423" t="inlineStr">
        <is>
          <t>Ok. So, my endo and I finally agreed on something: Toujeo (plus multiple corrections post workout) and I simply weren't meant for each other.
I take my am shot at breakfast (around 7.00am) and go workout around 9.00am or maybe earlier for a run, but the liver dumps post xfit or any other high intensity interval training (enter spinning or fartlek or cardio drills &amp;lt;3 or boxing) would skyrocket my bs to the 500s when I woke up at 90. But the rhing is, if I used rapid action, I'd fall into 46 and be left lile jelly on tje floor. If I did not correct, well, I'd feel like sh*t the entire day. 
I had switched to Toujeo due to severe hypos, no corrections and I was barely using insulin (6 units am - 4 pm). I was diagnosed 20 years ago and had always had good control, I'm lean (not bulky, but ahletic), have no orher diseases and have hectic schedule, but still. I was the perfect candidate for a pump, but I'm also a model and actress amd the pump sort of "interferes" with my job and day to day, not to mention when I go workout. So, the pump was a no-no. Enter Toujeo.
What. A. Crap. I had never had such unstable bs. So month ago, I had another doctor prescribe Levemir and made the switch. From 10 units of Toujeo, I went for 6-6 and by day 2 I was on the 90s (again) post wprkout. Yesterday I got my new order and by mid next week I should have delivered my brand new boxes of Levemir.
I couldn't be happier. I was adviced not to perform at high level due to liver dumps and that this problem would never be fixed. He insists that Toujeo is better, but I have givem him the control sheet of past month and the results speak for themselves. Yes, I like doing yoga and taking a power walk from time to time, but I am 27 and can deadlift my own bodyweight (that is 57 kilos, Sir), you go take a walk, I'm too busy getting stronger. Anyway, that might be the only thing we will ever agree on. 
:)</t>
        </is>
      </c>
      <c r="D4423" t="n">
        <v>5</v>
      </c>
      <c r="E4423" t="n">
        <v>0</v>
      </c>
      <c r="F4423">
        <f>HYPERLINK("https://www.reddit.com/r/diabetes/comments/857gpp/xfit_did_it_switched_from_toujeo_back_to_levemir/")</f>
        <v/>
      </c>
      <c r="G4423" t="inlineStr">
        <is>
          <t>2018-03-17 16:11:34</t>
        </is>
      </c>
      <c r="H4423" t="inlineStr">
        <is>
          <t>Type 1</t>
        </is>
      </c>
    </row>
    <row r="4424">
      <c r="A4424" t="inlineStr">
        <is>
          <t>858gt8</t>
        </is>
      </c>
      <c r="B4424" t="inlineStr">
        <is>
          <t>Just gave myself my first shot of insulin.</t>
        </is>
      </c>
      <c r="C4424" t="inlineStr">
        <is>
          <t>When I was reading up on it, I saw a quote on a website that basically read, "Whatever your imagining it's going to feel like in you're head is way worse than it will actually be."
I don't think I've ever read truer words.
I can't even be 100% sure that needle didn't just collapse inside like one of those fake knives. Felt nothing.</t>
        </is>
      </c>
      <c r="D4424" t="n">
        <v>81</v>
      </c>
      <c r="E4424" t="n">
        <v>47</v>
      </c>
      <c r="F4424">
        <f>HYPERLINK("https://www.reddit.com/r/diabetes/comments/858gt8/just_gave_myself_my_first_shot_of_insulin/")</f>
        <v/>
      </c>
      <c r="G4424" t="inlineStr">
        <is>
          <t>2018-03-17 19:07:09</t>
        </is>
      </c>
      <c r="H4424" t="inlineStr">
        <is>
          <t>Type 2</t>
        </is>
      </c>
    </row>
    <row r="4425">
      <c r="A4425" t="inlineStr">
        <is>
          <t>858tlb</t>
        </is>
      </c>
      <c r="B4425" t="inlineStr">
        <is>
          <t>Let's talk about Diabulimia</t>
        </is>
      </c>
      <c r="C4425" t="inlineStr">
        <is>
          <t xml:space="preserve">Anyone here suffer from diabulimia? No one likes talking about mental health struggles but it is nice to know that you are not alone. I have suffered from it and slowly tried getting back on the wagon. I have very poor self image and combine that with diabetes burn out, it is a dangerous combination. </t>
        </is>
      </c>
      <c r="D4425" t="n">
        <v>9</v>
      </c>
      <c r="E4425" t="n">
        <v>7</v>
      </c>
      <c r="F4425">
        <f>HYPERLINK("https://www.reddit.com/r/diabetes/comments/858tlb/lets_talk_about_diabulimia/")</f>
        <v/>
      </c>
      <c r="G4425" t="inlineStr">
        <is>
          <t>2018-03-17 20:13:16</t>
        </is>
      </c>
      <c r="H4425" t="inlineStr">
        <is>
          <t>Type 1</t>
        </is>
      </c>
    </row>
    <row r="4426">
      <c r="A4426" t="inlineStr">
        <is>
          <t>85byrs</t>
        </is>
      </c>
      <c r="B4426" t="inlineStr">
        <is>
          <t>Out of IV Prep, any alternatives?</t>
        </is>
      </c>
      <c r="C4426" t="inlineStr">
        <is>
          <t>Thought I had a bunch of extra IV Preps lying around, but it turns out I don't and need to change my site today. Any alternatives I can use? I've never inserted without one before</t>
        </is>
      </c>
      <c r="D4426" t="n">
        <v>1</v>
      </c>
      <c r="E4426" t="n">
        <v>9</v>
      </c>
      <c r="F4426">
        <f>HYPERLINK("https://www.reddit.com/r/diabetes/comments/85byrs/out_of_iv_prep_any_alternatives/")</f>
        <v/>
      </c>
      <c r="G4426" t="inlineStr">
        <is>
          <t>2018-03-18 08:41:25</t>
        </is>
      </c>
      <c r="H4426" t="inlineStr">
        <is>
          <t>Type 1</t>
        </is>
      </c>
    </row>
    <row r="4427">
      <c r="A4427" t="inlineStr">
        <is>
          <t>85d1xr</t>
        </is>
      </c>
      <c r="B4427" t="inlineStr">
        <is>
          <t>Lipohypertrophy and liposuction</t>
        </is>
      </c>
      <c r="C4427" t="inlineStr">
        <is>
          <t>I just started the pump and am looking forward to giving my gut a rest after jabbing it for 20 years. Taking stock and after looking at pics like [this](https://www.diabetes.co.uk/forum/attachments/img_9576-jpeg.11851/) (slightly NSFW) I'm thinking I probably have a mild case of [lipohypertrophy](https://en.wikipedia.org/wiki/Lipohypertrophy). I don't look *exactly* like that, but the resemblance is close enough to give me pause.
Does anybody here have experience with lipohypertrophy? Did symptoms subside after a more careful rotation of injection sites? Has anybody had liposuction as a treatment and, if so, how long did you wait before making that call?</t>
        </is>
      </c>
      <c r="D4427" t="n">
        <v>9</v>
      </c>
      <c r="E4427" t="n">
        <v>5</v>
      </c>
      <c r="F4427">
        <f>HYPERLINK("https://www.reddit.com/r/diabetes/comments/85d1xr/lipohypertrophy_and_liposuction/")</f>
        <v/>
      </c>
      <c r="G4427" t="inlineStr">
        <is>
          <t>2018-03-18 11:25:10</t>
        </is>
      </c>
      <c r="H4427" t="inlineStr">
        <is>
          <t>Type 1</t>
        </is>
      </c>
    </row>
    <row r="4428">
      <c r="A4428" t="inlineStr">
        <is>
          <t>85dxz4</t>
        </is>
      </c>
      <c r="B4428" t="inlineStr">
        <is>
          <t>About to switch to Fiasp from Apidra. Any tips:</t>
        </is>
      </c>
      <c r="C4428" t="inlineStr">
        <is>
          <t>I will be getting my first two pen packages tomorrow.
For those of you who tried, how has the transition been. Any bad experiences, things to watch out for or tips in general?</t>
        </is>
      </c>
      <c r="D4428" t="n">
        <v>1</v>
      </c>
      <c r="E4428" t="n">
        <v>6</v>
      </c>
      <c r="F4428">
        <f>HYPERLINK("https://www.reddit.com/r/diabetes/comments/85dxz4/about_to_switch_to_fiasp_from_apidra_any_tips/")</f>
        <v/>
      </c>
      <c r="G4428" t="inlineStr">
        <is>
          <t>2018-03-18 13:30:48</t>
        </is>
      </c>
      <c r="H4428" t="inlineStr">
        <is>
          <t>Type 1</t>
        </is>
      </c>
    </row>
    <row r="4429">
      <c r="A4429" t="inlineStr">
        <is>
          <t>85fa2e</t>
        </is>
      </c>
      <c r="B4429" t="inlineStr">
        <is>
          <t>What do I do with the equipment (test strips) I can't use anymore?</t>
        </is>
      </c>
      <c r="C4429" t="inlineStr">
        <is>
          <t>My insurance no longer covers FreeStyle lite test strips but doesn't want me to send the unused and unopened ones back. I've a few boxes that I haven't even opened yet. 
Can I sell them or donate them? They're pretty expensive and I'd hate to just throw them out.</t>
        </is>
      </c>
      <c r="D4429" t="n">
        <v>2</v>
      </c>
      <c r="E4429" t="n">
        <v>11</v>
      </c>
      <c r="F4429">
        <f>HYPERLINK("https://www.reddit.com/r/diabetes/comments/85fa2e/what_do_i_do_with_the_equipment_test_strips_i/")</f>
        <v/>
      </c>
      <c r="G4429" t="inlineStr">
        <is>
          <t>2018-03-18 16:51:14</t>
        </is>
      </c>
      <c r="H4429" t="inlineStr">
        <is>
          <t>Type 2</t>
        </is>
      </c>
    </row>
    <row r="4430">
      <c r="A4430" t="inlineStr">
        <is>
          <t>85g3fl</t>
        </is>
      </c>
      <c r="B4430" t="inlineStr">
        <is>
          <t>Lots of hair loss</t>
        </is>
      </c>
      <c r="C4430" t="inlineStr">
        <is>
          <t xml:space="preserve">Hi, 19yo type 1 diabetic here. 
I was diagnosed last November and have been quite proactive about managing my diabetes with a new diet, consistent measuring, and exercise, but even with all that, I started losing a significant amount of hair starting about a month ago, and it still has been going. 
My hair loss is generally the longer hairs on my head and they come out quite easily. Hair loss isn’t located in any specific area, rather all over. My eyebrow hairs are also falling out. Thankfully I have thick hair so it isn’t noticeable to anyone but myself yet. 
I’ve read about telogen effluvium and alopecia, and I think it could definitely be one of those. Anyone else deal with hair loss several months after diagnosis?
Baldness doesn’t really run in my family, so this is quite concerning. </t>
        </is>
      </c>
      <c r="D4430" t="n">
        <v>1</v>
      </c>
      <c r="E4430" t="n">
        <v>13</v>
      </c>
      <c r="F4430">
        <f>HYPERLINK("https://www.reddit.com/r/diabetes/comments/85g3fl/lots_of_hair_loss/")</f>
        <v/>
      </c>
      <c r="G4430" t="inlineStr">
        <is>
          <t>2018-03-18 19:04:51</t>
        </is>
      </c>
      <c r="H4430" t="inlineStr">
        <is>
          <t>Type 1</t>
        </is>
      </c>
    </row>
    <row r="4431">
      <c r="A4431" t="inlineStr">
        <is>
          <t>85hr7t</t>
        </is>
      </c>
      <c r="B4431" t="inlineStr">
        <is>
          <t>Is it always this hard?</t>
        </is>
      </c>
      <c r="C4431" t="inlineStr">
        <is>
          <t>Hi guys, its me again
I am in the middle of my honeymoon, and my pancreas slowly dying. Yesterday I divided by 30 and I went up 1,9 mmol and today I divided by 45 and went to far up. Is it always this hard? I feel like I am either going to die from going hyper or going hypo because my fucking pancreas sometimes spit out insulin or does not!! And in the middle of this «fuckfest» I have the last semester of school :( its so shit</t>
        </is>
      </c>
      <c r="D4431" t="n">
        <v>5</v>
      </c>
      <c r="E4431" t="n">
        <v>17</v>
      </c>
      <c r="F4431">
        <f>HYPERLINK("https://www.reddit.com/r/diabetes/comments/85hr7t/is_it_always_this_hard/")</f>
        <v/>
      </c>
      <c r="G4431" t="inlineStr">
        <is>
          <t>2018-03-19 00:42:56</t>
        </is>
      </c>
      <c r="H4431" t="inlineStr">
        <is>
          <t>Type 1</t>
        </is>
      </c>
    </row>
    <row r="4432">
      <c r="A4432" t="inlineStr">
        <is>
          <t>85j6rq</t>
        </is>
      </c>
      <c r="B4432" t="inlineStr">
        <is>
          <t>[Type 2] What's been working for me</t>
        </is>
      </c>
      <c r="C4432" t="inlineStr">
        <is>
          <t>For about 2 months now I have been doing the following:
2000 mg of metformin ER
10 mg of Jardiance
1000 mg of Quercetin
Ketogenic diet.
My fasting blood sugar is usually between 90-110.  It rarely ever goes up above 120 throughout the day.
If I choose to do intermittent fasting and skip breakfast, my pre-lunch blood sugar (11:00 AM) is around 70-80.
Prior to this, I was on Metformin alone, and I would have a fasting blood sugar around 150 and it would slowly drop throughout the day, but would never really get below 120.
My fasting blood sugar is totally dependent on what I eat and how late I eat.  If I decided to eat something at 10:00 PM at night that carbs in it (even a small amount like 10g), my fasting blood sugar could be as high as 140.  As long as I stop eating around 9:00 PM, and my evening snacks are low in carbs (cheese sticks, pickles, etc), I can be pretty sure my fasting blood sugar will be well below 120.
Seeing double digits on the glucometer is very rewarding.</t>
        </is>
      </c>
      <c r="D4432" t="n">
        <v>1</v>
      </c>
      <c r="E4432" t="n">
        <v>12</v>
      </c>
      <c r="F4432">
        <f>HYPERLINK("https://www.reddit.com/r/diabetes/comments/85j6rq/type_2_whats_been_working_for_me/")</f>
        <v/>
      </c>
      <c r="G4432" t="inlineStr">
        <is>
          <t>2018-03-19 05:46:13</t>
        </is>
      </c>
      <c r="H4432" t="inlineStr">
        <is>
          <t>Type 2</t>
        </is>
      </c>
    </row>
    <row r="4433">
      <c r="A4433" t="inlineStr">
        <is>
          <t>85khbv</t>
        </is>
      </c>
      <c r="B4433" t="inlineStr">
        <is>
          <t>Questions about Glimp and FreeStyle Libre</t>
        </is>
      </c>
      <c r="C4433" t="inlineStr">
        <is>
          <t>I have been recently diagnosed with T1 diabetes. I got the FreeStyle Libre, and love it. Already caught oncoming hypos with it. I'd never have succeeded in that without it.
But of course it is not perfect. The measurements can be quite off sometimes. (With the current sensor, the values it records usually are lower than the blood glucose ones.) That's why I am interested in Glimp, since it allows for calibrating based on blood glucose measurements.
So, here are the questions:
1. What does Abbott say about Glimp? Does the warranty / their support expire if you use Glimp instead of LibreLink?
2. Do I have to activate the sensor with Glimp, or can I do it with the regular reader? Are there any problems if I do that?
3. I've read that a few users had problems with sensors being killed. However, it sounds to me that an NFC problem is the more likely culprit. Anybody knows more?
4. If I use Glimp, can I still use the reader? Can I still use LibreLink? I'd like to continue using my Libreview account, partially also for my doctors.</t>
        </is>
      </c>
      <c r="D4433" t="n">
        <v>2</v>
      </c>
      <c r="E4433" t="n">
        <v>13</v>
      </c>
      <c r="F4433">
        <f>HYPERLINK("https://www.reddit.com/r/diabetes/comments/85khbv/questions_about_glimp_and_freestyle_libre/")</f>
        <v/>
      </c>
      <c r="G4433" t="inlineStr">
        <is>
          <t>2018-03-19 08:50:46</t>
        </is>
      </c>
      <c r="H4433" t="inlineStr">
        <is>
          <t>Type 1</t>
        </is>
      </c>
    </row>
    <row r="4434">
      <c r="A4434" t="inlineStr">
        <is>
          <t>85m4lh</t>
        </is>
      </c>
      <c r="B4434" t="inlineStr">
        <is>
          <t>MySugr/Accu Chek Combo connection issues!</t>
        </is>
      </c>
      <c r="C4434" t="inlineStr">
        <is>
          <t>I'm taking part in a research study which needs me to use MySugr. I use Accu Chek Aviva Combo/Spirit Combo pump and meter and they just aren't connecting. They aren't even coming up on my phone's Bluetooth. Has anyone else had this, or know of any fixes?</t>
        </is>
      </c>
      <c r="D4434" t="n">
        <v>1</v>
      </c>
      <c r="E4434" t="n">
        <v>3</v>
      </c>
      <c r="F4434">
        <f>HYPERLINK("https://www.reddit.com/r/diabetes/comments/85m4lh/mysugraccu_chek_combo_connection_issues/")</f>
        <v/>
      </c>
      <c r="G4434" t="inlineStr">
        <is>
          <t>2018-03-19 12:11:42</t>
        </is>
      </c>
      <c r="H4434" t="inlineStr">
        <is>
          <t>Type 1</t>
        </is>
      </c>
    </row>
    <row r="4435">
      <c r="A4435" t="inlineStr">
        <is>
          <t>85mr4e</t>
        </is>
      </c>
      <c r="B4435" t="inlineStr">
        <is>
          <t>CGM Advice</t>
        </is>
      </c>
      <c r="C4435" t="inlineStr">
        <is>
          <t>Hi guys, this is my first time posting. I am a type 1.5/LADA diabetic, previously diagnosed as a type 2 @ 18 years old. I am FINALLY getting my CGM dexcom g5 in about 3-5 days. I did have the original dexcom 2 yrs ago when I was pregnant but after I had my daughter my insurance stopped covering it.  I am needing advice on a few things. When I had the dexcom previously, every time I wore it, the insertion site got a rash from the adhesive. Does anyone have any remedy to this? Also the adhesive would peel at the corners and eventually have to be replaced. Is there anything to keep it on? When I had the dexcom it had just came out (at least in my area) and I don’t remember having any remedy to these issues.  Also is the g5 very much different (as far as operating it) than earlier models? Thanks in advance!</t>
        </is>
      </c>
      <c r="D4435" t="n">
        <v>3</v>
      </c>
      <c r="E4435" t="n">
        <v>10</v>
      </c>
      <c r="F4435">
        <f>HYPERLINK("https://www.reddit.com/r/diabetes/comments/85mr4e/cgm_advice/")</f>
        <v/>
      </c>
      <c r="G4435" t="inlineStr">
        <is>
          <t>2018-03-19 13:28:02</t>
        </is>
      </c>
      <c r="H4435" t="inlineStr">
        <is>
          <t>Type 1.5/LADA</t>
        </is>
      </c>
    </row>
    <row r="4436">
      <c r="A4436" t="inlineStr">
        <is>
          <t>85of5p</t>
        </is>
      </c>
      <c r="B4436" t="inlineStr">
        <is>
          <t>[Rant] I HATE PREDNISONE</t>
        </is>
      </c>
      <c r="C4436" t="inlineStr">
        <is>
          <t>So I was getting allergy shots, and my doctor's office has a 'rush' protocol where they'll build you up in 4 visits rather than 40 if you take prednisone to suppress your immune response.
I deeply regret this... the past two months of my life have been terrible. I only took the prednisone for six days total, but its been two months and I still feel really weird...
I'm not a full T2D, but for some reason I start having really weird / hard to interpret fatigue issues (read: all doctors tell me I'm just making it up) when my fasting blood sugar gets above 90. I feel terrible if I take hot showers (which is the *worst* in the winter), I wake up feeling incredibly dry (to the point where I'm now drinking 2 liters of water after dinner each night), and my life overall just is shit.
I looked through previous prednisone /r/diabetes posts where I saw some people took a few months to get back to normal.
So frustrating...</t>
        </is>
      </c>
      <c r="D4436" t="n">
        <v>6</v>
      </c>
      <c r="E4436" t="n">
        <v>5</v>
      </c>
      <c r="F4436">
        <f>HYPERLINK("https://www.reddit.com/r/diabetes/comments/85of5p/rant_i_hate_prednisone/")</f>
        <v/>
      </c>
      <c r="G4436" t="inlineStr">
        <is>
          <t>2018-03-19 17:10:24</t>
        </is>
      </c>
      <c r="H4436" t="inlineStr">
        <is>
          <t>Type 2</t>
        </is>
      </c>
    </row>
    <row r="4437">
      <c r="A4437" t="inlineStr">
        <is>
          <t>85p3o3</t>
        </is>
      </c>
      <c r="B4437" t="inlineStr">
        <is>
          <t>My doctor told me some conflicting information today...</t>
        </is>
      </c>
      <c r="C4437" t="inlineStr">
        <is>
          <t>For years I've read that a ketogenic diet is the absolute best diet for Type 1 diabetics because there's not such a high fluctuation of insulin dosing and guesswork. 
Today I went in for a normal exam to my reproductive endocrinologist (who I see because I have PCOS) and explained to him how I was going to start a low carb diet to help my blood sugar control/acne/pcos. He then explained to me how I need to be very careful for these reasons:
* It's possible to go into DKA even when at a normal blood sugar level if you eat too little carbs
* I could possibly die from DKA without realizing I was in DKA because my blood sugar won't always be high when in DKA
* The keto diet works well for everyone else but for diabetics it must be done under the care of a doctor so you're not eating too little carbs because of the dangers of ketones in type 1 diabetics. That ketones are fine in healthy people but are always dangerous in diabetics.
I'm just not sure what to do because I've never heard this before. I didn't know you could go into DKA while at a normal blood sugar level or that it could happen just from eating low carb.
I want to get a second opinion from my endocrinologist but my appointment isn't until next month so I wanted to hear from you guys. Thank you so much. 
If it helps i'm a 27 year old female and was diagnosed 7 1/2 years ago.</t>
        </is>
      </c>
      <c r="D4437" t="n">
        <v>2</v>
      </c>
      <c r="E4437" t="n">
        <v>21</v>
      </c>
      <c r="F4437">
        <f>HYPERLINK("https://www.reddit.com/r/diabetes/comments/85p3o3/my_doctor_told_me_some_conflicting_information/")</f>
        <v/>
      </c>
      <c r="G4437" t="inlineStr">
        <is>
          <t>2018-03-19 18:49:43</t>
        </is>
      </c>
      <c r="H4437" t="inlineStr">
        <is>
          <t>Type 1</t>
        </is>
      </c>
    </row>
    <row r="4438">
      <c r="A4438" t="inlineStr">
        <is>
          <t>85p9us</t>
        </is>
      </c>
      <c r="B4438" t="inlineStr">
        <is>
          <t>Diabetes but no treatment</t>
        </is>
      </c>
      <c r="C4438" t="inlineStr">
        <is>
          <t>Good evening,
I got my diabetes diagnosis four months ago. They called me from the doctor's office, I had to make a "diabetes information session" appointment, which was basically a student nurse asking me questions about my diet and lifestyle, followed by seeing the doctor and she told me to eat regularly and exercise. I had a follow up appointment after three months and the same thing. No medication, treatment, not even a diet plan.
It was the same with my previous doctor, for the last couple of years, she would call me in say I was pre diabetic and that's it. Tells me diet and exercise.
My eating is out of control and I have gained over 40 lbs in the last couple of years. And I have degenerative disc disease so exercise is very painful for me.
Shouldn't I be getting more than "eat better and exercise" as diabetes treatment? I remember, back when my dad was diagnosed, he got testing kits, meds, diet support. Is this the new approach?</t>
        </is>
      </c>
      <c r="D4438" t="n">
        <v>1</v>
      </c>
      <c r="E4438" t="n">
        <v>18</v>
      </c>
      <c r="F4438">
        <f>HYPERLINK("https://www.reddit.com/r/diabetes/comments/85p9us/diabetes_but_no_treatment/")</f>
        <v/>
      </c>
      <c r="G4438" t="inlineStr">
        <is>
          <t>2018-03-19 19:16:44</t>
        </is>
      </c>
      <c r="H4438" t="inlineStr">
        <is>
          <t>Type 2</t>
        </is>
      </c>
    </row>
    <row r="4439">
      <c r="A4439" t="inlineStr">
        <is>
          <t>85qzin</t>
        </is>
      </c>
      <c r="B4439" t="inlineStr">
        <is>
          <t>Milk and milk products</t>
        </is>
      </c>
      <c r="C4439" t="inlineStr">
        <is>
          <t>My physician has asked me to completely avoid milk and milk products like yoghurt, cheese and icecream citing some new research.  As this was my first appointment I was unable to question him about it. Does anyone else got such restrictions from their doctor? Thanks</t>
        </is>
      </c>
      <c r="D4439" t="n">
        <v>4</v>
      </c>
      <c r="E4439" t="n">
        <v>19</v>
      </c>
      <c r="F4439">
        <f>HYPERLINK("https://www.reddit.com/r/diabetes/comments/85qzin/milk_and_milk_products/")</f>
        <v/>
      </c>
      <c r="G4439" t="inlineStr">
        <is>
          <t>2018-03-20 00:55:17</t>
        </is>
      </c>
      <c r="H4439" t="inlineStr">
        <is>
          <t>Type 2</t>
        </is>
      </c>
    </row>
    <row r="4440">
      <c r="A4440" t="inlineStr">
        <is>
          <t>85roii</t>
        </is>
      </c>
      <c r="B4440" t="inlineStr">
        <is>
          <t>Learning how to manage it all, and I would like your opinion about the current results</t>
        </is>
      </c>
      <c r="C4440" t="inlineStr">
        <is>
          <t>I'm 34. Beginning of march, I strongly suspected something was off after reading up the symptoms. Dry mouth and tongue, strange fatigue, inability to sleep, not thirst per se but suddenly water tasted so good, peeing a lot, blurry vision ... These had been appearing relatively quickly during late January and February. Initially I attributed them to intense stress, but at the end, I just had this nagging feeling, so went to the pharmacy, had the blood glucose measured, well, 363 mg/dL. Got picked up by an ambulance, diagnosis DKA. Spent about two weeks in the hospital where they first flushed all of the ketone bodies out and then gradually reduced the glucose level. It was clear to everybody there that I have T1.
I've been out since Friday, and am learning how to live with it all. I am a software developer, and generally have a strong affinity for science and tech, so the things I have to manage (bolus, measurements) I try to view for myself as another personal project. This helps quite a bit.
Naturally, I am quite intrigued with the FreeStyle Libre. I'm already looking into existing custom software to get measurements out of the reader in Linux (the protocol has been partially reverse engineered), I measure a lot, I also measure blood glucose to be extra careful.
I had only one case where blood glucose was at 211 mg/dL. That spike didn't last long. Usually, so far, I max out at at most 150-160 mg/dL. I do however currently have problems with hypos. Very mild ones (lowest blood glucose was 68 mg/dL), but still, it is a little discouraging to see the FGM curve suddenly drop. I guess I still have to improve my bolus calculations. But overall, what do you think?
I realize that I am most likely still in the honeymoon phase. I've read that if T1 starts as an adult, this phase can go on longer than if it starts in teenage years. Is this true?
I'm apparently also very sensitive to insulin at the moment, also likely because of the honeymoon phase. I use 14 units of Lantus at 9PM, and calculate 1 Humalog unit -&amp;gt; 50 mg/dL.</t>
        </is>
      </c>
      <c r="D4440" t="n">
        <v>14</v>
      </c>
      <c r="E4440" t="n">
        <v>20</v>
      </c>
      <c r="F4440">
        <f>HYPERLINK("https://www.reddit.com/r/diabetes/comments/85roii/learning_how_to_manage_it_all_and_i_would_like/")</f>
        <v/>
      </c>
      <c r="G4440" t="inlineStr">
        <is>
          <t>2018-03-20 03:32:24</t>
        </is>
      </c>
      <c r="H4440" t="inlineStr">
        <is>
          <t>Type 1</t>
        </is>
      </c>
    </row>
    <row r="4441">
      <c r="A4441" t="inlineStr">
        <is>
          <t>85s7v7</t>
        </is>
      </c>
      <c r="B4441" t="inlineStr">
        <is>
          <t>Trainee clinical psychologist recruiting adults (18+) with type 1 diabetes living in the UK for an online research study</t>
        </is>
      </c>
      <c r="C4441" t="inlineStr">
        <is>
          <t xml:space="preserve">Hi all,
As part of my doctorate degree in Clinical Psychology, I am carrying out a research project through the University of East Anglia (UEA) looking at some of the reasons that people with type 1 diabetes might find it difficult to take their insulin as prescribed. The research will involve completing online, anonymous questionnaires that should take no more than 45 minutes and can be completed from home (it's likely to be about 20 minutes, going by feedback from participants, but you can also stop and come back to the survey at a later point if you like). Those who participate will be in with a chance to win a £25 amazon.co.uk gift voucher.
If you are aged 18 or older, living in the UK, and you have been diagnosed with type 1 diabetes and prescribed an insulin regime for at least 1 year, we would love to hear from you!
We are interested in gathering information about the reasons that people with type 1 diabetes may skip doses or take more or less insulin than prescribed or recommended. We know from previous research that this can be quite complicated, and that there may be many reasons for not taking your insulin as you know that you should at times. If you always take your insulin exactly as prescribed, we'd love to hear from you too!
For this study, we are particularly interested in eating attitudes and behaviours, how you feel about your body, any distress experienced as a result of having diabetes and other reasons that you might suggest for missing or taking an altered dose of insulin. The aim of the study is to get a better understanding of whether any of these things might make managing insulin more difficult. Understanding these factors in greater depth may help inform treatment options in the future.
If you are interested in taking part, please follow this link for more information.
https://uea.onlinesurveys.ac.uk/insulin-and-eating
Or you can email me directly at v.matthews@uea.ac.uk if you have any questions or comments. I'll also check back here regularly. I am of course happy to share the outcome of the research here once the data has been collected and analysed. There's also an opportunity to provide your email address so that you will be directly emailed a brief account of the findings.
Thank you for reading this far, and for your interest!
(Note: I posted this about a month ago, but the study is still open and actively recruiting! Seeing as you can't really bump things on reddit - or at least, I don't know how to! - I hope it's okay to start a new thread :)). </t>
        </is>
      </c>
      <c r="D4441" t="n">
        <v>1</v>
      </c>
      <c r="E4441" t="n">
        <v>0</v>
      </c>
      <c r="F4441">
        <f>HYPERLINK("https://www.reddit.com/r/diabetes/comments/85s7v7/trainee_clinical_psychologist_recruiting_adults/")</f>
        <v/>
      </c>
      <c r="G4441" t="inlineStr">
        <is>
          <t>2018-03-20 05:14:59</t>
        </is>
      </c>
      <c r="H4441" t="inlineStr">
        <is>
          <t>Type 1</t>
        </is>
      </c>
    </row>
    <row r="4442">
      <c r="A4442" t="inlineStr">
        <is>
          <t>85scyd</t>
        </is>
      </c>
      <c r="B4442" t="inlineStr">
        <is>
          <t>So chia seeds....</t>
        </is>
      </c>
      <c r="C4442" t="inlineStr">
        <is>
          <t xml:space="preserve">They have 5 carbs per tbs. but they also have 10g of finer. So I’m guessing they’re free? Like no insulin required? (Obviously unless you add some kind of carbs to it like juice.) 
Right????? 
Just started eating them so I wanna make sure I’m doing this right. 
Edit: I’m using 2 Tbs of chia seeds with unsweetened almond milk. Adding some matcha powder. So I think it’s a free food? </t>
        </is>
      </c>
      <c r="D4442" t="n">
        <v>6</v>
      </c>
      <c r="E4442" t="n">
        <v>12</v>
      </c>
      <c r="F4442">
        <f>HYPERLINK("https://www.reddit.com/r/diabetes/comments/85scyd/so_chia_seeds/")</f>
        <v/>
      </c>
      <c r="G4442" t="inlineStr">
        <is>
          <t>2018-03-20 05:37:50</t>
        </is>
      </c>
      <c r="H4442" t="inlineStr">
        <is>
          <t>Type 1</t>
        </is>
      </c>
    </row>
    <row r="4443">
      <c r="A4443" t="inlineStr">
        <is>
          <t>85tav1</t>
        </is>
      </c>
      <c r="B4443" t="inlineStr">
        <is>
          <t>Coping with fear of needles/needle shields (NovoFine Autocover)?</t>
        </is>
      </c>
      <c r="C4443" t="inlineStr">
        <is>
          <t>Hi everyone!
I am 22 and just got diagnosed with T1 about a week ago and just met with the pharmacist &amp;amp; got prescribed Novolog &amp;amp; Tresiba insulin pens. The pharmacist gave me the smallest needles that are out there because I told her that I’m not good with needles.
Initially, I thought that injecting myself would be easier than getting a shot at the doc or getting blood drawn- but when I have full control it is so hard to bring myself to do it. The two times that I’ve done it, my bf has had to hold his hand over mine and help me guide it in :(
I’m at work and will have to give myself insulin at lunch and I’m dreading it... does anyone have any good coping methods or tips on making this easier? I understand how important insulin is for me so any tips would be greatly appreciated!
Also, I was reading about needle shields that hide the needle while injecting. I think that this would be a lot easier for me because I do just fine with the finger pricks (since I can’t see the needle). Does anyone use these and if so, what are your thoughts?
I’m so glad that I came on to this page, it’s comforting knowing that I am not alone! :)
Update: thank you all for your encouraging, supportive and understanding responses! I was able to do it at lunchtime by myself and feel a bit better about the whole thing already.</t>
        </is>
      </c>
      <c r="D4443" t="n">
        <v>14</v>
      </c>
      <c r="E4443" t="n">
        <v>25</v>
      </c>
      <c r="F4443">
        <f>HYPERLINK("https://www.reddit.com/r/diabetes/comments/85tav1/coping_with_fear_of_needlesneedle_shields/")</f>
        <v/>
      </c>
      <c r="G4443" t="inlineStr">
        <is>
          <t>2018-03-20 07:52:39</t>
        </is>
      </c>
      <c r="H4443" t="inlineStr">
        <is>
          <t>Type 1.5/LADA</t>
        </is>
      </c>
    </row>
    <row r="4444">
      <c r="A4444" t="inlineStr">
        <is>
          <t>85u063</t>
        </is>
      </c>
      <c r="B4444" t="inlineStr">
        <is>
          <t>Tresiba comments and time of day to dose. Wife just started.</t>
        </is>
      </c>
      <c r="C4444" t="inlineStr">
        <is>
          <t>Hi Again.  I posted this a couple of weeks back, her sugar is still in the 400-500 range: https://www.reddit.com/r/diabetes/comments/80rw97/need_help_with_wife_and_her_unconventional/
Well after badgering her to death she finally went and saw the most expensive Endo and supposedly one of the best in the West.  He met for 3hours so we at least got most of the money worth, and she trusts him, which is a godsend at this point so I finally have an ally and she is waking up to how serious this is.
Anyway, he is trying Tresiba to start , 4 units, which after 4 days we upped to 6 since not much changed.  Her foot pain at night has finally started to get better, it is a little cold still but the pain is almost all gone, whew.
What I was wondering is time of day to dose.  From reading here it seems the peak is about 8 to 9 hours?  He has her taking the shot at 5pm, but we are seeing him today and I was going to ask about taking earlier so the peak would get closer to bed time.  For people on Tresiba, what times do you take it.  Does it matter at all?
Thanks!</t>
        </is>
      </c>
      <c r="D4444" t="n">
        <v>2</v>
      </c>
      <c r="E4444" t="n">
        <v>10</v>
      </c>
      <c r="F4444">
        <f>HYPERLINK("https://www.reddit.com/r/diabetes/comments/85u063/tresiba_comments_and_time_of_day_to_dose_wife/")</f>
        <v/>
      </c>
      <c r="G4444" t="inlineStr">
        <is>
          <t>2018-03-20 09:21:34</t>
        </is>
      </c>
      <c r="H4444" t="inlineStr">
        <is>
          <t>Type 2</t>
        </is>
      </c>
    </row>
    <row r="4445">
      <c r="A4445" t="inlineStr">
        <is>
          <t>85uqul</t>
        </is>
      </c>
      <c r="B4445" t="inlineStr">
        <is>
          <t>20 years old, new type 1</t>
        </is>
      </c>
      <c r="C4445" t="inlineStr">
        <is>
          <t>Hello everyone! Just got out of the hospital after going in with DKA with a glucose level of 702. Quite the surprise to me even though apparently I was suffering for months. I love sweet and binge eating/fast food despite being a healthy weight (6'0 150lb) so this is going to be a pretty big change. 
I'm a college student who normally lifts once a day and would drink once a weekend. Anyone have specific types for this change?
I didn't see anything about general advice posts or a FAQ, so I was hoping people could just throw me some tips here instead of me having to scour the search function. Hopefully that isn't too selfish. 
Edit: I basically meant this to be a "Things you wish you knew" when you started post kind of thing"</t>
        </is>
      </c>
      <c r="D4445" t="n">
        <v>8</v>
      </c>
      <c r="E4445" t="n">
        <v>18</v>
      </c>
      <c r="F4445">
        <f>HYPERLINK("https://www.reddit.com/r/diabetes/comments/85uqul/20_years_old_new_type_1/")</f>
        <v/>
      </c>
      <c r="G4445" t="inlineStr">
        <is>
          <t>2018-03-20 10:48:55</t>
        </is>
      </c>
      <c r="H4445" t="inlineStr">
        <is>
          <t>Type 1</t>
        </is>
      </c>
    </row>
    <row r="4446">
      <c r="A4446" t="inlineStr">
        <is>
          <t>85x3d6</t>
        </is>
      </c>
      <c r="B4446" t="inlineStr">
        <is>
          <t>Is metformin causing intermittent diarrhoea?!?</t>
        </is>
      </c>
      <c r="C4446" t="inlineStr">
        <is>
          <t xml:space="preserve">Sorry for the tmi post but google isn’t helping much. 
I’m type 1 and have been taking metformin since July 2017 to help with insulin resistance potentially caused by pcos. 
Started off with 1 tablet 2x per day but almost 4 weeks ago my consultant raised it to 2 tablets 2x per day, so doubling the dose. 
I made the increase gradually over 2 weeks and seemed fine UNTIL... last Sunday night I had a really upset stomach, then again this Saturday morning, then again violently tonight (Tuesday). Could this be the metformin increase? 
I know diarrhoea etc can be a side effect, but I just find it strange that it only started 3 weeks after increasing the dose and that it’s not every day/every time I take the tablets, it’s really unpredictable. 
Anyone had a similar experience? </t>
        </is>
      </c>
      <c r="D4446" t="n">
        <v>2</v>
      </c>
      <c r="E4446" t="n">
        <v>10</v>
      </c>
      <c r="F4446">
        <f>HYPERLINK("https://www.reddit.com/r/diabetes/comments/85x3d6/is_metformin_causing_intermittent_diarrhoea/")</f>
        <v/>
      </c>
      <c r="G4446" t="inlineStr">
        <is>
          <t>2018-03-20 15:36:04</t>
        </is>
      </c>
      <c r="H4446" t="inlineStr">
        <is>
          <t>Type 1</t>
        </is>
      </c>
    </row>
    <row r="4447">
      <c r="A4447" t="inlineStr">
        <is>
          <t>85xo1w</t>
        </is>
      </c>
      <c r="B4447" t="inlineStr">
        <is>
          <t>I am a Type 2 who controls with diet and exercise. I am on no medicine or insulin. My problem is that I keep going low! Looking to see if anyone has had a similar experience?</t>
        </is>
      </c>
      <c r="C4447" t="inlineStr">
        <is>
          <t>Hello everyone!  About 6 months ago I was diagnosed  with Type 2 with an A1C if 10.4.  Since then I have started eating healthier and exercising.  So far I have lost 40 pounds and dropped my A1C to 5.7 (that was almost 3 months ago and it may be lower now).  I kept getting low bg readings so my doctor pulled me off of Metformin in December.  Since then my averages have, for the most part, continued to go lower. My problem is that whenever I exercise or don’t eat for 3 to 4 hours I drop into the low 70’s to mid 60’s.  
Today I ate lunch (wheat bread sandwich, some crackers, and an apple) and 2 hours later I was at 102 (usually with the same lunch I am around 120 but it has gotten lower in recent weeks). An hour after testing I ate an organic granola bar for a snack as I always do.  About 15 minutes after my snack I tested and was down to 61!  I have had my bg averages on the upper 70’s all week.  I messaged my doctor and he said he will run some more tests on me but is perplexed as to how I keep going low. 
I have an appointment later this week for my usual 3 month visit, but since my doctor seems confused I figured I would reach out here and see if anyone has had a similar experience to mine and what ended up being the issue. Let me know if you have any information I could use!  Thanks in advance. 
Edit: Thanks everyone for the information! I got some good theories to work with and I feel better about the whole situation since I now have some ideas to work with. Thanks again!</t>
        </is>
      </c>
      <c r="D4447" t="n">
        <v>2</v>
      </c>
      <c r="E4447" t="n">
        <v>18</v>
      </c>
      <c r="F4447">
        <f>HYPERLINK("https://www.reddit.com/r/diabetes/comments/85xo1w/i_am_a_type_2_who_controls_with_diet_and_exercise/")</f>
        <v/>
      </c>
      <c r="G4447" t="inlineStr">
        <is>
          <t>2018-03-20 16:52:10</t>
        </is>
      </c>
      <c r="H4447" t="inlineStr">
        <is>
          <t>Type 2</t>
        </is>
      </c>
    </row>
    <row r="4448">
      <c r="A4448" t="inlineStr">
        <is>
          <t>85zup7</t>
        </is>
      </c>
      <c r="B4448" t="inlineStr">
        <is>
          <t>Novopen needle hurts, overweight.</t>
        </is>
      </c>
      <c r="C4448" t="inlineStr">
        <is>
          <t>Hi. My kind of elderly neighbour is type 2 diabetic and he's been using Novopen 5 or something like that. Ive been hanging around him and he winces everytime he injects the insulin. I've watched many videos and searched up this subreddit (reddit search sucks btw) and I couldn't find much. Basically he's got a huge belly but fairly skinny legs. He doesn't injects it in his thighs, only tummy. But since it's so big he can hardly see where he's injects and he complains he gets the *angle* wrong all the time. He injects it four fingers width on either side of his belly button, also pinches the skin a bit and says when he get the angle wrong it hurts while.he pushes the button of the pen. Rarely get bruises too. The issue is mostly the pain and angle.  
Can you guys please link to some video or article on about how to inject insulin without pain when you're overweight? Any info will help loads. Thank you</t>
        </is>
      </c>
      <c r="D4448" t="n">
        <v>1</v>
      </c>
      <c r="E4448" t="n">
        <v>6</v>
      </c>
      <c r="F4448">
        <f>HYPERLINK("https://www.reddit.com/r/diabetes/comments/85zup7/novopen_needle_hurts_overweight/")</f>
        <v/>
      </c>
      <c r="G4448" t="inlineStr">
        <is>
          <t>2018-03-20 22:57:03</t>
        </is>
      </c>
      <c r="H4448" t="inlineStr">
        <is>
          <t>Type 2</t>
        </is>
      </c>
    </row>
    <row r="4449">
      <c r="A4449" t="inlineStr">
        <is>
          <t>862tpw</t>
        </is>
      </c>
      <c r="B4449" t="inlineStr">
        <is>
          <t>Graves Disease?</t>
        </is>
      </c>
      <c r="C4449" t="inlineStr">
        <is>
          <t xml:space="preserve">Has anyone here been diagnosed with Graves’ disease in addition to T1 and/or other thyroid issues? I was told I have Hashimoto’s about four years ago, was hypothyroid during my pregnancy, and just had a thyroid uptake scan which now shows Graves Disease (am 10 months our from the pregnancy so it’s definitely not thyroiditis). 
I am nervous because I have only read awful things about the treatment options. My doctor wants me on 10 mg of methimazole to start. Does anyone have experience with this? Positive or negative - I’d like to hear it all. 
I currently take 10 mg of atenolol twice a day because my resting heart rate is in the 130-150s without it. Other than that, I don’t see many effects of the hyperthyroid. </t>
        </is>
      </c>
      <c r="D4449" t="n">
        <v>9</v>
      </c>
      <c r="E4449" t="n">
        <v>10</v>
      </c>
      <c r="F4449">
        <f>HYPERLINK("https://www.reddit.com/r/diabetes/comments/862tpw/graves_disease/")</f>
        <v/>
      </c>
      <c r="G4449" t="inlineStr">
        <is>
          <t>2018-03-21 08:10:34</t>
        </is>
      </c>
      <c r="H4449" t="inlineStr">
        <is>
          <t>Type 1</t>
        </is>
      </c>
    </row>
    <row r="4450">
      <c r="A4450" t="inlineStr">
        <is>
          <t>863mll</t>
        </is>
      </c>
      <c r="B4450" t="inlineStr">
        <is>
          <t>Starting Jardiance today. Any tips?</t>
        </is>
      </c>
      <c r="C4450" t="inlineStr">
        <is>
          <t xml:space="preserve">After managing to keep an A1C around 6, simply by using metformin and a low/no-carb approach to my diet, it was a surprise to me that my A1C has now risen to over 9. 
Even with a very careful eye on my diet, I wasn't able to get my BG below 11 for the last two weeks. After discussing some options with a doctor (my endocrinologist won't see me until December!?), I chose Jardiance as my first new treatment. 
Any tips? </t>
        </is>
      </c>
      <c r="D4450" t="n">
        <v>1</v>
      </c>
      <c r="E4450" t="n">
        <v>7</v>
      </c>
      <c r="F4450">
        <f>HYPERLINK("https://www.reddit.com/r/diabetes/comments/863mll/starting_jardiance_today_any_tips/")</f>
        <v/>
      </c>
      <c r="G4450" t="inlineStr">
        <is>
          <t>2018-03-21 09:48:32</t>
        </is>
      </c>
      <c r="H4450" t="inlineStr">
        <is>
          <t>Type 2</t>
        </is>
      </c>
    </row>
    <row r="4451">
      <c r="A4451" t="inlineStr">
        <is>
          <t>865cme</t>
        </is>
      </c>
      <c r="B4451" t="inlineStr">
        <is>
          <t>Questions about "honeymoon" period and high levels.</t>
        </is>
      </c>
      <c r="C4451" t="inlineStr">
        <is>
          <t xml:space="preserve">Got out of the hospital a few days ago after being diagnosed with t1 as a 20 year old. I haven't had my followup appointment which is why I am asking questions here. I went in with a level of 700 and DKA of course. They said my average was 350 over the past few months. 
I've been doing meals of pork, chicken, greens, low carb sauce, and no carb parfaits. Snacks have been peanutbutter. This is almost a no carb diet but I'm still taking 6 units before every meal and 16 units at night and fighting to keep my levels in the 200s.
Can someone explain if I'll ever be able to have the allotted 60ish carbs per meal without skyrocketing? If I'm fighting to stay under 300 with insulin and without carbs, how will I ever have semi normal meals? Is this my honeymoon period? How long until I have to actually fight lows instead of just trying to stay under 350?
</t>
        </is>
      </c>
      <c r="D4451" t="n">
        <v>1</v>
      </c>
      <c r="E4451" t="n">
        <v>10</v>
      </c>
      <c r="F4451">
        <f>HYPERLINK("https://www.reddit.com/r/diabetes/comments/865cme/questions_about_honeymoon_period_and_high_levels/")</f>
        <v/>
      </c>
      <c r="G4451" t="inlineStr">
        <is>
          <t>2018-03-21 13:08:37</t>
        </is>
      </c>
      <c r="H4451" t="inlineStr">
        <is>
          <t>Type 1</t>
        </is>
      </c>
    </row>
    <row r="4452">
      <c r="A4452" t="inlineStr">
        <is>
          <t>867mx6</t>
        </is>
      </c>
      <c r="B4452" t="inlineStr">
        <is>
          <t>Tired and sleeping all day.</t>
        </is>
      </c>
      <c r="C4452" t="inlineStr">
        <is>
          <t xml:space="preserve">Hi, this never happened to me before my diagnosis (almost 3 months) I'm sooo tired all day. Today I wake up at 6:30am, got my breakfast and at 9:30am I was so sleepy so I went back to bed again. Wake up at 14:30pm forcefully to eat something and went back to bed again. Now it's 22:00pm and I'm still tired, I slept all the afternoon until 21:30pm. Maybe some vitamin deficiency? I'm eating well and my numbers are good after all. </t>
        </is>
      </c>
      <c r="D4452" t="n">
        <v>1</v>
      </c>
      <c r="E4452" t="n">
        <v>28</v>
      </c>
      <c r="F4452">
        <f>HYPERLINK("https://www.reddit.com/r/diabetes/comments/867mx6/tired_and_sleeping_all_day/")</f>
        <v/>
      </c>
      <c r="G4452" t="inlineStr">
        <is>
          <t>2018-03-21 18:05:09</t>
        </is>
      </c>
      <c r="H4452" t="inlineStr">
        <is>
          <t>Type 1</t>
        </is>
      </c>
    </row>
    <row r="4453">
      <c r="A4453" t="inlineStr">
        <is>
          <t>867nj7</t>
        </is>
      </c>
      <c r="B4453" t="inlineStr">
        <is>
          <t>idiopathic or type 1b or ketosis prone diabetes</t>
        </is>
      </c>
      <c r="C4453" t="inlineStr">
        <is>
          <t xml:space="preserve">Anyone have this? What are your experiences like? Did you have a prolonged honeymoon phase? </t>
        </is>
      </c>
      <c r="D4453" t="n">
        <v>1</v>
      </c>
      <c r="E4453" t="n">
        <v>0</v>
      </c>
      <c r="F4453">
        <f>HYPERLINK("https://www.reddit.com/r/diabetes/comments/867nj7/idiopathic_or_type_1b_or_ketosis_prone_diabetes/")</f>
        <v/>
      </c>
      <c r="G4453" t="inlineStr">
        <is>
          <t>2018-03-21 18:07:51</t>
        </is>
      </c>
      <c r="H4453" t="inlineStr">
        <is>
          <t>Type 1</t>
        </is>
      </c>
    </row>
    <row r="4454">
      <c r="A4454" t="inlineStr">
        <is>
          <t>86843n</t>
        </is>
      </c>
      <c r="B4454" t="inlineStr">
        <is>
          <t>Kiddo is a Type 1 diabetic for 2.5 years 14 years old water polo player needs dexcom placement advice Gahhhh!</t>
        </is>
      </c>
      <c r="C4454" t="inlineStr">
        <is>
          <t>My daughter is an avid water polo player and swimmer....so she's in the water swimming gracefully or roughing up another player to get the ball. My concern is her use of her dexcom. She can wear it no problem during swim, but during water polo she is afraid to wear it in fear of getting nailed or it simply getting yanked out. Is there a safe place for dexcom placement that diabetic water polo players have found to be "safe".  Thanx</t>
        </is>
      </c>
      <c r="D4454" t="n">
        <v>1</v>
      </c>
      <c r="E4454" t="n">
        <v>9</v>
      </c>
      <c r="F4454">
        <f>HYPERLINK("https://www.reddit.com/r/diabetes/comments/86843n/kiddo_is_a_type_1_diabetic_for_25_years_14_years/")</f>
        <v/>
      </c>
      <c r="G4454" t="inlineStr">
        <is>
          <t>2018-03-21 19:17:25</t>
        </is>
      </c>
      <c r="H4454" t="inlineStr">
        <is>
          <t>Type 1</t>
        </is>
      </c>
    </row>
    <row r="4455">
      <c r="A4455" t="inlineStr">
        <is>
          <t>868j49</t>
        </is>
      </c>
      <c r="B4455" t="inlineStr">
        <is>
          <t>"cured" of diabetes</t>
        </is>
      </c>
      <c r="C4455" t="inlineStr">
        <is>
          <t xml:space="preserve">In 2012 I had 2 pulmonary emboli that set me on a downwards spiral health wise to the point I spent over 1/4 of the past year in hospital.
I was told I had "trauma induced type 2 diabetes" from the shock of the clots, but with a family history and an unhealthy lifestyle, I had always assumed I'd get it eventually.
Today, after losing 60kg (~120lbs), and keeping my hba1c below 6.0 for 6 months, I got officially told that I am "cured"... I use the quotation marks because I know it could come back if I'm not careful and there isn't exactly a true cure.
Although this was probably the least of my health concerns, it still feels like the biggest victory I've had in years.
Just wanted to share this with people who know the struggle
</t>
        </is>
      </c>
      <c r="D4455" t="n">
        <v>8</v>
      </c>
      <c r="E4455" t="n">
        <v>19</v>
      </c>
      <c r="F4455">
        <f>HYPERLINK("https://www.reddit.com/r/diabetes/comments/868j49/cured_of_diabetes/")</f>
        <v/>
      </c>
      <c r="G4455" t="inlineStr">
        <is>
          <t>2018-03-21 20:23:04</t>
        </is>
      </c>
      <c r="H4455" t="inlineStr">
        <is>
          <t>Type 2</t>
        </is>
      </c>
    </row>
    <row r="4456">
      <c r="A4456" t="inlineStr">
        <is>
          <t>868x8a</t>
        </is>
      </c>
      <c r="B4456" t="inlineStr">
        <is>
          <t>I have to rant for a second.</t>
        </is>
      </c>
      <c r="C4456" t="inlineStr">
        <is>
          <t>Just kidding. I dropped my A1C from 11.9 to 4.3 in roughly 10 months with diet change, exercise, and metformin. Ead a big fat one Diabetes. Doc wants me to keep doing what I am doing until my next 6 month check in. Thanks for all your wisdom when I was first diagnosed. As a bonus I dropped 130lbs, and then gained another 20 in muscle (im just going to assume its muscle lol).</t>
        </is>
      </c>
      <c r="D4456" t="n">
        <v>18</v>
      </c>
      <c r="E4456" t="n">
        <v>10</v>
      </c>
      <c r="F4456">
        <f>HYPERLINK("https://www.reddit.com/r/diabetes/comments/868x8a/i_have_to_rant_for_a_second/")</f>
        <v/>
      </c>
      <c r="G4456" t="inlineStr">
        <is>
          <t>2018-03-21 21:35:38</t>
        </is>
      </c>
      <c r="H4456" t="inlineStr">
        <is>
          <t>Type 2</t>
        </is>
      </c>
    </row>
    <row r="4457">
      <c r="A4457" t="inlineStr">
        <is>
          <t>869n7u</t>
        </is>
      </c>
      <c r="B4457" t="inlineStr">
        <is>
          <t>Diet for diabetics</t>
        </is>
      </c>
      <c r="C4457" t="inlineStr">
        <is>
          <t>I am getting a little bit depressed with my diabetes, the year I got diagnosed with type 1 I had 30 KG weight gain and I have been the same weight for 7 years now and it has been affecting my mood pretty badly, I have tried a couple of diets but it is not working, I see no progress. My major problem is that I need alot of units to control my blood sugar so this high dosage of insulin always make me hungry so it is a never stopping cycle, I am getting frustrated with my situation and I feel like there is no hope to lose weight or control my blood sugar, can anyone share his diet/ routine that proved to be of success  ?</t>
        </is>
      </c>
      <c r="D4457" t="n">
        <v>3</v>
      </c>
      <c r="E4457" t="n">
        <v>69</v>
      </c>
      <c r="F4457">
        <f>HYPERLINK("https://www.reddit.com/r/diabetes/comments/869n7u/diet_for_diabetics/")</f>
        <v/>
      </c>
      <c r="G4457" t="inlineStr">
        <is>
          <t>2018-03-22 00:12:24</t>
        </is>
      </c>
      <c r="H4457" t="inlineStr">
        <is>
          <t>Type 1</t>
        </is>
      </c>
    </row>
    <row r="4458">
      <c r="A4458" t="inlineStr">
        <is>
          <t>869u1t</t>
        </is>
      </c>
      <c r="B4458" t="inlineStr">
        <is>
          <t>How many hypos do you have per week?</t>
        </is>
      </c>
      <c r="C4458" t="inlineStr">
        <is>
          <t>That, I'm bored, it's 5am here and I'm eating because hypo attacked me :(</t>
        </is>
      </c>
      <c r="D4458" t="n">
        <v>8</v>
      </c>
      <c r="E4458" t="n">
        <v>23</v>
      </c>
      <c r="F4458">
        <f>HYPERLINK("https://www.reddit.com/r/diabetes/comments/869u1t/how_many_hypos_do_you_have_per_week/")</f>
        <v/>
      </c>
      <c r="G4458" t="inlineStr">
        <is>
          <t>2018-03-22 01:00:11</t>
        </is>
      </c>
      <c r="H4458" t="inlineStr">
        <is>
          <t>Type 1</t>
        </is>
      </c>
    </row>
    <row r="4459">
      <c r="A4459" t="inlineStr">
        <is>
          <t>86b2oe</t>
        </is>
      </c>
      <c r="B4459" t="inlineStr">
        <is>
          <t>Metformin, Max dosage</t>
        </is>
      </c>
      <c r="C4459" t="inlineStr">
        <is>
          <t>Hi All
CAn i please confirm the max dosage i have read is 2000mg. (i am on 500mg, and i am a type2) my partner is not a diabetic however a little chubby, his doctor has just proscribed him 2000mg of metformin (4X 500mg tablets a day) he also has one kidney that is not working properly. I took my concerns to my doctor giving the situation and he seemed very concerned especially when i explained what his daily eating habbits are. My doctor said that with a diet full of fat and sugar such as the one my partner eats (i wont eat sugar and stick to a diabetic diet) and lack of exercise metformin wont help loose weight in those circumstances and he would not proscibe it to someone with one partially functional kidney.
anyway my question is. my partners doctor mentioned "increasing the dose" and " its only a low dosage" when referring to 2000mg so how critical is it to keep the dosage below 2000mg for a diabetic or someone who is not diabetic?</t>
        </is>
      </c>
      <c r="D4459" t="n">
        <v>1</v>
      </c>
      <c r="E4459" t="n">
        <v>8</v>
      </c>
      <c r="F4459">
        <f>HYPERLINK("https://www.reddit.com/r/diabetes/comments/86b2oe/metformin_max_dosage/")</f>
        <v/>
      </c>
      <c r="G4459" t="inlineStr">
        <is>
          <t>2018-03-22 05:22:54</t>
        </is>
      </c>
      <c r="H4459" t="inlineStr">
        <is>
          <t>Type 2</t>
        </is>
      </c>
    </row>
    <row r="4460">
      <c r="A4460" t="inlineStr">
        <is>
          <t>86cf4p</t>
        </is>
      </c>
      <c r="B4460" t="inlineStr">
        <is>
          <t>Spiking post-meal then dropping low 4 hours later</t>
        </is>
      </c>
      <c r="C4460" t="inlineStr">
        <is>
          <t>I haven't posted in awhile, but you guys always give wonderful advice, so I'm hoping my fellow T1Ds can help me out again!
At the beginning of 2018, I was dropping low a lot, so I lowered my basal. For several weeks now, when I eat a meal with more than maybe 20 g of carbs, I immediately spike straight up, stay around 12-15 for an hour or two, then my blood sugar goes down. I also do wait at least 15 minutes, if not more, before eating. Around four hours, I start to drop low.
What's the issue here? The immediate spike makes me think not enough bolus, but then the slow drop four hours later makes me think too much bolus and possibly too much basal? I really don't know. I seem to spike only when having a carby meal (I won't spike after a salad), so I need to find a solution apart from "eat less carbs," because that's not going to happen. I have quite the carbs quite a bit, but I don't want to go any less. I like the occasional sandwich too much!
Advice?
ETA: I'm spiking high after meals that I've had before, like a whole wheat English muffin with peanut butter. Before this year, I would go up slightly after this meal, but not an immediate spike like I am now.</t>
        </is>
      </c>
      <c r="D4460" t="n">
        <v>1</v>
      </c>
      <c r="E4460" t="n">
        <v>12</v>
      </c>
      <c r="F4460">
        <f>HYPERLINK("https://www.reddit.com/r/diabetes/comments/86cf4p/spiking_postmeal_then_dropping_low_4_hours_later/")</f>
        <v/>
      </c>
      <c r="G4460" t="inlineStr">
        <is>
          <t>2018-03-22 08:37:46</t>
        </is>
      </c>
      <c r="H4460" t="inlineStr">
        <is>
          <t>Type 1</t>
        </is>
      </c>
    </row>
    <row r="4461">
      <c r="A4461" t="inlineStr">
        <is>
          <t>86cq9x</t>
        </is>
      </c>
      <c r="B4461" t="inlineStr">
        <is>
          <t>Questions About My New Diet and Insulin Usage.</t>
        </is>
      </c>
      <c r="C4461" t="inlineStr">
        <is>
          <t>Hello everyone. I've been doing this new diet because I'm trying to get in better shape and shed the extra weight that I've been holding on to for a long time, and I'm down 70lbs since September (when I was diagnosed with T1D).
I have been eating a diet that basically consists of Grilled/Boiled Chicken, Cheese, Fruit and Vegetables, almost no carbs.
Since I have been doing this diet, I almost never use Insulin because my sugar is always between 80 and 120 with a few occasions of getting on the low-side of high at 130 to 140.
My question is, is the fact that I haven't been using Insulin a dangerous thing, can anything bad happen to me or my body due to the fact that I'm not doing injections since I'm able to control where my sugar is on my own? 
I'm trying to live a much cleaner and healthier lifestyle, therefore I want to live longer. I would hate to put myself in some sort of danger due to my current habits.
Does anyone have any advice?</t>
        </is>
      </c>
      <c r="D4461" t="n">
        <v>0</v>
      </c>
      <c r="E4461" t="n">
        <v>11</v>
      </c>
      <c r="F4461">
        <f>HYPERLINK("https://www.reddit.com/r/diabetes/comments/86cq9x/questions_about_my_new_diet_and_insulin_usage/")</f>
        <v/>
      </c>
      <c r="G4461" t="inlineStr">
        <is>
          <t>2018-03-22 09:16:43</t>
        </is>
      </c>
      <c r="H4461" t="inlineStr">
        <is>
          <t>Type 1</t>
        </is>
      </c>
    </row>
    <row r="4462">
      <c r="A4462" t="inlineStr">
        <is>
          <t>86dxer</t>
        </is>
      </c>
      <c r="B4462" t="inlineStr">
        <is>
          <t>Target sugar level makes me feel low</t>
        </is>
      </c>
      <c r="C4462" t="inlineStr">
        <is>
          <t xml:space="preserve">okay so I've been paralyzed twice in my life from extreme low blood sugar, probably shouldn't still be alive, anyway my target is 100 and I get such bad anxiety because my body gives me signals that I'm going to drop dangerously low. I'm a shit diabetic it cost me my left eye, my body got so used to riding at 300 for 10 years. any tips? do I just have to suck it up till my body realizes it's okay at 100? anything I can eat to trick my body into thinking it's getting sugar just so I dont sweat and get flustered? endo doesn't seem to care that because of what happened with the paralysis when i was young I get super scared of lows. </t>
        </is>
      </c>
      <c r="D4462" t="n">
        <v>44</v>
      </c>
      <c r="E4462" t="n">
        <v>37</v>
      </c>
      <c r="F4462">
        <f>HYPERLINK("https://www.reddit.com/r/diabetes/comments/86dxer/target_sugar_level_makes_me_feel_low/")</f>
        <v/>
      </c>
      <c r="G4462" t="inlineStr">
        <is>
          <t>2018-03-22 11:41:05</t>
        </is>
      </c>
      <c r="H4462" t="inlineStr">
        <is>
          <t>Type 1</t>
        </is>
      </c>
    </row>
    <row r="4463">
      <c r="A4463" t="inlineStr">
        <is>
          <t>86e6cu</t>
        </is>
      </c>
      <c r="B4463" t="inlineStr">
        <is>
          <t>Losing my mind</t>
        </is>
      </c>
      <c r="C4463" t="inlineStr">
        <is>
          <t>Diagnosed with T2 8.3 ac1 yesterday. I have been having only one symptom and thats excessive urination. I drink 1 bottle of water a day and pee or have the urge to urinate. It has been on going for roughly 2 weeks out of nowhere. I have no other symptoms and have been losing my mind sitting at work. Do these symptoms ever get better? Is this normal to pee without having any liquid in your system? Started Metformin 500 last night thanks for any help</t>
        </is>
      </c>
      <c r="D4463" t="n">
        <v>7</v>
      </c>
      <c r="E4463" t="n">
        <v>26</v>
      </c>
      <c r="F4463">
        <f>HYPERLINK("https://www.reddit.com/r/diabetes/comments/86e6cu/losing_my_mind/")</f>
        <v/>
      </c>
      <c r="G4463" t="inlineStr">
        <is>
          <t>2018-03-22 12:11:40</t>
        </is>
      </c>
      <c r="H4463" t="inlineStr">
        <is>
          <t>Type 2</t>
        </is>
      </c>
    </row>
    <row r="4464">
      <c r="A4464" t="inlineStr">
        <is>
          <t>86f6sr</t>
        </is>
      </c>
      <c r="B4464" t="inlineStr">
        <is>
          <t>Insulin squirting back out of leg?</t>
        </is>
      </c>
      <c r="C4464" t="inlineStr">
        <is>
          <t>Been T1 for about 5 years and I've never experienced this before
Injecting novorapid into my left upper thigh and its squirting straight back out as if I'm doing an airshot. My technique is fine and its not a site I use very often - whats going on here? Should I be worried?</t>
        </is>
      </c>
      <c r="D4464" t="n">
        <v>7</v>
      </c>
      <c r="E4464" t="n">
        <v>5</v>
      </c>
      <c r="F4464">
        <f>HYPERLINK("https://www.reddit.com/r/diabetes/comments/86f6sr/insulin_squirting_back_out_of_leg/")</f>
        <v/>
      </c>
      <c r="G4464" t="inlineStr">
        <is>
          <t>2018-03-22 14:19:45</t>
        </is>
      </c>
      <c r="H4464" t="inlineStr">
        <is>
          <t>Type 1</t>
        </is>
      </c>
    </row>
    <row r="4465">
      <c r="A4465" t="inlineStr">
        <is>
          <t>86fes8</t>
        </is>
      </c>
      <c r="B4465" t="inlineStr">
        <is>
          <t>Daylight savings and pumping</t>
        </is>
      </c>
      <c r="C4465" t="inlineStr">
        <is>
          <t>Hey folks. I have been avoiding changing the time on my Omnipod for the past few weeks because I was in the middle of basal checks. I'm almost done them and things seem pretty finetuned so I'm ready to make the change. (Also it's been pretty annoying having to remember to subtract an hour from my Dexcom when I'm looking at trends). I'm just wondering how other T1s on pumps deal with daylight savings time?
For me, an hour's difference at certain times during the day means a big change in basal rates, so I was thinking of setting the clock ahead and then also pushing all my basal rates ahead by one hour as well because, as far as my body is concerned, the time didn't actually change. But I'd like to know how all of you deal with it, what has worked and what hasn't...
Thanks!</t>
        </is>
      </c>
      <c r="D4465" t="n">
        <v>2</v>
      </c>
      <c r="E4465" t="n">
        <v>4</v>
      </c>
      <c r="F4465">
        <f>HYPERLINK("https://www.reddit.com/r/diabetes/comments/86fes8/daylight_savings_and_pumping/")</f>
        <v/>
      </c>
      <c r="G4465" t="inlineStr">
        <is>
          <t>2018-03-22 14:50:24</t>
        </is>
      </c>
      <c r="H4465" t="inlineStr">
        <is>
          <t>Type 1</t>
        </is>
      </c>
    </row>
    <row r="4466">
      <c r="A4466" t="inlineStr">
        <is>
          <t>86heud</t>
        </is>
      </c>
      <c r="B4466" t="inlineStr">
        <is>
          <t>Burning Sensation in Nose when blood sugars are high</t>
        </is>
      </c>
      <c r="C4466" t="inlineStr">
        <is>
          <t>I was wondering if anyone cane help explain this phenomenon - specifically, what is happening in my body. It may seem bizarre, but when my blood sugars are very high, say 280+, I get a burning sensation in my nostrils. It tends to be the first symptom I notice and has been helpful as an early warning on a couple of occasions when not using my CGM and between BG readings. Is this normal? Does everyone experience it? Sorry if it sounds ridiculous.</t>
        </is>
      </c>
      <c r="D4466" t="n">
        <v>1</v>
      </c>
      <c r="E4466" t="n">
        <v>5</v>
      </c>
      <c r="F4466">
        <f>HYPERLINK("https://www.reddit.com/r/diabetes/comments/86heud/burning_sensation_in_nose_when_blood_sugars_are/")</f>
        <v/>
      </c>
      <c r="G4466" t="inlineStr">
        <is>
          <t>2018-03-22 19:43:07</t>
        </is>
      </c>
      <c r="H4466" t="inlineStr">
        <is>
          <t>Type 1</t>
        </is>
      </c>
    </row>
    <row r="4467">
      <c r="A4467" t="inlineStr">
        <is>
          <t>86i6mr</t>
        </is>
      </c>
      <c r="B4467" t="inlineStr">
        <is>
          <t>Low calorie sugar raises?</t>
        </is>
      </c>
      <c r="C4467" t="inlineStr">
        <is>
          <t>I'm working very hard on losing weight but my body seems to actively fight me on this. I can go from a 230 bg to 65 in a thirty minute workout WITH bolus suspended.
My question to you guys is what low calorie foods raise your sugar the most? I understand that 15 grams carbs will be 60 calories but do you guys have good ideas to stay within a decent calorie count that I can pop in class or at the gym?
Sorry if this doesn't make sense sugar is currently 47 and I'm tired. (And yes I've eaten some food)</t>
        </is>
      </c>
      <c r="D4467" t="n">
        <v>2</v>
      </c>
      <c r="E4467" t="n">
        <v>5</v>
      </c>
      <c r="F4467">
        <f>HYPERLINK("https://www.reddit.com/r/diabetes/comments/86i6mr/low_calorie_sugar_raises/")</f>
        <v/>
      </c>
      <c r="G4467" t="inlineStr">
        <is>
          <t>2018-03-22 22:02:04</t>
        </is>
      </c>
      <c r="H4467" t="inlineStr">
        <is>
          <t>Type 1</t>
        </is>
      </c>
    </row>
    <row r="4468">
      <c r="A4468" t="inlineStr">
        <is>
          <t>86jcve</t>
        </is>
      </c>
      <c r="B4468" t="inlineStr">
        <is>
          <t>Back to low carb. Nothing but 100 mg/dl!</t>
        </is>
      </c>
      <c r="C4468" t="inlineStr">
        <is>
          <t>I woke up today, tested my blood sugar. It was 110 mg/dl.
I went to Gym yesterday, a little late, ate a granola bar before, 15g carbs, then ate 4 sugar cubes during workout (2 cubes when I feel exhausted, did that twice), total of 30g. Went in with 110, got out with 120.
I used to do full keto, for 3 years, during honeymoon so I didn't use insulin. My a1c was 5.9, can be better (since above 5.9 is pre-diabetic) I guess but still great!
Now I eat carbs, just small amounts. I inject 2 units of insulin no matter what I eat (because sometimes even an omelette can need insulin), that is a small amount so lows are "pleasant" and I eat an apple.
Yesterday I ate a plate of navy beans, something I never did during keto, used only 2 units of insulin and got a slight low, then ate an apple. Around 40g net carbs I assume.
Overall, less than 100g net carbs a day on average, 8 units of basal in the morning, 6g of basal in the evening, 2 units of bolus with every meal.
After a 3 month break from keto due to an infection and having a "make up period" with carbs, which ended up with a large consumption of pizza, I am so happy to be back to a healthy, normal range. Will test for a1c in 3 months, hope to keep my diet and exercise during that time.
I was planning to be healthier than my pre-diagnosis self. Now I plan to be healthier than my keto self and even healthier than average person without diabetes!</t>
        </is>
      </c>
      <c r="D4468" t="n">
        <v>27</v>
      </c>
      <c r="E4468" t="n">
        <v>23</v>
      </c>
      <c r="F4468">
        <f>HYPERLINK("https://www.reddit.com/r/diabetes/comments/86jcve/back_to_low_carb_nothing_but_100_mgdl/")</f>
        <v/>
      </c>
      <c r="G4468" t="inlineStr">
        <is>
          <t>2018-03-23 02:31:22</t>
        </is>
      </c>
      <c r="H4468" t="inlineStr">
        <is>
          <t>Type 1</t>
        </is>
      </c>
    </row>
    <row r="4469">
      <c r="A4469" t="inlineStr">
        <is>
          <t>86jeze</t>
        </is>
      </c>
      <c r="B4469" t="inlineStr">
        <is>
          <t>Quick ways to lose weight and manage diabetes</t>
        </is>
      </c>
      <c r="C4469" t="inlineStr">
        <is>
          <t xml:space="preserve">25 year old male here, been type 2 diabetic since 2013, and managed to get my stuff together a couple years ago due to my A1C levels being outta wack. I got a bad spell of depression about a year ago and failed to take care of my body like I should have. Basically, I let myself go, even though I've maintained a steady weight. I am overweight and working to lose it, but what has the best results for everyone? I did low carb a while ago and got everything normal, but now since my labs were in the tank (A1C and Triglycerides) I'm trying to get everything back in range. Any helpful advice would be appreciated. </t>
        </is>
      </c>
      <c r="D4469" t="n">
        <v>6</v>
      </c>
      <c r="E4469" t="n">
        <v>11</v>
      </c>
      <c r="F4469">
        <f>HYPERLINK("https://www.reddit.com/r/diabetes/comments/86jeze/quick_ways_to_lose_weight_and_manage_diabetes/")</f>
        <v/>
      </c>
      <c r="G4469" t="inlineStr">
        <is>
          <t>2018-03-23 02:45:56</t>
        </is>
      </c>
      <c r="H4469" t="inlineStr">
        <is>
          <t>Type 2</t>
        </is>
      </c>
    </row>
    <row r="4470">
      <c r="A4470" t="inlineStr">
        <is>
          <t>86kw5o</t>
        </is>
      </c>
      <c r="B4470" t="inlineStr">
        <is>
          <t>Just started taking insulin- feeling dizzy?!</t>
        </is>
      </c>
      <c r="C4470" t="inlineStr">
        <is>
          <t>Basically what the subject line says. I just started taking insulin (10 units tresiba 1x day and 3 units novolog before each meal). My sugar levels are between 120-170 right now so I’m not low but I just feel a bit dizzy and have a slight headache! Did this happen to anyone else when they first started taking insulin? (Before starting I was around 280-300...) thanks :)</t>
        </is>
      </c>
      <c r="D4470" t="n">
        <v>1</v>
      </c>
      <c r="E4470" t="n">
        <v>5</v>
      </c>
      <c r="F4470">
        <f>HYPERLINK("https://www.reddit.com/r/diabetes/comments/86kw5o/just_started_taking_insulin_feeling_dizzy/")</f>
        <v/>
      </c>
      <c r="G4470" t="inlineStr">
        <is>
          <t>2018-03-23 07:09:22</t>
        </is>
      </c>
      <c r="H4470" t="inlineStr">
        <is>
          <t>Type 1.5/LADA</t>
        </is>
      </c>
    </row>
    <row r="4471">
      <c r="A4471" t="inlineStr">
        <is>
          <t>86l49r</t>
        </is>
      </c>
      <c r="B4471" t="inlineStr">
        <is>
          <t>Fish Oil</t>
        </is>
      </c>
      <c r="C4471" t="inlineStr">
        <is>
          <t>My doctor is recommending I take 4 fish oil pills per day to offset my high triglycerides. What I'm wondering is does he mean 4 300mg Omega-3 pills, or 4 of something like OmegaVia?
And does anyone have an opinion of OmegaVia or Origin Omega?</t>
        </is>
      </c>
      <c r="D4471" t="n">
        <v>1</v>
      </c>
      <c r="E4471" t="n">
        <v>7</v>
      </c>
      <c r="F4471">
        <f>HYPERLINK("https://www.reddit.com/r/diabetes/comments/86l49r/fish_oil/")</f>
        <v/>
      </c>
      <c r="G4471" t="inlineStr">
        <is>
          <t>2018-03-23 07:38:45</t>
        </is>
      </c>
      <c r="H4471" t="inlineStr">
        <is>
          <t>Type 2</t>
        </is>
      </c>
    </row>
    <row r="4472">
      <c r="A4472" t="inlineStr">
        <is>
          <t>86laul</t>
        </is>
      </c>
      <c r="B4472" t="inlineStr">
        <is>
          <t>Experiencing lows without medication</t>
        </is>
      </c>
      <c r="C4472" t="inlineStr">
        <is>
          <t>Hi everyone, 
I am diabetic with a1c 7.1 according to my latest result. I take Metformin (1000 mg) after dinner. I eat moderately low carb (90~100 grams per day). For example, I eat omelette for breakfast. Then I eat some carbs between meals because if I don't eat more than 3 hours, I get really hungry.  Lunch and dinner are low carb as well. Usually my pre-meal readings are high (~150) and post-meal are lower.
My problem is that my blood sugar drops really quickly between 2nd and 3rd hours after meals (for example 160 to 100 in one hour and keeps going lower). That's when I get shaky and drink some juice. This happens even after lunch. I thought low-carb might be the cause. But if I eat some carbs, it goes all the way to 250. 
Anybody else experience something similar? Any thoughts? I am kind of desperate with this situation. I don't get why this happens because since I am diabetic, shouldn't low-carb eating be enough for me? Why experience lows without medication? 
Thanks a lot.</t>
        </is>
      </c>
      <c r="D4472" t="n">
        <v>1</v>
      </c>
      <c r="E4472" t="n">
        <v>19</v>
      </c>
      <c r="F4472">
        <f>HYPERLINK("https://www.reddit.com/r/diabetes/comments/86laul/experiencing_lows_without_medication/")</f>
        <v/>
      </c>
      <c r="G4472" t="inlineStr">
        <is>
          <t>2018-03-23 08:02:17</t>
        </is>
      </c>
      <c r="H4472" t="inlineStr">
        <is>
          <t>Type 1.5/LADA</t>
        </is>
      </c>
    </row>
    <row r="4473">
      <c r="A4473" t="inlineStr">
        <is>
          <t>86t23v</t>
        </is>
      </c>
      <c r="B4473" t="inlineStr">
        <is>
          <t>YSK about Metformin Extended Release</t>
        </is>
      </c>
      <c r="C4473" t="inlineStr">
        <is>
          <t>My doctor had me on Metformin 2000 mg daily.  I would take one 500mg tablet 4 times a day with food.  And I spent my life on the toilet.
It got so bad that my doctor took me off the metformin.
Well, back in January he put me on Metformin Extended Release.  I take 4 500mg tables first thing in the morning, and don't eat anything till lunch and have ZERO stomach or intestinal issues.</t>
        </is>
      </c>
      <c r="D4473" t="n">
        <v>8</v>
      </c>
      <c r="E4473" t="n">
        <v>10</v>
      </c>
      <c r="F4473">
        <f>HYPERLINK("https://www.reddit.com/r/diabetes/comments/86t23v/ysk_about_metformin_extended_release/")</f>
        <v/>
      </c>
      <c r="G4473" t="inlineStr">
        <is>
          <t>2018-03-24 06:39:32</t>
        </is>
      </c>
      <c r="H4473" t="inlineStr">
        <is>
          <t>Type 2</t>
        </is>
      </c>
    </row>
    <row r="4474">
      <c r="A4474" t="inlineStr">
        <is>
          <t>86usne</t>
        </is>
      </c>
      <c r="B4474" t="inlineStr">
        <is>
          <t>thinking about the cost of insulin per gram (of carbohydrate)</t>
        </is>
      </c>
      <c r="C4474" t="inlineStr">
        <is>
          <t xml:space="preserve">been thinking about the cost of supplemental insulin for the food I eat. The insulins I am on seem to cost about $250 for a 1000U vial, or about 0.25/U (insurance gets all of it and they don't tell me exactly what it costs). I was placed on the "Consistent Carbohydrate Diet" at time of diagnosis with a daily target of 270g of carbohydrate and total daily dose (tdd) of 74U of insulins. That is pretty close to 3g/U or 0.33 U/g, or about 8.3 cents per gram. this is assuming that insulin needs are completely proportional to carbohydrate intake.
Lets look at some examples. 2 slices of bread, 30 grams of carbohydrate, times 8.3 cents = $2.50. A loaf of bread costing less than $2.00 has 22 slices, 330 grams, would take about $27.50 in insulin to offset.  that's insane.
I like to snack on Nutter Butter cookies. 10g each and 32 cookies in a $4 pack. $26.50 in offsetting insulin.
</t>
        </is>
      </c>
      <c r="D4474" t="n">
        <v>13</v>
      </c>
      <c r="E4474" t="n">
        <v>26</v>
      </c>
      <c r="F4474">
        <f>HYPERLINK("https://www.reddit.com/r/diabetes/comments/86usne/thinking_about_the_cost_of_insulin_per_gram_of/")</f>
        <v/>
      </c>
      <c r="G4474" t="inlineStr">
        <is>
          <t>2018-03-24 11:09:31</t>
        </is>
      </c>
      <c r="H4474" t="inlineStr">
        <is>
          <t>Type 2</t>
        </is>
      </c>
    </row>
    <row r="4475">
      <c r="A4475" t="inlineStr">
        <is>
          <t>86wm40</t>
        </is>
      </c>
      <c r="B4475" t="inlineStr">
        <is>
          <t>Is it possible I was misdiagnosed as a type I diabetic?</t>
        </is>
      </c>
      <c r="C4475" t="inlineStr">
        <is>
          <t>I was diagnosed about 15 years ago as a type I diabetic. My blood sugar numbers have always been very good (around 100). The last several times I’ve had my A1C taken it has been between 4.9 and 5.2. The thing is I don’t think I’ve done an insulin shot in like a year which I know is really really bad. I never really have high blood sugar and only occasionally get a little low to the 70’s. I know this sounds very dumb and is almost definitely not the case but I’m just wondering if that ever happens. Could my numbers be due to me only eating 1 meal a day usually?</t>
        </is>
      </c>
      <c r="D4475" t="n">
        <v>3</v>
      </c>
      <c r="E4475" t="n">
        <v>41</v>
      </c>
      <c r="F4475">
        <f>HYPERLINK("https://www.reddit.com/r/diabetes/comments/86wm40/is_it_possible_i_was_misdiagnosed_as_a_type_i/")</f>
        <v/>
      </c>
      <c r="G4475" t="inlineStr">
        <is>
          <t>2018-03-24 15:41:53</t>
        </is>
      </c>
      <c r="H4475" t="inlineStr">
        <is>
          <t>Type 1</t>
        </is>
      </c>
    </row>
    <row r="4476">
      <c r="A4476" t="inlineStr">
        <is>
          <t>86x0zu</t>
        </is>
      </c>
      <c r="B4476" t="inlineStr">
        <is>
          <t>Happy Diaversary to me!</t>
        </is>
      </c>
      <c r="C4476" t="inlineStr">
        <is>
          <t>Yesterday marked one year since I was diagnosed with type one diabetes. I’ve been doing well and my A1C is 6.0. I felt like this was an important milestone and wanted to share it</t>
        </is>
      </c>
      <c r="D4476" t="n">
        <v>30</v>
      </c>
      <c r="E4476" t="n">
        <v>13</v>
      </c>
      <c r="F4476">
        <f>HYPERLINK("https://www.reddit.com/r/diabetes/comments/86x0zu/happy_diaversary_to_me/")</f>
        <v/>
      </c>
      <c r="G4476" t="inlineStr">
        <is>
          <t>2018-03-24 16:48:23</t>
        </is>
      </c>
      <c r="H4476" t="inlineStr">
        <is>
          <t>Type 1</t>
        </is>
      </c>
    </row>
    <row r="4477">
      <c r="A4477" t="inlineStr">
        <is>
          <t>86x6xn</t>
        </is>
      </c>
      <c r="B4477" t="inlineStr">
        <is>
          <t>Studying Abroad?</t>
        </is>
      </c>
      <c r="C4477" t="inlineStr">
        <is>
          <t xml:space="preserve"> I currently live in the USA and this summer I'll be studying abroad in Europe. The first half of the trip we will be hopping around place to place and the second half will be stationary in Oxford. 
Ive already started hoarding up my supplies and getting prescriptions filled more recently than I need them, but I'm not really sure what the best way to go about this would be. Get my doctor to write me a 3 month prescription? I'm a type 1 diabetic using a cgm and pen needles for insulin. I've been wanting to transition to a pump for a while now but I'm afraid that'll be a whole lot more space taking up in my bag. I'm also nervous about keeping my insulin refrigerated, but that accommodation will be taken care of by my school. 
Any tips or tricks or helpful info would be much appreciated. </t>
        </is>
      </c>
      <c r="D4477" t="n">
        <v>4</v>
      </c>
      <c r="E4477" t="n">
        <v>8</v>
      </c>
      <c r="F4477">
        <f>HYPERLINK("https://www.reddit.com/r/diabetes/comments/86x6xn/studying_abroad/")</f>
        <v/>
      </c>
      <c r="G4477" t="inlineStr">
        <is>
          <t>2018-03-24 17:14:58</t>
        </is>
      </c>
      <c r="H4477" t="inlineStr">
        <is>
          <t>Type 1</t>
        </is>
      </c>
    </row>
    <row r="4478">
      <c r="A4478" t="inlineStr">
        <is>
          <t>86xj2m</t>
        </is>
      </c>
      <c r="B4478" t="inlineStr">
        <is>
          <t>Delayed levemir for 4 hours?</t>
        </is>
      </c>
      <c r="C4478" t="inlineStr">
        <is>
          <t>Hey all
What do I do if I am going to have to delay my levemir by 4 hours?
I am babysitting and ran out. I can’t leave the kids, obviously, and none of my friends have cars to bring me a new pen. 
What do I do?</t>
        </is>
      </c>
      <c r="D4478" t="n">
        <v>1</v>
      </c>
      <c r="E4478" t="n">
        <v>4</v>
      </c>
      <c r="F4478">
        <f>HYPERLINK("https://www.reddit.com/r/diabetes/comments/86xj2m/delayed_levemir_for_4_hours/")</f>
        <v/>
      </c>
      <c r="G4478" t="inlineStr">
        <is>
          <t>2018-03-24 18:09:36</t>
        </is>
      </c>
      <c r="H4478" t="inlineStr">
        <is>
          <t>Type 2</t>
        </is>
      </c>
    </row>
    <row r="4479">
      <c r="A4479" t="inlineStr">
        <is>
          <t>86yith</t>
        </is>
      </c>
      <c r="B4479" t="inlineStr">
        <is>
          <t>Effects of substances to your dieabetes</t>
        </is>
      </c>
      <c r="C4479" t="inlineStr">
        <is>
          <t xml:space="preserve">So I’m a fairly experimental person, if you have ANY experience with ANY substance I’m curious how it affected you. </t>
        </is>
      </c>
      <c r="D4479" t="n">
        <v>2</v>
      </c>
      <c r="E4479" t="n">
        <v>6</v>
      </c>
      <c r="F4479">
        <f>HYPERLINK("https://www.reddit.com/r/diabetes/comments/86yith/effects_of_substances_to_your_dieabetes/")</f>
        <v/>
      </c>
      <c r="G4479" t="inlineStr">
        <is>
          <t>2018-03-24 21:13:35</t>
        </is>
      </c>
      <c r="H4479" t="inlineStr">
        <is>
          <t>Type 1</t>
        </is>
      </c>
    </row>
    <row r="4480">
      <c r="A4480" t="inlineStr">
        <is>
          <t>86zs4k</t>
        </is>
      </c>
      <c r="B4480" t="inlineStr">
        <is>
          <t>What do you think of these Libreview graphs? Too much basal?</t>
        </is>
      </c>
      <c r="C4480" t="inlineStr">
        <is>
          <t>Hi, [here is a screenshot](https://s31.postimg.org/tgjr5oujv/libreview-shot.png) of my Libreview graphs from the last few days.
Obviously, I am still learning how to bolus correctly. I am experimenting with pre-bolus, currently at 5-10 minutes, will increase over time if needed.
But what I do wonder about is basal. Is it too high? I was considering lowering it by 1-2 units. The graphs do tend to go low, and I was told the reason they remain relatively flat there might be stress hormones. But also note that apparently my Libre sensor is consistently showing lower values compared to finger pricks, so when it goes in the red, it may not be a hypo.
So what do you think?</t>
        </is>
      </c>
      <c r="D4480" t="n">
        <v>1</v>
      </c>
      <c r="E4480" t="n">
        <v>17</v>
      </c>
      <c r="F4480">
        <f>HYPERLINK("https://www.reddit.com/r/diabetes/comments/86zs4k/what_do_you_think_of_these_libreview_graphs_too/")</f>
        <v/>
      </c>
      <c r="G4480" t="inlineStr">
        <is>
          <t>2018-03-25 02:42:58</t>
        </is>
      </c>
      <c r="H4480" t="inlineStr">
        <is>
          <t>Type 1</t>
        </is>
      </c>
    </row>
    <row r="4481">
      <c r="A4481" t="inlineStr">
        <is>
          <t>870r7l</t>
        </is>
      </c>
      <c r="B4481" t="inlineStr">
        <is>
          <t>Freestyle Libre Sensor Falls Off</t>
        </is>
      </c>
      <c r="C4481" t="inlineStr">
        <is>
          <t>My sensor falls off my arm if I swim at the beach or even if I get 2 showers a day. 
 I tried my very first sensor two weeks ago, it felt on the 5th day. This new one almost felt in TWO days. (ABBOTT sent me a new one for free)
I put the sensor perfectly on my skin, back of my arm, like the manual explains. 
They say that we can stay 1m down the water or 30min wet I guess. But...
(I know we can use a band to keep it on the arm, but I dont like this idea) 
Does someone have the same problem?</t>
        </is>
      </c>
      <c r="D4481" t="n">
        <v>3</v>
      </c>
      <c r="E4481" t="n">
        <v>12</v>
      </c>
      <c r="F4481">
        <f>HYPERLINK("https://www.reddit.com/r/diabetes/comments/870r7l/freestyle_libre_sensor_falls_off/")</f>
        <v/>
      </c>
      <c r="G4481" t="inlineStr">
        <is>
          <t>2018-03-25 06:45:34</t>
        </is>
      </c>
      <c r="H4481" t="inlineStr">
        <is>
          <t>Type 1</t>
        </is>
      </c>
    </row>
    <row r="4482">
      <c r="A4482" t="inlineStr">
        <is>
          <t>87143p</t>
        </is>
      </c>
      <c r="B4482" t="inlineStr">
        <is>
          <t>In market for a CGM and was just shown the Freestyle Libre. Recommendations?</t>
        </is>
      </c>
      <c r="C4482" t="inlineStr">
        <is>
          <t xml:space="preserve">Was going to go back to Dexcom which I used years ago for a few months but this Libre seems better as it’s smaller and doesn’t require as many finger pricks but never heard of it until today. Any thoughts? </t>
        </is>
      </c>
      <c r="D4482" t="n">
        <v>5</v>
      </c>
      <c r="E4482" t="n">
        <v>17</v>
      </c>
      <c r="F4482">
        <f>HYPERLINK("https://www.reddit.com/r/diabetes/comments/87143p/in_market_for_a_cgm_and_was_just_shown_the/")</f>
        <v/>
      </c>
      <c r="G4482" t="inlineStr">
        <is>
          <t>2018-03-25 07:48:11</t>
        </is>
      </c>
      <c r="H4482" t="inlineStr">
        <is>
          <t>Type 1</t>
        </is>
      </c>
    </row>
    <row r="4483">
      <c r="A4483" t="inlineStr">
        <is>
          <t>871m0v</t>
        </is>
      </c>
      <c r="B4483" t="inlineStr">
        <is>
          <t>How accurately does the 90 day average on Dexcom correlate to A1C?</t>
        </is>
      </c>
      <c r="C4483" t="inlineStr">
        <is>
          <t xml:space="preserve">What I mean by this is that on the Dexcom clarity report, my 90 day average blood glucose is 135 (7.4).  Does that mean my A1C should be around 6.5? </t>
        </is>
      </c>
      <c r="D4483" t="n">
        <v>6</v>
      </c>
      <c r="E4483" t="n">
        <v>13</v>
      </c>
      <c r="F4483">
        <f>HYPERLINK("https://www.reddit.com/r/diabetes/comments/871m0v/how_accurately_does_the_90_day_average_on_dexcom/")</f>
        <v/>
      </c>
      <c r="G4483" t="inlineStr">
        <is>
          <t>2018-03-25 09:04:40</t>
        </is>
      </c>
      <c r="H4483" t="inlineStr">
        <is>
          <t>Type 1</t>
        </is>
      </c>
    </row>
    <row r="4484">
      <c r="A4484" t="inlineStr">
        <is>
          <t>873hmq</t>
        </is>
      </c>
      <c r="B4484" t="inlineStr">
        <is>
          <t>Low Carb Bread, but still registering high BG?</t>
        </is>
      </c>
      <c r="C4484" t="inlineStr">
        <is>
          <t>Been trying a few low-carb breads and have found that they still seem to raise my BG quite a bit. 
Is there something I might not be considering? I mean, one of the breads I am currently trying boasts 4g of carbs, 2g fibre per slice, so I feel I should not need much insulin at all, but even taking a little bit of bolus anyway, I still find my BG rising. 
The ingredients are potato starch, romano bean flour, tapioca starch, if that helps.
I'll be the first to admit I'm slightly new at all this, and not super savvy. I know glycemic index plays a role, but I thought it's primarily about carbs.
Should I just assume the bread is a lie?</t>
        </is>
      </c>
      <c r="D4484" t="n">
        <v>2</v>
      </c>
      <c r="E4484" t="n">
        <v>16</v>
      </c>
      <c r="F4484">
        <f>HYPERLINK("https://www.reddit.com/r/diabetes/comments/873hmq/low_carb_bread_but_still_registering_high_bg/")</f>
        <v/>
      </c>
      <c r="G4484" t="inlineStr">
        <is>
          <t>2018-03-25 13:32:27</t>
        </is>
      </c>
      <c r="H4484" t="inlineStr">
        <is>
          <t>Type 1</t>
        </is>
      </c>
    </row>
    <row r="4485">
      <c r="A4485" t="inlineStr">
        <is>
          <t>873l5e</t>
        </is>
      </c>
      <c r="B4485" t="inlineStr">
        <is>
          <t>Just got a dexcom g5. Doesnt seem to be super accurate.</t>
        </is>
      </c>
      <c r="C4485" t="inlineStr">
        <is>
          <t xml:space="preserve">I got my first dexocm yesterday. Its been 26 hours of having it on, and its not super accurate. For instance, my sugar was 105 on the meter, and it read 85. Earlier my sugar was 69 on the meter and read 82 on the dexcom. 
One theory I have is that my meter may be the inaccurate one. I use CVS meters because thy are so cheap. 
Any thoughts, or am I being too picky? </t>
        </is>
      </c>
      <c r="D4485" t="n">
        <v>0</v>
      </c>
      <c r="E4485" t="n">
        <v>12</v>
      </c>
      <c r="F4485">
        <f>HYPERLINK("https://www.reddit.com/r/diabetes/comments/873l5e/just_got_a_dexcom_g5_doesnt_seem_to_be_super/")</f>
        <v/>
      </c>
      <c r="G4485" t="inlineStr">
        <is>
          <t>2018-03-25 13:46:38</t>
        </is>
      </c>
      <c r="H4485" t="inlineStr">
        <is>
          <t>Type 1</t>
        </is>
      </c>
    </row>
    <row r="4486">
      <c r="A4486" t="inlineStr">
        <is>
          <t>879rvo</t>
        </is>
      </c>
      <c r="B4486" t="inlineStr">
        <is>
          <t>Just found out that I had a great great grandpa who had T1D and lived until he was 94</t>
        </is>
      </c>
      <c r="C4486" t="inlineStr">
        <is>
          <t>I just wanted to share that, because it kinda relaxed me knowing that he lived that long even without all the medication and technology we had today! My great grandma also said he used alcohol under the second world war to get his blood sugar down! I just want to know how he knew what his blod sugar was to each time😂</t>
        </is>
      </c>
      <c r="D4486" t="n">
        <v>104</v>
      </c>
      <c r="E4486" t="n">
        <v>48</v>
      </c>
      <c r="F4486">
        <f>HYPERLINK("https://www.reddit.com/r/diabetes/comments/879rvo/just_found_out_that_i_had_a_great_great_grandpa/")</f>
        <v/>
      </c>
      <c r="G4486" t="inlineStr">
        <is>
          <t>2018-03-26 08:02:20</t>
        </is>
      </c>
      <c r="H4486" t="inlineStr">
        <is>
          <t>Type 1</t>
        </is>
      </c>
    </row>
    <row r="4487">
      <c r="A4487" t="inlineStr">
        <is>
          <t>87bin2</t>
        </is>
      </c>
      <c r="B4487" t="inlineStr">
        <is>
          <t>[Type 1] I haven't been able to get myself under 200 today. 6.4 a1c, 27M, 1 year post diagnosis, tslim x2, no CGM</t>
        </is>
      </c>
      <c r="C4487" t="inlineStr">
        <is>
          <t xml:space="preserve">Hi /r/diabetes,
This has never happened to me before, and it's a little confusing.  I'll try to walk you through my day.
I changed my pump last night at 11pm, went to bed at 220
6:59am - 214 - eat 60g carbs, bolus at a 1:12 ratio and 40 correction factor, desired BG is set to 110, so I bolus ~8 units
8:00am - 298 - hasn't gone down and appear to be trending upward, bolus 5 units
10:40am - 349 - wtf, bolus another 5 units
At this point, I figure my site is blocked or something, and I go home, change my site, and pee on a ketostick. 
 No ketones.
10:57 - 318
11:39 - 346
12:08 - 277 eat ~ 80g carbs,but maybe I miscounted.  I bolus 8 units
1:19 - 212 - Bolus 2.5 units, at this point I've bolused almost 30 units alone.  
2:21 - 209
What gives?  Could I be getting sick or something?  Has my insulin sensitivity radically changed?  I'm kind of freaking out that my pancreas is like shutting down more than it already has.
Basically, should I call my endo office?
edit: sry for dumb double flair in title 
</t>
        </is>
      </c>
      <c r="D4487" t="n">
        <v>1</v>
      </c>
      <c r="E4487" t="n">
        <v>7</v>
      </c>
      <c r="F4487">
        <f>HYPERLINK("https://www.reddit.com/r/diabetes/comments/87bin2/type_1_i_havent_been_able_to_get_myself_under_200/")</f>
        <v/>
      </c>
      <c r="G4487" t="inlineStr">
        <is>
          <t>2018-03-26 11:38:57</t>
        </is>
      </c>
      <c r="H4487" t="inlineStr">
        <is>
          <t>Type 1</t>
        </is>
      </c>
    </row>
    <row r="4488">
      <c r="A4488" t="inlineStr">
        <is>
          <t>87cd9y</t>
        </is>
      </c>
      <c r="B4488" t="inlineStr">
        <is>
          <t>Dexcom sensor—when to replace?</t>
        </is>
      </c>
      <c r="C4488" t="inlineStr">
        <is>
          <t>I put my Dexcom sensor on 2 weeks ago, and I know you're *technically* supposed to change it every week, but I've managed to make it last up until today.  When should I change it? 
 My original plan was to keep it on until I get the "???" readings I've heard about, but I haven't gotten any so far.  However, I've noticed that within the past few days, the periods of signal loss have become more frequent, and sometimes last several hours at a time.  Is this a sign to replace it?  I'd love to keep it on until I get the "???" reading since Dexcoms are pricey, but I'm not sure if signal loss is a good enough reason to do so.</t>
        </is>
      </c>
      <c r="D4488" t="n">
        <v>2</v>
      </c>
      <c r="E4488" t="n">
        <v>5</v>
      </c>
      <c r="F4488">
        <f>HYPERLINK("https://www.reddit.com/r/diabetes/comments/87cd9y/dexcom_sensorwhen_to_replace/")</f>
        <v/>
      </c>
      <c r="G4488" t="inlineStr">
        <is>
          <t>2018-03-26 13:23:35</t>
        </is>
      </c>
      <c r="H4488" t="inlineStr">
        <is>
          <t>Type 1</t>
        </is>
      </c>
    </row>
    <row r="4489">
      <c r="A4489" t="inlineStr">
        <is>
          <t>87dseb</t>
        </is>
      </c>
      <c r="B4489" t="inlineStr">
        <is>
          <t>Possible Diagnosis Help</t>
        </is>
      </c>
      <c r="C4489" t="inlineStr">
        <is>
          <t>Hello. I have a question about some symptoms I am experiencing. Throughout the day i feel completely normal. However, after I eat I experience the common symptoms of blurred vision, extreme thirst, constantly being hungry, etc. I measured my blood sugar right after eating and it was 97 while these symptoms were occurring. I have had my a1c tested twice before within the last 8 months and it was 5.3 and then 5.1. Thanks in advance</t>
        </is>
      </c>
      <c r="D4489" t="n">
        <v>3</v>
      </c>
      <c r="E4489" t="n">
        <v>2</v>
      </c>
      <c r="F4489">
        <f>HYPERLINK("https://www.reddit.com/r/diabetes/comments/87dseb/possible_diagnosis_help/")</f>
        <v/>
      </c>
      <c r="G4489" t="inlineStr">
        <is>
          <t>2018-03-26 16:33:57</t>
        </is>
      </c>
      <c r="H4489" t="inlineStr">
        <is>
          <t>Type 2</t>
        </is>
      </c>
    </row>
    <row r="4490">
      <c r="A4490" t="inlineStr">
        <is>
          <t>87dtdw</t>
        </is>
      </c>
      <c r="B4490" t="inlineStr">
        <is>
          <t>Newbie A1C 9.9</t>
        </is>
      </c>
      <c r="C4490" t="inlineStr">
        <is>
          <t>Hey all, just wanted to thank everyone for their involvement here -- have learned a lot. Newly diagnosed, been doing low carb for last 2-3 weeks. Daily numbers are coming down. On the good ol' Metformin 2 500 MG a day. Should I take with meals or between?
Again, thank you everyone who posts here.</t>
        </is>
      </c>
      <c r="D4490" t="n">
        <v>8</v>
      </c>
      <c r="E4490" t="n">
        <v>16</v>
      </c>
      <c r="F4490">
        <f>HYPERLINK("https://www.reddit.com/r/diabetes/comments/87dtdw/newbie_a1c_99/")</f>
        <v/>
      </c>
      <c r="G4490" t="inlineStr">
        <is>
          <t>2018-03-26 16:38:19</t>
        </is>
      </c>
      <c r="H4490" t="inlineStr">
        <is>
          <t>Type 2</t>
        </is>
      </c>
    </row>
    <row r="4491">
      <c r="A4491" t="inlineStr">
        <is>
          <t>87eb3x</t>
        </is>
      </c>
      <c r="B4491" t="inlineStr">
        <is>
          <t>Diabetes Type 1 + Depression/Mental Issues</t>
        </is>
      </c>
      <c r="C4491" t="inlineStr">
        <is>
          <t>Hi, I'm getting admitted to hospital for too high bloodsugar 4-5 times a year now, i've had diabetes for about 3 years now and my mental issued has just gotten worse and worse. Im often so depressed that i wont take any insulin and not care about what i eat.
My doctors has never come across this combination with diabetes and mental issues before, so all they say to me is stuff like: "If you dont take insulin you'll get severe problems later in life." and "You just have to motivate yourself." But in periods like these its very hard to have any motivation at all, and to even care about what happens later.
Does anyone else have any experience with this sort of thing, and any advice on what to do in these situations? Please help, Thanks.</t>
        </is>
      </c>
      <c r="D4491" t="n">
        <v>4</v>
      </c>
      <c r="E4491" t="n">
        <v>13</v>
      </c>
      <c r="F4491">
        <f>HYPERLINK("https://www.reddit.com/r/diabetes/comments/87eb3x/diabetes_type_1_depressionmental_issues/")</f>
        <v/>
      </c>
      <c r="G4491" t="inlineStr">
        <is>
          <t>2018-03-26 17:51:00</t>
        </is>
      </c>
      <c r="H4491" t="inlineStr">
        <is>
          <t>Type 1</t>
        </is>
      </c>
    </row>
    <row r="4492">
      <c r="A4492" t="inlineStr">
        <is>
          <t>87f2cb</t>
        </is>
      </c>
      <c r="B4492" t="inlineStr">
        <is>
          <t>Supposedly new diagnosis but unsure</t>
        </is>
      </c>
      <c r="C4492" t="inlineStr">
        <is>
          <t>Hi all
I had my results evaluated and my fasting glucose came out within normal ranges, but my A1C had hit 6.8; I had a test 6 months ago that had me at 6.5
I don't recall being thirsty or using the bathroom more, but I figured now's the time to hunker down and figure out my scenario. This isn't a common occurrence is it?</t>
        </is>
      </c>
      <c r="D4492" t="n">
        <v>3</v>
      </c>
      <c r="E4492" t="n">
        <v>20</v>
      </c>
      <c r="F4492">
        <f>HYPERLINK("https://www.reddit.com/r/diabetes/comments/87f2cb/supposedly_new_diagnosis_but_unsure/")</f>
        <v/>
      </c>
      <c r="G4492" t="inlineStr">
        <is>
          <t>2018-03-26 19:47:44</t>
        </is>
      </c>
      <c r="H4492" t="inlineStr">
        <is>
          <t>Type 2</t>
        </is>
      </c>
    </row>
    <row r="4493">
      <c r="A4493" t="inlineStr">
        <is>
          <t>87gha8</t>
        </is>
      </c>
      <c r="B4493" t="inlineStr">
        <is>
          <t>Best way to figure out carb ratio/correction factor?</t>
        </is>
      </c>
      <c r="C4493" t="inlineStr">
        <is>
          <t xml:space="preserve">Hey there. Newly diagnosed T1 and I have my first endocrinologist appointment Wednesday, but I thought I'd get some suggestions here so I can go in with some knowledge.
For the past week since I got out of the hospital I've been bolusing 6 units per meal, but my meals have all been around 5-15 carbs and heavy in protein. I've been around the 100-250 range basically doing this low carb diet, but it's pretty unpredictable with the high protein and fat conversion that I have no clue about.
I'm kind of scared to even try the 1:10 ratio with a 60 carb meal like suggested since I'm used to doing low carb now. Since I'm getting highs just doing high protein and low carb, I'm afraid of what will happen if I do a 'normal' carb meal. I feel like I screwed myself by jumping into low carb without giving regular meals a chance, but I'm just too scared of going super high and getting DKA again.
Anyways, as the title says, what would be the best way to figure out my carb ratio/correction factor? 
Thanks. </t>
        </is>
      </c>
      <c r="D4493" t="n">
        <v>5</v>
      </c>
      <c r="E4493" t="n">
        <v>13</v>
      </c>
      <c r="F4493">
        <f>HYPERLINK("https://www.reddit.com/r/diabetes/comments/87gha8/best_way_to_figure_out_carb_ratiocorrection_factor/")</f>
        <v/>
      </c>
      <c r="G4493" t="inlineStr">
        <is>
          <t>2018-03-27 00:19:05</t>
        </is>
      </c>
      <c r="H4493" t="inlineStr">
        <is>
          <t>Type 1</t>
        </is>
      </c>
    </row>
    <row r="4494">
      <c r="A4494" t="inlineStr">
        <is>
          <t>87iilk</t>
        </is>
      </c>
      <c r="B4494" t="inlineStr">
        <is>
          <t>Pre-bolusing with novorapid</t>
        </is>
      </c>
      <c r="C4494" t="inlineStr">
        <is>
          <t>My endo changed my insulin from humalog to novorapid about a week ago. She said she did it because she ment I should not wait 15 mins before eating like I have done before with the humalog. The annoying thing now is that before eating my BS is at 4.2 mmol and then one and a half hour later it is 11 mmol... is this because I do not pre bolus or is it because it is too little insulin? And how long pre-bolus waiting time is there on the novorapid? :)</t>
        </is>
      </c>
      <c r="D4494" t="n">
        <v>5</v>
      </c>
      <c r="E4494" t="n">
        <v>17</v>
      </c>
      <c r="F4494">
        <f>HYPERLINK("https://www.reddit.com/r/diabetes/comments/87iilk/prebolusing_with_novorapid/")</f>
        <v/>
      </c>
      <c r="G4494" t="inlineStr">
        <is>
          <t>2018-03-27 06:44:31</t>
        </is>
      </c>
      <c r="H4494" t="inlineStr">
        <is>
          <t>Type 1</t>
        </is>
      </c>
    </row>
    <row r="4495">
      <c r="A4495" t="inlineStr">
        <is>
          <t>87ngb4</t>
        </is>
      </c>
      <c r="B4495" t="inlineStr">
        <is>
          <t>Question about bolus dosing and candy/large meals</t>
        </is>
      </c>
      <c r="C4495" t="inlineStr">
        <is>
          <t>So... just got diagnosed with T1 this weekend.  I'm trying to understand the rules for the bolus dosing.  Most of it makes sense, if my ratio is 10 grams to 1 unit and I want to eat something that's 50 grams, I take 5 units.  
The thing about that math that's confusing for me is the extreme cases, that don't seem so extreme... let's take a fun example.  Swedish fish.  They come in small bags that are 50 grams.  If I went nuts and gorged and ate 10 bags, am I really supposed to take 50 bolus units??
I mean, there are meals I used to eat that could easily be 500 carbs.  Special occasion type meals.  Are these feasible to dose for or are these a no go anymore?</t>
        </is>
      </c>
      <c r="D4495" t="n">
        <v>4</v>
      </c>
      <c r="E4495" t="n">
        <v>9</v>
      </c>
      <c r="F4495">
        <f>HYPERLINK("https://www.reddit.com/r/diabetes/comments/87ngb4/question_about_bolus_dosing_and_candylarge_meals/")</f>
        <v/>
      </c>
      <c r="G4495" t="inlineStr">
        <is>
          <t>2018-03-27 17:03:48</t>
        </is>
      </c>
      <c r="H4495" t="inlineStr">
        <is>
          <t>Type 1</t>
        </is>
      </c>
    </row>
    <row r="4496">
      <c r="A4496" t="inlineStr">
        <is>
          <t>87oohg</t>
        </is>
      </c>
      <c r="B4496" t="inlineStr">
        <is>
          <t>Diabetic of 12 years and ready to throw in the towel on life.</t>
        </is>
      </c>
      <c r="C4496" t="inlineStr">
        <is>
          <t xml:space="preserve">I lost my insurance in September...and despite having a lot of insulin and equipment available to me....I'm losing control of it.
I literally don't eat, and it's still impossible to gain any semblance of control.
I was recently misdiagnosed with another issue...now they think it's IBS...I can't eat food without chronic diarrhea no matter what I do...so I only really eat twice a day and it's mostly fruit/veggies/meat...and every fucking night it's the same shit with my blood sugars.
It drops to the 40s in the middle of the night...but no matter what I do (or don't do), I still wake up in the 300s.
[Here's a screen shot from my CGM from last night](https://i.imgur.com/CsprQsI.png?1)...I dropped down to 40...I ate like...6 jelly beans in bed to course correct..but it just stayed 40-50 for about 2-3 hours...and then bam, I woke up above 350...
My last doctor recommended I split up my Lantus dose...for no apparent reason...I take 12 in the morning and 8 at night...and yeah. It's fucking pointless. I might as well just stop taking insulin all together and let my decaying body finish the job. </t>
        </is>
      </c>
      <c r="D4496" t="n">
        <v>5</v>
      </c>
      <c r="E4496" t="n">
        <v>24</v>
      </c>
      <c r="F4496">
        <f>HYPERLINK("https://www.reddit.com/r/diabetes/comments/87oohg/diabetic_of_12_years_and_ready_to_throw_in_the/")</f>
        <v/>
      </c>
      <c r="G4496" t="inlineStr">
        <is>
          <t>2018-03-27 20:11:54</t>
        </is>
      </c>
      <c r="H4496" t="inlineStr">
        <is>
          <t>Type 1</t>
        </is>
      </c>
    </row>
    <row r="4497">
      <c r="A4497" t="inlineStr">
        <is>
          <t>87oyi3</t>
        </is>
      </c>
      <c r="B4497" t="inlineStr">
        <is>
          <t>Sitaglipton and Low Insulin</t>
        </is>
      </c>
      <c r="C4497" t="inlineStr">
        <is>
          <t xml:space="preserve">Hey Guys,
I was diagnosed with diabetes back in July (male,age 32) and when I first had my blood glucose tested it was approximately 11.3 mmol/L (Canadian measurement of blood glucose). I began researching type 2 diabetes  online and started a keto diet. I dropped my A1C from 11.3 to 5.6 in three months. My Endocrinologist told me I know longer had to take metformin and told me checking my blood glucose often was no longer necessary. My bloodwork came back negative for antibodies related to type 1. She suspects though that I am currently in the "honeymoon phase" and that eventually my pancreas will fail and I will be type 1 diabetic. She suspects so because both my sisters developed adult type 1 diabetes after their respective pregnancies (both at age 25). Also because I have a thin body type. There is a history of type 2 in my extended family (my cousin, and both my late grandparents). My Endo also pointed out that I have low insulin level. I am on the low end of the scale in that regards. I countered that I am on a low-carb diet so my pancreas wouldn't have to create as much insulin but her opinion is unchanged. She wants me to either start taking small doses of insulin (units that a child would take) to help regulate my insulin levels or to start taking a drug called Sitaglipton which would slow down the failure of my pancreas. I asked if it had any side effects and she said no. Anyone have experience with the drug? Furthermore, does low insulin levels, my immediate family history, and body type really make it an open shut case that I will eventually turn into type 1? </t>
        </is>
      </c>
      <c r="D4497" t="n">
        <v>2</v>
      </c>
      <c r="E4497" t="n">
        <v>3</v>
      </c>
      <c r="F4497">
        <f>HYPERLINK("https://www.reddit.com/r/diabetes/comments/87oyi3/sitaglipton_and_low_insulin/")</f>
        <v/>
      </c>
      <c r="G4497" t="inlineStr">
        <is>
          <t>2018-03-27 21:00:07</t>
        </is>
      </c>
      <c r="H4497" t="inlineStr">
        <is>
          <t>Type 2</t>
        </is>
      </c>
    </row>
    <row r="4498">
      <c r="A4498" t="inlineStr">
        <is>
          <t>87pocc</t>
        </is>
      </c>
      <c r="B4498" t="inlineStr">
        <is>
          <t>I haven’t taken any insulin in two years as a type 1 Diabetic and I’m sure I’m slowly killing myself.</t>
        </is>
      </c>
      <c r="C4498" t="inlineStr">
        <is>
          <t>It all started when I noticed my weight significantly drop after a time period of my blood sugar shooting out of control, and I’ve been dealing with some depression.  After not taking it for a good amount of time I had lost about 200 pounds and I thought I looked great and got some decent amount of enjoyment out of looking the way I do.  So due to this I feared if I went back to taking shots I would gain all of my weight back and deal with more depression of being obese again.  Should I seek help?  Two years is a long time without any insulin seeing as I need this to live.  I am surprised I haven’t had any health issues to date yet..</t>
        </is>
      </c>
      <c r="D4498" t="n">
        <v>1</v>
      </c>
      <c r="E4498" t="n">
        <v>22</v>
      </c>
      <c r="F4498">
        <f>HYPERLINK("https://www.reddit.com/r/diabetes/comments/87pocc/i_havent_taken_any_insulin_in_two_years_as_a_type/")</f>
        <v/>
      </c>
      <c r="G4498" t="inlineStr">
        <is>
          <t>2018-03-27 23:19:22</t>
        </is>
      </c>
      <c r="H4498" t="inlineStr">
        <is>
          <t>Type 1</t>
        </is>
      </c>
    </row>
    <row r="4499">
      <c r="A4499" t="inlineStr">
        <is>
          <t>87rjr7</t>
        </is>
      </c>
      <c r="B4499" t="inlineStr">
        <is>
          <t>How to not feel like crap after a nighttime hypo?</t>
        </is>
      </c>
      <c r="C4499" t="inlineStr">
        <is>
          <t>Took way too long to get out of it last night, had to wake up early and woke up high af. Been on the couch doing nothing for the past couple hours now. What to do?</t>
        </is>
      </c>
      <c r="D4499" t="n">
        <v>6</v>
      </c>
      <c r="E4499" t="n">
        <v>3</v>
      </c>
      <c r="F4499">
        <f>HYPERLINK("https://www.reddit.com/r/diabetes/comments/87rjr7/how_to_not_feel_like_crap_after_a_nighttime_hypo/")</f>
        <v/>
      </c>
      <c r="G4499" t="inlineStr">
        <is>
          <t>2018-03-28 05:37:22</t>
        </is>
      </c>
      <c r="H4499" t="inlineStr">
        <is>
          <t>Type 1</t>
        </is>
      </c>
    </row>
    <row r="4500">
      <c r="A4500" t="inlineStr">
        <is>
          <t>87t1sw</t>
        </is>
      </c>
      <c r="B4500" t="inlineStr">
        <is>
          <t>Still hesitating when I'm about to inject insulin, suggestions?</t>
        </is>
      </c>
      <c r="C4500" t="inlineStr">
        <is>
          <t>When I am about to inject, I still hesitate a lot. I keep pinching skin, paranoid that I may be pinching muscle. That's also because sometimes in the past, I did feel some pain when injecting.
So I sit there, pinching skin, trying to make sure that the pinch is perfect, then hesitating again, and after what feels like an eternity, I finally insert the needle.
Is it true that inserting it quickly actually prevents pain? Any suggestions on how to fight my hesitations?
EDIT: I forgot to add: I am using 6mm needles. Perhaps I could try out 4 or 5 mm ones.</t>
        </is>
      </c>
      <c r="D4500" t="n">
        <v>2</v>
      </c>
      <c r="E4500" t="n">
        <v>18</v>
      </c>
      <c r="F4500">
        <f>HYPERLINK("https://www.reddit.com/r/diabetes/comments/87t1sw/still_hesitating_when_im_about_to_inject_insulin/")</f>
        <v/>
      </c>
      <c r="G4500" t="inlineStr">
        <is>
          <t>2018-03-28 09:00:00</t>
        </is>
      </c>
      <c r="H4500" t="inlineStr">
        <is>
          <t>Type 1</t>
        </is>
      </c>
    </row>
    <row r="4501">
      <c r="A4501" t="inlineStr">
        <is>
          <t>87v8i6</t>
        </is>
      </c>
      <c r="B4501" t="inlineStr">
        <is>
          <t>What can I eat</t>
        </is>
      </c>
      <c r="C4501" t="inlineStr">
        <is>
          <t>newly diagnosed t2, wasnt eating "bad" to start with. I occasionally ate sweets (1-2 reese monthly) Pop was a big part of my life but I cold turkey switched to water. Sugar has been hovering around 150 since I started Metfomin 500mg 2x daily. Lowest it has been was 116 since testing. A1C was at 8.3 a week ago. What can I eat??? I have pretty much been fasting 24/7 outside of a small meal per day. Yesterday is was 168 after 14 hours of fasting and 45-1hr after dinner was 152. What is going on? Can I eat anything other that nuts? Honestly didn't think I had to give up everything. Doctor says that with Height/Weight I have a metabolic of 2600 calories and I utilize maybe 1500 per day even eating my pre-diabetic diagnoses. What can I do???</t>
        </is>
      </c>
      <c r="D4501" t="n">
        <v>4</v>
      </c>
      <c r="E4501" t="n">
        <v>11</v>
      </c>
      <c r="F4501">
        <f>HYPERLINK("https://www.reddit.com/r/diabetes/comments/87v8i6/what_can_i_eat/")</f>
        <v/>
      </c>
      <c r="G4501" t="inlineStr">
        <is>
          <t>2018-03-28 13:24:21</t>
        </is>
      </c>
      <c r="H4501" t="inlineStr">
        <is>
          <t>Type 2</t>
        </is>
      </c>
    </row>
    <row r="4502">
      <c r="A4502" t="inlineStr">
        <is>
          <t>87w0lw</t>
        </is>
      </c>
      <c r="B4502" t="inlineStr">
        <is>
          <t>I almost feel like I don’t belong.</t>
        </is>
      </c>
      <c r="C4502" t="inlineStr">
        <is>
          <t>So i was diagnosed with type 2 about a month ago. Been on 2000mg a day of metformin and test my sugar once a day. Low carb diet. I got to talking to a few type 1 people who work in my office and I was instantly snubbed and was told that “You can never relate, you were just a pig of an eater and got what you deserved. “ I was taken aback by this because honestly i was just curious to know some of their good recipes for stuff as I change my diet. I ended up just walking away rather peeved.  
Now, on this sub, I see a lot of posts from T1 folk, but really havent seen any negativity, so it makes me feel ok to add to the conversation here when I can and ask questions.  
Thanks for being a great sub filled with nice people. 
Edit: well I can see this sub is pretty divided too... Sorry. I wonder if it would be best if T1 and T2 should segregate subs as so many of you have PM'd me about... Now I just feel like more shit.</t>
        </is>
      </c>
      <c r="D4502" t="n">
        <v>57</v>
      </c>
      <c r="E4502" t="n">
        <v>66</v>
      </c>
      <c r="F4502">
        <f>HYPERLINK("https://www.reddit.com/r/diabetes/comments/87w0lw/i_almost_feel_like_i_dont_belong/")</f>
        <v/>
      </c>
      <c r="G4502" t="inlineStr">
        <is>
          <t>2018-03-28 15:05:07</t>
        </is>
      </c>
      <c r="H4502" t="inlineStr">
        <is>
          <t>Type 2</t>
        </is>
      </c>
    </row>
    <row r="4503">
      <c r="A4503" t="inlineStr">
        <is>
          <t>87xoug</t>
        </is>
      </c>
      <c r="B4503" t="inlineStr">
        <is>
          <t>Advice on getting CGM &amp;amp; pump covered</t>
        </is>
      </c>
      <c r="C4503" t="inlineStr">
        <is>
          <t>I have private insurance through my employer.  My prescription provider is CVS Caremark.  Despite working for one of the biggest food companies in the U.S., my medical/prescription insurance is terrible.  They will only cover syringes and vials (and only a few types of insulin) - no CGMs or pumps from any manufacturer.  Not only are the CGMs and pumps not covered, the out-of-pocket cost for them doesn't even go towards my deductible.  Meaning, even if I meet my deductible, they still aren't covered at any level.
So, I'm on MDI and my A1C is generally 5-5.5.  Yes, good, but I have been using a FreeStyle Libre for the past 2 months (out of pocket, of course) and I'm finding that my control isn't as good as my A1C might suggest.  A LOT of nighttime lows for extended periods.  I'll wake up with a BG in the 70s and feel like I didn't sleep well.  Now I know why.
So, I have heard that a letter can be provided by a doctor to make a case for coverage of a CGM or pump when the insurance does not cover it.  Can anyone provide me with any tips on how to go about this?  I have an appt with my endo in a week and would like to have this discussion with her.
I also like the idea of the OmniPod, but the pump is a secondary priority to the CGM.  Not even sure if a case can be made for a pump.
Thanks for any help!</t>
        </is>
      </c>
      <c r="D4503" t="n">
        <v>5</v>
      </c>
      <c r="E4503" t="n">
        <v>12</v>
      </c>
      <c r="F4503">
        <f>HYPERLINK("https://www.reddit.com/r/diabetes/comments/87xoug/advice_on_getting_cgm_pump_covered/")</f>
        <v/>
      </c>
      <c r="G4503" t="inlineStr">
        <is>
          <t>2018-03-28 19:14:09</t>
        </is>
      </c>
      <c r="H4503" t="inlineStr">
        <is>
          <t>Type 1</t>
        </is>
      </c>
    </row>
    <row r="4504">
      <c r="A4504" t="inlineStr">
        <is>
          <t>87y0qk</t>
        </is>
      </c>
      <c r="B4504" t="inlineStr">
        <is>
          <t>Chances of child getting T1D?</t>
        </is>
      </c>
      <c r="C4504" t="inlineStr">
        <is>
          <t xml:space="preserve">So this is something that’s been on my mind a lot and I cannot for the life of me find anything online that helps. Maybe I’m just not looking hard enough. 
I know that the chances of a child with T1D parent is either 1:25 or 1:50, but does anybody know what the chances would be if both parents were T1D?
My boyfriend and I both are, he wants to adopt, not have our own,  because in his mind there’s like a 100% chance. I wouldn’t mind adopting... But I want to have a child as well. 
It literally breaks my heart to think I may never be able to. I’m sure some of y’all can relate. </t>
        </is>
      </c>
      <c r="D4504" t="n">
        <v>4</v>
      </c>
      <c r="E4504" t="n">
        <v>35</v>
      </c>
      <c r="F4504">
        <f>HYPERLINK("https://www.reddit.com/r/diabetes/comments/87y0qk/chances_of_child_getting_t1d/")</f>
        <v/>
      </c>
      <c r="G4504" t="inlineStr">
        <is>
          <t>2018-03-28 20:07:45</t>
        </is>
      </c>
      <c r="H4504" t="inlineStr">
        <is>
          <t>Type 1</t>
        </is>
      </c>
    </row>
    <row r="4505">
      <c r="A4505" t="inlineStr">
        <is>
          <t>87ycsh</t>
        </is>
      </c>
      <c r="B4505" t="inlineStr">
        <is>
          <t>For those with Necrobiosis Lipoitica</t>
        </is>
      </c>
      <c r="C4505" t="inlineStr">
        <is>
          <t>I’ve responded to a few similar posts about this, but I just wanted to give an update to anyone who’s looking. I’ve had numerous spots over several years and hated them so much. Last year I went to a dermatologist who just kept giving me corticosteroid injections in the spots every month. I was despairing bc it didn’t seem to be working, but after a few months, even with years-old spots, the difference is remarkable!! She also prescribed me a retinol cream to build up some of the spots after they atrophied a bit, and we kept going, and oh my god, they look SO MUCH BETTER! If anyone is despairing over NLD, try this with a good dermatologist. 5-6 months of monthly injections (painful I know), plus tretinoin cream (0.025%) to combat atrophy. Obviously it’s different for everyone, and I have great insurance which made it much easier. I can post pics if anyone wants but my confidence has skyrocketed since. Have hope!</t>
        </is>
      </c>
      <c r="D4505" t="n">
        <v>9</v>
      </c>
      <c r="E4505" t="n">
        <v>4</v>
      </c>
      <c r="F4505">
        <f>HYPERLINK("https://www.reddit.com/r/diabetes/comments/87ycsh/for_those_with_necrobiosis_lipoitica/")</f>
        <v/>
      </c>
      <c r="G4505" t="inlineStr">
        <is>
          <t>2018-03-28 21:06:06</t>
        </is>
      </c>
      <c r="H4505" t="inlineStr">
        <is>
          <t>Type 1</t>
        </is>
      </c>
    </row>
    <row r="4506">
      <c r="A4506" t="inlineStr">
        <is>
          <t>87zkso</t>
        </is>
      </c>
      <c r="B4506" t="inlineStr">
        <is>
          <t>How do highs or lows damage the body and how serious are these damages?</t>
        </is>
      </c>
      <c r="C4506" t="inlineStr">
        <is>
          <t>Thanks to a low carb diet and workout, my blood sugar is better than ever. But yesterday, my dad and I ate outside, it is this chicken place that gives a salad, some pasta and chicken with a long plate, forgot to order more salad instead of pasta so I said "I can insulin for this", came back home with 220 BG.
Now it is back to 110-130 range but I'm curious, how did those 2-3 hours of 220 BG damage me and is that like, less severe than something less severe than let's say bruising my knee, and does that damage heal?
Same with lows, I don't have severe lows, 70-80 at worst.
So my blood sugar is like, 100-130 on average, but how bad is it when it goes low or high? Is it too damaging and does that damage heal? Should I be worried about such rare bumps and dips?</t>
        </is>
      </c>
      <c r="D4506" t="n">
        <v>6</v>
      </c>
      <c r="E4506" t="n">
        <v>6</v>
      </c>
      <c r="F4506">
        <f>HYPERLINK("https://www.reddit.com/r/diabetes/comments/87zkso/how_do_highs_or_lows_damage_the_body_and_how/")</f>
        <v/>
      </c>
      <c r="G4506" t="inlineStr">
        <is>
          <t>2018-03-29 01:14:22</t>
        </is>
      </c>
      <c r="H4506" t="inlineStr">
        <is>
          <t>Type 1</t>
        </is>
      </c>
    </row>
    <row r="4507">
      <c r="A4507" t="inlineStr">
        <is>
          <t>8801s5</t>
        </is>
      </c>
      <c r="B4507" t="inlineStr">
        <is>
          <t>Walmart insulin for highs?</t>
        </is>
      </c>
      <c r="C4507" t="inlineStr">
        <is>
          <t xml:space="preserve">I've been thinking of having some Walmart insulin on hand for my super highs, but am unsure of anything having to do with insulin. I am currently on 500mg of metformin twice daily, 5mg of glipizide once daily, and 1.2mg of Victoza once daily. My A1c was 9.1 as of March 2nd. I don't have an appointment for another month should I get one sooner? Should I just see about getting an appointment with an endo? Do I need to get a referral from my family doctor? </t>
        </is>
      </c>
      <c r="D4507" t="n">
        <v>4</v>
      </c>
      <c r="E4507" t="n">
        <v>8</v>
      </c>
      <c r="F4507">
        <f>HYPERLINK("https://www.reddit.com/r/diabetes/comments/8801s5/walmart_insulin_for_highs/")</f>
        <v/>
      </c>
      <c r="G4507" t="inlineStr">
        <is>
          <t>2018-03-29 03:00:39</t>
        </is>
      </c>
      <c r="H4507" t="inlineStr">
        <is>
          <t>Type 2</t>
        </is>
      </c>
    </row>
    <row r="4508">
      <c r="A4508" t="inlineStr">
        <is>
          <t>881dcq</t>
        </is>
      </c>
      <c r="B4508" t="inlineStr">
        <is>
          <t>Day 1 using my Dexcom!</t>
        </is>
      </c>
      <c r="C4508" t="inlineStr">
        <is>
          <t>I finally got a Dexcom after years of putting it off for various reasons.  It's so exciting to see my trends through the overnight...lots of up and down movement, all within range thankfully.
The sheer amount of data is addictive, though.  I'm trying to remind myself not to keep checking it every 5 minutes.  For now, I'm just using the receiver...is the whole xdrip app thing easy?  I would love to use it with a smart watch, but android watches are obnoxiously large.  Anybody have suggestions on a good, affordable set up that isn't apple?</t>
        </is>
      </c>
      <c r="D4508" t="n">
        <v>8</v>
      </c>
      <c r="E4508" t="n">
        <v>8</v>
      </c>
      <c r="F4508">
        <f>HYPERLINK("https://www.reddit.com/r/diabetes/comments/881dcq/day_1_using_my_dexcom/")</f>
        <v/>
      </c>
      <c r="G4508" t="inlineStr">
        <is>
          <t>2018-03-29 06:45:40</t>
        </is>
      </c>
      <c r="H4508" t="inlineStr">
        <is>
          <t>Type 1</t>
        </is>
      </c>
    </row>
    <row r="4509">
      <c r="A4509" t="inlineStr">
        <is>
          <t>88430c</t>
        </is>
      </c>
      <c r="B4509" t="inlineStr">
        <is>
          <t>Intermittent fasting with metformin</t>
        </is>
      </c>
      <c r="C4509" t="inlineStr">
        <is>
          <t xml:space="preserve">I'm wondering if any of you have tried intermittent fasting while taking metformin? I'm very seriously considering trying some variation of a fasting diet, but my biggest concern is taking my metformin. I have to eat with it and that is concerning to me. Did it work for you? </t>
        </is>
      </c>
      <c r="D4509" t="n">
        <v>2</v>
      </c>
      <c r="E4509" t="n">
        <v>9</v>
      </c>
      <c r="F4509">
        <f>HYPERLINK("https://www.reddit.com/r/diabetes/comments/88430c/intermittent_fasting_with_metformin/")</f>
        <v/>
      </c>
      <c r="G4509" t="inlineStr">
        <is>
          <t>2018-03-29 12:17:38</t>
        </is>
      </c>
      <c r="H4509" t="inlineStr">
        <is>
          <t>Type 2</t>
        </is>
      </c>
    </row>
    <row r="4510">
      <c r="A4510" t="inlineStr">
        <is>
          <t>88430x</t>
        </is>
      </c>
      <c r="B4510" t="inlineStr">
        <is>
          <t>Want to say thank you to everybody on this form</t>
        </is>
      </c>
      <c r="C4510" t="inlineStr">
        <is>
          <t xml:space="preserve">I was recently diagnosed @22 with Type 1 Diabetes (A1Cs @ 11.4) I felt like my life was over. Thanks to reading this form i learned alot in such a small period of time. My Doctor was in complete shock when i went for my check up last week and my A1Cs were at 5.9 : ) I never had the courage to post anything, i would just read. I had a million questions and most of them where answered by this form. I can't say my life is the same as it was before i was diagnosed but its pretty dam close. Im grateful that i can be part of a group of strong individuals that are fighting for there life everyday meanwhile helping others. If anyone wants to make a new T1 friend im only a message away. We can fight together! </t>
        </is>
      </c>
      <c r="D4510" t="n">
        <v>42</v>
      </c>
      <c r="E4510" t="n">
        <v>21</v>
      </c>
      <c r="F4510">
        <f>HYPERLINK("https://www.reddit.com/r/diabetes/comments/88430x/want_to_say_thank_you_to_everybody_on_this_form/")</f>
        <v/>
      </c>
      <c r="G4510" t="inlineStr">
        <is>
          <t>2018-03-29 12:17:42</t>
        </is>
      </c>
      <c r="H4510" t="inlineStr">
        <is>
          <t>Type 1</t>
        </is>
      </c>
    </row>
    <row r="4511">
      <c r="A4511" t="inlineStr">
        <is>
          <t>888l5h</t>
        </is>
      </c>
      <c r="B4511" t="inlineStr">
        <is>
          <t>Can’t find out my right bolus</t>
        </is>
      </c>
      <c r="C4511" t="inlineStr">
        <is>
          <t>For breakfast I eat 45g and take 1:15 and then 1 hour and a half after it goes up from 5,5 mmol to 11,2 mmol, which is alright. The thing is it never goes down! I heard my doctor say that If it goes up the right amount but not down, it is the basal which is too low and not the mealtime insulin. Which one is it?</t>
        </is>
      </c>
      <c r="D4511" t="n">
        <v>0</v>
      </c>
      <c r="E4511" t="n">
        <v>20</v>
      </c>
      <c r="F4511">
        <f>HYPERLINK("https://www.reddit.com/r/diabetes/comments/888l5h/cant_find_out_my_right_bolus/")</f>
        <v/>
      </c>
      <c r="G4511" t="inlineStr">
        <is>
          <t>2018-03-30 00:15:05</t>
        </is>
      </c>
      <c r="H4511" t="inlineStr">
        <is>
          <t>Type 1</t>
        </is>
      </c>
    </row>
    <row r="4512">
      <c r="A4512" t="inlineStr">
        <is>
          <t>88a7ku</t>
        </is>
      </c>
      <c r="B4512" t="inlineStr">
        <is>
          <t>Switched from Tresiba to Levemir...</t>
        </is>
      </c>
      <c r="C4512" t="inlineStr">
        <is>
          <t>Hello r/diabetes!
I quit using my insulin pump since I could no longer afford the supplies, and my endo gave me some Tresiba samples. Tresiba seemed to work really well, and I saw improvements in my glucose levels that I hadn't seen in a while. I did wake up low several times, but overall was good. Unfortunately, my insurance would not cover Tresiba so I was prescribed Levemir. Well, I don't know if I have a bad batch or what but lately using Levemir, my glucose levels are not great. Shortly after switching, my levels were still good but idk what's going on now.
I was/am taking 56 units once in the morning. Perhaps I should split this up with the Levemir? Would that even out my glucose levels again?</t>
        </is>
      </c>
      <c r="D4512" t="n">
        <v>9</v>
      </c>
      <c r="E4512" t="n">
        <v>13</v>
      </c>
      <c r="F4512">
        <f>HYPERLINK("https://www.reddit.com/r/diabetes/comments/88a7ku/switched_from_tresiba_to_levemir/")</f>
        <v/>
      </c>
      <c r="G4512" t="inlineStr">
        <is>
          <t>2018-03-30 06:10:19</t>
        </is>
      </c>
      <c r="H4512" t="inlineStr">
        <is>
          <t>Type 1</t>
        </is>
      </c>
    </row>
    <row r="4513">
      <c r="A4513" t="inlineStr">
        <is>
          <t>88c04i</t>
        </is>
      </c>
      <c r="B4513" t="inlineStr">
        <is>
          <t>Upgrading my insulin pump from a Medtronic veo to a 640g</t>
        </is>
      </c>
      <c r="C4513" t="inlineStr">
        <is>
          <t xml:space="preserve">Hi everyone, I’m a few weeks away from upgrading my insulin pump and I was wondering if anyone here has the Medtronic 640g insulin pump and can share their experiences with it.
Thanks </t>
        </is>
      </c>
      <c r="D4513" t="n">
        <v>5</v>
      </c>
      <c r="E4513" t="n">
        <v>10</v>
      </c>
      <c r="F4513">
        <f>HYPERLINK("https://www.reddit.com/r/diabetes/comments/88c04i/upgrading_my_insulin_pump_from_a_medtronic_veo_to/")</f>
        <v/>
      </c>
      <c r="G4513" t="inlineStr">
        <is>
          <t>2018-03-30 10:16:53</t>
        </is>
      </c>
      <c r="H4513" t="inlineStr">
        <is>
          <t>Type 1</t>
        </is>
      </c>
    </row>
    <row r="4514">
      <c r="A4514" t="inlineStr">
        <is>
          <t>88dvy7</t>
        </is>
      </c>
      <c r="B4514" t="inlineStr">
        <is>
          <t>Skiing the first time since I got type 1...any tips?</t>
        </is>
      </c>
      <c r="C4514" t="inlineStr">
        <is>
          <t xml:space="preserve">I'm in switzerland just now and we are going skiing tomorrow. It's the first time I've been skiing since getting type 1 (Im 14) I'm on a pump does anyone have any advice or certain things i should look out for? </t>
        </is>
      </c>
      <c r="D4514" t="n">
        <v>2</v>
      </c>
      <c r="E4514" t="n">
        <v>5</v>
      </c>
      <c r="F4514">
        <f>HYPERLINK("https://www.reddit.com/r/diabetes/comments/88dvy7/skiing_the_first_time_since_i_got_type_1any_tips/")</f>
        <v/>
      </c>
      <c r="G4514" t="inlineStr">
        <is>
          <t>2018-03-30 14:27:41</t>
        </is>
      </c>
      <c r="H4514" t="inlineStr">
        <is>
          <t>Type 1</t>
        </is>
      </c>
    </row>
    <row r="4515">
      <c r="A4515" t="inlineStr">
        <is>
          <t>88hl9x</t>
        </is>
      </c>
      <c r="B4515" t="inlineStr">
        <is>
          <t>Type one IDDM, wondering about diarrhea associated with diabetes.</t>
        </is>
      </c>
      <c r="C4515" t="inlineStr">
        <is>
          <t>hello all! I'm a type one diabetic and ive had chronic diarrhea for the last, I would say, 5 years. I'm going to be seen for this soon (waited so long because of insurance issues) but I was just wanting to post on here and see if anyone may have this same issue and if they'd like to share any information at all. It would be greatly appreciated. Cheers!</t>
        </is>
      </c>
      <c r="D4515" t="n">
        <v>4</v>
      </c>
      <c r="E4515" t="n">
        <v>7</v>
      </c>
      <c r="F4515">
        <f>HYPERLINK("https://www.reddit.com/r/diabetes/comments/88hl9x/type_one_iddm_wondering_about_diarrhea_associated/")</f>
        <v/>
      </c>
      <c r="G4515" t="inlineStr">
        <is>
          <t>2018-03-31 02:26:59</t>
        </is>
      </c>
      <c r="H4515" t="inlineStr">
        <is>
          <t>Type 1</t>
        </is>
      </c>
    </row>
    <row r="4516">
      <c r="A4516" t="inlineStr">
        <is>
          <t>88kxhc</t>
        </is>
      </c>
      <c r="B4516" t="inlineStr">
        <is>
          <t>Concerns Over Blood/Urine Results</t>
        </is>
      </c>
      <c r="C4516" t="inlineStr">
        <is>
          <t xml:space="preserve">So, I'm a newly diagnosed diabetic, about 7 months now. Yesterday, I got some concerning news about some urine / blood work and not sure what to think of it. 
Creatinine blood work (0.5 to 1.2) : 0.7
Albumin blood work (3.5 to 4.8) : 4.5 
POCT Urine Microalbumin (ratio 30-300)- 
Microalbumin: 150
Creatinine:300 
My blood pressure for the past two doctor appointments were well, being yesterday's was 124/77. My blood sugar improved from my first diagnosis being 7.9, to now being 6.8 
My doctor diagnosed me with Microalbuminuria and prescribed me Lisinopril 10 mg.
Being fairly new to all this, I am easily a little frightened. Is this heading to kidney disease pretty quickly, am I already there, or can I start fixing it now so I can potentially reverse it? I've never had any positive readings from kidney functions prior so this is my first hearing anything. 
</t>
        </is>
      </c>
      <c r="D4516" t="n">
        <v>12</v>
      </c>
      <c r="E4516" t="n">
        <v>7</v>
      </c>
      <c r="F4516">
        <f>HYPERLINK("https://www.reddit.com/r/diabetes/comments/88kxhc/concerns_over_bloodurine_results/")</f>
        <v/>
      </c>
      <c r="G4516" t="inlineStr">
        <is>
          <t>2018-03-31 12:14:02</t>
        </is>
      </c>
      <c r="H4516" t="inlineStr">
        <is>
          <t>Type 2</t>
        </is>
      </c>
    </row>
    <row r="4517">
      <c r="A4517" t="inlineStr">
        <is>
          <t>88ldb1</t>
        </is>
      </c>
      <c r="B4517" t="inlineStr">
        <is>
          <t>Comments on Fiasp</t>
        </is>
      </c>
      <c r="C4517" t="inlineStr">
        <is>
          <t xml:space="preserve">Been wondering about switching to Novo Nordics new aspart insulin and I'm wondering if you guys got any comments on it?
</t>
        </is>
      </c>
      <c r="D4517" t="n">
        <v>7</v>
      </c>
      <c r="E4517" t="n">
        <v>15</v>
      </c>
      <c r="F4517">
        <f>HYPERLINK("https://www.reddit.com/r/diabetes/comments/88ldb1/comments_on_fiasp/")</f>
        <v/>
      </c>
      <c r="G4517" t="inlineStr">
        <is>
          <t>2018-03-31 13:20:30</t>
        </is>
      </c>
      <c r="H4517" t="inlineStr">
        <is>
          <t>Type 1</t>
        </is>
      </c>
    </row>
    <row r="4518">
      <c r="A4518" t="inlineStr">
        <is>
          <t>88lzur</t>
        </is>
      </c>
      <c r="B4518" t="inlineStr">
        <is>
          <t>Are these values normal for the honeymoon phase?</t>
        </is>
      </c>
      <c r="C4518" t="inlineStr">
        <is>
          <t>I was diagnosed 4 weeks ago with T1D. Since then, I have been practicing my bolusing, and tried to optimize my basal. The thing is though, my fasting blood sugar is always around 70-90 mg/dL. After eating, well it depends on what exactly, with lots of carbs it can go slightly above 200 (highest was 212 mg/dL so far), but some time later, it decreases, and eventually reaches 70-90 mg/dL again. The Libreview estimator sees my Hb1Ac at &amp;lt;5% !! (I am aware that this is just an estimate, but still, I didn't expect this.) Recently I practiced with some low- and med-carb food. Carbs, but also fiber. I did not have to bolus at all! Some increase, it went right down again later.
So, if my glucose level was at, say, 75 mg/dL, and I eat about 20-30g of carbs, I didn't bolus, and it actually worked out. I decided to act this way because I made bad experiences with too hasty correctional bolus sending me straight into a hypo (even with just one unit Humalog).
So, is this just a strong honeymoon phase, or could this be something else? MODY perhaps? Also note that I was diagnosed at age 34, and I've read that at this age, the T1D progression is milder.
EDIT: And if so, then what fasting mg/dL values are "normal" for a non-honeymoon T1D?</t>
        </is>
      </c>
      <c r="D4518" t="n">
        <v>5</v>
      </c>
      <c r="E4518" t="n">
        <v>15</v>
      </c>
      <c r="F4518">
        <f>HYPERLINK("https://www.reddit.com/r/diabetes/comments/88lzur/are_these_values_normal_for_the_honeymoon_phase/")</f>
        <v/>
      </c>
      <c r="G4518" t="inlineStr">
        <is>
          <t>2018-03-31 14:53:49</t>
        </is>
      </c>
      <c r="H4518" t="inlineStr">
        <is>
          <t>Type 1</t>
        </is>
      </c>
    </row>
    <row r="4519">
      <c r="A4519" t="inlineStr">
        <is>
          <t>88m3s3</t>
        </is>
      </c>
      <c r="B4519" t="inlineStr">
        <is>
          <t>Any T1 moms out there?</t>
        </is>
      </c>
      <c r="C4519" t="inlineStr">
        <is>
          <t>I'm taking care of my 4 1/2 month old son solo this weekend and have hit two lows so far. I'm on insulin pens and don't have a CGM (I only get $600 coverage for diabetic supplies per year with my insurance- can't afford a CGM or insulin pump)
The question is: how do you manage a baby and your blood sugar? I normally have his dad around to help when I need to take care of a low, or to check on me when he hasn't heard from me in a while. 
It's still a recent diagnosis, I haven't had any severe hypo's, but I'm terrified of getting one when nobody is going to be here for a couple of days. My current method is to just elevate my blood sugar so it stays above 10 mmol because I've had a few unexpected steep drops.</t>
        </is>
      </c>
      <c r="D4519" t="n">
        <v>5</v>
      </c>
      <c r="E4519" t="n">
        <v>24</v>
      </c>
      <c r="F4519">
        <f>HYPERLINK("https://www.reddit.com/r/diabetes/comments/88m3s3/any_t1_moms_out_there/")</f>
        <v/>
      </c>
      <c r="G4519" t="inlineStr">
        <is>
          <t>2018-03-31 15:10:22</t>
        </is>
      </c>
      <c r="H4519" t="inlineStr">
        <is>
          <t>Type 1</t>
        </is>
      </c>
    </row>
    <row r="4520">
      <c r="A4520" t="inlineStr">
        <is>
          <t>88oixu</t>
        </is>
      </c>
      <c r="B4520" t="inlineStr">
        <is>
          <t>Freestyle Libre Question</t>
        </is>
      </c>
      <c r="C4520" t="inlineStr">
        <is>
          <t>So I have the Libre, I had a sensor in my right arm and I got into the backseat of my friends coupe (had to duck in and squeeze tight in to get to the back seats) and I clipped my arm on the roof and it ripped my sensor off... after I had just put it in. So my meter says 8 days left on the sensor, is there anyway I can cancel that sensor and put a new one in or am I forced to wait the week out to put a new one in? If I can't cancel it you'd figure they'd have that thought in mind something could happen to a sensor causing it to not work anymore and need to be replaced.</t>
        </is>
      </c>
      <c r="D4520" t="n">
        <v>1</v>
      </c>
      <c r="E4520" t="n">
        <v>2</v>
      </c>
      <c r="F4520">
        <f>HYPERLINK("https://www.reddit.com/r/diabetes/comments/88oixu/freestyle_libre_question/")</f>
        <v/>
      </c>
      <c r="G4520" t="inlineStr">
        <is>
          <t>2018-03-31 22:01:23</t>
        </is>
      </c>
      <c r="H4520" t="inlineStr">
        <is>
          <t>Type 1</t>
        </is>
      </c>
    </row>
    <row r="4521">
      <c r="A4521" t="inlineStr">
        <is>
          <t>88rj7w</t>
        </is>
      </c>
      <c r="B4521" t="inlineStr">
        <is>
          <t>Friend Needs Test Strips</t>
        </is>
      </c>
      <c r="C4521" t="inlineStr">
        <is>
          <t xml:space="preserve">Hello -
I am in Georgia, and one of my friends who is also T1D messaged me yesterday asking if I had any extra test strips. I do not have much since I just switched insurances, but was seeing if anyone here may have some they could spare. She uses a one touch verio or anything freestyle.
Please let me know!!! She needs help. </t>
        </is>
      </c>
      <c r="D4521" t="n">
        <v>1</v>
      </c>
      <c r="E4521" t="n">
        <v>6</v>
      </c>
      <c r="F4521">
        <f>HYPERLINK("https://www.reddit.com/r/diabetes/comments/88rj7w/friend_needs_test_strips/")</f>
        <v/>
      </c>
      <c r="G4521" t="inlineStr">
        <is>
          <t>2018-04-01 08:24:52</t>
        </is>
      </c>
      <c r="H4521" t="inlineStr">
        <is>
          <t>Type 1</t>
        </is>
      </c>
    </row>
    <row r="4522">
      <c r="A4522" t="inlineStr">
        <is>
          <t>88s1gz</t>
        </is>
      </c>
      <c r="B4522" t="inlineStr">
        <is>
          <t>Last night was really bad</t>
        </is>
      </c>
      <c r="C4522" t="inlineStr">
        <is>
          <t xml:space="preserve">I'm sure we've all been there and couldn't say no to delicious carb filled pasta and after even more delicious extra caramel on vanilla ice cream. 
I woke up like every 3 hours last night to check my blood sugar and it was still high!! Guess I won't be doing this again.  Damn you diabetes!! *sighs and cries, as I eat my kale breakfast* 
I'm sooooooo sleepy. </t>
        </is>
      </c>
      <c r="D4522" t="n">
        <v>10</v>
      </c>
      <c r="E4522" t="n">
        <v>7</v>
      </c>
      <c r="F4522">
        <f>HYPERLINK("https://www.reddit.com/r/diabetes/comments/88s1gz/last_night_was_really_bad/")</f>
        <v/>
      </c>
      <c r="G4522" t="inlineStr">
        <is>
          <t>2018-04-01 09:34:34</t>
        </is>
      </c>
      <c r="H4522" t="inlineStr">
        <is>
          <t>Type 1</t>
        </is>
      </c>
    </row>
    <row r="4523">
      <c r="A4523" t="inlineStr">
        <is>
          <t>88ug6g</t>
        </is>
      </c>
      <c r="B4523" t="inlineStr">
        <is>
          <t>Hard time giving myself injections</t>
        </is>
      </c>
      <c r="C4523" t="inlineStr">
        <is>
          <t>Recently diagnosed as T1 after being on metformin for a few months (was assumed to have T2). I'm having major issues giving myself injections, it usually takes about an hour of anguish before I either succeed or give up and have to try again later. I seldom succeed in giving myself more than one of the prescribed four injections per day (abasalgar once, humalog with meals). Needless to say, my glucose levels are quite bad right now (often 15+ mmol/L).
I'm not even sure what the issue is, I've never been afraid of needles and there wasn't any problem when a nurse did it. But I live alone so I cant have anyone else help me day-to-day.
It is like the rational part of my brain goes "*hey, you need this, you know you won't even feel it, you've done this more than a few time already*" but then something else goes "*NOPE! no way that thing will puncture the skin*" overruling any decisionmaking.
I'm not sure how to deal with this, how do you even manage to give yourself injections?
(I'm scheduled for a follow-up with the hospital in a few days and they are aware of my issues but for now they want me to learn to do it myself)</t>
        </is>
      </c>
      <c r="D4523" t="n">
        <v>5</v>
      </c>
      <c r="E4523" t="n">
        <v>17</v>
      </c>
      <c r="F4523">
        <f>HYPERLINK("https://www.reddit.com/r/diabetes/comments/88ug6g/hard_time_giving_myself_injections/")</f>
        <v/>
      </c>
      <c r="G4523" t="inlineStr">
        <is>
          <t>2018-04-01 15:08:20</t>
        </is>
      </c>
      <c r="H4523" t="inlineStr">
        <is>
          <t>Type 1</t>
        </is>
      </c>
    </row>
    <row r="4524">
      <c r="A4524" t="inlineStr">
        <is>
          <t>88vtra</t>
        </is>
      </c>
      <c r="B4524" t="inlineStr">
        <is>
          <t>Should I ask for a script for a CGM?</t>
        </is>
      </c>
      <c r="C4524" t="inlineStr">
        <is>
          <t xml:space="preserve">So I’m a recently diagnosed T1, and I am currently doing four finger sticks a day. Once when I wake up before breakfast, again before lunch, again before dinner, and finally one last time before my nightly Lantus. I’m only on the long acting insulin right now, no short acting. 
Should I ask for a script for a CGM? Am I missing highs and lows during the day?  Most of my readings are in the 120-180 range (usually lowest in the mornings). 
I just feel like more information in terms of what my blood sugar is doing during the day would help drive more appropriate decisions regarding using short and long acting insulin. But maybe I’m just being paranoid. </t>
        </is>
      </c>
      <c r="D4524" t="n">
        <v>2</v>
      </c>
      <c r="E4524" t="n">
        <v>6</v>
      </c>
      <c r="F4524">
        <f>HYPERLINK("https://www.reddit.com/r/diabetes/comments/88vtra/should_i_ask_for_a_script_for_a_cgm/")</f>
        <v/>
      </c>
      <c r="G4524" t="inlineStr">
        <is>
          <t>2018-04-01 18:41:14</t>
        </is>
      </c>
      <c r="H4524" t="inlineStr">
        <is>
          <t>Type 1</t>
        </is>
      </c>
    </row>
    <row r="4525">
      <c r="A4525" t="inlineStr">
        <is>
          <t>88vv1g</t>
        </is>
      </c>
      <c r="B4525" t="inlineStr">
        <is>
          <t>FIASP vs NovoRapid (or other)</t>
        </is>
      </c>
      <c r="C4525" t="inlineStr">
        <is>
          <t xml:space="preserve">I recently switched from NR to Fiasp. Has anybody done the same? Because I‘m having a very hard time. 
My BG is very high and I already increased base Tresiba from 30 to 38. I somehow need more Units and the duration is shorter. Often my BG starts rising 2-3 hours after food and injection. 
Would be nice to hear other first experiences from Fiasp. Thank you. </t>
        </is>
      </c>
      <c r="D4525" t="n">
        <v>1</v>
      </c>
      <c r="E4525" t="n">
        <v>5</v>
      </c>
      <c r="F4525">
        <f>HYPERLINK("https://www.reddit.com/r/diabetes/comments/88vv1g/fiasp_vs_novorapid_or_other/")</f>
        <v/>
      </c>
      <c r="G4525" t="inlineStr">
        <is>
          <t>2018-04-01 18:46:16</t>
        </is>
      </c>
      <c r="H4525" t="inlineStr">
        <is>
          <t>Type 1</t>
        </is>
      </c>
    </row>
    <row r="4526">
      <c r="A4526" t="inlineStr">
        <is>
          <t>88w7cd</t>
        </is>
      </c>
      <c r="B4526" t="inlineStr">
        <is>
          <t>Rates of change in glucose and dosing questions...</t>
        </is>
      </c>
      <c r="C4526" t="inlineStr">
        <is>
          <t xml:space="preserve">I'm trying to understand a couple things:
* Does the amount of insulin you take affect the rate at which your glucose drops?  For example, if I take 5 units vs 1 unit of insulin, will I drop any faster at first?
* Does the liver process carbs into sugar faster than insulin works?  
</t>
        </is>
      </c>
      <c r="D4526" t="n">
        <v>4</v>
      </c>
      <c r="E4526" t="n">
        <v>13</v>
      </c>
      <c r="F4526">
        <f>HYPERLINK("https://www.reddit.com/r/diabetes/comments/88w7cd/rates_of_change_in_glucose_and_dosing_questions/")</f>
        <v/>
      </c>
      <c r="G4526" t="inlineStr">
        <is>
          <t>2018-04-01 19:42:12</t>
        </is>
      </c>
      <c r="H4526" t="inlineStr">
        <is>
          <t>Type 1</t>
        </is>
      </c>
    </row>
    <row r="4527">
      <c r="A4527" t="inlineStr">
        <is>
          <t>88wher</t>
        </is>
      </c>
      <c r="B4527" t="inlineStr">
        <is>
          <t>Taking a bath when on a pump</t>
        </is>
      </c>
      <c r="C4527" t="inlineStr">
        <is>
          <t>Ok, after about 5 years on a pump I still have't figured this out.  How can I take a bath when on a pump?  What do I need to use to cover and protect the insert so that it doesn't completely dissolve and come out?  I've taken to only taking baths when it's time to change the insert, but that's not always when I WANT to take a bath.  I don't have any problem with showers.  What am I missing?
Sorry if this is completely obvious.  I transitioned from MDI to a pump without a lot of information other than dosing.  I've been figuring out a lot of day-to-day stuff on my own, but baths I still can't figure out.</t>
        </is>
      </c>
      <c r="D4527" t="n">
        <v>5</v>
      </c>
      <c r="E4527" t="n">
        <v>11</v>
      </c>
      <c r="F4527">
        <f>HYPERLINK("https://www.reddit.com/r/diabetes/comments/88wher/taking_a_bath_when_on_a_pump/")</f>
        <v/>
      </c>
      <c r="G4527" t="inlineStr">
        <is>
          <t>2018-04-01 20:30:26</t>
        </is>
      </c>
      <c r="H4527" t="inlineStr">
        <is>
          <t>Type 1</t>
        </is>
      </c>
    </row>
    <row r="4528">
      <c r="A4528" t="inlineStr">
        <is>
          <t>88zdq0</t>
        </is>
      </c>
      <c r="B4528" t="inlineStr">
        <is>
          <t>Big blood sugar drop</t>
        </is>
      </c>
      <c r="C4528" t="inlineStr">
        <is>
          <t xml:space="preserve">Hello, I was diagnosed in January with an A1C of 7.0, which, while not a complete shock, was completely devastating. I've taken steps to get control over this, but I am still having a hard time accepting it. This morning I had what has become my standard breakfast of about 16 carbs (it includes a slice of Ezekiel bread). I checked an hour later and my sugar was 162! I repeated the test to be sure. I waited for the two hour mark, which is when I usually check, and I was at 110. My question is, is a temporary high of 162 at one hour passable as long as I'm down to an acceptable level at two hours? Or does this one hour number mean that this breakfast spikes me too high? What should I aim to be below at one hour? Thanks in advance. </t>
        </is>
      </c>
      <c r="D4528" t="n">
        <v>3</v>
      </c>
      <c r="E4528" t="n">
        <v>15</v>
      </c>
      <c r="F4528">
        <f>HYPERLINK("https://www.reddit.com/r/diabetes/comments/88zdq0/big_blood_sugar_drop/")</f>
        <v/>
      </c>
      <c r="G4528" t="inlineStr">
        <is>
          <t>2018-04-02 06:42:59</t>
        </is>
      </c>
      <c r="H4528" t="inlineStr">
        <is>
          <t>Type 2</t>
        </is>
      </c>
    </row>
    <row r="4529">
      <c r="A4529" t="inlineStr">
        <is>
          <t>88zgje</t>
        </is>
      </c>
      <c r="B4529" t="inlineStr">
        <is>
          <t>Feeling hopeless after ratio change</t>
        </is>
      </c>
      <c r="C4529" t="inlineStr">
        <is>
          <t xml:space="preserve">My endocrinologist just changed my carb/insulin ratio from 4:1 to 3:1. I've had the same ratio for 5+ years. I've only been diabetic for 6 years and they're changing my ratio to something so low already? I understand it and I get that it might help me, but it really scares me. I think I need to start a low carb diet but I've always loved food, am an extremely busy and poor college student, and don't have much willpower for diets. </t>
        </is>
      </c>
      <c r="D4529" t="n">
        <v>12</v>
      </c>
      <c r="E4529" t="n">
        <v>34</v>
      </c>
      <c r="F4529">
        <f>HYPERLINK("https://www.reddit.com/r/diabetes/comments/88zgje/feeling_hopeless_after_ratio_change/")</f>
        <v/>
      </c>
      <c r="G4529" t="inlineStr">
        <is>
          <t>2018-04-02 06:54:24</t>
        </is>
      </c>
      <c r="H4529" t="inlineStr">
        <is>
          <t>Type 1</t>
        </is>
      </c>
    </row>
    <row r="4530">
      <c r="A4530" t="inlineStr">
        <is>
          <t>890ana</t>
        </is>
      </c>
      <c r="B4530" t="inlineStr">
        <is>
          <t>Ibux and antibiotics question</t>
        </is>
      </c>
      <c r="C4530" t="inlineStr">
        <is>
          <t xml:space="preserve">I had a ear infection in my left ear, it got filled up so much that i got a ruptured eardrum. I read that the eardrum repairs itself in a few days or weeks. I have a headache that is pretty annoying from it. Two things I am wondering about:
1. Will my eardrum repair itself? It says 95% of them does it. Does me having type 1 diabetes slow it down?
2. Can I take ibux and/or antibiotics or how will it affect my blood sugar?
</t>
        </is>
      </c>
      <c r="D4530" t="n">
        <v>1</v>
      </c>
      <c r="E4530" t="n">
        <v>7</v>
      </c>
      <c r="F4530">
        <f>HYPERLINK("https://www.reddit.com/r/diabetes/comments/890ana/ibux_and_antibiotics_question/")</f>
        <v/>
      </c>
      <c r="G4530" t="inlineStr">
        <is>
          <t>2018-04-02 08:47:09</t>
        </is>
      </c>
      <c r="H4530" t="inlineStr">
        <is>
          <t>Type 1</t>
        </is>
      </c>
    </row>
    <row r="4531">
      <c r="A4531" t="inlineStr">
        <is>
          <t>892xns</t>
        </is>
      </c>
      <c r="B4531" t="inlineStr">
        <is>
          <t>Passover</t>
        </is>
      </c>
      <c r="C4531" t="inlineStr">
        <is>
          <t>Hi all, anyone have tips/tricks for Passover? This is my first as T1D and I'm not sure how to bolus for matzah (I'm doing MDI) or if there are some good meals you can recommend.</t>
        </is>
      </c>
      <c r="D4531" t="n">
        <v>3</v>
      </c>
      <c r="E4531" t="n">
        <v>2</v>
      </c>
      <c r="F4531">
        <f>HYPERLINK("https://www.reddit.com/r/diabetes/comments/892xns/passover/")</f>
        <v/>
      </c>
      <c r="G4531" t="inlineStr">
        <is>
          <t>2018-04-02 11:29:47</t>
        </is>
      </c>
      <c r="H4531" t="inlineStr">
        <is>
          <t>Type 1</t>
        </is>
      </c>
    </row>
    <row r="4532">
      <c r="A4532" t="inlineStr">
        <is>
          <t>8930hs</t>
        </is>
      </c>
      <c r="B4532" t="inlineStr">
        <is>
          <t>Anyone know how to lower triglycerides?</t>
        </is>
      </c>
      <c r="C4532" t="inlineStr">
        <is>
          <t>So at work they occasionally have health screenings where you can get your cholesterol measured. Three months ago my LDL was getting sort of high, so I cut back on meat and cheese (so much for keto...) and now my cholesterol is fantastic! Alas, my triglycerides are much worse at 191. I have an endo appointment in a month, but I'd like to try fixing it on my own first. Most information I'm finding is fairly generic stuff like cut processed foods and exercise which I'm already doing. My post-holiday A1C was 6.7, so I'm doing OK managing BG. Has anyone lowered their triglycerides through lifestyle change? I know it's a classic component of metabolic syndrome, but I don't want to die of heart disease. What changes did you make to get results? 
Edit: Reddit is not displaying all the posts and replies? I have responded to everyone and I appreciate the feedback even if it doesn't show &amp;lt;3</t>
        </is>
      </c>
      <c r="D4532" t="n">
        <v>2</v>
      </c>
      <c r="E4532" t="n">
        <v>23</v>
      </c>
      <c r="F4532">
        <f>HYPERLINK("https://www.reddit.com/r/diabetes/comments/8930hs/anyone_know_how_to_lower_triglycerides/")</f>
        <v/>
      </c>
      <c r="G4532" t="inlineStr">
        <is>
          <t>2018-04-02 11:34:20</t>
        </is>
      </c>
      <c r="H4532" t="inlineStr">
        <is>
          <t>Type 2</t>
        </is>
      </c>
    </row>
    <row r="4533">
      <c r="A4533" t="inlineStr">
        <is>
          <t>89fkeo</t>
        </is>
      </c>
      <c r="B4533" t="inlineStr">
        <is>
          <t>Is it unusual to get prior authorization for strips?</t>
        </is>
      </c>
      <c r="C4533" t="inlineStr">
        <is>
          <t>I have a Animas Ping pump (RIP. I'm so sad that I have to switch in the next year or so!) and been trying to get prior authorization for OneTouch ultra strips for about a month and my doctor's office really seems to be dragging their feet. I honestly have no idea how common it is to do this or how much time and energy it takes for a doctor/nurse to submit prior authorization to insurance.
My endo is at a huge clinic, so it takes a long time to get responses from anyone. They sent a prescription for my insurance's preferred brand a few weeks ago instead of doing the prior authorization. I have explained several times that I have an Animas Ping which remotely connects to the meter and allows remote bolusing (great for wearing dresses, skirts, no pockets); the feature that made me choose this pump years ago. If I switch brands, I either have to carry two meters or lose an important function of my pump. I feel like they think that I just like OneTouch more, but I would easily switch if it wasn't for the Ping's meter remote. Is it really that hard to do a prior authorization?
Thank you for reading my vent!</t>
        </is>
      </c>
      <c r="D4533" t="n">
        <v>2</v>
      </c>
      <c r="E4533" t="n">
        <v>4</v>
      </c>
      <c r="F4533">
        <f>HYPERLINK("https://www.reddit.com/r/diabetes/comments/89fkeo/is_it_unusual_to_get_prior_authorization_for/")</f>
        <v/>
      </c>
      <c r="G4533" t="inlineStr">
        <is>
          <t>2018-04-03 09:25:51</t>
        </is>
      </c>
      <c r="H4533" t="inlineStr">
        <is>
          <t>Type 1</t>
        </is>
      </c>
    </row>
    <row r="4534">
      <c r="A4534" t="inlineStr">
        <is>
          <t>89gqni</t>
        </is>
      </c>
      <c r="B4534" t="inlineStr">
        <is>
          <t>I am losing the battle with my D2 numbers again.</t>
        </is>
      </c>
      <c r="C4534" t="inlineStr">
        <is>
          <t xml:space="preserve">howdy ,
I know its hard to help folks over the internet with medical issues and not being a doctor , but Its amazing the info and help I get with diabetes forums .
I am at wits end and don't know whats going on with my readings lately , 2 years ago before I took this D2 serious I was eating everything and always running around 200 for numbers a1c was 10 at that office visit .
So my doctor really got on me and told me how dangerous this is at those numbers , actually to the point he said if you don't try don't come back .
So I took it serious , I was eating hardly no carbs at all for a few months , and stopped sweets and soda , started takin metformin and glipizide .
I also was a beer drinker and noticed after having a few my readings was really good .. to the point I could eat pizza have a few beers and be below 130, I felt I was saved .
I went back to the doctor year later for my CBC test , he called me in a week later I was scared , I said ohh boy what happened .. he said I am blown away , I have not seen a patient turn around and have such great blood work come back , cholesterol was high and that became normal , my a1c went from 10 to 5.7.. I said phew it better have seeing I had to turn down my favorite foods , he asked what else you been doing ? I said the pills and drink beers after a light carb meal . He said BEER !! and said what ever you are doing keep it up, but I also don't want to hurt my liver .
But the last few months the dark clouds rolled in and no matter what I do I can not get below readings of 140 and average days at 170, waking with fasting of 160 or below but never lower then 120 anymore . I doubled up my metformin, and tried beer no help and days with no beer and no/few carbs and still 140 plus . Due to lack of office visit money and no insurance , I can not see my doctor when I want , I am making a appt very soon .
So my question is .. with this d2 is it always gonna get worse and what worked before may not work now ? I don't know how much I can take of this food situation which to me is everything with D2.. to the point I hate to get hungry now, because I cant grab a fast sandwich or something .
I also want to note ** I am not here to tell folks to booze it up , because for most its not the answer, plus it doesn't make the liver function the way it should .and maybe now what helped me is now my demons . But for asking this question I felt I had to be open with my routines .
Any Info would be great ,
Thanks </t>
        </is>
      </c>
      <c r="D4534" t="n">
        <v>1</v>
      </c>
      <c r="E4534" t="n">
        <v>11</v>
      </c>
      <c r="F4534">
        <f>HYPERLINK("https://www.reddit.com/r/diabetes/comments/89gqni/i_am_losing_the_battle_with_my_d2_numbers_again/")</f>
        <v/>
      </c>
      <c r="G4534" t="inlineStr">
        <is>
          <t>2018-04-03 11:15:04</t>
        </is>
      </c>
      <c r="H4534" t="inlineStr">
        <is>
          <t>Type 2</t>
        </is>
      </c>
    </row>
    <row r="4535">
      <c r="A4535" t="inlineStr">
        <is>
          <t>89h1pq</t>
        </is>
      </c>
      <c r="B4535" t="inlineStr">
        <is>
          <t>Strength training with high blood sugar</t>
        </is>
      </c>
      <c r="C4535" t="inlineStr">
        <is>
          <t>I overdid it with the food on Easter Sunday and have been battling a stubborn high for the past 24 hours. I considered going to the ER but it has been slowly dropping and I have only the slightest trace of ketones. I have personal training tonight, which will be weight lifting only with a short cardio warm up on the treadmill (which I could skip.) I’m looking for advice on whether it would be best to cancel the session or to just take it easy while I’m there. I’ve never been in this situation before so I would appreciate any input.</t>
        </is>
      </c>
      <c r="D4535" t="n">
        <v>1</v>
      </c>
      <c r="E4535" t="n">
        <v>10</v>
      </c>
      <c r="F4535">
        <f>HYPERLINK("https://www.reddit.com/r/diabetes/comments/89h1pq/strength_training_with_high_blood_sugar/")</f>
        <v/>
      </c>
      <c r="G4535" t="inlineStr">
        <is>
          <t>2018-04-03 11:44:09</t>
        </is>
      </c>
      <c r="H4535" t="inlineStr">
        <is>
          <t>Type 1</t>
        </is>
      </c>
    </row>
    <row r="4536">
      <c r="A4536" t="inlineStr">
        <is>
          <t>89izgd</t>
        </is>
      </c>
      <c r="B4536" t="inlineStr">
        <is>
          <t>Advice: A1C down from 11.5 to 4.7, need advising on the next steps</t>
        </is>
      </c>
      <c r="C4536" t="inlineStr">
        <is>
          <t>Hey there /r/diabetes, I've been a long time lurker and have been motivated by the many posts that I've seen here that are full of love and understanding. I wanted to both share my story and ask for what comes next from this community. 
I was diagnosed with T2 Diabetes around Christmas (worst present ever), and since then I've been doing a modified keto diet (with a bit of lower fat) to drop my weight. Through a lot of hard work, a little bit of metformin + januvia, and a lot of testing and adjustments, I've gotten my Hemoglobin A1C down 11.5 to 4.7 in the span of four months (it was quite the struggle) and my doctor cut me off from medication.
So...what now? Does this mean that I'm in remission? I doubt that it just disappeared into thin air, and I intend on testing myself continually. If anyone else has gone through something similar I would love to hear advice.</t>
        </is>
      </c>
      <c r="D4536" t="n">
        <v>7</v>
      </c>
      <c r="E4536" t="n">
        <v>5</v>
      </c>
      <c r="F4536">
        <f>HYPERLINK("https://www.reddit.com/r/diabetes/comments/89izgd/advice_a1c_down_from_115_to_47_need_advising_on/")</f>
        <v/>
      </c>
      <c r="G4536" t="inlineStr">
        <is>
          <t>2018-04-03 14:42:35</t>
        </is>
      </c>
      <c r="H4536" t="inlineStr">
        <is>
          <t>Type 2</t>
        </is>
      </c>
    </row>
    <row r="4537">
      <c r="A4537" t="inlineStr">
        <is>
          <t>89jayw</t>
        </is>
      </c>
      <c r="B4537" t="inlineStr">
        <is>
          <t>4 Months in and Thanks</t>
        </is>
      </c>
      <c r="C4537" t="inlineStr">
        <is>
          <t xml:space="preserve">Just had my three month (however it is 4 months after diagnosis) appointment today and I am happy to say my A1c is down to 6.3%!  That is from 15.0% at diagnosis, and 8.1% 1.5 months on.  Was hoping for a sub-6 number, but for the last couple of weeks I have had some stubborn highs after breakfast that still haven’t been fully fixed, but I got some new dosing today at my appointment so we’ll see how that goes. Also, thanks to some help from my honeymoon things have been pretty smooth sailing and I recently got on a pump and cgm which has been so liberating. I just want to say thanks to everyone in this community as you have all been such a great help to me over these last 4 months with pumps, CGMs, exercise, dosing and figuring out how to live with this new thing in my life. Thanks again. </t>
        </is>
      </c>
      <c r="D4537" t="n">
        <v>4</v>
      </c>
      <c r="E4537" t="n">
        <v>6</v>
      </c>
      <c r="F4537">
        <f>HYPERLINK("https://www.reddit.com/r/diabetes/comments/89jayw/4_months_in_and_thanks/")</f>
        <v/>
      </c>
      <c r="G4537" t="inlineStr">
        <is>
          <t>2018-04-03 15:13:46</t>
        </is>
      </c>
      <c r="H4537" t="inlineStr">
        <is>
          <t>Type 1</t>
        </is>
      </c>
    </row>
    <row r="4538">
      <c r="A4538" t="inlineStr">
        <is>
          <t>89n8e2</t>
        </is>
      </c>
      <c r="B4538" t="inlineStr">
        <is>
          <t>Dexcom 2nd week frustration</t>
        </is>
      </c>
      <c r="C4538" t="inlineStr">
        <is>
          <t xml:space="preserve">I am so frustrated! The first week went perfectly! This week? Not so much. My husband applied skintac then the sensor but it was still wet, and so when I stood up the sensor literally just fell out! Then the next sensor got stuck on the table when I went to stand up and it ripped it out. The adhesive pad was still stuck to me, but the sensor itself ripped off. 😩😩😩 now I have to order new sensors, through Byram healthcare  tomorrow. So frustrated. Has anyone else had issues? </t>
        </is>
      </c>
      <c r="D4538" t="n">
        <v>4</v>
      </c>
      <c r="E4538" t="n">
        <v>9</v>
      </c>
      <c r="F4538">
        <f>HYPERLINK("https://www.reddit.com/r/diabetes/comments/89n8e2/dexcom_2nd_week_frustration/")</f>
        <v/>
      </c>
      <c r="G4538" t="inlineStr">
        <is>
          <t>2018-04-03 23:59:05</t>
        </is>
      </c>
      <c r="H4538" t="inlineStr">
        <is>
          <t>Type 1.5/LADA</t>
        </is>
      </c>
    </row>
    <row r="4539">
      <c r="A4539" t="inlineStr">
        <is>
          <t>89qri7</t>
        </is>
      </c>
      <c r="B4539" t="inlineStr">
        <is>
          <t>(Metformin) T2 Need Advice on Recent Highs</t>
        </is>
      </c>
      <c r="C4539" t="inlineStr">
        <is>
          <t>Recently I've been stressing out a lot over school and then I also am going crazy over my sugar readings. My a1c last visit 6 months ago was around the 115 sugar range but for 2 weeks now my sugar has been around 180 even 2-3 hours after dinner when it always used to be under 140 after 2 hours.
I have not changed much but maybe a little less exercise with the time crunch recently, but it is also affecting my morning sugars (went from around 100 average to 125).
I heard that stress can affect blood sugar readings, I just keep thinking about it all the time. Any ideas how to move forward/if these could be the causes? Also how much after exercising can it reduce sugars? Thanks for any replies.</t>
        </is>
      </c>
      <c r="D4539" t="n">
        <v>4</v>
      </c>
      <c r="E4539" t="n">
        <v>14</v>
      </c>
      <c r="F4539">
        <f>HYPERLINK("https://www.reddit.com/r/diabetes/comments/89qri7/metformin_t2_need_advice_on_recent_highs/")</f>
        <v/>
      </c>
      <c r="G4539" t="inlineStr">
        <is>
          <t>2018-04-04 09:01:45</t>
        </is>
      </c>
      <c r="H4539" t="inlineStr">
        <is>
          <t>Type 2</t>
        </is>
      </c>
    </row>
    <row r="4540">
      <c r="A4540" t="inlineStr">
        <is>
          <t>89qxy3</t>
        </is>
      </c>
      <c r="B4540" t="inlineStr">
        <is>
          <t>Pumps and Dresses?</t>
        </is>
      </c>
      <c r="C4540" t="inlineStr">
        <is>
          <t>How on earth do you ladies (or gentleman if that floats your boat) wear dresses with your pump? I'm pretty new to the pump (Medtronic 630g) but I've tried wearing dresses out and I can only wear one with a higher neck so I can tuck the pump between my boobs and it won't stick out. 
I feel like there's a trick or something I'm just missing, because I would love to be able to rock a nice V-cut dress again 😣</t>
        </is>
      </c>
      <c r="D4540" t="n">
        <v>20</v>
      </c>
      <c r="E4540" t="n">
        <v>37</v>
      </c>
      <c r="F4540">
        <f>HYPERLINK("https://www.reddit.com/r/diabetes/comments/89qxy3/pumps_and_dresses/")</f>
        <v/>
      </c>
      <c r="G4540" t="inlineStr">
        <is>
          <t>2018-04-04 09:21:13</t>
        </is>
      </c>
      <c r="H4540" t="inlineStr">
        <is>
          <t>Type 1</t>
        </is>
      </c>
    </row>
    <row r="4541">
      <c r="A4541" t="inlineStr">
        <is>
          <t>89s07p</t>
        </is>
      </c>
      <c r="B4541" t="inlineStr">
        <is>
          <t>My 2 year old son BG is crazy at night</t>
        </is>
      </c>
      <c r="C4541" t="inlineStr">
        <is>
          <t>This is my first day seeing this sub (came here because of my other question) so sorry if it seems I'm spamming. My wife and I have been really struggling with my son's numbers at night. We'll check him at 10pm one night (while he's sleeping and hasn't eaten since 5) and he'll be at 150. We leave him and he'll wake up at 40. Then we'll check him another night and he's at 150 and he'll wake up at 300. How are we supposed to adjust his basal when he does something different every night?
We just started a Dexcom sensor today so hopefully watching his numbers throughout the night will be helpful. I was just curious if this is a common thing.
Edit: Thanks everyone! I’m glad he’s not the only one and I’m glad I found this place. He’s had it for 9 months and it’s been a struggle at times.</t>
        </is>
      </c>
      <c r="D4541" t="n">
        <v>30</v>
      </c>
      <c r="E4541" t="n">
        <v>49</v>
      </c>
      <c r="F4541">
        <f>HYPERLINK("https://www.reddit.com/r/diabetes/comments/89s07p/my_2_year_old_son_bg_is_crazy_at_night/")</f>
        <v/>
      </c>
      <c r="G4541" t="inlineStr">
        <is>
          <t>2018-04-04 11:15:15</t>
        </is>
      </c>
      <c r="H4541" t="inlineStr">
        <is>
          <t>Type 1</t>
        </is>
      </c>
    </row>
    <row r="4542">
      <c r="A4542" t="inlineStr">
        <is>
          <t>89tc47</t>
        </is>
      </c>
      <c r="B4542" t="inlineStr">
        <is>
          <t>Free Type2 medication for a Year</t>
        </is>
      </c>
      <c r="C4542" t="inlineStr">
        <is>
          <t>https://www.blinkhealth.com/diabetes
Someone had posted this on Reddit and it seems to be legit. Hopefully it can help someone</t>
        </is>
      </c>
      <c r="D4542" t="n">
        <v>1</v>
      </c>
      <c r="E4542" t="n">
        <v>0</v>
      </c>
      <c r="F4542">
        <f>HYPERLINK("https://www.reddit.com/r/diabetes/comments/89tc47/free_type2_medication_for_a_year/")</f>
        <v/>
      </c>
      <c r="G4542" t="inlineStr">
        <is>
          <t>2018-04-04 13:47:19</t>
        </is>
      </c>
      <c r="H4542" t="inlineStr">
        <is>
          <t>Type 2</t>
        </is>
      </c>
    </row>
    <row r="4543">
      <c r="A4543" t="inlineStr">
        <is>
          <t>89trv6</t>
        </is>
      </c>
      <c r="B4543" t="inlineStr">
        <is>
          <t>T1D for 17years and my last HbA1c was 8.6. How would you go about getting a handle on this? What would your first step be?</t>
        </is>
      </c>
      <c r="C4543" t="inlineStr">
        <is>
          <t xml:space="preserve">- I see a lot of people talk about ratios and ranges etc. and I have to admit to myself that I don’t do half the things you guys talk about.
- I’m on a pump but not CGM though I do have a pump-connected BG tester. I test regularly but find myself in-motivated to change things. 
Any advice? </t>
        </is>
      </c>
      <c r="D4543" t="n">
        <v>3</v>
      </c>
      <c r="E4543" t="n">
        <v>11</v>
      </c>
      <c r="F4543">
        <f>HYPERLINK("https://www.reddit.com/r/diabetes/comments/89trv6/t1d_for_17years_and_my_last_hba1c_was_86_how/")</f>
        <v/>
      </c>
      <c r="G4543" t="inlineStr">
        <is>
          <t>2018-04-04 14:36:16</t>
        </is>
      </c>
      <c r="H4543" t="inlineStr">
        <is>
          <t>Type 1</t>
        </is>
      </c>
    </row>
    <row r="4544">
      <c r="A4544" t="inlineStr">
        <is>
          <t>89x533</t>
        </is>
      </c>
      <c r="B4544" t="inlineStr">
        <is>
          <t>My grandma got diagnosed</t>
        </is>
      </c>
      <c r="C4544" t="inlineStr">
        <is>
          <t>What do I need to know about type two diabetes. I don’t think she understands what is really happening and she is primarily a Spanish speaker. I wasn’t able to go with her but I’ve been reading up on this life change with her. She is adjusting well but it seems she is extreme confused about what she can and can’t eat. She understands she shouldn’t eat carbs. She has gotten a little I think it’s called blood glucose meter but she claims she doesn’t have to wear it all the time just test or prick her fingers three times a day. Here are my major questions?
I understand it’s about how much you eat and not so much sugar. So how do I figure out how much carbs she can consume a day with the help of the glucose meter?
What are recommendations from others about monitoring this and some other useful information I can explain to her about type 2 diabetes?
Is there a scale in which I figure out how it can measure up or what is normal and not? 
My grand mother has lost a lot of weight from switching her diet but our main concern coming from a Mexican family is leaving her out of our big dinners. So we have made a commitment to cut out and limit carbs extremely. 
My goal is to hopefully explain this to my grandma because she doesn’t understand what that number is and how it’s related to her health just that she needs to watch it not pass a certain threshold?
Thank you for the help!</t>
        </is>
      </c>
      <c r="D4544" t="n">
        <v>1</v>
      </c>
      <c r="E4544" t="n">
        <v>4</v>
      </c>
      <c r="F4544">
        <f>HYPERLINK("https://www.reddit.com/r/diabetes/comments/89x533/my_grandma_got_diagnosed/")</f>
        <v/>
      </c>
      <c r="G4544" t="inlineStr">
        <is>
          <t>2018-04-04 22:29:49</t>
        </is>
      </c>
      <c r="H4544" t="inlineStr">
        <is>
          <t>Type 2</t>
        </is>
      </c>
    </row>
    <row r="4545">
      <c r="A4545" t="inlineStr">
        <is>
          <t>8a00ma</t>
        </is>
      </c>
      <c r="B4545" t="inlineStr">
        <is>
          <t>Starting symlin today.</t>
        </is>
      </c>
      <c r="C4545" t="inlineStr">
        <is>
          <t xml:space="preserve">Hi guys! I just need some basic advice on simlyn. I took it years ago but can't really remember it. Any advice on injection sites or possible side effects you have experienced? </t>
        </is>
      </c>
      <c r="D4545" t="n">
        <v>2</v>
      </c>
      <c r="E4545" t="n">
        <v>14</v>
      </c>
      <c r="F4545">
        <f>HYPERLINK("https://www.reddit.com/r/diabetes/comments/8a00ma/starting_symlin_today/")</f>
        <v/>
      </c>
      <c r="G4545" t="inlineStr">
        <is>
          <t>2018-04-05 07:11:50</t>
        </is>
      </c>
      <c r="H4545" t="inlineStr">
        <is>
          <t>Type 1.5/LADA</t>
        </is>
      </c>
    </row>
    <row r="4546">
      <c r="A4546" t="inlineStr">
        <is>
          <t>8a05m9</t>
        </is>
      </c>
      <c r="B4546" t="inlineStr">
        <is>
          <t>Cholesterol improved but A1C up?</t>
        </is>
      </c>
      <c r="C4546" t="inlineStr">
        <is>
          <t xml:space="preserve">Hi all. Just got my blood work back and I am curious if anyone has feedback on my results. I was initially diagnosed in October 2016 with an A1C of 9.5. Got it down to 6.6 a year ago but my test this week has my A1C at 8.6. The bounce up is not good, I know. I take 2000 mg of metformin daily and also a HCTZ/lisinopril combo pill.
While my A1C has gone up, my cholesterol numbers are way better. I was high when diagnosed and now I am very close to normal (total cholesterol down from 246 to 210, triglycerides down from 415 to 273, HDL up from 31 to 38). I have made some dietary changes in that I eat much less dairy and red meat. Approximately half my meals are vegetarian. It seems clear that I am getting some benefits from these changes, but with my a1c shooting back up pretty high I’m not getting all the changes I need and am still making mistakes. Anyone have ideas or recommendations on ways I could continue to improve to get that a1c down? I am not interested in keto. </t>
        </is>
      </c>
      <c r="D4546" t="n">
        <v>2</v>
      </c>
      <c r="E4546" t="n">
        <v>22</v>
      </c>
      <c r="F4546">
        <f>HYPERLINK("https://www.reddit.com/r/diabetes/comments/8a05m9/cholesterol_improved_but_a1c_up/")</f>
        <v/>
      </c>
      <c r="G4546" t="inlineStr">
        <is>
          <t>2018-04-05 07:29:42</t>
        </is>
      </c>
      <c r="H4546" t="inlineStr">
        <is>
          <t>Type 2</t>
        </is>
      </c>
    </row>
    <row r="4547">
      <c r="A4547" t="inlineStr">
        <is>
          <t>8a0rg7</t>
        </is>
      </c>
      <c r="B4547" t="inlineStr">
        <is>
          <t>Blood sugar has been a steady 140 for a few hours now, but I feel like i'm dropping.</t>
        </is>
      </c>
      <c r="C4547" t="inlineStr">
        <is>
          <t>I'm looking at the graph on my Libre and it's been steady for hours now, but I just feel like trash and shaky. What could be the issue?</t>
        </is>
      </c>
      <c r="D4547" t="n">
        <v>7</v>
      </c>
      <c r="E4547" t="n">
        <v>9</v>
      </c>
      <c r="F4547">
        <f>HYPERLINK("https://www.reddit.com/r/diabetes/comments/8a0rg7/blood_sugar_has_been_a_steady_140_for_a_few_hours/")</f>
        <v/>
      </c>
      <c r="G4547" t="inlineStr">
        <is>
          <t>2018-04-05 08:41:26</t>
        </is>
      </c>
      <c r="H4547" t="inlineStr">
        <is>
          <t>Type 1</t>
        </is>
      </c>
    </row>
    <row r="4548">
      <c r="A4548" t="inlineStr">
        <is>
          <t>8a317c</t>
        </is>
      </c>
      <c r="B4548" t="inlineStr">
        <is>
          <t>Type 1's who have given birth, were you induced?</t>
        </is>
      </c>
      <c r="C4548" t="inlineStr">
        <is>
          <t>I am in my 2nd trimester, and a Type 1 with great control (last a1c was 5.6). The OB/GYNs at my office all say that it's standard practice to induce diabetics at 37-38 weeks due to risk of stillbirth if left to progress naturally. I would love to hear the experiences of women who have gone through this.
The doctors seem to say that it doesn't matter how good your control is - the risk is there no matter what. From the articles and data I could find, it seems that a lot of this research is quite old. I wonder if they don't have new data simply because they don't let diabetic women progress their pregnancy naturally. Of course, I don't want to take any unnecessary risks and will do what's right for my baby. However, I don't want to get swept up into a bunch of interventions just because that's what has always been done. Please tell me your stories!</t>
        </is>
      </c>
      <c r="D4548" t="n">
        <v>5</v>
      </c>
      <c r="E4548" t="n">
        <v>31</v>
      </c>
      <c r="F4548">
        <f>HYPERLINK("https://www.reddit.com/r/diabetes/comments/8a317c/type_1s_who_have_given_birth_were_you_induced/")</f>
        <v/>
      </c>
      <c r="G4548" t="inlineStr">
        <is>
          <t>2018-04-05 13:06:08</t>
        </is>
      </c>
      <c r="H4548" t="inlineStr">
        <is>
          <t>Type 1</t>
        </is>
      </c>
    </row>
    <row r="4549">
      <c r="A4549" t="inlineStr">
        <is>
          <t>8a3fqx</t>
        </is>
      </c>
      <c r="B4549" t="inlineStr">
        <is>
          <t>How do type 1 diabetics travel abroad?</t>
        </is>
      </c>
      <c r="C4549" t="inlineStr">
        <is>
          <t>The title says it all. How do type 1 diabetics travel abroad? My fiance and me are thinking of taking our honeymoon abroad, but I'm typing one diabetic and have never been abroad before. How do you get passed all the security with insulin and needles in your luggage? Thank you so much for your time.
Kind and Warm Regards
MissAntleredWriter ~&amp;lt;3</t>
        </is>
      </c>
      <c r="D4549" t="n">
        <v>15</v>
      </c>
      <c r="E4549" t="n">
        <v>39</v>
      </c>
      <c r="F4549">
        <f>HYPERLINK("https://www.reddit.com/r/diabetes/comments/8a3fqx/how_do_type_1_diabetics_travel_abroad/")</f>
        <v/>
      </c>
      <c r="G4549" t="inlineStr">
        <is>
          <t>2018-04-05 13:53:45</t>
        </is>
      </c>
      <c r="H4549" t="inlineStr">
        <is>
          <t>Type 1</t>
        </is>
      </c>
    </row>
    <row r="4550">
      <c r="A4550" t="inlineStr">
        <is>
          <t>8a4bw9</t>
        </is>
      </c>
      <c r="B4550" t="inlineStr">
        <is>
          <t>A1C 6.6 (T1 Keto)</t>
        </is>
      </c>
      <c r="C4550" t="inlineStr">
        <is>
          <t>This is the first time I've been below 7.2! After 3 months on the Keto diet, I'm down from 7.6 to 6.6, ~55u/day to 33, 212 lbs to 197.2. I'm so happy. My doctor just said "This is great; don't change anything."</t>
        </is>
      </c>
      <c r="D4550" t="n">
        <v>24</v>
      </c>
      <c r="E4550" t="n">
        <v>16</v>
      </c>
      <c r="F4550">
        <f>HYPERLINK("https://www.reddit.com/r/diabetes/comments/8a4bw9/a1c_66_t1_keto/")</f>
        <v/>
      </c>
      <c r="G4550" t="inlineStr">
        <is>
          <t>2018-04-05 15:44:24</t>
        </is>
      </c>
      <c r="H4550" t="inlineStr">
        <is>
          <t>Type 1</t>
        </is>
      </c>
    </row>
    <row r="4551">
      <c r="A4551" t="inlineStr">
        <is>
          <t>8a6p4n</t>
        </is>
      </c>
      <c r="B4551" t="inlineStr">
        <is>
          <t>Difference between readings?</t>
        </is>
      </c>
      <c r="C4551" t="inlineStr">
        <is>
          <t>Hi guys, concerned girlfriend here. My boyfriend has been on the freestyle libre for a while, but also uses strips to test his blood. While he normally uses an omnipod to both test his blood and to dose insulin, he ran out of strips. While waiting for those to be delivered, he’s been using a cvs brand blood glucose meter along with the libre. Tonight, he got really stressed because his libre was reading ~450 while the cvs monitor read ~200. He is coming down with a bit of a cold, so I assume this is why his sugars are so high. I also know cvs probably isn’t the best or most accurate compared to the freestyle test strips he normally uses, but such a difference in the readings has both of us concerned. Is there a reason the readings are so different, or could it just be because of the cold/testing equipment? We are both stumped so any help would be greatly appreciated, thank you in advance!</t>
        </is>
      </c>
      <c r="D4551" t="n">
        <v>1</v>
      </c>
      <c r="E4551" t="n">
        <v>7</v>
      </c>
      <c r="F4551">
        <f>HYPERLINK("https://www.reddit.com/r/diabetes/comments/8a6p4n/difference_between_readings/")</f>
        <v/>
      </c>
      <c r="G4551" t="inlineStr">
        <is>
          <t>2018-04-05 21:30:02</t>
        </is>
      </c>
      <c r="H4551" t="inlineStr">
        <is>
          <t>Type 1</t>
        </is>
      </c>
    </row>
    <row r="4552">
      <c r="A4552" t="inlineStr">
        <is>
          <t>8a7rd5</t>
        </is>
      </c>
      <c r="B4552" t="inlineStr">
        <is>
          <t>I’m on pencillin for my ear infection, my dexcom is showing crazy wrong numbers</t>
        </is>
      </c>
      <c r="C4552" t="inlineStr">
        <is>
          <t>Is this something people deal with? My dexcom showed 12,4 mmol all night, when infact it was 6,6 mmol... and it has been that all yesterday, it was fine at first but deep into my antibiotics cure, it bails on me lol</t>
        </is>
      </c>
      <c r="D4552" t="n">
        <v>2</v>
      </c>
      <c r="E4552" t="n">
        <v>8</v>
      </c>
      <c r="F4552">
        <f>HYPERLINK("https://www.reddit.com/r/diabetes/comments/8a7rd5/im_on_pencillin_for_my_ear_infection_my_dexcom_is/")</f>
        <v/>
      </c>
      <c r="G4552" t="inlineStr">
        <is>
          <t>2018-04-06 01:01:19</t>
        </is>
      </c>
      <c r="H4552" t="inlineStr">
        <is>
          <t>Type 1</t>
        </is>
      </c>
    </row>
    <row r="4553">
      <c r="A4553" t="inlineStr">
        <is>
          <t>8aanxl</t>
        </is>
      </c>
      <c r="B4553" t="inlineStr">
        <is>
          <t>Need Advice and Opinions!</t>
        </is>
      </c>
      <c r="C4553" t="inlineStr">
        <is>
          <t xml:space="preserve">Im a 22, male, type 1 diabetic. Diagnosed in December of 2017... Something i realized that scares me is every week when i have my soccer games my sugar raises up to around 250mg. 1 hour after the game i drop down FAST. i ask my endo and he didnt really give me a sold answer, just told me to make sure not to take to correct this type of high. im confused on what to do. just started a low carb diet and my sugar level have been between 70 - 115 mg. and dont want them even going above 150mg. Call me a weird but i love waking up in the morning excited to control my sugar levels :). SO SATISFYING to know im on top of my health. Does any one else experience this? Any suggestions? Should i stop playing soccer (I was born in Argentina so soccer kinda runs in my blood, wouldn't wanna stop, but my health is more important)? Thanks again for all the support. love this FORM!    </t>
        </is>
      </c>
      <c r="D4553" t="n">
        <v>0</v>
      </c>
      <c r="E4553" t="n">
        <v>5</v>
      </c>
      <c r="F4553">
        <f>HYPERLINK("https://www.reddit.com/r/diabetes/comments/8aanxl/need_advice_and_opinions/")</f>
        <v/>
      </c>
      <c r="G4553" t="inlineStr">
        <is>
          <t>2018-04-06 08:57:02</t>
        </is>
      </c>
      <c r="H4553" t="inlineStr">
        <is>
          <t>Type 1</t>
        </is>
      </c>
    </row>
    <row r="4554">
      <c r="A4554" t="inlineStr">
        <is>
          <t>8abmcb</t>
        </is>
      </c>
      <c r="B4554" t="inlineStr">
        <is>
          <t>crazy BG</t>
        </is>
      </c>
      <c r="C4554" t="inlineStr">
        <is>
          <t xml:space="preserve">I was diagnosed with T1 diabetes almost a year ago. Now I’ve been gaining weight since then and I got overweight so a couple of months ago I started to be really strict about my diet and sleep schedule and I hit the gym 4 times a week. After 2 months I didn’t lose any weight, but it actually helped me with my blood sugar control and for the first time since my diagnosis I felt like I had made a breakthrough. Regular numbers, almost no highs and lows, no need for adjustments between meals, used between 2 and 4 insulin units per meal (except breakfast which tends to make my BG higher). I was kinda annoyed that I couldn’t control my weight but the blood sugar control was really a dream. 
Two weeks ago however I went to my parents house for Easter. It’s always harder to maintain my diet when I don’t control what’s in my fridge and they mostly eat trash so I lost control over my diet for a while (that’s completely on me). I made adjustments but my blood sugar kept being high. I went back to my diet, but even then everything that I ate made my sugar inexplicably high, I began to double the insulin units, triple them, like, eventually I had to use this completely insane amount of insulin for normal meals and my BG just. keeps. being high. I have tried different insulin pens from different boxes (that I bought in different places) just in case, and also increased my basal a bit, but nothing changes. It’s been almost two weeks and I keep getting high BG all the time (usually around 200) and using a crazy lot of insulin. I was doing so well for months and this is all so sudden. 
Is this normal at all? Does it have anything to do with me messing up my diet or maybe it’s a coincidence? I know I will consult with my doctor at some point but I wanted to know if you guys have had a similar experience? I’m still hoping this might be temporary 
I’m a 21 year old female. T1D since May 2017. I also have hyperthyroidism. </t>
        </is>
      </c>
      <c r="D4554" t="n">
        <v>3</v>
      </c>
      <c r="E4554" t="n">
        <v>2</v>
      </c>
      <c r="F4554">
        <f>HYPERLINK("https://www.reddit.com/r/diabetes/comments/8abmcb/crazy_bg/")</f>
        <v/>
      </c>
      <c r="G4554" t="inlineStr">
        <is>
          <t>2018-04-06 10:53:50</t>
        </is>
      </c>
      <c r="H4554" t="inlineStr">
        <is>
          <t>Type 1</t>
        </is>
      </c>
    </row>
    <row r="4555">
      <c r="A4555" t="inlineStr">
        <is>
          <t>8abn1q</t>
        </is>
      </c>
      <c r="B4555" t="inlineStr">
        <is>
          <t>backpack Japan &amp;amp; type 1 diabetes</t>
        </is>
      </c>
      <c r="C4555" t="inlineStr">
        <is>
          <t>Hi! :)
I'm busy planning a backpack trip through Japan, first big trip and alone.
I would love to go for six weeks, traveling from Tokio to the west/south.
Now I'm wondering, how can I prepare concerning my diabetes. I use omnipods.
Is it better to take all the stuff I need from home for six weeks? Or would that be too heavy and take too much space? Or is it better to find out if I can get the stuff I need in Japan.
How do I find out which type of insulin they sell there, in case of emergency? Who can I contact, a organisation in Japan, or someone here?
Besides a statement for the douane, are there other things I should bring? Is an English 'what to do' card enough, or should I get a Japanese one?
And are there things I'm not thinking of right now, but really should know/do.
I already have a cooling pack for my insulin.</t>
        </is>
      </c>
      <c r="D4555" t="n">
        <v>1</v>
      </c>
      <c r="E4555" t="n">
        <v>10</v>
      </c>
      <c r="F4555">
        <f>HYPERLINK("https://www.reddit.com/r/diabetes/comments/8abn1q/backpack_japan_type_1_diabetes/")</f>
        <v/>
      </c>
      <c r="G4555" t="inlineStr">
        <is>
          <t>2018-04-06 10:56:17</t>
        </is>
      </c>
      <c r="H4555" t="inlineStr">
        <is>
          <t>Type 1</t>
        </is>
      </c>
    </row>
    <row r="4556">
      <c r="A4556" t="inlineStr">
        <is>
          <t>8abo1l</t>
        </is>
      </c>
      <c r="B4556" t="inlineStr">
        <is>
          <t>LSAT and Type 1 Diabetes</t>
        </is>
      </c>
      <c r="C4556" t="inlineStr">
        <is>
          <t xml:space="preserve">Hey Everyone, I am planning on taking the LSAT soon and I want to know how anyone here dealt with it with Type 1? It's an extremely time constrained test so do you know if it's possible to get extra time so I can test my blood sugar/ eat etc. </t>
        </is>
      </c>
      <c r="D4556" t="n">
        <v>1</v>
      </c>
      <c r="E4556" t="n">
        <v>4</v>
      </c>
      <c r="F4556">
        <f>HYPERLINK("https://www.reddit.com/r/diabetes/comments/8abo1l/lsat_and_type_1_diabetes/")</f>
        <v/>
      </c>
      <c r="G4556" t="inlineStr">
        <is>
          <t>2018-04-06 10:59:38</t>
        </is>
      </c>
      <c r="H4556" t="inlineStr">
        <is>
          <t>Type 1</t>
        </is>
      </c>
    </row>
    <row r="4557">
      <c r="A4557" t="inlineStr">
        <is>
          <t>8abuev</t>
        </is>
      </c>
      <c r="B4557" t="inlineStr">
        <is>
          <t>Sitting in the hospital right now and I'm pretty bored. How has diabetes effected the way you live?</t>
        </is>
      </c>
      <c r="C4557" t="inlineStr">
        <is>
          <t>So I got sent to the ER by a doctor two days ago because I had DKH with a glucose level of 622. I'm turning 21 next month, so being freshly diagnosed with type 1 diabetes feels like a really big surprise to me, as I've always been a really healthy and active person. I'm getting a lot of counseling and recommendations from medical professionals, but I'd like to hear from people actually living with type 1 or diabetes in general. 
Here's a few questions I have:
1) How does I'd effect your life? 
2) Do you feel healthier as a result of constantly monitoring your diet and lifestyle? 
3) What are some neat gadgets that are useful to a diabetic?
4) Does it cause some weird social situations when you eat out?
5) How has it effected your love life?
6) How do you cope with the instinctual resistance to stabbing yourself with needles?
If there's any other useful tips or anything that you think would be useful for a new type 1 feel free to chime in. Thanks in advance!</t>
        </is>
      </c>
      <c r="D4557" t="n">
        <v>5</v>
      </c>
      <c r="E4557" t="n">
        <v>37</v>
      </c>
      <c r="F4557">
        <f>HYPERLINK("https://www.reddit.com/r/diabetes/comments/8abuev/sitting_in_the_hospital_right_now_and_im_pretty/")</f>
        <v/>
      </c>
      <c r="G4557" t="inlineStr">
        <is>
          <t>2018-04-06 11:22:10</t>
        </is>
      </c>
      <c r="H4557" t="inlineStr">
        <is>
          <t>Type 1</t>
        </is>
      </c>
    </row>
    <row r="4558">
      <c r="A4558" t="inlineStr">
        <is>
          <t>8afb18</t>
        </is>
      </c>
      <c r="B4558" t="inlineStr">
        <is>
          <t>Android Wear + iPhone + Libre + Nightrider = real-time CGM updates</t>
        </is>
      </c>
      <c r="C4558" t="inlineStr">
        <is>
          <t>[Huawei Watch 1](https://i.imgur.com/io2Pp4k.jpg)
I cobbled together a way to have my FreeStyle Libre act as a CGM and provide real-time updates to my smartwatch.  I know this already exists for Dexcom users but haven't seen a complete solution for the Libre with iOS and Android Wear.
Here is the tutorial:
1) FreeStyle Libre reader + sensor.  Apply sensor and activate with FreeStyle reader. 
2) [Ambrosia Blucon Nightrider](https://www.ambrosiasys.com/howit).  This device reads the Libre sensor every 5 minutes via NFC and converts the signal to bluetooth, sending the data to your paired device.  The Nightrider doesn't come with any way to mount it on the Libre sensor.  I have seen either [velcro](https://youtu.be/eHbQTaN5pQQ?t=1m26s), [tape](https://youtu.be/fcC39hzgmNc), or [straps](https://www.ebay.com/itm/BluCon-Nightrider-Flexible-Guardian-Flexible-Holder-for-Blucon-Nightrider/183113294744?hash=item2aa2672398:g:dToAAOSwFHZawhcM) used, but I decided to go with magnets.  I use thin sheet magnets and cut out a circle for both the Libre sensor and the Nightrider.  This allows super easy removal for showering (Nightrider isn't waterproof) yet is fairly secure.  It also won't rip off your Libre sensor if you catch the Nightrider on anything (like I did when I first used velcro).
3) [Spike app](https://spike-app.com/).  Install this on your iPhone (iPad works too - I tried it) and pair it to your Nightrider as well as entering the starting time of the Libre sensor.  This app allows you to calibrate readings like xDrip does on Android.  There is also an [iOS xDrip app](https://github.com/JohanDegraeve/iosxdripreader) but I didn't like the interface as much and don't know if the smartwatch integration works.  
4) Once you have everything working - Libre, Nightrider, and Spike - you are ready to integrate a smartwatch.  Spike has a built-in function to display real-time readings on Pebble and Garmin watches.  They also have a hack to get readings on an Apple Watch and this is key.  It works by taking the Libre reading from the Nightrider and then creating a calendar event on a chosen calendar (iCloud suggested).  On the Apple Watch, this will automatically update the calendar complication.  It occurred to me this should work for an Android Wear watch paired to an iPhone/iPad, and it does.  The key I found is to select a "push" calendar like iCloud or Hotmail.  Gmail is only fetch on iOS, to my knowledge, so it won't work.  In Spike I chose these settings for watch:
 - enabled = yes  
 - calendar = choose the one to send data  
 - glucose history = 2 (this can be anything you want, I chose 2 so my calendar wasn't cluttered with old data)  
 - display name = doesn't matter  
 - display trend = doesn't matter (gives the directional arrow)  
 - display delta = doesn't matter (change from prior reading)  
 - display units = doesn't matter  
 - gap fix = yes (found this works better to keep the watch updating)  
Now you need to configure the Wear OS app on the iPhone/iPad to have access to the calendar that Spike is pushing to.  On my Wear OS app, I can only choose Apple or Gmail calendars.  The Apple calendar shows all events that are selected in the iOS calendar app so make sure the calendar you are using is selected there.
Finally, on the Android Wear watch, select a watchface and choose "Agenda, next event" as the complication.  The complication slot must be large to display the actual data instead of the countdown to the next event, which you get with a small complication slot.  Once you do this, the Libre values should update every 5 minutes via communication from Nightrider, to Spike, to your calendar.  
I have found this drains both my iPhone and watch batteries faster (have this working for less than one day), but I'm willing to live with that to get real-time updates with an ALWAYS ON DISPLAY on my Android Wear watch!
Happy to answer any questions.</t>
        </is>
      </c>
      <c r="D4558" t="n">
        <v>16</v>
      </c>
      <c r="E4558" t="n">
        <v>11</v>
      </c>
      <c r="F4558">
        <f>HYPERLINK("https://www.reddit.com/r/diabetes/comments/8afb18/android_wear_iphone_libre_nightrider_realtime_cgm/")</f>
        <v/>
      </c>
      <c r="G4558" t="inlineStr">
        <is>
          <t>2018-04-06 19:58:24</t>
        </is>
      </c>
      <c r="H4558" t="inlineStr">
        <is>
          <t>Type 1</t>
        </is>
      </c>
    </row>
    <row r="4559">
      <c r="A4559" t="inlineStr">
        <is>
          <t>8aglmo</t>
        </is>
      </c>
      <c r="B4559" t="inlineStr">
        <is>
          <t>Dawn Phenomenon?</t>
        </is>
      </c>
      <c r="C4559" t="inlineStr">
        <is>
          <t xml:space="preserve">I have had diabetes for about 15 years now but I’ve only really started taking it seriously in the last few years (I was about 11 when diagnosed and had serious denial  for years). 
Every morning I wake up and my blood sugar is sky high, over 20 mmols (360mg/dl) even if I go to bed around 5-6 mmols (95-108 mg/dl) . At first they thought I might be having hypos in my sleep but then I had to do tests in the night (between 1-3 am) to see when it started to rise and this confirmed I had the dawn phenomenon. 
Anyway, my question is will I ever be able to get a decent a1c because it’s always between 8-9. My diabetic clinic are always on at me to get it down but how can I when every single morning my blood is so high? I wake up and have some insulin to correct but it still takes time to drop. Has anyone had experience with the dawn phenomenon? Does it ever go away? How do other people deal with it? 
Thanks in advance. </t>
        </is>
      </c>
      <c r="D4559" t="n">
        <v>6</v>
      </c>
      <c r="E4559" t="n">
        <v>15</v>
      </c>
      <c r="F4559">
        <f>HYPERLINK("https://www.reddit.com/r/diabetes/comments/8aglmo/dawn_phenomenon/")</f>
        <v/>
      </c>
      <c r="G4559" t="inlineStr">
        <is>
          <t>2018-04-07 00:34:14</t>
        </is>
      </c>
      <c r="H4559" t="inlineStr">
        <is>
          <t>Type 1</t>
        </is>
      </c>
    </row>
    <row r="4560">
      <c r="A4560" t="inlineStr">
        <is>
          <t>8ahqyb</t>
        </is>
      </c>
      <c r="B4560" t="inlineStr">
        <is>
          <t>[HELP] Father insists I'm a heroin addict</t>
        </is>
      </c>
      <c r="C4560" t="inlineStr">
        <is>
          <t>So I'm a T1 diabetic on MDI, I have poor control and my father isn't helping.
He keeps throwing away my syringes, test kits, insulin, etc. claiming that it makes his house look like a drug den and that only heroin addicts need needles.
He goes through my stuff every day while I'm at school/work. I am not allowed any degree of privacy even though I am in my mid 20's. Everything I own is "actually his", I'm not allowed to say no or disagree in any way, half the time I'm told not to speak unless spoken to, he controls everything, right down to when/what I'm allowed to eat, wear, and sleep. It is most definitely a /r/raisedbynarcissists scenario.
I cannot afford to move out and am losing money as is just trying to make basic COL standards. I have tried applying for various social services but do not qualify because I live with my father, but again at the same time I cannot afford to move out.
I have no other family or friends to stay with. I'm at a loss for what to do.</t>
        </is>
      </c>
      <c r="D4560" t="n">
        <v>96</v>
      </c>
      <c r="E4560" t="n">
        <v>61</v>
      </c>
      <c r="F4560">
        <f>HYPERLINK("https://www.reddit.com/r/diabetes/comments/8ahqyb/help_father_insists_im_a_heroin_addict/")</f>
        <v/>
      </c>
      <c r="G4560" t="inlineStr">
        <is>
          <t>2018-04-07 05:31:41</t>
        </is>
      </c>
      <c r="H4560" t="inlineStr">
        <is>
          <t>Type 1</t>
        </is>
      </c>
    </row>
    <row r="4561">
      <c r="A4561" t="inlineStr">
        <is>
          <t>8ak7i8</t>
        </is>
      </c>
      <c r="B4561" t="inlineStr">
        <is>
          <t>Tslim x2 or Medtronic 670 that is the question</t>
        </is>
      </c>
      <c r="C4561" t="inlineStr">
        <is>
          <t>So my warranty is up soon on my pump and Im looking to get the Tslim x2 or the Medtronic 670g. If you have either could you tell me the pros and cons of which one you have. Thanks</t>
        </is>
      </c>
      <c r="D4561" t="n">
        <v>11</v>
      </c>
      <c r="E4561" t="n">
        <v>23</v>
      </c>
      <c r="F4561">
        <f>HYPERLINK("https://www.reddit.com/r/diabetes/comments/8ak7i8/tslim_x2_or_medtronic_670_that_is_the_question/")</f>
        <v/>
      </c>
      <c r="G4561" t="inlineStr">
        <is>
          <t>2018-04-07 11:57:45</t>
        </is>
      </c>
      <c r="H4561" t="inlineStr">
        <is>
          <t>Type 1</t>
        </is>
      </c>
    </row>
    <row r="4562">
      <c r="A4562" t="inlineStr">
        <is>
          <t>8akah5</t>
        </is>
      </c>
      <c r="B4562" t="inlineStr">
        <is>
          <t>Might be a stupid question, but need an answer quick</t>
        </is>
      </c>
      <c r="C4562" t="inlineStr">
        <is>
          <t>My BS was 6.0 mmol and going down, watched the United game on the telly, was a stressful last 10 minutes so my BS shot up to 10,5 mmol, it has been there a while. Do I correct it with insulin or will it go down by itself?</t>
        </is>
      </c>
      <c r="D4562" t="n">
        <v>5</v>
      </c>
      <c r="E4562" t="n">
        <v>4</v>
      </c>
      <c r="F4562">
        <f>HYPERLINK("https://www.reddit.com/r/diabetes/comments/8akah5/might_be_a_stupid_question_but_need_an_answer/")</f>
        <v/>
      </c>
      <c r="G4562" t="inlineStr">
        <is>
          <t>2018-04-07 12:09:38</t>
        </is>
      </c>
      <c r="H4562" t="inlineStr">
        <is>
          <t>Type 1</t>
        </is>
      </c>
    </row>
    <row r="4563">
      <c r="A4563" t="inlineStr">
        <is>
          <t>8akec5</t>
        </is>
      </c>
      <c r="B4563" t="inlineStr">
        <is>
          <t>Switching from Novolog to Humalog</t>
        </is>
      </c>
      <c r="C4563" t="inlineStr">
        <is>
          <t>My insurance changed from covering Novolog to Humalog. I've been using Novolog for over 10 years, so will suddenly changing to Humalog have any sort of negative effects?</t>
        </is>
      </c>
      <c r="D4563" t="n">
        <v>11</v>
      </c>
      <c r="E4563" t="n">
        <v>5</v>
      </c>
      <c r="F4563">
        <f>HYPERLINK("https://www.reddit.com/r/diabetes/comments/8akec5/switching_from_novolog_to_humalog/")</f>
        <v/>
      </c>
      <c r="G4563" t="inlineStr">
        <is>
          <t>2018-04-07 12:24:48</t>
        </is>
      </c>
      <c r="H4563" t="inlineStr">
        <is>
          <t>Type 1</t>
        </is>
      </c>
    </row>
    <row r="4564">
      <c r="A4564" t="inlineStr">
        <is>
          <t>8an4op</t>
        </is>
      </c>
      <c r="B4564" t="inlineStr">
        <is>
          <t>Xdrip and Dexcom App question</t>
        </is>
      </c>
      <c r="C4564" t="inlineStr">
        <is>
          <t>I recently got a Dexcom G5. I set it up for the first time using the Dexcom app on my Android phone. The Android app is pretty limited so I installed Xdrip+ to see if it's any better. 
Problem is Xdrip just seems stuck. It won't connect to the Dexcom transmitter. After reading up on it I'm guessing it's because I'm already running the Dexcom app and the transmitter can't talk to both at the same time. 
My question is, can I just uninstall the Dexcom app on my phone? Will that mess up the new sensor and transmitter I just started using?</t>
        </is>
      </c>
      <c r="D4564" t="n">
        <v>1</v>
      </c>
      <c r="E4564" t="n">
        <v>5</v>
      </c>
      <c r="F4564">
        <f>HYPERLINK("https://www.reddit.com/r/diabetes/comments/8an4op/xdrip_and_dexcom_app_question/")</f>
        <v/>
      </c>
      <c r="G4564" t="inlineStr">
        <is>
          <t>2018-04-07 19:32:11</t>
        </is>
      </c>
      <c r="H4564" t="inlineStr">
        <is>
          <t>Type 1</t>
        </is>
      </c>
    </row>
    <row r="4565">
      <c r="A4565" t="inlineStr">
        <is>
          <t>8aoe6d</t>
        </is>
      </c>
      <c r="B4565" t="inlineStr">
        <is>
          <t>I'm so confused.</t>
        </is>
      </c>
      <c r="C4565" t="inlineStr">
        <is>
          <t>I was diagnosed with type 1 on January 19th, 2009 when I was 15 years old. Diabetes does not run in my family - I'm the first to date. My mom and dad fed me right, I played sports, I've never been anywhere close to overweight. In fact, exactly the opposite. I almost struggle to keep the weight on. How did this happen? Should I ever choose to have kids, how likely is this disease to be passed on? I've come to terms with the condition and manage it accordingly, but it's taking a serious toll on me both physically and mentally, especially being in my mid-20's. I hate this quality of life, especially after living my first 15 years dietary restriction free. Even with all the doctors, therapists, endocrinologists that I've visited over the years, I still have an extremely tough time just chalking it up to "bad luck." Looking for someone with a similar story. Or just anyone. I'm at a loss. Have been for nearly a decade.</t>
        </is>
      </c>
      <c r="D4565" t="n">
        <v>15</v>
      </c>
      <c r="E4565" t="n">
        <v>66</v>
      </c>
      <c r="F4565">
        <f>HYPERLINK("https://www.reddit.com/r/diabetes/comments/8aoe6d/im_so_confused/")</f>
        <v/>
      </c>
      <c r="G4565" t="inlineStr">
        <is>
          <t>2018-04-07 23:54:23</t>
        </is>
      </c>
      <c r="H4565" t="inlineStr">
        <is>
          <t>Type 1</t>
        </is>
      </c>
    </row>
    <row r="4566">
      <c r="A4566" t="inlineStr">
        <is>
          <t>8ar3bw</t>
        </is>
      </c>
      <c r="B4566" t="inlineStr">
        <is>
          <t>UPDATE: Hi, i need some guiding. I don't know what to do!</t>
        </is>
      </c>
      <c r="C4566" t="inlineStr">
        <is>
          <t>Hello everyone, i wanted to update this so you guys know how the things went. (Also i'm sorry for not updating before as you guys know this has been a bit complicated)
I want to thank you all from the bottom of my heart for your best wishes and preoccupation also for telling me what i had to do
After reading the messages in my post i called my dad and he drove me and my mom to a clinic, there they told me they didnt had insuline and that the only place in my city that had it was the hospital (Place where i didnt want to go). So we got there to urgent care (That was probably one of the most horrid things i ever seen, lot of people laying in the floor, people crying and screaming. There i was thinking that's how i'm going to die) my mom got the attetion of one doctor, she saw my blood sugar and rushed me to UCE - Unidad de cuidades especiales (Unity of special care) 
I got my blood sugar measured again and i was in 400 something, after 20 or 30 min they put me 2 intravenous one for Crystalline insulin (THE LAST ONE IN THE HOSPITAL!) and the other one for serum. (btw one guy died because he was in DKA and they could not treat it as i got the last insulin) i was getting better until they had to put me an urinary catheter (I swear i almost faint when the nurse was putting that thing inside me, i dont wish that thing for anyone ever, that was the most painful experience in my life) they had me there in UCE till after afternoon, they measured my blood sugar and i had 190, after that they said i could eat, my dad got me bread with some vegetables and jam from there they moved me to observation where they tested me again i had 240
They told my mom that i was clear to go but she had to find insulin and a glucometer for me, and i think this was a miracle, an endocrino from the hospital saw me and gave me a bottle of insulin lantus and the glucometer. since she gave those things to my mom in the night i was clear to go in the morning :)
I went home and rested a little bit since i could barely sleep in the hospital, in the afternoon i went with the same endocrino that gave me the glucometer and insulin and she told that even if i got so high blood sugar i never was in DKA and she's isnt really sure what kind of diabetes i have, could be 1.5 or 2. She told me about some tests that i can do to know what kind of diabetes i have but those are TOTALLY out of my reach and they dont even do those in my city. So that's the only bad thing that i'm being treated "blindfolded"
And about my blood sugar numbers, are still VERY high but going down slowly when i was with the endo i had 290, today i have 230, and i'm not feeling to my 100% but i'm WAY better and also got some weight back from 44 to 48KG :) the "bad things" are that it's a little bit hard to get used to the new low carb and sugar diet, and that's insanely expensive here and my blurry vision it isnt that bad but i think i may need glasses but i hope it gets better as my blood sugar goes down.
And that's how it went for me, once again i want to thank you all for everything. Sorry if i have any grammatical error or it doesnt make sense at all some of my sentences</t>
        </is>
      </c>
      <c r="D4566" t="n">
        <v>15</v>
      </c>
      <c r="E4566" t="n">
        <v>5</v>
      </c>
      <c r="F4566">
        <f>HYPERLINK("https://www.reddit.com/r/diabetes/comments/8ar3bw/update_hi_i_need_some_guiding_i_dont_know_what_to/")</f>
        <v/>
      </c>
      <c r="G4566" t="inlineStr">
        <is>
          <t>2018-04-08 09:38:10</t>
        </is>
      </c>
      <c r="H4566" t="inlineStr">
        <is>
          <t>Type 1.5/LADA</t>
        </is>
      </c>
    </row>
    <row r="4567">
      <c r="A4567" t="inlineStr">
        <is>
          <t>8au80v</t>
        </is>
      </c>
      <c r="B4567" t="inlineStr">
        <is>
          <t>Feeling low at BS reading of 85</t>
        </is>
      </c>
      <c r="C4567" t="inlineStr">
        <is>
          <t>Long story short, my BS has been high-ish for a while.
Controlling it now, feeling a bit low at 85. When does my body get used to normal BS?</t>
        </is>
      </c>
      <c r="D4567" t="n">
        <v>2</v>
      </c>
      <c r="E4567" t="n">
        <v>8</v>
      </c>
      <c r="F4567">
        <f>HYPERLINK("https://www.reddit.com/r/diabetes/comments/8au80v/feeling_low_at_bs_reading_of_85/")</f>
        <v/>
      </c>
      <c r="G4567" t="inlineStr">
        <is>
          <t>2018-04-08 17:01:43</t>
        </is>
      </c>
      <c r="H4567" t="inlineStr">
        <is>
          <t>Type 1.5/LADA</t>
        </is>
      </c>
    </row>
    <row r="4568">
      <c r="A4568" t="inlineStr">
        <is>
          <t>8aupwv</t>
        </is>
      </c>
      <c r="B4568" t="inlineStr">
        <is>
          <t>Hibiscus Tea stabilizes readings, it is truly a wonder tea.</t>
        </is>
      </c>
      <c r="C4568" t="inlineStr">
        <is>
          <t>Last month, I had bought a box of Hibiscus Tea from Starbucks just to try it out. Once I started taking it, I had noticed that my blood sugar levels had become suddenly stable. So I started to research it's effects on diabetes. It has been known to decrease cholesterol, reduce kidney damage (nephropathy), lower blood pressure, etc... So to all my fellow diabetic friends out there, I can not express it enough that it helps diabetics type 1 and 2. Below are just some peer reviewed journals on this subject. I have tried other brands of hibiscus (ie. Tea Shop, Corte Ingles, etc...) and they all seem to work as long as they have Hibiscus sabdariffa (hibiscus tea) in it. So feel safe to buy any brand you want. 
References: 
Stops highs: https://pubs.acs.org/doi/abs/10.1021/jf2022379
Reduces nephropathy: https://pubs.acs.org/doi/abs/10.1021/jf802993s
Helps with insulin resistance, obesity, hypertension, and dyslipidemia: https://www.sciencedirect.com/science/article/pii/S0944711309002694</t>
        </is>
      </c>
      <c r="D4568" t="n">
        <v>0</v>
      </c>
      <c r="E4568" t="n">
        <v>30</v>
      </c>
      <c r="F4568">
        <f>HYPERLINK("https://www.reddit.com/r/diabetes/comments/8aupwv/hibiscus_tea_stabilizes_readings_it_is_truly_a/")</f>
        <v/>
      </c>
      <c r="G4568" t="inlineStr">
        <is>
          <t>2018-04-08 18:20:36</t>
        </is>
      </c>
      <c r="H4568" t="inlineStr">
        <is>
          <t>Type 1</t>
        </is>
      </c>
    </row>
    <row r="4569">
      <c r="A4569" t="inlineStr">
        <is>
          <t>8avvq9</t>
        </is>
      </c>
      <c r="B4569" t="inlineStr">
        <is>
          <t>Roommate diagnosed three months ago, not making rent</t>
        </is>
      </c>
      <c r="C4569" t="inlineStr">
        <is>
          <t>Hey Reddit,
My roommate was diagnosed with Type 1 diabetes.  Leading up to his diagnosis, I had to force him to go the ER, where he was sent home with a prescription for insulin pills, after receiving insulin and saline through an IV.  He didn't fill his prescription, and went into Ketoacidosis, which resulted in another fight when I forced him to go to the ER again.  He was in the ICU for a week.  
The problem is that he has had a hard time bouncing back.  He was a truck driver, and his diagnosis resulted in him losing his CDL, and thus putting him out of work.  
I offered to pay his part of rent for January, and he got a job at Subway.  The problem is that he is only working 22 hours a week, so I've been paying his rent for him for three months now, and I'm quickly draining my savings.  He says that he is not healthy enough to work more than this.
He has his first Diabetes Management class at the end of this month.  I feel like this is rather late, since it's been a quarter of a year since his diagnosis.  It took a month for him to finish his paperwork for disability and SSI, and whatnot, and he so far hasn't received any income assistance.  
I just tried talking to him about it, as I can't continue to pay his rent.  He started screaming at me,  throwing things, and telling me I'm expecting too much from him and that I don't know the nature of his disease.  
I'm at a loss Reddit.  I feel for him, which is why I've been paying his way, but with everything I've looked up, as long as he is properly managing his condition, he should be able to handle full time employment.  He says he is putting apps out, but so so far he's sent only 20 in a three month period.  I feel like an asshole for pushing him, but I can't afford to keep supporting him.
Any suggestions, or is there anything I may be missing?</t>
        </is>
      </c>
      <c r="D4569" t="n">
        <v>9</v>
      </c>
      <c r="E4569" t="n">
        <v>54</v>
      </c>
      <c r="F4569">
        <f>HYPERLINK("https://www.reddit.com/r/diabetes/comments/8avvq9/roommate_diagnosed_three_months_ago_not_making/")</f>
        <v/>
      </c>
      <c r="G4569" t="inlineStr">
        <is>
          <t>2018-04-08 21:39:18</t>
        </is>
      </c>
      <c r="H4569" t="inlineStr">
        <is>
          <t>Type 1</t>
        </is>
      </c>
    </row>
    <row r="4570">
      <c r="A4570" t="inlineStr">
        <is>
          <t>8aw8k6</t>
        </is>
      </c>
      <c r="B4570" t="inlineStr">
        <is>
          <t>Anyone tried doing the Ketogenic Diet, Is there a good meal replacement that is zero carbs ???</t>
        </is>
      </c>
      <c r="C4570" t="inlineStr">
        <is>
          <t>I am type 1 diabetic and I have heard the ketogenic diet has helped lower A1c and managing blood sugar and I want to start the diet but want to know if there is any good meal replacement drinks and a protein shake?? I really need to get my a1c down have had t1d for 14 years now since a little kid and past 11 or so years my a1c has basically  been over 14 I need help getting it down anything helps thank you</t>
        </is>
      </c>
      <c r="D4570" t="n">
        <v>8</v>
      </c>
      <c r="E4570" t="n">
        <v>22</v>
      </c>
      <c r="F4570">
        <f>HYPERLINK("https://www.reddit.com/r/diabetes/comments/8aw8k6/anyone_tried_doing_the_ketogenic_diet_is_there_a/")</f>
        <v/>
      </c>
      <c r="G4570" t="inlineStr">
        <is>
          <t>2018-04-08 22:50:26</t>
        </is>
      </c>
      <c r="H4570" t="inlineStr">
        <is>
          <t>Type 1</t>
        </is>
      </c>
    </row>
    <row r="4571">
      <c r="A4571" t="inlineStr">
        <is>
          <t>8ax9xl</t>
        </is>
      </c>
      <c r="B4571" t="inlineStr">
        <is>
          <t>Type 2 Very sleepy at 2pm daily?</t>
        </is>
      </c>
      <c r="C4571" t="inlineStr">
        <is>
          <t>I noticed that I get extremely sleepy every day between 2pm and 4pm.
Is this happening to anyone else and how do you overcome this?</t>
        </is>
      </c>
      <c r="D4571" t="n">
        <v>3</v>
      </c>
      <c r="E4571" t="n">
        <v>6</v>
      </c>
      <c r="F4571">
        <f>HYPERLINK("https://www.reddit.com/r/diabetes/comments/8ax9xl/type_2_very_sleepy_at_2pm_daily/")</f>
        <v/>
      </c>
      <c r="G4571" t="inlineStr">
        <is>
          <t>2018-04-09 02:57:28</t>
        </is>
      </c>
      <c r="H4571" t="inlineStr">
        <is>
          <t>Type 2</t>
        </is>
      </c>
    </row>
    <row r="4572">
      <c r="A4572" t="inlineStr">
        <is>
          <t>8axfu7</t>
        </is>
      </c>
      <c r="B4572" t="inlineStr">
        <is>
          <t>Any tips on getting my teenager to take their T1 a bit more seriously?</t>
        </is>
      </c>
      <c r="C4572" t="inlineStr">
        <is>
          <t>Hey folks,
My youngest is 15yo and a great kid overall....helpful, compassionate, creative and kind.  About two years ago was diagnosed with T1D, doing MDI for the first 9-10 moths then got a pump (now Medtronic 670g).
Despite many positive attributes, we've hit a sore spot with this one.  Kiddo could not give one flying fuck about anything related to this condition.  Glucometer checks to calibrate pump at most once per day, regularly forgets to bolus around meals, rages against attempts to move diet to less carb-heavy foods, sneaks food constantly, letting pump alarms for highs/lows/calibration required wake parents 5-10 times a week, etc etc.
As parents we've tried to take all of the recommendations to heart about not being obsessive or tyrannical about it, and I think we've done a pretty good job...mom in particular.  I've definitely lost my temper a couple of times, but only when there is just wanton disregard or utter laziness (e.g not moving infusion site, despite being told by doctors and parents to do so, until it gets infected).  It's now at the point where we are basically caregivers for something that kiddo is 150% capable of taking care of without us.  We're 2 years away from graduation and something has to change or this is going to get seriously into uncontrolled status when college hits.
We've had semi-regular visits with a counselor over the last year.  It has been a bit helpful overall but hasn't really improved this, so one thing that comes to mind is possibly finding a counselor that has experience working with kids that have chronic medical conditions.  Another is to just get a more aggressive doctor that's willing to be the bad cop in this situation.  I'm more than happy to drag kiddo's ass out of bed this morning and share a piece of my mind, but every indication I've seen to date indicates that would be counterproductive.
Soo...what do?
Thanks in advance.</t>
        </is>
      </c>
      <c r="D4572" t="n">
        <v>5</v>
      </c>
      <c r="E4572" t="n">
        <v>27</v>
      </c>
      <c r="F4572">
        <f>HYPERLINK("https://www.reddit.com/r/diabetes/comments/8axfu7/any_tips_on_getting_my_teenager_to_take_their_t1/")</f>
        <v/>
      </c>
      <c r="G4572" t="inlineStr">
        <is>
          <t>2018-04-09 03:33:36</t>
        </is>
      </c>
      <c r="H4572" t="inlineStr">
        <is>
          <t>Type 1</t>
        </is>
      </c>
    </row>
    <row r="4573">
      <c r="A4573" t="inlineStr">
        <is>
          <t>8ayzxw</t>
        </is>
      </c>
      <c r="B4573" t="inlineStr">
        <is>
          <t>Any Good Diets for a T1D who wants to lose some weight?</t>
        </is>
      </c>
      <c r="C4573" t="inlineStr">
        <is>
          <t>Due to my Ketoacidosis I lost over one stone &amp;amp; since the diagnosis I have gained it all back (plus extra). I would now like to lose a bit of weight since I have gained more weight than I would like, any Type 1 Diabetics know any good diets I could do to lose some weight without affect my BG levels or my A1C?</t>
        </is>
      </c>
      <c r="D4573" t="n">
        <v>8</v>
      </c>
      <c r="E4573" t="n">
        <v>10</v>
      </c>
      <c r="F4573">
        <f>HYPERLINK("https://www.reddit.com/r/diabetes/comments/8ayzxw/any_good_diets_for_a_t1d_who_wants_to_lose_some/")</f>
        <v/>
      </c>
      <c r="G4573" t="inlineStr">
        <is>
          <t>2018-04-09 07:51:58</t>
        </is>
      </c>
      <c r="H4573" t="inlineStr">
        <is>
          <t>Type 1</t>
        </is>
      </c>
    </row>
    <row r="4574">
      <c r="A4574" t="inlineStr">
        <is>
          <t>8azc9h</t>
        </is>
      </c>
      <c r="B4574" t="inlineStr">
        <is>
          <t>Dexcom App Crashing</t>
        </is>
      </c>
      <c r="C4574" t="inlineStr">
        <is>
          <t>I just got the Dexcom G5 two days ago. I love everything about it except for the fact that the app crashes every time I open it. I have an iPhone SE and every single time I open it, it'll crash right away and I have to launch it again. If I then try to open it again just 5 minutes later, it crashes again.
Does this happen to anyone else?</t>
        </is>
      </c>
      <c r="D4574" t="n">
        <v>1</v>
      </c>
      <c r="E4574" t="n">
        <v>6</v>
      </c>
      <c r="F4574">
        <f>HYPERLINK("https://www.reddit.com/r/diabetes/comments/8azc9h/dexcom_app_crashing/")</f>
        <v/>
      </c>
      <c r="G4574" t="inlineStr">
        <is>
          <t>2018-04-09 08:36:44</t>
        </is>
      </c>
      <c r="H4574" t="inlineStr">
        <is>
          <t>Type 1</t>
        </is>
      </c>
    </row>
    <row r="4575">
      <c r="A4575" t="inlineStr">
        <is>
          <t>8azp7a</t>
        </is>
      </c>
      <c r="B4575" t="inlineStr">
        <is>
          <t>Traveling with Diabetes</t>
        </is>
      </c>
      <c r="C4575" t="inlineStr">
        <is>
          <t xml:space="preserve">I just got back from a week in Spain (from the US). I carefully packed all of my supplies, as well as enough extras to make it through any pump malfunction or emergency. Turns out, you can plan all you want, but if you leave your vial of insulin in one hotel fridge and travel to the next city, you’re still going to have a bad time. 
While waiting for the hotel to see if they could find it and mail it to me, I went to a pharmacy to see if I could manage to get an emergency supply without a prescription. Turns out, you can just buy a full box of pens without rx or insurance over the counter. So I bought that, even though it was a different concentration than what I normally use. 
The hotel was able to overnight my insulin, so I never had to use the new pens. I use an omnipod, and I calculated that I’d be able to stretch the amount in my pod for 3 days, and then I’d be completely out. So luckily my insulin got to me in time, but it was a very stressful couple of hours before I knew they had found it and could mail it. Not to mention the uncertainty of whether it would actually arrive, especially since we were leaving the second hotel early on the third day. So really I look at buying the pens as a small price to pay for the peace of mind of the 24 hours before I held my insulin in my hands. 
So ANYWAY, does anyone in the US want 5 free humalog pens, of the u-200 variety? I didn’t open the box, although it is pretty squished from traveling in my suitcase. I’ll cover shipping, just don’t want them to go to waste now that I don’t need them. 
</t>
        </is>
      </c>
      <c r="D4575" t="n">
        <v>20</v>
      </c>
      <c r="E4575" t="n">
        <v>19</v>
      </c>
      <c r="F4575">
        <f>HYPERLINK("https://www.reddit.com/r/diabetes/comments/8azp7a/traveling_with_diabetes/")</f>
        <v/>
      </c>
      <c r="G4575" t="inlineStr">
        <is>
          <t>2018-04-09 09:20:33</t>
        </is>
      </c>
      <c r="H4575" t="inlineStr">
        <is>
          <t>Type 1</t>
        </is>
      </c>
    </row>
    <row r="4576">
      <c r="A4576" t="inlineStr">
        <is>
          <t>8b13p9</t>
        </is>
      </c>
      <c r="B4576" t="inlineStr">
        <is>
          <t>High liver enzymes and I'm freaking out</t>
        </is>
      </c>
      <c r="C4576" t="inlineStr">
        <is>
          <t xml:space="preserve">Thank you all for taking the time to read this. I hope you guys are having a good day. 
Info about me: I am a 30 year old female who was diagnosed with type 2 diabetes about 3 years ago. I am overweight and have been all my life, I just recently started going to the gym with my husband and have good feelings that I will succeed in attaining a healthier lifestyle. Medication I have been taking is Metformin, Invokana, lisinopril, and I was just prescribed glipizide. 
Diabetes is a disease that runs strongly in my family and since being diagnosed I didn't take it very seriously. I have been dealing with extreme depression to the point where I would lay in bed all day and not take care of my personal hygiene and avoid eating. I basically stopped taking care of myself.  
I had visit with my doctor a few days ago and was told my Aic was 12.9 and this scared the hell out of me, of course it should! To top it off, this morning I received a call from my doctors office to schedule an appointment for a liver ultrasound due to high liver enzyme levels. I'm so scared that they are going to tell me something terrible and that I won't be able to do anything to fix it. 
I don't want to be consoled and told everything will be ok because it won't if I don't take care of myself. I think this is me venting about myself for being a fool and thinking I am invincible and then thinking my life is pointless and that I should just let go of my hopes for a good life. I am trying to get better and want to get better. I want to live.
Aside from the venting, I would like to know what it is you all do to take care of yourself? Have you been in my situation and what have you done to help yourself? I have no idea where to start or where to get proper information. I don't really see an info selection on the side menu of this subreddit so I just want to make sure I go to the best sources. I want to know what I'm dealing with and what I can do to avoid needing to take insulin. 
Again, Thanks so much for taking the time to read this. Thank you for your help.
TL;DR - What do you do to take care of your diabetes and what sources do you use? 
</t>
        </is>
      </c>
      <c r="D4576" t="n">
        <v>7</v>
      </c>
      <c r="E4576" t="n">
        <v>19</v>
      </c>
      <c r="F4576">
        <f>HYPERLINK("https://www.reddit.com/r/diabetes/comments/8b13p9/high_liver_enzymes_and_im_freaking_out/")</f>
        <v/>
      </c>
      <c r="G4576" t="inlineStr">
        <is>
          <t>2018-04-09 12:14:07</t>
        </is>
      </c>
      <c r="H4576" t="inlineStr">
        <is>
          <t>Type 2</t>
        </is>
      </c>
    </row>
    <row r="4577">
      <c r="A4577" t="inlineStr">
        <is>
          <t>8b1uc5</t>
        </is>
      </c>
      <c r="B4577" t="inlineStr">
        <is>
          <t>What are some healthy, high calorie, low carb foods?</t>
        </is>
      </c>
      <c r="C4577" t="inlineStr">
        <is>
          <t>I'm looking to put on some mass while weightlifting and need to increase my calorie intake. Before I was diagnosed as T1 three years ago, this was as simple as eating a lot of protein + anything else I could manage. But now as a diabetic I think I should be a little more careful in my approach. 
So what are your recommendations for food to put on weight?
Edit: Bonus points for something that's convenient or easy to prepare</t>
        </is>
      </c>
      <c r="D4577" t="n">
        <v>4</v>
      </c>
      <c r="E4577" t="n">
        <v>11</v>
      </c>
      <c r="F4577">
        <f>HYPERLINK("https://www.reddit.com/r/diabetes/comments/8b1uc5/what_are_some_healthy_high_calorie_low_carb_foods/")</f>
        <v/>
      </c>
      <c r="G4577" t="inlineStr">
        <is>
          <t>2018-04-09 13:45:54</t>
        </is>
      </c>
      <c r="H4577" t="inlineStr">
        <is>
          <t>Type 1</t>
        </is>
      </c>
    </row>
    <row r="4578">
      <c r="A4578" t="inlineStr">
        <is>
          <t>8b4upi</t>
        </is>
      </c>
      <c r="B4578" t="inlineStr">
        <is>
          <t>Can diabetics donate Blood/Organs</t>
        </is>
      </c>
      <c r="C4578" t="inlineStr">
        <is>
          <t>Hi,
Are diabetics (specifically T1) able to donate blood and, in the case of their death, organs? 
Any help appreciated!</t>
        </is>
      </c>
      <c r="D4578" t="n">
        <v>7</v>
      </c>
      <c r="E4578" t="n">
        <v>14</v>
      </c>
      <c r="F4578">
        <f>HYPERLINK("https://www.reddit.com/r/diabetes/comments/8b4upi/can_diabetics_donate_bloodorgans/")</f>
        <v/>
      </c>
      <c r="G4578" t="inlineStr">
        <is>
          <t>2018-04-09 21:09:03</t>
        </is>
      </c>
      <c r="H4578" t="inlineStr">
        <is>
          <t>Type 1</t>
        </is>
      </c>
    </row>
    <row r="4579">
      <c r="A4579" t="inlineStr">
        <is>
          <t>8b4ust</t>
        </is>
      </c>
      <c r="B4579" t="inlineStr">
        <is>
          <t>Any Type1 from childhood having hair loss early?</t>
        </is>
      </c>
      <c r="C4579" t="inlineStr">
        <is>
          <t>I've been diabetic for 25 years.  My hair started thinning in my early 20s.  I was just wondering if anyone else had this experience or if its just bad genes.  I was taking Humlin R and N for most of the time.</t>
        </is>
      </c>
      <c r="D4579" t="n">
        <v>3</v>
      </c>
      <c r="E4579" t="n">
        <v>8</v>
      </c>
      <c r="F4579">
        <f>HYPERLINK("https://www.reddit.com/r/diabetes/comments/8b4ust/any_type1_from_childhood_having_hair_loss_early/")</f>
        <v/>
      </c>
      <c r="G4579" t="inlineStr">
        <is>
          <t>2018-04-09 21:09:23</t>
        </is>
      </c>
      <c r="H4579" t="inlineStr">
        <is>
          <t>Type 1</t>
        </is>
      </c>
    </row>
    <row r="4580">
      <c r="A4580" t="inlineStr">
        <is>
          <t>8b5d7t</t>
        </is>
      </c>
      <c r="B4580" t="inlineStr">
        <is>
          <t>Having symptoms of hypoglycemia</t>
        </is>
      </c>
      <c r="C4580" t="inlineStr">
        <is>
          <t>But blood sugar is 13.5 . I was diagnosed with diabetes 2 days ago and doctor gave me metformin and gliclazide taken in the morning and at dinner. 
After an hour i ate lunch suddenly has this symptoms. Does anyone knows why?
I'm also having diarrhea but not severe.</t>
        </is>
      </c>
      <c r="D4580" t="n">
        <v>1</v>
      </c>
      <c r="E4580" t="n">
        <v>14</v>
      </c>
      <c r="F4580">
        <f>HYPERLINK("https://www.reddit.com/r/diabetes/comments/8b5d7t/having_symptoms_of_hypoglycemia/")</f>
        <v/>
      </c>
      <c r="G4580" t="inlineStr">
        <is>
          <t>2018-04-09 22:46:22</t>
        </is>
      </c>
      <c r="H4580" t="inlineStr">
        <is>
          <t>Type 2</t>
        </is>
      </c>
    </row>
    <row r="4581">
      <c r="A4581" t="inlineStr">
        <is>
          <t>8b63pq</t>
        </is>
      </c>
      <c r="B4581" t="inlineStr">
        <is>
          <t>Australian T1s - what's the deal?</t>
        </is>
      </c>
      <c r="C4581" t="inlineStr">
        <is>
          <t>I'm moving to Australia later this year and I was wondering what I have to pay for supplies etc? I registered with Medicare when I was last there, but I'm unsure of... Well most things. For background, I use Humalog and Levemir by injection, but I understand pumps seem to be popular there. Any advice gratefully received!</t>
        </is>
      </c>
      <c r="D4581" t="n">
        <v>3</v>
      </c>
      <c r="E4581" t="n">
        <v>7</v>
      </c>
      <c r="F4581">
        <f>HYPERLINK("https://www.reddit.com/r/diabetes/comments/8b63pq/australian_t1s_whats_the_deal/")</f>
        <v/>
      </c>
      <c r="G4581" t="inlineStr">
        <is>
          <t>2018-04-10 01:34:20</t>
        </is>
      </c>
      <c r="H4581" t="inlineStr">
        <is>
          <t>Type 1</t>
        </is>
      </c>
    </row>
    <row r="4582">
      <c r="A4582" t="inlineStr">
        <is>
          <t>8b8g8c</t>
        </is>
      </c>
      <c r="B4582" t="inlineStr">
        <is>
          <t>A question for 'CGM' users, specifically those that use or have tried the Libre Freestyle.</t>
        </is>
      </c>
      <c r="C4582" t="inlineStr">
        <is>
          <t>Does anyone here use the Freestyle Libre? I asked my doctor to prescribe it for me since it finally got approved by FDA and hit shelves in my area last week. Due to things in my past(more on that later) I check my blood sugar a minimum of 5 times a day. I feel every high, and every low now. They both make me sick, slur my words, and its a difficult thing to deal with. I am a database programmer/analyst so my mental functions are important to be on point.
I applied my sensor as per the directions, even taking the extra step of shaving the hair in the spot where it attaches. I wanted a good solid connection for adhesion. I scanned the sensor to activate, and began my ten hour wait for warm up. While I was doing that, I did some research online after reading that this meter requires NO calibration. I found that there was a 3rd party add on app to another popular diabetes app that would read my data from the sensor. I like apps, because I ALWAYS have my cell phone on me. Over the course of two hours, I read any ' real person' review or thoughts on the Freestyle regarding the various tracking apps out there.  So I downloaded the app, and just out of curiousity, held my phone to the sensor. The phone beeped, and I already had a reading of 54. I thought that might be a bit low, but I was feeling off, so I grabbed my trusty blood powered meter, and checked it, and I was right around 94.
I decided to wait until the meter had properly 'warmed up' before attempting any more readings with 3rd party or the libre reader. The next morning, the waiting period had passed, and I checked my fasting BG. 60. Not good. I grabbed my blood meter, and checked it, 100. Over the next 24 hours, the Libre reader was consistently 40 off. Almost exactly 40, every time. +/- 2 points.
Using the 3rd party app, I scanned it, and got a similar result, but I went into the main app, and just added the real results from my finger stick, and found that this caused the reader app to calibrate its own readings, and it has now been within 5 - 10 points of the blood reading.
So far, the Libre is a decent device, as long as I know what the offset is for that day. And it is still roughly 40 points off. It has gotten several 'on the nose' readings, but they are usually during the middle of the day. I think it may be related to hydration levels. I am not sure.
Does anyone out there use one of these that might can shed some light on the behavior. I am getting very good data and tracking via the third party apps(Sorry so vague, but not sure what the policy is on name dropping. I dont have any skin in the game, but, I dont want to get in trouble.) I am really loving seeing the graph,  even if its not 'real time'. I really feel that in the 5 days since I got this sensor, that I am really getting a very granular level on what adjustments my diet needs to have to get even tighter control over my BG levels.</t>
        </is>
      </c>
      <c r="D4582" t="n">
        <v>1</v>
      </c>
      <c r="E4582" t="n">
        <v>13</v>
      </c>
      <c r="F4582">
        <f>HYPERLINK("https://www.reddit.com/r/diabetes/comments/8b8g8c/a_question_for_cgm_users_specifically_those_that/")</f>
        <v/>
      </c>
      <c r="G4582" t="inlineStr">
        <is>
          <t>2018-04-10 08:30:30</t>
        </is>
      </c>
      <c r="H4582" t="inlineStr">
        <is>
          <t>Type 2</t>
        </is>
      </c>
    </row>
    <row r="4583">
      <c r="A4583" t="inlineStr">
        <is>
          <t>8b8zzx</t>
        </is>
      </c>
      <c r="B4583" t="inlineStr">
        <is>
          <t>What’s the likelihood of having a child with diabetes when you have it?</t>
        </is>
      </c>
      <c r="C4583" t="inlineStr">
        <is>
          <t xml:space="preserve">First, I’m not ready to have kids but my girlfriend and I had the discussion. It was an important thing to talk about. 
I know that we never want our kids to have anything wrong with them. We want them to be better version of ourselves. I don’t want to be the reason for my child’s diabetes. 
That being said, there’s so much worse things. It’s not a death sentence. Honestly, it wouldn’t be too bad. 
I would just like to hear some stats and if you have any experience that you’ll like to share to clear my mind that would be very helpful. 
Any fathers who are diabetic and have children who are I would really like to hear. 
But please share any story you have. Thank you! </t>
        </is>
      </c>
      <c r="D4583" t="n">
        <v>8</v>
      </c>
      <c r="E4583" t="n">
        <v>24</v>
      </c>
      <c r="F4583">
        <f>HYPERLINK("https://www.reddit.com/r/diabetes/comments/8b8zzx/whats_the_likelihood_of_having_a_child_with/")</f>
        <v/>
      </c>
      <c r="G4583" t="inlineStr">
        <is>
          <t>2018-04-10 09:32:50</t>
        </is>
      </c>
      <c r="H4583" t="inlineStr">
        <is>
          <t>Type 1</t>
        </is>
      </c>
    </row>
    <row r="4584">
      <c r="A4584" t="inlineStr">
        <is>
          <t>8bb2yb</t>
        </is>
      </c>
      <c r="B4584" t="inlineStr">
        <is>
          <t>Is it possible for a type 2 to have low c pep AND go into dka at 22 years old?</t>
        </is>
      </c>
      <c r="C4584" t="inlineStr">
        <is>
          <t>I'm a 316lb (was 380 before dka, 337 when I left the hospital)  fat diabetic. I was dealing with dka symptoms like the thirst and pissing for about 5 months then 2 weeks before I went to the ER I was passing out randomly and puking a few times a day. Anyway I was told I have low c peptide levels at my checkup 2 weeks after being released, so I'm a type 1. However I've been eating right, not excersizing though as my fiance had our son 3 days after I got out of the hospital lmao. This was 2 months ago this week. The first 2 weeks I did my insulin all that. Since then I haven't taken any insulin in over 6 weeks, I check my numbers 5-7 times a day and I am in normal range all the time. Mostly I've been eating under 30 carbs a meal but last night I had about 70 and my blood sugar didn't go over 140 (I checked it a half hour after, hour after and 2 hours after eating) I never had an antibody test, could I actually be type 2?</t>
        </is>
      </c>
      <c r="D4584" t="n">
        <v>3</v>
      </c>
      <c r="E4584" t="n">
        <v>16</v>
      </c>
      <c r="F4584">
        <f>HYPERLINK("https://www.reddit.com/r/diabetes/comments/8bb2yb/is_it_possible_for_a_type_2_to_have_low_c_pep_and/")</f>
        <v/>
      </c>
      <c r="G4584" t="inlineStr">
        <is>
          <t>2018-04-10 13:29:20</t>
        </is>
      </c>
      <c r="H4584" t="inlineStr">
        <is>
          <t>Type 1</t>
        </is>
      </c>
    </row>
    <row r="4585">
      <c r="A4585" t="inlineStr">
        <is>
          <t>8bdh3x</t>
        </is>
      </c>
      <c r="B4585" t="inlineStr">
        <is>
          <t>Anyone here with (or have experience with) Stiff Person Syndrome?</t>
        </is>
      </c>
      <c r="C4585" t="inlineStr">
        <is>
          <t>I've had type 1 diabetes for 12 years and have a recent possible diagnosis of Stiff Person Syndrome (SPS). I'd been having a lot of neurological related issues over the past 2-3 years (fasculations, muscle stiffness, tremors) and finally went to see a neuro recently. Neuro thinks I may have SPS since all of the tests they've done have come back normal with the exception of my GAD-65 autoantibody level which was 860 U/mL (much higher than he expected even for a T1 diabetic). Still need to see another specialist for a second opinion/confirmation since it's such a rare disorder (1 or 2 in 1 million people) and doesn't have a single, definitive test. Does anybody else here have SPS or have they heard of it, and if so have any advice or info?
(sorry for the throwaway account, but since it's such a rare disorder I didn't want this post linked to my regular account)
EDIT: posting here because SPS is linked with type 1 diabetes</t>
        </is>
      </c>
      <c r="D4585" t="n">
        <v>7</v>
      </c>
      <c r="E4585" t="n">
        <v>1</v>
      </c>
      <c r="F4585">
        <f>HYPERLINK("https://www.reddit.com/r/diabetes/comments/8bdh3x/anyone_here_with_or_have_experience_with_stiff/")</f>
        <v/>
      </c>
      <c r="G4585" t="inlineStr">
        <is>
          <t>2018-04-10 18:47:56</t>
        </is>
      </c>
      <c r="H4585" t="inlineStr">
        <is>
          <t>Type 1</t>
        </is>
      </c>
    </row>
    <row r="4586">
      <c r="A4586" t="inlineStr">
        <is>
          <t>8be7gz</t>
        </is>
      </c>
      <c r="B4586" t="inlineStr">
        <is>
          <t>Does anyone here take Spironolactone?</t>
        </is>
      </c>
      <c r="C4586" t="inlineStr">
        <is>
          <t>Has it affected your bg levels at all? My dermatologist prescribed it for hormonal acne and it's been great for that! I've been on it for about 2-3 weeks now, but all of sudden my bg has been staying elevated for the past week. Not super high, but higher than I want it to be. My bg used to consistently stay in the 80s-100s (mg/dL) during the day because I eat the same exact breakfast and lunch every day at work. Now even the amount I used to bolus for breakfast and lunch is not enough it seems.
It's just very strange this is happening suddenly and the Spiro is the only new thing I can think of. But it's strange because I told my endo I was prescribed Spiro and I figured if high bg was a known side effect he would have given me a heads up. He knew enough to ask if the dermatologist checked my potassium before prescribing it! I did send a message to my endo today about this, so I'm waiting to hear back from him, but wanted to see if anyone else has experienced this issue too.</t>
        </is>
      </c>
      <c r="D4586" t="n">
        <v>4</v>
      </c>
      <c r="E4586" t="n">
        <v>9</v>
      </c>
      <c r="F4586">
        <f>HYPERLINK("https://www.reddit.com/r/diabetes/comments/8be7gz/does_anyone_here_take_spironolactone/")</f>
        <v/>
      </c>
      <c r="G4586" t="inlineStr">
        <is>
          <t>2018-04-10 20:50:30</t>
        </is>
      </c>
      <c r="H4586" t="inlineStr">
        <is>
          <t>Type 1</t>
        </is>
      </c>
    </row>
    <row r="4587">
      <c r="A4587" t="inlineStr">
        <is>
          <t>8bexlf</t>
        </is>
      </c>
      <c r="B4587" t="inlineStr">
        <is>
          <t>Mio tubing pulled out of connector</t>
        </is>
      </c>
      <c r="C4587" t="inlineStr">
        <is>
          <t xml:space="preserve">Woke up this morning to find tubing hanging from me. It's pulled completely out of the connector from my Mio set. The connector and site were still in situ, but the tubing was completely free.
Anyone else had this problem or is it a freak occurrence? It's my first time using the Mio and I actually quite liked the site being smaller and easier to disconnect/reconnect... But the morning BG of 21.5 is less welcome.
Should I contact Medtronic to report this or something? </t>
        </is>
      </c>
      <c r="D4587" t="n">
        <v>3</v>
      </c>
      <c r="E4587" t="n">
        <v>8</v>
      </c>
      <c r="F4587">
        <f>HYPERLINK("https://www.reddit.com/r/diabetes/comments/8bexlf/mio_tubing_pulled_out_of_connector/")</f>
        <v/>
      </c>
      <c r="G4587" t="inlineStr">
        <is>
          <t>2018-04-10 23:14:46</t>
        </is>
      </c>
      <c r="H4587" t="inlineStr">
        <is>
          <t>Type 1</t>
        </is>
      </c>
    </row>
    <row r="4588">
      <c r="A4588" t="inlineStr">
        <is>
          <t>8bf8mz</t>
        </is>
      </c>
      <c r="B4588" t="inlineStr">
        <is>
          <t>670g companion app?</t>
        </is>
      </c>
      <c r="C4588" t="inlineStr">
        <is>
          <t>I was wondering if there was an app on my iPhone that i could use to connect my pump or meter to similar to the dexcom. I there are anything similar please let me know I'm interested in trying and I believe there are apps available but for android software because of its open-source.</t>
        </is>
      </c>
      <c r="D4588" t="n">
        <v>2</v>
      </c>
      <c r="E4588" t="n">
        <v>3</v>
      </c>
      <c r="F4588">
        <f>HYPERLINK("https://www.reddit.com/r/diabetes/comments/8bf8mz/670g_companion_app/")</f>
        <v/>
      </c>
      <c r="G4588" t="inlineStr">
        <is>
          <t>2018-04-11 00:24:05</t>
        </is>
      </c>
      <c r="H4588" t="inlineStr">
        <is>
          <t>Type 1</t>
        </is>
      </c>
    </row>
    <row r="4589">
      <c r="A4589" t="inlineStr">
        <is>
          <t>8bg5h4</t>
        </is>
      </c>
      <c r="B4589" t="inlineStr">
        <is>
          <t>Need advice for managing my glucose</t>
        </is>
      </c>
      <c r="C4589" t="inlineStr">
        <is>
          <t>I’m currently 20 years old, and was diagnosed with type 1 diabetes when I was 14. I cant seem to manage myself very well, my numbers have been all wacky ever since i was diagnosed. I know its my fault and i have to make a change to better myself but i cant seem to get myself to keep up with testing or taking insulin no matter how sick i feel. Just looking for some positive words or advice on how to make a change for the better, thank you in advance everyone</t>
        </is>
      </c>
      <c r="D4589" t="n">
        <v>1</v>
      </c>
      <c r="E4589" t="n">
        <v>4</v>
      </c>
      <c r="F4589">
        <f>HYPERLINK("https://www.reddit.com/r/diabetes/comments/8bg5h4/need_advice_for_managing_my_glucose/")</f>
        <v/>
      </c>
      <c r="G4589" t="inlineStr">
        <is>
          <t>2018-04-11 03:55:38</t>
        </is>
      </c>
      <c r="H4589" t="inlineStr">
        <is>
          <t>Type 1</t>
        </is>
      </c>
    </row>
    <row r="4590">
      <c r="A4590" t="inlineStr">
        <is>
          <t>8bjf9f</t>
        </is>
      </c>
      <c r="B4590" t="inlineStr">
        <is>
          <t>Unexplained high cholesterol</t>
        </is>
      </c>
      <c r="C4590" t="inlineStr">
        <is>
          <t>I just got my latest blood work back -- A1C is 7.0 (my lowest ever!) but my cholesterol is pretty high. Total is 241, HDL is 43, LDL is 156, and triglycerides are 256. I don't even know where to start in reducing it -- I already exercise 3x per week and eat a moderate-fat diet. Any suggestions?</t>
        </is>
      </c>
      <c r="D4590" t="n">
        <v>3</v>
      </c>
      <c r="E4590" t="n">
        <v>11</v>
      </c>
      <c r="F4590">
        <f>HYPERLINK("https://www.reddit.com/r/diabetes/comments/8bjf9f/unexplained_high_cholesterol/")</f>
        <v/>
      </c>
      <c r="G4590" t="inlineStr">
        <is>
          <t>2018-04-11 11:34:13</t>
        </is>
      </c>
      <c r="H4590" t="inlineStr">
        <is>
          <t>Type 1</t>
        </is>
      </c>
    </row>
    <row r="4591">
      <c r="A4591" t="inlineStr">
        <is>
          <t>8bjilf</t>
        </is>
      </c>
      <c r="B4591" t="inlineStr">
        <is>
          <t>Is it normal to always have high BG after a meal?</t>
        </is>
      </c>
      <c r="C4591" t="inlineStr">
        <is>
          <t>So we just started my 2 year old on a Dexcom last week. I had no idea how often he was high between checks until getting this. Based on how things have gone I would guess he has almost always been high after his meals. For example after breakfast yesterday he went up to 250 for half an hour and then came down and leveled out. There are worse examples but some of them are probably our fault.
Is this something that is acceptable or can we prevent this somehow? My wife thinks it's normal and I'm thinking we need to make a plan to keep it from happening. We're still pretty new at all this. I was thinking we could give him his insulin early (15 minutes before breakfast?) and wait until we get a down arrow and lower blood sugar before we give him the food.
The other struggle we're having is that we never know if he's actually going to eat. So if he refuses to eat the food this could be risky. He's become very stubborn with food the last month. Anyone with young T1 kids have advice on this one?</t>
        </is>
      </c>
      <c r="D4591" t="n">
        <v>10</v>
      </c>
      <c r="E4591" t="n">
        <v>14</v>
      </c>
      <c r="F4591">
        <f>HYPERLINK("https://www.reddit.com/r/diabetes/comments/8bjilf/is_it_normal_to_always_have_high_bg_after_a_meal/")</f>
        <v/>
      </c>
      <c r="G4591" t="inlineStr">
        <is>
          <t>2018-04-11 11:45:44</t>
        </is>
      </c>
      <c r="H4591" t="inlineStr">
        <is>
          <t>Type 1</t>
        </is>
      </c>
    </row>
    <row r="4592">
      <c r="A4592" t="inlineStr">
        <is>
          <t>8bjyse</t>
        </is>
      </c>
      <c r="B4592" t="inlineStr">
        <is>
          <t>A1C results!</t>
        </is>
      </c>
      <c r="C4592" t="inlineStr">
        <is>
          <t xml:space="preserve">I hated seeing these posts before only because I was mad at myself for not taking control of my shit but today i got my results at 5.7! 
Just wanted to share. </t>
        </is>
      </c>
      <c r="D4592" t="n">
        <v>85</v>
      </c>
      <c r="E4592" t="n">
        <v>27</v>
      </c>
      <c r="F4592">
        <f>HYPERLINK("https://www.reddit.com/r/diabetes/comments/8bjyse/a1c_results/")</f>
        <v/>
      </c>
      <c r="G4592" t="inlineStr">
        <is>
          <t>2018-04-11 12:43:06</t>
        </is>
      </c>
      <c r="H4592" t="inlineStr">
        <is>
          <t>Type 2</t>
        </is>
      </c>
    </row>
    <row r="4593">
      <c r="A4593" t="inlineStr">
        <is>
          <t>8blm49</t>
        </is>
      </c>
      <c r="B4593" t="inlineStr">
        <is>
          <t>type 2 diabetics,</t>
        </is>
      </c>
      <c r="C4593" t="inlineStr">
        <is>
          <t xml:space="preserve">What were your ongoing symptoms when you thought 'hmph, maybe I should get this checked?' and how long did you wait, if any length of time at all? thank you in advance!! 
&amp;lt;Note&amp;gt;
I'm not positive this is the place I should ask this, I don't normally go digging through the medical r/'s, or both asking questions, so if not, please just redirect me if you're able and I can remove it.
</t>
        </is>
      </c>
      <c r="D4593" t="n">
        <v>7</v>
      </c>
      <c r="E4593" t="n">
        <v>9</v>
      </c>
      <c r="F4593">
        <f>HYPERLINK("https://www.reddit.com/r/diabetes/comments/8blm49/type_2_diabetics/")</f>
        <v/>
      </c>
      <c r="G4593" t="inlineStr">
        <is>
          <t>2018-04-11 16:22:53</t>
        </is>
      </c>
      <c r="H4593" t="inlineStr">
        <is>
          <t>Type 2</t>
        </is>
      </c>
    </row>
    <row r="4594">
      <c r="A4594" t="inlineStr">
        <is>
          <t>8bn5wa</t>
        </is>
      </c>
      <c r="B4594" t="inlineStr">
        <is>
          <t>What do you use to correct lows?</t>
        </is>
      </c>
      <c r="C4594" t="inlineStr">
        <is>
          <t>Just had an awful low and ran out of juice, so I had to eat Smarties but got sick of them. Recommend anything that doesn't taste like Smarties?</t>
        </is>
      </c>
      <c r="D4594" t="n">
        <v>9</v>
      </c>
      <c r="E4594" t="n">
        <v>23</v>
      </c>
      <c r="F4594">
        <f>HYPERLINK("https://www.reddit.com/r/diabetes/comments/8bn5wa/what_do_you_use_to_correct_lows/")</f>
        <v/>
      </c>
      <c r="G4594" t="inlineStr">
        <is>
          <t>2018-04-11 20:22:22</t>
        </is>
      </c>
      <c r="H4594" t="inlineStr">
        <is>
          <t>Type 1</t>
        </is>
      </c>
    </row>
    <row r="4595">
      <c r="A4595" t="inlineStr">
        <is>
          <t>8bntq1</t>
        </is>
      </c>
      <c r="B4595" t="inlineStr">
        <is>
          <t>HI! 11.5 A1c-9.8!</t>
        </is>
      </c>
      <c r="C4595" t="inlineStr">
        <is>
          <t xml:space="preserve">OH MY GOD I am so happy and excited oh jesus </t>
        </is>
      </c>
      <c r="D4595" t="n">
        <v>11</v>
      </c>
      <c r="E4595" t="n">
        <v>15</v>
      </c>
      <c r="F4595">
        <f>HYPERLINK("https://www.reddit.com/r/diabetes/comments/8bntq1/hi_115_a1c98/")</f>
        <v/>
      </c>
      <c r="G4595" t="inlineStr">
        <is>
          <t>2018-04-11 22:27:23</t>
        </is>
      </c>
      <c r="H4595" t="inlineStr">
        <is>
          <t>Type 2</t>
        </is>
      </c>
    </row>
    <row r="4596">
      <c r="A4596" t="inlineStr">
        <is>
          <t>8bo4d5</t>
        </is>
      </c>
      <c r="B4596" t="inlineStr">
        <is>
          <t>Keep bouncing up to over 500 and I'm seriously annoyed.</t>
        </is>
      </c>
      <c r="C4596" t="inlineStr">
        <is>
          <t xml:space="preserve">Here's the gist of it: for the last three days, I've been struggling to get my blood sugar down from 400 or 500. As soon as it's down, it seems to bounce right back up, even when I haven't eaten anything.
At first, I thought I just had a bad insert (Medtronic minimed pump) and changed it. I still went up. Tried increasing the basal rate - still went up. Haven't eaten since noon today (it's now midnight) and I'm back to 519. I changed my pump to my thigh and gave an injection, and I set an alarm to check again at three. 
Does anyone have any suggestions on what to do? It's kind of driving me crazy and it's stopping me from being able to focus on my schoolwork. I've been a diabetic for 12 years, so I should have this under control by now... is it stress pushing it up? I don't think stress can increase it by 400 points. 
I dunno. It's just been a long few days. </t>
        </is>
      </c>
      <c r="D4596" t="n">
        <v>10</v>
      </c>
      <c r="E4596" t="n">
        <v>13</v>
      </c>
      <c r="F4596">
        <f>HYPERLINK("https://www.reddit.com/r/diabetes/comments/8bo4d5/keep_bouncing_up_to_over_500_and_im_seriously/")</f>
        <v/>
      </c>
      <c r="G4596" t="inlineStr">
        <is>
          <t>2018-04-11 23:31:09</t>
        </is>
      </c>
      <c r="H4596" t="inlineStr">
        <is>
          <t>Type 1</t>
        </is>
      </c>
    </row>
    <row r="4597">
      <c r="A4597" t="inlineStr">
        <is>
          <t>8boc35</t>
        </is>
      </c>
      <c r="B4597" t="inlineStr">
        <is>
          <t>I am ecstatic, and only other diabetics will understand!</t>
        </is>
      </c>
      <c r="C4597" t="inlineStr">
        <is>
          <t>So after being misdiagnosed for about 9 years, I finally got on track and diagnosed as a type 1.5 last year. I’m excited because today after seeing my wonderful endocrinologist, I am finally getting an insulin pump! I’m so overjoyed and nervous at the same time! My endo and I decided on getting me the tandem flex! So is there any advice? And how long did it take you to actually receive your pump? TIA!</t>
        </is>
      </c>
      <c r="D4597" t="n">
        <v>15</v>
      </c>
      <c r="E4597" t="n">
        <v>11</v>
      </c>
      <c r="F4597">
        <f>HYPERLINK("https://www.reddit.com/r/diabetes/comments/8boc35/i_am_ecstatic_and_only_other_diabetics_will/")</f>
        <v/>
      </c>
      <c r="G4597" t="inlineStr">
        <is>
          <t>2018-04-12 00:19:09</t>
        </is>
      </c>
      <c r="H4597" t="inlineStr">
        <is>
          <t>Type 1.5/LADA</t>
        </is>
      </c>
    </row>
    <row r="4598">
      <c r="A4598" t="inlineStr">
        <is>
          <t>8bohw3</t>
        </is>
      </c>
      <c r="B4598" t="inlineStr">
        <is>
          <t>I'm newly diagnosed type 1 and am looking for any tips</t>
        </is>
      </c>
      <c r="C4598" t="inlineStr">
        <is>
          <t>Hi, so I am 18 and was diagnosed type 1 on Friday and was admitted to hospital with a ketone of 5.6! Lots of insulin through a drip later, I am now at home and still struggling to wrap my head around everything but I'm getting used to it slowly. So Reddit, have you got any tips for me or anything that will help me?
Thanks</t>
        </is>
      </c>
      <c r="D4598" t="n">
        <v>4</v>
      </c>
      <c r="E4598" t="n">
        <v>19</v>
      </c>
      <c r="F4598">
        <f>HYPERLINK("https://www.reddit.com/r/diabetes/comments/8bohw3/im_newly_diagnosed_type_1_and_am_looking_for_any/")</f>
        <v/>
      </c>
      <c r="G4598" t="inlineStr">
        <is>
          <t>2018-04-12 00:57:26</t>
        </is>
      </c>
      <c r="H4598" t="inlineStr">
        <is>
          <t>Type 1</t>
        </is>
      </c>
    </row>
    <row r="4599">
      <c r="A4599" t="inlineStr">
        <is>
          <t>8bpjkd</t>
        </is>
      </c>
      <c r="B4599" t="inlineStr">
        <is>
          <t>My love/hate relationship with Jardiance</t>
        </is>
      </c>
      <c r="C4599" t="inlineStr">
        <is>
          <t>Jardiance has been doing an awesome job over the last 3 months keeping my blood sugar below 110 pretty much all the time.  But it has a risk of urinary tract infections, since you're peeing glucose.
Well, I had other issues.  2 weeks on Jardiance and I developed a fungal infection on my penis, which is probably exacerbated because I'm not circumcised.  3 Diflucan pills and it was gone.  Doctor said we'd keep an eye on it and if it happens again, see if we need to discontinue the medicine.
Come last week, it looked like I was getting another one.  So, I went to my local Walgreens and pick up Lotrimin.  The stuff worked great for a week and the infection was definitely getting better.  It was almost gone.  The yesterday happened.  The infection got MUCH worse, like really fast.  I got home at 9:30 PM, went to use the bathroom and look down and there is all sorts of swelling going on.  Like foreskin more than twice the size it's supposed to be.  No pain.  Able to urinate.  But WTF?!
So, I tell my wife I am going to the ER.  Went to get looked at and the doc says it's a "Classic fungal infection."  Gives me 3 pills of Diflucan and some Keflex for any secondary bacterial infections and send me home.  I asked for some steroids and he said there is no need.  Swelling will go down when the fungus dies.
Swelling is much better this morning.
Great medicine, but I think I am going to have to get off of it sadly.</t>
        </is>
      </c>
      <c r="D4599" t="n">
        <v>3</v>
      </c>
      <c r="E4599" t="n">
        <v>7</v>
      </c>
      <c r="F4599">
        <f>HYPERLINK("https://www.reddit.com/r/diabetes/comments/8bpjkd/my_lovehate_relationship_with_jardiance/")</f>
        <v/>
      </c>
      <c r="G4599" t="inlineStr">
        <is>
          <t>2018-04-12 04:51:30</t>
        </is>
      </c>
      <c r="H4599" t="inlineStr">
        <is>
          <t>Type 2</t>
        </is>
      </c>
    </row>
    <row r="4600">
      <c r="A4600" t="inlineStr">
        <is>
          <t>8bpkrd</t>
        </is>
      </c>
      <c r="B4600" t="inlineStr">
        <is>
          <t>Can Insulin be X-rayed?</t>
        </is>
      </c>
      <c r="C4600" t="inlineStr">
        <is>
          <t>I know its been asked before but I don't remember the answer. *ie,* airport scanner</t>
        </is>
      </c>
      <c r="D4600" t="n">
        <v>2</v>
      </c>
      <c r="E4600" t="n">
        <v>4</v>
      </c>
      <c r="F4600">
        <f>HYPERLINK("https://www.reddit.com/r/diabetes/comments/8bpkrd/can_insulin_be_xrayed/")</f>
        <v/>
      </c>
      <c r="G4600" t="inlineStr">
        <is>
          <t>2018-04-12 04:57:25</t>
        </is>
      </c>
      <c r="H4600" t="inlineStr">
        <is>
          <t>Type 2</t>
        </is>
      </c>
    </row>
    <row r="4601">
      <c r="A4601" t="inlineStr">
        <is>
          <t>8bpm7a</t>
        </is>
      </c>
      <c r="B4601" t="inlineStr">
        <is>
          <t>Tips on how not to have hypos if you drink a lot</t>
        </is>
      </c>
      <c r="C4601" t="inlineStr">
        <is>
          <t xml:space="preserve">If anyone has any tips for when you're drinking it would be much appreciated </t>
        </is>
      </c>
      <c r="D4601" t="n">
        <v>3</v>
      </c>
      <c r="E4601" t="n">
        <v>8</v>
      </c>
      <c r="F4601">
        <f>HYPERLINK("https://www.reddit.com/r/diabetes/comments/8bpm7a/tips_on_how_not_to_have_hypos_if_you_drink_a_lot/")</f>
        <v/>
      </c>
      <c r="G4601" t="inlineStr">
        <is>
          <t>2018-04-12 05:04:23</t>
        </is>
      </c>
      <c r="H4601" t="inlineStr">
        <is>
          <t>Type 1</t>
        </is>
      </c>
    </row>
    <row r="4602">
      <c r="A4602" t="inlineStr">
        <is>
          <t>8bqrpq</t>
        </is>
      </c>
      <c r="B4602" t="inlineStr">
        <is>
          <t>Undiagnosed diabetes to blame for my ED? 23y/o M</t>
        </is>
      </c>
      <c r="C4602" t="inlineStr">
        <is>
          <t xml:space="preserve">So to give a little background,
I've always liked my sugar. Use to be  a big binge eater, and still am, in terms of sweets. Cut this down significantly. Never too overweight, and I used to be a frequent lifter. Rewind a few months ago, and everything was great. High sex drive, always able to keep an erection, no problems in that department. Around that time, I started to get really tired. Starting last December, I hit a deep depression. Everything in life sucked. Long story short, feel much better in that department. 
As the time went on, I never really had much libido, and erections were far and few in between. Also, I've noticed that my extremities have been getting numb from time to time. It has gotten better over the last few months as I've diligently tried my best to eat a healthier diet. It has been far from perfect, but I've definitely made improvements. Anyways, lately I don't feel nearly as much pleasure in the downstairs department, and can barely get an erection even by myself. 
I got my blood work done a few months ago, and my blood glucose was at 91 (at fasting). Since then, due to some depression, I've only been taking so-so care of myself. I say that mostly due to the binge eating. 
Now, my question is, could my ED/Low libido be do to nerve damage/damaged blood vessels? Am I SOL? Or if I take immediate action now, which I plan to, can I reverse it? 
Things to note: Plan on going to an endocrinologist/urologist for further testing. I'm just having a freak out moment, and was hoping someone could provide guidance. I've always had an extremely high sex drive. </t>
        </is>
      </c>
      <c r="D4602" t="n">
        <v>1</v>
      </c>
      <c r="E4602" t="n">
        <v>2</v>
      </c>
      <c r="F4602">
        <f>HYPERLINK("https://www.reddit.com/r/diabetes/comments/8bqrpq/undiagnosed_diabetes_to_blame_for_my_ed_23yo_m/")</f>
        <v/>
      </c>
      <c r="G4602" t="inlineStr">
        <is>
          <t>2018-04-12 07:55:06</t>
        </is>
      </c>
      <c r="H4602" t="inlineStr">
        <is>
          <t>Type 2</t>
        </is>
      </c>
    </row>
    <row r="4603">
      <c r="A4603" t="inlineStr">
        <is>
          <t>8brbh1</t>
        </is>
      </c>
      <c r="B4603" t="inlineStr">
        <is>
          <t>Question about alcohol</t>
        </is>
      </c>
      <c r="C4603" t="inlineStr">
        <is>
          <t xml:space="preserve">Everyone else seems to have hypos either during or after drinking. I've had literally one. I check BG pretty rigorously when I drink.
I don't drink beer. Usually just straight non-flavored vodka (or sometimes whiskey) with a diet soda chaser or mixer. I always run in the 200-300s. Why is this? </t>
        </is>
      </c>
      <c r="D4603" t="n">
        <v>1</v>
      </c>
      <c r="E4603" t="n">
        <v>2</v>
      </c>
      <c r="F4603">
        <f>HYPERLINK("https://www.reddit.com/r/diabetes/comments/8brbh1/question_about_alcohol/")</f>
        <v/>
      </c>
      <c r="G4603" t="inlineStr">
        <is>
          <t>2018-04-12 09:05:40</t>
        </is>
      </c>
      <c r="H4603" t="inlineStr">
        <is>
          <t>Type 1</t>
        </is>
      </c>
    </row>
    <row r="4604">
      <c r="A4604" t="inlineStr">
        <is>
          <t>8bsj7o</t>
        </is>
      </c>
      <c r="B4604" t="inlineStr">
        <is>
          <t>Help losing weight with type1!</t>
        </is>
      </c>
      <c r="C4604" t="inlineStr">
        <is>
          <t xml:space="preserve">Hey everyone I’m REALLY need to lose weight and I’m struggling with doing it as a diabetic. Do you guys have any tips? 
Maybe the best diet I could do? 
</t>
        </is>
      </c>
      <c r="D4604" t="n">
        <v>3</v>
      </c>
      <c r="E4604" t="n">
        <v>22</v>
      </c>
      <c r="F4604">
        <f>HYPERLINK("https://www.reddit.com/r/diabetes/comments/8bsj7o/help_losing_weight_with_type1/")</f>
        <v/>
      </c>
      <c r="G4604" t="inlineStr">
        <is>
          <t>2018-04-12 11:39:26</t>
        </is>
      </c>
      <c r="H4604" t="inlineStr">
        <is>
          <t>Type 1</t>
        </is>
      </c>
    </row>
    <row r="4605">
      <c r="A4605" t="inlineStr">
        <is>
          <t>8bt2cd</t>
        </is>
      </c>
      <c r="B4605" t="inlineStr">
        <is>
          <t>A little confused about this whole 50/50 basal/bolus thing with pumps...</t>
        </is>
      </c>
      <c r="C4605" t="inlineStr">
        <is>
          <t>I had a chat with my Omnipod rep the other day, who called to check in on how things were going in my new life as a "Podder". One of the things she asked me to check was my daily percentages.
We went back a few days and on average, my bolus % was in the 60's and my basal in the 40's. She said "Your endo might want to adjust your basal slightly, so that you're at 50/50 most of the time, that's where you want to be."
The last two days, I've been eating low carb so my %'s show very close to 50/50. I'm sure there will be days where I'll have more carbs than others, so I'm wondering if I actually need to change things? 
I'm assuming she meant that I will increase my basal a bit, and adjust my I:C ratio to be higher? Can anyone shed some wisdom on this, and your experiences? I'm a new pumper, kinda confused by this.</t>
        </is>
      </c>
      <c r="D4605" t="n">
        <v>2</v>
      </c>
      <c r="E4605" t="n">
        <v>13</v>
      </c>
      <c r="F4605">
        <f>HYPERLINK("https://www.reddit.com/r/diabetes/comments/8bt2cd/a_little_confused_about_this_whole_5050/")</f>
        <v/>
      </c>
      <c r="G4605" t="inlineStr">
        <is>
          <t>2018-04-12 12:48:14</t>
        </is>
      </c>
      <c r="H4605" t="inlineStr">
        <is>
          <t>Type 1.5/LADA</t>
        </is>
      </c>
    </row>
    <row r="4606">
      <c r="A4606" t="inlineStr">
        <is>
          <t>8btl1f</t>
        </is>
      </c>
      <c r="B4606" t="inlineStr">
        <is>
          <t>Too much basal or too much bolus?</t>
        </is>
      </c>
      <c r="C4606" t="inlineStr">
        <is>
          <t>I use Lantus and Humalog 
So in this journey of perfecting my blood sugars, I"ve noticed I tend to keep going lower and lower 4 hours after eating.
Today. 12pm, blood sugar is at 143. Take Insiulin. Eat. 
3 hours later. 3pm, blood sugar is 100. 
I use the Dexcom g5 iphone app and 4 hours after eatingthe arrow is flat, but its a steady decline, everytime it updates, my blood sugar is ~5 mg/dl lower. Could this be because of my humalog or am I taking too much lantus? 
UPDATE: It was around 85 mg/dL before I ate 3 starburst, went up to 143 about 30 mins later, now another 30 mins after that, it is 118 with the diagonal down arrow.</t>
        </is>
      </c>
      <c r="D4606" t="n">
        <v>7</v>
      </c>
      <c r="E4606" t="n">
        <v>5</v>
      </c>
      <c r="F4606">
        <f>HYPERLINK("https://www.reddit.com/r/diabetes/comments/8btl1f/too_much_basal_or_too_much_bolus/")</f>
        <v/>
      </c>
      <c r="G4606" t="inlineStr">
        <is>
          <t>2018-04-12 13:54:56</t>
        </is>
      </c>
      <c r="H4606" t="inlineStr">
        <is>
          <t>Type 1</t>
        </is>
      </c>
    </row>
    <row r="4607">
      <c r="A4607" t="inlineStr">
        <is>
          <t>8btltk</t>
        </is>
      </c>
      <c r="B4607" t="inlineStr">
        <is>
          <t>I had a very weird blood sugar morning. Any thoughts?</t>
        </is>
      </c>
      <c r="C4607" t="inlineStr">
        <is>
          <t>Hi all,
I had a baffling blood sugar experience this morning that I would love any thoughts on. When I woke up, I was at 170, which isn't great but nothing to be upset about. My CGM warned me I was rising, even though I had only had a cup of tea with 5 carbs of milk in it, which I had bolused for (also had corrected for the 170). When I left for work, I was around 200, and bolused again to correct. By the time I got to work, I was at 250. At this point, I took an injection, and continued to rise up to nearly 300 (!!) before even eating breakfast! I had just changed my infusion set the night before, and being that I woke up at a not-crazy number, I didn't think there was an issue with the set/site. After taking another injection at 300, I slowly came down and am now comfortably sitting at 113 and have been good for the whole afternoon. Any thoughts on what could have caused the strange, apparently unprompted spike?</t>
        </is>
      </c>
      <c r="D4607" t="n">
        <v>1</v>
      </c>
      <c r="E4607" t="n">
        <v>5</v>
      </c>
      <c r="F4607">
        <f>HYPERLINK("https://www.reddit.com/r/diabetes/comments/8btltk/i_had_a_very_weird_blood_sugar_morning_any/")</f>
        <v/>
      </c>
      <c r="G4607" t="inlineStr">
        <is>
          <t>2018-04-12 13:57:41</t>
        </is>
      </c>
      <c r="H4607" t="inlineStr">
        <is>
          <t>Type 1</t>
        </is>
      </c>
    </row>
    <row r="4608">
      <c r="A4608" t="inlineStr">
        <is>
          <t>8bu9c5</t>
        </is>
      </c>
      <c r="B4608" t="inlineStr">
        <is>
          <t>I was just diagnosed with type 1 diabetes. I have a question about bolus dosing.</t>
        </is>
      </c>
      <c r="C4608" t="inlineStr">
        <is>
          <t>I was diagnosed two days ago with type 1 diabetes.  I was prescribed with Basaglar and Humalog in the form of kwikpens. My question is, when the diabetic educator came in the hospital to teach me how to use this stuff, she was saying things like "corrections" and "meal dosing" for the pre meal injections. On the perscriptions it says to take 5 units of insulin 3x a day with meals.  So do I try to calculate it or just inject 5 units every meal? Thank you.</t>
        </is>
      </c>
      <c r="D4608" t="n">
        <v>2</v>
      </c>
      <c r="E4608" t="n">
        <v>10</v>
      </c>
      <c r="F4608">
        <f>HYPERLINK("https://www.reddit.com/r/diabetes/comments/8bu9c5/i_was_just_diagnosed_with_type_1_diabetes_i_have/")</f>
        <v/>
      </c>
      <c r="G4608" t="inlineStr">
        <is>
          <t>2018-04-12 15:24:26</t>
        </is>
      </c>
      <c r="H4608" t="inlineStr">
        <is>
          <t>Type 1.5/LADA</t>
        </is>
      </c>
    </row>
    <row r="4609">
      <c r="A4609" t="inlineStr">
        <is>
          <t>8bvkss</t>
        </is>
      </c>
      <c r="B4609" t="inlineStr">
        <is>
          <t>Question about sliding scale.</t>
        </is>
      </c>
      <c r="C4609" t="inlineStr">
        <is>
          <t>My hospital discharge papers say to take 5 units three times daily of Humalog and to give correctional insulin dosage per low dose sliding scale.  What is the low dose sliding scale?</t>
        </is>
      </c>
      <c r="D4609" t="n">
        <v>1</v>
      </c>
      <c r="E4609" t="n">
        <v>2</v>
      </c>
      <c r="F4609">
        <f>HYPERLINK("https://www.reddit.com/r/diabetes/comments/8bvkss/question_about_sliding_scale/")</f>
        <v/>
      </c>
      <c r="G4609" t="inlineStr">
        <is>
          <t>2018-04-12 18:44:09</t>
        </is>
      </c>
      <c r="H4609" t="inlineStr">
        <is>
          <t>Type 1.5/LADA</t>
        </is>
      </c>
    </row>
    <row r="4610">
      <c r="A4610" t="inlineStr">
        <is>
          <t>8bw6cb</t>
        </is>
      </c>
      <c r="B4610" t="inlineStr">
        <is>
          <t>Tips for lower morning blood sugar?</t>
        </is>
      </c>
      <c r="C4610" t="inlineStr">
        <is>
          <t xml:space="preserve">I've noticed recently my blood sugar in the AM is higher around 6.6-6.9mmol. I work until 3am most nights and wake up around 10am. I have dinner around 6:30 pm. Any tips for lowering my am blood sugar? </t>
        </is>
      </c>
      <c r="D4610" t="n">
        <v>6</v>
      </c>
      <c r="E4610" t="n">
        <v>8</v>
      </c>
      <c r="F4610">
        <f>HYPERLINK("https://www.reddit.com/r/diabetes/comments/8bw6cb/tips_for_lower_morning_blood_sugar/")</f>
        <v/>
      </c>
      <c r="G4610" t="inlineStr">
        <is>
          <t>2018-04-12 20:24:15</t>
        </is>
      </c>
      <c r="H4610" t="inlineStr">
        <is>
          <t>Type 2</t>
        </is>
      </c>
    </row>
    <row r="4611">
      <c r="A4611" t="inlineStr">
        <is>
          <t>8bxgz7</t>
        </is>
      </c>
      <c r="B4611" t="inlineStr">
        <is>
          <t>A1C now at 5.5.... all the way down from 11.3</t>
        </is>
      </c>
      <c r="C4611" t="inlineStr">
        <is>
          <t>I'm so happy!!! I just wanted to share this with people who would understand. 
Learned the hard way that taking care of yourself is actually important. The damage that has been done can't be reversed, but I'm working hard to keep it from getting worse!</t>
        </is>
      </c>
      <c r="D4611" t="n">
        <v>122</v>
      </c>
      <c r="E4611" t="n">
        <v>33</v>
      </c>
      <c r="F4611">
        <f>HYPERLINK("https://www.reddit.com/r/diabetes/comments/8bxgz7/a1c_now_at_55_all_the_way_down_from_113/")</f>
        <v/>
      </c>
      <c r="G4611" t="inlineStr">
        <is>
          <t>2018-04-13 00:51:13</t>
        </is>
      </c>
      <c r="H4611" t="inlineStr">
        <is>
          <t>Type 1</t>
        </is>
      </c>
    </row>
    <row r="4612">
      <c r="A4612" t="inlineStr">
        <is>
          <t>8bzqi5</t>
        </is>
      </c>
      <c r="B4612" t="inlineStr">
        <is>
          <t>Dexcom Signal Loss Overnight</t>
        </is>
      </c>
      <c r="C4612" t="inlineStr">
        <is>
          <t>Hi guys. I have had the Dexcom G5 for about a week now. I find that when I go to bed, I often get a "Signal Loss" error message. It usually lasts the duration of the night, unless I wake up by chance and place my phone right next to me on the bed. 
Has this happened to anyone else? Is it because the blankets cover the signal from the transmitter to the phone? I know it says in the user manual that if there is a wall between the transmitter and the phone, there might be a signal loss, but I always sleep with my phone less than an arm's length away from me. Thanks</t>
        </is>
      </c>
      <c r="D4612" t="n">
        <v>2</v>
      </c>
      <c r="E4612" t="n">
        <v>7</v>
      </c>
      <c r="F4612">
        <f>HYPERLINK("https://www.reddit.com/r/diabetes/comments/8bzqi5/dexcom_signal_loss_overnight/")</f>
        <v/>
      </c>
      <c r="G4612" t="inlineStr">
        <is>
          <t>2018-04-13 07:50:46</t>
        </is>
      </c>
      <c r="H4612" t="inlineStr">
        <is>
          <t>Type 1</t>
        </is>
      </c>
    </row>
    <row r="4613">
      <c r="A4613" t="inlineStr">
        <is>
          <t>8c2hqv</t>
        </is>
      </c>
      <c r="B4613" t="inlineStr">
        <is>
          <t>New Zealand - Insurance assistance</t>
        </is>
      </c>
      <c r="C4613" t="inlineStr">
        <is>
          <t>So the only thing that the health care system offers me here in New Zealand, is a care sens N reader with strips, and novo rapid and protophane viles to be used in pens.
Is there an insurance that would support another solution?
Or would ACC help in any other way? 
Would love some of the dexcom magic, but fear I’m going to be taking 4 + readings a day for life, envying others...
Any suggestions, guidance appreciated.</t>
        </is>
      </c>
      <c r="D4613" t="n">
        <v>1</v>
      </c>
      <c r="E4613" t="n">
        <v>0</v>
      </c>
      <c r="F4613">
        <f>HYPERLINK("https://www.reddit.com/r/diabetes/comments/8c2hqv/new_zealand_insurance_assistance/")</f>
        <v/>
      </c>
      <c r="G4613" t="inlineStr">
        <is>
          <t>2018-04-13 13:48:09</t>
        </is>
      </c>
      <c r="H4613" t="inlineStr">
        <is>
          <t>Type 1</t>
        </is>
      </c>
    </row>
    <row r="4614">
      <c r="A4614" t="inlineStr">
        <is>
          <t>8c2p5y</t>
        </is>
      </c>
      <c r="B4614" t="inlineStr">
        <is>
          <t>Does this happen to anyone else?</t>
        </is>
      </c>
      <c r="C4614" t="inlineStr">
        <is>
          <t>This occurred a few days ago (but happens every month or so to me). My endocrinologist thinks I'm crazy, but this is what I sent her on the patient portal a couple days ago. 
Sunday night, without anything crazy for dinner, no life changes that would cause any stress, and I don't feel sick (no sinus issues, no cough, no fever, sweats, or chills, no sore throat, etc...), the double arrows up began on my Dexcom. Ever since then, I've given an ungodly amount of insulin, with periodic dips in BG's into the mid 100's, and then double arrows up again.
Yesterday around 6pm I resorted to doing all boluses via syringe (but left my pump in for basal). By 6pm, I had given 217 units through my pump. I have given an additional 140 through syringe in the past 12 hours, and have switched out three vials of insulin, that have all been refrigerated. My BG was still 290 thirty minutes ago, but is now 250 with one arrow straight down on Dexcom.
If this pattern holds true, my sugars will likely stabilize within the next day, and be normal again for a few weeks. For example of what I ate last night. I had a salad with avocado, carrots, and cheese. And a stuffed green pepper with beef, hot italian sausage, cheese, and seasoning (onion, garlic, etc..).
The weirdest thing to me, during these "episodes" is my body's lack of response to high sugars. Normally, if my sugar gets above 200, I'm urinating frequently, and drinking like a fish. This is not true during these episodes. I don't notice myself being any more thirsty, or even urinating more than normal.
I've checked ketones twice over the past couple days. One time had a trace amount, the other was normal. So, I guess I'm just curious what your thoughts are? Ideas?
I should probably add that this is a new batch of insulin that I started using on Thursday or Friday. But like I said, I've given insulin out of three vials since yesterday, with no difference between vials. They've all been refrigerated since the day I got them.</t>
        </is>
      </c>
      <c r="D4614" t="n">
        <v>3</v>
      </c>
      <c r="E4614" t="n">
        <v>15</v>
      </c>
      <c r="F4614">
        <f>HYPERLINK("https://www.reddit.com/r/diabetes/comments/8c2p5y/does_this_happen_to_anyone_else/")</f>
        <v/>
      </c>
      <c r="G4614" t="inlineStr">
        <is>
          <t>2018-04-13 14:16:50</t>
        </is>
      </c>
      <c r="H4614" t="inlineStr">
        <is>
          <t>Type 1</t>
        </is>
      </c>
    </row>
    <row r="4615">
      <c r="A4615" t="inlineStr">
        <is>
          <t>8c3ipe</t>
        </is>
      </c>
      <c r="B4615" t="inlineStr">
        <is>
          <t>Vitrectomy recovery is no joke</t>
        </is>
      </c>
      <c r="C4615" t="inlineStr">
        <is>
          <t>Just got a virectomy on my left eye yesterday due to diabetic retinopathy and a partially detached retina. According to my surgeon, my sight should be much better once I'm all healed up. Currently I need to take 3 different eyedrops 
4 times a day and it constantly feels like there's sand in the bottom of the affected eye. So remember kids: Take care of yourself, don't end up like me!</t>
        </is>
      </c>
      <c r="D4615" t="n">
        <v>8</v>
      </c>
      <c r="E4615" t="n">
        <v>12</v>
      </c>
      <c r="F4615">
        <f>HYPERLINK("https://www.reddit.com/r/diabetes/comments/8c3ipe/vitrectomy_recovery_is_no_joke/")</f>
        <v/>
      </c>
      <c r="G4615" t="inlineStr">
        <is>
          <t>2018-04-13 16:17:33</t>
        </is>
      </c>
      <c r="H4615" t="inlineStr">
        <is>
          <t>Type 1</t>
        </is>
      </c>
    </row>
    <row r="4616">
      <c r="A4616" t="inlineStr">
        <is>
          <t>8c3mu1</t>
        </is>
      </c>
      <c r="B4616" t="inlineStr">
        <is>
          <t>scammers always talk and talk and they buy it to shut them up</t>
        </is>
      </c>
      <c r="C4616" t="inlineStr">
        <is>
          <t xml:space="preserve">listen ... people are told to listen to others with more knowledge, and be understanding, and if you agree, then become part of the organization (people once had a Pagan religion, believed in many faiths, yet the reason Christianity they spoke about love instead of religion, and people follow things that they "love"),  so people love the idea of getting great advise for diabetes cures. so that have been very sick would love to try anything to make a change for themselves.   If you listen to his "sales pitch", there are some sentences right at the very beginning of the ad which, introduced intentionally, that "this ad may not stay on the site very long" blah blah blah because someone may find a way to get the site removed. what people don't know that will become vunerable to this ad is actually in "fine print".  the fine print written says that you payment will not be submitted to a payment processor nor a bank...but the payment goes straight to the retailer, BuyGoods.  but if you KEEP reading the TERMS it submits a Q&amp;amp;A forum, and one of the questions are:  Why do customers have to "send a COPY of their Credit Card and send a COPY of their ID".  ??? they state if they merge, your info will pass to the new merger.  the terms also state that charges are reoccurring.  the terms also state that to unsubscribe from email, and they will send several, you must unsubscribe within EACH email sent (that their is nothing on their website to unsubscribe.)  Of course they share your information with others who are free to contact us.  But the most important thing of all, the Terms never states any thing ELSE about this ad: NUTHIN.  ((What i want for people to understand, ofcourse i wish everyone good health, to find better ways to truly rid of the problem of diabetes, and NO, ...no medical cures will come from continued use of medications, only to control the symptoms.  But this AD NEVER STATE "WHICH NATURAL PRODUCT" helps to slowly cure and bring sugar levels under control.  DOES IT? No, it doesn't.)).  But a lot of people will take this information and make it their gospel, spread the word, all over the world, that Michael is the true Healer.
At least Michael the true Healer cant magically erase my submission.
</t>
        </is>
      </c>
      <c r="D4616" t="n">
        <v>0</v>
      </c>
      <c r="E4616" t="n">
        <v>2</v>
      </c>
      <c r="F4616">
        <f>HYPERLINK("https://www.reddit.com/r/diabetes/comments/8c3mu1/scammers_always_talk_and_talk_and_they_buy_it_to/")</f>
        <v/>
      </c>
      <c r="G4616" t="inlineStr">
        <is>
          <t>2018-04-13 16:36:08</t>
        </is>
      </c>
      <c r="H4616" t="inlineStr">
        <is>
          <t>Type 2</t>
        </is>
      </c>
    </row>
    <row r="4617">
      <c r="A4617" t="inlineStr">
        <is>
          <t>8c87gb</t>
        </is>
      </c>
      <c r="B4617" t="inlineStr">
        <is>
          <t>Does fasting work?</t>
        </is>
      </c>
      <c r="C4617" t="inlineStr">
        <is>
          <t xml:space="preserve">I remember reading somewhere that fasting (200 calorie intake) for a couple days can help “reset” your glucose tolerance. Has anyone tried this? </t>
        </is>
      </c>
      <c r="D4617" t="n">
        <v>2</v>
      </c>
      <c r="E4617" t="n">
        <v>8</v>
      </c>
      <c r="F4617">
        <f>HYPERLINK("https://www.reddit.com/r/diabetes/comments/8c87gb/does_fasting_work/")</f>
        <v/>
      </c>
      <c r="G4617" t="inlineStr">
        <is>
          <t>2018-04-14 08:23:32</t>
        </is>
      </c>
      <c r="H4617" t="inlineStr">
        <is>
          <t>Type 2</t>
        </is>
      </c>
    </row>
    <row r="4618">
      <c r="A4618" t="inlineStr">
        <is>
          <t>8c87pp</t>
        </is>
      </c>
      <c r="B4618" t="inlineStr">
        <is>
          <t>"I'll pray for you"</t>
        </is>
      </c>
      <c r="C4618" t="inlineStr">
        <is>
          <t xml:space="preserve">I work with an older woman, she's very sweet to me and I thought this convo between us was funny..but also a little different. 
I recently got a Freestyle Libre and while at work she saw the patch and my scanner and she says "Is that something for Pokemon go? My grand kids just love that game" (I commonly get this kind of thing) "Oh no it's so I can get my blood sugar readings easier than having to walk off the floor and go test." "Oh..so how does that work?" "Well I have type one diabetes so basically this patch sticks to my skin and when I scan the device over it it comes up with my number on it(shows her)So right now my number is okay, if the number is under 65 I eat a snack, if it's over 130 I take a shot" "Oh my..I will pray for you that must be a heavy burden to bare on such a young girl." me laughing..here we go.."Well unfortunately type one doesn't just go away..even with prayer, but I really appreciate  that sentiment. I rely heavily on diabetes technology to keep me alive every day." She's a really REALLY nice lady I wasn't going to be rude but then she goes "Oh so it can't go away? But the technology helps? That's okay I can pray for new technology to help you and the other people who struggle with this. You can get through this." And I giggled a little and walked away but it was pretty fun not having to hear the whole god can cure you if I ask nice enough shit and just a oh? alright then I'll pray for technology instead! </t>
        </is>
      </c>
      <c r="D4618" t="n">
        <v>161</v>
      </c>
      <c r="E4618" t="n">
        <v>34</v>
      </c>
      <c r="F4618">
        <f>HYPERLINK("https://www.reddit.com/r/diabetes/comments/8c87pp/ill_pray_for_you/")</f>
        <v/>
      </c>
      <c r="G4618" t="inlineStr">
        <is>
          <t>2018-04-14 08:24:52</t>
        </is>
      </c>
      <c r="H4618" t="inlineStr">
        <is>
          <t>Type 1</t>
        </is>
      </c>
    </row>
    <row r="4619">
      <c r="A4619" t="inlineStr">
        <is>
          <t>8c88n1</t>
        </is>
      </c>
      <c r="B4619" t="inlineStr">
        <is>
          <t>Freestyle Libre Sensor</t>
        </is>
      </c>
      <c r="C4619" t="inlineStr">
        <is>
          <t xml:space="preserve">I am currently on the Freestyle Libre in the US. I am looking for one European sensor and will pay for it! Trying to research how to extend the sensor US life from 10 days to 14 and need a sensor! Thanks so much!!
</t>
        </is>
      </c>
      <c r="D4619" t="n">
        <v>2</v>
      </c>
      <c r="E4619" t="n">
        <v>14</v>
      </c>
      <c r="F4619">
        <f>HYPERLINK("https://www.reddit.com/r/diabetes/comments/8c88n1/freestyle_libre_sensor/")</f>
        <v/>
      </c>
      <c r="G4619" t="inlineStr">
        <is>
          <t>2018-04-14 08:28:56</t>
        </is>
      </c>
      <c r="H4619" t="inlineStr">
        <is>
          <t>Type 1</t>
        </is>
      </c>
    </row>
    <row r="4620">
      <c r="A4620" t="inlineStr">
        <is>
          <t>8c8l8e</t>
        </is>
      </c>
      <c r="B4620" t="inlineStr">
        <is>
          <t>Recommendations for Guardian sensor adhesive</t>
        </is>
      </c>
      <c r="C4620" t="inlineStr">
        <is>
          <t>I’ve been using the 670G Medtronic since January and it’s been going really well except for the CGM and the adhesive. About a month ago, my skin was becoming super irritated after wearing the sensor for a few days. At first I thought it was moisture making it irritated and itchy, but now I’m beginning to think I may be allergic to the adhesive that Medtronic provides with the Guardian sensors. Is anyone else having this problem and do you have any suggestions?</t>
        </is>
      </c>
      <c r="D4620" t="n">
        <v>1</v>
      </c>
      <c r="E4620" t="n">
        <v>6</v>
      </c>
      <c r="F4620">
        <f>HYPERLINK("https://www.reddit.com/r/diabetes/comments/8c8l8e/recommendations_for_guardian_sensor_adhesive/")</f>
        <v/>
      </c>
      <c r="G4620" t="inlineStr">
        <is>
          <t>2018-04-14 09:23:46</t>
        </is>
      </c>
      <c r="H4620" t="inlineStr">
        <is>
          <t>Type 1</t>
        </is>
      </c>
    </row>
    <row r="4621">
      <c r="A4621" t="inlineStr">
        <is>
          <t>8caywa</t>
        </is>
      </c>
      <c r="B4621" t="inlineStr">
        <is>
          <t>Doc told T2 father his 6.1 A1C is too low</t>
        </is>
      </c>
      <c r="C4621" t="inlineStr">
        <is>
          <t xml:space="preserve">Said to eat more complex carbs and keep his blood sugar higher, though it is always between 100 and 180 every day.
Said he is at risk of becoming hypoglycemic.
The doctor is a physician in charge of internal medicine at this clinic, so I want to trust him.
As recently as 8 weeks ago he was being recorded in the hospital with unmedicated daily blood sugar spikes above 350.
Is this good advice? Isn't the idea to get him between 4 and 5.6?
</t>
        </is>
      </c>
      <c r="D4621" t="n">
        <v>3</v>
      </c>
      <c r="E4621" t="n">
        <v>28</v>
      </c>
      <c r="F4621">
        <f>HYPERLINK("https://www.reddit.com/r/diabetes/comments/8caywa/doc_told_t2_father_his_61_a1c_is_too_low/")</f>
        <v/>
      </c>
      <c r="G4621" t="inlineStr">
        <is>
          <t>2018-04-14 15:23:48</t>
        </is>
      </c>
      <c r="H4621" t="inlineStr">
        <is>
          <t>Type 2</t>
        </is>
      </c>
    </row>
    <row r="4622">
      <c r="A4622" t="inlineStr">
        <is>
          <t>8cb3ch</t>
        </is>
      </c>
      <c r="B4622" t="inlineStr">
        <is>
          <t>Need an insulin pump and help</t>
        </is>
      </c>
      <c r="C4622" t="inlineStr">
        <is>
          <t xml:space="preserve">Hey r/diabetes I’ve been a type 1 since 2012 when I turned 17 and from being in hard financial situations and depression and anxiety I haven’t really been controlling my blood sugar all too well. When I was first diagnosed I tried my best to keep up with all the new information but slowly and gradually I just stopped caring and been doing the minimum in controlling and keeping up with my diabetes. I haven’t spoken to a doctor in about 2 years because of medical costs and the debt I am already in from previous visits. I have had a very hard time checking my blood sugar 4 times a day and taking shots from a vial and syringe, and I just didn’t care until recently when I started to feel constant pain in my legs and read up that it may be neuropathy. Anyway I’m already scheduled to see a doctor soon, but I’m looking into getting an insulin pump which I’m sure would help me manage my diabetes better but there has always been an issue with insurance companies and costs so I am wondering if anyone has an extra one or spare that they don’t use and will be willing to sell it to me. I’m also looking into getting a BGM that constantly stays on your body? My manager has one and she says it monitors her blood sugar constantly and I am wondering what kind of bgm does that and if anyone has a spare one of those as well. I’m really trying to get my life back together right now and this is a scary priority. Thank you for reading and hope all of you are well! </t>
        </is>
      </c>
      <c r="D4622" t="n">
        <v>2</v>
      </c>
      <c r="E4622" t="n">
        <v>6</v>
      </c>
      <c r="F4622">
        <f>HYPERLINK("https://www.reddit.com/r/diabetes/comments/8cb3ch/need_an_insulin_pump_and_help/")</f>
        <v/>
      </c>
      <c r="G4622" t="inlineStr">
        <is>
          <t>2018-04-14 15:42:56</t>
        </is>
      </c>
      <c r="H4622" t="inlineStr">
        <is>
          <t>Type 1</t>
        </is>
      </c>
    </row>
    <row r="4623">
      <c r="A4623" t="inlineStr">
        <is>
          <t>8cbgq0</t>
        </is>
      </c>
      <c r="B4623" t="inlineStr">
        <is>
          <t>Should I take meal Time insulin (Humalog) if I'm not gonna eat but my blood sugar is running really high ?</t>
        </is>
      </c>
      <c r="C4623" t="inlineStr">
        <is>
          <t>As in a correction dose without a meal dose?</t>
        </is>
      </c>
      <c r="D4623" t="n">
        <v>9</v>
      </c>
      <c r="E4623" t="n">
        <v>10</v>
      </c>
      <c r="F4623">
        <f>HYPERLINK("https://www.reddit.com/r/diabetes/comments/8cbgq0/should_i_take_meal_time_insulin_humalog_if_im_not/")</f>
        <v/>
      </c>
      <c r="G4623" t="inlineStr">
        <is>
          <t>2018-04-14 16:45:14</t>
        </is>
      </c>
      <c r="H4623" t="inlineStr">
        <is>
          <t>Type 1.5/LADA</t>
        </is>
      </c>
    </row>
    <row r="4624">
      <c r="A4624" t="inlineStr">
        <is>
          <t>8cc0io</t>
        </is>
      </c>
      <c r="B4624" t="inlineStr">
        <is>
          <t>Getting concerned and haven’t been able to talk to doctor</t>
        </is>
      </c>
      <c r="C4624" t="inlineStr">
        <is>
          <t xml:space="preserve">So, long story short I’ve been losing weight for 8 months. I’m down from 300 to 235, but all of a sudden these past three weeks I can’t stop dropping low. It’s happening 6-8 times a day. So much so that I completely dropped my Lantus by 80% as well as humalog by 60% and still am experiencing lows.  
My pancreas is dead, and yes I’m burning more a day than I’m eating generally, but I’m drinking fruit juice and having protein before and after exercise to correct this. I’m exercising 2 times a day roughly 8 hours apart.  Every night I’m going from 55-39 at 2-4am. It’s waking me up and I’m pouring sweat. I even broke my Lantus into two separate shots 12 hours apart, but no luck. 
Has anyone experienced this? Am I going crazy? My diet is borderline ketogenic, in that I’m having less than 50 grams of carbs a day unless I’m correcting lows. 
I have an appointment 2 months from now, my endo only sees me once a year due to extremely good a1c and generally taking care of myself outside of weight, I called the office and she is gone for 3 more weeks on vacation, and the other endo hasn’t gotten back to me. I’m genuinely scared to sleep because I lost consciousness at the tail end of one of these lows before waking up in the fridge. I’m lucky this time, but at this point I’m just seeing if anybody has experienced the same thing via weight loss. 
The thing I hate the most is I completely throw off intermittent fasting by needing to correct a low half way into my fast. Fuck this everybody. Thank you if you can help or experienced something similar. </t>
        </is>
      </c>
      <c r="D4624" t="n">
        <v>11</v>
      </c>
      <c r="E4624" t="n">
        <v>16</v>
      </c>
      <c r="F4624">
        <f>HYPERLINK("https://www.reddit.com/r/diabetes/comments/8cc0io/getting_concerned_and_havent_been_able_to_talk_to/")</f>
        <v/>
      </c>
      <c r="G4624" t="inlineStr">
        <is>
          <t>2018-04-14 18:20:57</t>
        </is>
      </c>
      <c r="H4624" t="inlineStr">
        <is>
          <t>Type 1</t>
        </is>
      </c>
    </row>
    <row r="4625">
      <c r="A4625" t="inlineStr">
        <is>
          <t>8cerh6</t>
        </is>
      </c>
      <c r="B4625" t="inlineStr">
        <is>
          <t>Eating sweet foods again</t>
        </is>
      </c>
      <c r="C4625" t="inlineStr">
        <is>
          <t xml:space="preserve">So for the first few months of my diagnosis I stayed away from any sweets/cakes etc, I recently had a pastry (taking extra insulin and everything) but felt insanely sick after eating it. Have any of you guys experiences something similar? </t>
        </is>
      </c>
      <c r="D4625" t="n">
        <v>23</v>
      </c>
      <c r="E4625" t="n">
        <v>44</v>
      </c>
      <c r="F4625">
        <f>HYPERLINK("https://www.reddit.com/r/diabetes/comments/8cerh6/eating_sweet_foods_again/")</f>
        <v/>
      </c>
      <c r="G4625" t="inlineStr">
        <is>
          <t>2018-04-15 05:15:09</t>
        </is>
      </c>
      <c r="H4625" t="inlineStr">
        <is>
          <t>Type 1</t>
        </is>
      </c>
    </row>
    <row r="4626">
      <c r="A4626" t="inlineStr">
        <is>
          <t>8cha29</t>
        </is>
      </c>
      <c r="B4626" t="inlineStr">
        <is>
          <t>Woohoo! Suck it T1D!</t>
        </is>
      </c>
      <c r="C4626" t="inlineStr">
        <is>
          <t>HAD to share this with somebody who might realize this win.  
[G5 graph](https://i.imgur.com/uoRkQij.png)
My daughter (13) was diagnosed with T1D a year ago.  It's been problematic to say the least...we have her now on a pump and Dexcom G5 but her hormones are crazy so even when we track well it just doesn't work sometimes.  She was running high in the night...insulin sensitivity low I guess because sometimes she crashes a lot...and we changed her pump site before church this morning.  Guess there was something wrong with the site because even after bolusing for breakfast she shot up to the sky.  The Dexcom graph doesn't give the half of it; it didn't track as high as the meter was going, which was up to 490 or so.  I blamed the injection site but didn't quite trust the Kwikpen we had for backup because we hadn't used it for months (woopsie) so we headed home fast.  Injected her with 3 units using a new Kwikpen (ISF around 100 for her), then replaced the pump site.  Started by giving a unit with it and hoping for the best...after some fits the blood sugar dropped, then dropped FAST.  Of course I was now concerned about crashing but she stuck the landing and is now stable!
Biggest victory in a year.</t>
        </is>
      </c>
      <c r="D4626" t="n">
        <v>11</v>
      </c>
      <c r="E4626" t="n">
        <v>6</v>
      </c>
      <c r="F4626">
        <f>HYPERLINK("https://www.reddit.com/r/diabetes/comments/8cha29/woohoo_suck_it_t1d/")</f>
        <v/>
      </c>
      <c r="G4626" t="inlineStr">
        <is>
          <t>2018-04-15 11:52:19</t>
        </is>
      </c>
      <c r="H4626" t="inlineStr">
        <is>
          <t>Type 1</t>
        </is>
      </c>
    </row>
    <row r="4627">
      <c r="A4627" t="inlineStr">
        <is>
          <t>8ci8pv</t>
        </is>
      </c>
      <c r="B4627" t="inlineStr">
        <is>
          <t>Auto mode High SG</t>
        </is>
      </c>
      <c r="C4627" t="inlineStr">
        <is>
          <t>Why does auto mode turn itself off when it's had a high SG for a hour? Would it be better if it just only needed to enter a BG?</t>
        </is>
      </c>
      <c r="D4627" t="n">
        <v>1</v>
      </c>
      <c r="E4627" t="n">
        <v>3</v>
      </c>
      <c r="F4627">
        <f>HYPERLINK("https://www.reddit.com/r/diabetes/comments/8ci8pv/auto_mode_high_sg/")</f>
        <v/>
      </c>
      <c r="G4627" t="inlineStr">
        <is>
          <t>2018-04-15 14:06:02</t>
        </is>
      </c>
      <c r="H4627" t="inlineStr">
        <is>
          <t>Type 1</t>
        </is>
      </c>
    </row>
    <row r="4628">
      <c r="A4628" t="inlineStr">
        <is>
          <t>8cjean</t>
        </is>
      </c>
      <c r="B4628" t="inlineStr">
        <is>
          <t>Pump advice - Canada</t>
        </is>
      </c>
      <c r="C4628" t="inlineStr">
        <is>
          <t>Hey, I'm sure this gets asked a lot but was hoping for some pump-choice advice.
I'm a Type 1 (23 years roughly) located in Canada and recently started using a Dexcom G5 with Xdrip+; which I'm appreciating so far (minus the interstitial delay). I've decided to go ahead with a pump as it's mostly covered here in Ontario. Really struggling trying to decide between the Omnipod, and waiting a few months for the T:Slim x2. It mainly seems to be a case of G5 integration vs tubeless but it's hard to value either given I've never used a pump before (novorapid + tresiba atm). 
For those that have used either pump do you have any suggestions? Is the G5 integration on the Tandem particularly useful? The PLGS Tandem system sounds like it could be fantastic given the number of hypos I have - assuming it's ever brought to Canadian T-slims.
For reference my last HbA1c was 5.4. However I currently use a lot of insulin and an enormous amount of sugar to aggressively ping-pong my blood sugar into a 4-7 range. My insulin sensitivity seems to change significantly day-by-day; however I feel awful when my BS exits that range and try to avoid it at all costs (although it happens plenty).
Any advice would be much appreciated. Thanks!</t>
        </is>
      </c>
      <c r="D4628" t="n">
        <v>1</v>
      </c>
      <c r="E4628" t="n">
        <v>1</v>
      </c>
      <c r="F4628">
        <f>HYPERLINK("https://www.reddit.com/r/diabetes/comments/8cjean/pump_advice_canada/")</f>
        <v/>
      </c>
      <c r="G4628" t="inlineStr">
        <is>
          <t>2018-04-15 17:01:14</t>
        </is>
      </c>
      <c r="H4628" t="inlineStr">
        <is>
          <t>Type 1</t>
        </is>
      </c>
    </row>
    <row r="4629">
      <c r="A4629" t="inlineStr">
        <is>
          <t>8cmdw2</t>
        </is>
      </c>
      <c r="B4629" t="inlineStr">
        <is>
          <t>Wanting to switch up eating/diet habits.</t>
        </is>
      </c>
      <c r="C4629" t="inlineStr">
        <is>
          <t>Any Type 2 people try the Atkins or Keto Diets? Any pros or cons to them? Stories are appreciated</t>
        </is>
      </c>
      <c r="D4629" t="n">
        <v>5</v>
      </c>
      <c r="E4629" t="n">
        <v>7</v>
      </c>
      <c r="F4629">
        <f>HYPERLINK("https://www.reddit.com/r/diabetes/comments/8cmdw2/wanting_to_switch_up_eatingdiet_habits/")</f>
        <v/>
      </c>
      <c r="G4629" t="inlineStr">
        <is>
          <t>2018-04-16 02:54:25</t>
        </is>
      </c>
      <c r="H4629" t="inlineStr">
        <is>
          <t>Type 2</t>
        </is>
      </c>
    </row>
    <row r="4630">
      <c r="A4630" t="inlineStr">
        <is>
          <t>8cmhx5</t>
        </is>
      </c>
      <c r="B4630" t="inlineStr">
        <is>
          <t>What is one important thing you have learned from having Diabetes (type 2) that you would tell someone newly diagnosed with Diabetes?</t>
        </is>
      </c>
      <c r="C4630" t="inlineStr">
        <is>
          <t>Any advice or tips for someone newly diagnosed with Diabetes will be appreciated!</t>
        </is>
      </c>
      <c r="D4630" t="n">
        <v>6</v>
      </c>
      <c r="E4630" t="n">
        <v>24</v>
      </c>
      <c r="F4630">
        <f>HYPERLINK("https://www.reddit.com/r/diabetes/comments/8cmhx5/what_is_one_important_thing_you_have_learned_from/")</f>
        <v/>
      </c>
      <c r="G4630" t="inlineStr">
        <is>
          <t>2018-04-16 03:19:58</t>
        </is>
      </c>
      <c r="H4630" t="inlineStr">
        <is>
          <t>Type 2</t>
        </is>
      </c>
    </row>
    <row r="4631">
      <c r="A4631" t="inlineStr">
        <is>
          <t>8cmm36</t>
        </is>
      </c>
      <c r="B4631" t="inlineStr">
        <is>
          <t>Starting the G5 today, question on calibrations</t>
        </is>
      </c>
      <c r="C4631" t="inlineStr">
        <is>
          <t xml:space="preserve">Starting back on the Dexcom today. I was planning to start it this afternoon after work around 3 but had a question. I know every 12 hours you need a calibration but how set in stone is that? If I start it at 3pm that means I’ll need a calibration at 3am but no way will I wake up just to do that. How much of an affect on my readings will it be if I go multiple hours without the calibration? </t>
        </is>
      </c>
      <c r="D4631" t="n">
        <v>2</v>
      </c>
      <c r="E4631" t="n">
        <v>20</v>
      </c>
      <c r="F4631">
        <f>HYPERLINK("https://www.reddit.com/r/diabetes/comments/8cmm36/starting_the_g5_today_question_on_calibrations/")</f>
        <v/>
      </c>
      <c r="G4631" t="inlineStr">
        <is>
          <t>2018-04-16 03:46:35</t>
        </is>
      </c>
      <c r="H4631" t="inlineStr">
        <is>
          <t>Type 1</t>
        </is>
      </c>
    </row>
    <row r="4632">
      <c r="A4632" t="inlineStr">
        <is>
          <t>8co12a</t>
        </is>
      </c>
      <c r="B4632" t="inlineStr">
        <is>
          <t>Cold Remedies that won't play with sugars?</t>
        </is>
      </c>
      <c r="C4632" t="inlineStr">
        <is>
          <t xml:space="preserve">First off I want to premise that I am not a diabetic, but my wife has been a T1 for almost 20 years. I am still fairly new to the game of managing sugars, dealing with highs and lows all with ever changing ratios but I love learning with my wife about the disease and better ways of its management. 
Since we have been together my wife has insisted that cold remedies such as Otrivin, wreak havoc on a T1's sugars. Is this the case, and if so what alternatives would you suggest using to help alleviate the symptoms of a cold? 
</t>
        </is>
      </c>
      <c r="D4632" t="n">
        <v>1</v>
      </c>
      <c r="E4632" t="n">
        <v>5</v>
      </c>
      <c r="F4632">
        <f>HYPERLINK("https://www.reddit.com/r/diabetes/comments/8co12a/cold_remedies_that_wont_play_with_sugars/")</f>
        <v/>
      </c>
      <c r="G4632" t="inlineStr">
        <is>
          <t>2018-04-16 07:44:53</t>
        </is>
      </c>
      <c r="H4632" t="inlineStr">
        <is>
          <t>Type 1</t>
        </is>
      </c>
    </row>
    <row r="4633">
      <c r="A4633" t="inlineStr">
        <is>
          <t>8cofis</t>
        </is>
      </c>
      <c r="B4633" t="inlineStr">
        <is>
          <t>Timing insulin injections</t>
        </is>
      </c>
      <c r="C4633" t="inlineStr">
        <is>
          <t>I am very new to being a t1 diabetic (1 week in) and I am trying to dial in my insulin ratios and timings right now. I meet with my endo again tomorrow, but in the meantime I was hoping some of you could lend some advice to me.
I've been taking my insulin before meals and waiting anywhere from 5-20 mins before I eat. I've noticed that about 30-60 mins after I eat (and depending on what I eat), my bg spikes. And then, usually, by 2 hours after is in a good range.
Is this normally how it works or should I aim not to see these spikes after a meal? Should I wait longer to eat?
To be clear, these spikes vary depending on what I eat. This morning the spike was bad and reached 255. Also, I have a freestyle libre so I check my BG *very often*.
Thanks in advance for the advice.</t>
        </is>
      </c>
      <c r="D4633" t="n">
        <v>2</v>
      </c>
      <c r="E4633" t="n">
        <v>14</v>
      </c>
      <c r="F4633">
        <f>HYPERLINK("https://www.reddit.com/r/diabetes/comments/8cofis/timing_insulin_injections/")</f>
        <v/>
      </c>
      <c r="G4633" t="inlineStr">
        <is>
          <t>2018-04-16 08:37:17</t>
        </is>
      </c>
      <c r="H4633" t="inlineStr">
        <is>
          <t>Type 1</t>
        </is>
      </c>
    </row>
    <row r="4634">
      <c r="A4634" t="inlineStr">
        <is>
          <t>8coqkd</t>
        </is>
      </c>
      <c r="B4634" t="inlineStr">
        <is>
          <t>A1C: 5.4!</t>
        </is>
      </c>
      <c r="C4634" t="inlineStr">
        <is>
          <t>Had my 4 month checkup today and my A1C came back at 5.4. For those of you out there struggling, there is hope!</t>
        </is>
      </c>
      <c r="D4634" t="n">
        <v>122</v>
      </c>
      <c r="E4634" t="n">
        <v>38</v>
      </c>
      <c r="F4634">
        <f>HYPERLINK("https://www.reddit.com/r/diabetes/comments/8coqkd/a1c_54/")</f>
        <v/>
      </c>
      <c r="G4634" t="inlineStr">
        <is>
          <t>2018-04-16 09:17:10</t>
        </is>
      </c>
      <c r="H4634" t="inlineStr">
        <is>
          <t>Type 2</t>
        </is>
      </c>
    </row>
    <row r="4635">
      <c r="A4635" t="inlineStr">
        <is>
          <t>8cppc0</t>
        </is>
      </c>
      <c r="B4635" t="inlineStr">
        <is>
          <t>Curious as to whether my wife taking both Tresiba and Humalog as a type 2 is common or not. Also question on dosing.</t>
        </is>
      </c>
      <c r="C4635" t="inlineStr">
        <is>
          <t>A little background:
https://www.reddit.com/r/diabetes/comments/80rw97/need_help_with_wife_and_her_unconventional/
So she is basically now doing 24 units of Tresiba and 2-3 bolus of Humalog (5-8 depending) per day.  No other meds, Trulicity was a nightmare.
We are still using a basic doing program of 5 units + 2 for 200-300, 3 for 300-400, etc.  Since she has been under 200 now for a couple of weeks it is basically 5-7.  I have been helping her by asking what she plans to eat and adjust a unit up or down from that (I had done Keto for a year so am VERY conscious of carbs in foods so don't need to look up much anymore).
Anyway, seeing doc again Thursday and wanted to see comments so i can possibly bring up to him, mostly on dosing and if this is somewhat common for a type 2 who neglected themselves.
Also hoping to get a Libre this week!  woo hoo!
Thanks!</t>
        </is>
      </c>
      <c r="D4635" t="n">
        <v>1</v>
      </c>
      <c r="E4635" t="n">
        <v>10</v>
      </c>
      <c r="F4635">
        <f>HYPERLINK("https://www.reddit.com/r/diabetes/comments/8cppc0/curious_as_to_whether_my_wife_taking_both_tresiba/")</f>
        <v/>
      </c>
      <c r="G4635" t="inlineStr">
        <is>
          <t>2018-04-16 11:17:48</t>
        </is>
      </c>
      <c r="H4635" t="inlineStr">
        <is>
          <t>Type 2</t>
        </is>
      </c>
    </row>
    <row r="4636">
      <c r="A4636" t="inlineStr">
        <is>
          <t>8cqdbo</t>
        </is>
      </c>
      <c r="B4636" t="inlineStr">
        <is>
          <t>Ate too much carbs in one go - huge headache</t>
        </is>
      </c>
      <c r="C4636" t="inlineStr">
        <is>
          <t>About 5 days ago, I ate lots of white carbs in one sitting (white tortilla wraps) with lots of chocolate.
I had a huge headache. I looked up online and it says this could be due to brain damage caused by high blood sugar levels in the blood.
I am undiagnosed, but I believe I have type 2 diabetes for several years (due to excessive thirst, particularly after eating particular foods).
Has anyone experienced anything similar?
As the brain cannot really produce new cells (I think), I will not eat carbs again. Should I do that? How do I handle my type 2 diabetes. For the past 5 days, I've only been eating super healthy foods and feel better. The huge headache was a wake-up call to me. My diet past 5 days were also low-calorie. On another note, does fasting cure diabetes?</t>
        </is>
      </c>
      <c r="D4636" t="n">
        <v>1</v>
      </c>
      <c r="E4636" t="n">
        <v>5</v>
      </c>
      <c r="F4636">
        <f>HYPERLINK("https://www.reddit.com/r/diabetes/comments/8cqdbo/ate_too_much_carbs_in_one_go_huge_headache/")</f>
        <v/>
      </c>
      <c r="G4636" t="inlineStr">
        <is>
          <t>2018-04-16 12:41:00</t>
        </is>
      </c>
      <c r="H4636" t="inlineStr">
        <is>
          <t>Type 2</t>
        </is>
      </c>
    </row>
    <row r="4637">
      <c r="A4637" t="inlineStr">
        <is>
          <t>8cqrxs</t>
        </is>
      </c>
      <c r="B4637" t="inlineStr">
        <is>
          <t>Freshly Diagnosed, could use some feedback on how I'm doing.</t>
        </is>
      </c>
      <c r="C4637" t="inlineStr">
        <is>
          <t>Hi /r/diabetes!
So, as title says, I am freshly diagnosed T2 diabetes as of last week. It came as a bit of a shock, as I had no symptoms (ployuria, dry mouth, etc), am mid-30s, 6'2" and about 210 lb, don't have a terrible diet, and had only a mild family history. While the nurse who introduced me to my BGS meter was great, my doctor was rather brusque (and offered dubious advice), so I've had to do a lot of my own research.
My initial A1C clocked in at 8, which, while Clearly Diabetec, is not actually that bad, from what I've gathered. My very first BGS test came in at 19.7 mmol/L (which I believe is around 350 your units), though that was an hour after I had eaten a big bowl of Mini-wheats and a banana. Doctor has me on Metformin and Gliclazide, and between that and diet changes, my early-morning fasting BGS levels have fallen steadily from 10.7 to plateauing in the mid 7s.
I've made an effort to severely curtail carbs and sugars; for many years, my morning routine M-F was a large bowl of cereal before I headed off to work, and pancakes on Saturday. Cutting that out has already saved me 60+g of net carbs every day, so that was a big, easy win. Since I'm not significantly overweight, and my cholestrol levels were good, I've been able to console, to an extent, the loss of my beloved carbs with a slight uptake in delicious meats, as well as veggies. What carbs I still partake of tend to come from whole-grain sources, and the increasingly less-frequent beer. I am someone who likes to eat, so the knowledge that I can't consume what and how I used to has me pretty down.
To be honest, I feel sicker now than I did before I was diagnosed. I feel prepetually tired and worn out, and am generally crabby. Can this be explained to my body adjusting to the new normal of lower BGS levels, or is this due to my being bummed out about a shitty situation?
Any advice, suggestions, or feedback on how I'm doing would be much appreciated. TIA.</t>
        </is>
      </c>
      <c r="D4637" t="n">
        <v>6</v>
      </c>
      <c r="E4637" t="n">
        <v>19</v>
      </c>
      <c r="F4637">
        <f>HYPERLINK("https://www.reddit.com/r/diabetes/comments/8cqrxs/freshly_diagnosed_could_use_some_feedback_on_how/")</f>
        <v/>
      </c>
      <c r="G4637" t="inlineStr">
        <is>
          <t>2018-04-16 13:32:04</t>
        </is>
      </c>
      <c r="H4637" t="inlineStr">
        <is>
          <t>Type 2</t>
        </is>
      </c>
    </row>
    <row r="4638">
      <c r="A4638" t="inlineStr">
        <is>
          <t>8crhl0</t>
        </is>
      </c>
      <c r="B4638" t="inlineStr">
        <is>
          <t>Switching from Dexcom to Medtronic CGM. I just have one question.</t>
        </is>
      </c>
      <c r="C4638" t="inlineStr">
        <is>
          <t xml:space="preserve">Hi there I'm switching from the G5 to the Guardian 3 and I saw that they just recently got approval for the Guardian Connect App on the iPhone to display our the blood sugar. 
https://www.medtronicdiabetes.com/products/guardian-connect-continuous-glucose-monitoring-system
Anyone know if you will be able to view your blood sugars on your apple watch with it?
Thanks
</t>
        </is>
      </c>
      <c r="D4638" t="n">
        <v>1</v>
      </c>
      <c r="E4638" t="n">
        <v>5</v>
      </c>
      <c r="F4638">
        <f>HYPERLINK("https://www.reddit.com/r/diabetes/comments/8crhl0/switching_from_dexcom_to_medtronic_cgm_i_just/")</f>
        <v/>
      </c>
      <c r="G4638" t="inlineStr">
        <is>
          <t>2018-04-16 15:07:01</t>
        </is>
      </c>
      <c r="H4638" t="inlineStr">
        <is>
          <t>Type 1</t>
        </is>
      </c>
    </row>
    <row r="4639">
      <c r="A4639" t="inlineStr">
        <is>
          <t>8crxk8</t>
        </is>
      </c>
      <c r="B4639" t="inlineStr">
        <is>
          <t>Medtronic 670G Battery Life issue?</t>
        </is>
      </c>
      <c r="C4639" t="inlineStr">
        <is>
          <t>For the record, I've already called the support line about this. They said they would get back to me eventually, but wanted to see if others had a similar issue.
My 670g has started to eat batteries. Last night, I did a set change as usual. About an hour later, I got a low battery warning. No problem, I'll just change the battery. Fast forward four hours later, low battery warning again. This has continued to happen and my battery life is down to around 6 hours per AA. I've tried a fresh pack of batteries and it has not resolved the issue. Anyone have a similar issue with the 670 and have a good idea what the outlook is here while I wait to here from tech support?</t>
        </is>
      </c>
      <c r="D4639" t="n">
        <v>3</v>
      </c>
      <c r="E4639" t="n">
        <v>5</v>
      </c>
      <c r="F4639">
        <f>HYPERLINK("https://www.reddit.com/r/diabetes/comments/8crxk8/medtronic_670g_battery_life_issue/")</f>
        <v/>
      </c>
      <c r="G4639" t="inlineStr">
        <is>
          <t>2018-04-16 16:10:07</t>
        </is>
      </c>
      <c r="H4639" t="inlineStr">
        <is>
          <t>Type 1</t>
        </is>
      </c>
    </row>
    <row r="4640">
      <c r="A4640" t="inlineStr">
        <is>
          <t>8cs93x</t>
        </is>
      </c>
      <c r="B4640" t="inlineStr">
        <is>
          <t>Switching Dexcom to a different iPhone, not pairing</t>
        </is>
      </c>
      <c r="C4640" t="inlineStr">
        <is>
          <t>I have a personal iphone and and also a work iPhone. Recently I’ve been using dexcom on the work phone (6s) because there were too many glitches on my old 5s, but I feel a little weird about having my health info on the work phone (and also just having to carry two phones around on the weekend). I just upgraded the personal phone to the 8, and want to switch dexcom over to the 8. I stopped the current sensor session on the 6s and tried to pair the transmitter on the 8 a few different times but it wouldn’t pair. Ended up starting a new session on the 6s again.  Any ideas why it’s not pairing on the 8?  Is it better to wait until I start a new sensor?</t>
        </is>
      </c>
      <c r="D4640" t="n">
        <v>3</v>
      </c>
      <c r="E4640" t="n">
        <v>3</v>
      </c>
      <c r="F4640">
        <f>HYPERLINK("https://www.reddit.com/r/diabetes/comments/8cs93x/switching_dexcom_to_a_different_iphone_not_pairing/")</f>
        <v/>
      </c>
      <c r="G4640" t="inlineStr">
        <is>
          <t>2018-04-16 16:58:32</t>
        </is>
      </c>
      <c r="H4640" t="inlineStr">
        <is>
          <t>Type 1</t>
        </is>
      </c>
    </row>
    <row r="4641">
      <c r="A4641" t="inlineStr">
        <is>
          <t>8csel1</t>
        </is>
      </c>
      <c r="B4641" t="inlineStr">
        <is>
          <t>What's the craziest thing you've eaten/drank to combat a hypo?</t>
        </is>
      </c>
      <c r="C4641" t="inlineStr">
        <is>
          <t>I'll get the ball rolling here: The very first night I moved into my apartment, I woke up shaking, my heart racing, and I was in a puddle of my own sweat. Fantastic. Naturally all the food was still in boxes, so I had to frantically dig through and find something to help myself. The first thing I found was a bottle of maple syrup. I gulped down half of it straight out of the bottle. I told my boyfriend and he thought I was exaggerating about how much I drank. He saw the bottle the next day and realized I was totally serious.</t>
        </is>
      </c>
      <c r="D4641" t="n">
        <v>23</v>
      </c>
      <c r="E4641" t="n">
        <v>35</v>
      </c>
      <c r="F4641">
        <f>HYPERLINK("https://www.reddit.com/r/diabetes/comments/8csel1/whats_the_craziest_thing_youve_eatendrank_to/")</f>
        <v/>
      </c>
      <c r="G4641" t="inlineStr">
        <is>
          <t>2018-04-16 17:21:42</t>
        </is>
      </c>
      <c r="H4641" t="inlineStr">
        <is>
          <t>Type 1</t>
        </is>
      </c>
    </row>
    <row r="4642">
      <c r="A4642" t="inlineStr">
        <is>
          <t>8csrme</t>
        </is>
      </c>
      <c r="B4642" t="inlineStr">
        <is>
          <t>How to manage diabetes living alone?</t>
        </is>
      </c>
      <c r="C4642" t="inlineStr">
        <is>
          <t xml:space="preserve">If you are living alone, how you deal with it? I was diagnosed before college and thanks to that I'm wasting this year because of the fear. I mean, what will happen to me if I have a very bad hypo when I'm alone and lose consciousness? Until somebody notices that I'm not going to class, it'll be too late. I would like to start college next year, but a pump and/or CGM are not an option for now. I would like to read your experience. </t>
        </is>
      </c>
      <c r="D4642" t="n">
        <v>3</v>
      </c>
      <c r="E4642" t="n">
        <v>8</v>
      </c>
      <c r="F4642">
        <f>HYPERLINK("https://www.reddit.com/r/diabetes/comments/8csrme/how_to_manage_diabetes_living_alone/")</f>
        <v/>
      </c>
      <c r="G4642" t="inlineStr">
        <is>
          <t>2018-04-16 18:16:40</t>
        </is>
      </c>
      <c r="H4642" t="inlineStr">
        <is>
          <t>Type 1</t>
        </is>
      </c>
    </row>
    <row r="4643">
      <c r="A4643" t="inlineStr">
        <is>
          <t>8cszd7</t>
        </is>
      </c>
      <c r="B4643" t="inlineStr">
        <is>
          <t>New diabetic looking into pumps and monitors, could use some guidance.</t>
        </is>
      </c>
      <c r="C4643" t="inlineStr">
        <is>
          <t>Quick Backstory: I am 23 and have been T1 diabetic for  8 months now. I have met with an educator and we are moving rather quickly towards pumps. 
I am currently looking at three different systems and I have not verified insurance prices yet.
* Omnipod: 
This one seems really interesting because it is tubeless. However I have read some bad reviews, mainly that it does not connect to a GCM and that it can be a intrusive. 
* Minimed 630g: If I am correct, it connects directly to a GCM and allows for automated systems. 
* t:slim X2: This one also looks to connect directly to a GCM and is a slim interface. It is also watertight.
I have been using a GCM for a couple days now and I am in love with it. However, with never having used a pump, I have the common fear is having tubes coming off of me and having a heavy device attached. I have been on a low card diet for a while now and don't take a lot of insulin currently.
Any advice given is very much appreciated. I am still pretty new to my T1 and feel a little overwhelmed with choices and I would love to hear from people who use these devices everyday.</t>
        </is>
      </c>
      <c r="D4643" t="n">
        <v>12</v>
      </c>
      <c r="E4643" t="n">
        <v>28</v>
      </c>
      <c r="F4643">
        <f>HYPERLINK("https://www.reddit.com/r/diabetes/comments/8cszd7/new_diabetic_looking_into_pumps_and_monitors/")</f>
        <v/>
      </c>
      <c r="G4643" t="inlineStr">
        <is>
          <t>2018-04-16 18:50:52</t>
        </is>
      </c>
      <c r="H4643" t="inlineStr">
        <is>
          <t>Type 1</t>
        </is>
      </c>
    </row>
    <row r="4644">
      <c r="A4644" t="inlineStr">
        <is>
          <t>8ct190</t>
        </is>
      </c>
      <c r="B4644" t="inlineStr">
        <is>
          <t>A1c 7.1!</t>
        </is>
      </c>
      <c r="C4644" t="inlineStr">
        <is>
          <t>I know, this seems high right? But i’m very happy!
I’ve been T1 for almost 20 years now. I probably didn’t see a dr for the last 12. I bought my insulin from the store and dosed myself “instinctually”. 400s were an everyday occurrence, and sometimes 500s. My average was probably 260s then i’d also have ridiculous lows. Basically, totally uncontrolled. But I always found a reason to ignore and &amp;amp; ignore going to see anyone. 
Then my fiancé’s uncle had both of his legs amputated. He’s T1 and did what I did his whole life (he’s in his 60s). He had had one leg amputated about a year prior then went on vacation in Australia and not long after he’s in the ER having another above knee amputation. This absolutely TERRIFIED me and I feel so badly for him, a few weeks later I got an appt. with an endo. 
He was pretty shocked when he heard what i’d been doing (n and r insulin, “old fashion” way he explained) and immediately switched me to Triseba and Humalog. I had to have a lesson on pens because I had no idea what they were. My a1c was 9. We started out with really low doses so I stayed high for a while because he didn’t want me going hypo. 
That was 6 months ago. Today my a1c was 7.1 (it was 7.8 3 months ago), and it’s still up there but I haven’t been this low in 20’years probably! I haven’t saw a 400 in 6 months and only 300s when i forget my humalog. I feel bad when i get in the 200s now, instead of 300s. My dawn phenomenon has gone, and I feel so much better. 
I was put on Metaformin today to try and help with weightloss. It just isn’t happening. I’ve radically changed my diet and my blood pressure has actually returned to normal due to this but the scale hasn’t moved. We are hoping this might help. 
Anyway, I was just excited and had no one to tell. Thank you for reading :)</t>
        </is>
      </c>
      <c r="D4644" t="n">
        <v>23</v>
      </c>
      <c r="E4644" t="n">
        <v>5</v>
      </c>
      <c r="F4644">
        <f>HYPERLINK("https://www.reddit.com/r/diabetes/comments/8ct190/a1c_71/")</f>
        <v/>
      </c>
      <c r="G4644" t="inlineStr">
        <is>
          <t>2018-04-16 18:59:19</t>
        </is>
      </c>
      <c r="H4644" t="inlineStr">
        <is>
          <t>Type 1</t>
        </is>
      </c>
    </row>
    <row r="4645">
      <c r="A4645" t="inlineStr">
        <is>
          <t>8ct3f7</t>
        </is>
      </c>
      <c r="B4645" t="inlineStr">
        <is>
          <t>switching from MDI (with the G5) to Medtronic 670g with automode. I have a few questions.</t>
        </is>
      </c>
      <c r="C4645" t="inlineStr">
        <is>
          <t>1. How do you like automode? 
2.How often does it wake you up with an alarm? 
3.How often do you have to calibrate it?
4. My goal is to have stable blood sugars, does automode really do that?
5. Can anyone compare the G5 to the Guardian 3?
TIA</t>
        </is>
      </c>
      <c r="D4645" t="n">
        <v>2</v>
      </c>
      <c r="E4645" t="n">
        <v>3</v>
      </c>
      <c r="F4645">
        <f>HYPERLINK("https://www.reddit.com/r/diabetes/comments/8ct3f7/switching_from_mdi_with_the_g5_to_medtronic_670g/")</f>
        <v/>
      </c>
      <c r="G4645" t="inlineStr">
        <is>
          <t>2018-04-16 19:08:33</t>
        </is>
      </c>
      <c r="H4645" t="inlineStr">
        <is>
          <t>Type 1</t>
        </is>
      </c>
    </row>
    <row r="4646">
      <c r="A4646" t="inlineStr">
        <is>
          <t>8ctvb7</t>
        </is>
      </c>
      <c r="B4646" t="inlineStr">
        <is>
          <t>Has any had problems with dry skin around the face?</t>
        </is>
      </c>
      <c r="C4646" t="inlineStr">
        <is>
          <t>For months now I've had a skin problem where any part with hair (beard, scalp) in my face gets patches of dry skin and when scratched off, leave red marks and/blood. 
I've been to 3 doctors already, no one has been able to provide something to help me. Has anyone ever suffered something similar?</t>
        </is>
      </c>
      <c r="D4646" t="n">
        <v>7</v>
      </c>
      <c r="E4646" t="n">
        <v>9</v>
      </c>
      <c r="F4646">
        <f>HYPERLINK("https://www.reddit.com/r/diabetes/comments/8ctvb7/has_any_had_problems_with_dry_skin_around_the_face/")</f>
        <v/>
      </c>
      <c r="G4646" t="inlineStr">
        <is>
          <t>2018-04-16 21:21:32</t>
        </is>
      </c>
      <c r="H4646" t="inlineStr">
        <is>
          <t>Type 1</t>
        </is>
      </c>
    </row>
    <row r="4647">
      <c r="A4647" t="inlineStr">
        <is>
          <t>8cu7de</t>
        </is>
      </c>
      <c r="B4647" t="inlineStr">
        <is>
          <t>type 2: prior to diagnosis did you have any symptoms?</t>
        </is>
      </c>
      <c r="C4647" t="inlineStr">
        <is>
          <t xml:space="preserve">i have really bad food related symptoms that I know are connected to my metabolism. i dont feel good if i dont eat enough but i also feel pretty bad after eating. been through 5 endocrinologists with no diagnosis and they dont seem to understand how horrible the symptoms actually are. i monitor my blood sugar and notice its been going higher than usual after eating. going to do blood work tomorrow again for a checkup. just wondering for those diagnosed with type 2 did you have warning signs, what were they? thanks. </t>
        </is>
      </c>
      <c r="D4647" t="n">
        <v>5</v>
      </c>
      <c r="E4647" t="n">
        <v>13</v>
      </c>
      <c r="F4647">
        <f>HYPERLINK("https://www.reddit.com/r/diabetes/comments/8cu7de/type_2_prior_to_diagnosis_did_you_have_any/")</f>
        <v/>
      </c>
      <c r="G4647" t="inlineStr">
        <is>
          <t>2018-04-16 22:26:54</t>
        </is>
      </c>
      <c r="H4647" t="inlineStr">
        <is>
          <t>Type 2</t>
        </is>
      </c>
    </row>
    <row r="4648">
      <c r="A4648" t="inlineStr">
        <is>
          <t>8cwh7e</t>
        </is>
      </c>
      <c r="B4648" t="inlineStr">
        <is>
          <t>Should I be waking and eating?</t>
        </is>
      </c>
      <c r="C4648" t="inlineStr">
        <is>
          <t xml:space="preserve">Type 2 diabetic with a nighttime problem. During the day I do my best to maintain a low blood sugar and mostly Stay within 100-125 range. But every morning when I awake I’m at 140-160 and I’m starving. 
I have the Dawn Phenomenon and nothing I’ve done helps. Last night I was at 94 and went to bed at 1am got up 8:30am and I’m at 160.
Now I have to take a pill to maintain before I even eat breakfast. 
I’m wondering if I should wake at 3-4am and eat something so my body doesn’t go on a sugar releasing tour. 
Anyone have any ideas how to maintain overnight?? </t>
        </is>
      </c>
      <c r="D4648" t="n">
        <v>2</v>
      </c>
      <c r="E4648" t="n">
        <v>6</v>
      </c>
      <c r="F4648">
        <f>HYPERLINK("https://www.reddit.com/r/diabetes/comments/8cwh7e/should_i_be_waking_and_eating/")</f>
        <v/>
      </c>
      <c r="G4648" t="inlineStr">
        <is>
          <t>2018-04-17 06:23:18</t>
        </is>
      </c>
      <c r="H4648" t="inlineStr">
        <is>
          <t>Type 2</t>
        </is>
      </c>
    </row>
    <row r="4649">
      <c r="A4649" t="inlineStr">
        <is>
          <t>8cwjok</t>
        </is>
      </c>
      <c r="B4649" t="inlineStr">
        <is>
          <t>On a roller coaster...could use some motivation!</t>
        </is>
      </c>
      <c r="C4649" t="inlineStr">
        <is>
          <t xml:space="preserve">So I posted here back when I was originally diagnosed, been lurking posting randomly here and there since. Good sub and good people, so I come back in a time of need! Long story ahead, kudos if you make it through. TL;DR at the end. 
So I was diagnosed in December 2015 with AIC of 12.3. Shocked myself into positive changes and good behavior combined with my 50/1000 2x regimen of Janumet, my 3 month follow up had my A1C down to 5.6. GO ME! 
Kept at it but obviously let the reigns slip a little once the initial sticker shock of the 12.3 wore off and the success of 5.6 set in. In August of 2016 I was at a 5.9 AIC. STILL GOOD! 
October 2016 I get diagnosed with cancer and require 3 months of intense chemo. During this time I'm advised by my oncologist and endocrinologist to essentially ignore blood sugar levels and just concentrate on eating so as to not atrophy and lose excessive weight during chemo. Plus I was taking steroids which cause massive spikes in BG. The doctor said if I was concerned I could do low dose insulin during the days of steroid use but that it wasn't absolutely necessary given the short duration of the spikes. 
Anyway, fast forward to May 2017. Chemo done and have had a couple months of semi-normal feeling. **AIC is at 6.6** so I did pretty good during that time and have creeped up a bit, but not super alarming. 
Sadly, this is where things get bad. So by June, now I'm feeling like myself again pre-chemo. I completely fell off the wagon. Started eating all the things I couldn't stomach to eat for the last 8 months. Got lazy with meds. Started the coca-cola trip again. **AIC in November 2017: 10.** 
For whatever reason, this doesn't shock me back into control. **February 2018 AIC: 10.5** My fasting BG on the morning of my AIC test was 251. OK. Now we gotta be real. 
February 19th, I start a serious diet/cleanse. I feel the same shitty way I felt during the first month after diagnosis. Constant headaches from the sugar detox, actively and consciously having to tell myself *NO* with every meal.  The struggle is real when you go on basically a cold-turkey sugar detox after levels like mine. Very similar to drug withdrawal symptoms. Thankfully, just like after diagnosis, these headaches and sugar detox side effects subside after about 2 weeks.
**March 18 2018 A1C: 9.1** Great. We are making some progress. But this was really soon for another A1C test, so maybe it's high because it's still tainted with pre-February 19th poor decisions. This seems especially likely because my Fasting BG on this test is 137 (in line with 6.4 A1C)!! Historically, if I chart my fasting BG on the day of my A1Cs, I am always spot on with the conversion chart in terms of FBG:A1C. GOTTA KEEP IT GOING! 
**TL;DR: Diagnosed in 2015 as T2 with A1C 12.3. Got it down to 5.6 in the immediate months following. Had cancer a year later and required chemo which meant 6 months of misery. Felt better and then went off the rails, A1C back to 10.5. Started new diet at that point in the last 2 months and looking for some motivation to keep going. It's so hard not eating the things I want to eat and having to build up the will power. Making better choices and losing weight is motivating, but only to a point (especially when the weight loss starts to plateau - down 12 pounds in 8 weeks but now it's obviously slowing)! How do you all keep yourselves motivated in between tests if you've started slipping?**
</t>
        </is>
      </c>
      <c r="D4649" t="n">
        <v>5</v>
      </c>
      <c r="E4649" t="n">
        <v>9</v>
      </c>
      <c r="F4649">
        <f>HYPERLINK("https://www.reddit.com/r/diabetes/comments/8cwjok/on_a_roller_coastercould_use_some_motivation/")</f>
        <v/>
      </c>
      <c r="G4649" t="inlineStr">
        <is>
          <t>2018-04-17 06:33:32</t>
        </is>
      </c>
      <c r="H4649" t="inlineStr">
        <is>
          <t>Type 2</t>
        </is>
      </c>
    </row>
    <row r="4650">
      <c r="A4650" t="inlineStr">
        <is>
          <t>8cx1zn</t>
        </is>
      </c>
      <c r="B4650" t="inlineStr">
        <is>
          <t>Diagnosed with Type 1 diabetes today</t>
        </is>
      </c>
      <c r="C4650" t="inlineStr">
        <is>
          <t>Hi,
I was diagnosed with type 1 diabetes today and I’m not sure how to feel about it yet. I was wondering does anyone have any tips on how to deal post diagnosis (e.g. things you didn’t know before, any good resources etc.)?
Thanks!</t>
        </is>
      </c>
      <c r="D4650" t="n">
        <v>6</v>
      </c>
      <c r="E4650" t="n">
        <v>28</v>
      </c>
      <c r="F4650">
        <f>HYPERLINK("https://www.reddit.com/r/diabetes/comments/8cx1zn/diagnosed_with_type_1_diabetes_today/")</f>
        <v/>
      </c>
      <c r="G4650" t="inlineStr">
        <is>
          <t>2018-04-17 07:45:00</t>
        </is>
      </c>
      <c r="H4650" t="inlineStr">
        <is>
          <t>Type 1</t>
        </is>
      </c>
    </row>
    <row r="4651">
      <c r="A4651" t="inlineStr">
        <is>
          <t>8cx3xo</t>
        </is>
      </c>
      <c r="B4651" t="inlineStr">
        <is>
          <t>Dawn Phenomenon Blues.</t>
        </is>
      </c>
      <c r="C4651" t="inlineStr">
        <is>
          <t>Ugh. I went to bed at 129. I hadn't had any carbs in the previous two hours (just two pickles). And now I've just woken up super thirsty, feeling like hell, and that just* off* feeling you have when you're super high - like I have the flu and I'm dehydrated and my skin's too tight and dry.
Check my blood sugar and it's 560. 
I'll be over here slamming insulin and whining. Thanks for listening.</t>
        </is>
      </c>
      <c r="D4651" t="n">
        <v>6</v>
      </c>
      <c r="E4651" t="n">
        <v>10</v>
      </c>
      <c r="F4651">
        <f>HYPERLINK("https://www.reddit.com/r/diabetes/comments/8cx3xo/dawn_phenomenon_blues/")</f>
        <v/>
      </c>
      <c r="G4651" t="inlineStr">
        <is>
          <t>2018-04-17 07:52:15</t>
        </is>
      </c>
      <c r="H4651" t="inlineStr">
        <is>
          <t>Type 1</t>
        </is>
      </c>
    </row>
    <row r="4652">
      <c r="A4652" t="inlineStr">
        <is>
          <t>8cxltt</t>
        </is>
      </c>
      <c r="B4652" t="inlineStr">
        <is>
          <t>Job with U.S. postal</t>
        </is>
      </c>
      <c r="C4652" t="inlineStr">
        <is>
          <t>T1 Getting dropped from my parents insurance next year and looking to get into us postal for the benefits. I'm going for the on site exam this Saturday and hoping everything works out well. Anyone know of any complications with getting hired by them for having diabetes? Anything I should know about to make the process easier? Any advice helps as ive tried to get into the county a few years ago and was turned down because they wanted 6 years of blood work that ended up not meeting their requirements for hire and I'm worried the same thing is going to happen</t>
        </is>
      </c>
      <c r="D4652" t="n">
        <v>6</v>
      </c>
      <c r="E4652" t="n">
        <v>9</v>
      </c>
      <c r="F4652">
        <f>HYPERLINK("https://www.reddit.com/r/diabetes/comments/8cxltt/job_with_us_postal/")</f>
        <v/>
      </c>
      <c r="G4652" t="inlineStr">
        <is>
          <t>2018-04-17 08:55:40</t>
        </is>
      </c>
      <c r="H4652" t="inlineStr">
        <is>
          <t>Type 1</t>
        </is>
      </c>
    </row>
    <row r="4653">
      <c r="A4653" t="inlineStr">
        <is>
          <t>8d15cl</t>
        </is>
      </c>
      <c r="B4653" t="inlineStr">
        <is>
          <t>Highs then lows after pump site change</t>
        </is>
      </c>
      <c r="C4653" t="inlineStr">
        <is>
          <t>So I know Medtronic recently had a recal for pump infusion sets, where they were causing high sugars followed by lows after a site change. I feel like that happens a lot though still after changes. Anyone else? Currently really frustrated because I can't get my numbers to stay up after an afternoon of highs. I changed my pump site around lunch time.</t>
        </is>
      </c>
      <c r="D4653" t="n">
        <v>1</v>
      </c>
      <c r="E4653" t="n">
        <v>2</v>
      </c>
      <c r="F4653">
        <f>HYPERLINK("https://www.reddit.com/r/diabetes/comments/8d15cl/highs_then_lows_after_pump_site_change/")</f>
        <v/>
      </c>
      <c r="G4653" t="inlineStr">
        <is>
          <t>2018-04-17 16:39:02</t>
        </is>
      </c>
      <c r="H4653" t="inlineStr">
        <is>
          <t>Type 1</t>
        </is>
      </c>
    </row>
    <row r="4654">
      <c r="A4654" t="inlineStr">
        <is>
          <t>8d29v2</t>
        </is>
      </c>
      <c r="B4654" t="inlineStr">
        <is>
          <t>403 blood sugar?</t>
        </is>
      </c>
      <c r="C4654" t="inlineStr">
        <is>
          <t xml:space="preserve">Hello! Very recent and sadly young Diabetic here (22, found out I'm diabetic back in December) 
I kind of let myself go in march, and stopped checking my sugar daily. I would check every other day, and the highest numbers I'd see were nearing 300. The times I saw my numbers this high were after pigging out on a stir fry, and when a relative held a cookout the other day. (Separate days of course!) 
Yesterday I picked up some bad stuff I know I shouldn't eat, but used to eat / drink all the time. Hot Cheetos, and Brisk Iced tea. I had a small glass of tea, and I separated the cheetos into 3 zip lock bags. I had one zip lock bag yesterday, and one today. (Note I havn't had these things in a while! Early March / February at least) 
Anyways, I wasn't really paying attention to what I was eating today. I may have had two bowls of cereal (Honey Bunches of Oats) I had a relatively small breakfast this morning. (1 egg, 1 toast, some bacon, and 2 small pancakes(bad idea i know!)) 
and again, the small glass of tea and ziplock bag full'a hot cheetos. 
Ah, at lunch I had a chicken thigh, grilled, a side of green beans, and a baked potato (with skin). 
And again, I don't remember if I had one or two bowls of cereal today. I just wasn't paying attention.
When I checked my sugar at around 8:00 PM, it was 403. This was the highest I've ever seen it, and I for the life of me can't remember if I took my Metformin this morning. I take one of these daily, in the morning. They are 500MG. 
I'm not quite sure what to do, so any and all advice would be appreciated! (I would prefer to keep this a secret from my doctor! I wasn't supposed to let myself go back in March, and was supposed to keep up this routine of moderate excercize + cutting back on food. Although I doubt I'll be able to keep this a secret since he'll probably check my A1C when I see him next month. </t>
        </is>
      </c>
      <c r="D4654" t="n">
        <v>1</v>
      </c>
      <c r="E4654" t="n">
        <v>18</v>
      </c>
      <c r="F4654">
        <f>HYPERLINK("https://www.reddit.com/r/diabetes/comments/8d29v2/403_blood_sugar/")</f>
        <v/>
      </c>
      <c r="G4654" t="inlineStr">
        <is>
          <t>2018-04-17 19:29:07</t>
        </is>
      </c>
      <c r="H4654" t="inlineStr">
        <is>
          <t>Type 2</t>
        </is>
      </c>
    </row>
    <row r="4655">
      <c r="A4655" t="inlineStr">
        <is>
          <t>8d2dh4</t>
        </is>
      </c>
      <c r="B4655" t="inlineStr">
        <is>
          <t>What are your hypo symptoms</t>
        </is>
      </c>
      <c r="C4655" t="inlineStr">
        <is>
          <t>Mine include:
Complete un quenchable hunger,
Spaces out like I smoked a fat ol' blunt,
Coldness,
Mild headaches or head tightening,
Irritability,
Emotional sensitivity,
No concentration,
Loss of inhibitions,
Mild nausea,
Paleness,
Drowsy,
Confusion,
Farting,
Stomach grumbles.
And everything taste so damn good...
What about you?</t>
        </is>
      </c>
      <c r="D4655" t="n">
        <v>11</v>
      </c>
      <c r="E4655" t="n">
        <v>26</v>
      </c>
      <c r="F4655">
        <f>HYPERLINK("https://www.reddit.com/r/diabetes/comments/8d2dh4/what_are_your_hypo_symptoms/")</f>
        <v/>
      </c>
      <c r="G4655" t="inlineStr">
        <is>
          <t>2018-04-17 19:45:19</t>
        </is>
      </c>
      <c r="H4655" t="inlineStr">
        <is>
          <t>Type 1</t>
        </is>
      </c>
    </row>
    <row r="4656">
      <c r="A4656" t="inlineStr">
        <is>
          <t>8d2gld</t>
        </is>
      </c>
      <c r="B4656" t="inlineStr">
        <is>
          <t>Father started Metformin and has chronic bowl movements.</t>
        </is>
      </c>
      <c r="C4656" t="inlineStr">
        <is>
          <t>Father was prescribed metformin a long time ago, but stopped picking up the prescriptions at some point saying it wasn't helping his type 2 diabetes. He went in to get some results and A1Cs were really high. They talked and he agreed to go back on metformin along with taking some new drugs. However, my father was hypoglycemic on friday, which we caught and got his levels back to normal, but even with taking the metformin and insulin and checking his sugars several times a day, his sugars either spike high or low. On top of all of this he has a constant stomach ache and anything he eats, he passes right through. He's been miserable for the last week, and even taking imodium and gas relief medication isn't providing him any quality of life improvements. Any suggestions on to help? We see his GP tomorrow and going to ask for extended release to see if that helps him. Cause as of right now, he's eaten about 1 small meal once a day because of this, and he already has a hard time getting up by himself to make it to the bathroom (he's 67, a big guy, and has bad knees).
EDIT: I should mention that when he spikes its closer to low 200's and when it drops its in the 60's. He complained so much that I've asked if I can take him to the hospital but he refuses to go. After looking up metformin and what it does to people, I'm just trying to help him find relief.</t>
        </is>
      </c>
      <c r="D4656" t="n">
        <v>8</v>
      </c>
      <c r="E4656" t="n">
        <v>34</v>
      </c>
      <c r="F4656">
        <f>HYPERLINK("https://www.reddit.com/r/diabetes/comments/8d2gld/father_started_metformin_and_has_chronic_bowl/")</f>
        <v/>
      </c>
      <c r="G4656" t="inlineStr">
        <is>
          <t>2018-04-17 19:59:42</t>
        </is>
      </c>
      <c r="H4656" t="inlineStr">
        <is>
          <t>Type 2</t>
        </is>
      </c>
    </row>
    <row r="4657">
      <c r="A4657" t="inlineStr">
        <is>
          <t>8d2zmp</t>
        </is>
      </c>
      <c r="B4657" t="inlineStr">
        <is>
          <t>[VENT][RANT] F*#k Buffalo Wild Wings</t>
        </is>
      </c>
      <c r="C4657" t="inlineStr">
        <is>
          <t>**Story Time - aka the vent/rant**
TLDR at the bottom.
So today before heading home from work my wife calls and says she isn't feeling well and asks if I can pick up some Buffalo Wild Wings (BWW) for dinner on the way home as that's what the kids want.  So she calls in the order, and as it is Tuesday it is buy one, get one free, for orders of boneless wings.  So she orders 2 medium orders of wings along with sides, etc. and I pick them up  and head home.  As I'm driving home, which is ~15-20 minutes from the restaurant, I bolus for 100 grams of carbs so I can eat with my family when I get home.
I'm sure most of you can guess what happened when I got home.  Because of the amount of food ordered everything looked like it was there in the bag when I left the restaurant, but they only gave us 1 order of boneless wings instead of 2.  So since the kids wanted wings and this was their idea I decided to suck it up and go without and instead just have some of the wedges we got.  So now I'm sitting here watching my sugar drop, not really wanting to or feeling like eating anything else, nor do I feel like downing a bunch of glucose tabs or drinking a bunch of soda.  But I'm going to have to. Just so I don't die.
So to that I say fuck this. I'll do it because I have to, and so that I can survive, but seriously, fuck this disease, and fuck Buffalo Wild Wings for forgetting my food and making an already shitty day even worse.
**TLDR**: Picked up wings on my way home, bolused for the food I had planned to eat while driving home, got home and didn't have food to eat because BWW didn't put it in the bag and it looked like it was all there when I picked it up. I'm pissed and this sucks.
**Notes**:
* I didn't go back and get the missing wings b/c by the time I would have gotten home with them it would have been over an hour since I bolused and I don't want to pass out or have a major low while driving so that was out of the question.
* My wife didn't go to get them because it isn't safe for her to drive due to the medicine she had taken earlier in the evening.
* Yes, I should have checked that the food was all there but because we had multiple orders of wings, sides, etc it looked like it was all there, and apparently BWW didn't check it either before giving me the food.
* Yes, I could have waited to bolus until I had gotten home but by the time I was done waiting on the insulin plus the drive time the food would have been cold, plus I wanted to eat with my family upon arriving home with the food.
* I called the store and one of the managers said they'd open the check back up and adjust it so that I didn't have to pay for the food I didn't get.  We'll see how that turns out but I'm still not happy about the situation, but at least for the time being it seems like they're doing the bare minimum that they should to fix this.</t>
        </is>
      </c>
      <c r="D4657" t="n">
        <v>2</v>
      </c>
      <c r="E4657" t="n">
        <v>7</v>
      </c>
      <c r="F4657">
        <f>HYPERLINK("https://www.reddit.com/r/diabetes/comments/8d2zmp/ventrant_fk_buffalo_wild_wings/")</f>
        <v/>
      </c>
      <c r="G4657" t="inlineStr">
        <is>
          <t>2018-04-17 21:33:21</t>
        </is>
      </c>
      <c r="H4657" t="inlineStr">
        <is>
          <t>Type 1</t>
        </is>
      </c>
    </row>
    <row r="4658">
      <c r="A4658" t="inlineStr">
        <is>
          <t>8d4epl</t>
        </is>
      </c>
      <c r="B4658" t="inlineStr">
        <is>
          <t>Just found out my A1C is 6,3%!</t>
        </is>
      </c>
      <c r="C4658" t="inlineStr">
        <is>
          <t>Is this good or bad? Diagnosed at 12% about 3 months ago... I feel like I should be under 6%, because most of you people are! :(</t>
        </is>
      </c>
      <c r="D4658" t="n">
        <v>50</v>
      </c>
      <c r="E4658" t="n">
        <v>31</v>
      </c>
      <c r="F4658">
        <f>HYPERLINK("https://www.reddit.com/r/diabetes/comments/8d4epl/just_found_out_my_a1c_is_63/")</f>
        <v/>
      </c>
      <c r="G4658" t="inlineStr">
        <is>
          <t>2018-04-18 02:45:01</t>
        </is>
      </c>
      <c r="H4658" t="inlineStr">
        <is>
          <t>Type 1</t>
        </is>
      </c>
    </row>
    <row r="4659">
      <c r="A4659" t="inlineStr">
        <is>
          <t>8d7006</t>
        </is>
      </c>
      <c r="B4659" t="inlineStr">
        <is>
          <t>Is my doctor being too aggressive?</t>
        </is>
      </c>
      <c r="C4659" t="inlineStr">
        <is>
          <t>Hey everyone. Brand new to the sub.
I was diagnosed T2 back in January with an A1C of 11%. Doc prescribed Metformin, Actos, and Bydureon bcise. Turned my diet upside-down and started CrossFit 5 days a week. I'm down 45 lbs, right where I should be (I just need to work on my body fat ratio). Overall, I'm feeling pretty good.
I went for a check up last week and my doctor doubled my Metformin to 1000mg twice daily and added Farxiga. I haven't had my A1C checked since January (appointment is next week), so I don't know for sure, but my numbers have been low to mid 100s pretty consistently.
I know we're trying to kick diabetes' ass, but I was expecting to drop some medicine, not add some.</t>
        </is>
      </c>
      <c r="D4659" t="n">
        <v>3</v>
      </c>
      <c r="E4659" t="n">
        <v>9</v>
      </c>
      <c r="F4659">
        <f>HYPERLINK("https://www.reddit.com/r/diabetes/comments/8d7006/is_my_doctor_being_too_aggressive/")</f>
        <v/>
      </c>
      <c r="G4659" t="inlineStr">
        <is>
          <t>2018-04-18 09:32:20</t>
        </is>
      </c>
      <c r="H4659" t="inlineStr">
        <is>
          <t>Type 2</t>
        </is>
      </c>
    </row>
    <row r="4660">
      <c r="A4660" t="inlineStr">
        <is>
          <t>8d7201</t>
        </is>
      </c>
      <c r="B4660" t="inlineStr">
        <is>
          <t>Math equation for counting carbs/insulin?</t>
        </is>
      </c>
      <c r="C4660" t="inlineStr">
        <is>
          <t>I'm wondering what the simple math equation would be to quickly determine how much insulin to take.  I want to take 1.5 units of insulin for every 10 grams of carbs.   I don't use a pump, just manual injections.  Is there a simple math equation I could use to quickly determine how much insulin to take using the number of carbs I am eating?  Sorry I'm bad at math.</t>
        </is>
      </c>
      <c r="D4660" t="n">
        <v>1</v>
      </c>
      <c r="E4660" t="n">
        <v>11</v>
      </c>
      <c r="F4660">
        <f>HYPERLINK("https://www.reddit.com/r/diabetes/comments/8d7201/math_equation_for_counting_carbsinsulin/")</f>
        <v/>
      </c>
      <c r="G4660" t="inlineStr">
        <is>
          <t>2018-04-18 09:39:19</t>
        </is>
      </c>
      <c r="H4660" t="inlineStr">
        <is>
          <t>Type 1</t>
        </is>
      </c>
    </row>
    <row r="4661">
      <c r="A4661" t="inlineStr">
        <is>
          <t>8d76xk</t>
        </is>
      </c>
      <c r="B4661" t="inlineStr">
        <is>
          <t>How long did it take insulin to work for you?</t>
        </is>
      </c>
      <c r="C4661" t="inlineStr">
        <is>
          <t>How quickly after you started taking insulin for the first time, did your blood sugar start to drop? Mine had dropped within an hour (carrying on steadily across the day) and I was wondering what other people’s experiences were</t>
        </is>
      </c>
      <c r="D4661" t="n">
        <v>3</v>
      </c>
      <c r="E4661" t="n">
        <v>8</v>
      </c>
      <c r="F4661">
        <f>HYPERLINK("https://www.reddit.com/r/diabetes/comments/8d76xk/how_long_did_it_take_insulin_to_work_for_you/")</f>
        <v/>
      </c>
      <c r="G4661" t="inlineStr">
        <is>
          <t>2018-04-18 09:56:41</t>
        </is>
      </c>
      <c r="H4661" t="inlineStr">
        <is>
          <t>Type 1</t>
        </is>
      </c>
    </row>
    <row r="4662">
      <c r="A4662" t="inlineStr">
        <is>
          <t>8d7n79</t>
        </is>
      </c>
      <c r="B4662" t="inlineStr">
        <is>
          <t>Every time I workout, it is like my insulin resistance is hit by a sledgehammer.</t>
        </is>
      </c>
      <c r="C4662" t="inlineStr">
        <is>
          <t>I do a moderately "low carb-ish" diet and work out and man, sometimes I can't go to Gym because of exams and stuff but even 1 day (normally my program is 4 days a week) a week makes my insulin resistance turn into jello, that insulin is like "2 units for a slice of bread? No problem man" and when I don't workout, it is like "2 units with nothing but eggs? Come on man I need more!" and it is like I ate easter eggs.
So yeah, work out friends, everyone should work out anyway but especially we do, lift weights, jog, use a bicycle, even 1 day a week for 1 hours is better than nothing, and it comes with the side effect of having an awesome body, along with more energy and strength.
I can share what I do if anyone is interested but it is just standard strength lifts (squat, bench, overhead, deadlift) and 10 minute HIIT after every workout.</t>
        </is>
      </c>
      <c r="D4662" t="n">
        <v>13</v>
      </c>
      <c r="E4662" t="n">
        <v>8</v>
      </c>
      <c r="F4662">
        <f>HYPERLINK("https://www.reddit.com/r/diabetes/comments/8d7n79/every_time_i_workout_it_is_like_my_insulin/")</f>
        <v/>
      </c>
      <c r="G4662" t="inlineStr">
        <is>
          <t>2018-04-18 10:51:16</t>
        </is>
      </c>
      <c r="H4662" t="inlineStr">
        <is>
          <t>Type 1</t>
        </is>
      </c>
    </row>
    <row r="4663">
      <c r="A4663" t="inlineStr">
        <is>
          <t>8d9e0i</t>
        </is>
      </c>
      <c r="B4663" t="inlineStr">
        <is>
          <t>First endocrinologist appointment - questions to ask?</t>
        </is>
      </c>
      <c r="C4663" t="inlineStr">
        <is>
          <t xml:space="preserve">This is my first time posting here, please let me know if I'm leaving anything out or screwed anything up!
I have an a1c of 5.7 (ranging from 4.5 to 5.7 over the past 2 years, tested 5 times), but I was diagnosed with small fiber neuropathy by way of skin biopsies in January.  My neurologist is convinced that the nerve damage is due to diabetes but my primary care doctor isn't so sure.  
I've been testing my glucose a few times a day since then and it's usually in the 80-120 range, with a few outliers in the 40-60 range, and a couple in the 130-150.  I've done multiple glucose tolerance tests - failed one at the fasting and the 2 hour point, passed one, half failed/half passed another one - failure at the 2 hour mark.  My numbers are usually higher when I wake up than before I go to sleep.
For the past month I've been prescribed the BCise Bydureon weekly injectable pen.  It hasn't seemed to do much other than make me nauseous, my numbers are pretty much the same, with a couple more random lows thrown in.  
I finally have my first endocrinologist appointment later this week.  If you were me are there any questions you would ask?  Any info I should bring other than my glucose meter?  
I'm concerned because my primary doctor and a few others have questioned whether my numbers are sufficient to have caused the extent of nerve damage that I have, so if diabetes isn't the cause then I want to be able to move on to figure out what is causing it.  On the other hand, I did fail glucose tolerance testing and maybe I'm just having a hard time accepting it.  Bottom line, I want to stop any progression of the nerve damage in my hands and feet.  Any advice would be very appreciated!  </t>
        </is>
      </c>
      <c r="D4663" t="n">
        <v>3</v>
      </c>
      <c r="E4663" t="n">
        <v>6</v>
      </c>
      <c r="F4663">
        <f>HYPERLINK("https://www.reddit.com/r/diabetes/comments/8d9e0i/first_endocrinologist_appointment_questions_to_ask/")</f>
        <v/>
      </c>
      <c r="G4663" t="inlineStr">
        <is>
          <t>2018-04-18 14:34:23</t>
        </is>
      </c>
      <c r="H4663" t="inlineStr">
        <is>
          <t>Type 2</t>
        </is>
      </c>
    </row>
    <row r="4664">
      <c r="A4664" t="inlineStr">
        <is>
          <t>8dati7</t>
        </is>
      </c>
      <c r="B4664" t="inlineStr">
        <is>
          <t>Looking for fellow Type 1 Diabetics for Podcast show</t>
        </is>
      </c>
      <c r="C4664" t="inlineStr">
        <is>
          <t xml:space="preserve">Howdy,
So I've been living with Type 1 Diabetes since being diagnosed at age 5 in 1999. I'm looking to start a new podcast show about Type 1 diabetes in a couple months and am looking for some people who may be interested in one way or another. 
One of the purposes of my show is for the show to be for Type 1 Diabetics and produced by Type 1 Diabetics, so I am looking for Type 1 Diabetics that are the following: 
Graphic Designers,
Musicians,
Type 1 Diabetics living in Florida,
Type 1 Diabetics that are parents to a child with Type 1 Diabetes,
anyone with a Y2K-Diabetes related story,
and Dia-bad asses (anyone else who is interested in my show and wants to be a guest, advertise, or get involved)
</t>
        </is>
      </c>
      <c r="D4664" t="n">
        <v>4</v>
      </c>
      <c r="E4664" t="n">
        <v>4</v>
      </c>
      <c r="F4664">
        <f>HYPERLINK("https://www.reddit.com/r/diabetes/comments/8dati7/looking_for_fellow_type_1_diabetics_for_podcast/")</f>
        <v/>
      </c>
      <c r="G4664" t="inlineStr">
        <is>
          <t>2018-04-18 18:03:00</t>
        </is>
      </c>
      <c r="H4664" t="inlineStr">
        <is>
          <t>Type 1</t>
        </is>
      </c>
    </row>
    <row r="4665">
      <c r="A4665" t="inlineStr">
        <is>
          <t>8dba81</t>
        </is>
      </c>
      <c r="B4665" t="inlineStr">
        <is>
          <t>Living with Diabetes</t>
        </is>
      </c>
      <c r="C4665" t="inlineStr">
        <is>
          <t>So, long story short, I was diagnosed with T1D almost 4 years ago at the tender age of 22. Clearly I was a bit of a late bloomer. I’m 26 now, married, steady job, just bought a house, but I still find myself sinking in to some bad depressions about having T1D. I don’t wanna feel sorry for myself or anything, but I can’t help it. No one in my life has this or anything at all, so it’s hard for them to understand where I’m coming from or what it takes to maintain a healthy life.
Has anyone else had this or still deal with it? I feel like a lot of it comes from being diagnosed at a later age and having nothing but clean bills of health up until that point; just a huge lifestyle change. I highly doubt I’m alone on this. I just wanna know how the community at large has gone about chipping up and getting out of these ruts.
Thanks guys.</t>
        </is>
      </c>
      <c r="D4665" t="n">
        <v>5</v>
      </c>
      <c r="E4665" t="n">
        <v>20</v>
      </c>
      <c r="F4665">
        <f>HYPERLINK("https://www.reddit.com/r/diabetes/comments/8dba81/living_with_diabetes/")</f>
        <v/>
      </c>
      <c r="G4665" t="inlineStr">
        <is>
          <t>2018-04-18 19:17:00</t>
        </is>
      </c>
      <c r="H4665" t="inlineStr">
        <is>
          <t>Type 1</t>
        </is>
      </c>
    </row>
    <row r="4666">
      <c r="A4666" t="inlineStr">
        <is>
          <t>8dbarz</t>
        </is>
      </c>
      <c r="B4666" t="inlineStr">
        <is>
          <t>After 4 months of owning my pump...</t>
        </is>
      </c>
      <c r="C4666" t="inlineStr">
        <is>
          <t xml:space="preserve">...I still cringe greatly when I have to staple my new cannula in. 
But really though, I brought my A1C from ~13.0 to 7.6, so I’m proud of that. </t>
        </is>
      </c>
      <c r="D4666" t="n">
        <v>13</v>
      </c>
      <c r="E4666" t="n">
        <v>19</v>
      </c>
      <c r="F4666">
        <f>HYPERLINK("https://www.reddit.com/r/diabetes/comments/8dbarz/after_4_months_of_owning_my_pump/")</f>
        <v/>
      </c>
      <c r="G4666" t="inlineStr">
        <is>
          <t>2018-04-18 19:19:22</t>
        </is>
      </c>
      <c r="H4666" t="inlineStr">
        <is>
          <t>Type 1</t>
        </is>
      </c>
    </row>
    <row r="4667">
      <c r="A4667" t="inlineStr">
        <is>
          <t>8dbo3b</t>
        </is>
      </c>
      <c r="B4667" t="inlineStr">
        <is>
          <t>A1C</t>
        </is>
      </c>
      <c r="C4667" t="inlineStr">
        <is>
          <t xml:space="preserve">Hey guys, I know there is a lot of post of A1C numbers but I just got back my first A1C since diagnosed and I brought my 12.0 to a 6.8!
I do not have a CGM yet (getting one sone) so hopefully that will bring it down even more! Thank you everyone in this sub for all their advice. </t>
        </is>
      </c>
      <c r="D4667" t="n">
        <v>28</v>
      </c>
      <c r="E4667" t="n">
        <v>7</v>
      </c>
      <c r="F4667">
        <f>HYPERLINK("https://www.reddit.com/r/diabetes/comments/8dbo3b/a1c/")</f>
        <v/>
      </c>
      <c r="G4667" t="inlineStr">
        <is>
          <t>2018-04-18 20:20:55</t>
        </is>
      </c>
      <c r="H4667" t="inlineStr">
        <is>
          <t>Type 1</t>
        </is>
      </c>
    </row>
    <row r="4668">
      <c r="A4668" t="inlineStr">
        <is>
          <t>8dbxbw</t>
        </is>
      </c>
      <c r="B4668" t="inlineStr">
        <is>
          <t>Halle Berry at 51 [x-post r/pics]</t>
        </is>
      </c>
      <c r="C4668" t="inlineStr">
        <is>
          <t>https://www.reddit.com/r/pics/comments/8dacbg/halle_berry_at_51/</t>
        </is>
      </c>
      <c r="D4668" t="n">
        <v>0</v>
      </c>
      <c r="E4668" t="n">
        <v>5</v>
      </c>
      <c r="F4668">
        <f>HYPERLINK("https://www.reddit.com/r/diabetes/comments/8dbxbw/halle_berry_at_51_xpost_rpics/")</f>
        <v/>
      </c>
      <c r="G4668" t="inlineStr">
        <is>
          <t>2018-04-18 21:06:37</t>
        </is>
      </c>
      <c r="H4668" t="inlineStr">
        <is>
          <t>Type 1</t>
        </is>
      </c>
    </row>
    <row r="4669">
      <c r="A4669" t="inlineStr">
        <is>
          <t>8dcflu</t>
        </is>
      </c>
      <c r="B4669" t="inlineStr">
        <is>
          <t>Medical Design Challenge - Need advice!</t>
        </is>
      </c>
      <c r="C4669" t="inlineStr">
        <is>
          <t>Hello fellow redditors, I am an industrial design student (23F) in Long Beach, CA and I am just starting my final project for my Junior year in college which is specifically geared towards creating a product that will help people with Type 2 Diabetes in low-income countries.
I was born and raised in Mexico and moved to California 6 years ago, so I would love to hear thoughts from people with type 2 diabetes in Latin America which is the region that I have decided to focus on. I want to know your struggles in maintaining a healthy diet and exercise routine based on your culture and upbringing (health, and wellness). I would also like to know if any of you are practicing any holistic medicine as well as OR instead of your regular diabetes medication.
Please tell me anything that you think might be helpful for me to understand better the struggles you or your family face day to day. I want to help come up with an innovative and low-cost product to bring to the communities with the least amount of opportunities and resources. Many people in my family and the small town in Mexico where my parents were born live in extreme poverty and have no options or money to treat this illness. I want to help change this.
Feel free to reply in Spanish if any of you are Latinxs, I'd be happy to read your replies as well! Thanks for reading and I hope we can collaborate to make something great!</t>
        </is>
      </c>
      <c r="D4669" t="n">
        <v>0</v>
      </c>
      <c r="E4669" t="n">
        <v>8</v>
      </c>
      <c r="F4669">
        <f>HYPERLINK("https://www.reddit.com/r/diabetes/comments/8dcflu/medical_design_challenge_need_advice/")</f>
        <v/>
      </c>
      <c r="G4669" t="inlineStr">
        <is>
          <t>2018-04-18 22:44:22</t>
        </is>
      </c>
      <c r="H4669" t="inlineStr">
        <is>
          <t>Type 2</t>
        </is>
      </c>
    </row>
    <row r="4670">
      <c r="A4670" t="inlineStr">
        <is>
          <t>8deh3b</t>
        </is>
      </c>
      <c r="B4670" t="inlineStr">
        <is>
          <t>Had to stop exercising last night cuz I went low.</t>
        </is>
      </c>
      <c r="C4670" t="inlineStr">
        <is>
          <t xml:space="preserve">I tried to fit in an exercise before bed. Thinking “it yoga so I’d be fine”. Apparently this yoga video was super intense and too intense for my poor blood sugars. Had to stop halfway through and find some carbs. I couldn’t finish because it was getting too close to bed time and I can eat right before bed so the low and eating didn’t really help with that situation. Oh well. Next time I’ll exercise during the day. And I’ll avoid all that or just do a chilled out yoga video? </t>
        </is>
      </c>
      <c r="D4670" t="n">
        <v>16</v>
      </c>
      <c r="E4670" t="n">
        <v>34</v>
      </c>
      <c r="F4670">
        <f>HYPERLINK("https://www.reddit.com/r/diabetes/comments/8deh3b/had_to_stop_exercising_last_night_cuz_i_went_low/")</f>
        <v/>
      </c>
      <c r="G4670" t="inlineStr">
        <is>
          <t>2018-04-19 06:05:02</t>
        </is>
      </c>
      <c r="H4670" t="inlineStr">
        <is>
          <t>Type 1</t>
        </is>
      </c>
    </row>
    <row r="4671">
      <c r="A4671" t="inlineStr">
        <is>
          <t>8dh2wq</t>
        </is>
      </c>
      <c r="B4671" t="inlineStr">
        <is>
          <t>How does cardio effect BG for a Type 2?</t>
        </is>
      </c>
      <c r="C4671" t="inlineStr">
        <is>
          <t>I'm not much out-of-shape, but I am a little over my optimal weight. (5' 7", 160lb.)
The problem I'v had in the past is just lazyness. I just don't enjoy exercise. Typically, my answer to this would be to just eat less and maintain a stricter diet. This worked, but on days that I did hit the gym, it would end with me not really knowing how it would effect my BG. (Which would lead to testing quite a lot, which would lead to less trips to the gym.)
I recently bought a VR headset, and aside from soreness after the first few days, [BoxVR](https://www.youtube.com/watch?v=WlENzC4UNnY) seems to be a go-to daily game for me.
My shoulders are killing me due to the fact that I'm actually keeping proper form and putting all of my weight behind most on my punches, but it's honestly the most fun I've had with a rhythm game in quite a while.
According to my fitbit, BoxVR burns about 700 calories per hour of gameplay, and gets my heart beating at about 120-140BPM once I really get going. Due to this, my BG has been absolutly astonishing. I'm seeing a fasting of 70 and after meal tests (Average of less than 10g carbs per meal) of 100 or less. I almost couldn't believe it and thought my meter was giving me false readings, but I used a friend's meter and it gave me the same reading.
If I keep this up, should I expect to keep these great numbers going, or will my body soon adapt to the extra activity and go back to the numbers I'm used to seeing? Should I be worried about going low? (Never seen a low under 64 before.)</t>
        </is>
      </c>
      <c r="D4671" t="n">
        <v>2</v>
      </c>
      <c r="E4671" t="n">
        <v>7</v>
      </c>
      <c r="F4671">
        <f>HYPERLINK("https://www.reddit.com/r/diabetes/comments/8dh2wq/how_does_cardio_effect_bg_for_a_type_2/")</f>
        <v/>
      </c>
      <c r="G4671" t="inlineStr">
        <is>
          <t>2018-04-19 11:49:58</t>
        </is>
      </c>
      <c r="H4671" t="inlineStr">
        <is>
          <t>Type 2</t>
        </is>
      </c>
    </row>
    <row r="4672">
      <c r="A4672" t="inlineStr">
        <is>
          <t>8di479</t>
        </is>
      </c>
      <c r="B4672" t="inlineStr">
        <is>
          <t>Putting Type 1/2 diabetes into remission</t>
        </is>
      </c>
      <c r="C4672" t="inlineStr">
        <is>
          <t xml:space="preserve">I know what you're gonna say, but hear me out on this.
Disclaimer: I do not have antibodies against my pancreatic beta cells, yet presented with classic signs of T1 diabetes (DKA, glucose &amp;gt;600, minuscule c-peptide), and I'm only a few months into my diagnosis, so this may not pertain to the vast majority of you, but maybe it will. Who knows. Take it for what it is.
What is you could naturally regenerate your beta cells? There's evidence that people, specifically those under 30, [do](http://europepmc.org/articles/PMC3050099/). 
At the same time, the ADA guidelines for "good" blood glucose control are not actually good, and that what is considered "good" by many is actually [killing your beta cells](https://link.springer.com/article/10.1007%2Fs00125-003-1263-9?LI=true) (&amp;gt;100 mg 2 hours post-prandial showed beta cell dysfunction)
and that [beta cells die off in people whose fasting blood glucose is over 110](http://diabetes.diabetesjournals.org/content/52/1/102.full), a number considered "good" control. 
So, I'm trying my best to keep my blood sugar under 100, and succeeding, in order to hopefully recover beta cell function. I may just be entering my honeymoon period, but my blood glucose has steadily ranged from 70-100 in the past week with 6 units of insulin total per day, and likely to be dropping. I don't know how this experiment will go, but I'll try to keep this sub updated, whether failure or success. </t>
        </is>
      </c>
      <c r="D4672" t="n">
        <v>0</v>
      </c>
      <c r="E4672" t="n">
        <v>8</v>
      </c>
      <c r="F4672">
        <f>HYPERLINK("https://www.reddit.com/r/diabetes/comments/8di479/putting_type_12_diabetes_into_remission/")</f>
        <v/>
      </c>
      <c r="G4672" t="inlineStr">
        <is>
          <t>2018-04-19 14:01:20</t>
        </is>
      </c>
      <c r="H4672" t="inlineStr">
        <is>
          <t>Type 1</t>
        </is>
      </c>
    </row>
    <row r="4673">
      <c r="A4673" t="inlineStr">
        <is>
          <t>8dip1z</t>
        </is>
      </c>
      <c r="B4673" t="inlineStr">
        <is>
          <t>Can you put on a new Libre and not start it for a couple of hours.</t>
        </is>
      </c>
      <c r="C4673" t="inlineStr">
        <is>
          <t xml:space="preserve">My Libre sensor is going to expire in 5 hours when I’ll be out , can I put a new one on now  and just activate it when the other one expires to start the calibration period? </t>
        </is>
      </c>
      <c r="D4673" t="n">
        <v>1</v>
      </c>
      <c r="E4673" t="n">
        <v>6</v>
      </c>
      <c r="F4673">
        <f>HYPERLINK("https://www.reddit.com/r/diabetes/comments/8dip1z/can_you_put_on_a_new_libre_and_not_start_it_for_a/")</f>
        <v/>
      </c>
      <c r="G4673" t="inlineStr">
        <is>
          <t>2018-04-19 15:20:42</t>
        </is>
      </c>
      <c r="H4673" t="inlineStr">
        <is>
          <t>Type 1</t>
        </is>
      </c>
    </row>
    <row r="4674">
      <c r="A4674" t="inlineStr">
        <is>
          <t>8dj1nm</t>
        </is>
      </c>
      <c r="B4674" t="inlineStr">
        <is>
          <t>Is there a subreddit for meal planning cooking for diabetics?</t>
        </is>
      </c>
      <c r="C4674" t="inlineStr">
        <is>
          <t>My husband is diagnosed T2 and I am prediabietic on the verge of T2 diagnosis. We are both ready to get serious with managing our glucose levels.
Meal planning and cooking is one of the biggest challenges. Is there a subreddit that focuses on this?</t>
        </is>
      </c>
      <c r="D4674" t="n">
        <v>9</v>
      </c>
      <c r="E4674" t="n">
        <v>10</v>
      </c>
      <c r="F4674">
        <f>HYPERLINK("https://www.reddit.com/r/diabetes/comments/8dj1nm/is_there_a_subreddit_for_meal_planning_cooking/")</f>
        <v/>
      </c>
      <c r="G4674" t="inlineStr">
        <is>
          <t>2018-04-19 16:12:04</t>
        </is>
      </c>
      <c r="H4674" t="inlineStr">
        <is>
          <t>Type 2</t>
        </is>
      </c>
    </row>
    <row r="4675">
      <c r="A4675" t="inlineStr">
        <is>
          <t>8djhv2</t>
        </is>
      </c>
      <c r="B4675" t="inlineStr">
        <is>
          <t>Tslim question</t>
        </is>
      </c>
      <c r="C4675" t="inlineStr">
        <is>
          <t xml:space="preserve">Just starting on the tslim x2 from an animas vibe. Anyone know if there is a way to turn off the insulin on board crap that prevents you from taking more insulin (besides quick bolus)?  Also, is there really not a way to just deliver yourself a certain amount of insulin once you have carbs enabled?  These seem like huge oversights of the interface. 
Thank you! </t>
        </is>
      </c>
      <c r="D4675" t="n">
        <v>3</v>
      </c>
      <c r="E4675" t="n">
        <v>7</v>
      </c>
      <c r="F4675">
        <f>HYPERLINK("https://www.reddit.com/r/diabetes/comments/8djhv2/tslim_question/")</f>
        <v/>
      </c>
      <c r="G4675" t="inlineStr">
        <is>
          <t>2018-04-19 17:20:53</t>
        </is>
      </c>
      <c r="H4675" t="inlineStr">
        <is>
          <t>Type 1</t>
        </is>
      </c>
    </row>
    <row r="4676">
      <c r="A4676" t="inlineStr">
        <is>
          <t>8dm257</t>
        </is>
      </c>
      <c r="B4676" t="inlineStr">
        <is>
          <t>My girlfriend, Type 1, is having sharp chest pains; on the right side.</t>
        </is>
      </c>
      <c r="C4676" t="inlineStr">
        <is>
          <t>She is 20 years old, 110 lbs...
This isn’t the first time it has happened, but she gets these sharp pains on the right side of her chest that essentially put her to sleep. Her blood sugar is around 120ish... what could it be? 
Any questions we are more than welcome to answer... thanks!!!</t>
        </is>
      </c>
      <c r="D4676" t="n">
        <v>0</v>
      </c>
      <c r="E4676" t="n">
        <v>4</v>
      </c>
      <c r="F4676">
        <f>HYPERLINK("https://www.reddit.com/r/diabetes/comments/8dm257/my_girlfriend_type_1_is_having_sharp_chest_pains/")</f>
        <v/>
      </c>
      <c r="G4676" t="inlineStr">
        <is>
          <t>2018-04-20 01:27:57</t>
        </is>
      </c>
      <c r="H4676" t="inlineStr">
        <is>
          <t>Type 1</t>
        </is>
      </c>
    </row>
    <row r="4677">
      <c r="A4677" t="inlineStr">
        <is>
          <t>8dmi8y</t>
        </is>
      </c>
      <c r="B4677" t="inlineStr">
        <is>
          <t>Israel Kibbutz with T1D advice wanted...</t>
        </is>
      </c>
      <c r="C4677" t="inlineStr">
        <is>
          <t>I am currently applying to live on a Kibbutz in Israel for 5+ months and am wondering if any fellow Type 1 Diabetics have any advice and information regarding their experience of living on a Kibbutz. I'm specifically interested in advice on getting medication whilst there and how waste (needles/bloodstrips) are disposed of however, any feedback would be greatly appreciated.
I'm a UK citizen and never travelled with my Diabetes before, exciting times. Thank you in advance x</t>
        </is>
      </c>
      <c r="D4677" t="n">
        <v>1</v>
      </c>
      <c r="E4677" t="n">
        <v>0</v>
      </c>
      <c r="F4677">
        <f>HYPERLINK("https://www.reddit.com/r/diabetes/comments/8dmi8y/israel_kibbutz_with_t1d_advice_wanted/")</f>
        <v/>
      </c>
      <c r="G4677" t="inlineStr">
        <is>
          <t>2018-04-20 03:16:25</t>
        </is>
      </c>
      <c r="H4677" t="inlineStr">
        <is>
          <t>Type 1</t>
        </is>
      </c>
    </row>
    <row r="4678">
      <c r="A4678" t="inlineStr">
        <is>
          <t>8dnu9e</t>
        </is>
      </c>
      <c r="B4678" t="inlineStr">
        <is>
          <t>Functional medicine</t>
        </is>
      </c>
      <c r="C4678" t="inlineStr">
        <is>
          <t xml:space="preserve">Has anyone been through a functional medicine program? </t>
        </is>
      </c>
      <c r="D4678" t="n">
        <v>2</v>
      </c>
      <c r="E4678" t="n">
        <v>6</v>
      </c>
      <c r="F4678">
        <f>HYPERLINK("https://www.reddit.com/r/diabetes/comments/8dnu9e/functional_medicine/")</f>
        <v/>
      </c>
      <c r="G4678" t="inlineStr">
        <is>
          <t>2018-04-20 07:07:46</t>
        </is>
      </c>
      <c r="H4678" t="inlineStr">
        <is>
          <t>Type 2</t>
        </is>
      </c>
    </row>
    <row r="4679">
      <c r="A4679" t="inlineStr">
        <is>
          <t>8do9b6</t>
        </is>
      </c>
      <c r="B4679" t="inlineStr">
        <is>
          <t>Can diabetes lead to shoulder pain?</t>
        </is>
      </c>
      <c r="C4679" t="inlineStr">
        <is>
          <t>I’m 28 now, and I was diagnosed when I was 16. I’m pretty meticulous about my sugar, so, outside of my initial diagnosis, my A1C has been at 6.4 or lower. 
Luckily, I haven’t experienced any major issues due to diabetes—except for rather persistent shoulder pain that I first noticed a few years after being diagnosed. In the past, it would be more severe if my blood sugar had been a little high, but going through some shoulder exercises would typically cause it to go away. Now, though, it seems to come and go for no reason at all. 
I’ve brought it up to my endocrinologist a few times, but he’s dismissed it as nothing, saying I’m too young for diabetic frozen shoulder. To be fair, I never lose mobility in my shoulder—it’s just sometimes excruciatingly painful to move my arm. 
Has anyone else experienced this? How did you treat it? Did you notice any patterns as to what made it better worse?</t>
        </is>
      </c>
      <c r="D4679" t="n">
        <v>5</v>
      </c>
      <c r="E4679" t="n">
        <v>10</v>
      </c>
      <c r="F4679">
        <f>HYPERLINK("https://www.reddit.com/r/diabetes/comments/8do9b6/can_diabetes_lead_to_shoulder_pain/")</f>
        <v/>
      </c>
      <c r="G4679" t="inlineStr">
        <is>
          <t>2018-04-20 08:03:38</t>
        </is>
      </c>
      <c r="H4679" t="inlineStr">
        <is>
          <t>Type 1</t>
        </is>
      </c>
    </row>
    <row r="4680">
      <c r="A4680" t="inlineStr">
        <is>
          <t>8doe10</t>
        </is>
      </c>
      <c r="B4680" t="inlineStr">
        <is>
          <t>Negotiating salary due to medical costs</t>
        </is>
      </c>
      <c r="C4680" t="inlineStr">
        <is>
          <t>I just got a good job offer! But the salary is low when I take into account my medical expenses for T1.
When is it okay to ask for accommodation from HR? Specifically, I want to ask for 10% more salary because I have much higher medical costs. I went through 5 months of interviews and want the job.
Can anybody speak to this as a diabetic and/or HR. It is PA if that helps.
Super happy about the job— I’ve been uninsured for a while. Thank god for charity-based clinics.</t>
        </is>
      </c>
      <c r="D4680" t="n">
        <v>0</v>
      </c>
      <c r="E4680" t="n">
        <v>18</v>
      </c>
      <c r="F4680">
        <f>HYPERLINK("https://www.reddit.com/r/diabetes/comments/8doe10/negotiating_salary_due_to_medical_costs/")</f>
        <v/>
      </c>
      <c r="G4680" t="inlineStr">
        <is>
          <t>2018-04-20 08:20:25</t>
        </is>
      </c>
      <c r="H4680" t="inlineStr">
        <is>
          <t>Type 1</t>
        </is>
      </c>
    </row>
    <row r="4681">
      <c r="A4681" t="inlineStr">
        <is>
          <t>8dog2u</t>
        </is>
      </c>
      <c r="B4681" t="inlineStr">
        <is>
          <t>Dawn phenomenon + insulin resistance in the morning</t>
        </is>
      </c>
      <c r="C4681" t="inlineStr">
        <is>
          <t>Diagnosed as insulin resistant T1. Recently got a Freestyle Libre so I can see what my blood sugar is doing overnight. It's really frustrating because not only is my BG high all night it's subborn in the mornings too.
I'm already taking 20 units of Lantus at night and 10 units of Lantus in the morning. I'm also on metformin to help insulin resistance.
My blood sugar is healthy (100-140) when I go to sleep and around 1am starts climbing and around 4am really starts skyrocketing.
I get up at 5am and take 5u of Humalog hoping to stop the rising BG. Now that I have the libre I see this does nothing. I eat around 7am and have to take a giant bolus dose for breakfast + a correction amount which usually helps a little but my BG still hovers around 200-230 until lunch.
My insulin resistance improves by lunch and if I eat 60 carbs or less for lunch or dinner and pretty simple carbs I actually barely need any insulin at all.
Anybody have any tips how to combat dawn phenomenon/morning insulin resistance? The libre is a huge help but I'm also afraid of overtreating.</t>
        </is>
      </c>
      <c r="D4681" t="n">
        <v>7</v>
      </c>
      <c r="E4681" t="n">
        <v>13</v>
      </c>
      <c r="F4681">
        <f>HYPERLINK("https://www.reddit.com/r/diabetes/comments/8dog2u/dawn_phenomenon_insulin_resistance_in_the_morning/")</f>
        <v/>
      </c>
      <c r="G4681" t="inlineStr">
        <is>
          <t>2018-04-20 08:27:50</t>
        </is>
      </c>
      <c r="H4681" t="inlineStr">
        <is>
          <t>Type 1.5/LADA</t>
        </is>
      </c>
    </row>
    <row r="4682">
      <c r="A4682" t="inlineStr">
        <is>
          <t>8dq086</t>
        </is>
      </c>
      <c r="B4682" t="inlineStr">
        <is>
          <t>DOT Physical, and FMCSA waiver.</t>
        </is>
      </c>
      <c r="C4682" t="inlineStr">
        <is>
          <t>Hey guys, I'm a T1, about to get a driving job, hopefully. I've been googling and looking for information with little success. I will be driving a Box Truck, It will not leave the state, and I do not need a CDL. I'm from new york so there is no class C license.
My question is, I saw that it takes some people 3-6 months to get the FMCSA waiver, How do I get the process started? how difficult is it to get the waiver? where are the forms, and who do I have to see to make it happen? 
Mostly everything I'm seeing involves crossing state lines. As far as I know, I just need to pass a DOT physical, probably by a doctor appointed by the company. Can anyone give me some insight on this? I've posted on a few forums, mostly get oh it takes 3-6 months, and oh yeah if you're insulin dependent you can't get your DOT card.
I know in 2005 the laws changed, and I could potentially get my CDL if I wanted to. I'm basically just looking for some guidance. Also when is the ideal time to tell the company that you do have diabetes. If I have to wait 3-6 months I'd like to start the process so the 3-6 months seems like it takes less time. I'd like to be prepared and streamline the process as much as possible.
tldr; about to get a driving job, need diabetes exemption. Need to figure out how to get it asap.</t>
        </is>
      </c>
      <c r="D4682" t="n">
        <v>3</v>
      </c>
      <c r="E4682" t="n">
        <v>4</v>
      </c>
      <c r="F4682">
        <f>HYPERLINK("https://www.reddit.com/r/diabetes/comments/8dq086/dot_physical_and_fmcsa_waiver/")</f>
        <v/>
      </c>
      <c r="G4682" t="inlineStr">
        <is>
          <t>2018-04-20 11:49:28</t>
        </is>
      </c>
      <c r="H4682" t="inlineStr">
        <is>
          <t>Type 1</t>
        </is>
      </c>
    </row>
    <row r="4683">
      <c r="A4683" t="inlineStr">
        <is>
          <t>8dr6h2</t>
        </is>
      </c>
      <c r="B4683" t="inlineStr">
        <is>
          <t>Calibrating the 670g?</t>
        </is>
      </c>
      <c r="C4683" t="inlineStr">
        <is>
          <t>So how often are you supposed to calibrate this damn thing? The representative told me every 6 hours, but then I've heard to only do it twice a day. What is the best in your experience? Because my cgm is consistently more than 40+ off which leaves automode out of the picture most of the time or I'll have to wait until they match. Is this thing just inaccurate?</t>
        </is>
      </c>
      <c r="D4683" t="n">
        <v>2</v>
      </c>
      <c r="E4683" t="n">
        <v>5</v>
      </c>
      <c r="F4683">
        <f>HYPERLINK("https://www.reddit.com/r/diabetes/comments/8dr6h2/calibrating_the_670g/")</f>
        <v/>
      </c>
      <c r="G4683" t="inlineStr">
        <is>
          <t>2018-04-20 14:29:46</t>
        </is>
      </c>
      <c r="H4683" t="inlineStr">
        <is>
          <t>Type 1</t>
        </is>
      </c>
    </row>
    <row r="4684">
      <c r="A4684" t="inlineStr">
        <is>
          <t>8drjfv</t>
        </is>
      </c>
      <c r="B4684" t="inlineStr">
        <is>
          <t>Omnipod battery life/rechargeable batteries</t>
        </is>
      </c>
      <c r="C4684" t="inlineStr">
        <is>
          <t>Hey guys! I just got started on the Omnipod and I'm pretty pumped about it. Except my nurse said the batteries on the PDM need changing every 3 weeks or so and that just seems ridiculously annoying to me. I was wondering if any of you have used rechargeable batteries and it if works well in the PDM, or what you guys usually do to get around this. Why the PDM isn't USB chargeable escapes me. 
Also, as a new Omnipod user, I'd totally welcome tips and tricks you guys have to make this transition smoother. I'm still on my first pod and it's going alright so far but I'd love some horror or happy stories :)</t>
        </is>
      </c>
      <c r="D4684" t="n">
        <v>1</v>
      </c>
      <c r="E4684" t="n">
        <v>7</v>
      </c>
      <c r="F4684">
        <f>HYPERLINK("https://www.reddit.com/r/diabetes/comments/8drjfv/omnipod_battery_liferechargeable_batteries/")</f>
        <v/>
      </c>
      <c r="G4684" t="inlineStr">
        <is>
          <t>2018-04-20 15:21:59</t>
        </is>
      </c>
      <c r="H4684" t="inlineStr">
        <is>
          <t>Type 1</t>
        </is>
      </c>
    </row>
    <row r="4685">
      <c r="A4685" t="inlineStr">
        <is>
          <t>8dsfcc</t>
        </is>
      </c>
      <c r="B4685" t="inlineStr">
        <is>
          <t>Freestyle libre questions (type1)</t>
        </is>
      </c>
      <c r="C4685" t="inlineStr">
        <is>
          <t>I'm considering getting the libre.  I've never used a glucose monitor like this or the Dexcom  before so I don't have experience with these.  
I've watched a few videos and tried searching but I still have a few outstanding questions:
1.  Most importantly, how easily does this slip or fall off?  
2.  I lift weights 5-6x a week and relatively strong triceps at a relatively low body fat - is this going to cause problems with a 'flat surface' for the libre to sit on?   I haven't seen any videos or people who look like they lift using this so it's pretty important to me.  I don't want it to start pricking me or become undone over the course of a workout.
3.  Does anyone use this in any other locations?  Does it work well say on the side of your quads?
4.  Whats the policy when it 'doesn't stick' or pricks you?  Do they ever start squealing with some sort of error?  I use an Omnipod and whenever one of these things happen, I'm able to call and get a replacement shipped.</t>
        </is>
      </c>
      <c r="D4685" t="n">
        <v>3</v>
      </c>
      <c r="E4685" t="n">
        <v>8</v>
      </c>
      <c r="F4685">
        <f>HYPERLINK("https://www.reddit.com/r/diabetes/comments/8dsfcc/freestyle_libre_questions_type1/")</f>
        <v/>
      </c>
      <c r="G4685" t="inlineStr">
        <is>
          <t>2018-04-20 17:47:24</t>
        </is>
      </c>
      <c r="H4685" t="inlineStr">
        <is>
          <t>Type 1</t>
        </is>
      </c>
    </row>
    <row r="4686">
      <c r="A4686" t="inlineStr">
        <is>
          <t>8dvdkq</t>
        </is>
      </c>
      <c r="B4686" t="inlineStr">
        <is>
          <t>CGM research....things to come</t>
        </is>
      </c>
      <c r="C4686" t="inlineStr">
        <is>
          <t xml:space="preserve">So many advances in diabetes management over the last 20 years. Our daughter was diagnosed at 9 months and I was diagnosed 4 years ago. Both T1D, both marking life work with this disease. [Engineering a Solution for Diabetes](http://dailynexus.com/2017-05-04/engineering-a-solution-for-diabetes/) </t>
        </is>
      </c>
      <c r="D4686" t="n">
        <v>0</v>
      </c>
      <c r="E4686" t="n">
        <v>1</v>
      </c>
      <c r="F4686">
        <f>HYPERLINK("https://www.reddit.com/r/diabetes/comments/8dvdkq/cgm_researchthings_to_come/")</f>
        <v/>
      </c>
      <c r="G4686" t="inlineStr">
        <is>
          <t>2018-04-21 05:11:34</t>
        </is>
      </c>
      <c r="H4686" t="inlineStr">
        <is>
          <t>Type 1</t>
        </is>
      </c>
    </row>
    <row r="4687">
      <c r="A4687" t="inlineStr">
        <is>
          <t>8dvlum</t>
        </is>
      </c>
      <c r="B4687" t="inlineStr">
        <is>
          <t>Have you heard about the Banting Diet?</t>
        </is>
      </c>
      <c r="C4687" t="inlineStr">
        <is>
          <t>Hi. Have you heard about the banting diet? It is super hot in South Africa and Australia. People say it can help with diabetes.</t>
        </is>
      </c>
      <c r="D4687" t="n">
        <v>0</v>
      </c>
      <c r="E4687" t="n">
        <v>7</v>
      </c>
      <c r="F4687">
        <f>HYPERLINK("https://www.reddit.com/r/diabetes/comments/8dvlum/have_you_heard_about_the_banting_diet/")</f>
        <v/>
      </c>
      <c r="G4687" t="inlineStr">
        <is>
          <t>2018-04-21 06:02:18</t>
        </is>
      </c>
      <c r="H4687" t="inlineStr">
        <is>
          <t>Type 1</t>
        </is>
      </c>
    </row>
    <row r="4688">
      <c r="A4688" t="inlineStr">
        <is>
          <t>8dw74w</t>
        </is>
      </c>
      <c r="B4688" t="inlineStr">
        <is>
          <t>Optionals for my diabetic friend</t>
        </is>
      </c>
      <c r="C4688" t="inlineStr">
        <is>
          <t xml:space="preserve">One of my best friends was diagnosed with T2 Diabetes when he was 19 years old. In the time he's managed to controlled the disease through managing his diet with more exercise. When he was diagnosed his body weighted 273 pounds at 5'11. Four years later he weighs 224 pounds. Year and half later he told me his doctor took him off metformin due to himself controlling the condition with diet and exercise. When we meet up yesterday he told me he has concerns with some of his food optionals. My friend was reading a article about cereal being bad for diabetics and he was concerned about having whole grain cherrois for breakfast, which he interchange with bagels, a guilty pleasure of his, telling me he wants to cut it out of his diet. Goldfish crackers are another product he concerns about eating and feels he needs a alternative to those junkie foods. As he lives with his family there are dinner's where he gets concerned about eating, as one night he tested that his mother and himself had McDonalds. As of yesterday he texted me with his meals of the day, with whole grain cheeoris for breakfast, whole grain peanut butter sandwich for lunch, water and iced tea, and tuna salad for dinner. He went on the treadmill and did 27 minutes on the machine. My question is should he be worried, even if he's told his diabetes is under control, and so what lifestyle changes should my friend makes progress on?
</t>
        </is>
      </c>
      <c r="D4688" t="n">
        <v>4</v>
      </c>
      <c r="E4688" t="n">
        <v>20</v>
      </c>
      <c r="F4688">
        <f>HYPERLINK("https://www.reddit.com/r/diabetes/comments/8dw74w/optionals_for_my_diabetic_friend/")</f>
        <v/>
      </c>
      <c r="G4688" t="inlineStr">
        <is>
          <t>2018-04-21 07:50:43</t>
        </is>
      </c>
      <c r="H4688" t="inlineStr">
        <is>
          <t>Type 2</t>
        </is>
      </c>
    </row>
    <row r="4689">
      <c r="A4689" t="inlineStr">
        <is>
          <t>8dzy8v</t>
        </is>
      </c>
      <c r="B4689" t="inlineStr">
        <is>
          <t>Can't feel when I have a high BG- T1</t>
        </is>
      </c>
      <c r="C4689" t="inlineStr">
        <is>
          <t>So when I'm low, like 75 or below, I noticeably feel it. The typical symptoms of lethargy, feeling like I have no energy, and my body feels tingly are all present. But when I check my BG and it's 250ish, I don't really feel that in my body. I normally have to pee more, but I drink water all day so that does not seem like a reliable indicator all the time. Is this normal?</t>
        </is>
      </c>
      <c r="D4689" t="n">
        <v>10</v>
      </c>
      <c r="E4689" t="n">
        <v>25</v>
      </c>
      <c r="F4689">
        <f>HYPERLINK("https://www.reddit.com/r/diabetes/comments/8dzy8v/cant_feel_when_i_have_a_high_bg_t1/")</f>
        <v/>
      </c>
      <c r="G4689" t="inlineStr">
        <is>
          <t>2018-04-21 17:48:39</t>
        </is>
      </c>
      <c r="H4689" t="inlineStr">
        <is>
          <t>Type 1</t>
        </is>
      </c>
    </row>
    <row r="4690">
      <c r="A4690" t="inlineStr">
        <is>
          <t>8e08fs</t>
        </is>
      </c>
      <c r="B4690" t="inlineStr">
        <is>
          <t>In Danger of Failing College Class</t>
        </is>
      </c>
      <c r="C4690" t="inlineStr">
        <is>
          <t xml:space="preserve">Hi Fellow Type 1’s, I need your help. 
I am a senior about to graduate from college - however I just received an email from one of college professors that I have failed the class due to absences. 
I have type 1 and deal with gastro paresis on a weekly basis.  I’ve been hospitalized 2x this year and had numerous days were I couldn’t make it to work or school. 
I have an accommodation from the Disability Office at the university.  
The professor has a 2 absences maximum. I have missed 4 classes. 
Additionally, I missed 1 assignment that was 25% of my grade.  I can only attribute that to illness and being overwhelmed. 
I work full time and go to school full time and deal with this horrible disease daily. 
I scheduled a meeting with my advisor and contacted the dean, my advisor, the disability office and president of the school. 
Does anyone have advice, personal experience or anything you could share?
Thank you, </t>
        </is>
      </c>
      <c r="D4690" t="n">
        <v>8</v>
      </c>
      <c r="E4690" t="n">
        <v>7</v>
      </c>
      <c r="F4690">
        <f>HYPERLINK("https://www.reddit.com/r/diabetes/comments/8e08fs/in_danger_of_failing_college_class/")</f>
        <v/>
      </c>
      <c r="G4690" t="inlineStr">
        <is>
          <t>2018-04-21 18:42:18</t>
        </is>
      </c>
      <c r="H4690" t="inlineStr">
        <is>
          <t>Type 1</t>
        </is>
      </c>
    </row>
    <row r="4691">
      <c r="A4691" t="inlineStr">
        <is>
          <t>8e3bwc</t>
        </is>
      </c>
      <c r="B4691" t="inlineStr">
        <is>
          <t>Question about Novolog vs Humalog</t>
        </is>
      </c>
      <c r="C4691" t="inlineStr">
        <is>
          <t>I know these two insulin's are supposed to be basically interchangeable and I just had to switch from Humalog to Novolog due to an insurance change. I just filled my pump with the Novolog yesterday and my blood sugars have been running high since. So I'm wondering if anyone noticed any ratio or basal rate changes when you switched insulin types, or if this is just a normal blip in my diabetes management due to something other than the insulin change.</t>
        </is>
      </c>
      <c r="D4691" t="n">
        <v>7</v>
      </c>
      <c r="E4691" t="n">
        <v>8</v>
      </c>
      <c r="F4691">
        <f>HYPERLINK("https://www.reddit.com/r/diabetes/comments/8e3bwc/question_about_novolog_vs_humalog/")</f>
        <v/>
      </c>
      <c r="G4691" t="inlineStr">
        <is>
          <t>2018-04-22 06:47:37</t>
        </is>
      </c>
      <c r="H4691" t="inlineStr">
        <is>
          <t>Type 1</t>
        </is>
      </c>
    </row>
    <row r="4692">
      <c r="A4692" t="inlineStr">
        <is>
          <t>8e58v6</t>
        </is>
      </c>
      <c r="B4692" t="inlineStr">
        <is>
          <t>Going to college</t>
        </is>
      </c>
      <c r="C4692" t="inlineStr">
        <is>
          <t>Hey guys, this fall i’ll be attending university and I am a little nervous. I’ve had type 1 for 13 years now but am worried about living in my own. Does anyone have any tips or suggestions on how to keep my diabetes in check while i’m away at school?</t>
        </is>
      </c>
      <c r="D4692" t="n">
        <v>2</v>
      </c>
      <c r="E4692" t="n">
        <v>12</v>
      </c>
      <c r="F4692">
        <f>HYPERLINK("https://www.reddit.com/r/diabetes/comments/8e58v6/going_to_college/")</f>
        <v/>
      </c>
      <c r="G4692" t="inlineStr">
        <is>
          <t>2018-04-22 11:44:31</t>
        </is>
      </c>
      <c r="H4692" t="inlineStr">
        <is>
          <t>Type 1</t>
        </is>
      </c>
    </row>
    <row r="4693">
      <c r="A4693" t="inlineStr">
        <is>
          <t>8e629i</t>
        </is>
      </c>
      <c r="B4693" t="inlineStr">
        <is>
          <t>Pre-diabetes</t>
        </is>
      </c>
      <c r="C4693" t="inlineStr">
        <is>
          <t xml:space="preserve">Here's my story 7 months ago I was diagnosed with pre-diabetes while being 17 stones. I worked my ass off to get rid of it reduced my weight because of how crazy I was exercising went  from 17 to 11 stones over the past couple of months but I was told back in October that my sugar level was back to normal although I didn't believe it at the time so I just kept exercising . Obviously other damages were done to my body as a result of the sugar and shitty diet my kidneys were affected.Just recently had another check up a few weeks ago my sugars back to normal but I still don't feel normal when I consume foods/drinks with a lot of sugar like Star bucks or  a lot of pizza I feel kind of bad but nothing major happens obviously I don't over do it just a test to see how my body reacts. </t>
        </is>
      </c>
      <c r="D4693" t="n">
        <v>5</v>
      </c>
      <c r="E4693" t="n">
        <v>5</v>
      </c>
      <c r="F4693">
        <f>HYPERLINK("https://www.reddit.com/r/diabetes/comments/8e629i/prediabetes/")</f>
        <v/>
      </c>
      <c r="G4693" t="inlineStr">
        <is>
          <t>2018-04-22 13:43:24</t>
        </is>
      </c>
      <c r="H4693" t="inlineStr">
        <is>
          <t>Type 2</t>
        </is>
      </c>
    </row>
    <row r="4694">
      <c r="A4694" t="inlineStr">
        <is>
          <t>8e70n8</t>
        </is>
      </c>
      <c r="B4694" t="inlineStr">
        <is>
          <t>Glucose tab effectiveness</t>
        </is>
      </c>
      <c r="C4694" t="inlineStr">
        <is>
          <t xml:space="preserve">So I’m being treated as a T2 and my A1C went up a bit at my last check up. For the last 3 months I’ve been having issues with low glucose levels during the day and at night. I have a Freestyle Libre (my endo recommended the device when I saw him in December) and I’ve read that the night time lows could be due to circulation in my arm. I’ve had the same results on both arms for what it’s worth. 
So today I was feeling particularly awful and checked my glucose and it read 82 ( I’m in the US). Checked it 15 mins later and down to 74 and it kept going down further and further. Took 2 glucose tabs at 59. Then had a spike up to 178. That’s only 8g carbohydrates! 
Should I only take 1 glucose tablet? I thought only the carb count mattered. Also should I discuss these daily drops into the 60s and the night time drops into the 60s? I assume the drops at night are why I am not sleeping but I guess it could be anything. 
Edit: diagnoses 12/2016. Not overweight and eat keto or low carb options. Try to keep daily carbs less than 30g per day. </t>
        </is>
      </c>
      <c r="D4694" t="n">
        <v>2</v>
      </c>
      <c r="E4694" t="n">
        <v>7</v>
      </c>
      <c r="F4694">
        <f>HYPERLINK("https://www.reddit.com/r/diabetes/comments/8e70n8/glucose_tab_effectiveness/")</f>
        <v/>
      </c>
      <c r="G4694" t="inlineStr">
        <is>
          <t>2018-04-22 16:12:24</t>
        </is>
      </c>
      <c r="H4694" t="inlineStr">
        <is>
          <t>Type 2</t>
        </is>
      </c>
    </row>
    <row r="4695">
      <c r="A4695" t="inlineStr">
        <is>
          <t>8e88kg</t>
        </is>
      </c>
      <c r="B4695" t="inlineStr">
        <is>
          <t>going from Lantus to Basaglar pen.</t>
        </is>
      </c>
      <c r="C4695" t="inlineStr">
        <is>
          <t xml:space="preserve">I now go with 50 units of Lantus to 90 units of Basaglar for the same results, what is your experience?  I was going fine with Lantus, then insurance went with Basaglar.  </t>
        </is>
      </c>
      <c r="D4695" t="n">
        <v>3</v>
      </c>
      <c r="E4695" t="n">
        <v>5</v>
      </c>
      <c r="F4695">
        <f>HYPERLINK("https://www.reddit.com/r/diabetes/comments/8e88kg/going_from_lantus_to_basaglar_pen/")</f>
        <v/>
      </c>
      <c r="G4695" t="inlineStr">
        <is>
          <t>2018-04-22 19:37:07</t>
        </is>
      </c>
      <c r="H4695" t="inlineStr">
        <is>
          <t>Type 2</t>
        </is>
      </c>
    </row>
    <row r="4696">
      <c r="A4696" t="inlineStr">
        <is>
          <t>8e8eyb</t>
        </is>
      </c>
      <c r="B4696" t="inlineStr">
        <is>
          <t>Nothing like getting nice and comfy in bed only to realize your blood sugar is low</t>
        </is>
      </c>
      <c r="C4696" t="inlineStr">
        <is>
          <t xml:space="preserve">Got all showered and snuggled up, realized I felt low, went to test myself and I was 44 mg/dL. Time to shove my face with candy and juice </t>
        </is>
      </c>
      <c r="D4696" t="n">
        <v>171</v>
      </c>
      <c r="E4696" t="n">
        <v>26</v>
      </c>
      <c r="F4696">
        <f>HYPERLINK("https://www.reddit.com/r/diabetes/comments/8e8eyb/nothing_like_getting_nice_and_comfy_in_bed_only/")</f>
        <v/>
      </c>
      <c r="G4696" t="inlineStr">
        <is>
          <t>2018-04-22 20:07:12</t>
        </is>
      </c>
      <c r="H4696" t="inlineStr">
        <is>
          <t>Type 1</t>
        </is>
      </c>
    </row>
    <row r="4697">
      <c r="A4697" t="inlineStr">
        <is>
          <t>8ea3xz</t>
        </is>
      </c>
      <c r="B4697" t="inlineStr">
        <is>
          <t>Scared sh*tless</t>
        </is>
      </c>
      <c r="C4697" t="inlineStr">
        <is>
          <t xml:space="preserve">I woke up this morning in a hypo but I couldn’t get my legs to work. So I crawled off the sofa onto the floor and crawled over to my bags because I knew 1 of the 3 had song glucose tablets in. As I was frantically searching through the bags I genuinely thought I was gonna die, I finally found them in the last bag but my god I was terrified. Basically, this post is asking if anyone has this? </t>
        </is>
      </c>
      <c r="D4697" t="n">
        <v>21</v>
      </c>
      <c r="E4697" t="n">
        <v>39</v>
      </c>
      <c r="F4697">
        <f>HYPERLINK("https://www.reddit.com/r/diabetes/comments/8ea3xz/scared_shtless/")</f>
        <v/>
      </c>
      <c r="G4697" t="inlineStr">
        <is>
          <t>2018-04-23 02:11:10</t>
        </is>
      </c>
      <c r="H4697" t="inlineStr">
        <is>
          <t>Type 1</t>
        </is>
      </c>
    </row>
    <row r="4698">
      <c r="A4698" t="inlineStr">
        <is>
          <t>8ea8sd</t>
        </is>
      </c>
      <c r="B4698" t="inlineStr">
        <is>
          <t>type one on victoza</t>
        </is>
      </c>
      <c r="C4698" t="inlineStr">
        <is>
          <t xml:space="preserve">So Friday I went for my yearly check up and the doctor asked if I'd like to try victoza. Never heard of it before he asked but with my weight slowly creeping up I thought I'd give it a shot. 
I see alot about people with type 2 using it but I want to know about anyone with type 1 using it. I started Saturday, felt fine, Sunday again felt fine. Today how ever I am incredibly tired, back is very painful, very unsettled stomach and just all round feel like shit. Is this normal? 
Any info would be appreciated. 
Thank you </t>
        </is>
      </c>
      <c r="D4698" t="n">
        <v>1</v>
      </c>
      <c r="E4698" t="n">
        <v>10</v>
      </c>
      <c r="F4698">
        <f>HYPERLINK("https://www.reddit.com/r/diabetes/comments/8ea8sd/type_one_on_victoza/")</f>
        <v/>
      </c>
      <c r="G4698" t="inlineStr">
        <is>
          <t>2018-04-23 02:43:50</t>
        </is>
      </c>
      <c r="H4698" t="inlineStr">
        <is>
          <t>Type 1</t>
        </is>
      </c>
    </row>
    <row r="4699">
      <c r="A4699" t="inlineStr">
        <is>
          <t>8eb5q1</t>
        </is>
      </c>
      <c r="B4699" t="inlineStr">
        <is>
          <t>Walking</t>
        </is>
      </c>
      <c r="C4699" t="inlineStr">
        <is>
          <t>How do you know how much walking drops your sugar and how do you know the insulin/carb ratio beforehand? Whats the common rule? If your hearth rate stays moderate it wont drop?</t>
        </is>
      </c>
      <c r="D4699" t="n">
        <v>2</v>
      </c>
      <c r="E4699" t="n">
        <v>8</v>
      </c>
      <c r="F4699">
        <f>HYPERLINK("https://www.reddit.com/r/diabetes/comments/8eb5q1/walking/")</f>
        <v/>
      </c>
      <c r="G4699" t="inlineStr">
        <is>
          <t>2018-04-23 05:43:34</t>
        </is>
      </c>
      <c r="H4699" t="inlineStr">
        <is>
          <t>Type 1</t>
        </is>
      </c>
    </row>
    <row r="4700">
      <c r="A4700" t="inlineStr">
        <is>
          <t>8ecg38</t>
        </is>
      </c>
      <c r="B4700" t="inlineStr">
        <is>
          <t>Can an allergy be the cause of high BS?</t>
        </is>
      </c>
      <c r="C4700" t="inlineStr">
        <is>
          <t xml:space="preserve">Or maybe my insulin went bad? Yesterday was a very hot day but I didn't exposed the insulin that much. </t>
        </is>
      </c>
      <c r="D4700" t="n">
        <v>5</v>
      </c>
      <c r="E4700" t="n">
        <v>4</v>
      </c>
      <c r="F4700">
        <f>HYPERLINK("https://www.reddit.com/r/diabetes/comments/8ecg38/can_an_allergy_be_the_cause_of_high_bs/")</f>
        <v/>
      </c>
      <c r="G4700" t="inlineStr">
        <is>
          <t>2018-04-23 08:46:35</t>
        </is>
      </c>
      <c r="H4700" t="inlineStr">
        <is>
          <t>Type 1</t>
        </is>
      </c>
    </row>
    <row r="4701">
      <c r="A4701" t="inlineStr">
        <is>
          <t>8ecw0g</t>
        </is>
      </c>
      <c r="B4701" t="inlineStr">
        <is>
          <t>I start panicking during each injection</t>
        </is>
      </c>
      <c r="C4701" t="inlineStr">
        <is>
          <t>I suddenly have developed a fear of injection.  Last week was okay and starting yesterday I started to panicked and I can't inject myself anymore. Why does this happen it's so frustrating.</t>
        </is>
      </c>
      <c r="D4701" t="n">
        <v>2</v>
      </c>
      <c r="E4701" t="n">
        <v>1</v>
      </c>
      <c r="F4701">
        <f>HYPERLINK("https://www.reddit.com/r/diabetes/comments/8ecw0g/i_start_panicking_during_each_injection/")</f>
        <v/>
      </c>
      <c r="G4701" t="inlineStr">
        <is>
          <t>2018-04-23 09:44:36</t>
        </is>
      </c>
      <c r="H4701" t="inlineStr">
        <is>
          <t>Type 1.5/LADA</t>
        </is>
      </c>
    </row>
    <row r="4702">
      <c r="A4702" t="inlineStr">
        <is>
          <t>8efu8h</t>
        </is>
      </c>
      <c r="B4702" t="inlineStr">
        <is>
          <t>u suck</t>
        </is>
      </c>
      <c r="C4702" t="inlineStr">
        <is>
          <t xml:space="preserve">I apologize if anything is wrong! This is my first reddit post. 
I’m 21/F. I’ve had diabetes for 12 years this November. I hate it. I’ve been in several slumps. I’ve had 6 comas &amp;amp; 2 seizures throughout the 12 years. I’ve been made fun of my whole child hood &amp;amp; was pulled out of school and homeschooled for this reason. 
My reason for this post is just to express how bad I feel. There will be days I absolutely hate myself. There will be days I don’t want to take insulin, don’t want to get out of bed, don’t want to check my sugar, just don’t want to be a diabetic for the day, and I really feel bad for everyone around me who asks me what’s wrong. I can’t explain it. I just get into these moods where I’m sad, I’m depressed, and it’s just really a slump. I have an absolute amazing life! I have an amazing, loving, boyfriend. We have 3 amazing dogs, and we all live in our home. I feel bad, because when they ask me why I’m mad, sad, or upset &amp;amp; I tell them I’m not, it’s not good enough. I can’t explain what is wrong, because they won’t/don’t understand. 
Do any other diabetics have any advice on this? Or ever have days like this? Today is one of those days, and I just want it to be over with. </t>
        </is>
      </c>
      <c r="D4702" t="n">
        <v>3</v>
      </c>
      <c r="E4702" t="n">
        <v>13</v>
      </c>
      <c r="F4702">
        <f>HYPERLINK("https://www.reddit.com/r/diabetes/comments/8efu8h/u_suck/")</f>
        <v/>
      </c>
      <c r="G4702" t="inlineStr">
        <is>
          <t>2018-04-23 16:09:59</t>
        </is>
      </c>
      <c r="H4702" t="inlineStr">
        <is>
          <t>Type 1</t>
        </is>
      </c>
    </row>
    <row r="4703">
      <c r="A4703" t="inlineStr">
        <is>
          <t>8egdrm</t>
        </is>
      </c>
      <c r="B4703" t="inlineStr">
        <is>
          <t>Advice on Diabetes and the Workplace? Boy do i need it!</t>
        </is>
      </c>
      <c r="C4703" t="inlineStr">
        <is>
          <t xml:space="preserve">Hello! Im a 21 year old type diabetic and i was diagnosed at 6 years old. I need some advice. To give a little context ill give a little back story. So i was diagnosed a 6 years old. My health insurance was a mess i kept getting cut from my medicare and was juggling insurance and having to go to the hospital room for emergency supplies. Despite this, my blood sugar was very controlled as i was still in the honeymoon phase.
Then i turned 10, i began developing symptoms of depression, but at the time being my age, i thought it could be something like adhd and kept begging my dad to take me to the doctor for it. He didnt believe in treating mental health issues and thought it messed with your brain. So i endured it and it got worse.
I then slowly began getting deeper into depression, and i began skipping my insulin shots to lose weight. ( I only recently found out about diabulmia but i guess that was it.) I avoided checking my blood sugar, taking my shots, and seeing my doctor and endocrinologist at all costs. And as i grew older my depression and anxiety and diabulmia kept getting worse and about once a year for about 5 years i kept getting hospitalized for DKA. And my dad trying to control my life made it all worse.
Then i snapped. I fell in love, ran away to be with him, got married, got a stable job, and finally began making my own choices and taking control of my life. One month after i got married my husband noticed how i wasnt taking insulin. And he really helped pull me out of diabulmia and i have been free of it for an entire year.
It was really a great year, however, even though i have trying so hard, i still cant controll my blood sugar. Its been at least 5 years since ive seen an endocrinologist, and my job is taking a toll on me. 
When my blood sugar drops during my shift- my boss hates it when i take to long on my breaks so i down as much soda as i can to get back to work as soon as possible. And it goes up so quickly and spikes right up to 500. And somedays i keep working for hours with high blood sugar because i cant get another break.
If i try to bring it up slowly so it doesnt spike, and i try to power through with the low blood sugar my boss will lecture me.
Ive finally made an appointment with my endocrinologist. Along with a diabetes dietician. And i desperately want to get better supplies that im always seeing these days! An insulin pump?! My dream. A dexcom?!?! I would literally cry. 
 My husband really wants me to quit my job because its almost impossible to properly care for my diabetes there, and take the time i need to learn how to REALLY take care of myself after neglecting it for so many years. But i have a ton of anxiety about quitting that people will accuse me of being lazy and just not wanting to work. 
Im sorry this is so long but ive been battling myself with all these issues for a long time :(
</t>
        </is>
      </c>
      <c r="D4703" t="n">
        <v>8</v>
      </c>
      <c r="E4703" t="n">
        <v>12</v>
      </c>
      <c r="F4703">
        <f>HYPERLINK("https://www.reddit.com/r/diabetes/comments/8egdrm/advice_on_diabetes_and_the_workplace_boy_do_i/")</f>
        <v/>
      </c>
      <c r="G4703" t="inlineStr">
        <is>
          <t>2018-04-23 17:32:33</t>
        </is>
      </c>
      <c r="H4703" t="inlineStr">
        <is>
          <t>Type 1</t>
        </is>
      </c>
    </row>
    <row r="4704">
      <c r="A4704" t="inlineStr">
        <is>
          <t>8eghju</t>
        </is>
      </c>
      <c r="B4704" t="inlineStr">
        <is>
          <t>Best books/resources on diet for type 2?</t>
        </is>
      </c>
      <c r="C4704" t="inlineStr">
        <is>
          <t>My father has insulin-dependent type 2 diabetes and I'm looking for solid books or other resources that can help he and my mother plan a healthier diet and weekly meal plan. He only has one kidney and I'm worried about his health as he gets older so I want to try to help him get his diet under control and as healthy as possible. I appreciate the help.</t>
        </is>
      </c>
      <c r="D4704" t="n">
        <v>3</v>
      </c>
      <c r="E4704" t="n">
        <v>2</v>
      </c>
      <c r="F4704">
        <f>HYPERLINK("https://www.reddit.com/r/diabetes/comments/8eghju/best_booksresources_on_diet_for_type_2/")</f>
        <v/>
      </c>
      <c r="G4704" t="inlineStr">
        <is>
          <t>2018-04-23 17:49:43</t>
        </is>
      </c>
      <c r="H4704" t="inlineStr">
        <is>
          <t>Type 2</t>
        </is>
      </c>
    </row>
    <row r="4705">
      <c r="A4705" t="inlineStr">
        <is>
          <t>8ehh68</t>
        </is>
      </c>
      <c r="B4705" t="inlineStr">
        <is>
          <t>Question on using Dexcom to treat highs/lows</t>
        </is>
      </c>
      <c r="C4705" t="inlineStr">
        <is>
          <t xml:space="preserve">When do you use Dexcom to treat your high or low? I’m assuming you should wait until the arrow is pointing in the middle to indicate that it’s steady? You wouldn’t want to treat a high of the arrow is indicating it’s still increasing, correct? I guess for a low it wouldn’t matter where the arrow is. </t>
        </is>
      </c>
      <c r="D4705" t="n">
        <v>5</v>
      </c>
      <c r="E4705" t="n">
        <v>7</v>
      </c>
      <c r="F4705">
        <f>HYPERLINK("https://www.reddit.com/r/diabetes/comments/8ehh68/question_on_using_dexcom_to_treat_highslows/")</f>
        <v/>
      </c>
      <c r="G4705" t="inlineStr">
        <is>
          <t>2018-04-23 20:30:37</t>
        </is>
      </c>
      <c r="H4705" t="inlineStr">
        <is>
          <t>Type 1</t>
        </is>
      </c>
    </row>
    <row r="4706">
      <c r="A4706" t="inlineStr">
        <is>
          <t>8ehh8o</t>
        </is>
      </c>
      <c r="B4706" t="inlineStr">
        <is>
          <t>I need help</t>
        </is>
      </c>
      <c r="C4706" t="inlineStr">
        <is>
          <t xml:space="preserve">Hello guys, I've been diabetic for 6 years now, but my glucose is still uncontrolled. The first year of diabetes my glucose never would go below 200, after that I started to control it a little better, but I still have at least one glucemia of +200 everyday, I now it's really bad, but since my grandmother still lives with me, she's the one that controls how much insulin I take, and she usually makes me take way below than I should. I'm really afraid, since I already have some neuropathy In my left foot, sometimes I have random ticks on my body, my legs sometimes shake, I feel unfocused everyday and I'm afraid that I'm developing erectile dysfunction because my glucemia are still high, I also feel a intelectual change, since my English is starting to be more broken and sometimes I don't know how to properly say some things in my native language and say stupid things without noticing. I need help and I'm afraid since this is killing me, and I'm still too young.
I live in a second world country and the Healthcare here is really shitty so I don't even know how to count carbohydrates properly. But even though, I have an average of 100-180 mg/dl per day, but when my grandmother controls my insulin, I have an average of about 150-250 which is really high.
I need help counting carbohydrates and making my grandmother understand that diabetes can and will kill me if I don't take proper care.
Thanks for reading and sorry for my English. </t>
        </is>
      </c>
      <c r="D4706" t="n">
        <v>12</v>
      </c>
      <c r="E4706" t="n">
        <v>20</v>
      </c>
      <c r="F4706">
        <f>HYPERLINK("https://www.reddit.com/r/diabetes/comments/8ehh8o/i_need_help/")</f>
        <v/>
      </c>
      <c r="G4706" t="inlineStr">
        <is>
          <t>2018-04-23 20:30:56</t>
        </is>
      </c>
      <c r="H4706" t="inlineStr">
        <is>
          <t>Type 1</t>
        </is>
      </c>
    </row>
    <row r="4707">
      <c r="A4707" t="inlineStr">
        <is>
          <t>8ehu8g</t>
        </is>
      </c>
      <c r="B4707" t="inlineStr">
        <is>
          <t>Does anyone have Experience with taking (non-prescribed) adderal? Any BG effects?</t>
        </is>
      </c>
      <c r="C4707" t="inlineStr">
        <is>
          <t>I have experience with cannabis and alcohol if that’s any help</t>
        </is>
      </c>
      <c r="D4707" t="n">
        <v>0</v>
      </c>
      <c r="E4707" t="n">
        <v>3</v>
      </c>
      <c r="F4707">
        <f>HYPERLINK("https://www.reddit.com/r/diabetes/comments/8ehu8g/does_anyone_have_experience_with_taking/")</f>
        <v/>
      </c>
      <c r="G4707" t="inlineStr">
        <is>
          <t>2018-04-23 21:36:52</t>
        </is>
      </c>
      <c r="H4707" t="inlineStr">
        <is>
          <t>Type 1</t>
        </is>
      </c>
    </row>
    <row r="4708">
      <c r="A4708" t="inlineStr">
        <is>
          <t>8ein16</t>
        </is>
      </c>
      <c r="B4708" t="inlineStr">
        <is>
          <t>Do I need to go to the hospital??</t>
        </is>
      </c>
      <c r="C4708" t="inlineStr">
        <is>
          <t>My blood sugar has been over 300\-400 consistently for about a week now
I don't have ketones most of the time \(I had medium ketones earlier today, some like 3 days ago too.\) 
I don't have ketones right now.
I've tried rotating my pump site multiple times.
I'm taking 10\-15 units every 2\-3 hours.
It reeeaally doesn't want to go down.
I'm just using a humalog pen atm instead of my pump. The pen helps a little? bit \(i'm putting it in my leg instead of stomach, which is where i usually put my pump.\) It ends up spiking back up most of the time, though.
Is there a chance that my insulin could be expired? Perhaps I have scar tissue or something? I'm really out of ideas :/
Also, at what point should I go to the hospital? At what point would this be considered a viable threat to my life? \(I don't really want to die in my sleep if possible\)</t>
        </is>
      </c>
      <c r="D4708" t="n">
        <v>12</v>
      </c>
      <c r="E4708" t="n">
        <v>12</v>
      </c>
      <c r="F4708">
        <f>HYPERLINK("https://www.reddit.com/r/diabetes/comments/8ein16/do_i_need_to_go_to_the_hospital/")</f>
        <v/>
      </c>
      <c r="G4708" t="inlineStr">
        <is>
          <t>2018-04-24 00:27:34</t>
        </is>
      </c>
      <c r="H4708" t="inlineStr">
        <is>
          <t>Type 1</t>
        </is>
      </c>
    </row>
    <row r="4709">
      <c r="A4709" t="inlineStr">
        <is>
          <t>8ej9eb</t>
        </is>
      </c>
      <c r="B4709" t="inlineStr">
        <is>
          <t>The fear of going low makes me suck at this</t>
        </is>
      </c>
      <c r="C4709" t="inlineStr">
        <is>
          <t xml:space="preserve">Hi everyone .  T1 diabetic for 12 years here . Recently I’ve been having this problem where I have so much anxiety that I’m going to go low too soon after I eat so I don’t count for all my carbs . If my sugar is 100 I always feel the need to eat 15 carbs before my meal to make sure I don’t go low . I continuously snack and pretty much it’s all justified in my head until I wake up in the morning 300 for this third time this week , get super pissed at myself promise I’ll figure it out but I never do .
All of this because one time my sugar went low and the carbs didn’t work for some reason I think I had too much active insulin . Now I can never use more than 12 or so units no matter now much  food I eat because I’m so so nervous that in 30 minutes my sugar will be super low , insulin just kicking in and my low candies don’t work .  I wish someone could just tell me it’s a stupid irrational fear but I asked my endo about it last time and she said it was a legit concern and not much else about it . 
I feel like I can’t eat like I used to , I feel like I have no control and I’m so embarrassed that I suck at this so much . I feel deflated </t>
        </is>
      </c>
      <c r="D4709" t="n">
        <v>9</v>
      </c>
      <c r="E4709" t="n">
        <v>7</v>
      </c>
      <c r="F4709">
        <f>HYPERLINK("https://www.reddit.com/r/diabetes/comments/8ej9eb/the_fear_of_going_low_makes_me_suck_at_this/")</f>
        <v/>
      </c>
      <c r="G4709" t="inlineStr">
        <is>
          <t>2018-04-24 02:58:50</t>
        </is>
      </c>
      <c r="H4709" t="inlineStr">
        <is>
          <t>Type 1</t>
        </is>
      </c>
    </row>
    <row r="4710">
      <c r="A4710" t="inlineStr">
        <is>
          <t>8elf6y</t>
        </is>
      </c>
      <c r="B4710" t="inlineStr">
        <is>
          <t>The long wait for pump training</t>
        </is>
      </c>
      <c r="C4710" t="inlineStr">
        <is>
          <t>I got my new t:slim X2 in the mail yesterday, and realized that I forgot to schedule my training appointment. Turns out I can't get training until May 15th! It seems like a long time to wait, but it's not so bad after over a decade on Medtronic pumps.
Any suggestions for things to do while I wait?</t>
        </is>
      </c>
      <c r="D4710" t="n">
        <v>3</v>
      </c>
      <c r="E4710" t="n">
        <v>9</v>
      </c>
      <c r="F4710">
        <f>HYPERLINK("https://www.reddit.com/r/diabetes/comments/8elf6y/the_long_wait_for_pump_training/")</f>
        <v/>
      </c>
      <c r="G4710" t="inlineStr">
        <is>
          <t>2018-04-24 08:47:35</t>
        </is>
      </c>
      <c r="H4710" t="inlineStr">
        <is>
          <t>Type 1</t>
        </is>
      </c>
    </row>
    <row r="4711">
      <c r="A4711" t="inlineStr">
        <is>
          <t>8ell7o</t>
        </is>
      </c>
      <c r="B4711" t="inlineStr">
        <is>
          <t>Is it fair for my diabetic bf to expect me to wake up at night for his hypos?</t>
        </is>
      </c>
      <c r="C4711" t="inlineStr">
        <is>
          <t>Hi there,
I am with my bf for almost 2 years and he has type 1 DM. 
I always try my best to be supportive, I have snacks for him at mine, I bring him drinks and sweets when he has a hypo and I even offered to use his back up kit for a day, check my sugars with him and pretend to inject myself so that I can understand him more. 
However, there is one thing I struggle with and it's waking up in the night when he has a hypo. Especially recently when I am studying a lot and sleeping bare minimum, there is just no way he can wake me up, although it has always been a problem. 
Last night he had a bad hypo and I wouldn't wake up. In the morning he lost his temper and had a go at me, saying I am useless and I will cause his death one day and that he needs me to be on board and help him when he needs it. He said he can't rely on me.
Now I want to know if it's fair for him to expect that of me. I don't sleep with him most nights and he somehow manages so I wouldn't think my waking up is essential for him. Furthermore, there really isn't much I can do about it as I simply do not recall him trying to wake me up. It also makes me sad that he lashed out at me like that, especially now when it is a really stressful period for me. But maybe I am wrong. I don't know how hypos feel and I can only guess that it's scary for him. 
I am wondering what you, diabetics and partners of diabetics think about it. Am I a horrible girlfriend?</t>
        </is>
      </c>
      <c r="D4711" t="n">
        <v>4</v>
      </c>
      <c r="E4711" t="n">
        <v>27</v>
      </c>
      <c r="F4711">
        <f>HYPERLINK("https://www.reddit.com/r/diabetes/comments/8ell7o/is_it_fair_for_my_diabetic_bf_to_expect_me_to/")</f>
        <v/>
      </c>
      <c r="G4711" t="inlineStr">
        <is>
          <t>2018-04-24 09:08:43</t>
        </is>
      </c>
      <c r="H4711" t="inlineStr">
        <is>
          <t>Type 1</t>
        </is>
      </c>
    </row>
    <row r="4712">
      <c r="A4712" t="inlineStr">
        <is>
          <t>8emh0v</t>
        </is>
      </c>
      <c r="B4712" t="inlineStr">
        <is>
          <t>Just Diagnosed, Scared of Lows</t>
        </is>
      </c>
      <c r="C4712" t="inlineStr">
        <is>
          <t xml:space="preserve">I was told I have Type 1 4 days ago. This is not a confirmed diagnosis, I'm seeing the Endo in 2 days. Since then I've been on 10 units of Lantus at night, and have been supplementing with Humalog for meals. I'm eating a medium-low carb diet now, 75-100g per day, and in general I'm taking 2-3 units of Humalog, three times per day. No snacks, except to combat low BG readings.
I've had 3 nights since starting. I've gone to bed with readings of 171, 101, and 118. These have dropped in the morning, respectively, to 80, 88, and 82. After a large breakfast where I cover carbs with Humalog, using a 10g:1u carb:insulin ratio, I'm experiencing mid-morning crashes of 70, 66, and 58. The 58 was scary, I could really feel it.
Yesterday the doc told me to take less Lantus (7u instead of 10u). Today he told me to skip Humalog in the morning with breakfast.
What's happening here? Honeymoon effect? I believe it was an early detection - I went in with mild blurry vision and thirst, never reached DKA. So maybe my pancreas still has some life in it? Or is it possible I'm actually Type 2?
Two major questions:
1. What else should I be doing to avoid BG crashes?
2. Is there anything I need to emphasize to the endo when I see her?
Cheers!
</t>
        </is>
      </c>
      <c r="D4712" t="n">
        <v>1</v>
      </c>
      <c r="E4712" t="n">
        <v>14</v>
      </c>
      <c r="F4712">
        <f>HYPERLINK("https://www.reddit.com/r/diabetes/comments/8emh0v/just_diagnosed_scared_of_lows/")</f>
        <v/>
      </c>
      <c r="G4712" t="inlineStr">
        <is>
          <t>2018-04-24 10:58:42</t>
        </is>
      </c>
      <c r="H4712" t="inlineStr">
        <is>
          <t>Type 1</t>
        </is>
      </c>
    </row>
    <row r="4713">
      <c r="A4713" t="inlineStr">
        <is>
          <t>8en1ux</t>
        </is>
      </c>
      <c r="B4713" t="inlineStr">
        <is>
          <t>Concerned my roommate is suffering from Diabetes.</t>
        </is>
      </c>
      <c r="C4713" t="inlineStr">
        <is>
          <t xml:space="preserve">If not diabetes, at least hyperglycemia.
Some context, my roommate has always been very overweight, with a diet consuming heavy amounts of sugar, oil, and salt.  For example he cooked potatoes for us, and instead of letting them simmer in some oil they were swimming in it and he had no clue it was a bad idea health wise.
This past year he has gone from very overweight, to incredibly thin.  He has been exercising and gaining muscle mass, but also literally lost 100 pounds without changing his diet and just getting semi-regular exercise.  (Something I've warned him might be very dangerous)
He has blood sugar tests he has stopped taking because it scared him when he was consistently over 300-400 in the morning.   Every day he urinates almost every 30 minutes and drinks a ton of water or sugary drinks /  coffee.  His skin is insanely dry, complains about blurry vision etc,  the whole gamut of hyperglycemia.
What concerned me the most is yesterday on a shopping trip when he would open a Jarritos (a Mexican soda), i'd look away for about 10 seconds and when I turned to talk to him again, the soda was already consumed.  By the time we had walked home he had drank 3 sodas, an Arizona Iced Tea, and had a sugary pastry.  This totalled like 180g+ of sugar in a 20 minute period.  For reference I've been nursing one of these sodas for a good 45 minutes and I'm about 1/5th of the way done with it.
When we arrived home he drank another soda, then a quart of chocolate milk while I was in the other room and started grunting in intense pain and fell asleep.
It's not unusual for him to drink an entire container of juice, and eat a box of cereal in a day as well.  What I just described was in about a 2 hours total away from home; he was still eating tons of sugar at home before we left.
He has no health insurance and is broke.  I'm almost positive he is going to die of this if he keeps it up.  Is there anything I can do besides try and guide his diet?  Are there any options for people who need medication in his situation and can't afford it?  Is it normal for people with diabetes or hyperglycemia to have insane sugar cravings and can it be treated?
</t>
        </is>
      </c>
      <c r="D4713" t="n">
        <v>1</v>
      </c>
      <c r="E4713" t="n">
        <v>24</v>
      </c>
      <c r="F4713">
        <f>HYPERLINK("https://www.reddit.com/r/diabetes/comments/8en1ux/concerned_my_roommate_is_suffering_from_diabetes/")</f>
        <v/>
      </c>
      <c r="G4713" t="inlineStr">
        <is>
          <t>2018-04-24 12:09:57</t>
        </is>
      </c>
      <c r="H4713" t="inlineStr">
        <is>
          <t>Type 2</t>
        </is>
      </c>
    </row>
    <row r="4714">
      <c r="A4714" t="inlineStr">
        <is>
          <t>8end8p</t>
        </is>
      </c>
      <c r="B4714" t="inlineStr">
        <is>
          <t>33rd Diaversary!</t>
        </is>
      </c>
      <c r="C4714" t="inlineStr">
        <is>
          <t xml:space="preserve">Just wanted to share, especially for the newly diagnosed and/or their parents, that this can be managed as I've lived with it for 33 years with no *major* complications. 
Only issue I have had is [frozen shoulder](http://www.diabetes.org/living-with-diabetes/complications/related-conditions/frozen-shoulder.html), where diabetes increases the risk for the condition. Had it both shoulders, and is the most pain I have ever had in my life. 
Had it since 1985, and the cure has always been 5 years away, so I've lived with it for 6.5 cures! 
* Married 23 years and have 2 sons in their late teens - no diabetes
* My last A1c: 5.3 (December 2017)
* Highest A1c in 20 years: 6.1
* Just got my first CGM, Dexcom G5 in December 2017
* Switched to Keto diet in December 2017 - Lost 35 lbs to my ideal weight, now increasing carbs to maintain
* Continue to play competitive volleyball, even throughout frozen shoulders. Weight loss really helping the jumping ability! 
I just wanted to show an example of someone who has had it for this long is still going strong!
</t>
        </is>
      </c>
      <c r="D4714" t="n">
        <v>67</v>
      </c>
      <c r="E4714" t="n">
        <v>10</v>
      </c>
      <c r="F4714">
        <f>HYPERLINK("https://www.reddit.com/r/diabetes/comments/8end8p/33rd_diaversary/")</f>
        <v/>
      </c>
      <c r="G4714" t="inlineStr">
        <is>
          <t>2018-04-24 12:49:31</t>
        </is>
      </c>
      <c r="H4714" t="inlineStr">
        <is>
          <t>Type 1</t>
        </is>
      </c>
    </row>
    <row r="4715">
      <c r="A4715" t="inlineStr">
        <is>
          <t>8eodl3</t>
        </is>
      </c>
      <c r="B4715" t="inlineStr">
        <is>
          <t>DNA test shows an 18.5x risk for Type 1 Diabetes. Mom was also Type 1. Anyone else have this risk factor?</t>
        </is>
      </c>
      <c r="C4715" t="inlineStr">
        <is>
          <t xml:space="preserve">One of my results shows an 1850% increase (18.5x more likely) for Type 1 Diabetes with a magnitude of 3 (maximum magnitude is also 3). My mother also had Diabetes and developed it in her 30s. I'm in my 30s now.
Here's the screenshot. 
http://imgur.com/gallery/JkH84mO
I posted this question in the 23andme sub reddit but I'm curious to see how many people here have this risk.
Thanks 🙂
</t>
        </is>
      </c>
      <c r="D4715" t="n">
        <v>6</v>
      </c>
      <c r="E4715" t="n">
        <v>9</v>
      </c>
      <c r="F4715">
        <f>HYPERLINK("https://www.reddit.com/r/diabetes/comments/8eodl3/dna_test_shows_an_185x_risk_for_type_1_diabetes/")</f>
        <v/>
      </c>
      <c r="G4715" t="inlineStr">
        <is>
          <t>2018-04-24 15:01:31</t>
        </is>
      </c>
      <c r="H4715" t="inlineStr">
        <is>
          <t>Type 1</t>
        </is>
      </c>
    </row>
    <row r="4716">
      <c r="A4716" t="inlineStr">
        <is>
          <t>8eotls</t>
        </is>
      </c>
      <c r="B4716" t="inlineStr">
        <is>
          <t>Eat healthy they said. Subway Veggie Sandwich on whole grain bread is better, they said.</t>
        </is>
      </c>
      <c r="C4716" t="inlineStr">
        <is>
          <t>I can never have bread again.
Bread spikes me more than even a soda!  Even the healthy 9 grain wheat bread at Subway.  Ugh!
Some things that spike others don't hit me as bad. 
(Note: I'm making a huge push to eat better and healthier and it's made a huge difference in my sugars.  I thought I was having a low because I was so dizzy but I was actually normal.  Doctor says it can take several months to get "used" to normal blood sugars.)
RIP bread.
I have cut out all caffeine, all sodas.  The only thing I drink is water.  I cannot handle splenda or aspartame or stevia or any of the artificial sweeteners.  So it's water or non caffeinated tea for me.  I'm probably one of those who can't do anything in moderation.  Eh, I'm definitely one of those.
But lately I've been eating meats, cheeses, lots of low carb/sugar veggies (I can eat zucchini and spinach until I die, plain steamed spinach with minced garlic in it is one of my favorite things.)
I have not had any "go to the ER" level highs, additionally, I have had less lows from overcorrecting.  No rollercoaster I guess is the term.
Yay for me, this week has been a wreck and on one hand I have another sorrow to add - the complete elimination of bread.  But in a way, it's another death and some closure and a sense of finality.  No bread anymore.  I just can't do it in moderation and it spikes me worse than just about anything anyways.
Cheers!</t>
        </is>
      </c>
      <c r="D4716" t="n">
        <v>7</v>
      </c>
      <c r="E4716" t="n">
        <v>15</v>
      </c>
      <c r="F4716">
        <f>HYPERLINK("https://www.reddit.com/r/diabetes/comments/8eotls/eat_healthy_they_said_subway_veggie_sandwich_on/")</f>
        <v/>
      </c>
      <c r="G4716" t="inlineStr">
        <is>
          <t>2018-04-24 16:03:17</t>
        </is>
      </c>
      <c r="H4716" t="inlineStr">
        <is>
          <t>Type 2</t>
        </is>
      </c>
    </row>
    <row r="4717">
      <c r="A4717" t="inlineStr">
        <is>
          <t>8ep38h</t>
        </is>
      </c>
      <c r="B4717" t="inlineStr">
        <is>
          <t>Dealing with end of honeymoon</t>
        </is>
      </c>
      <c r="C4717" t="inlineStr">
        <is>
          <t>I was diagnosed two months ago and alas I fear that the end of the honeymoon phase is now upon me. My control was very good until about a week ago (consistently below 140 both before and after meals), but this week things have been absolutely horrible (consistently over 200). I think some of this may be due to me having a mild cold as well as stress from final exams, but I'm also pretty sure that by now my pancreas has sung its last song.
Anyways, my questions are:
1. Does this sound like my honeymoon is actually ending? I was diagnosed at 21 and I heard that the later you're diagnosed, the longer your honeymoon generally lasts.
2. When your honeymoon does end, is it generally a very quick process? Would I expect to wake up one day and then the next with terrible numbers, or would I expect them to increase over a period of time?
3. I know that when my honeymoon ends (or if it is already), I will need to increase my lantus dose significantly (I'm currently taking 18 units a day and 150lbs). I know I should get the "official" advice from my doctor, but, from your experience, how quickly should I increase the dose to see what I need without going too low? (i.e., should I try 20 units, then 22, or can I go in bigger increments than that).
Any other end-of-honeymoon anecdotes are greatly appreciated. I love this subreddit. I've only been on here for two months and I feel like you all have already saved me from so much unnecessary trial and error.</t>
        </is>
      </c>
      <c r="D4717" t="n">
        <v>2</v>
      </c>
      <c r="E4717" t="n">
        <v>2</v>
      </c>
      <c r="F4717">
        <f>HYPERLINK("https://www.reddit.com/r/diabetes/comments/8ep38h/dealing_with_end_of_honeymoon/")</f>
        <v/>
      </c>
      <c r="G4717" t="inlineStr">
        <is>
          <t>2018-04-24 16:39:37</t>
        </is>
      </c>
      <c r="H4717" t="inlineStr">
        <is>
          <t>Type 1</t>
        </is>
      </c>
    </row>
    <row r="4718">
      <c r="A4718" t="inlineStr">
        <is>
          <t>8epwra</t>
        </is>
      </c>
      <c r="B4718" t="inlineStr">
        <is>
          <t>How low do you go to bed at without a snack?</t>
        </is>
      </c>
      <c r="C4718" t="inlineStr">
        <is>
          <t>I'm trying to get my basal set so that I don't have to eat a snack before bed (go to bed slightly hungry), but also not constantly go high during the day. Anyone else do this?</t>
        </is>
      </c>
      <c r="D4718" t="n">
        <v>2</v>
      </c>
      <c r="E4718" t="n">
        <v>15</v>
      </c>
      <c r="F4718">
        <f>HYPERLINK("https://www.reddit.com/r/diabetes/comments/8epwra/how_low_do_you_go_to_bed_at_without_a_snack/")</f>
        <v/>
      </c>
      <c r="G4718" t="inlineStr">
        <is>
          <t>2018-04-24 18:47:05</t>
        </is>
      </c>
      <c r="H4718" t="inlineStr">
        <is>
          <t>Type 1</t>
        </is>
      </c>
    </row>
    <row r="4719">
      <c r="A4719" t="inlineStr">
        <is>
          <t>8epznb</t>
        </is>
      </c>
      <c r="B4719" t="inlineStr">
        <is>
          <t>MDI peeps -- need advice on morning highs (Tresiba)</t>
        </is>
      </c>
      <c r="C4719" t="inlineStr">
        <is>
          <t>My wife doesn't Reddit, so she asked me to post for her:
She recently switched to MDIs from long time pump use in order to reinforce more hands\-on control of her insulin delivery. She's looking for advice on how to manage long term dosing \(was on Lantus, just got switched to Tresiba\) in order to avoid highs at the end of the day. She's having trouble managing the window between the end of the 24 hours and the next day's dose. She currently uses the Tresiba first thing in the morning between 0700 and 0800 when she wakes with the baby. However, she's been seeing consistent highs upon waking \-\- something she was assured by her endo wouldn't be an issue. I suggested gradually shifting her dose later in the day towards dinner/bedtime in order to be awake \(and aware of \+/\- trends\) during that window between injections, but my advice only goes so far. She was wondering if anyone else had the same issue \-\- with either Triseba or Lantus \-\- and what another diabetic might suggest she try.</t>
        </is>
      </c>
      <c r="D4719" t="n">
        <v>2</v>
      </c>
      <c r="E4719" t="n">
        <v>3</v>
      </c>
      <c r="F4719">
        <f>HYPERLINK("https://www.reddit.com/r/diabetes/comments/8epznb/mdi_peeps_need_advice_on_morning_highs_tresiba/")</f>
        <v/>
      </c>
      <c r="G4719" t="inlineStr">
        <is>
          <t>2018-04-24 19:00:07</t>
        </is>
      </c>
      <c r="H4719" t="inlineStr">
        <is>
          <t>Type 1</t>
        </is>
      </c>
    </row>
    <row r="4720">
      <c r="A4720" t="inlineStr">
        <is>
          <t>8es5ak</t>
        </is>
      </c>
      <c r="B4720" t="inlineStr">
        <is>
          <t>Pre-bolus question</t>
        </is>
      </c>
      <c r="C4720" t="inlineStr">
        <is>
          <t>How much different are you supposed to see? And let’s say I start at 5.0 mmol, how much is it supposed to go up?
I went to school and did not have the time to pre-bolus, just wondering how much higher it will go lol, stress from school is enough let alone diabetes :’)</t>
        </is>
      </c>
      <c r="D4720" t="n">
        <v>4</v>
      </c>
      <c r="E4720" t="n">
        <v>18</v>
      </c>
      <c r="F4720">
        <f>HYPERLINK("https://www.reddit.com/r/diabetes/comments/8es5ak/prebolus_question/")</f>
        <v/>
      </c>
      <c r="G4720" t="inlineStr">
        <is>
          <t>2018-04-25 02:05:55</t>
        </is>
      </c>
      <c r="H4720" t="inlineStr">
        <is>
          <t>Type 1</t>
        </is>
      </c>
    </row>
    <row r="4721">
      <c r="A4721" t="inlineStr">
        <is>
          <t>8etaui</t>
        </is>
      </c>
      <c r="B4721" t="inlineStr">
        <is>
          <t>My lantus pen malfunctioned last night and now my room stinks of insulin</t>
        </is>
      </c>
      <c r="C4721" t="inlineStr">
        <is>
          <t xml:space="preserve">Number 1286 on the list of tiny daily things diabetes affects </t>
        </is>
      </c>
      <c r="D4721" t="n">
        <v>6</v>
      </c>
      <c r="E4721" t="n">
        <v>19</v>
      </c>
      <c r="F4721">
        <f>HYPERLINK("https://www.reddit.com/r/diabetes/comments/8etaui/my_lantus_pen_malfunctioned_last_night_and_now_my/")</f>
        <v/>
      </c>
      <c r="G4721" t="inlineStr">
        <is>
          <t>2018-04-25 05:51:32</t>
        </is>
      </c>
      <c r="H4721" t="inlineStr">
        <is>
          <t>Type 1</t>
        </is>
      </c>
    </row>
    <row r="4722">
      <c r="A4722" t="inlineStr">
        <is>
          <t>8etxj1</t>
        </is>
      </c>
      <c r="B4722" t="inlineStr">
        <is>
          <t>Transferring from Lantus to Tresiba</t>
        </is>
      </c>
      <c r="C4722" t="inlineStr">
        <is>
          <t>My Tresiba adventure starts today and am wondering a few things before proceeding. I am using pens and always have. I switched because of lows during peak and high bloodsugar when Lantus ran out a few hours before the 24 hour mark.
I've read online that Tresiba can last up to around 42 hours, yet the Endocrinologist says I should take Tresiba every 24 hours. Endocrinologist says I should be taking the same 1:1 dosage as I did with Lantus; taking 21 units as of current. What exactly is the time frame for when Tresiba starts to lose its effectiveness? Would a 30 hour dosage be fine as opposed to doing it 24 hour?
Last time I took a different long lasting insulin was about 9 years ago(humalin), so consulting /r/diabetes about the matter seems better than more trial and error. Any suggestions would be appreciated!</t>
        </is>
      </c>
      <c r="D4722" t="n">
        <v>1</v>
      </c>
      <c r="E4722" t="n">
        <v>4</v>
      </c>
      <c r="F4722">
        <f>HYPERLINK("https://www.reddit.com/r/diabetes/comments/8etxj1/transferring_from_lantus_to_tresiba/")</f>
        <v/>
      </c>
      <c r="G4722" t="inlineStr">
        <is>
          <t>2018-04-25 07:23:21</t>
        </is>
      </c>
      <c r="H4722" t="inlineStr">
        <is>
          <t>Type 1</t>
        </is>
      </c>
    </row>
    <row r="4723">
      <c r="A4723" t="inlineStr">
        <is>
          <t>8ez2wv</t>
        </is>
      </c>
      <c r="B4723" t="inlineStr">
        <is>
          <t>Kind of lost with diabetes at the moment.</t>
        </is>
      </c>
      <c r="C4723" t="inlineStr">
        <is>
          <t xml:space="preserve">I'm kind of wits end with my diabetes, I can keep my blood sugars stable in the evenings, but my blood sugar shoots up in the morning. I've tried upping my long acting and fiddling with my ratios for fast acting but I can get a handle on it.
Now I'm suffering from what seems to be neuralgia, burning pain randomly all over my body, I can't even sleep, and it's making my control even worse.
I don't even know what to say to my diabetes team, or what to ask about. I'm just in pain and I'm totally stressed out about it. </t>
        </is>
      </c>
      <c r="D4723" t="n">
        <v>6</v>
      </c>
      <c r="E4723" t="n">
        <v>7</v>
      </c>
      <c r="F4723">
        <f>HYPERLINK("https://www.reddit.com/r/diabetes/comments/8ez2wv/kind_of_lost_with_diabetes_at_the_moment/")</f>
        <v/>
      </c>
      <c r="G4723" t="inlineStr">
        <is>
          <t>2018-04-25 18:54:09</t>
        </is>
      </c>
      <c r="H4723" t="inlineStr">
        <is>
          <t>Type 1</t>
        </is>
      </c>
    </row>
    <row r="4724">
      <c r="A4724" t="inlineStr">
        <is>
          <t>8ez8ad</t>
        </is>
      </c>
      <c r="B4724" t="inlineStr">
        <is>
          <t>Thank you</t>
        </is>
      </c>
      <c r="C4724" t="inlineStr">
        <is>
          <t>One month ago, I wrote about my frustration with my doctor who gave me the T2D diagnosis and nothing else, no direction whatsoever, other than to "avoid keto and make sure not to skip meals" when I asked about it. I came to this group for answers and you awesome people helped me so much! Especially u/choodude and u/stevecanuck many heartfelt thanks!
I went ahead and asked for A1C testing and it was 7.2. After one month on keto and IF, I lost 9 lbs and got tested again today and my new number is 5.9!!! My doctor's appointment is next week, I wonder if she's going to ask what I did and if I should tell her the truth. (She explicitly told me not to eat this way). 
One question; should I get a glucose testing device? I feel quite confident that I can improve my health with this way of eating but since I got diagnosed at a fairly young age and most of my relatives have diabetes, I am never going to be completely out of the woods so it makes sense that I have a better understanding of how my body reacts. 
And any other tests I should ask?
Thanks again, you guys rock!</t>
        </is>
      </c>
      <c r="D4724" t="n">
        <v>15</v>
      </c>
      <c r="E4724" t="n">
        <v>17</v>
      </c>
      <c r="F4724">
        <f>HYPERLINK("https://www.reddit.com/r/diabetes/comments/8ez8ad/thank_you/")</f>
        <v/>
      </c>
      <c r="G4724" t="inlineStr">
        <is>
          <t>2018-04-25 19:17:56</t>
        </is>
      </c>
      <c r="H4724" t="inlineStr">
        <is>
          <t>Type 2</t>
        </is>
      </c>
    </row>
    <row r="4725">
      <c r="A4725" t="inlineStr">
        <is>
          <t>8f10co</t>
        </is>
      </c>
      <c r="B4725" t="inlineStr">
        <is>
          <t>Dexcom G4 Calibration</t>
        </is>
      </c>
      <c r="C4725" t="inlineStr">
        <is>
          <t xml:space="preserve">I calibrate my Dexcom about 5 times a day. I read that it’s only 2 times. Will I ruin my dexcom by calibrating 5 times a day? It seems that my dexcom shows some weird numbers the first day and the last days </t>
        </is>
      </c>
      <c r="D4725" t="n">
        <v>1</v>
      </c>
      <c r="E4725" t="n">
        <v>8</v>
      </c>
      <c r="F4725">
        <f>HYPERLINK("https://www.reddit.com/r/diabetes/comments/8f10co/dexcom_g4_calibration/")</f>
        <v/>
      </c>
      <c r="G4725" t="inlineStr">
        <is>
          <t>2018-04-26 01:08:17</t>
        </is>
      </c>
      <c r="H4725" t="inlineStr">
        <is>
          <t>Type 1</t>
        </is>
      </c>
    </row>
    <row r="4726">
      <c r="A4726" t="inlineStr">
        <is>
          <t>8f3417</t>
        </is>
      </c>
      <c r="B4726" t="inlineStr">
        <is>
          <t>Is switching from Lantus to Levemir a 1 to 1 switch? I have to switch soon.</t>
        </is>
      </c>
      <c r="C4726" t="inlineStr">
        <is>
          <t>I assume its like Humalog and Novolog. 1 to 1. So I take 15u Lantus, I take 15u Levemir right? Or do I need to take a bit more or less Levemir?</t>
        </is>
      </c>
      <c r="D4726" t="n">
        <v>3</v>
      </c>
      <c r="E4726" t="n">
        <v>3</v>
      </c>
      <c r="F4726">
        <f>HYPERLINK("https://www.reddit.com/r/diabetes/comments/8f3417/is_switching_from_lantus_to_levemir_a_1_to_1/")</f>
        <v/>
      </c>
      <c r="G4726" t="inlineStr">
        <is>
          <t>2018-04-26 07:34:33</t>
        </is>
      </c>
      <c r="H4726" t="inlineStr">
        <is>
          <t>Type 1</t>
        </is>
      </c>
    </row>
    <row r="4727">
      <c r="A4727" t="inlineStr">
        <is>
          <t>8f4nnr</t>
        </is>
      </c>
      <c r="B4727" t="inlineStr">
        <is>
          <t>well, the next few hours are going to suck...</t>
        </is>
      </c>
      <c r="C4727" t="inlineStr">
        <is>
          <t xml:space="preserve">step 1: be on the end of your sensor, so it's accuracy is more than a little suspect  
step 2: eat crappy carb-laden vending machine food for lunch  
step 3: already be a little high  
step 4: take lunch bolus not realizing that your infusion set isn't completely clicked in  
step 5: have your sensor end just after realizing step 4.  
so, I have no idea how much of that 7.7 units of insulin I actually got. if I got none of it, I'm heading up to around 550. </t>
        </is>
      </c>
      <c r="D4727" t="n">
        <v>43</v>
      </c>
      <c r="E4727" t="n">
        <v>30</v>
      </c>
      <c r="F4727">
        <f>HYPERLINK("https://www.reddit.com/r/diabetes/comments/8f4nnr/well_the_next_few_hours_are_going_to_suck/")</f>
        <v/>
      </c>
      <c r="G4727" t="inlineStr">
        <is>
          <t>2018-04-26 10:51:21</t>
        </is>
      </c>
      <c r="H4727" t="inlineStr">
        <is>
          <t>Type 1</t>
        </is>
      </c>
    </row>
    <row r="4728">
      <c r="A4728" t="inlineStr">
        <is>
          <t>8f6i0c</t>
        </is>
      </c>
      <c r="B4728" t="inlineStr">
        <is>
          <t>Rapid blood sugar drops from basal insulin</t>
        </is>
      </c>
      <c r="C4728" t="inlineStr">
        <is>
          <t>T1, AC 8.9, diagnosed with diabetes 7 years ago, been on insulin for about a year and a half now.
I had another rapid drop in my blood sugars last night. Dropped from 180 mg/dl to 75 mg/dl in a matter of 15 minutes. 
I used to get these rapid drops about once a week or so until I discovered that Humalog gives me quite a kick 5 hours after injecting and sometimes up to 6 hours. So I was basically stacking Humalog without realizing it. Since noting that and compensating accordingly, the episodes have pretty much stopped. Except for a couple of exceptions...
The past month I have had 2 fast drops. The first was about 4 weeks ago. I was running late in the morning, so I took my morning Lantus of 8 units, then hit the shower. Normally, I take the shower, then the Lantus. 1 minute into the shower the Dexcom and XDrip start throwing the alerts. My blood sugar fell from about 195 mg/dl to 100 mg/dl in about 15 minutes. Ate sugar to recover of course. That one I attributed to the hot shower getting the Lantus flowing.
Last night was bit different. I ate fast food (not my normal routine at all) at 6:00 PM and bolused 2 units for it with a carb ratio of 1 unit for 20 grams of carbs. My usual rate is 1:15, but I seem to be a bit more insulin sensitive since I quit smoking 3 weeks ago. 7:30 rolls around and I seemed to have nailed it. Dexcom indicates bg went up 15 md/dl then down 20 mg/dl since the meal. I felt pretty good about that considering some of the struggles I have been having. Then I took my 6 units of evening Lantus at 7:30. (I split my Lantus, 8 in the AM, 6 in the evening). 30 minutes later I start to feel the drop. Ugh. Much sugar, panic and adrenalin later, I have over corrected and on my way up to 200+.
Last night the drop started 2 hours after the humalog injection and 30 minutes after the Lantus. To me, this has to be because of the Lantus. For some reason it just came on fast. I guess it could have been fro the Humalog, but it was 2.5 hours after injecting.
My question is, how 'normal' are these fast drops? Do others experience them and how often?
I ask as I want to know if it's something I am doing, and can adjust for it, or is this something that just happens to diabetics on insulin and I just need to be prepared for it when it happens.
I have read there are several things that can make Lantus hit the system fast. Hot showers, exercise, rubbing the injection site. Has anyone experienced other things that made their basal hit fast? Because I wasn't doing any of those things last night. I was in a recliner chair with my laptop.
Another question, what's the fastest your blood sugar has dropped? Just curious to compare with others.
Thanks for reading.</t>
        </is>
      </c>
      <c r="D4728" t="n">
        <v>6</v>
      </c>
      <c r="E4728" t="n">
        <v>22</v>
      </c>
      <c r="F4728">
        <f>HYPERLINK("https://www.reddit.com/r/diabetes/comments/8f6i0c/rapid_blood_sugar_drops_from_basal_insulin/")</f>
        <v/>
      </c>
      <c r="G4728" t="inlineStr">
        <is>
          <t>2018-04-26 14:51:30</t>
        </is>
      </c>
      <c r="H4728" t="inlineStr">
        <is>
          <t>Type 1</t>
        </is>
      </c>
    </row>
    <row r="4729">
      <c r="A4729" t="inlineStr">
        <is>
          <t>8fd2er</t>
        </is>
      </c>
      <c r="B4729" t="inlineStr">
        <is>
          <t>What snacks and other essentials should I keep in my purse if my fiancé needs something?</t>
        </is>
      </c>
      <c r="C4729" t="inlineStr">
        <is>
          <t xml:space="preserve">If he’s low on blood sugar, what’s the best non-perishable snacks I can have on me to help him out? Anything else cool I can have on hand? He’s had type 1 for 18 years, but thanks to not having insurance, he basically only uses Novalin-R (we’re working on this). 
My grandfather had diabetes but I was too young to know what it all entailed. I’ve been doing my best to research and follow the diabetes subreddits, but figured now was the time to start asking questions! </t>
        </is>
      </c>
      <c r="D4729" t="n">
        <v>9</v>
      </c>
      <c r="E4729" t="n">
        <v>23</v>
      </c>
      <c r="F4729">
        <f>HYPERLINK("https://www.reddit.com/r/diabetes/comments/8fd2er/what_snacks_and_other_essentials_should_i_keep_in/")</f>
        <v/>
      </c>
      <c r="G4729" t="inlineStr">
        <is>
          <t>2018-04-27 09:39:22</t>
        </is>
      </c>
      <c r="H4729" t="inlineStr">
        <is>
          <t>Type 1</t>
        </is>
      </c>
    </row>
    <row r="4730">
      <c r="A4730" t="inlineStr">
        <is>
          <t>8flbjl</t>
        </is>
      </c>
      <c r="B4730" t="inlineStr">
        <is>
          <t>Looking for an endocrinologist that endorses a low-carb diet</t>
        </is>
      </c>
      <c r="C4730" t="inlineStr">
        <is>
          <t>Hi everyone! I was recently diagnosed with type 1 diabetes when I went into DKA in January. I have always been at a good weight \(5'2" 135 lbs\) and have been active. I was devastated that I could even have type 1. I recently had a baby and the doctors thought I had gestational diabetes, but I guess it didn't go away...been really upset about it, but life goes on. Anyway, while I was pregnant I followed the principles of a ketogenic diet to keep my blood sugar under control. I had done a keto diet before this, so felt comfortable starting again during pregnancy. I was already low\-carb, but definitely not in ketosis before pregnancy. Since my diagnosis I have decided I want to continue on a strict ketogenic diet in order to control my diabetes. I just think it makes the most sense and seems waaaaay more worth it then trying to properly dose short acting insulin for a piece of bread or cake that I can probably live without. It totally SUCKS, but like I said I KNOW it's worth it. I'd like to have my organs functioning normally and avoid complications. I read Dr. Bernstein's book and that really cemented my feelings on this.
So, that leads me to my question for you all! I am seeing an endocrinologist in Spokane, WA. and absolutely cannot stand her. I have seen at least two other endos, and they always shit on the whole low\-carb approach, but praise me for my low blood sugar numbers! WTF? I know there is a lot to learn about type 1 and following a ketogenic diet doesn't mean I don't need help. I have a lot of questions about dosing my insulin. Since my diagnosis, I feel like I've been completely on my own. My current endo practically tried to kill me when she switched me from Levemir to Triseba. She told me to take 20 units, but I thought that was too much, so took 12 units and continued to go low for weeks. Good thing I didn't follow her advice to start at 20! I switched back to Levemir under the advice of another doctor and am taking it twice per day. Currently, I take 16 units at day and 2 at night \(I pretty much decide how to dose my insulin completely on my own\). My blood sugar seems pretty good \(ranges from 70s\-120s\), but I get odd spikes from things like cauliflower, spaghetti squash, and high protein foods. I feel like I don't have an endocrinologist I can trust to properly guide me in dosing my insulin. Idk if I need some short acting for protein yet, and I've been scared to try vigorous exercise because at this point I don't have a corrective dose set. I just feel like I'm totally alone in this. How do you guys do this? Have any of you been able to find an endo that works with your low\-carb approach? I don't even know where to begin to find an endo who supports me. Is that even a realistic goal? I just need help navigating this and don't know where to go. I really feel helpless at this point. I'd be willing to travel to the other side of the state to find someone who will work with me. I just don't know how to find a doctor who listens to me. Please let me know what works for you guys.</t>
        </is>
      </c>
      <c r="D4730" t="n">
        <v>8</v>
      </c>
      <c r="E4730" t="n">
        <v>25</v>
      </c>
      <c r="F4730">
        <f>HYPERLINK("https://www.reddit.com/r/diabetes/comments/8flbjl/looking_for_an_endocrinologist_that_endorses_a/")</f>
        <v/>
      </c>
      <c r="G4730" t="inlineStr">
        <is>
          <t>2018-04-28 10:22:36</t>
        </is>
      </c>
      <c r="H4730" t="inlineStr">
        <is>
          <t>Type 1</t>
        </is>
      </c>
    </row>
    <row r="4731">
      <c r="A4731" t="inlineStr">
        <is>
          <t>8foj08</t>
        </is>
      </c>
      <c r="B4731" t="inlineStr">
        <is>
          <t>Latest a1c</t>
        </is>
      </c>
      <c r="C4731" t="inlineStr">
        <is>
          <t>I recently got my a1c. It has risen from a 6.5 to 10.5. Doctor thinks its from stress. Members of r/diabetes, has stress significantly affected your a1c before?</t>
        </is>
      </c>
      <c r="D4731" t="n">
        <v>5</v>
      </c>
      <c r="E4731" t="n">
        <v>16</v>
      </c>
      <c r="F4731">
        <f>HYPERLINK("https://www.reddit.com/r/diabetes/comments/8foj08/latest_a1c/")</f>
        <v/>
      </c>
      <c r="G4731" t="inlineStr">
        <is>
          <t>2018-04-28 19:16:40</t>
        </is>
      </c>
      <c r="H4731" t="inlineStr">
        <is>
          <t>Type 1</t>
        </is>
      </c>
    </row>
    <row r="4732">
      <c r="A4732" t="inlineStr">
        <is>
          <t>8foqgk</t>
        </is>
      </c>
      <c r="B4732" t="inlineStr">
        <is>
          <t>Is anyone taking Apple Cider Vinegar?</t>
        </is>
      </c>
      <c r="C4732" t="inlineStr">
        <is>
          <t>I'm a Type 2 diabetic currently taking 2000 mg metformin daily and on a strict ketogenic diet.
I wake up in the morning typically with a fasting blood sugar of around 150.  if I try to do intermittent fasting, my blood sugar will continue to go up until I east something, sometimes as much as 20 points.  If I eat something it tends to start a downward drift, and I am usually around 120 by lunch time.  And then I tend to bounce around between 120 and 140 throughout the day and I usually go to bed somewhere between 130-140.
Well, 2 months ago I started taking Jardiance and Quercetin, and I saw a pretty big difference.  Fasting blood sugar was 100-110, and if I did intermittent fasting till lunch, my blood sugar would go down to 80.  There were some days where my blood sugar never went above 100.
But there was a problem.  I'm now on my THIRD fungal infection of the penis.  (When you're peeing glucose, you're providing a warm environment AND a tasty food source)  So, I'm officially taking myself off the medicine and looking for alternatives.  Nothing more annoying than an itchy penis all day.
I did a Google search and came up with a thread from someone who was pretty much exactly like me.  Fasting blood sugar of 150, ketogenic diet that lowered it gently, as long as he ate something.  If he didn't it would go up 10-20 points.  I mean, I was kinda surprised how closed his blood sugar levels mirrored my experience.
He said, he was able to lower his blood sugar significantly by taking Milk Thistle and have 2 tablespoons of Apple Cider Vinegar before bed.  He also skipped the vinegar one day, and said hw saw his blood sugar go up the next day, so it seems the vinegar was definitely contributing to his blood sugar control.
I've read numerous health benefits of eating vinegar, so I figured, why not try it.  I went to the grocery store about an hour ago and bought some organic apple cider vinegar.  I was actually quite shocked at how good it tasted.
Is anyone else trying any type of vinegar for blood sugar control?</t>
        </is>
      </c>
      <c r="D4732" t="n">
        <v>0</v>
      </c>
      <c r="E4732" t="n">
        <v>29</v>
      </c>
      <c r="F4732">
        <f>HYPERLINK("https://www.reddit.com/r/diabetes/comments/8foqgk/is_anyone_taking_apple_cider_vinegar/")</f>
        <v/>
      </c>
      <c r="G4732" t="inlineStr">
        <is>
          <t>2018-04-28 19:57:30</t>
        </is>
      </c>
      <c r="H4732" t="inlineStr">
        <is>
          <t>Type 2</t>
        </is>
      </c>
    </row>
    <row r="4733">
      <c r="A4733" t="inlineStr">
        <is>
          <t>8fzaja</t>
        </is>
      </c>
      <c r="B4733" t="inlineStr">
        <is>
          <t>Typo on t:slim X2</t>
        </is>
      </c>
      <c r="C4733" t="inlineStr">
        <is>
          <t xml:space="preserve">So this morning I was 105, but I accidentally entered 405 into my t:slim pump. I noticed after I hit the done key so it is logged in my pump even though I don’t want it to be. It’s going to ruin my averages and standard deviation when I upload my pump data. Is there a way to remove this number either from the pump or from t:connect once I have uploaded?  Thanks. </t>
        </is>
      </c>
      <c r="D4733" t="n">
        <v>1</v>
      </c>
      <c r="E4733" t="n">
        <v>2</v>
      </c>
      <c r="F4733">
        <f>HYPERLINK("https://www.reddit.com/r/diabetes/comments/8fzaja/typo_on_tslim_x2/")</f>
        <v/>
      </c>
      <c r="G4733" t="inlineStr">
        <is>
          <t>2018-04-30 06:05:07</t>
        </is>
      </c>
      <c r="H4733" t="inlineStr">
        <is>
          <t>Type 1</t>
        </is>
      </c>
    </row>
    <row r="4734">
      <c r="A4734" t="inlineStr">
        <is>
          <t>8fzevr</t>
        </is>
      </c>
      <c r="B4734" t="inlineStr">
        <is>
          <t>Did Dexcom ever implement multi-device Blutooth support for Apple Watch?</t>
        </is>
      </c>
      <c r="C4734" t="inlineStr">
        <is>
          <t>It's been about a year since Dexcom [announced this](https://9to5mac.com/2017/06/21/interview-dexcom-ceo-apple-watch-corebluetooth-cgm-diabetes/).  Does anyone know if they ever enabled it?  If so, how can I turn it on?  Half of the time my Dexcom complication just shows "---" instead of a number.  I can't help but feel if it supported the Apple Watch as a native medical device it would more consistently give me a number at a glance.</t>
        </is>
      </c>
      <c r="D4734" t="n">
        <v>2</v>
      </c>
      <c r="E4734" t="n">
        <v>5</v>
      </c>
      <c r="F4734">
        <f>HYPERLINK("https://www.reddit.com/r/diabetes/comments/8fzevr/did_dexcom_ever_implement_multidevice_blutooth/")</f>
        <v/>
      </c>
      <c r="G4734" t="inlineStr">
        <is>
          <t>2018-04-30 06:24:21</t>
        </is>
      </c>
      <c r="H4734" t="inlineStr">
        <is>
          <t>Type 1</t>
        </is>
      </c>
    </row>
    <row r="4735">
      <c r="A4735" t="inlineStr">
        <is>
          <t>8fzk2x</t>
        </is>
      </c>
      <c r="B4735" t="inlineStr">
        <is>
          <t>New Diagnosis: T2</t>
        </is>
      </c>
      <c r="C4735" t="inlineStr">
        <is>
          <t>I’m 25 and was diagnosed when I had my appendix out and my glucose was 655 at the hospital. Since then several checks of A1C are leading my doctor to saying I’m type 2. 
I work out almost daily and don’t have a sweet tooth. 
The struggle is real though! My glucose is so up and down. I struggle to eat on a regular schedule ( I’m a cop) and I think stress and adrenaline are making my sugar go crazy. 
Any words of wisdom for someone who has no idea what’s going on with their body right now?</t>
        </is>
      </c>
      <c r="D4735" t="n">
        <v>3</v>
      </c>
      <c r="E4735" t="n">
        <v>11</v>
      </c>
      <c r="F4735">
        <f>HYPERLINK("https://www.reddit.com/r/diabetes/comments/8fzk2x/new_diagnosis_t2/")</f>
        <v/>
      </c>
      <c r="G4735" t="inlineStr">
        <is>
          <t>2018-04-30 06:46:57</t>
        </is>
      </c>
      <c r="H4735" t="inlineStr">
        <is>
          <t>Type 2</t>
        </is>
      </c>
    </row>
    <row r="4736">
      <c r="A4736" t="inlineStr">
        <is>
          <t>8g4o0i</t>
        </is>
      </c>
      <c r="B4736" t="inlineStr">
        <is>
          <t>Can Injecting more than 30 units of insulin in an hour dangerous?</t>
        </is>
      </c>
      <c r="C4736" t="inlineStr">
        <is>
          <t xml:space="preserve">just wondering because I want to eat but I’m scared I might inject too much if my sugars high </t>
        </is>
      </c>
      <c r="D4736" t="n">
        <v>0</v>
      </c>
      <c r="E4736" t="n">
        <v>21</v>
      </c>
      <c r="F4736">
        <f>HYPERLINK("https://www.reddit.com/r/diabetes/comments/8g4o0i/can_injecting_more_than_30_units_of_insulin_in_an/")</f>
        <v/>
      </c>
      <c r="G4736" t="inlineStr">
        <is>
          <t>2018-04-30 18:18:28</t>
        </is>
      </c>
      <c r="H4736" t="inlineStr">
        <is>
          <t>Type 1</t>
        </is>
      </c>
    </row>
    <row r="4737">
      <c r="A4737" t="inlineStr">
        <is>
          <t>8g63f5</t>
        </is>
      </c>
      <c r="B4737" t="inlineStr">
        <is>
          <t>Struggling with weight on Humalog</t>
        </is>
      </c>
      <c r="C4737" t="inlineStr">
        <is>
          <t xml:space="preserve">I’ve been T1D for a little over a year. This past 6 months I’ve put on 30 pounds and in the last week I’ve put on 10. My blood pressure today was 166/110. I  eat healthy (I monitor everything to cross reference highs and lows) and I am active at both work and in life. 
My doctor today was taken aback by the 10 pounds in a week. We had labs pulled but what do I do?? I dont feel pretty and I am so self conscious. 
Please help. What is wrong with me? What am I doing wrong? </t>
        </is>
      </c>
      <c r="D4737" t="n">
        <v>1</v>
      </c>
      <c r="E4737" t="n">
        <v>16</v>
      </c>
      <c r="F4737">
        <f>HYPERLINK("https://www.reddit.com/r/diabetes/comments/8g63f5/struggling_with_weight_on_humalog/")</f>
        <v/>
      </c>
      <c r="G4737" t="inlineStr">
        <is>
          <t>2018-04-30 22:25:50</t>
        </is>
      </c>
      <c r="H4737" t="inlineStr">
        <is>
          <t>Type 1.5/LADA</t>
        </is>
      </c>
    </row>
    <row r="4738">
      <c r="A4738" t="inlineStr">
        <is>
          <t>8g644o</t>
        </is>
      </c>
      <c r="B4738" t="inlineStr">
        <is>
          <t>Long term traveling with diabetes?</t>
        </is>
      </c>
      <c r="C4738" t="inlineStr">
        <is>
          <t>I'm just wondering if anyone has any experience or suggestions dealing with long term travel. It's been a dream of mine to sail around the world but I don't know how possible it is with T1. How would you fill prescriptions overseas etc?</t>
        </is>
      </c>
      <c r="D4738" t="n">
        <v>1</v>
      </c>
      <c r="E4738" t="n">
        <v>6</v>
      </c>
      <c r="F4738">
        <f>HYPERLINK("https://www.reddit.com/r/diabetes/comments/8g644o/long_term_traveling_with_diabetes/")</f>
        <v/>
      </c>
      <c r="G4738" t="inlineStr">
        <is>
          <t>2018-04-30 22:29:57</t>
        </is>
      </c>
      <c r="H4738" t="inlineStr">
        <is>
          <t>Type 1</t>
        </is>
      </c>
    </row>
    <row r="4739">
      <c r="A4739" t="inlineStr">
        <is>
          <t>8g6nhy</t>
        </is>
      </c>
      <c r="B4739" t="inlineStr">
        <is>
          <t>670g Pump Buttons Raised</t>
        </is>
      </c>
      <c r="C4739" t="inlineStr">
        <is>
          <t>The buttons on my pump looked raised like the adhesive is coming off and it's very strange because I just got the pump about a month ago, is this common? It looks like a square air bubble under a sticker or a screen protector that's poofy and soft...</t>
        </is>
      </c>
      <c r="D4739" t="n">
        <v>2</v>
      </c>
      <c r="E4739" t="n">
        <v>5</v>
      </c>
      <c r="F4739">
        <f>HYPERLINK("https://www.reddit.com/r/diabetes/comments/8g6nhy/670g_pump_buttons_raised/")</f>
        <v/>
      </c>
      <c r="G4739" t="inlineStr">
        <is>
          <t>2018-05-01 00:30:32</t>
        </is>
      </c>
      <c r="H4739" t="inlineStr">
        <is>
          <t>Type 1</t>
        </is>
      </c>
    </row>
    <row r="4740">
      <c r="A4740" t="inlineStr">
        <is>
          <t>8g76kv</t>
        </is>
      </c>
      <c r="B4740" t="inlineStr">
        <is>
          <t>Thinking about starting weightlifting again, got some questions</t>
        </is>
      </c>
      <c r="C4740" t="inlineStr">
        <is>
          <t xml:space="preserve">I have finally sort of found my basal and bolus rates. My nighttime basal is set perfect so that it is a straight line and hopefully keeps at it forever. I have started thinking about training 4 times a week again, haven’t been to the gym in about 3 months lol. My question is, how much of a difference will I see to my basal and bolus? Do I have do change it drastically again? If I train late at night, will I go low during the night, which previously was a perfect straight line at 5,8 mmol?
</t>
        </is>
      </c>
      <c r="D4740" t="n">
        <v>4</v>
      </c>
      <c r="E4740" t="n">
        <v>31</v>
      </c>
      <c r="F4740">
        <f>HYPERLINK("https://www.reddit.com/r/diabetes/comments/8g76kv/thinking_about_starting_weightlifting_again_got/")</f>
        <v/>
      </c>
      <c r="G4740" t="inlineStr">
        <is>
          <t>2018-05-01 02:33:46</t>
        </is>
      </c>
      <c r="H4740" t="inlineStr">
        <is>
          <t>Type 1</t>
        </is>
      </c>
    </row>
    <row r="4741">
      <c r="A4741" t="inlineStr">
        <is>
          <t>8gava6</t>
        </is>
      </c>
      <c r="B4741" t="inlineStr">
        <is>
          <t>My T1 sons prognosis is grim and it’s overwhelming me.</t>
        </is>
      </c>
      <c r="C4741" t="inlineStr">
        <is>
          <t>I’ve been lurking here for awhile now (I’m normally to introverted to post) but I could really use a supportive place to vent right now, I apologize in advance for the novel 😔
I’m watching a train wreck and there’s nothing I can do about it. My son has been a combination of burned out, non-compliant and distressed since junior high with both his T1d (14 years dx’d) and Celiac (9 Years dx’d). 
In 2013 he was in a coma because he went on a trip and wanted to be “normal”. He loved the attention he got at the hospital, he felt like a superstar after he woke up. I thought maybe the coma would open his eyes and he would take his diabetes care a little more seriously but I was wrong. 
He would do pokes and take his insulin at home around me but if he were anywhere else he would skip both. His A1C had occasionally been on the higher side as he got older (especially during puberty) but never over 9. I can write a book on everything I tried to do to get him to take his insulin and test his blood sugar and just generally help him but he’s his own person and I can’t control him or always be there. 
He’s finally 18 now, he turned 18 in December and three months before he moved in with his paternal grandmother. These are not healthy people and they do not have my sons best interest at heart, they’re more interested in destroying what’s left of our relationship even though I’ve been nothing but good to her. 
The thing is, she did it in a way that was so reprehensible. She tried to apply for an emergency order claiming abuse and neglect (claiming he is so skinny because we refused to buy him food) because then she’d get money from the government but since there was no abuse or neglect the case was closed. This very easily could have made things incredibly difficult for us and our youngest son. This still wasn’t good enough for her, she went through social services in TWO different cities and all the meetings were about her wanting money from me and my husband. We caught her in lie after lie and it was incredibly angering because I supported him on my own without any financial help until I married my husband, and we were the only two parents in his life that did so. 
Anyway, those actions made the situation SO much worse. He thinks so low of this whole side of his family now, he never calls or texts but he will respond if I reach out (and I do) but a lot of what he says is lip service and he says what I want to hear. 
The thing is, none of that compares to what’s happening now. He’s been in the hospital in DKA three times in the first six months of him being there, his A1C is 17 and I have never seen him look so skinny or so sick. He’s smoking and drinking (to the point of black outs sometimes) and he’s experimented with drugs. He told me at his last clinic appt his Dr said he was going to die if he kept this up. His bg was so high and he had ketones they sent him to the ER and requested psych because they (someone finally) realize the severity of the situation but. He completely manipulated the psych team into thinking he was fine and since they know nothing about diabetes they don’t see how his actions are self harm. 
After all this he agreed to let me take him to his family Dr so he could get a referral for psychiatry or cognitive behavioural therapy because he admitted he did need help. Appointment day rolls around and he’s changed his mind and he doesn’t need it.
He looks like death and I don’t know what to do because he keeps almost everything from me now when were always so close, even through the teenage years. His grandmother just shows up one day saying they’ve talked about it and he’s moving in with her as soon as he packed his bags and then he was gone.
It drives me crazy because she knows nothing about diabetes. He’s been skinny for a while because of lack of insulin and eating gluten but she’s convinced it’s because I was refusing to buy him food, she doesn’t understand that not taking insulin and consuming gluten can do. 
She doesn’t understand I fought and fought to get him help, that the therapists I took him to stopped seeing him after a visit or two because they said he was fine, or that even an incredibly specialized therapist who also had T1 and was a Diabetes nurse educator (and that was like finding gold) couldn’t help my son. I on the other hand was blessed to have him in my corner to help me along. There aren’t any groups around but I’ve dropped him off at teen seminars and we participate in conferences where he can meet kids his age. We even sent him to camp and got involved with JDRF so he could meet more T1’s, he did make one friend out of all that but it’s difficult, they often get blackout drunk together at parties and she’s not on track herself. Every time I picked him up I prayed he met someone he could relate to but he never did. 
I did everything I could but he needs to be responsible too because it’s his disease. 
He spent the night the other night. He has to be 95 lbs or less by now, there’s no fat in between any of his muscles and his eyes are sunken in. He’s not himself at all, it’s obvious the high bg is really affecting his brain on top of everything else and his skin is a really weird colour. He never once voluntarily took insulin or tested and he “accidentally” ate three gluten cupcakes. It really doesn’t help that he’s asymptomatic. 
And now his grandmother wants him to get his own place. She has him on some kind of income support so he’s paid a living allowance to go to school and apparently his worker will help with this. So when he needs a support net close by the most and when he’s in a very dangerous place health wise he’s going to be living alone. 
I’m scared, I’m angry and I’m terrified he is going to die because as far as I can tell nothing is changing and even though I’m continuing to let him know, and showing him I’m here for him he just keeps living in this fantasy world where he’s invincible and stays away. I know he doesn’t want to die but he won’t get help and he won’t take responsibility either 
Right now all I can do is take care of myself and talk with my therapist. Everything else is out of my hands and I hate it.
I’m really sorry if I offended anyone by anything I said in this rant, I don’t know what it’s like to have diabetes and I’m angry and scared. Nothing I said was meant to trivialize anything. I’m not even sure why I’m sharing this or what I need right now but the people in my life can only understand so much. 
I just needed to vent and  for him to get better. If you’ve made it this far, thank you for listening. I’ve been feeling pretty overwhelmed.</t>
        </is>
      </c>
      <c r="D4741" t="n">
        <v>31</v>
      </c>
      <c r="E4741" t="n">
        <v>54</v>
      </c>
      <c r="F4741">
        <f>HYPERLINK("https://www.reddit.com/r/diabetes/comments/8gava6/my_t1_sons_prognosis_is_grim_and_its_overwhelming/")</f>
        <v/>
      </c>
      <c r="G4741" t="inlineStr">
        <is>
          <t>2018-05-01 11:51:12</t>
        </is>
      </c>
      <c r="H4741" t="inlineStr">
        <is>
          <t>Type 1</t>
        </is>
      </c>
    </row>
    <row r="4742">
      <c r="A4742" t="inlineStr">
        <is>
          <t>8gavbu</t>
        </is>
      </c>
      <c r="B4742" t="inlineStr">
        <is>
          <t>Medicaid insurance for pump</t>
        </is>
      </c>
      <c r="C4742" t="inlineStr">
        <is>
          <t>Hi everyone I was wondering if anyone here has had Medicaid and gotten a pump from tandem? Did it cost you anything?  And if it did, how much?</t>
        </is>
      </c>
      <c r="D4742" t="n">
        <v>1</v>
      </c>
      <c r="E4742" t="n">
        <v>4</v>
      </c>
      <c r="F4742">
        <f>HYPERLINK("https://www.reddit.com/r/diabetes/comments/8gavbu/medicaid_insurance_for_pump/")</f>
        <v/>
      </c>
      <c r="G4742" t="inlineStr">
        <is>
          <t>2018-05-01 11:51:18</t>
        </is>
      </c>
      <c r="H4742" t="inlineStr">
        <is>
          <t>Type 1.5/LADA</t>
        </is>
      </c>
    </row>
    <row r="4743">
      <c r="A4743" t="inlineStr">
        <is>
          <t>8gcacr</t>
        </is>
      </c>
      <c r="B4743" t="inlineStr">
        <is>
          <t>Serious anxiety over committed relationship with T1DM</t>
        </is>
      </c>
      <c r="C4743" t="inlineStr">
        <is>
          <t xml:space="preserve">Please don't judge me straight away!
I am with  my bf for 2 years now and I love him loads and can't imagine life without him. However, he is T1DM and the daily living and the long term prognosis freak me out.
I probably know more about diabetes than your average girlfriend as I am a medical student and diabetes is a big part of my med school's curriculum. Furthermore, I saw a lot of patients with bad complications \(of all sorts\), going blind at 50 or basically being on their death bed before even turning 60. 
On top of that, I keep hearing from my lecturers and clinical educators how bad diabetes is. How diabetes is basically the go to answer for risk factors for any condition. How every condition you can get, including minor infections, is made worse by the fact you have diabetes. 
I look at my boyfriend and I can't imagine that one day, maybe in 40 years or so he can be one of those foot amputation patients or needing dialysis. I spoke to one of diabetic nurses about it and she did reassure me that people who get to that stage are either very bad at controlling their diabetes \(and I can see that when I look at their meter readings and it's never below 15\) or were diagnosed at the time where you had no glucose meters and insulin came in glass ampules. 
But I am still scared. I have to learn all the terrible stats associated with diabetes, all \(common\) complications and I am struggling to differentiate between the horrible diabetes I see while at uni and my boyfriend. 
He is very good with his control, his HbA1c is 7&amp;amp;#37;, he goes to all of his check ups and follow ups...but the anxiety is still there. I don't wanna be a terrible person or lose someone as amazing as him, because of something so out of his control. It is getting to the point I wish I was diagnosed with diabetes just so that I can get that factor out of my head. 
Could someone please give me any advice as to how to cope with his diabetes? I realize I probably sound very stupid, but I feel like none of my friends \(neither of whom have diabetes or interact with someone with diabetes on a daily basis\) can realistically help me and I don't want to raise that issue with my boyfriend as I do not want to make him feel bad about his diabetes. I know he still struggles with accepting his diabetes and the last thing I want to do is to make all that worse. </t>
        </is>
      </c>
      <c r="D4743" t="n">
        <v>6</v>
      </c>
      <c r="E4743" t="n">
        <v>28</v>
      </c>
      <c r="F4743">
        <f>HYPERLINK("https://www.reddit.com/r/diabetes/comments/8gcacr/serious_anxiety_over_committed_relationship_with/")</f>
        <v/>
      </c>
      <c r="G4743" t="inlineStr">
        <is>
          <t>2018-05-01 14:56:40</t>
        </is>
      </c>
      <c r="H4743" t="inlineStr">
        <is>
          <t>Type 1</t>
        </is>
      </c>
    </row>
    <row r="4744">
      <c r="A4744" t="inlineStr">
        <is>
          <t>8gcqk1</t>
        </is>
      </c>
      <c r="B4744" t="inlineStr">
        <is>
          <t>Dexcom question</t>
        </is>
      </c>
      <c r="C4744" t="inlineStr">
        <is>
          <t xml:space="preserve">Started using Dexcom today and I’m reading 292 today while a finger stick reads 268 and 271. Is it common for Dexcom to be 20-30 points off from a finger stick? </t>
        </is>
      </c>
      <c r="D4744" t="n">
        <v>1</v>
      </c>
      <c r="E4744" t="n">
        <v>8</v>
      </c>
      <c r="F4744">
        <f>HYPERLINK("https://www.reddit.com/r/diabetes/comments/8gcqk1/dexcom_question/")</f>
        <v/>
      </c>
      <c r="G4744" t="inlineStr">
        <is>
          <t>2018-05-01 16:02:29</t>
        </is>
      </c>
      <c r="H4744" t="inlineStr">
        <is>
          <t>Type 1</t>
        </is>
      </c>
    </row>
    <row r="4745">
      <c r="A4745" t="inlineStr">
        <is>
          <t>8gdf68</t>
        </is>
      </c>
      <c r="B4745" t="inlineStr">
        <is>
          <t>Probably an overdone post, but I (22F) was just diagnosed with T1 and would be interested in any advice you have.</t>
        </is>
      </c>
      <c r="C4745" t="inlineStr">
        <is>
          <t xml:space="preserve">I came into the hospital on Sunday with a blood sugar reading of 807, completely unaware that I’m T1D. I was admitted to intensive care and am still at the hospital, but my readings are better now (down to about 130, but now I’m back up to 338ish as of a few hours ago). I’m in that weird in between of sort of accepting of it/sort of dreading my future and how I’m going to deal with this for the rest of my life. The doctors have not been super helpful. Does anyone have any advice for me? 
I am also traveling to Berlin in 3 weeks for two months for a study abroad program that I can’t (and refuse to) drop out of. It’s two months long. I’ve communicated this to my doctor and he’s going to ensure I have the amount I need and hopefully I’ll even be able to get a CGM. I’ve also made the school aware of my T1 and they’re more than willing to make any accommodations (not quite sure what that should entail?). If anyone has any advice on this I’d really appreciate it, too! </t>
        </is>
      </c>
      <c r="D4745" t="n">
        <v>8</v>
      </c>
      <c r="E4745" t="n">
        <v>8</v>
      </c>
      <c r="F4745">
        <f>HYPERLINK("https://www.reddit.com/r/diabetes/comments/8gdf68/probably_an_overdone_post_but_i_22f_was_just/")</f>
        <v/>
      </c>
      <c r="G4745" t="inlineStr">
        <is>
          <t>2018-05-01 17:50:41</t>
        </is>
      </c>
      <c r="H4745" t="inlineStr">
        <is>
          <t>Type 1</t>
        </is>
      </c>
    </row>
    <row r="4746">
      <c r="A4746" t="inlineStr">
        <is>
          <t>8ggjov</t>
        </is>
      </c>
      <c r="B4746" t="inlineStr">
        <is>
          <t>Omnipod placement</t>
        </is>
      </c>
      <c r="C4746" t="inlineStr">
        <is>
          <t>I keep hitting my omnipod on things like walls etc, does this ruin it? Does the little tube fall out? Weird question but it kind off unsettled me that it sounds so easy for it to fall out</t>
        </is>
      </c>
      <c r="D4746" t="n">
        <v>1</v>
      </c>
      <c r="E4746" t="n">
        <v>5</v>
      </c>
      <c r="F4746">
        <f>HYPERLINK("https://www.reddit.com/r/diabetes/comments/8ggjov/omnipod_placement/")</f>
        <v/>
      </c>
      <c r="G4746" t="inlineStr">
        <is>
          <t>2018-05-02 04:04:11</t>
        </is>
      </c>
      <c r="H4746" t="inlineStr">
        <is>
          <t>Type 1</t>
        </is>
      </c>
    </row>
    <row r="4747">
      <c r="A4747" t="inlineStr">
        <is>
          <t>8ghsw0</t>
        </is>
      </c>
      <c r="B4747" t="inlineStr">
        <is>
          <t>Update on my diabetic friend</t>
        </is>
      </c>
      <c r="C4747" t="inlineStr">
        <is>
          <t>Precursor: [https://www.reddit.com/r/diabetes/comments/8dw74w/optionals\_for\_my\_diabetic\_friend/](https://www.reddit.com/r/diabetes/comments/8dw74w/optionals_for_my_diabetic_friend/)
As of today my friend has changed his diet over the course of week and half. He decides that cheating on his diet should be no more and that he needs to cut out the high crab foods.  Instead of having whole grain cereal he ducks out on yogurt for a breakfast serving. Sandwiches are still made on whole grain bread, but he's decides to cut out the cheese\-net crackers out of his diet and just snacks out on fruit and vegetables. My friend texted me on Monday that when the family was. having pasta for dinner he just had a salad and small sausage, not trying to eat the other sugar\-loaded servings. He's always been good about exercising but after eating he went on the treadmill and speed\-walk for an hour. As for checking his blood sugar he's going to get new test stripes so he can start texting his glucose after eating dinner. From what I can gather he's treading on the right path for his lifestyle.</t>
        </is>
      </c>
      <c r="D4747" t="n">
        <v>24</v>
      </c>
      <c r="E4747" t="n">
        <v>23</v>
      </c>
      <c r="F4747">
        <f>HYPERLINK("https://www.reddit.com/r/diabetes/comments/8ghsw0/update_on_my_diabetic_friend/")</f>
        <v/>
      </c>
      <c r="G4747" t="inlineStr">
        <is>
          <t>2018-05-02 07:26:44</t>
        </is>
      </c>
      <c r="H4747" t="inlineStr">
        <is>
          <t>Type 2</t>
        </is>
      </c>
    </row>
    <row r="4748">
      <c r="A4748" t="inlineStr">
        <is>
          <t>8gkgry</t>
        </is>
      </c>
      <c r="B4748" t="inlineStr">
        <is>
          <t>Insulin Rant</t>
        </is>
      </c>
      <c r="C4748" t="inlineStr">
        <is>
          <t xml:space="preserve">About 6 months ago, I had to leave my job because of my health. I'm American, so there goes my health insurance. It took 2-3 months to hear back from Medicaid that I was denied because I didn't "send my paperwork". This post isn't about that; I expected to be jerked around for a while. 
I was on Lantus and Novolog. I did what I could to get samples and discounts but it wasn't sustainable without a job. So I had to switch to Novolin R and N. My body and these insulins hate each other. I have been adjusting my dosages and times of dosages for months now and my body can't settle on one. My blood sugar either skyrockets in the morning and drops really low around midnight or it just does what it wants and it's a surprise. 
So my day now consistents of having high blood sugar until late afternoon and then I can start my day. I have gastroparesis and insulin resistance. I'm using CICO to lose weight but that's slow. At least I have insulin.
God bless the U.S.A. and having diabetes. </t>
        </is>
      </c>
      <c r="D4748" t="n">
        <v>5</v>
      </c>
      <c r="E4748" t="n">
        <v>9</v>
      </c>
      <c r="F4748">
        <f>HYPERLINK("https://www.reddit.com/r/diabetes/comments/8gkgry/insulin_rant/")</f>
        <v/>
      </c>
      <c r="G4748" t="inlineStr">
        <is>
          <t>2018-05-02 13:09:45</t>
        </is>
      </c>
      <c r="H4748" t="inlineStr">
        <is>
          <t>Type 1</t>
        </is>
      </c>
    </row>
    <row r="4749">
      <c r="A4749" t="inlineStr">
        <is>
          <t>8gn08g</t>
        </is>
      </c>
      <c r="B4749" t="inlineStr">
        <is>
          <t>Dexcom finger sticks</t>
        </is>
      </c>
      <c r="C4749" t="inlineStr">
        <is>
          <t xml:space="preserve">I started the G5 Tuesday morning and calibrated at 8am. I forgot about it and wasn’t paying attention and realized around 1130 or so that night that I didn’t do the 12 hour calibration so I did it then. Then I did it at noon the next day when it asked. Can I reset the 12 hour window to be a more manageable time frame of when I’d be awake? I work nights so I’m not usually up at noon. I’d much rather have it at 7a/p daily so can I skip a calibration then just do it at 7a/p to essentially reset it? Or will I mess it up by either calibrating too much or not enough? </t>
        </is>
      </c>
      <c r="D4749" t="n">
        <v>2</v>
      </c>
      <c r="E4749" t="n">
        <v>16</v>
      </c>
      <c r="F4749">
        <f>HYPERLINK("https://www.reddit.com/r/diabetes/comments/8gn08g/dexcom_finger_sticks/")</f>
        <v/>
      </c>
      <c r="G4749" t="inlineStr">
        <is>
          <t>2018-05-02 19:21:21</t>
        </is>
      </c>
      <c r="H4749" t="inlineStr">
        <is>
          <t>Type 1</t>
        </is>
      </c>
    </row>
    <row r="4750">
      <c r="A4750" t="inlineStr">
        <is>
          <t>8gncij</t>
        </is>
      </c>
      <c r="B4750" t="inlineStr">
        <is>
          <t>OmniPod settings questions.</t>
        </is>
      </c>
      <c r="C4750" t="inlineStr">
        <is>
          <t xml:space="preserve">After being in a Dexcom G5 for a day and feeling like I’m chasing the graph, is there any good way to judge if my basal rate is accurate? I got super low at 1130pm last night, corrected it but then got super low again at 330a and decided to turn off my basal. Woke up and between 330a and 930a I stayed at around 160mg with 1-2 little higher or lower readings but overall I was constant. Is there an accurate way to judge if my basal is good or too low or too high? I’ve been on 14.4u a day or .60u/hr. I’ve never had issues with going low randomly except when I’ve either taken too much insulin or I’ve eaten and the food hits me before the insulin does. But now in only a day I’ve had more lows than I have had all year and watching my trend I still go low outside of eating and I’m just utterly confused. </t>
        </is>
      </c>
      <c r="D4750" t="n">
        <v>1</v>
      </c>
      <c r="E4750" t="n">
        <v>12</v>
      </c>
      <c r="F4750">
        <f>HYPERLINK("https://www.reddit.com/r/diabetes/comments/8gncij/omnipod_settings_questions/")</f>
        <v/>
      </c>
      <c r="G4750" t="inlineStr">
        <is>
          <t>2018-05-02 20:18:42</t>
        </is>
      </c>
      <c r="H4750" t="inlineStr">
        <is>
          <t>Type 1</t>
        </is>
      </c>
    </row>
    <row r="4751">
      <c r="A4751" t="inlineStr">
        <is>
          <t>8gvw0f</t>
        </is>
      </c>
      <c r="B4751" t="inlineStr">
        <is>
          <t>OmniPod question</t>
        </is>
      </c>
      <c r="C4751" t="inlineStr">
        <is>
          <t xml:space="preserve">Now that I’m on a Dexcom and seeing how my insulin affects me in certain situations I’m just curious if there’s a hard # in terms of how quickly BG should drop over say an hour or multiple hours. 
I started the G5 on Tuesday and since then I’ve been mindful of what I’ve eaten and haven’t eaten nearly as much shit as I did before. Before I’d eat McDonald’s or fast food right before starting work, eat bunch of junk food etc throughout, eat something for lunch then grab McDonald’s again for breakfast on way home in the mornings. I’d dose for the majority and never ran low but now that I’ve been watching what I eat I run low a lot more. I’m guessing since I was always eating crap and dosing and still running a little high my activity at work would negate it or whatever. 
I’m thinking I need to change my basal either just for work or throughout the entire day and was just curious if there’s an acceptable range of drop for readings over the course of an hour. </t>
        </is>
      </c>
      <c r="D4751" t="n">
        <v>4</v>
      </c>
      <c r="E4751" t="n">
        <v>9</v>
      </c>
      <c r="F4751">
        <f>HYPERLINK("https://www.reddit.com/r/diabetes/comments/8gvw0f/omnipod_question/")</f>
        <v/>
      </c>
      <c r="G4751" t="inlineStr">
        <is>
          <t>2018-05-03 19:23:30</t>
        </is>
      </c>
      <c r="H4751" t="inlineStr">
        <is>
          <t>Type 1</t>
        </is>
      </c>
    </row>
    <row r="4752">
      <c r="A4752" t="inlineStr">
        <is>
          <t>8gz9bb</t>
        </is>
      </c>
      <c r="B4752" t="inlineStr">
        <is>
          <t>6 months in</t>
        </is>
      </c>
      <c r="C4752" t="inlineStr">
        <is>
          <t>I know there's a lot of these, but I'm proud, dammit! Six months in and finally had a new A1C done. I am down to a 6.6 from my 10.8 at diagnosis. Also just set up an appointment to discuss starting on a pump. It's the little things. Any pump recommendations would be truly appreciated! (:</t>
        </is>
      </c>
      <c r="D4752" t="n">
        <v>33</v>
      </c>
      <c r="E4752" t="n">
        <v>10</v>
      </c>
      <c r="F4752">
        <f>HYPERLINK("https://www.reddit.com/r/diabetes/comments/8gz9bb/6_months_in/")</f>
        <v/>
      </c>
      <c r="G4752" t="inlineStr">
        <is>
          <t>2018-05-04 06:31:52</t>
        </is>
      </c>
      <c r="H4752" t="inlineStr">
        <is>
          <t>Type 1.5/LADA</t>
        </is>
      </c>
    </row>
    <row r="4753">
      <c r="A4753" t="inlineStr">
        <is>
          <t>8h59lf</t>
        </is>
      </c>
      <c r="B4753" t="inlineStr">
        <is>
          <t>Diabetic Clumsiness</t>
        </is>
      </c>
      <c r="C4753" t="inlineStr">
        <is>
          <t xml:space="preserve">Any diabetics out there who have become very clumsy? I notice this happening to me and I'm concerned. Is this a typical diabetic symptom or should I look for other causes? I'm type 2 and I take insulin. </t>
        </is>
      </c>
      <c r="D4753" t="n">
        <v>0</v>
      </c>
      <c r="E4753" t="n">
        <v>13</v>
      </c>
      <c r="F4753">
        <f>HYPERLINK("https://www.reddit.com/r/diabetes/comments/8h59lf/diabetic_clumsiness/")</f>
        <v/>
      </c>
      <c r="G4753" t="inlineStr">
        <is>
          <t>2018-05-04 21:38:08</t>
        </is>
      </c>
      <c r="H4753" t="inlineStr">
        <is>
          <t>Type 2</t>
        </is>
      </c>
    </row>
    <row r="4754">
      <c r="A4754" t="inlineStr">
        <is>
          <t>8h6gab</t>
        </is>
      </c>
      <c r="B4754" t="inlineStr">
        <is>
          <t>Weird thing that happened</t>
        </is>
      </c>
      <c r="C4754" t="inlineStr">
        <is>
          <t xml:space="preserve">5 hours since I ate breakfast. Was going down to make myself lunch and felt like I was having a hypo, checked my Accu Check 3 times in a row, got 3,6 mmol, 3,7 mmol and 3,6 mmol. Did not eat any fast acting carbs but made myself lunch and did not pre-bolus. Checked my sugar again right before eating and it was at 5,1 mmol. Why is this? What brought it up? I did not eat any sweets?
</t>
        </is>
      </c>
      <c r="D4754" t="n">
        <v>2</v>
      </c>
      <c r="E4754" t="n">
        <v>19</v>
      </c>
      <c r="F4754">
        <f>HYPERLINK("https://www.reddit.com/r/diabetes/comments/8h6gab/weird_thing_that_happened/")</f>
        <v/>
      </c>
      <c r="G4754" t="inlineStr">
        <is>
          <t>2018-05-05 02:17:11</t>
        </is>
      </c>
      <c r="H4754" t="inlineStr">
        <is>
          <t>Type 1</t>
        </is>
      </c>
    </row>
    <row r="4755">
      <c r="A4755" t="inlineStr">
        <is>
          <t>8h9ok9</t>
        </is>
      </c>
      <c r="B4755" t="inlineStr">
        <is>
          <t>Family Support Group?</t>
        </is>
      </c>
      <c r="C4755" t="inlineStr">
        <is>
          <t>How do you convince a family member who is in denial about their diabetes?  Someone who refuses to watch their diets at all and weigh over 300 pounds? Because they are active and have no debilitating symptoms they abuse themselves...its almost like having am alcoholic in the house in denial.......It is hard to watch...like watching a smoker get lung cancer and not stop smoking.....is there a support group for family members of diabetics  ???</t>
        </is>
      </c>
      <c r="D4755" t="n">
        <v>0</v>
      </c>
      <c r="E4755" t="n">
        <v>2</v>
      </c>
      <c r="F4755">
        <f>HYPERLINK("https://www.reddit.com/r/diabetes/comments/8h9ok9/family_support_group/")</f>
        <v/>
      </c>
      <c r="G4755" t="inlineStr">
        <is>
          <t>2018-05-05 12:13:48</t>
        </is>
      </c>
      <c r="H4755" t="inlineStr">
        <is>
          <t>Type 1</t>
        </is>
      </c>
    </row>
    <row r="4756">
      <c r="A4756" t="inlineStr">
        <is>
          <t>8hhfj6</t>
        </is>
      </c>
      <c r="B4756" t="inlineStr">
        <is>
          <t>Is too much protein bad?</t>
        </is>
      </c>
      <c r="C4756" t="inlineStr">
        <is>
          <t>Through working out my doctor said to be careful of protein shakes and other supplements due to their protein to carb ratio, I don’t know if she was saying protein was bad or not if anyone would like to clarify.</t>
        </is>
      </c>
      <c r="D4756" t="n">
        <v>5</v>
      </c>
      <c r="E4756" t="n">
        <v>6</v>
      </c>
      <c r="F4756">
        <f>HYPERLINK("https://www.reddit.com/r/diabetes/comments/8hhfj6/is_too_much_protein_bad/")</f>
        <v/>
      </c>
      <c r="G4756" t="inlineStr">
        <is>
          <t>2018-05-06 12:04:19</t>
        </is>
      </c>
      <c r="H4756" t="inlineStr">
        <is>
          <t>Type 1</t>
        </is>
      </c>
    </row>
    <row r="4757">
      <c r="A4757" t="inlineStr">
        <is>
          <t>8hjomf</t>
        </is>
      </c>
      <c r="B4757" t="inlineStr">
        <is>
          <t>Looking to find the Best App for Diabetes Management as of today (May 2018)</t>
        </is>
      </c>
      <c r="C4757" t="inlineStr">
        <is>
          <t>Hey all,
I’ve been recently using the app Glucose Buddy and I do like it a lot, but I feel like it’s missing some things. Does anyone have any recommendations for apps that they use to keep up with their Diabetes and whatnot?</t>
        </is>
      </c>
      <c r="D4757" t="n">
        <v>5</v>
      </c>
      <c r="E4757" t="n">
        <v>17</v>
      </c>
      <c r="F4757">
        <f>HYPERLINK("https://www.reddit.com/r/diabetes/comments/8hjomf/looking_to_find_the_best_app_for_diabetes/")</f>
        <v/>
      </c>
      <c r="G4757" t="inlineStr">
        <is>
          <t>2018-05-06 17:51:01</t>
        </is>
      </c>
      <c r="H4757" t="inlineStr">
        <is>
          <t>Type 1</t>
        </is>
      </c>
    </row>
    <row r="4758">
      <c r="A4758" t="inlineStr">
        <is>
          <t>8hohtc</t>
        </is>
      </c>
      <c r="B4758" t="inlineStr">
        <is>
          <t>Question on OmniPod dosing</t>
        </is>
      </c>
      <c r="C4758" t="inlineStr">
        <is>
          <t xml:space="preserve">When I’m dosing for more food or whatever and have IOB still how does it read on the screen when confirming the dosage? For example, I forget whether I was eating again or if correcting but I went through everything and the screen said recommended dose: 2, (corrected for IOB) giving dose: 2. Why would the recommended and giving be the same? Shouldn’t it be less then the IOB or is the IOB already calculated in the recommended dose? </t>
        </is>
      </c>
      <c r="D4758" t="n">
        <v>3</v>
      </c>
      <c r="E4758" t="n">
        <v>7</v>
      </c>
      <c r="F4758">
        <f>HYPERLINK("https://www.reddit.com/r/diabetes/comments/8hohtc/question_on_omnipod_dosing/")</f>
        <v/>
      </c>
      <c r="G4758" t="inlineStr">
        <is>
          <t>2018-05-07 08:48:16</t>
        </is>
      </c>
      <c r="H4758" t="inlineStr">
        <is>
          <t>Type 1</t>
        </is>
      </c>
    </row>
    <row r="4759">
      <c r="A4759" t="inlineStr">
        <is>
          <t>8hs31p</t>
        </is>
      </c>
      <c r="B4759" t="inlineStr">
        <is>
          <t>Any men in here carry their supplies in a bag? Like one of those draw string backpacks?</t>
        </is>
      </c>
      <c r="C4759" t="inlineStr">
        <is>
          <t xml:space="preserve">Lee debating whether or not I want to start carrying my supplies in a bag or not. Right now I just carry the zipper pouch that came with my OmniPod which doesn’t give me room to carry an extra pod or supplies should something happen. I just started Dexcom last week and use my phone so that’s not a total issue but just curious if anyone uses a bag? Backpack? Male purse? What do you guys use? Do you find it to be a hassle? </t>
        </is>
      </c>
      <c r="D4759" t="n">
        <v>3</v>
      </c>
      <c r="E4759" t="n">
        <v>19</v>
      </c>
      <c r="F4759">
        <f>HYPERLINK("https://www.reddit.com/r/diabetes/comments/8hs31p/any_men_in_here_carry_their_supplies_in_a_bag/")</f>
        <v/>
      </c>
      <c r="G4759" t="inlineStr">
        <is>
          <t>2018-05-07 16:36:38</t>
        </is>
      </c>
      <c r="H4759" t="inlineStr">
        <is>
          <t>Type 1</t>
        </is>
      </c>
    </row>
    <row r="4760">
      <c r="A4760" t="inlineStr">
        <is>
          <t>8hvr04</t>
        </is>
      </c>
      <c r="B4760" t="inlineStr">
        <is>
          <t>Question about Levemir</t>
        </is>
      </c>
      <c r="C4760" t="inlineStr">
        <is>
          <t>I've previously accidentally injected my short acting insulin into what i think was a vein and then promptly gone low because of the insanely fast effect.
I was wondering if something similar could happen when I inject my Levemir as I've heard that at least Lantus could behave like a short acting insulin if it ends up in muscle or a vein?
I've tried to look it up online but I've just ended up with a lot of different opinions and no definitive answer.</t>
        </is>
      </c>
      <c r="D4760" t="n">
        <v>13</v>
      </c>
      <c r="E4760" t="n">
        <v>6</v>
      </c>
      <c r="F4760">
        <f>HYPERLINK("https://www.reddit.com/r/diabetes/comments/8hvr04/question_about_levemir/")</f>
        <v/>
      </c>
      <c r="G4760" t="inlineStr">
        <is>
          <t>2018-05-08 03:51:25</t>
        </is>
      </c>
      <c r="H4760" t="inlineStr">
        <is>
          <t>Type 1</t>
        </is>
      </c>
    </row>
    <row r="4761">
      <c r="A4761" t="inlineStr">
        <is>
          <t>8hza2q</t>
        </is>
      </c>
      <c r="B4761" t="inlineStr">
        <is>
          <t>Insulin injection sites</t>
        </is>
      </c>
      <c r="C4761" t="inlineStr">
        <is>
          <t>Hello! I am reaching out to all of my fellow pen users, what are the best injection sites for you? I find it impossible to do it anywhere else besides my stomach. I try my upper legs, but can never get it to work out. My stomach is starting to get fairly sore so I would like to try some other methods. I unfortunately live all by myself and can't utilize the back of my arms because I can't have anyone help me out. Any advice would be much appreciated!</t>
        </is>
      </c>
      <c r="D4761" t="n">
        <v>2</v>
      </c>
      <c r="E4761" t="n">
        <v>10</v>
      </c>
      <c r="F4761">
        <f>HYPERLINK("https://www.reddit.com/r/diabetes/comments/8hza2q/insulin_injection_sites/")</f>
        <v/>
      </c>
      <c r="G4761" t="inlineStr">
        <is>
          <t>2018-05-08 11:56:44</t>
        </is>
      </c>
      <c r="H4761" t="inlineStr">
        <is>
          <t>Type 1</t>
        </is>
      </c>
    </row>
    <row r="4762">
      <c r="A4762" t="inlineStr">
        <is>
          <t>8i3ebl</t>
        </is>
      </c>
      <c r="B4762" t="inlineStr">
        <is>
          <t>Last Dexcom sensor died…</t>
        </is>
      </c>
      <c r="C4762" t="inlineStr">
        <is>
          <t>My last Dexcom sensor died, and since I’m a college student going to school out of state I’m really lost as to how my parents handle my meds, so I’m out of sensors for now (until we figure out how to order more). Has this happened to anyone else, and how do you survive without a CGM? I keep telling myself I survived 10 years without one, but these past couple months have been a lot less stressful until now :(</t>
        </is>
      </c>
      <c r="D4762" t="n">
        <v>5</v>
      </c>
      <c r="E4762" t="n">
        <v>8</v>
      </c>
      <c r="F4762">
        <f>HYPERLINK("https://www.reddit.com/r/diabetes/comments/8i3ebl/last_dexcom_sensor_died/")</f>
        <v/>
      </c>
      <c r="G4762" t="inlineStr">
        <is>
          <t>2018-05-08 22:01:20</t>
        </is>
      </c>
      <c r="H4762" t="inlineStr">
        <is>
          <t>Type 1</t>
        </is>
      </c>
    </row>
    <row r="4763">
      <c r="A4763" t="inlineStr">
        <is>
          <t>8i3teb</t>
        </is>
      </c>
      <c r="B4763" t="inlineStr">
        <is>
          <t>T1 Diabetes Survey for Student Project</t>
        </is>
      </c>
      <c r="C4763" t="inlineStr">
        <is>
          <t xml:space="preserve">Hi reddit! I'm a college student and am currently doing a research project on T1 diabetes and insulin pumps. I would love to hear about your experiences managing your T1 diabetes, and would be much obliged if you could take the time to answer the following survey. If anyone is willing to chat in more detail, I'd also love to know more about your daily care routines. 
Survey Link below. This information will only be used for academic purposes and remain anonymous:
[https://drive.google.com/open?id=17A0odPrIkCTVgXsmkg8Xof2bXzsKxaarg6xLb3kQsXg](https://drive.google.com/open?id=17A0odPrIkCTVgXsmkg8Xof2bXzsKxaarg6xLb3kQsXg)
Thanks for taking the time! </t>
        </is>
      </c>
      <c r="D4763" t="n">
        <v>1</v>
      </c>
      <c r="E4763" t="n">
        <v>5</v>
      </c>
      <c r="F4763">
        <f>HYPERLINK("https://www.reddit.com/r/diabetes/comments/8i3teb/t1_diabetes_survey_for_student_project/")</f>
        <v/>
      </c>
      <c r="G4763" t="inlineStr">
        <is>
          <t>2018-05-08 23:26:58</t>
        </is>
      </c>
      <c r="H4763" t="inlineStr">
        <is>
          <t>Type 1</t>
        </is>
      </c>
    </row>
    <row r="4764">
      <c r="A4764" t="inlineStr">
        <is>
          <t>8i4xxi</t>
        </is>
      </c>
      <c r="B4764" t="inlineStr">
        <is>
          <t>Things my 15 year old sister who recently got diagnosed with Type 1 diabetes should know</t>
        </is>
      </c>
      <c r="C4764" t="inlineStr">
        <is>
          <t xml:space="preserve">Hi reddit, 
As the title says, what should she know? What are the changes in lifestyle she should expect? How should she deal with T1D? No one I know in my family has t1d and it would be great to gain some knowledge from those living with it. 
Thanks :\) </t>
        </is>
      </c>
      <c r="D4764" t="n">
        <v>45</v>
      </c>
      <c r="E4764" t="n">
        <v>65</v>
      </c>
      <c r="F4764">
        <f>HYPERLINK("https://www.reddit.com/r/diabetes/comments/8i4xxi/things_my_15_year_old_sister_who_recently_got/")</f>
        <v/>
      </c>
      <c r="G4764" t="inlineStr">
        <is>
          <t>2018-05-09 03:35:20</t>
        </is>
      </c>
      <c r="H4764" t="inlineStr">
        <is>
          <t>Type 1</t>
        </is>
      </c>
    </row>
    <row r="4765">
      <c r="A4765" t="inlineStr">
        <is>
          <t>8i9r5n</t>
        </is>
      </c>
      <c r="B4765" t="inlineStr">
        <is>
          <t>I am ridiculously sensitive to carbs in the evening. Is there anything I can do about it?</t>
        </is>
      </c>
      <c r="C4765" t="inlineStr">
        <is>
          <t xml:space="preserve">So after a week of using a FreeStyle Libre, I have FINALLY found what is keeping my A1C higher than expected; in the evenings, I am so ridiculously sensitive to carbohydrates that 10g can get my BG from the low 100's to 200\+ in 30 minutes. The spikes are so hard and fast that I was missing them with my regular meter, but now they're clear as day. What's more, my BG does not fall at all once I go to sleep. What I thought was bad dawn phenomenon is actually my body maintaining high blood sugar all throughout the night, so if I screw up at dinner it follows me into the next day. 
Obviously, step #1 is slash my carbohydrate intake in the evenings. I was eating up to 25 grams at dinner, mostly from vegetables but sometimes from the occasional grain like quinoa. For now I'm keeping it under 10. Daily carb intake was 80\-100 grams but will be lowered to 60\-ish with these new dinners. I have also tried splitting up my meds and taking some at night, although it doesn't seem to make a much of a difference. Currently I take 25 mg of Jardiance and 2 mg of Gliberide in the mornings, and 2 more mg of Gliberide in the evening with dinners. Finally, I am exercising daily: weight lifting 3x/week, light jogging 2\-3x, and long walks on all other days. I have about 30 lbs of body fat to lose, but that comes off when I keep my BG in check. 
Is there anything I can do to lower my insulin resistance in the evenings? When I'm this sensitive, it's so easy to accidentally shoot past 200 and mess up the next 14\-16 hrs of BG management. It doesn't help that Jardiance lowers the threshold of DKA to 250, so I *really* don't like getting that high. I don't feel like I have much support from my endo since my A1C is 6.5 and considered good control. However, I could be much closer to 6.0 if it wasn't for these terrible spikes. Any advice? Cinnamon or vinegar capsules or something? </t>
        </is>
      </c>
      <c r="D4765" t="n">
        <v>2</v>
      </c>
      <c r="E4765" t="n">
        <v>3</v>
      </c>
      <c r="F4765">
        <f>HYPERLINK("https://www.reddit.com/r/diabetes/comments/8i9r5n/i_am_ridiculously_sensitive_to_carbs_in_the/")</f>
        <v/>
      </c>
      <c r="G4765" t="inlineStr">
        <is>
          <t>2018-05-09 14:44:09</t>
        </is>
      </c>
      <c r="H4765" t="inlineStr">
        <is>
          <t>Type 2</t>
        </is>
      </c>
    </row>
    <row r="4766">
      <c r="A4766" t="inlineStr">
        <is>
          <t>8iaixl</t>
        </is>
      </c>
      <c r="B4766" t="inlineStr">
        <is>
          <t>Dexcom calibration</t>
        </is>
      </c>
      <c r="C4766" t="inlineStr">
        <is>
          <t xml:space="preserve">Can I or should I not calibrate when 5 mins prior I just took insulin and about to eat? I didn’t think about it until just now but I did a fingerstick for food, bolused, then 5 or so mins later Dexcom asked for a calibration and I didn’t even think about it until now and just entered the reading from few mins prior. </t>
        </is>
      </c>
      <c r="D4766" t="n">
        <v>3</v>
      </c>
      <c r="E4766" t="n">
        <v>3</v>
      </c>
      <c r="F4766">
        <f>HYPERLINK("https://www.reddit.com/r/diabetes/comments/8iaixl/dexcom_calibration/")</f>
        <v/>
      </c>
      <c r="G4766" t="inlineStr">
        <is>
          <t>2018-05-09 16:38:09</t>
        </is>
      </c>
      <c r="H4766" t="inlineStr">
        <is>
          <t>Type 1</t>
        </is>
      </c>
    </row>
    <row r="4767">
      <c r="A4767" t="inlineStr">
        <is>
          <t>8ianeq</t>
        </is>
      </c>
      <c r="B4767" t="inlineStr">
        <is>
          <t>I can’t contain my excitement! And I know only you guys would understand!</t>
        </is>
      </c>
      <c r="C4767" t="inlineStr">
        <is>
          <t>I just got off the phone with byram health and they have finished processing and authorizing for my pump! I should receive it in 3 days! Just in time for my birthday and 10 year diaversary!!! So excited!</t>
        </is>
      </c>
      <c r="D4767" t="n">
        <v>74</v>
      </c>
      <c r="E4767" t="n">
        <v>9</v>
      </c>
      <c r="F4767">
        <f>HYPERLINK("https://www.reddit.com/r/diabetes/comments/8ianeq/i_cant_contain_my_excitement_and_i_know_only_you/")</f>
        <v/>
      </c>
      <c r="G4767" t="inlineStr">
        <is>
          <t>2018-05-09 16:56:55</t>
        </is>
      </c>
      <c r="H4767" t="inlineStr">
        <is>
          <t>Type 1.5/LADA</t>
        </is>
      </c>
    </row>
    <row r="4768">
      <c r="A4768" t="inlineStr">
        <is>
          <t>8icbhf</t>
        </is>
      </c>
      <c r="B4768" t="inlineStr">
        <is>
          <t>dawn/ sunrise effect</t>
        </is>
      </c>
      <c r="C4768" t="inlineStr">
        <is>
          <t>so ive noticed my blood sugar goes up in the morning.  why is this?  does anyone have any personal stories on how the dawn/sunrise effect effected them?  did you do anything to reduce it?  right now im not excercising but ive cmpletely changed my diet.  in the past 2 weeks ive went from 400\+ down to high 100s at the moment.  well see what happens in the next few weeks etc.</t>
        </is>
      </c>
      <c r="D4768" t="n">
        <v>1</v>
      </c>
      <c r="E4768" t="n">
        <v>1</v>
      </c>
      <c r="F4768">
        <f>HYPERLINK("https://www.reddit.com/r/diabetes/comments/8icbhf/dawn_sunrise_effect/")</f>
        <v/>
      </c>
      <c r="G4768" t="inlineStr">
        <is>
          <t>2018-05-09 21:44:26</t>
        </is>
      </c>
      <c r="H4768" t="inlineStr">
        <is>
          <t>Type 2</t>
        </is>
      </c>
    </row>
    <row r="4769">
      <c r="A4769" t="inlineStr">
        <is>
          <t>8ifnwt</t>
        </is>
      </c>
      <c r="B4769" t="inlineStr">
        <is>
          <t>Newly diagnosed full time nanny, child’s parents are worried. How to respond?</t>
        </is>
      </c>
      <c r="C4769" t="inlineStr">
        <is>
          <t>Hey everyone! Sorry for the long post, but I am in a pickle! 
I was diagnosed with type 1 about a month ago and for the most part, the disease has not slowed me down or interfered with my life (other than now having to stick myself and always having to be prepared with sugar, insulin etc.) at all. I am a full time nanny (50 hrs a week) for a one year old little boy. I really adore him and love his family so much, they are great people to work for! 
Since my diagnosis, I have had a few doctors appointments and education sessions. Each time, I gave the parents advanced notice and even told them that from now on I will be having to go to the doc more often which they seemed to understand. I haven’t missed any days but did have to leave a few hours early on Monday because I was feeling dizzy and strange all morning and didn’t think that I was in the greatest shape to care for the little one. 
Lately, we have toyed with the idea of me getting a car seat so that I can take the baby to story time, music time etc but this morning, his mom expressed some serious concern about me taking him places since I have T1 and they don’t want me to have what happened on Monday while we are out. She also said that they cannot keep missing work and leaving work without notice (they have only had to do that once). First of all, of course I completely understand where she is coming from and I think that she has a right to be concerned especially since this is so new to all of us. But I also feel stuck in a crappy situation because it’s not like those risks will go away. I feel like I can’t comfort her because even though for the most part I am managing it very well, (have a CGM and check often), I will still have unexpected bad days. Any advice on how to address this situation?</t>
        </is>
      </c>
      <c r="D4769" t="n">
        <v>1</v>
      </c>
      <c r="E4769" t="n">
        <v>1</v>
      </c>
      <c r="F4769">
        <f>HYPERLINK("https://www.reddit.com/r/diabetes/comments/8ifnwt/newly_diagnosed_full_time_nanny_childs_parents/")</f>
        <v/>
      </c>
      <c r="G4769" t="inlineStr">
        <is>
          <t>2018-05-10 08:16:44</t>
        </is>
      </c>
      <c r="H4769" t="inlineStr">
        <is>
          <t>Type 1</t>
        </is>
      </c>
    </row>
    <row r="4770">
      <c r="A4770" t="inlineStr">
        <is>
          <t>8imkrs</t>
        </is>
      </c>
      <c r="B4770" t="inlineStr">
        <is>
          <t>My pump won’t bolus. Really old pump but I just need it to work a while longer. Advise without criticizing pls.</t>
        </is>
      </c>
      <c r="C4770" t="inlineStr">
        <is>
          <t xml:space="preserve">It’s very old, I know it’s natural to have issues. It’s minimed 523. Does anyone have advice how to fix it. I can’t find trouble shooting guide. I feel like I can fix it if I had a guide of some sort. </t>
        </is>
      </c>
      <c r="D4770" t="n">
        <v>5</v>
      </c>
      <c r="E4770" t="n">
        <v>15</v>
      </c>
      <c r="F4770">
        <f>HYPERLINK("https://www.reddit.com/r/diabetes/comments/8imkrs/my_pump_wont_bolus_really_old_pump_but_i_just/")</f>
        <v/>
      </c>
      <c r="G4770" t="inlineStr">
        <is>
          <t>2018-05-11 03:02:31</t>
        </is>
      </c>
      <c r="H4770" t="inlineStr">
        <is>
          <t>Type 1</t>
        </is>
      </c>
    </row>
    <row r="4771">
      <c r="A4771" t="inlineStr">
        <is>
          <t>8ioe2g</t>
        </is>
      </c>
      <c r="B4771" t="inlineStr">
        <is>
          <t>Should I worry?</t>
        </is>
      </c>
      <c r="C4771" t="inlineStr">
        <is>
          <t>I have type 2 diabetes but I don't take any medications yet. I exercise twice a week and I watch my diet. That's what my family doctor recommended.  I recently started to monitor my blood sugar level closely since I got a new blood glucose meter. This chart shows the past 30 days [https://i.imgur.com/kstWOKL.jpg](https://i.imgur.com/kstWOKL.jpg) .As you can see I usually check it before breakfast, after work and before bedtime. Should I worry?</t>
        </is>
      </c>
      <c r="D4771" t="n">
        <v>2</v>
      </c>
      <c r="E4771" t="n">
        <v>6</v>
      </c>
      <c r="F4771">
        <f>HYPERLINK("https://www.reddit.com/r/diabetes/comments/8ioe2g/should_i_worry/")</f>
        <v/>
      </c>
      <c r="G4771" t="inlineStr">
        <is>
          <t>2018-05-11 07:58:17</t>
        </is>
      </c>
      <c r="H4771" t="inlineStr">
        <is>
          <t>Type 2</t>
        </is>
      </c>
    </row>
    <row r="4772">
      <c r="A4772" t="inlineStr">
        <is>
          <t>8ioopn</t>
        </is>
      </c>
      <c r="B4772" t="inlineStr">
        <is>
          <t>T2's, how often do you test daily?</t>
        </is>
      </c>
      <c r="C4772" t="inlineStr">
        <is>
          <t xml:space="preserve">I got a free "sample" of a Freestyle Libre from my endo, but if I want insurance to pay for sensors I need to prove that I test 6\+ times daily. Hence I have been paying a lot more attention to frequency of testing lately. Thinking back, it took a lot of convincing to have my doctor prescribe more than 3 strips per day. It gave me the impression that it is less common to test so frequently with T2, but it could just be my insurance company being stingy. How often do y'all test? Fasting? 1 hr postprandial? 2 hr postprandial? </t>
        </is>
      </c>
      <c r="D4772" t="n">
        <v>3</v>
      </c>
      <c r="E4772" t="n">
        <v>29</v>
      </c>
      <c r="F4772">
        <f>HYPERLINK("https://www.reddit.com/r/diabetes/comments/8ioopn/t2s_how_often_do_you_test_daily/")</f>
        <v/>
      </c>
      <c r="G4772" t="inlineStr">
        <is>
          <t>2018-05-11 08:35:36</t>
        </is>
      </c>
      <c r="H4772" t="inlineStr">
        <is>
          <t>Type 2</t>
        </is>
      </c>
    </row>
    <row r="4773">
      <c r="A4773" t="inlineStr">
        <is>
          <t>8iseiz</t>
        </is>
      </c>
      <c r="B4773" t="inlineStr">
        <is>
          <t>Type 1 weight loss tips</t>
        </is>
      </c>
      <c r="C4773" t="inlineStr">
        <is>
          <t>Hey all, 
Brand new to this sub, but I have had type 1 since 2012 and during my honeymoon phase maintaining a health lifestyle and weight was easy. I noticed as I progressed and the honeymoon phase came to an end it was getting harder to be as healthy and keep my weight in check. I have a hit a border and need/want some advice or tips. 
How do you handle your blood sugar with deiting and exercise. I would like to lose a few pounds (first goal is 25lbs and second goal is an additional 25lbs). Any tips or suggestions? I seem to spin my wheels as I eat well and be active but then my blood sugar just drops and I have to eat to not drop too low. 
Thanks all!</t>
        </is>
      </c>
      <c r="D4773" t="n">
        <v>2</v>
      </c>
      <c r="E4773" t="n">
        <v>15</v>
      </c>
      <c r="F4773">
        <f>HYPERLINK("https://www.reddit.com/r/diabetes/comments/8iseiz/type_1_weight_loss_tips/")</f>
        <v/>
      </c>
      <c r="G4773" t="inlineStr">
        <is>
          <t>2018-05-11 17:09:13</t>
        </is>
      </c>
      <c r="H4773" t="inlineStr">
        <is>
          <t>Type 1</t>
        </is>
      </c>
    </row>
    <row r="4774">
      <c r="A4774" t="inlineStr">
        <is>
          <t>8isk4j</t>
        </is>
      </c>
      <c r="B4774" t="inlineStr">
        <is>
          <t>Work troubles and diabetes</t>
        </is>
      </c>
      <c r="C4774" t="inlineStr">
        <is>
          <t xml:space="preserve">Hey guys! So, today (for the first time in three years working where i do), i took my lunch break and drove home to eat. I live a mile and a half away from work. Just as i got home, my dexcom alerted me for a BG of 60. I ate lunch and had some juice (more than i normally would). It was time to go back to work, but for whatever reason my sugar was 42. I texted my boss and told her I’d be a few minutes late because i wasn’t going to drive when my sugar was that low. 
She basically said that i need to control it better because, although it’s not a big deal today, in the future this could really screw up everyone’s schedule at work. When i got to work (about 15-20 minutes later than it should have been), she said in the future she would just tell me not to come in for the rest of the day if this situation arose again.
I work in a small retail store, and it’s expected that people leave for work. I guess i could start packing a lunch to avoid this, but that seems sorta pointless when i live so close. 
Anyway, I’m not sure that’s even legal for her to do, is it? Like you can’t cut someone’s hours because of a disease, right?  </t>
        </is>
      </c>
      <c r="D4774" t="n">
        <v>12</v>
      </c>
      <c r="E4774" t="n">
        <v>23</v>
      </c>
      <c r="F4774">
        <f>HYPERLINK("https://www.reddit.com/r/diabetes/comments/8isk4j/work_troubles_and_diabetes/")</f>
        <v/>
      </c>
      <c r="G4774" t="inlineStr">
        <is>
          <t>2018-05-11 17:35:35</t>
        </is>
      </c>
      <c r="H4774" t="inlineStr">
        <is>
          <t>Type 1</t>
        </is>
      </c>
    </row>
    <row r="4775">
      <c r="A4775" t="inlineStr">
        <is>
          <t>8j01a9</t>
        </is>
      </c>
      <c r="B4775" t="inlineStr">
        <is>
          <t>CGM Artist Competition (Concept)</t>
        </is>
      </c>
      <c r="C4775" t="inlineStr">
        <is>
          <t>A few weeks ago, I had an idea.
Wouldn't it be cool if there was a competition where a group of type 1 diabetics wearing CGMs had to create the best piece of art using the CGM trace. At their disposal would be a variety of food and drink with differing glycemic indices and total carbs, and a variety of insulin available to them from rapid acting to long acting. They are of course able to exercise as well if they wish.
After 12 hours the traces are displayed, and a panel of judges pick the best one. Maybe a city skyline? Maybe a word? Maybe the outline of an animal? We'd have to wait and see.
Obviously I don't ever think that this SHOULD happen, as playing with blood glucose is not a very clever thing to do, but it's just a fun concept don't you think?</t>
        </is>
      </c>
      <c r="D4775" t="n">
        <v>2</v>
      </c>
      <c r="E4775" t="n">
        <v>1</v>
      </c>
      <c r="F4775">
        <f>HYPERLINK("https://www.reddit.com/r/diabetes/comments/8j01a9/cgm_artist_competition_concept/")</f>
        <v/>
      </c>
      <c r="G4775" t="inlineStr">
        <is>
          <t>2018-05-12 17:01:17</t>
        </is>
      </c>
      <c r="H4775" t="inlineStr">
        <is>
          <t>Type 1</t>
        </is>
      </c>
    </row>
    <row r="4776">
      <c r="A4776" t="inlineStr">
        <is>
          <t>8j7id5</t>
        </is>
      </c>
      <c r="B4776" t="inlineStr">
        <is>
          <t>Diet and Type 2 Diabetes</t>
        </is>
      </c>
      <c r="C4776" t="inlineStr">
        <is>
          <t>Hello everyone! We are students conducting research on type 2 diabetes and diet. We kindly ask for your participation in our **brief online survey**. The survey is **anonymous** and completely voluntary.
**Link to survey**: [https://docs.google.com/forms/d/e/1FAIpQLSdOHDsn00r2jEYs9tjuacXSgJTvsdjzBjTwhClTHk6Kh\-xotg/viewform?usp=sf\_link](https://docs.google.com/forms/d/e/1FAIpQLSdOHDsn00r2jEYs9tjuacXSgJTvsdjzBjTwhClTHk6Kh-xotg/viewform?usp=sf_link)
Estimated time: **5 minutes**
Compensation: Sincere gratitude \(thank you!\)
Contact Information: Please message or comment if you have any questions.
Our study benefit this particular community as we are hoping to learn more about the relationship between type 2 diabetics and a plant\-based diet. The information gathered within this study is for learning purposes. IRB exemption was provided via the course instructor.
*Moderators were notified of this post prior to submitting, however, they* ***do not endorse the researchers or the research project****. Moderators* ***do not have any affiliation*** *with the research being conducted.*</t>
        </is>
      </c>
      <c r="D4776" t="n">
        <v>6</v>
      </c>
      <c r="E4776" t="n">
        <v>1</v>
      </c>
      <c r="F4776">
        <f>HYPERLINK("https://www.reddit.com/r/diabetes/comments/8j7id5/diet_and_type_2_diabetes/")</f>
        <v/>
      </c>
      <c r="G4776" t="inlineStr">
        <is>
          <t>2018-05-13 15:26:04</t>
        </is>
      </c>
      <c r="H4776" t="inlineStr">
        <is>
          <t>Type 2</t>
        </is>
      </c>
    </row>
    <row r="4777">
      <c r="A4777" t="inlineStr">
        <is>
          <t>8j94e7</t>
        </is>
      </c>
      <c r="B4777" t="inlineStr">
        <is>
          <t>Got the Access Pass for the National Park Service!</t>
        </is>
      </c>
      <c r="C4777" t="inlineStr">
        <is>
          <t xml:space="preserve">I’ve seen the posts a few times about the lifetime access pass for the National Park Service and was definitely interested in getting one. 
I went to a couple of parks over the weekend and asked to have one at a visitor center. The initial ask from an employee was to see the disability tag from my car mirror. The other employee stepped up and explained I would have to sign a declaration of disability or show a doctor’s note. He jokingly said I could also show my insulin. When I went to grab my note from my kit, he saw my supplies and immediately passed along the pass and said I was all set. 
It was an excellent experience overall and we gladly used the pass. Of course I’m now more frivolous in tipping the staff at cafes and making purchases at the gift shop. </t>
        </is>
      </c>
      <c r="D4777" t="n">
        <v>46</v>
      </c>
      <c r="E4777" t="n">
        <v>16</v>
      </c>
      <c r="F4777">
        <f>HYPERLINK("https://www.reddit.com/r/diabetes/comments/8j94e7/got_the_access_pass_for_the_national_park_service/")</f>
        <v/>
      </c>
      <c r="G4777" t="inlineStr">
        <is>
          <t>2018-05-13 19:56:10</t>
        </is>
      </c>
      <c r="H4777" t="inlineStr">
        <is>
          <t>Type 1</t>
        </is>
      </c>
    </row>
    <row r="4778">
      <c r="A4778" t="inlineStr">
        <is>
          <t>8ja1je</t>
        </is>
      </c>
      <c r="B4778" t="inlineStr">
        <is>
          <t>10 days since T1 diagnosis abroad in Japan: the experience so far</t>
        </is>
      </c>
      <c r="C4778" t="inlineStr">
        <is>
          <t>Let me introduce myself: I am 26, originally from Europe and doing my master's degree in Japan. I felt like writing this post to share my experience with joining the club under somewhat unusual circumstances and being very far away from home, and perhaps someday someone in a similar situation could use it as a reference, or maybe some kind of reassurance for themselves.
As I believe is the case with many of T1 people, it all began quite rapidly and dramatically: just a couple weeks before me visiting the hospital, the thirst had kicked in. My god was it bad: on some days I burned through 4-5 litres of liquids, which simply wouldn't want to stay in my body. Every morning, the first thought being "I have to go, NOW". Then I'd start getting night or morning foot cramps, which would make navigating stairs to reach the loo oh so much more fun. 
At first I thought it might be some metabolic imbalance, maybe vitamin shortage. As a life sciences major, I know that body can pull many stunts like that if it lacks some seemingly minor thing, and with my somewhat irregular lifestyle due to grad school for the past month or so, I had certain support for my guess. So I decided to drink plenty of supplements for a week and go see a doctor to get some blood work done if there is no sign of improvement. In retrospect, maybe that's the thing that reduced the severity of my ion imbalance when I presented to the doctor's office with DKA the week later.
The DKA... Overall I didn't feel horrible, to be fair. We had an upcoming 4-day weekend due to national holidays, and on Wednesday, the last business day of that week, I went to see my trusted ENT with another guess that maybe my semi-chronic sinus infection has gone out of control. Happened before, no biggie. Mentioned all of my symptoms so far, got a reassurance that in this unstable weather lots and lots of people complain of dry mouth due to allergies and inflammations and whatnot, muscle cramps due to temperature variations are also not unheard of etc., got an antibiotic prescription for 4 days and was told to come again on Monday if there's no improvement. Felt like it was working for a while, but on Thu-Fri night I had noticed that my heartbeat is definitely too rapid and strong for the resting state, so I knew I had to go to a no-holiday clinic the next day, and so I did. After looking at my questionnaire, the doctor has asked to submit a urine sample. In just 10 minutes they're telling me that I have sugar in it, along with extremely high ketones. I already know where it's going. Finger prick, glucometer, and I measure at 760 mg/dL. Trying to keep his face as calm as possible and even doing some small talk like where am I from and how long have I been staying in Japan, the doctor informs me that we have a medical emergency here, and they'll prepare the paperwork for me to get admitted to the closest hospital immediately. The nurse in the examination room definitely wasn't as calm, her face read something along the lines of "you might as well be comatose at this point, but your speech is not impaired at all and you're telling me you came here by *bus*?"
Leaving the clinic, my girlfriend and I catch a taxi and go to the hospital. They're already informed of me coming, and soon enough I'm hooked to saline IV drip, and after about an hour of physical examinations and having my vitals measured, they guide me to their ICU. For some time it was mostly nurses putting more needles into my hand, but eventually the doctor who admitted me comes and starts to explain the situation. My blood work came with BG of 850 mg/dL and A1c of 12, strongly suggesting T1 diabetes that has been going on for a couple months at this point. I get told that they'll continue drawing and checking my blood, and get me started on IV insulin pump as soon as my blood potassium is more stable and they fix the slightly lowered blood pH of 7.3. Overall everything is very professional, no escalation and no panic. I'm reassured that they will be looking at my condition very closely over the night, so shouldn't worry and can get as much rest as I need. The rest of the evening has been more or less uneventful, mostly involving me browsing this subreddit to get a glimpse of what I may be facing in the future.
Next morning I was considered stable enough to be moved from the ICU to regular patient room, which marked the beginning of intermittently frustrating 4-5 days. On the first day (Saturday) they have stopped the IV fluids (fun dehydration data: in 20 hours I have received 5 L of IV fluids, yet produced only 800 mL of urine) and eventually the insulin pump as well, however nothing more was being done. They let me eat the regular hospital food, which included around 70-80 g of carbs per serving in form of rice and occasional fruits, but didn't bother to check my BG more than 4 times a day: before meals and before sleep. BG always measured above 400, and they'd start giving me a small adjustment dose of insulin from the day 2 noon, but it was always very conservative and not enough to help the glucose drop to slightly more human[e] levels. On Sunday, my doctor-in-charge was absent as well, and the temporary replacement doctor couldn't take responsibility for any changes in the regimen, including my request to maybe measure at least the postprandial BG as well, so that, you know, we could start collecting more meaningful data and seeing some trends. "We will discuss and consider it" was the answer, which after spending 1.5 years in Japan I knew meant "sorry, I think you're out of luck here".
Monday is when things started moving into better direction. My doctor came in the morning and I could express my concern about measurement and injection frequency to him.
— Do you think it's too frequent? We have some patients complaining about that.  
— God no, on the contrary, measure the hell out of me – I don't mind the occasional finger pricks.  
— Got it, we'll adjust it. We will also have a dietician and a pharmacist visit you to brief you on various things today or tomorrow. 
*Okay, that's more like it.*  
That evening I was given a glucose meter to do the measurements myself. "Nurse will come to help guide you while you learn. We'll also tell you the numbers for insulin units you receive from now on."
By Tuesday they have arranged an insulin pen prescription, so I was taught how give myself injections as well. They also gave me a set of Japanese DVDs for newly diagnosed diabetes patients and asked me to take a close look. Now I've read accounts on the Japanese medicine being very modern, yet clearly lagging behind the West in some aspects, however I hadn't experienced the latter before I watched those DVDs, which were produced in year 1996, and also obviously aimed at T2D patients, one reason for that being an extremely low incidence of T1 in Japanese population. In other words, looking at middle-aged Japanese people managing T2 by exercising in those cheesy 90's track suits and fearmongering about their experiences becoming blind or requiring dialysis due to negligence was... fun, so to speak, but not exactly helpful. Well, not a big deal, the internet has much more information on that, and I've been educating myself for 4 days already in absence of any better things to do in the hospital.
Tuesday evening my doctor comes for a long talk. Says that they're looking at having me discharged tomorrow, asks me if I have any questions or worries. Lets me know that the GAD antibody tests came back positive after all, but some more antibody tests will come later and she would tell me the results on a next Friday appointment. Tells that they are looking into the nearby hospitals that deal with  CGM solutions and that they will arrange all the referrals for me. Wednesday morning they hand me all the supplies: 2 pens, needles, a glucose meter, and even a huge box of alcohol swabs and glucose pills, all covered by the public health insurance (here as a resident I have to pay 30% of total medical expenses, and can file for a refund if expenses exceed my monthly premium, depending on my tax bracket). Instructions are that I give myself 6u Lantus every morning and 6u Novorapid before every meal, without any adjustments on my own for now, before they are confident that I have enough experience with controlling the condition well enough. I am not explicitly told to count carbs or calories in any way, but I say to my doctor that I intend to do so from now on, and she replies that it's a good idea, as long as I take all the precautions to not go hypo, and we shall see each other next Friday and see how well I'm doing. With that my attending staff members wish me good luck with warm smiles, I pay my bills and head out home.
These 5 days of me being on my own, by experimenting with my carb intake and meal composition I have managed to get my BG from mid-300s into 130-250 ranges (god it can be difficult to find proper food sometimes, with rice being bloody everywhere), which makes me happy, even though I definitely struggle with getting more stable values throughout the day. On Saturday, when my glucose was possibly the lowest in several months, I was riding my bicycle and thinking that I haven't felt so good for quite a while. Then today my doctor has called and told me that they have arranged the appointment with another hospital and I may be able to apply for CGM soon enough, which hopefully would make the BG monitoring so much easier.
Overall, I think I got a very good treatment, despite the few hiccups here and there. I was lucky to have a good command of Japanese language by this point, and it feels that my doctors did their best to educate themselves on the topic of T1 management, with my case possibly being among the very few, or maybe even the first they have seen in their lifetime. I could have gotten into a hospital with older, more conservative doctors who believe only their own authority (generally in Japan, two main things no to ever be questioned are age and doctors, which can make a dangerous combination), or I could have been without a support that I got from my girlfriend and even her family during my hospital stay. I am also not sure how far could I have gone without speaking Japanese: in my previous experience with medicine here, some younger doctors speak excellent English, but that cannot be said about everyone – I would expect the same from nurses, for example, and 80% of my interaction in the hospital was in fact with the nurse staff.
I am definitely not extatic about my diagnosis, but I also understand it is not the end of the world, and there is no reason to pity myself or despair. Perhaps with more healthy lifestyle my overall health will become only better than before – the time will tell. But for now, I will continue living my life and hopefully learning to manage everything better day by day. That's my story and experience so far, and my thanks go to everyoneone who had the patience to read it through. Of course, any comments, suggestions or accounts of similar experiences are more than welcome, and I'll do my best to reply to everyone.</t>
        </is>
      </c>
      <c r="D4778" t="n">
        <v>55</v>
      </c>
      <c r="E4778" t="n">
        <v>30</v>
      </c>
      <c r="F4778">
        <f>HYPERLINK("https://www.reddit.com/r/diabetes/comments/8ja1je/10_days_since_t1_diagnosis_abroad_in_japan_the/")</f>
        <v/>
      </c>
      <c r="G4778" t="inlineStr">
        <is>
          <t>2018-05-13 22:55:27</t>
        </is>
      </c>
      <c r="H4778" t="inlineStr">
        <is>
          <t>Type 1</t>
        </is>
      </c>
    </row>
    <row r="4779">
      <c r="A4779" t="inlineStr">
        <is>
          <t>8ja96m</t>
        </is>
      </c>
      <c r="B4779" t="inlineStr">
        <is>
          <t>Sudden need for alot more insulin</t>
        </is>
      </c>
      <c r="C4779" t="inlineStr">
        <is>
          <t>Hey, about three days ago i was going to change my pump, and then suddenly my blood sugar just went up to 10 mmol and i have been fighting these days to keep it down. I have changed several pumps, I thought it was because my pump was broken. It was not that, I think it is maybe sickness? But I do not feel sick at all. I have changed my basal rates to +25% of what it was 3 days ago. It is now working better, i woke up at 5,9 mmol. The thing i am scared about is, what if this is that i am just sick? Will my insulin need suddenly go down alot soon?
It might be that i am off my honeymoon, but does that happen just suddently?</t>
        </is>
      </c>
      <c r="D4779" t="n">
        <v>5</v>
      </c>
      <c r="E4779" t="n">
        <v>13</v>
      </c>
      <c r="F4779">
        <f>HYPERLINK("https://www.reddit.com/r/diabetes/comments/8ja96m/sudden_need_for_alot_more_insulin/")</f>
        <v/>
      </c>
      <c r="G4779" t="inlineStr">
        <is>
          <t>2018-05-13 23:43:29</t>
        </is>
      </c>
      <c r="H4779" t="inlineStr">
        <is>
          <t>Type 1</t>
        </is>
      </c>
    </row>
    <row r="4780">
      <c r="A4780" t="inlineStr">
        <is>
          <t>8jcn2j</t>
        </is>
      </c>
      <c r="B4780" t="inlineStr">
        <is>
          <t>Just a rant on 670G "BG required"...</t>
        </is>
      </c>
      <c r="C4780" t="inlineStr">
        <is>
          <t>WHY?! Why do you ask? YOU ALREADY KNOW! I am going to just look at what you think I am at and I am going to tell you that number. WHY DO YOU TALK SO MUCH? And why do I have to scroll up the number to enter it, YOU ALREADY KNOW THE NUMBER!
Sorry, that is all...</t>
        </is>
      </c>
      <c r="D4780" t="n">
        <v>23</v>
      </c>
      <c r="E4780" t="n">
        <v>28</v>
      </c>
      <c r="F4780">
        <f>HYPERLINK("https://www.reddit.com/r/diabetes/comments/8jcn2j/just_a_rant_on_670g_bg_required/")</f>
        <v/>
      </c>
      <c r="G4780" t="inlineStr">
        <is>
          <t>2018-05-14 07:23:33</t>
        </is>
      </c>
      <c r="H4780" t="inlineStr">
        <is>
          <t>Type 1</t>
        </is>
      </c>
    </row>
    <row r="4781">
      <c r="A4781" t="inlineStr">
        <is>
          <t>8jdnu2</t>
        </is>
      </c>
      <c r="B4781" t="inlineStr">
        <is>
          <t>Basal adjustments for keto</t>
        </is>
      </c>
      <c r="C4781" t="inlineStr">
        <is>
          <t>Can anyone point me in the direction of something I can read/watch to understand how I should be adjusting my basal rate on my pump when starting the keto diet? I am mathematically challenged and having difficulty figuring this out. I can understand the theory of what needs to change but putting it into practice has me stumped!</t>
        </is>
      </c>
      <c r="D4781" t="n">
        <v>1</v>
      </c>
      <c r="E4781" t="n">
        <v>18</v>
      </c>
      <c r="F4781">
        <f>HYPERLINK("https://www.reddit.com/r/diabetes/comments/8jdnu2/basal_adjustments_for_keto/")</f>
        <v/>
      </c>
      <c r="G4781" t="inlineStr">
        <is>
          <t>2018-05-14 09:30:05</t>
        </is>
      </c>
      <c r="H4781" t="inlineStr">
        <is>
          <t>Type 1</t>
        </is>
      </c>
    </row>
    <row r="4782">
      <c r="A4782" t="inlineStr">
        <is>
          <t>8jfguw</t>
        </is>
      </c>
      <c r="B4782" t="inlineStr">
        <is>
          <t>Trouble determining if I have diabetic retinopathy</t>
        </is>
      </c>
      <c r="C4782" t="inlineStr">
        <is>
          <t>One of my biggest fears are the complications that come from diabetes. I'm in nursing school and just learning about all of the severe complications\-\-so I may just becoming a hypochondriac, but I'm not sure. My most recent A1C was 6.9&amp;amp;#37; \(back in December\), however I have not had a retinopathy check for about two years now and my last results came out fine. 
I also haven't had a normal eye exam in about 4 years. I wear glasses and I know that's really bad. My dad says there's no need to get a normal eye exam soon because it's not covered by insurance and I'll be getting one in July with my endocrinologist. I feel like my vision is a lot more blurred than usual \(no floaters\) but it's just like a haze overall. I can see, drive, and interact with my surroundings fine. I'm just concerned and I may just be thinking things. Any advice helps</t>
        </is>
      </c>
      <c r="D4782" t="n">
        <v>1</v>
      </c>
      <c r="E4782" t="n">
        <v>6</v>
      </c>
      <c r="F4782">
        <f>HYPERLINK("https://www.reddit.com/r/diabetes/comments/8jfguw/trouble_determining_if_i_have_diabetic_retinopathy/")</f>
        <v/>
      </c>
      <c r="G4782" t="inlineStr">
        <is>
          <t>2018-05-14 13:14:20</t>
        </is>
      </c>
      <c r="H4782" t="inlineStr">
        <is>
          <t>Type 1</t>
        </is>
      </c>
    </row>
    <row r="4783">
      <c r="A4783" t="inlineStr">
        <is>
          <t>8jkkyx</t>
        </is>
      </c>
      <c r="B4783" t="inlineStr">
        <is>
          <t>Something that caught my eye during my exam</t>
        </is>
      </c>
      <c r="C4783" t="inlineStr">
        <is>
          <t>I have another classmate which has type 1, and I was in the middle of my exam and I looked to my left and he was drinking regular coke and eating chocolate and buns. I was thinking: «okay he has a hypo» but he kept on eating till the end of my exam lol. He has had type 1 WAAY longer than me, so i’m wondering... is he just a «bad» diabetic or has he learned how to drink coke etc with fast acting insulin? I thought no insulin made to this day is fast enough for coke lol</t>
        </is>
      </c>
      <c r="D4783" t="n">
        <v>15</v>
      </c>
      <c r="E4783" t="n">
        <v>28</v>
      </c>
      <c r="F4783">
        <f>HYPERLINK("https://www.reddit.com/r/diabetes/comments/8jkkyx/something_that_caught_my_eye_during_my_exam/")</f>
        <v/>
      </c>
      <c r="G4783" t="inlineStr">
        <is>
          <t>2018-05-15 03:41:44</t>
        </is>
      </c>
      <c r="H4783" t="inlineStr">
        <is>
          <t>Type 1</t>
        </is>
      </c>
    </row>
    <row r="4784">
      <c r="A4784" t="inlineStr">
        <is>
          <t>8juvxe</t>
        </is>
      </c>
      <c r="B4784" t="inlineStr">
        <is>
          <t>New Dexcom G5 user!</t>
        </is>
      </c>
      <c r="C4784" t="inlineStr">
        <is>
          <t xml:space="preserve">Hey all. very excited because my Dexcom G5 will be arriving in the mail in the next day or two. My A1C has been a lot better in the last couple of years compared to when I was younger but I can still do a better job of controlling my swings from low/high and it sounds like the Dexcom will really help with that from what I've read and seen online. 
Been doing some searching on here to get some tips but still have a couple questions and request for suggestions from experienced users. It seems like the best method of adhesion for the sensor is using Flexifix OpSite so I'm ordering a 4" roll from Amazon today. Now I've seen posts and videos with the Flexifx going above the sensor adhesive and also with the sensor going on the Flexifix and not directly on the skin. Has anyone tried both of these methods and prefer one or the other?
Also with that, I'm thinking of starting out with the sensor on my abdomen/hip area. Is this a good spot for a newbie? I do a fairly intense kickboxing class about 3 to 4 times a week so I just worry that having the sensor on my arm won't work too well with punches getting thrown or pushups/burpees. 
And lastly, this is more of an iPhone question but with the sensor connected to my phone through bluetooth, does that mean that I cannot connect to a bluetooth headphones or speakers with the sensor on? I use bluetooth headphones for runs and to connect to my car speakers so hopefully this is not the case but I just want to be sure. </t>
        </is>
      </c>
      <c r="D4784" t="n">
        <v>3</v>
      </c>
      <c r="E4784" t="n">
        <v>5</v>
      </c>
      <c r="F4784">
        <f>HYPERLINK("https://www.reddit.com/r/diabetes/comments/8juvxe/new_dexcom_g5_user/")</f>
        <v/>
      </c>
      <c r="G4784" t="inlineStr">
        <is>
          <t>2018-05-16 06:25:46</t>
        </is>
      </c>
      <c r="H4784" t="inlineStr">
        <is>
          <t>Type 1</t>
        </is>
      </c>
    </row>
    <row r="4785">
      <c r="A4785" t="inlineStr">
        <is>
          <t>8jvqxu</t>
        </is>
      </c>
      <c r="B4785" t="inlineStr">
        <is>
          <t>T1s who were diagnosed young, did you find growing up diabetic to be traumatic at all?</t>
        </is>
      </c>
      <c r="C4785" t="inlineStr">
        <is>
          <t>General trigger/content warning for discussion of abuse, self\-harm, and disordered eating. This is long and some of it is pretty fucked\-up. I apologize. There's a lot to explain.
I was diagnosed with type 1 diabetes when I was five years old. I am currently in therapy \(at age 27\) to help process a lot of trauma I have around the abuse I received from my parents growing up, the abuse I received from an ex, and the difficulty of growing up diabetic and mentally ill \(bipolar disorder, among other things\).
One of the ways in which growing up diabetic was traumatic for me was being forced to understand the concept of "if I don't take my medicine, I'll die" \(and the related concept of "I can't run away from my parents because I'll always have to come back for my insulin"\) from a very young age. It was also traumatic because at the time I was diagnosed \(1996\), the insulins available weren't very flexible so I was forced to stick to a strict meal plan until I went on the pump at age 10 \(and, like, how many children have to eat even when they're not hungry OR stop eating even though they're still hungry?\). And then when I got a bit older and started taking on the upkeep by myself, the stress of having to constantly deal with remembering to take insulin, figuring out how to take the correct dose, remembering to check my blood sugars, etc was really difficult to deal with, especially since I developed mental illness at a pretty young age \(I started experiencing depression at age 10, and my hypomanic episodes started happening when I was 15\-16\). One of the things with depression is that it causes you to let self\-care slide, which, when paired with diabetes, means that blood sugars can spiral out of control. Some of that was also a self\-harm thing \- I knew it was bad and I did it anyway because I wanted to harm myself. \(Some of my self\-harm as a teenager also came in the form of cutting myself using lancets, which is fucked\-up on top of an already fucked\-up behavior. Luckily, that one didn't last too long.\)
One of the other majors ways in which growing up diabetic was traumatic was the role it played in the abuse I received from my parents growing up. I used to get in trouble for having high blood sugars, which \(as you probably know\) is something that can't always be prevented, no matter how tight your control is. Factor in the teenage hormones, undiagnosed mental illness, and the way I used it as a self\-harm mechanism, and my control when I was a teenager was pretty awful. A1Cs in the 9s and 10s. So I'd get in trouble for having high blood sugars and I would be forced to skip meals as a result. And yes, it's bad to eat carbs when your blood sugar is high, but I couldn't even eat carb\-free foods. I eventually started lying about my blood sugars so that I'd be able to eat, which caused even more problems when my parents finally found out about that after an endo appointment. And on top of that, I was constantly told I was fat and that I needed to eat a healthier diet \(even though I was still young enough that my only food options were the things my parents had available in the house\). So surprise surprise, I developed an eating disorder. \(The ED didn't get too bad until my senior year of college, and my endo *and* a dietician finally caught on and told me to stop destroying my body.\) To this day, I still can't eat in front of my mother without other people around as a buffer, and I have really bad anxiety about eating certain things \("unhealthy" foods\) in front of people. I also restrict my eating as another self\-harm thing. 
I also grew up with this sense of "I'm a burden because my life\-sustaining medication is so expensive," like my parents were doing me a favor by paying for my \(non\-optional\) medical supplies. Which is something I still carry with me today \- diabetes \(and my mental illnesses\) make me feel like a huge burden, and it's impacted my ability to form close relationships \(romantic or otherwise\). I have a very difficult time relying on people for support, and I can't imagine ever being comfortable enough with someone to set up my CGM so that they get the readings as well \(or however that works\). And one of the other messages I received from my parents when I got older was "don't tell people you're diabetic because it will make them uncomfortable because they'll pity you" which gave me a sense of shame about my health and my body. \(Strangely, despite the shame, I have no problem telling people I'm diabetic. I actually have a medical alert tattoo saying "type 1 diabetic" on my wrist.\)
There are other ways my parents abused me but they don't have anything to do with my diabetes, so I won't go into them here. But it occurred to me fairly recently that I should have gotten out of my parents' house when I was a teenager, even if it was just temporarily sleeping on a friend's couch. However, that was never an option for me because I knew I'd always have to come back for my insulin \(which was a concept I'd understood by age 7\). I live in the US, which as you probably know has a shitty health care system, so I was always tied to my parents' health care plan and I couldn't get supplies any other way. And it's one thing to temporarily live with a friend if you're just sleeping on their couch and sometimes eating their food, but it's a completely different thing to ask them \(or their parents\) to cover the cost of very expensive medical supplies. I was a young teenager at the time this happened, so I couldn't pay for stuff myself because I was too young to work. My parents also had the attitude of "we paid for it so it's ours," which meant that they had pretty tight control over me because I was so financially dependent on them \- like, they threatened to take away my pump multiple times before I decided to go off it at age 15.
One of the really insidious thing about child abuse is that when you grow up with it you don't realize that it's not a normal way for parents to treat a child, which is why I haven't allowed myself to process how shitty this all was until recently \(with the help of my lovely therapist\). Which is why I'm asking /r/diabetes now. **Did anyone else who developed t1d at a young age ever experience anything like this?** I legitimately have no idea where this falls on the scale of "normal" to "pretty fucked\-up." I am seeing a therapist, but the diabetes stuff is niche enough that I don't have a good way to validate my experiences. Maybe if I'd had an adult in my life I felt comfortable talking to about this, they could have helped me work something out so that I didn't have to rely on my parents. But I didn't, so I ended up repressing it pretty deeply, causing all sorts of fun little trauma things that I will have to carry with me for the rest of my life.
If you've made it this far, thanks for reading my wall of word vomit. I feel like a dumpster fire of a human being most days. Now that I'm actually allowing myself to process it, a lot of it is really scary and it makes me really fucking angry because my parents seem to have no idea just how badly they treated me. They're "good people," they're just good to literally everyone except me \(they even took in my siblings' friends when they were in high school and needed to run away from home\).</t>
        </is>
      </c>
      <c r="D4785" t="n">
        <v>6</v>
      </c>
      <c r="E4785" t="n">
        <v>13</v>
      </c>
      <c r="F4785">
        <f>HYPERLINK("https://www.reddit.com/r/diabetes/comments/8jvqxu/t1s_who_were_diagnosed_young_did_you_find_growing/")</f>
        <v/>
      </c>
      <c r="G4785" t="inlineStr">
        <is>
          <t>2018-05-16 08:20:35</t>
        </is>
      </c>
      <c r="H4785" t="inlineStr">
        <is>
          <t>Type 1</t>
        </is>
      </c>
    </row>
    <row r="4786">
      <c r="A4786" t="inlineStr">
        <is>
          <t>8jvu61</t>
        </is>
      </c>
      <c r="B4786" t="inlineStr">
        <is>
          <t>T:Slim machine broke?</t>
        </is>
      </c>
      <c r="C4786" t="inlineStr">
        <is>
          <t>My T:Slim keeps getting occlusions when I put my T:90 infusion set on my stomach. It only gets occlusions on my stomach so we went to my legs for around a year and it worked fine. My endocrinologist said that I should start rotating my stomach an legs again because my stomach seemed ok. I did it on my stomach and it worked over night but started getting occlusions in the morning. I don't know if the T:Slim is broke or if there's still bad scar tissue in my stomach. This only happens when I use my stomach but not my legs. Help fam</t>
        </is>
      </c>
      <c r="D4786" t="n">
        <v>1</v>
      </c>
      <c r="E4786" t="n">
        <v>4</v>
      </c>
      <c r="F4786">
        <f>HYPERLINK("https://www.reddit.com/r/diabetes/comments/8jvu61/tslim_machine_broke/")</f>
        <v/>
      </c>
      <c r="G4786" t="inlineStr">
        <is>
          <t>2018-05-16 08:31:32</t>
        </is>
      </c>
      <c r="H4786" t="inlineStr">
        <is>
          <t>Type 1</t>
        </is>
      </c>
    </row>
    <row r="4787">
      <c r="A4787" t="inlineStr">
        <is>
          <t>8jvzcy</t>
        </is>
      </c>
      <c r="B4787" t="inlineStr">
        <is>
          <t>Looking to buy a new or used Minimed Paradigm 515 715 522 or 722 insulin Pump</t>
        </is>
      </c>
      <c r="C4787" t="inlineStr">
        <is>
          <t>If you have one of these pumps and are looking to sell it please email me directly at travelling.ed.92@gmail.com.</t>
        </is>
      </c>
      <c r="D4787" t="n">
        <v>1</v>
      </c>
      <c r="E4787" t="n">
        <v>8</v>
      </c>
      <c r="F4787">
        <f>HYPERLINK("https://www.reddit.com/r/diabetes/comments/8jvzcy/looking_to_buy_a_new_or_used_minimed_paradigm_515/")</f>
        <v/>
      </c>
      <c r="G4787" t="inlineStr">
        <is>
          <t>2018-05-16 08:50:09</t>
        </is>
      </c>
      <c r="H4787" t="inlineStr">
        <is>
          <t>Type 1</t>
        </is>
      </c>
    </row>
    <row r="4788">
      <c r="A4788" t="inlineStr">
        <is>
          <t>8jw0m7</t>
        </is>
      </c>
      <c r="B4788" t="inlineStr">
        <is>
          <t>Roche combo pump vs Medtronic 640G</t>
        </is>
      </c>
      <c r="C4788" t="inlineStr">
        <is>
          <t>I currently use the Roche combo pump and self fund the dexcom. I am thinking of switching to the Medtronic 640G. 
Does anyone have any experience comparing the pumps without CGMs?
And with the dexcom, each sensor should last 7 days but you can re\-wear them \- is that the case for the Medtronic as well? Will they replace inaccurate sensors in the same way that dexcom do?
Thanks</t>
        </is>
      </c>
      <c r="D4788" t="n">
        <v>2</v>
      </c>
      <c r="E4788" t="n">
        <v>7</v>
      </c>
      <c r="F4788">
        <f>HYPERLINK("https://www.reddit.com/r/diabetes/comments/8jw0m7/roche_combo_pump_vs_medtronic_640g/")</f>
        <v/>
      </c>
      <c r="G4788" t="inlineStr">
        <is>
          <t>2018-05-16 08:54:25</t>
        </is>
      </c>
      <c r="H4788" t="inlineStr">
        <is>
          <t>Type 1</t>
        </is>
      </c>
    </row>
    <row r="4789">
      <c r="A4789" t="inlineStr">
        <is>
          <t>8k428l</t>
        </is>
      </c>
      <c r="B4789" t="inlineStr">
        <is>
          <t>Stupidly high blood sugar after surgery. Is it my pain killers, or just stress?</t>
        </is>
      </c>
      <c r="C4789" t="inlineStr">
        <is>
          <t>Title pretty much says it all. I got cartilage repair surgery done to my ankle yesterday morning. That night, my blood sugar went into the 400s. I got it down to 211 after taking about 15 units of novolog  \(normally I'd only have to take 6\-7\) and went to bed. This morning I woke up at 315. I obviously need to make an adjustment somewhere. As much as I really don't want to double all m insulin doses, I might have to. 
How does your body react after surgery?</t>
        </is>
      </c>
      <c r="D4789" t="n">
        <v>1</v>
      </c>
      <c r="E4789" t="n">
        <v>19</v>
      </c>
      <c r="F4789">
        <f>HYPERLINK("https://www.reddit.com/r/diabetes/comments/8k428l/stupidly_high_blood_sugar_after_surgery_is_it_my/")</f>
        <v/>
      </c>
      <c r="G4789" t="inlineStr">
        <is>
          <t>2018-05-17 06:00:59</t>
        </is>
      </c>
      <c r="H4789" t="inlineStr">
        <is>
          <t>Type 1</t>
        </is>
      </c>
    </row>
    <row r="4790">
      <c r="A4790" t="inlineStr">
        <is>
          <t>8k52oa</t>
        </is>
      </c>
      <c r="B4790" t="inlineStr">
        <is>
          <t>Freestyle Libre in other site?</t>
        </is>
      </c>
      <c r="C4790" t="inlineStr">
        <is>
          <t xml:space="preserve">Hello everyone, just a simple question. Do you use your Freestyle in another place apart from the back of your arm? Do you find it more comfy and accurate? Thanks in advance! </t>
        </is>
      </c>
      <c r="D4790" t="n">
        <v>4</v>
      </c>
      <c r="E4790" t="n">
        <v>12</v>
      </c>
      <c r="F4790">
        <f>HYPERLINK("https://www.reddit.com/r/diabetes/comments/8k52oa/freestyle_libre_in_other_site/")</f>
        <v/>
      </c>
      <c r="G4790" t="inlineStr">
        <is>
          <t>2018-05-17 08:23:18</t>
        </is>
      </c>
      <c r="H4790" t="inlineStr">
        <is>
          <t>Type 1</t>
        </is>
      </c>
    </row>
    <row r="4791">
      <c r="A4791" t="inlineStr">
        <is>
          <t>8k5p2d</t>
        </is>
      </c>
      <c r="B4791" t="inlineStr">
        <is>
          <t>Dreaded STRESS and BG / type 2s...</t>
        </is>
      </c>
      <c r="C4791" t="inlineStr">
        <is>
          <t>Type 2.  Recently started a new program and had great results until this week.  I was living at 170ish...this past week having major life stressors and this AM for example i was up near 264.  Im eating relatively the same, except only less food, less frequent if that matters at all.  still drinking a good amount of water.
im thinking about exercising to blow off some steam but not sure.
Has anyone left their partner b/c they cause too much stress/drama?  maybe thats my problem! hah!!!</t>
        </is>
      </c>
      <c r="D4791" t="n">
        <v>0</v>
      </c>
      <c r="E4791" t="n">
        <v>6</v>
      </c>
      <c r="F4791">
        <f>HYPERLINK("https://www.reddit.com/r/diabetes/comments/8k5p2d/dreaded_stress_and_bg_type_2s/")</f>
        <v/>
      </c>
      <c r="G4791" t="inlineStr">
        <is>
          <t>2018-05-17 09:43:14</t>
        </is>
      </c>
      <c r="H4791" t="inlineStr">
        <is>
          <t>Type 2</t>
        </is>
      </c>
    </row>
    <row r="4792">
      <c r="A4792" t="inlineStr">
        <is>
          <t>8kaa7m</t>
        </is>
      </c>
      <c r="B4792" t="inlineStr">
        <is>
          <t>Happy 12th Diabetic Anniversary to Me!!🎉</t>
        </is>
      </c>
      <c r="C4792" t="inlineStr">
        <is>
          <t xml:space="preserve">Was diagnosed at 8 and hard to think about my life before diabetes been a lots of highs and low but doing okay and ready to continue with life. Also, I honestly forgot until I was trying to find diabetic or disability scholarships today which they’re very few of but if y’all know of any please let me know. </t>
        </is>
      </c>
      <c r="D4792" t="n">
        <v>17</v>
      </c>
      <c r="E4792" t="n">
        <v>4</v>
      </c>
      <c r="F4792">
        <f>HYPERLINK("https://www.reddit.com/r/diabetes/comments/8kaa7m/happy_12th_diabetic_anniversary_to_me/")</f>
        <v/>
      </c>
      <c r="G4792" t="inlineStr">
        <is>
          <t>2018-05-17 20:46:34</t>
        </is>
      </c>
      <c r="H4792" t="inlineStr">
        <is>
          <t>Type 1</t>
        </is>
      </c>
    </row>
    <row r="4793">
      <c r="A4793" t="inlineStr">
        <is>
          <t>8kbizx</t>
        </is>
      </c>
      <c r="B4793" t="inlineStr">
        <is>
          <t>I’m flying for the first time with T1</t>
        </is>
      </c>
      <c r="C4793" t="inlineStr">
        <is>
          <t>Hi!
I’m flying on my own for the first time in a few weeks from England to America. I’ve already gotten a signed doctors letter with all of my medications(NovoRapid, Lantus &amp;amp; all the needle heads etc.) 
I was just wondering how I should carry my insulin and how I should’ve handle it if I get questioned by tsa.
Thanks!</t>
        </is>
      </c>
      <c r="D4793" t="n">
        <v>5</v>
      </c>
      <c r="E4793" t="n">
        <v>20</v>
      </c>
      <c r="F4793">
        <f>HYPERLINK("https://www.reddit.com/r/diabetes/comments/8kbizx/im_flying_for_the_first_time_with_t1/")</f>
        <v/>
      </c>
      <c r="G4793" t="inlineStr">
        <is>
          <t>2018-05-18 01:06:33</t>
        </is>
      </c>
      <c r="H4793" t="inlineStr">
        <is>
          <t>Type 1</t>
        </is>
      </c>
    </row>
    <row r="4794">
      <c r="A4794" t="inlineStr">
        <is>
          <t>8kbtqg</t>
        </is>
      </c>
      <c r="B4794" t="inlineStr">
        <is>
          <t>do any of you ever have a second "honeymoon" period??</t>
        </is>
      </c>
      <c r="C4794" t="inlineStr">
        <is>
          <t xml:space="preserve">remember when we were all first diagnosed and we were barely insulin resistant? i remember i had a carb to novolog ration of 1:75. well that was 8 years ago, and as of late, I've kindof had another honeymoon period. i normally take upwards of 100 units per day not including basal, but despite nothing in my diet changing, my continuous glucose monitor shows that i am trending normal (80-150) with a basal rate of 1.7/ hour. but the thing is, on a normal day i would take 100 units (outside of basal), whereas today and yesterday i have taken maybe 10-15 units today. </t>
        </is>
      </c>
      <c r="D4794" t="n">
        <v>2</v>
      </c>
      <c r="E4794" t="n">
        <v>6</v>
      </c>
      <c r="F4794">
        <f>HYPERLINK("https://www.reddit.com/r/diabetes/comments/8kbtqg/do_any_of_you_ever_have_a_second_honeymoon_period/")</f>
        <v/>
      </c>
      <c r="G4794" t="inlineStr">
        <is>
          <t>2018-05-18 02:19:54</t>
        </is>
      </c>
      <c r="H4794" t="inlineStr">
        <is>
          <t>Type 1</t>
        </is>
      </c>
    </row>
    <row r="4795">
      <c r="A4795" t="inlineStr">
        <is>
          <t>8km4a7</t>
        </is>
      </c>
      <c r="B4795" t="inlineStr">
        <is>
          <t>Period coming early because of a change of Insulin?</t>
        </is>
      </c>
      <c r="C4795" t="inlineStr">
        <is>
          <t>So two weeks ago I changed from pens to a pump. Before I used Humalog and Lantus, now I had to change to Novorapid because there are no other vials for my pump. No big deal really, if it weren’t for a small problem that I just encountered. During my stay at the hospital I also had my period. Everything was fine but now two weeks later I got my period again. That never happened to me before. Quite the contrary actually, I usually skip a month or two after I had it for one or two months regularly. That has been the case since I got my period. Has anybody experienced something similar? Don’t worry, I’ll tell my Endo the next time i see her, just wanted to check if it’s normal or not.</t>
        </is>
      </c>
      <c r="D4795" t="n">
        <v>2</v>
      </c>
      <c r="E4795" t="n">
        <v>1</v>
      </c>
      <c r="F4795">
        <f>HYPERLINK("https://www.reddit.com/r/diabetes/comments/8km4a7/period_coming_early_because_of_a_change_of_insulin/")</f>
        <v/>
      </c>
      <c r="G4795" t="inlineStr">
        <is>
          <t>2018-05-19 08:57:27</t>
        </is>
      </c>
      <c r="H4795" t="inlineStr">
        <is>
          <t>Type 1</t>
        </is>
      </c>
    </row>
    <row r="4796">
      <c r="A4796" t="inlineStr">
        <is>
          <t>8ksyls</t>
        </is>
      </c>
      <c r="B4796" t="inlineStr">
        <is>
          <t>Benefits of using xDrip?</t>
        </is>
      </c>
      <c r="C4796" t="inlineStr">
        <is>
          <t>From my understanding, the xDrip app allows Dexcom users to connect. I was disappointed it wasn’t on the AppStore. I saw another post where someone mentioned you can restart old sensors? How does this all work?</t>
        </is>
      </c>
      <c r="D4796" t="n">
        <v>5</v>
      </c>
      <c r="E4796" t="n">
        <v>2</v>
      </c>
      <c r="F4796">
        <f>HYPERLINK("https://www.reddit.com/r/diabetes/comments/8ksyls/benefits_of_using_xdrip/")</f>
        <v/>
      </c>
      <c r="G4796" t="inlineStr">
        <is>
          <t>2018-05-20 07:33:18</t>
        </is>
      </c>
      <c r="H4796" t="inlineStr">
        <is>
          <t>Type 1</t>
        </is>
      </c>
    </row>
    <row r="4797">
      <c r="A4797" t="inlineStr">
        <is>
          <t>8ktbf7</t>
        </is>
      </c>
      <c r="B4797" t="inlineStr">
        <is>
          <t>Weird Question California</t>
        </is>
      </c>
      <c r="C4797" t="inlineStr">
        <is>
          <t xml:space="preserve">Hello Reddit, 
I am a father to 3 girls.  The youngest was diagnosed with type 1 little over 4 years ago.  Then I find out my ex wife now was cheating on me.  I moved out his kids moved in and a year later his oldest daughter was diagnosed with type 1.  They shared a room.  its a very odd situation no body on my or my ex side has type 1.  His im not sure.  I dont want to think the worst.  just give your honest opinions please.  Thanks </t>
        </is>
      </c>
      <c r="D4797" t="n">
        <v>0</v>
      </c>
      <c r="E4797" t="n">
        <v>25</v>
      </c>
      <c r="F4797">
        <f>HYPERLINK("https://www.reddit.com/r/diabetes/comments/8ktbf7/weird_question_california/")</f>
        <v/>
      </c>
      <c r="G4797" t="inlineStr">
        <is>
          <t>2018-05-20 08:32:44</t>
        </is>
      </c>
      <c r="H4797" t="inlineStr">
        <is>
          <t>Type 1</t>
        </is>
      </c>
    </row>
    <row r="4798">
      <c r="A4798" t="inlineStr">
        <is>
          <t>8kw5tg</t>
        </is>
      </c>
      <c r="B4798" t="inlineStr">
        <is>
          <t>Whelp, just got diagnosed. First, the important question... adult beverages</t>
        </is>
      </c>
      <c r="C4798" t="inlineStr">
        <is>
          <t>I want to start with the disclaimer that I don't drink much. a few drinks a week at most. I re\-read my postand realized some may seem the question as a tad alcoholic...
So I just got my wake\-up call on Friday. 8.9 A1c and the diagnosis of type 2 Diabetes. Not a huge surprise as it makes me a third gen diabetic, but coupled with some other issues \(my testosterone is about 20&amp;amp;#37; what its supposed to be, which has major effects on your body, another surprise\) it's come at a much earlier age then I was expecting. So, naturally, I've started stripping my life of the pleasures of enriched wheat and potatoes. Which brings me to my fridge, and the 6 pack of angry orchard. It's a cider, and there's the easy apple low sugar version...which I'm staring at right now as my ritual Sunday beer \(I told you I don't drink much\)
I know everyone's different, but to those of you who've been here a while, any advice would be appreciated. I'm willing to throw a lot away for my health, but if I don't have to throw it ALL away, it would be a relief.</t>
        </is>
      </c>
      <c r="D4798" t="n">
        <v>2</v>
      </c>
      <c r="E4798" t="n">
        <v>14</v>
      </c>
      <c r="F4798">
        <f>HYPERLINK("https://www.reddit.com/r/diabetes/comments/8kw5tg/whelp_just_got_diagnosed_first_the_important/")</f>
        <v/>
      </c>
      <c r="G4798" t="inlineStr">
        <is>
          <t>2018-05-20 15:38:23</t>
        </is>
      </c>
      <c r="H4798" t="inlineStr">
        <is>
          <t>Type 2</t>
        </is>
      </c>
    </row>
    <row r="4799">
      <c r="A4799" t="inlineStr">
        <is>
          <t>8kybrg</t>
        </is>
      </c>
      <c r="B4799" t="inlineStr">
        <is>
          <t>Cracked</t>
        </is>
      </c>
      <c r="C4799" t="inlineStr">
        <is>
          <t>Today I had a crazy experience.  I've been type 1 for like 30y.  I use a pump now, and it was time to fill.
I inject air into the vial.  It was mostly full, but 300u of air is never an issue...
The glass vial *broke*.  It didn't crumble to pieces and collapse in my hand (thankfully).  But it cracked such that insulin sprayed out the side at high pressure.
I turned it over, and managed to save half the bottle.  I was traveling, so that could have ended much, much worse.  (Successfully filled reservoir)  But I've never seen a vial crack from air!</t>
        </is>
      </c>
      <c r="D4799" t="n">
        <v>1</v>
      </c>
      <c r="E4799" t="n">
        <v>7</v>
      </c>
      <c r="F4799">
        <f>HYPERLINK("https://www.reddit.com/r/diabetes/comments/8kybrg/cracked/")</f>
        <v/>
      </c>
      <c r="G4799" t="inlineStr">
        <is>
          <t>2018-05-20 21:51:23</t>
        </is>
      </c>
      <c r="H4799" t="inlineStr">
        <is>
          <t>Type 1</t>
        </is>
      </c>
    </row>
    <row r="4800">
      <c r="A4800" t="inlineStr">
        <is>
          <t>8kyt8j</t>
        </is>
      </c>
      <c r="B4800" t="inlineStr">
        <is>
          <t>Fasting?</t>
        </is>
      </c>
      <c r="C4800" t="inlineStr">
        <is>
          <t xml:space="preserve">I see a lot about fasting on this page and I'm guessing it's to get your insulin levels set right. I just had a couple of questions like, what do I do if I wake up low every morning? Because I wake up at like 70 or so every morning and I couldn't go all day at that bg. Just kinda wanna know the process </t>
        </is>
      </c>
      <c r="D4800" t="n">
        <v>1</v>
      </c>
      <c r="E4800" t="n">
        <v>6</v>
      </c>
      <c r="F4800">
        <f>HYPERLINK("https://www.reddit.com/r/diabetes/comments/8kyt8j/fasting/")</f>
        <v/>
      </c>
      <c r="G4800" t="inlineStr">
        <is>
          <t>2018-05-20 23:36:50</t>
        </is>
      </c>
      <c r="H4800" t="inlineStr">
        <is>
          <t>Type 1</t>
        </is>
      </c>
    </row>
    <row r="4801">
      <c r="A4801" t="inlineStr">
        <is>
          <t>8kz78z</t>
        </is>
      </c>
      <c r="B4801" t="inlineStr">
        <is>
          <t>Post Meal Spikes, when insulin should have run its course</t>
        </is>
      </c>
      <c r="C4801" t="inlineStr">
        <is>
          <t>Hi folks, i'm a type 1 diabetic \(5 years\). I'm 21 and still struggling to get proper control.
I'm currently trying to make some changes but the biggest struggle I am facing right now is post meal high blood sugar \(around the 3 hour mark\) followed by a sudden or gradual nosedive heading into 5 or six hours. I am on Novorapid and Lantus. I've been told that Novorapid should be 90&amp;amp;#37; finished after 3 hours so I don't understand why I drop low hours after.
These aren't small drops either, for instance I had 11.8 mmo/L with a meal last night at 7PM. Before bed at 10:40PM my blood sugar was 10.3 mmo/L. 1:30AM it was 3.2 mmo/L...
I've had no luck with healthcare professionals and here in New Zealand my only CGM option is a self funded libre I can't afford right now. I feel like my blood sugar is always trending up or down...
I would love some guidance, i'm pretty scared of dropping low in my sleep and in general feel terrible about my control \(HB1AC of 65 mmo/L\)</t>
        </is>
      </c>
      <c r="D4801" t="n">
        <v>1</v>
      </c>
      <c r="E4801" t="n">
        <v>2</v>
      </c>
      <c r="F4801">
        <f>HYPERLINK("https://www.reddit.com/r/diabetes/comments/8kz78z/post_meal_spikes_when_insulin_should_have_run_its/")</f>
        <v/>
      </c>
      <c r="G4801" t="inlineStr">
        <is>
          <t>2018-05-21 01:06:17</t>
        </is>
      </c>
      <c r="H4801" t="inlineStr">
        <is>
          <t>Type 1</t>
        </is>
      </c>
    </row>
    <row r="4802">
      <c r="A4802" t="inlineStr">
        <is>
          <t>8l0i3i</t>
        </is>
      </c>
      <c r="B4802" t="inlineStr">
        <is>
          <t>How is the Medtronic 670G working for you? Any real life Dexcom/T-slim VS Medtronic 670G reviews out there? Please no product rep replies. If you haven’t used an insulin pump to manage your own diabetes please don’t weigh in.</t>
        </is>
      </c>
      <c r="C4802" t="inlineStr">
        <is>
          <t>I’m asking for my wife who is type 1. Her  Medtronic 530G stopped working suddenly and she has to make a decision as soon as possible.
Some things to know about her:  She is 61, she dislikes change,  she is not extremely tech savvy so she needs something intuitive and user friendly.  
One question we have is: do the physical/operational changes to the 670G make it worth just switching to a different pump entirely? 
Also how successful has the closed loop CGM/pump system worked? How successful is the “no calibration” feature?</t>
        </is>
      </c>
      <c r="D4802" t="n">
        <v>6</v>
      </c>
      <c r="E4802" t="n">
        <v>12</v>
      </c>
      <c r="F4802">
        <f>HYPERLINK("https://www.reddit.com/r/diabetes/comments/8l0i3i/how_is_the_medtronic_670g_working_for_you_any/")</f>
        <v/>
      </c>
      <c r="G4802" t="inlineStr">
        <is>
          <t>2018-05-21 05:40:26</t>
        </is>
      </c>
      <c r="H4802" t="inlineStr">
        <is>
          <t>Type 1</t>
        </is>
      </c>
    </row>
    <row r="4803">
      <c r="A4803" t="inlineStr">
        <is>
          <t>8l1z07</t>
        </is>
      </c>
      <c r="B4803" t="inlineStr">
        <is>
          <t>After the most stressful three months.... I have a 5.9 A1c!!!!!</t>
        </is>
      </c>
      <c r="C4803" t="inlineStr">
        <is>
          <t xml:space="preserve">I just felt so happy to have a number in the fives, especially after three months of college stress and spikes to the 300's! </t>
        </is>
      </c>
      <c r="D4803" t="n">
        <v>103</v>
      </c>
      <c r="E4803" t="n">
        <v>28</v>
      </c>
      <c r="F4803">
        <f>HYPERLINK("https://www.reddit.com/r/diabetes/comments/8l1z07/after_the_most_stressful_three_months_i_have_a_59/")</f>
        <v/>
      </c>
      <c r="G4803" t="inlineStr">
        <is>
          <t>2018-05-21 09:09:17</t>
        </is>
      </c>
      <c r="H4803" t="inlineStr">
        <is>
          <t>Type 1</t>
        </is>
      </c>
    </row>
    <row r="4804">
      <c r="A4804" t="inlineStr">
        <is>
          <t>8l3h0v</t>
        </is>
      </c>
      <c r="B4804" t="inlineStr">
        <is>
          <t>Are my Lantus doses overlapped?</t>
        </is>
      </c>
      <c r="C4804" t="inlineStr">
        <is>
          <t>Hey all, I'm doing it fast. I've splitted up my Lantus dose. 20u 11am and 10u 11pm. I think that the doses are overlapping each other because after a few hours (2-4hs) my BS starts to fall without any long acting insulin active. Is this possible? The reason why I splitted my dose is pretty known, in some people, Lantus doesn't cover 24hs. Let me know your thoughts!</t>
        </is>
      </c>
      <c r="D4804" t="n">
        <v>1</v>
      </c>
      <c r="E4804" t="n">
        <v>5</v>
      </c>
      <c r="F4804">
        <f>HYPERLINK("https://www.reddit.com/r/diabetes/comments/8l3h0v/are_my_lantus_doses_overlapped/")</f>
        <v/>
      </c>
      <c r="G4804" t="inlineStr">
        <is>
          <t>2018-05-21 12:18:36</t>
        </is>
      </c>
      <c r="H4804" t="inlineStr">
        <is>
          <t>Type 1</t>
        </is>
      </c>
    </row>
    <row r="4805">
      <c r="A4805" t="inlineStr">
        <is>
          <t>8l3q2x</t>
        </is>
      </c>
      <c r="B4805" t="inlineStr">
        <is>
          <t>Clarification about driving without checking my blood sugar</t>
        </is>
      </c>
      <c r="C4805" t="inlineStr">
        <is>
          <t>My mom keeps telling me that if i drive without checking my blood sugar and i get in an accident or cause an accident, that our family can be sued for everything we own. is there any merit to this?</t>
        </is>
      </c>
      <c r="D4805" t="n">
        <v>2</v>
      </c>
      <c r="E4805" t="n">
        <v>12</v>
      </c>
      <c r="F4805">
        <f>HYPERLINK("https://www.reddit.com/r/diabetes/comments/8l3q2x/clarification_about_driving_without_checking_my/")</f>
        <v/>
      </c>
      <c r="G4805" t="inlineStr">
        <is>
          <t>2018-05-21 12:51:59</t>
        </is>
      </c>
      <c r="H4805" t="inlineStr">
        <is>
          <t>Type 1</t>
        </is>
      </c>
    </row>
    <row r="4806">
      <c r="A4806" t="inlineStr">
        <is>
          <t>8l40av</t>
        </is>
      </c>
      <c r="B4806" t="inlineStr">
        <is>
          <t>Lowering A1c</t>
        </is>
      </c>
      <c r="C4806" t="inlineStr">
        <is>
          <t>I was diagnosed with T2  on April 27.  I was prescribed .5mg Glyburide 2x/day and I immediately stopped eating all carbs and within 5 days began LCHF.  I keep my net carbs below 20, normally around 13\-14 and have lost 13lbs.  I have been fluctuating taking the glyburide from .5mg 1xday and not at all.  My BG is great during the day, 2 hours after meals \(100\-130\), but my fasting ranges from 118\-124 without the glyburide.  With the glyburide it's around 80.  Do you think it's safe for me to continue without the glyburide and give it time for my fasting to come down or should I keep taking the med?  I feel like if I take it more than a couple days in a row, my BG drops really low even after meals.  Will the glyburide actually lower my A1c or will that happen strictly with diet/weight loss?  Sorry to be all over the place and thank you!</t>
        </is>
      </c>
      <c r="D4806" t="n">
        <v>1</v>
      </c>
      <c r="E4806" t="n">
        <v>7</v>
      </c>
      <c r="F4806">
        <f>HYPERLINK("https://www.reddit.com/r/diabetes/comments/8l40av/lowering_a1c/")</f>
        <v/>
      </c>
      <c r="G4806" t="inlineStr">
        <is>
          <t>2018-05-21 13:28:35</t>
        </is>
      </c>
      <c r="H4806" t="inlineStr">
        <is>
          <t>Type 2</t>
        </is>
      </c>
    </row>
    <row r="4807">
      <c r="A4807" t="inlineStr">
        <is>
          <t>8l5e6b</t>
        </is>
      </c>
      <c r="B4807" t="inlineStr">
        <is>
          <t>Pancreatic Transplant</t>
        </is>
      </c>
      <c r="C4807" t="inlineStr">
        <is>
          <t>I have been looking into this and am tempted. I'm 23, have had t1d since I was 4. 
I am getting tired of it.
It's getting harder to control well and I think I'd rather have a scar and have to take immunosuppressants than wear a pump and keep up all these supplies and insulin all the time. 
If you really think about it, insulin is about the most sensitive and important hormone there is in the human body. It's not reasonable to to expect us to be able to control it manually, and it would be so, SO easy to fuck it up and die. 
Has anyone been through this surgery or know someone who has? I'd like to talk to a few people.</t>
        </is>
      </c>
      <c r="D4807" t="n">
        <v>0</v>
      </c>
      <c r="E4807" t="n">
        <v>11</v>
      </c>
      <c r="F4807">
        <f>HYPERLINK("https://www.reddit.com/r/diabetes/comments/8l5e6b/pancreatic_transplant/")</f>
        <v/>
      </c>
      <c r="G4807" t="inlineStr">
        <is>
          <t>2018-05-21 16:45:10</t>
        </is>
      </c>
      <c r="H4807" t="inlineStr">
        <is>
          <t>Type 1</t>
        </is>
      </c>
    </row>
    <row r="4808">
      <c r="A4808" t="inlineStr">
        <is>
          <t>8l5kuh</t>
        </is>
      </c>
      <c r="B4808" t="inlineStr">
        <is>
          <t>Extra Enlite sensors will “expire” before I can use them</t>
        </is>
      </c>
      <c r="C4808" t="inlineStr">
        <is>
          <t xml:space="preserve">This box of 5 is set to expire (word used loosely) mid June. I had an overage because I was without a transmitter for a couple months. 
If anyone is in need, you can Venmo or PayPal cost of shipping. US only please. Private message me. </t>
        </is>
      </c>
      <c r="D4808" t="n">
        <v>0</v>
      </c>
      <c r="E4808" t="n">
        <v>0</v>
      </c>
      <c r="F4808">
        <f>HYPERLINK("https://www.reddit.com/r/diabetes/comments/8l5kuh/extra_enlite_sensors_will_expire_before_i_can_use/")</f>
        <v/>
      </c>
      <c r="G4808" t="inlineStr">
        <is>
          <t>2018-05-21 17:12:50</t>
        </is>
      </c>
      <c r="H4808" t="inlineStr">
        <is>
          <t>Type 1</t>
        </is>
      </c>
    </row>
    <row r="4809">
      <c r="A4809" t="inlineStr">
        <is>
          <t>8l6nfj</t>
        </is>
      </c>
      <c r="B4809" t="inlineStr">
        <is>
          <t>Carbs vs Net Carbs?</t>
        </is>
      </c>
      <c r="C4809" t="inlineStr">
        <is>
          <t xml:space="preserve">Who here subtracts fiber from their carb count? If so, does your count calculate well with your bolus? Any anecdotes? Advice? What else do you subtract? </t>
        </is>
      </c>
      <c r="D4809" t="n">
        <v>2</v>
      </c>
      <c r="E4809" t="n">
        <v>9</v>
      </c>
      <c r="F4809">
        <f>HYPERLINK("https://www.reddit.com/r/diabetes/comments/8l6nfj/carbs_vs_net_carbs/")</f>
        <v/>
      </c>
      <c r="G4809" t="inlineStr">
        <is>
          <t>2018-05-21 19:51:42</t>
        </is>
      </c>
      <c r="H4809" t="inlineStr">
        <is>
          <t>Type 1</t>
        </is>
      </c>
    </row>
    <row r="4810">
      <c r="A4810" t="inlineStr">
        <is>
          <t>8lbvg3</t>
        </is>
      </c>
      <c r="B4810" t="inlineStr">
        <is>
          <t>I guess the FreeStyle Libre isn't so great after all...</t>
        </is>
      </c>
      <c r="C4810" t="inlineStr">
        <is>
          <t xml:space="preserve">I've had my Libre almost a month and aside from one sensor being 30 mg/dl too low, it has been fantastic. In the span of two weeks, I dropped my average BG from 145 to 109 and have been keeping my post meal spikes under 140... or so I thought. I had started to rely less on my normal meter, but decided to double check accuracy during some of those post\-meal hours. Turns out the Libre isn't showing my real spikes for some reason; between meals it is fairly accurate, but during a spike it can be off by 40\-60 mg/dl. This is accounting for the delay between interstitial fluid and finger pricks, btw. I'm super bummed out. Here I thought my next A1C would be under 6.0 and I could even start cutting out some meds. I thought I was doing a fantastic job, but I'm right back where I started. At least all this attention to my diet has resulted in some weight loss.... :\( </t>
        </is>
      </c>
      <c r="D4810" t="n">
        <v>1</v>
      </c>
      <c r="E4810" t="n">
        <v>12</v>
      </c>
      <c r="F4810">
        <f>HYPERLINK("https://www.reddit.com/r/diabetes/comments/8lbvg3/i_guess_the_freestyle_libre_isnt_so_great_after/")</f>
        <v/>
      </c>
      <c r="G4810" t="inlineStr">
        <is>
          <t>2018-05-22 10:35:23</t>
        </is>
      </c>
      <c r="H4810" t="inlineStr">
        <is>
          <t>Type 2</t>
        </is>
      </c>
    </row>
    <row r="4811">
      <c r="A4811" t="inlineStr">
        <is>
          <t>8ldp7u</t>
        </is>
      </c>
      <c r="B4811" t="inlineStr">
        <is>
          <t>No honeymoon?</t>
        </is>
      </c>
      <c r="C4811" t="inlineStr">
        <is>
          <t>Hey you all, it's possible to not have a honeymoon? I was diagnosed almost 6 months ago and my insulin requirements just changed a little bit, mostly because I've lost some weight. Now I'm on 30u Lantus (I'll reduce 2u because I'm having lows during the day) and a carb ratio of 1:10/15, depending on my activity levels.</t>
        </is>
      </c>
      <c r="D4811" t="n">
        <v>6</v>
      </c>
      <c r="E4811" t="n">
        <v>17</v>
      </c>
      <c r="F4811">
        <f>HYPERLINK("https://www.reddit.com/r/diabetes/comments/8ldp7u/no_honeymoon/")</f>
        <v/>
      </c>
      <c r="G4811" t="inlineStr">
        <is>
          <t>2018-05-22 14:16:48</t>
        </is>
      </c>
      <c r="H4811" t="inlineStr">
        <is>
          <t>Type 1</t>
        </is>
      </c>
    </row>
    <row r="4812">
      <c r="A4812" t="inlineStr">
        <is>
          <t>8lgtzf</t>
        </is>
      </c>
      <c r="B4812" t="inlineStr">
        <is>
          <t>Getting an insane amount of occlusion alarm- all deliveries stopped on t:slim pump</t>
        </is>
      </c>
      <c r="C4812" t="inlineStr">
        <is>
          <t>Is my pump broken or something?</t>
        </is>
      </c>
      <c r="D4812" t="n">
        <v>1</v>
      </c>
      <c r="E4812" t="n">
        <v>0</v>
      </c>
      <c r="F4812">
        <f>HYPERLINK("https://www.reddit.com/r/diabetes/comments/8lgtzf/getting_an_insane_amount_of_occlusion_alarm_all/")</f>
        <v/>
      </c>
      <c r="G4812" t="inlineStr">
        <is>
          <t>2018-05-22 22:14:27</t>
        </is>
      </c>
      <c r="H4812" t="inlineStr">
        <is>
          <t>Type 1</t>
        </is>
      </c>
    </row>
    <row r="4813">
      <c r="A4813" t="inlineStr">
        <is>
          <t>8li1n0</t>
        </is>
      </c>
      <c r="B4813" t="inlineStr">
        <is>
          <t>Any Canadians have experience with Libre?</t>
        </is>
      </c>
      <c r="C4813" t="inlineStr">
        <is>
          <t>I have heard of the Libre CGM device and my doctor mentioned it about half a year ago, but at the time it still hadn’t been approved in Canada. Does anybody living in Canada use it? How does it fall into the whole healthcare coverage?
I live in BC but will soon be moving to QC.
Any information is helpful.
Cheers!</t>
        </is>
      </c>
      <c r="D4813" t="n">
        <v>3</v>
      </c>
      <c r="E4813" t="n">
        <v>3</v>
      </c>
      <c r="F4813">
        <f>HYPERLINK("https://www.reddit.com/r/diabetes/comments/8li1n0/any_canadians_have_experience_with_libre/")</f>
        <v/>
      </c>
      <c r="G4813" t="inlineStr">
        <is>
          <t>2018-05-23 02:36:50</t>
        </is>
      </c>
      <c r="H4813" t="inlineStr">
        <is>
          <t>Type 1</t>
        </is>
      </c>
    </row>
    <row r="4814">
      <c r="A4814" t="inlineStr">
        <is>
          <t>8liwjl</t>
        </is>
      </c>
      <c r="B4814" t="inlineStr">
        <is>
          <t>How often do you all change the CGM and pump site with the 670g?</t>
        </is>
      </c>
      <c r="C4814" t="inlineStr">
        <is>
          <t>I have been on this device for two days now and remember hearing rumors that people do not change the site as often as Medtronic recommends. How is this possible and at what frequency do you all do this? It does not seem sanitary to me...</t>
        </is>
      </c>
      <c r="D4814" t="n">
        <v>1</v>
      </c>
      <c r="E4814" t="n">
        <v>3</v>
      </c>
      <c r="F4814">
        <f>HYPERLINK("https://www.reddit.com/r/diabetes/comments/8liwjl/how_often_do_you_all_change_the_cgm_and_pump_site/")</f>
        <v/>
      </c>
      <c r="G4814" t="inlineStr">
        <is>
          <t>2018-05-23 05:20:55</t>
        </is>
      </c>
      <c r="H4814" t="inlineStr">
        <is>
          <t>Type 1</t>
        </is>
      </c>
    </row>
    <row r="4815">
      <c r="A4815" t="inlineStr">
        <is>
          <t>8lixjr</t>
        </is>
      </c>
      <c r="B4815" t="inlineStr">
        <is>
          <t>Tresiba Question</t>
        </is>
      </c>
      <c r="C4815" t="inlineStr">
        <is>
          <t>The honeymoon is officially over...I started basal insulin yesterday. After we are sure it is working, we will add bolus insulin. I am taking Tresiba. I clearly had unrealistic expectations...I had anticipated waking to a fantastic fasting bg...instead it was 305.  Grr... My question is, how long until I begin seeing a change is base gluclose levels on the Tresiba? I understand it will not help after meals spikes. I have been doing 16:8 fasting for 2 weeks now.  I guess I'm looking for experiences others have had. This group has provided me with so much help, so I also want to say thanks.  Some days it's really nice to know that you are not alone on this rollercoaster!</t>
        </is>
      </c>
      <c r="D4815" t="n">
        <v>2</v>
      </c>
      <c r="E4815" t="n">
        <v>17</v>
      </c>
      <c r="F4815">
        <f>HYPERLINK("https://www.reddit.com/r/diabetes/comments/8lixjr/tresiba_question/")</f>
        <v/>
      </c>
      <c r="G4815" t="inlineStr">
        <is>
          <t>2018-05-23 05:25:30</t>
        </is>
      </c>
      <c r="H4815" t="inlineStr">
        <is>
          <t>Type 1.5/LADA</t>
        </is>
      </c>
    </row>
    <row r="4816">
      <c r="A4816" t="inlineStr">
        <is>
          <t>8ll560</t>
        </is>
      </c>
      <c r="B4816" t="inlineStr">
        <is>
          <t>Diabetes and Nursing and Pregnant, oh my!</t>
        </is>
      </c>
      <c r="C4816" t="inlineStr">
        <is>
          <t>Cross-post from r/breastfeeding. 
So I’m a type 2 diabetic that is about 12 weeks along in my second pregnancy. My sugars are cooperating pretty well and most recent A1c was 6.1. 
I am still nursing my 19 month old and was recently told by a nurse that I may need to ween her because nursing can induce pre-term labor in type 2 diabetics since were already high risk. 
Does anyone have experience with this? I don’t want to endanger the pregnancy but had a goal of 2 years nursing or until she self-weans. My OB hasn’t mentioned anything about it either. 
Any info is greatly appreciated!</t>
        </is>
      </c>
      <c r="D4816" t="n">
        <v>3</v>
      </c>
      <c r="E4816" t="n">
        <v>9</v>
      </c>
      <c r="F4816">
        <f>HYPERLINK("https://www.reddit.com/r/diabetes/comments/8ll560/diabetes_and_nursing_and_pregnant_oh_my/")</f>
        <v/>
      </c>
      <c r="G4816" t="inlineStr">
        <is>
          <t>2018-05-23 10:19:37</t>
        </is>
      </c>
      <c r="H4816" t="inlineStr">
        <is>
          <t>Type 2</t>
        </is>
      </c>
    </row>
    <row r="4817">
      <c r="A4817" t="inlineStr">
        <is>
          <t>8lncll</t>
        </is>
      </c>
      <c r="B4817" t="inlineStr">
        <is>
          <t>My insurance stopped covering Freestyle lite strips, so I need info on new meters.</t>
        </is>
      </c>
      <c r="C4817" t="inlineStr">
        <is>
          <t>Been using Freestyle meters since I was first diagnosed and my new script for test strips was rejected, no longer covered.  Total BS but I guess I have to live with it.  I really hate to switch meters since I love the freestyle lite.
Can I get some pros and cons of other meters people are using right now?  It'll help me decide what to search for to see if insurance will cooperate.</t>
        </is>
      </c>
      <c r="D4817" t="n">
        <v>1</v>
      </c>
      <c r="E4817" t="n">
        <v>6</v>
      </c>
      <c r="F4817">
        <f>HYPERLINK("https://www.reddit.com/r/diabetes/comments/8lncll/my_insurance_stopped_covering_freestyle_lite/")</f>
        <v/>
      </c>
      <c r="G4817" t="inlineStr">
        <is>
          <t>2018-05-23 14:59:14</t>
        </is>
      </c>
      <c r="H4817" t="inlineStr">
        <is>
          <t>Type 1</t>
        </is>
      </c>
    </row>
    <row r="4818">
      <c r="A4818" t="inlineStr">
        <is>
          <t>8loagw</t>
        </is>
      </c>
      <c r="B4818" t="inlineStr">
        <is>
          <t>Day 2 on the pump</t>
        </is>
      </c>
      <c r="C4818" t="inlineStr">
        <is>
          <t xml:space="preserve">And I somehow, cannot for the life of me, get my blood sugar below 200. I think I might need to increase my nasal and bolus calculations, but I’m pretty much lost. Any suggestions? </t>
        </is>
      </c>
      <c r="D4818" t="n">
        <v>2</v>
      </c>
      <c r="E4818" t="n">
        <v>11</v>
      </c>
      <c r="F4818">
        <f>HYPERLINK("https://www.reddit.com/r/diabetes/comments/8loagw/day_2_on_the_pump/")</f>
        <v/>
      </c>
      <c r="G4818" t="inlineStr">
        <is>
          <t>2018-05-23 17:16:43</t>
        </is>
      </c>
      <c r="H4818" t="inlineStr">
        <is>
          <t>Type 1.5/LADA</t>
        </is>
      </c>
    </row>
    <row r="4819">
      <c r="A4819" t="inlineStr">
        <is>
          <t>8lpjjq</t>
        </is>
      </c>
      <c r="B4819" t="inlineStr">
        <is>
          <t>Another great report from the doctor, but I'm still feeling stressed and depressed.</t>
        </is>
      </c>
      <c r="C4819" t="inlineStr">
        <is>
          <t>Before I begin, I want to express that I do feel extremely fortunate and blessed to be in my situation, as I've read so many stories about those that struggle with diabetes that aren't fairing so well. So, April marked two years since I was diagnosed with T1 at the age of 26. When I was diagnosed, my a1c was 10.8. Since being on medication, I've kept it in the 5's and I've had 5.4 the last two doctor's visits. I went have another appointment yesterday and every test result was great. Perfect kidney function, great a1c, vitamin D is up, cholesterol was fine. I felt elated when I found out. However, on the drive home, I started to realize that I hadn't beat anything or really succeeded. I am still going to have my daily struggles with this disease. There was no progression with this disease--at least not in a positive way. All I did was stave off the side effects for a little longer. It has been 24 hours now and I just can't shake it. Has anyone dealt with this before and how do you get out of this before it turns into a rutt? Thanks!</t>
        </is>
      </c>
      <c r="D4819" t="n">
        <v>2</v>
      </c>
      <c r="E4819" t="n">
        <v>4</v>
      </c>
      <c r="F4819">
        <f>HYPERLINK("https://www.reddit.com/r/diabetes/comments/8lpjjq/another_great_report_from_the_doctor_but_im_still/")</f>
        <v/>
      </c>
      <c r="G4819" t="inlineStr">
        <is>
          <t>2018-05-23 20:21:42</t>
        </is>
      </c>
      <c r="H4819" t="inlineStr">
        <is>
          <t>Type 1</t>
        </is>
      </c>
    </row>
    <row r="4820">
      <c r="A4820" t="inlineStr">
        <is>
          <t>8lrx19</t>
        </is>
      </c>
      <c r="B4820" t="inlineStr">
        <is>
          <t>First week with Dexcom G5 winding down</t>
        </is>
      </c>
      <c r="C4820" t="inlineStr">
        <is>
          <t xml:space="preserve">Hey all. I made a post last week about receiving my Dexcom G5 now I have some questions about the end of the week and sensor reset. Just using the Dexcom app on my iPhone. 
Does the 7 days end at the time of insertion? Just trying to schedule it since I’ll be going to a 7:30pm Solo showing and I inserted my sensor last week at 8:17pm. 
And I’m assuming the sensor will give me a notice on my phone to replace. What do I do then to reset the sensor? Will I have to go through the 2 hour calibration with the two BG numbers at the end? 
Very happy I finally started using a G5 and it also made me realize that going by feel with food and insulin isn’t the way to go even with good A1C numbers. That’s my next thing to talk to my endo about and work on. 
Thanks. </t>
        </is>
      </c>
      <c r="D4820" t="n">
        <v>1</v>
      </c>
      <c r="E4820" t="n">
        <v>4</v>
      </c>
      <c r="F4820">
        <f>HYPERLINK("https://www.reddit.com/r/diabetes/comments/8lrx19/first_week_with_dexcom_g5_winding_down/")</f>
        <v/>
      </c>
      <c r="G4820" t="inlineStr">
        <is>
          <t>2018-05-24 04:32:53</t>
        </is>
      </c>
      <c r="H4820" t="inlineStr">
        <is>
          <t>Type 1</t>
        </is>
      </c>
    </row>
    <row r="4821">
      <c r="A4821" t="inlineStr">
        <is>
          <t>8lwx6x</t>
        </is>
      </c>
      <c r="B4821" t="inlineStr">
        <is>
          <t>Questions for users of the Medtronics 670G</t>
        </is>
      </c>
      <c r="C4821" t="inlineStr">
        <is>
          <t>Hi Everyone! 
So just got the 670G with the Guardian sensors today. Previously used the Animus Vibe with the Dexcom G4. I'm all set up for my pump and I've got my sensor inserted. I've got two questions for people who have been using it, particularly on the sensor.
#1\) With my G4, I would insert it in my arm even though it told me to use my stomach. Looks like Medtronics is recommending the same thing. Does anyone out there use the Guardian Sensors on their arm, and can you share your results if you do?
#2\) I noticed a decent amount of blood right underneath where the needle went, so much so that it looks like it filled the entire spot, but it's not leaking out to the adhesive area. Is this normal? Should I replace the sensor?
Thanks everyone looking forward to your replies!</t>
        </is>
      </c>
      <c r="D4821" t="n">
        <v>2</v>
      </c>
      <c r="E4821" t="n">
        <v>6</v>
      </c>
      <c r="F4821">
        <f>HYPERLINK("https://www.reddit.com/r/diabetes/comments/8lwx6x/questions_for_users_of_the_medtronics_670g/")</f>
        <v/>
      </c>
      <c r="G4821" t="inlineStr">
        <is>
          <t>2018-05-24 15:49:42</t>
        </is>
      </c>
      <c r="H4821" t="inlineStr">
        <is>
          <t>Type 1</t>
        </is>
      </c>
    </row>
    <row r="4822">
      <c r="A4822" t="inlineStr">
        <is>
          <t>8m1u72</t>
        </is>
      </c>
      <c r="B4822" t="inlineStr">
        <is>
          <t>Pump and CGM options for a Canadian</t>
        </is>
      </c>
      <c r="C4822" t="inlineStr">
        <is>
          <t>Hey r/diabetes,
**TL;DR \- Looking for opinions on the best Pump/CGM options in Canada. Slim design, lowest\-pain application of CGM, and easy access to glucose data are important factors. Is it worth waiting for the TSlim X2 to release here? Is there an expected date for the Medtronic 670G?**   
Boyfriend of a T1 diabetic here. We've been dating for 3 years and I have only gotten more involved in helping her manage her diabetes. Just as a side note \- Kudos to all of you out there managing or learning to manage with diabetes. The small glimpse I have gotten into this world has really opened my eyes and I have gained an huge admiration to those out there trying to make everyday better than the last. 
But I digress to the post's title. Being personally very interested in tech, I have begun to explore all the pump and CGM options available to Canadians. My girlfriend has been with a Medtronics pump for over 15 years. They work, but she's becoming much more involved in managing her diabetes and the lack of data available on some of the older models is incredibly frustrating. She's also not a fan of the older model CGM as she hates the large set needle and the application method \- so avoids it all together \- and so we have very little daily glucose data to work off of outside of her manual tests. 
That being said, she's due for an upgrade and I'm helping here weigh out her options. I've been a subscriber to r/diabetes since we started dating \(had to start a new Reddit account recently since my old one got a little too personal\) and have learned A LOT from you all, so thanks for being an awesome community. What are her options, and is it worth waiting for some of the newer models to release in Canada? Some of the factors she considers most important:
* Easy, lowest pain application of CGM
* High/Low alarms for blood glucose
* Slim design of both pump and CGM \(she likes to wear slim fitting clothes\)
* Easy reading of blood glucose levels
* Low overall maintenance of the CGM \(longest application time between set changes\)
Thanks in advance!</t>
        </is>
      </c>
      <c r="D4822" t="n">
        <v>1</v>
      </c>
      <c r="E4822" t="n">
        <v>6</v>
      </c>
      <c r="F4822">
        <f>HYPERLINK("https://www.reddit.com/r/diabetes/comments/8m1u72/pump_and_cgm_options_for_a_canadian/")</f>
        <v/>
      </c>
      <c r="G4822" t="inlineStr">
        <is>
          <t>2018-05-25 06:42:16</t>
        </is>
      </c>
      <c r="H4822" t="inlineStr">
        <is>
          <t>Type 1</t>
        </is>
      </c>
    </row>
    <row r="4823">
      <c r="A4823" t="inlineStr">
        <is>
          <t>8m3uvr</t>
        </is>
      </c>
      <c r="B4823" t="inlineStr">
        <is>
          <t>Help with new insulin regime pleeeaaassseee</t>
        </is>
      </c>
      <c r="C4823" t="inlineStr">
        <is>
          <t>So having discovered through the use of a freestyle libre machine, if i inject right before i eat my blood glucose will spike right till my novorapid insulin takes effect. 
I have decided to start injecting a certain amount of time before hand in order to let the insulin take hold in my system in order to avoid these spikes and hence have better averages. 
If anyone has any experience with doing this i'd be so grateful for any and all advice and tips. I'm currently on a 1:5 ratio of insulin to carbs, so my biggest question is would i need to readjust my ratio or keep it the same? But like i said any advice would be amazing! 
Lots of love
DrReznov</t>
        </is>
      </c>
      <c r="D4823" t="n">
        <v>2</v>
      </c>
      <c r="E4823" t="n">
        <v>4</v>
      </c>
      <c r="F4823">
        <f>HYPERLINK("https://www.reddit.com/r/diabetes/comments/8m3uvr/help_with_new_insulin_regime_pleeeaaassseee/")</f>
        <v/>
      </c>
      <c r="G4823" t="inlineStr">
        <is>
          <t>2018-05-25 11:08:44</t>
        </is>
      </c>
      <c r="H4823" t="inlineStr">
        <is>
          <t>Type 1</t>
        </is>
      </c>
    </row>
    <row r="4824">
      <c r="A4824" t="inlineStr">
        <is>
          <t>8m4gwe</t>
        </is>
      </c>
      <c r="B4824" t="inlineStr">
        <is>
          <t>Are Plain Microwaved Potatoes With a LITTLE Bit of Sea Salt Healthy?</t>
        </is>
      </c>
      <c r="C4824" t="inlineStr">
        <is>
          <t>The thing is if I eat microwaved potatos with the SKIN and a LITTLE bit of sea salt is that ok? NO BUTTER, NO SOUR CREAM NO BACON ECT! Does it cause spikes in blood sugar if I eat it with some chicken/flish cooked in olive oil and some vegatables. \(potato NOT cooked in olive oil\) ie the plain potatoe is my ONLY source of carbs. or are potatoes "junk food" of the natural world?
\(I planted some potatoes to grow but maybe that was a bad idea?\)
\(Please don't recommend me the low carb keto crap. My doctor said it is unhealthy and has too much cholesterol I could not shit for almost a week due to keto! it reaked havoc on my intestines my doctor put me on the meditarranean diet which seems ok so far\)
thx</t>
        </is>
      </c>
      <c r="D4824" t="n">
        <v>0</v>
      </c>
      <c r="E4824" t="n">
        <v>32</v>
      </c>
      <c r="F4824">
        <f>HYPERLINK("https://www.reddit.com/r/diabetes/comments/8m4gwe/are_plain_microwaved_potatoes_with_a_little_bit/")</f>
        <v/>
      </c>
      <c r="G4824" t="inlineStr">
        <is>
          <t>2018-05-25 12:32:06</t>
        </is>
      </c>
      <c r="H4824" t="inlineStr">
        <is>
          <t>Type 2</t>
        </is>
      </c>
    </row>
    <row r="4825">
      <c r="A4825" t="inlineStr">
        <is>
          <t>8m6ipd</t>
        </is>
      </c>
      <c r="B4825" t="inlineStr">
        <is>
          <t>Winter and increased insulin requirements?</t>
        </is>
      </c>
      <c r="C4825" t="inlineStr">
        <is>
          <t xml:space="preserve">Hi you all. Well, winter is coming here, and my BS are more higher than they should. I'm tweaking here and there, trying to bring it down. A few months ago at summer my BS didn't go above 150, and always averaging two digits numbers. Now at any time, is above 100. Can the change of seasons be the cause? Thank you all. </t>
        </is>
      </c>
      <c r="D4825" t="n">
        <v>1</v>
      </c>
      <c r="E4825" t="n">
        <v>4</v>
      </c>
      <c r="F4825">
        <f>HYPERLINK("https://www.reddit.com/r/diabetes/comments/8m6ipd/winter_and_increased_insulin_requirements/")</f>
        <v/>
      </c>
      <c r="G4825" t="inlineStr">
        <is>
          <t>2018-05-25 17:41:34</t>
        </is>
      </c>
      <c r="H4825" t="inlineStr">
        <is>
          <t>Type 1</t>
        </is>
      </c>
    </row>
    <row r="4826">
      <c r="A4826" t="inlineStr">
        <is>
          <t>8m7y35</t>
        </is>
      </c>
      <c r="B4826" t="inlineStr">
        <is>
          <t>Is XDrip+ trustworthy and safe?</t>
        </is>
      </c>
      <c r="C4826" t="inlineStr">
        <is>
          <t>I have the Dexcom G5 and wishing to upgrade my phone to a Samsung S9. But the app isn’t supported on the S9 and isn’t working for others but I heard that XDrip works and uses Nightscout servers not Dexcom servers. 
Is XDrip the easiest option because I have my heart set on the S9 but if I have too I’ll get a different phone</t>
        </is>
      </c>
      <c r="D4826" t="n">
        <v>2</v>
      </c>
      <c r="E4826" t="n">
        <v>8</v>
      </c>
      <c r="F4826">
        <f>HYPERLINK("https://www.reddit.com/r/diabetes/comments/8m7y35/is_xdrip_trustworthy_and_safe/")</f>
        <v/>
      </c>
      <c r="G4826" t="inlineStr">
        <is>
          <t>2018-05-25 22:06:11</t>
        </is>
      </c>
      <c r="H4826" t="inlineStr">
        <is>
          <t>Type 1</t>
        </is>
      </c>
    </row>
    <row r="4827">
      <c r="A4827" t="inlineStr">
        <is>
          <t>8mjuhh</t>
        </is>
      </c>
      <c r="B4827" t="inlineStr">
        <is>
          <t>Frequent Urination but not Diabetic?</t>
        </is>
      </c>
      <c r="C4827" t="inlineStr">
        <is>
          <t>Hello!
Male, Asian, 19 Years Old.
I have been experiencing frequent urination with large volumes, however I am not thirsty. \( I am a person who can drink one glass of water and be fine with it.\) So I fasted 8 hours and went to check my blood sugar levels.   
My blood sugar level was 76, which the doctor told me was very healthy and was far away from Diabetes. They also tested my urine and found no sugar in it. They told me it was probably overactive bladder and gave me some pills to deal with it.  
Now two days have passed and I'm still peeing frequently, with large volumes despite not drinking water that much.   
Should I go in again for a second opinion?   
Thank you.</t>
        </is>
      </c>
      <c r="D4827" t="n">
        <v>0</v>
      </c>
      <c r="E4827" t="n">
        <v>3</v>
      </c>
      <c r="F4827">
        <f>HYPERLINK("https://www.reddit.com/r/diabetes/comments/8mjuhh/frequent_urination_but_not_diabetic/")</f>
        <v/>
      </c>
      <c r="G4827" t="inlineStr">
        <is>
          <t>2018-05-27 11:53:00</t>
        </is>
      </c>
      <c r="H4827" t="inlineStr">
        <is>
          <t>Type 2</t>
        </is>
      </c>
    </row>
    <row r="4828">
      <c r="A4828" t="inlineStr">
        <is>
          <t>8mvufo</t>
        </is>
      </c>
      <c r="B4828" t="inlineStr">
        <is>
          <t>Marijuana and Diabetes</t>
        </is>
      </c>
      <c r="C4828" t="inlineStr">
        <is>
          <t>I’m little brother was diagnosed with type 1 a few years ago and he hasn’t really been the same. Angry, depressed, lost interest in a lot of things. I love him so much, I just want him to be happy. Well, he knows I smoke to have an appetite (after chemo, my stomach hasn’t never felt ‘normal,’). I am in remission but I still smoke to deal with stress and to help me eat when I know I need to. I had my medical license and knew of the risks and benefits. With that being said, I am more curious about the interactions between diabetes and marijuana. Can anyone chime in with personal experience? I plan on doing research, but I prefer real personal experiences if at all possible. Thank you for helping me out. :)</t>
        </is>
      </c>
      <c r="D4828" t="n">
        <v>3</v>
      </c>
      <c r="E4828" t="n">
        <v>21</v>
      </c>
      <c r="F4828">
        <f>HYPERLINK("https://www.reddit.com/r/diabetes/comments/8mvufo/marijuana_and_diabetes/")</f>
        <v/>
      </c>
      <c r="G4828" t="inlineStr">
        <is>
          <t>2018-05-28 20:15:46</t>
        </is>
      </c>
      <c r="H4828" t="inlineStr">
        <is>
          <t>Type 1</t>
        </is>
      </c>
    </row>
    <row r="4829">
      <c r="A4829" t="inlineStr">
        <is>
          <t>8mxdhj</t>
        </is>
      </c>
      <c r="B4829" t="inlineStr">
        <is>
          <t>This kind of graph motivates me.</t>
        </is>
      </c>
      <c r="C4829" t="inlineStr">
        <is>
          <t>I'm still a relatively new T1D (only a few months), and am clearly still in my honeymoon phase (the low Lantus dosage of 8U / day shows that). Still, honeymoon isn't helping me as much as it is other people I guess. Some don't need to bolus for example. If I am not very careful with the bolus dosage, I can get to 180 mg/dL and above *very* quickly, especially when eating something like grains. Intense sudden stress (for example, a scare) can shoot up the BG by 70 mg/dL or more in less than a minute, and I have to bolus or correct that with exercise. I diligently pre-bolus (absolutely vital to avoid peaks), eat slowly, count carbs, watch the xDrip+ output a lot, calibrate often with finger sticks, measure if I have to readjust my basal and bolus factors etc. Sometimes it is all quite tiring, and when the BG shoots up despite my best efforts, it can be demotivating. At times I think I am pushing myself too hard, because my mood goes down when after a meal I have a peak of 160 mg/dL and it stays there for 2 hours or so. I get anxious and want it to go down instantly. Some people have told me to relax, because I'm stressing myself too much, and doing that hurts quality of life and actually can affect your health.
So that's why I am very happy that the xDrip+ statistics show me [this](https://i.imgur.com/FP01Bn9.png). I think this is pretty good, even when factoring in the honeymoon phase, right? I just hope I can hold on to this level at least somewhat after the phase is over.
I do not do low carb or anything like that. I don't indulge in tons of carbs like I used to (mostly sweets), which has the side effect of weight loss, even after the DKA I had at time of diagnosis. Typically I eat ~160 carbs a day, and try to get as many veggies as possible. (Fiber is healthy, and great for BG control.) Lately I've also been trying to ween myself off milk. I mainly have been drinking it as part of coffee, since the taste of pure coffee is way too bitter for me, but I can get used to that. Oh, and lots of light to moderate exercise. Meaning: Walking at a brisk pace a lot, taking the stairs instead of the lift, that kind of thing.</t>
        </is>
      </c>
      <c r="D4829" t="n">
        <v>3</v>
      </c>
      <c r="E4829" t="n">
        <v>13</v>
      </c>
      <c r="F4829">
        <f>HYPERLINK("https://www.reddit.com/r/diabetes/comments/8mxdhj/this_kind_of_graph_motivates_me/")</f>
        <v/>
      </c>
      <c r="G4829" t="inlineStr">
        <is>
          <t>2018-05-29 01:02:41</t>
        </is>
      </c>
      <c r="H4829" t="inlineStr">
        <is>
          <t>Type 1</t>
        </is>
      </c>
    </row>
    <row r="4830">
      <c r="A4830" t="inlineStr">
        <is>
          <t>8myup3</t>
        </is>
      </c>
      <c r="B4830" t="inlineStr">
        <is>
          <t>Somebody that uses xDrip+ on the Samsung Gear Sport?</t>
        </is>
      </c>
      <c r="C4830" t="inlineStr">
        <is>
          <t>I use the Libre and the Blucon Nightrider \(since today\) and wanted to get my values on my smartwatch, unfortunatly i cannot make it happen :/ Ive been searching for a bit and couldnt find anything that would help.
I dont want the values on my main watch face screen but as a widget or notification. And since the gear s is on Tizen, it doesnt work automaticlly.
Any help would be appreciated :\)</t>
        </is>
      </c>
      <c r="D4830" t="n">
        <v>1</v>
      </c>
      <c r="E4830" t="n">
        <v>3</v>
      </c>
      <c r="F4830">
        <f>HYPERLINK("https://www.reddit.com/r/diabetes/comments/8myup3/somebody_that_uses_xdrip_on_the_samsung_gear_sport/")</f>
        <v/>
      </c>
      <c r="G4830" t="inlineStr">
        <is>
          <t>2018-05-29 05:53:22</t>
        </is>
      </c>
      <c r="H4830" t="inlineStr">
        <is>
          <t>Type 1</t>
        </is>
      </c>
    </row>
    <row r="4831">
      <c r="A4831" t="inlineStr">
        <is>
          <t>8n13kh</t>
        </is>
      </c>
      <c r="B4831" t="inlineStr">
        <is>
          <t>After discovering my A1C is at 9.8, it's time for some serious changes...</t>
        </is>
      </c>
      <c r="C4831" t="inlineStr">
        <is>
          <t xml:space="preserve">I've just been put on insurance again for the first time in a year, and prior to that it was bare minimum state health insurance where almost nothing was covered \(I was only just near the end able to get enough insulin in a prescription to last a month\). I've been on Novolin R \(If I recall correctly, whichever you can get at Wal\-Mart for $25 and no scrip\) for most of this year, and being a pump user it has not gone too well. Granted, it's kept me alive, but the physical shock of the differences between it and Humalog / Novalog took a hard toll.   
I'm very lucky to be on private work insurance again, and I've been back on Humalog now for a few weeks. Feeling better, but I'm going to take this opportunity to fix my routine in exercise, diet, etc. as well. I'm tired of feeling like shit. </t>
        </is>
      </c>
      <c r="D4831" t="n">
        <v>3</v>
      </c>
      <c r="E4831" t="n">
        <v>4</v>
      </c>
      <c r="F4831">
        <f>HYPERLINK("https://www.reddit.com/r/diabetes/comments/8n13kh/after_discovering_my_a1c_is_at_98_its_time_for/")</f>
        <v/>
      </c>
      <c r="G4831" t="inlineStr">
        <is>
          <t>2018-05-29 10:48:43</t>
        </is>
      </c>
      <c r="H4831" t="inlineStr">
        <is>
          <t>Type 1</t>
        </is>
      </c>
    </row>
    <row r="4832">
      <c r="A4832" t="inlineStr">
        <is>
          <t>8n3c8a</t>
        </is>
      </c>
      <c r="B4832" t="inlineStr">
        <is>
          <t>Intermittent fasting</t>
        </is>
      </c>
      <c r="C4832" t="inlineStr">
        <is>
          <t xml:space="preserve">I just started a intermittent fasting diet were I only eat in a 9 hour window from 12 noon till 9pm and fast after that. My sugars have improved so much after doing this. basically just eating lunch and dinner and letting your body rest for the reminder of the time. I started doing this after wanting to loose weight from a Joe Rogan podcast, then I heard this would improve my insulin sensitivity. If anyone is trying this method let me know how it is going for you, </t>
        </is>
      </c>
      <c r="D4832" t="n">
        <v>10</v>
      </c>
      <c r="E4832" t="n">
        <v>14</v>
      </c>
      <c r="F4832">
        <f>HYPERLINK("https://www.reddit.com/r/diabetes/comments/8n3c8a/intermittent_fasting/")</f>
        <v/>
      </c>
      <c r="G4832" t="inlineStr">
        <is>
          <t>2018-05-29 15:27:24</t>
        </is>
      </c>
      <c r="H4832" t="inlineStr">
        <is>
          <t>Type 1</t>
        </is>
      </c>
    </row>
    <row r="4833">
      <c r="A4833" t="inlineStr">
        <is>
          <t>8n5wvv</t>
        </is>
      </c>
      <c r="B4833" t="inlineStr">
        <is>
          <t>Getting a pump later this summer</t>
        </is>
      </c>
      <c r="C4833" t="inlineStr">
        <is>
          <t xml:space="preserve">I'm getting a pump later this summer and I am pretty much in the blind. I have done a little research, however, I would like to hear a bunch of people's views/opinions on their pump or if they know about pumps. A pro cons lists would be great. I have a relatively active lifestyle and have been managing great with Treciba and novolog. But for ease and less cost in the long run I'm going to a pump. Any and all help/advice would be much appreciated! Thanks everyone! </t>
        </is>
      </c>
      <c r="D4833" t="n">
        <v>3</v>
      </c>
      <c r="E4833" t="n">
        <v>6</v>
      </c>
      <c r="F4833">
        <f>HYPERLINK("https://www.reddit.com/r/diabetes/comments/8n5wvv/getting_a_pump_later_this_summer/")</f>
        <v/>
      </c>
      <c r="G4833" t="inlineStr">
        <is>
          <t>2018-05-29 22:00:06</t>
        </is>
      </c>
      <c r="H4833" t="inlineStr">
        <is>
          <t>Type 1</t>
        </is>
      </c>
    </row>
    <row r="4834">
      <c r="A4834" t="inlineStr">
        <is>
          <t>8n6c40</t>
        </is>
      </c>
      <c r="B4834" t="inlineStr">
        <is>
          <t>Ramadan and Type 1</t>
        </is>
      </c>
      <c r="C4834" t="inlineStr">
        <is>
          <t>How tf do I fast? Literally someone help me, I fee like I'm a bad muslim because I haven't fast in like 3 years...</t>
        </is>
      </c>
      <c r="D4834" t="n">
        <v>2</v>
      </c>
      <c r="E4834" t="n">
        <v>17</v>
      </c>
      <c r="F4834">
        <f>HYPERLINK("https://www.reddit.com/r/diabetes/comments/8n6c40/ramadan_and_type_1/")</f>
        <v/>
      </c>
      <c r="G4834" t="inlineStr">
        <is>
          <t>2018-05-29 23:21:24</t>
        </is>
      </c>
      <c r="H4834" t="inlineStr">
        <is>
          <t>Type 1</t>
        </is>
      </c>
    </row>
    <row r="4835">
      <c r="A4835" t="inlineStr">
        <is>
          <t>8na4x2</t>
        </is>
      </c>
      <c r="B4835" t="inlineStr">
        <is>
          <t>Pumps with the quickest quick bolus?</t>
        </is>
      </c>
      <c r="C4835" t="inlineStr">
        <is>
          <t>Hey all,
T1 for many years now and I'm finally going to upgrade my old minimed 523 that I've had since 2010.  I kinda feel like an old man having to relearn some new and fancy technology; all these new pumps on the market are fancy! 
My favorite thing about my old minimed is how easy it is to quick bolus. Depending on the orientation of the pump in my pocket \(heh\), I don't even need to look at the pump to deliver a quick bolus. I feel for the right button and call for the right amount, then hit the confirm button twice. Easy.
Thanks to Youtube videos, I see that the Tandem pumps also have a quick bolus feature. However, it looks like you still have to navigate the touch screen to do so. Can you set the pump up to deliver a quick bolus without having to unlock the screen? Or do I need to pull the pump out of my pocket every time I need insulin? I haven't seen many videos on the 630/670, so I have no idea how well those would do a quick bolus. 
Do you guys have any input here?</t>
        </is>
      </c>
      <c r="D4835" t="n">
        <v>1</v>
      </c>
      <c r="E4835" t="n">
        <v>5</v>
      </c>
      <c r="F4835">
        <f>HYPERLINK("https://www.reddit.com/r/diabetes/comments/8na4x2/pumps_with_the_quickest_quick_bolus/")</f>
        <v/>
      </c>
      <c r="G4835" t="inlineStr">
        <is>
          <t>2018-05-30 09:48:51</t>
        </is>
      </c>
      <c r="H4835" t="inlineStr">
        <is>
          <t>Type 1</t>
        </is>
      </c>
    </row>
    <row r="4836">
      <c r="A4836" t="inlineStr">
        <is>
          <t>8nce2r</t>
        </is>
      </c>
      <c r="B4836" t="inlineStr">
        <is>
          <t>free style libre lower readings than finger prick</t>
        </is>
      </c>
      <c r="C4836" t="inlineStr">
        <is>
          <t>I'm on my second sensor after gettting the libre, the first one work wonderful but the second one I got worked fine for two days and now it's telling me i'm 6\-8 point \(mmol\) than what my finger prick test is showing me. This has being going on for the last 3 days. Is there no way of resetting the sensor or basically have to throw it out and start again?</t>
        </is>
      </c>
      <c r="D4836" t="n">
        <v>1</v>
      </c>
      <c r="E4836" t="n">
        <v>4</v>
      </c>
      <c r="F4836">
        <f>HYPERLINK("https://www.reddit.com/r/diabetes/comments/8nce2r/free_style_libre_lower_readings_than_finger_prick/")</f>
        <v/>
      </c>
      <c r="G4836" t="inlineStr">
        <is>
          <t>2018-05-30 14:24:07</t>
        </is>
      </c>
      <c r="H4836" t="inlineStr">
        <is>
          <t>Type 1</t>
        </is>
      </c>
    </row>
    <row r="4837">
      <c r="A4837" t="inlineStr">
        <is>
          <t>8ndw68</t>
        </is>
      </c>
      <c r="B4837" t="inlineStr">
        <is>
          <t>Random question on the awareness ribbon colors</t>
        </is>
      </c>
      <c r="C4837" t="inlineStr">
        <is>
          <t xml:space="preserve">Is there a uniform way the colors should be represented? Is blue supposed to be on the right or left side of the ribbon when looking at it? I’ve seen it both ways on Google and wasn’t sure if there was a standard or not. </t>
        </is>
      </c>
      <c r="D4837" t="n">
        <v>0</v>
      </c>
      <c r="E4837" t="n">
        <v>8</v>
      </c>
      <c r="F4837">
        <f>HYPERLINK("https://www.reddit.com/r/diabetes/comments/8ndw68/random_question_on_the_awareness_ribbon_colors/")</f>
        <v/>
      </c>
      <c r="G4837" t="inlineStr">
        <is>
          <t>2018-05-30 18:05:10</t>
        </is>
      </c>
      <c r="H4837" t="inlineStr">
        <is>
          <t>Type 1</t>
        </is>
      </c>
    </row>
    <row r="4838">
      <c r="A4838" t="inlineStr">
        <is>
          <t>8nere0</t>
        </is>
      </c>
      <c r="B4838" t="inlineStr">
        <is>
          <t>Can someone explain this without using so many buzzwords?</t>
        </is>
      </c>
      <c r="C4838" t="inlineStr">
        <is>
          <t>Just saw this posted in the 670G Facebook group. Hard to understand what this concept is as the creator filled it with enough buzzwords to choke an investment banker. Smells like bologna to me, but maybe I’m just not smart enough?
[Using Air BnB to pay for all Type 1 Diabetes costs in the US.](https://www.synergistic-str.com/)</t>
        </is>
      </c>
      <c r="D4838" t="n">
        <v>0</v>
      </c>
      <c r="E4838" t="n">
        <v>7</v>
      </c>
      <c r="F4838">
        <f>HYPERLINK("https://www.reddit.com/r/diabetes/comments/8nere0/can_someone_explain_this_without_using_so_many/")</f>
        <v/>
      </c>
      <c r="G4838" t="inlineStr">
        <is>
          <t>2018-05-30 20:11:42</t>
        </is>
      </c>
      <c r="H4838" t="inlineStr">
        <is>
          <t>Type 1</t>
        </is>
      </c>
    </row>
    <row r="4839">
      <c r="A4839" t="inlineStr">
        <is>
          <t>8njx7j</t>
        </is>
      </c>
      <c r="B4839" t="inlineStr">
        <is>
          <t>Do time changes mess with your blood sugar?</t>
        </is>
      </c>
      <c r="C4839" t="inlineStr">
        <is>
          <t xml:space="preserve">I live in FL and just got back from a 5 day trip to CA for a conference. That 3 hour time change (both ways) has really messed with my numbers! I changed the time on my pump so my basal rates would be correct but I don’t think my body ever fully adjusted so everything was off! Now I’m back home and my numbers seem to be getting back to normal, probably since I wasn’t gone long enough to fully acclimate. Anyone else have this problem before? Tricks for dealing with it? I haven’t travelled much outside 1 hour time changes since my diagnosis but I have a few trips coming up that do involve bigger adjustments and it would be great to know how to be prepared.  </t>
        </is>
      </c>
      <c r="D4839" t="n">
        <v>2</v>
      </c>
      <c r="E4839" t="n">
        <v>4</v>
      </c>
      <c r="F4839">
        <f>HYPERLINK("https://www.reddit.com/r/diabetes/comments/8njx7j/do_time_changes_mess_with_your_blood_sugar/")</f>
        <v/>
      </c>
      <c r="G4839" t="inlineStr">
        <is>
          <t>2018-05-31 09:42:07</t>
        </is>
      </c>
      <c r="H4839" t="inlineStr">
        <is>
          <t>Type 1</t>
        </is>
      </c>
    </row>
    <row r="4840">
      <c r="A4840" t="inlineStr">
        <is>
          <t>8nkwni</t>
        </is>
      </c>
      <c r="B4840" t="inlineStr">
        <is>
          <t>Currently using Omnipod, just ordered the Dexcom G5!!! Seeking advice</t>
        </is>
      </c>
      <c r="C4840" t="inlineStr">
        <is>
          <t xml:space="preserve">Hey, I’ve been using the Omnipod for three years and I just bought the Dexcom G5. I don’t really have issues with my Omnipod sticking for the three days, and I typically place the pod on my arms. I purchased skintak and tape for the Dexcom. I have some questions.
What would be the best placement for the Dexcom?
Apart from skintak and tape is there anything else to maximize the longevity of the sensor?
Is there anything else that I should know to help with itchiness etc?
Thank you,
</t>
        </is>
      </c>
      <c r="D4840" t="n">
        <v>2</v>
      </c>
      <c r="E4840" t="n">
        <v>8</v>
      </c>
      <c r="F4840">
        <f>HYPERLINK("https://www.reddit.com/r/diabetes/comments/8nkwni/currently_using_omnipod_just_ordered_the_dexcom/")</f>
        <v/>
      </c>
      <c r="G4840" t="inlineStr">
        <is>
          <t>2018-05-31 11:40:49</t>
        </is>
      </c>
      <c r="H4840" t="inlineStr">
        <is>
          <t>Type 1</t>
        </is>
      </c>
    </row>
    <row r="4841">
      <c r="A4841" t="inlineStr">
        <is>
          <t>8nnihn</t>
        </is>
      </c>
      <c r="B4841" t="inlineStr">
        <is>
          <t>Why is "insulin stacking" (taking insulin more than once within a few hours) more dangerous than just taking the total amount outright?</t>
        </is>
      </c>
      <c r="C4841" t="inlineStr">
        <is>
          <t>Not sure if this is relevant, but I use Humalog \(insulin lispro\)</t>
        </is>
      </c>
      <c r="D4841" t="n">
        <v>3</v>
      </c>
      <c r="E4841" t="n">
        <v>14</v>
      </c>
      <c r="F4841">
        <f>HYPERLINK("https://www.reddit.com/r/diabetes/comments/8nnihn/why_is_insulin_stacking_taking_insulin_more_than/")</f>
        <v/>
      </c>
      <c r="G4841" t="inlineStr">
        <is>
          <t>2018-05-31 17:23:30</t>
        </is>
      </c>
      <c r="H4841" t="inlineStr">
        <is>
          <t>Type 1</t>
        </is>
      </c>
    </row>
    <row r="4842">
      <c r="A4842" t="inlineStr">
        <is>
          <t>8noi9z</t>
        </is>
      </c>
      <c r="B4842" t="inlineStr">
        <is>
          <t>Dexcom G5 Insertion wire</t>
        </is>
      </c>
      <c r="C4842" t="inlineStr">
        <is>
          <t>I just replaced my sensor on my arm today and when replacing it, after I pushed the needle inside me I pushed the two tabs on the side and attempted to remove it without first pulling the needle back out. I then removed the needle by pulling up on the flange but by them the thing was half way out. Now I am getting a sensor error on the Dexcom receiver but I'm not sure if that is just due to typical signal loss or whether I messed up the wire. Has anyone ever done something similar to what I did?</t>
        </is>
      </c>
      <c r="D4842" t="n">
        <v>1</v>
      </c>
      <c r="E4842" t="n">
        <v>8</v>
      </c>
      <c r="F4842">
        <f>HYPERLINK("https://www.reddit.com/r/diabetes/comments/8noi9z/dexcom_g5_insertion_wire/")</f>
        <v/>
      </c>
      <c r="G4842" t="inlineStr">
        <is>
          <t>2018-05-31 19:56:28</t>
        </is>
      </c>
      <c r="H4842" t="inlineStr">
        <is>
          <t>Type 1</t>
        </is>
      </c>
    </row>
    <row r="4843">
      <c r="A4843" t="inlineStr">
        <is>
          <t>8nshj8</t>
        </is>
      </c>
      <c r="B4843" t="inlineStr">
        <is>
          <t>Would an overdose of insulin be painless?</t>
        </is>
      </c>
      <c r="C4843" t="inlineStr">
        <is>
          <t>Just curious, thanks in advance.</t>
        </is>
      </c>
      <c r="D4843" t="n">
        <v>5</v>
      </c>
      <c r="E4843" t="n">
        <v>21</v>
      </c>
      <c r="F4843">
        <f>HYPERLINK("https://www.reddit.com/r/diabetes/comments/8nshj8/would_an_overdose_of_insulin_be_painless/")</f>
        <v/>
      </c>
      <c r="G4843" t="inlineStr">
        <is>
          <t>2018-06-01 07:59:07</t>
        </is>
      </c>
      <c r="H4843" t="inlineStr">
        <is>
          <t>Type 1</t>
        </is>
      </c>
    </row>
    <row r="4844">
      <c r="A4844" t="inlineStr">
        <is>
          <t>8nx45h</t>
        </is>
      </c>
      <c r="B4844" t="inlineStr">
        <is>
          <t>Just had a terrifying hypo</t>
        </is>
      </c>
      <c r="C4844" t="inlineStr">
        <is>
          <t xml:space="preserve">It’s 3 am and I am sitting in the kitchen, completely home alone, and trying to mentally recover from the third worst hypo I ever experienced after seven years.
My heart is still racing, I woke up a couple of minutes ago, completely disoriented and confused in my bed. I was crying and gasping for air and I think I was kind of starting to hallucinate in a way. It took some time to get myself to check my Blood sugar, my libre just said low. Had readings like that before, none were even close to being this scary. Took some glucose tablets and snack that always are right next to my bed and just focused on not dying. After I somewhat composed myself I went down to the kitchen to eat a bit more and restock my snacks for my bed. Now I’m just typing this to hopefully get it out of my head and get back to sleep. </t>
        </is>
      </c>
      <c r="D4844" t="n">
        <v>20</v>
      </c>
      <c r="E4844" t="n">
        <v>7</v>
      </c>
      <c r="F4844">
        <f>HYPERLINK("https://www.reddit.com/r/diabetes/comments/8nx45h/just_had_a_terrifying_hypo/")</f>
        <v/>
      </c>
      <c r="G4844" t="inlineStr">
        <is>
          <t>2018-06-01 18:10:52</t>
        </is>
      </c>
      <c r="H4844" t="inlineStr">
        <is>
          <t>Type 1</t>
        </is>
      </c>
    </row>
    <row r="4845">
      <c r="A4845" t="inlineStr">
        <is>
          <t>8nx9hn</t>
        </is>
      </c>
      <c r="B4845" t="inlineStr">
        <is>
          <t>I've never felt as important...</t>
        </is>
      </c>
      <c r="C4845" t="inlineStr">
        <is>
          <t>As I have in my search for a pump. :D I feel like I'm being courted by these companies.
But in all seriousness, how did you guys pick? I've heard back on pricing for Omnipod and Medtronic, and still waiting for t:slim (which is currently my first choice.) I like the idea that Omipod is tubeless. I'm wearing the demo one right now and it's mostly comfortable, but I feel like it will annoy me after awhile. It's also lacking a lot in technology compared to the others. Medtronic is middle ground for me just based off what I've read. The closed loop system sounds amazing, but I feel like it's something t:slim will have soon and without a whole new device. Plus there's Dexcom. Anyway, I'm rambling but just completely daunted with information and I want to make sure I make the right choice for me.</t>
        </is>
      </c>
      <c r="D4845" t="n">
        <v>5</v>
      </c>
      <c r="E4845" t="n">
        <v>19</v>
      </c>
      <c r="F4845">
        <f>HYPERLINK("https://www.reddit.com/r/diabetes/comments/8nx9hn/ive_never_felt_as_important/")</f>
        <v/>
      </c>
      <c r="G4845" t="inlineStr">
        <is>
          <t>2018-06-01 18:35:26</t>
        </is>
      </c>
      <c r="H4845" t="inlineStr">
        <is>
          <t>Type 1</t>
        </is>
      </c>
    </row>
    <row r="4846">
      <c r="A4846" t="inlineStr">
        <is>
          <t>8nxj2k</t>
        </is>
      </c>
      <c r="B4846" t="inlineStr">
        <is>
          <t>DKA with SGLT2 inhibitors - It happens</t>
        </is>
      </c>
      <c r="C4846" t="inlineStr">
        <is>
          <t>Just want to relay my own, admittedly anecdotal, experience with dapagliflozen. I'm T1D and taking it off\-label \(it's not approved by FDA for T1 but my endo likes the benefits\). In the first week I experienced a 20&amp;amp;#37; drop in my insulin requirements. Lost 10 pounds over the next  month, too. Stuff works. Been taking it about 2 years. But, i've been having mild to moderate leg cramps at night over the last 2 months. I chalked it up to..well.., a lot of things \- exercise combined with a lack of exercise, caffeine, dehydration. And drinking water seemed to help. I got a cold this week, and laid in bed most of Thursday, so much that my medications were pushed back almost 12 hours to dinnertime. \(BGs were actually kinda low, though, because i stopped eating.\) Took them anyway. I woke up today feeling much better, and went about my normal routine, which included taking my meds at 0800. Bad idea. It stacked up the dapagliflozen. Within an hour i was feeling crampy, sick to my stomach, and with that awful taste in my mouth. I laid around for a couple of hours wondering why i felt so terrible when it hit me like a sack of hammers: I'm DKA.  I had my wife go get me some keto strips, and sure enough, they were sky\-high. Pegged the strip out at 160mg/dl.  My BG this entire time was \&amp;lt;150, and averaged 96 mg/dl. And it's been that low for the last 3 days. This wasn't precipitated by poor control.
i called my endo, but no one returned the call \(no surprise \- it's a busy university hospital clinic on a Friday\). We had one foot out the door to the ER, and I decided to wait another hour to see if the initial dose started to wear off. It did, and by dinnertime had flushed out to non\-detect on the urine strips. 
My point is that the warnings by the FDA are **NOT BULLSHIT**. If you're taking an SGLT2 Inhibitor, particularly if you're T1D, there is a definite chance you can end up on this ride, particularly if you end up stacking dosages.
Be careful.</t>
        </is>
      </c>
      <c r="D4846" t="n">
        <v>9</v>
      </c>
      <c r="E4846" t="n">
        <v>7</v>
      </c>
      <c r="F4846">
        <f>HYPERLINK("https://www.reddit.com/r/diabetes/comments/8nxj2k/dka_with_sglt2_inhibitors_it_happens/")</f>
        <v/>
      </c>
      <c r="G4846" t="inlineStr">
        <is>
          <t>2018-06-01 19:20:03</t>
        </is>
      </c>
      <c r="H4846" t="inlineStr">
        <is>
          <t>Type 1</t>
        </is>
      </c>
    </row>
    <row r="4847">
      <c r="A4847" t="inlineStr">
        <is>
          <t>8o3cc9</t>
        </is>
      </c>
      <c r="B4847" t="inlineStr">
        <is>
          <t>New Diabetic , Questions.</t>
        </is>
      </c>
      <c r="C4847" t="inlineStr">
        <is>
          <t>Hi , is blood sugar sitting around 130-150 all day bad for the body? or is this high of blood sugar naturally accepted within the body? I've been doing Keto and i'm not so sure if I should take a small dose of insulin just to lower it. Usually at night it goes to around 75-110 and stays. But during the day its been sitting around 140. I do keto 20:4.</t>
        </is>
      </c>
      <c r="D4847" t="n">
        <v>1</v>
      </c>
      <c r="E4847" t="n">
        <v>4</v>
      </c>
      <c r="F4847">
        <f>HYPERLINK("https://www.reddit.com/r/diabetes/comments/8o3cc9/new_diabetic_questions/")</f>
        <v/>
      </c>
      <c r="G4847" t="inlineStr">
        <is>
          <t>2018-06-02 13:26:05</t>
        </is>
      </c>
      <c r="H4847" t="inlineStr">
        <is>
          <t>Type 1</t>
        </is>
      </c>
    </row>
    <row r="4848">
      <c r="A4848" t="inlineStr">
        <is>
          <t>8o4j69</t>
        </is>
      </c>
      <c r="B4848" t="inlineStr">
        <is>
          <t>Eating after Levemir injection</t>
        </is>
      </c>
      <c r="C4848" t="inlineStr">
        <is>
          <t>Hello, I'm trying to get information for my mom about the medicine she takes for her type 2 diabetes.  She takes 3 injections of Novolog throughout the day.  At the end of the day, she takes an injection of Levemir.  Something her doctor said left her with the impression that she can't eat for 6\-8 hours after her Levemir injection.  This is becoming a problem because if she can't sleep or if she wakes before 8\-10 hours, she feels she can't eat and she has an eating disorder.  She ends up staying in bed longer than she otherwise would just so she can sleep through the period where she is not supposed to eat.  I asked her to clarify this with her doctor but somehow she never manages to straighten it out \(!?!?!\) and in the research I have been doing this afternoon, I can't find any reason that she should have to have this 8\-10 hour fasting period after taking her Levemir injection.  Can anyone tell me if this fasting requirement is a requirement for Levemir?  Thank you!</t>
        </is>
      </c>
      <c r="D4848" t="n">
        <v>1</v>
      </c>
      <c r="E4848" t="n">
        <v>3</v>
      </c>
      <c r="F4848">
        <f>HYPERLINK("https://www.reddit.com/r/diabetes/comments/8o4j69/eating_after_levemir_injection/")</f>
        <v/>
      </c>
      <c r="G4848" t="inlineStr">
        <is>
          <t>2018-06-02 16:31:21</t>
        </is>
      </c>
      <c r="H4848" t="inlineStr">
        <is>
          <t>Type 2</t>
        </is>
      </c>
    </row>
    <row r="4849">
      <c r="A4849" t="inlineStr">
        <is>
          <t>8o4tgt</t>
        </is>
      </c>
      <c r="B4849" t="inlineStr">
        <is>
          <t>Anything I can do to make my Dexcom transmitter battery last longer?</t>
        </is>
      </c>
      <c r="C4849" t="inlineStr">
        <is>
          <t xml:space="preserve">So my Dexcom transmitter ran out of battery today. It’s weird to me when it runs out of battery because it was working fine when all of a sudden the battery is dead and you have to order a new transmitter. I’m wondering if these is anything workarounds or something to allow the transmitters to work for a little longer. </t>
        </is>
      </c>
      <c r="D4849" t="n">
        <v>1</v>
      </c>
      <c r="E4849" t="n">
        <v>8</v>
      </c>
      <c r="F4849">
        <f>HYPERLINK("https://www.reddit.com/r/diabetes/comments/8o4tgt/anything_i_can_do_to_make_my_dexcom_transmitter/")</f>
        <v/>
      </c>
      <c r="G4849" t="inlineStr">
        <is>
          <t>2018-06-02 17:18:27</t>
        </is>
      </c>
      <c r="H4849" t="inlineStr">
        <is>
          <t>Type 1</t>
        </is>
      </c>
    </row>
    <row r="4850">
      <c r="A4850" t="inlineStr">
        <is>
          <t>8o6x6r</t>
        </is>
      </c>
      <c r="B4850" t="inlineStr">
        <is>
          <t>My father please help Insulin Pump Alcoholic</t>
        </is>
      </c>
      <c r="C4850" t="inlineStr">
        <is>
          <t>My father has been an alcoholic for as long as I can remember .. He has type 2 diabetes since he was 20 years old ... He owns a insulin pump.. when he drink he's drink so much he cannot even remember that I walked into the house.. All night I hear the sounds of his pump going off and have to bring him orange juice that he refuses to drink and yell at me cause he  so messed up from the drinks... Can he actually die from this? the pump is making weird noises Im really scared I love him so much This addiction really scares me... He drinks to the point he cant no more. The pump is making really weird sounds .. I know  the normal low sound but the sound its making its scaring me ..Can he die.. What if he doesnt wake up.. What should I do? I worry so much that one morning he wont wake up</t>
        </is>
      </c>
      <c r="D4850" t="n">
        <v>3</v>
      </c>
      <c r="E4850" t="n">
        <v>7</v>
      </c>
      <c r="F4850">
        <f>HYPERLINK("https://www.reddit.com/r/diabetes/comments/8o6x6r/my_father_please_help_insulin_pump_alcoholic/")</f>
        <v/>
      </c>
      <c r="G4850" t="inlineStr">
        <is>
          <t>2018-06-02 23:57:47</t>
        </is>
      </c>
      <c r="H4850" t="inlineStr">
        <is>
          <t>Type 2</t>
        </is>
      </c>
    </row>
    <row r="4851">
      <c r="A4851" t="inlineStr">
        <is>
          <t>8o87n1</t>
        </is>
      </c>
      <c r="B4851" t="inlineStr">
        <is>
          <t>An observation I am curious about</t>
        </is>
      </c>
      <c r="C4851" t="inlineStr">
        <is>
          <t xml:space="preserve">So, as it says, I am a Type 1 Diabetic. Just an observation I've made completely on my own and am simply making this post out of curiosity.
First thing is the pharmacy I went to simply did not have needles I was prescribed in stock. Due to this, the pharmacist asked me if I had thick skin. I thought about it for a second, and since I'm a naturally thin person, I thought well no. But my skin is a little tough around typical injection sites \(have been diabetic for 10\+ years so only natural\). But I was curious, and decided to take a little experiment into my hands \(without consulting my GP, although I know you always should\).
Anyways, I then thought, "Well, my doctor doesn't even interact with my diabetes...Takes blood pressure and heart rate, and simply takes simple blood tests three months that we don't even really discuss, along with a more detailed test once a year. We don't really discuss it again, I simply learn the information on my own via Google and health resources lying around. So fuck it, let's have the pharmacist just give me advice as they seem to be generally more excited about giving me advice regarding my medication than my actual GP does. Plus, I know my body best."
I decide to take the needles and thought nothing of it, if anything the needles lead to a LOT less bruising which I saw as a huge positive. 
But lately, along with my diet getting back into a good place \(depressive episodes tend to lead to me eating lots of lazy processed foods\), I've been having a lot of lows. Like, even up to 2 per day. I've decreased my long\-acting dosage by one unit like I do when eating better. And usually, this alone is enough to stop the constant lows along with being more conscious of little complex carbs and processed foods, I dose lower fast\-acting insulin too. I've noticed though, even with all the little little insulin I am taking, I am STILL getting lows. 
**I am curious, does anyone know if the size of the needles and how deep they go, if this can really make a big difference in how the insulin gets absorbed?** 
TL;DR Recently went from 6mm to 4mm needles. Seem to be having to take less insulin and getting a lot more lows than I would like. Curious if anyone knows anything about needle sizes and insulin absorption or if this is just simply in my head.
Thanks and I really appreciate it! </t>
        </is>
      </c>
      <c r="D4851" t="n">
        <v>6</v>
      </c>
      <c r="E4851" t="n">
        <v>6</v>
      </c>
      <c r="F4851">
        <f>HYPERLINK("https://www.reddit.com/r/diabetes/comments/8o87n1/an_observation_i_am_curious_about/")</f>
        <v/>
      </c>
      <c r="G4851" t="inlineStr">
        <is>
          <t>2018-06-03 05:28:28</t>
        </is>
      </c>
      <c r="H4851" t="inlineStr">
        <is>
          <t>Type 1</t>
        </is>
      </c>
    </row>
    <row r="4852">
      <c r="A4852" t="inlineStr">
        <is>
          <t>8of54j</t>
        </is>
      </c>
      <c r="B4852" t="inlineStr">
        <is>
          <t>KETO QUESTION ( NO INSULIN? ) TYPE 1</t>
        </is>
      </c>
      <c r="C4852" t="inlineStr">
        <is>
          <t>" Simply put, without insulin, a person with Type 1 diabetes cannot survive."
Read this from an article , havent used insulin in 7 days am I gonna die?</t>
        </is>
      </c>
      <c r="D4852" t="n">
        <v>0</v>
      </c>
      <c r="E4852" t="n">
        <v>21</v>
      </c>
      <c r="F4852">
        <f>HYPERLINK("https://www.reddit.com/r/diabetes/comments/8of54j/keto_question_no_insulin_type_1/")</f>
        <v/>
      </c>
      <c r="G4852" t="inlineStr">
        <is>
          <t>2018-06-03 23:23:09</t>
        </is>
      </c>
      <c r="H4852" t="inlineStr">
        <is>
          <t>Type 1</t>
        </is>
      </c>
    </row>
    <row r="4853">
      <c r="A4853" t="inlineStr">
        <is>
          <t>8oi9is</t>
        </is>
      </c>
      <c r="B4853" t="inlineStr">
        <is>
          <t>Frustrating pediatrician</t>
        </is>
      </c>
      <c r="C4853" t="inlineStr">
        <is>
          <t xml:space="preserve">Last August, my daughter was starting antidepressants. Her psychiatrist wanted to send her for blood work Incase of any thyroid problems. Her fasting blood sugar was 119. Her pediatrician dismissed it as stress, as she has syncope. She’s also anemic, which will be important later. Her pediatrician also passively mentioned ‘that my daughter having diabetes would be improbable, since she’s not a little kid’. My daughter became progressively more exhausted and weak, which was passed off because of her anemia. Not once did she order any blood work concerning diabetes. Around October, my daughter started to  become insatiably thirsty. Again, her pediatrician passed this off as dry mouth from her medications. These symptoms continued. Around late December, my daughter became so weak that she could barely get out of bed. She continued to go to school, however, as she has always been very stubborn about her health. (She has refused to take any pain medications for  anything, including a severely fractured collar bone.) Eventually she was too weak to walk at all, which led to my husband calling an ambulance. As soon as we got to the hospital and explained what was going on, she was given a ketone test and shipped to the icu. Her blood sugar was 894. She was diagnosed in January, and she has handled everything really well. We’re still trying to figure out the situation with her doctors. Any advice would be helpful, as we have no idea what to do. We’ve been with this pediatrician since my daughter was a baby. All of her medical records are with her. </t>
        </is>
      </c>
      <c r="D4853" t="n">
        <v>3</v>
      </c>
      <c r="E4853" t="n">
        <v>8</v>
      </c>
      <c r="F4853">
        <f>HYPERLINK("https://www.reddit.com/r/diabetes/comments/8oi9is/frustrating_pediatrician/")</f>
        <v/>
      </c>
      <c r="G4853" t="inlineStr">
        <is>
          <t>2018-06-04 08:42:06</t>
        </is>
      </c>
      <c r="H4853" t="inlineStr">
        <is>
          <t>Type 1</t>
        </is>
      </c>
    </row>
    <row r="4854">
      <c r="A4854" t="inlineStr">
        <is>
          <t>8ojgrh</t>
        </is>
      </c>
      <c r="B4854" t="inlineStr">
        <is>
          <t>New to Type 2 and trying to keep Track of everything....</t>
        </is>
      </c>
      <c r="C4854" t="inlineStr">
        <is>
          <t>I was wondering what other people use either notebooks or phone apps to help stay on top of their Diabetes?</t>
        </is>
      </c>
      <c r="D4854" t="n">
        <v>1</v>
      </c>
      <c r="E4854" t="n">
        <v>6</v>
      </c>
      <c r="F4854">
        <f>HYPERLINK("https://www.reddit.com/r/diabetes/comments/8ojgrh/new_to_type_2_and_trying_to_keep_track_of/")</f>
        <v/>
      </c>
      <c r="G4854" t="inlineStr">
        <is>
          <t>2018-06-04 11:08:43</t>
        </is>
      </c>
      <c r="H4854" t="inlineStr">
        <is>
          <t>Type 2</t>
        </is>
      </c>
    </row>
    <row r="4855">
      <c r="A4855" t="inlineStr">
        <is>
          <t>8ojlaw</t>
        </is>
      </c>
      <c r="B4855" t="inlineStr">
        <is>
          <t>So proud of my husband!!</t>
        </is>
      </c>
      <c r="C4855" t="inlineStr">
        <is>
          <t>My husband got diagnosed as late onset shortly after we started dating and he’s worked so hard to get his blood sugar in check.  Today he got his A1C results and it’s the lowest it’s ever been!  4.7!!!!  Gonna make some low carb cheesecake for him tonight to celebrate!</t>
        </is>
      </c>
      <c r="D4855" t="n">
        <v>17</v>
      </c>
      <c r="E4855" t="n">
        <v>13</v>
      </c>
      <c r="F4855">
        <f>HYPERLINK("https://www.reddit.com/r/diabetes/comments/8ojlaw/so_proud_of_my_husband/")</f>
        <v/>
      </c>
      <c r="G4855" t="inlineStr">
        <is>
          <t>2018-06-04 11:23:42</t>
        </is>
      </c>
      <c r="H4855" t="inlineStr">
        <is>
          <t>Type 1.5/LADA</t>
        </is>
      </c>
    </row>
    <row r="4856">
      <c r="A4856" t="inlineStr">
        <is>
          <t>8ol77r</t>
        </is>
      </c>
      <c r="B4856" t="inlineStr">
        <is>
          <t>Is it right that my teachers send me out of the classroom to test my blood and do inections??</t>
        </is>
      </c>
      <c r="C4856" t="inlineStr">
        <is>
          <t>It started because someone almost fainted once when they saw me test my blood so now I have to leave whatever class I'm in and go to the medical room whenever I have to test or inject.
It doesn't bother me too much but I can always see people looking and me and judging me when I have to go out and sometimes teachers blame me for wasting time when I have to go do it.
 My parents just told me to do what they say but I don't think I should be treated differently and it feels unfair.
It hasn't happened yet but what if I was low and wasn't allowed to test my blood and had to walk half way across the school to the medical room to check :/ 
I'm 14 and go to quite a strict boarding school so I don't really know how to deal with this.</t>
        </is>
      </c>
      <c r="D4856" t="n">
        <v>16</v>
      </c>
      <c r="E4856" t="n">
        <v>34</v>
      </c>
      <c r="F4856">
        <f>HYPERLINK("https://www.reddit.com/r/diabetes/comments/8ol77r/is_it_right_that_my_teachers_send_me_out_of_the/")</f>
        <v/>
      </c>
      <c r="G4856" t="inlineStr">
        <is>
          <t>2018-06-04 14:38:48</t>
        </is>
      </c>
      <c r="H4856" t="inlineStr">
        <is>
          <t>Type 1</t>
        </is>
      </c>
    </row>
    <row r="4857">
      <c r="A4857" t="inlineStr">
        <is>
          <t>8omj60</t>
        </is>
      </c>
      <c r="B4857" t="inlineStr">
        <is>
          <t>[HELP] [ADVICE] is it easier??</t>
        </is>
      </c>
      <c r="C4857" t="inlineStr">
        <is>
          <t>I went for my endocrinologist appointment this morning. It wasn’t the best. I’ve [21F] been a diabetic for 12 years this November. When I was diagnosed, my doctor, at the time, experimented on me. I had an A1C of 14. I know, right?? Since I turned 18 &amp;amp; started seeing an adult Endocrinologist, my A1C has dropped to an 11. Which is still not great, but it’s better. 
She changed my day time medicine to Fiasp, hoping it’ll be better than the Novolog I’ve been taking for the past 6+ years. 
I was also given the Freestyle Libre to try out. I just used it for the first time, since I have to wait 18 hours for it to be used. I think it’s really neat!! Hoping it’ll work, so I won’t have to prick my finger so much. 
I’m just wondering, has anyone tried either of these? Or are using either &amp;amp; could give me some pros/cons? Wether you like it or don’t? I’m curious to see if it’ll help in the long run! Thanks!! 🤗</t>
        </is>
      </c>
      <c r="D4857" t="n">
        <v>4</v>
      </c>
      <c r="E4857" t="n">
        <v>25</v>
      </c>
      <c r="F4857">
        <f>HYPERLINK("https://www.reddit.com/r/diabetes/comments/8omj60/help_advice_is_it_easier/")</f>
        <v/>
      </c>
      <c r="G4857" t="inlineStr">
        <is>
          <t>2018-06-04 17:43:49</t>
        </is>
      </c>
      <c r="H4857" t="inlineStr">
        <is>
          <t>Type 1</t>
        </is>
      </c>
    </row>
    <row r="4858">
      <c r="A4858" t="inlineStr">
        <is>
          <t>8onjwi</t>
        </is>
      </c>
      <c r="B4858" t="inlineStr">
        <is>
          <t>Little victories</t>
        </is>
      </c>
      <c r="C4858" t="inlineStr">
        <is>
          <t>Recent diagnosis of T2 in October 2017. Terrified of going blind, having kidney failure, amputation, the whole nine yards. A1c measured at 9 back then. Prescribed metformin and a low carb diet. Took an at-home a1c rest today and it measured 7.7! Still high, but I will gladly take the 1.3% reduction over 7 months as a sign of progress. 
Here’s hoping I can get another 1.3% reduction in another six or so months.</t>
        </is>
      </c>
      <c r="D4858" t="n">
        <v>1</v>
      </c>
      <c r="E4858" t="n">
        <v>6</v>
      </c>
      <c r="F4858">
        <f>HYPERLINK("https://www.reddit.com/r/diabetes/comments/8onjwi/little_victories/")</f>
        <v/>
      </c>
      <c r="G4858" t="inlineStr">
        <is>
          <t>2018-06-04 20:18:54</t>
        </is>
      </c>
      <c r="H4858" t="inlineStr">
        <is>
          <t>Type 2</t>
        </is>
      </c>
    </row>
    <row r="4859">
      <c r="A4859" t="inlineStr">
        <is>
          <t>8ot201</t>
        </is>
      </c>
      <c r="B4859" t="inlineStr">
        <is>
          <t>Constant dizziness</t>
        </is>
      </c>
      <c r="C4859" t="inlineStr">
        <is>
          <t>Hello fellow diabetics, i have a problem that i have had for a few years now. 
I almost constantly feel dizzy, my values are good and my hba1c is 6.7 \(i am diabetic for 13 years now\) but i feel \(and am able to differentiate\) my bg being low, being high, going up and going down at any point . Also after eating and bolusing i feel dizzy from the bolus trying to hold the carbs down. All this is pretty cool and so on because i mostly always know where my values are going, but the dizziness is strong enough to not let me focus on anything. I want to study and for the last months it is just impossible for me, i even sit down and get myself to start doing things but anything i can think of is diabetes and how to fix my symtoms while being dizzy...
I am pretty sure that this is related to diabetes \(type 1 btw\) since i distinguish all the feelings, 
any help on how i might fix that or any experiences to share would be appreciated :\)</t>
        </is>
      </c>
      <c r="D4859" t="n">
        <v>2</v>
      </c>
      <c r="E4859" t="n">
        <v>14</v>
      </c>
      <c r="F4859">
        <f>HYPERLINK("https://www.reddit.com/r/diabetes/comments/8ot201/constant_dizziness/")</f>
        <v/>
      </c>
      <c r="G4859" t="inlineStr">
        <is>
          <t>2018-06-05 11:07:06</t>
        </is>
      </c>
      <c r="H4859" t="inlineStr">
        <is>
          <t>Type 1</t>
        </is>
      </c>
    </row>
    <row r="4860">
      <c r="A4860" t="inlineStr">
        <is>
          <t>8oxg52</t>
        </is>
      </c>
      <c r="B4860" t="inlineStr">
        <is>
          <t>I’m a depressed, underweight, newly diagnosed type II.</t>
        </is>
      </c>
      <c r="C4860" t="inlineStr">
        <is>
          <t xml:space="preserve">I’m a 34 year old female taking numerous antidepressants, anti anxiety pills and I’ve just found out that I’m a diabetic on top of it all.  I’m terrified of needles and am terrified that the medication I’ve been prescribed won’t be enough and I’ll need insulin.  There’s so much information about people who need to practice portion control or who cook for many family members but next to nothing about someone who weighs less than 100 lbs on average and who only needs to cook for two without breaking the bank. 
  I used to reward myself at the end of the week with a sweet treat and have a love affair with bread and pasta. Maybe that’s what did it, I don’t know. When I was diagnosed, my blood sugar was over 400, my vision was so blurry I had to take time off work and I drank so much water I was scaring myself. Nearly  a gallon or more a day. My a1c was at 12%. This was 3 months ago but that means that by the time I realized that these weren’t side effects of being put on antidepressants and anti anxiety medications, I’d already had the condition for a while.  
 I test 3 times a day and sometimes after I eat a new food to see how it effects me and I’m quickly finding out that I just can’t tolerate hardly anything except meat, nuts, cheese and vegetables.  Any kind of bread or flour is a ticket to a rocket in sugar. Any kind of cream sauce, gravy and even some kinds of snacks that are supposed to be low GI just make it worse.  I can’t control my sugars overnight and they’re always so high I feel like starving myself.  I’ve spent so much of my life with high metabolism and this is such a big change since even a steak and vegetables makes it  jump over 150 points. Even with the maximum of metformin and glipizide my sugars hardly ever dip below 200 and regularly stay between 200-350. I’m living with state insurance and food assistance so I can’t really afford some of these higher priced foods that might actually taste good. I’ve been trying new things and bought cookbooks for myself but I’m finding they aren’t working.  Almond meal is expensive and I’ve used so much of it lately that I gag when I open the bag.  I’m so tired and burnt out already. My antidepressants don’t touch my moods anymore but my psychiatrist only sees me once every 3 months and doesn’t know what can be done about this type of depression. Everywhere I look there’s all these products and things built for normal people and I just feel like “is it worth it? Why should I live if I can  hardly eat anything?” I’m stressing my normal husband out because he wants to help but can’t understand what I mean when I say “I just can’t eat another salad.” I’m never full, if I eat a filling meal my blood sugar jumps to 290 or 350. I’m always hungry.  I can never stop thinking about when my schedule says I can eat again. 
 I’m scared and lonely and I need help.  I don’t know where else to turn or what to do to shake this apathetic depression.  This is hard, harder than I ever imagined it would be and after only 3 months.  How am I going to live the rest of my life like  this? I exercise more than ever, see a low number then as soon as I eat I’m back where I started.  I don’t want to be this way, I don’t want to be on insulin because I’m afraid of needles or getting it wrong, I’m afraid of extreme numbers where I could pass out. I’m just...scared of everything. 
  I didn’t know where else to go since every place I go to is filled with people who weigh more than I do and are geared towards them and I even get scathing looks since they still think I can eat what I want. 
Thanks for listening. </t>
        </is>
      </c>
      <c r="D4860" t="n">
        <v>6</v>
      </c>
      <c r="E4860" t="n">
        <v>25</v>
      </c>
      <c r="F4860">
        <f>HYPERLINK("https://www.reddit.com/r/diabetes/comments/8oxg52/im_a_depressed_underweight_newly_diagnosed_type_ii/")</f>
        <v/>
      </c>
      <c r="G4860" t="inlineStr">
        <is>
          <t>2018-06-05 20:42:49</t>
        </is>
      </c>
      <c r="H4860" t="inlineStr">
        <is>
          <t>Type 2</t>
        </is>
      </c>
    </row>
    <row r="4861">
      <c r="A4861" t="inlineStr">
        <is>
          <t>8oxjzi</t>
        </is>
      </c>
      <c r="B4861" t="inlineStr">
        <is>
          <t>So I was a really special kind of stupid.</t>
        </is>
      </c>
      <c r="C4861" t="inlineStr">
        <is>
          <t>I was diagnosed as a Type 2 back in 2016.  I had been borderline for a while and a good lung infection that was treated with oral and injection steroids pushed me right off the cliff.  Based on my initial numbers I had a A1C of around 14.  So I did was I was supposed to do.  I modified my diet, cut out the sodas, cut the sugar, exercised, lost weight.  Three months later I'm getting fist bumped by my Doc because my A1C is a 6.0.  Honestly it was easy.
That was then.  My wife is currently battling terminal cancer.  Breast cancer that has spread to her spine, liver, and hip.  It's her 3rd go round with this damn disease in 29 years.  This is the last battle barring divine intervention.  For the last six months we've gotten nothing but crap news.  All pill form endocrine therapy has now failed and she is going to start the hard infusion style chemo on Friday.  Honestly I became overwhelmed and fell back into old habits.  Stress eating was a way of life for me.  Carbs are my friends.  I pulled a full on Scarlett O'Hara "I just can't think about that right now" with my diabetes.   So three weeks ago I was at work and feeling a bit off.  I checked my blood sugar and holy crap it read 499.  Record high score, but no one was cheering.  To complicate my stupidity I had run out of my medicine and had not picked it up over the holiday weekend due to my pharmacy being closed.   Needless to say that was a wake up call.  Come to find out I was waking up in the mid to upper 300's.  The day I hit 499 I had just finished off a large Dr. Pepper and a handful of peanut M&amp;amp;M's.  Like I said....I was a really special kind of stupid.
Operation Kick My Own Ass started immediately.  Three weeks later my wake up numbers have been dropping by 10\-15 points a day. Today I woke up with a blood sugar reading of 145.  I was 95 by the time lunch rolled around.  I went back on my full blown keto diet that I did so well on a year prior.  I've dropped nearly 15 pounds and my energy levels are way up due to me cutting carbs back to less than 40g a day.
On the day my blood sugar hit 499 my wife looked at me and said, "At the risk of sounding selfish, I need you well.  I really needs to be all about me right now."   Damn right.  I have no time to be stupid, selfish, or dead.</t>
        </is>
      </c>
      <c r="D4861" t="n">
        <v>20</v>
      </c>
      <c r="E4861" t="n">
        <v>9</v>
      </c>
      <c r="F4861">
        <f>HYPERLINK("https://www.reddit.com/r/diabetes/comments/8oxjzi/so_i_was_a_really_special_kind_of_stupid/")</f>
        <v/>
      </c>
      <c r="G4861" t="inlineStr">
        <is>
          <t>2018-06-05 21:00:34</t>
        </is>
      </c>
      <c r="H4861" t="inlineStr">
        <is>
          <t>Type 2</t>
        </is>
      </c>
    </row>
    <row r="4862">
      <c r="A4862" t="inlineStr">
        <is>
          <t>8p0f7c</t>
        </is>
      </c>
      <c r="B4862" t="inlineStr">
        <is>
          <t>Has anyone moved from the UK to Germany?</t>
        </is>
      </c>
      <c r="C4862" t="inlineStr">
        <is>
          <t xml:space="preserve">I am going to be studying ín Germany in October and need some advice about health insurances. The course is two years. I have been told I can stay on my EHIC card or I could go onto state insurance that would cover some of my diabetes meds. I use a CGM that I have to self fund because the NHS won't cover it, and I can't really afford it anymore. I am hoping insurance would maybe help me out with that, as I am genuinely scared for my life without the CGM. I also use a pump which the NHS pays for, but this is running out this month, so they want to replace it. Has anyone got any experience with this? My health care team haven't really been able to offer any advice. I have both German and English passports if that helps </t>
        </is>
      </c>
      <c r="D4862" t="n">
        <v>1</v>
      </c>
      <c r="E4862" t="n">
        <v>1</v>
      </c>
      <c r="F4862">
        <f>HYPERLINK("https://www.reddit.com/r/diabetes/comments/8p0f7c/has_anyone_moved_from_the_uk_to_germany/")</f>
        <v/>
      </c>
      <c r="G4862" t="inlineStr">
        <is>
          <t>2018-06-06 06:02:49</t>
        </is>
      </c>
      <c r="H4862" t="inlineStr">
        <is>
          <t>Type 1</t>
        </is>
      </c>
    </row>
    <row r="4863">
      <c r="A4863" t="inlineStr">
        <is>
          <t>8p2oe3</t>
        </is>
      </c>
      <c r="B4863" t="inlineStr">
        <is>
          <t>Online Research Survey: Factors of Health Management in T1D and T2D</t>
        </is>
      </c>
      <c r="C4863" t="inlineStr">
        <is>
          <t xml:space="preserve">Hi!
Please consider participation in research designed to examine patient and provider factors of health management within various chronic diseases, including Type 1 diabetes and Type 2 diabetes.  Information gained from this study will help healthcare providers increase understanding of the dynamics that influence health behavior, which is valuable for preventative care to improve individual and economic outcomes associated with chronic diseases such as diabetes.  To be eligible, participants must be diagnosed with a chronic disease, defined as a persistent health condition with a prolonged course of illness, and currently be prescribed medication for this chronic disease. Participants diagnosed with Type 1 diabetes or Type 2 diabetes will provide responses based on experiences with such condition.  Participants must be at least 18 years of age.  Participants who complete the survey have the opportunity to be entered to win a $50 Visa gift card.  Time to complete the study is approximately 10\-15 minutes. Thank you!
Use this link [https://www.questionpro.com/t/ANBaOZY9WP](https://www.questionpro.com/t/ANBaOZY9WP)to access the survey. 
The current research was approved by the Human Subjects Institutional Review Board at Spalding University in Louisville, Kentucky.  </t>
        </is>
      </c>
      <c r="D4863" t="n">
        <v>0</v>
      </c>
      <c r="E4863" t="n">
        <v>3</v>
      </c>
      <c r="F4863">
        <f>HYPERLINK("https://www.reddit.com/r/diabetes/comments/8p2oe3/online_research_survey_factors_of_health/")</f>
        <v/>
      </c>
      <c r="G4863" t="inlineStr">
        <is>
          <t>2018-06-06 10:41:08</t>
        </is>
      </c>
      <c r="H4863" t="inlineStr">
        <is>
          <t>Type 2</t>
        </is>
      </c>
    </row>
    <row r="4864">
      <c r="A4864" t="inlineStr">
        <is>
          <t>8p37h5</t>
        </is>
      </c>
      <c r="B4864" t="inlineStr">
        <is>
          <t>Switching from shots to pump</t>
        </is>
      </c>
      <c r="C4864" t="inlineStr">
        <is>
          <t xml:space="preserve">Hi! I’m switching from shots to the TSlim2. I was wondering how big of a difference it will make in my balance. I’ve been very brittle but the er doc I saw on Monday told me the pump should help. 
Advice? I’m seeing my primary care tomorrow and she’s been helping with it. </t>
        </is>
      </c>
      <c r="D4864" t="n">
        <v>12</v>
      </c>
      <c r="E4864" t="n">
        <v>13</v>
      </c>
      <c r="F4864">
        <f>HYPERLINK("https://www.reddit.com/r/diabetes/comments/8p37h5/switching_from_shots_to_pump/")</f>
        <v/>
      </c>
      <c r="G4864" t="inlineStr">
        <is>
          <t>2018-06-06 11:44:31</t>
        </is>
      </c>
      <c r="H4864" t="inlineStr">
        <is>
          <t>Type 1</t>
        </is>
      </c>
    </row>
    <row r="4865">
      <c r="A4865" t="inlineStr">
        <is>
          <t>8p5i3a</t>
        </is>
      </c>
      <c r="B4865" t="inlineStr">
        <is>
          <t>Ugh, Trajenta (DPP-4 Inhibitor) is causing joint pain in my knee.</t>
        </is>
      </c>
      <c r="C4865" t="inlineStr">
        <is>
          <t>I've been on it about 3 weeks.   Will my body ever get used to it and stop the knee pain?
[FDA warning about DPP\-4s](https://www.fda.gov/Drugs/DrugSafety/ucm459579.htm)</t>
        </is>
      </c>
      <c r="D4865" t="n">
        <v>3</v>
      </c>
      <c r="E4865" t="n">
        <v>7</v>
      </c>
      <c r="F4865">
        <f>HYPERLINK("https://www.reddit.com/r/diabetes/comments/8p5i3a/ugh_trajenta_dpp4_inhibitor_is_causing_joint_pain/")</f>
        <v/>
      </c>
      <c r="G4865" t="inlineStr">
        <is>
          <t>2018-06-06 16:36:58</t>
        </is>
      </c>
      <c r="H4865" t="inlineStr">
        <is>
          <t>Type 2</t>
        </is>
      </c>
    </row>
    <row r="4866">
      <c r="A4866" t="inlineStr">
        <is>
          <t>8p64eg</t>
        </is>
      </c>
      <c r="B4866" t="inlineStr">
        <is>
          <t>When do you start to feel your hypo?</t>
        </is>
      </c>
      <c r="C4866" t="inlineStr">
        <is>
          <t>At which BS reading do you start to feel the symptoms? When I was recently diagnosed, 80mg/dL was a nightmare. Now I start to feel the symptoms under 70mg/dL. Recently just checked for dinner, 61mg/dL and didn't feel anything. I'm worrying about it 😐</t>
        </is>
      </c>
      <c r="D4866" t="n">
        <v>6</v>
      </c>
      <c r="E4866" t="n">
        <v>17</v>
      </c>
      <c r="F4866">
        <f>HYPERLINK("https://www.reddit.com/r/diabetes/comments/8p64eg/when_do_you_start_to_feel_your_hypo/")</f>
        <v/>
      </c>
      <c r="G4866" t="inlineStr">
        <is>
          <t>2018-06-06 18:06:42</t>
        </is>
      </c>
      <c r="H4866" t="inlineStr">
        <is>
          <t>Type 1</t>
        </is>
      </c>
    </row>
    <row r="4867">
      <c r="A4867" t="inlineStr">
        <is>
          <t>8p8nlk</t>
        </is>
      </c>
      <c r="B4867" t="inlineStr">
        <is>
          <t>What do you do, when you feel burnt out?</t>
        </is>
      </c>
      <c r="C4867" t="inlineStr">
        <is>
          <t>Hi :) I’m 19 years old. I’ve had diabetes for 12 years now. And I just feel burnt out. I’m tired of checking, bolusing, carb counting. My energy is low. What do you guys do when you’re feeling this way? 
Thanks in advance</t>
        </is>
      </c>
      <c r="D4867" t="n">
        <v>9</v>
      </c>
      <c r="E4867" t="n">
        <v>19</v>
      </c>
      <c r="F4867">
        <f>HYPERLINK("https://www.reddit.com/r/diabetes/comments/8p8nlk/what_do_you_do_when_you_feel_burnt_out/")</f>
        <v/>
      </c>
      <c r="G4867" t="inlineStr">
        <is>
          <t>2018-06-07 01:30:39</t>
        </is>
      </c>
      <c r="H4867" t="inlineStr">
        <is>
          <t>Type 1</t>
        </is>
      </c>
    </row>
    <row r="4868">
      <c r="A4868" t="inlineStr">
        <is>
          <t>8pb8o7</t>
        </is>
      </c>
      <c r="B4868" t="inlineStr">
        <is>
          <t>Carb dosing questions. please help!</t>
        </is>
      </c>
      <c r="C4868" t="inlineStr">
        <is>
          <t xml:space="preserve">Is it just a given that blood sugar is going to spike after eating?  
10/1 carb ratio scenario:  
Blood sugar at 120 \- grabs meal that is 30 carbs \- Doses 3 units before eating, waits 10 minutes and eats lunch.  
30 mins after eating: blood sugar has risen 30 points from starting blood sugar of 120
1 hour after eating: blood sugar has risen 70 points or so from starting blood sugar of 120
2 hours after eating: blood sugar has risen 100 points or so from starting blood sugar of 120 but now trending down
blood sugar slowly creeps back down but never gets back to 120 without correction dose. 
This happens with almost anything I eat, no matter the carb amount or insulin dose. 
I simplified the ratio for the example but even if I play with my carb ratio it still spikes the same but the crash after is worse and I have to eat glucose tabs to get back to normal. 
Am I just lost in all this or am I missing something? its super frustrating. </t>
        </is>
      </c>
      <c r="D4868" t="n">
        <v>1</v>
      </c>
      <c r="E4868" t="n">
        <v>4</v>
      </c>
      <c r="F4868">
        <f>HYPERLINK("https://www.reddit.com/r/diabetes/comments/8pb8o7/carb_dosing_questions_please_help/")</f>
        <v/>
      </c>
      <c r="G4868" t="inlineStr">
        <is>
          <t>2018-06-07 08:31:41</t>
        </is>
      </c>
      <c r="H4868" t="inlineStr">
        <is>
          <t>Type 1</t>
        </is>
      </c>
    </row>
    <row r="4869">
      <c r="A4869" t="inlineStr">
        <is>
          <t>8pdut5</t>
        </is>
      </c>
      <c r="B4869" t="inlineStr">
        <is>
          <t>T2D Diets - Whole Foods Plant Based or Keto?</t>
        </is>
      </c>
      <c r="C4869" t="inlineStr">
        <is>
          <t>Everywhere you look there are wildly conflicting opinions on diet and how it relates to T2, and I am just getting more and more confused.  There are claims that both diets will get you off medication, both diets seem to have doctors and science backing them up, but both diets also have experts who claim the other diet is super harmful for reasons.
My own doctor is not helpful.  He points to the ADA guidelines and nothing else, and just piles on more meds.  I would like to take a more aggressive approach to this and hopefully kick the meds.
I know this is crowd sourcing and not actual medical advice, but I'd love to hear from anyone who has tried either diet and what the results were.  Thanks:)</t>
        </is>
      </c>
      <c r="D4869" t="n">
        <v>2</v>
      </c>
      <c r="E4869" t="n">
        <v>42</v>
      </c>
      <c r="F4869">
        <f>HYPERLINK("https://www.reddit.com/r/diabetes/comments/8pdut5/t2d_diets_whole_foods_plant_based_or_keto/")</f>
        <v/>
      </c>
      <c r="G4869" t="inlineStr">
        <is>
          <t>2018-06-07 13:46:43</t>
        </is>
      </c>
      <c r="H4869" t="inlineStr">
        <is>
          <t>Type 2</t>
        </is>
      </c>
    </row>
    <row r="4870">
      <c r="A4870" t="inlineStr">
        <is>
          <t>8pgh5c</t>
        </is>
      </c>
      <c r="B4870" t="inlineStr">
        <is>
          <t>broken insulin penfill what should i do?</t>
        </is>
      </c>
      <c r="C4870" t="inlineStr">
        <is>
          <t>A few days ago I had an insulin penfill break and I'm wanting to know what the procedure for a broken penfill is, and in your experience what can cause them to break. 
Side note: Is it safe to inject the insulin viva syringe from a broken penfill</t>
        </is>
      </c>
      <c r="D4870" t="n">
        <v>1</v>
      </c>
      <c r="E4870" t="n">
        <v>2</v>
      </c>
      <c r="F4870">
        <f>HYPERLINK("https://www.reddit.com/r/diabetes/comments/8pgh5c/broken_insulin_penfill_what_should_i_do/")</f>
        <v/>
      </c>
      <c r="G4870" t="inlineStr">
        <is>
          <t>2018-06-07 20:02:10</t>
        </is>
      </c>
      <c r="H4870" t="inlineStr">
        <is>
          <t>Type 1</t>
        </is>
      </c>
    </row>
    <row r="4871">
      <c r="A4871" t="inlineStr">
        <is>
          <t>8pj1lr</t>
        </is>
      </c>
      <c r="B4871" t="inlineStr">
        <is>
          <t>Taking a trip to Florida in the summer</t>
        </is>
      </c>
      <c r="C4871" t="inlineStr">
        <is>
          <t>Hi fellow diabeticors(?) 
I am traveling from Norway to Florida on a during of 2 weeks and I have a few questions:
1. What will happen to my daily «liver dump» which usually happens 03.00-07.00 in Norway? The time difference is about 9 hours? Do I need more insulin at the later stage of sleeping in Florida too?
2. In Norway the fiber has already been subtracted in the carb ratio on foods, do I have to subtract the fiber from the carb in USA?
3. Can I go to the beach with my omnipod or do I have to cover it from the sun?
Thanks!</t>
        </is>
      </c>
      <c r="D4871" t="n">
        <v>2</v>
      </c>
      <c r="E4871" t="n">
        <v>18</v>
      </c>
      <c r="F4871">
        <f>HYPERLINK("https://www.reddit.com/r/diabetes/comments/8pj1lr/taking_a_trip_to_florida_in_the_summer/")</f>
        <v/>
      </c>
      <c r="G4871" t="inlineStr">
        <is>
          <t>2018-06-08 04:16:18</t>
        </is>
      </c>
      <c r="H4871" t="inlineStr">
        <is>
          <t>Type 1</t>
        </is>
      </c>
    </row>
    <row r="4872">
      <c r="A4872" t="inlineStr">
        <is>
          <t>8pk768</t>
        </is>
      </c>
      <c r="B4872" t="inlineStr">
        <is>
          <t>Questions about my levels</t>
        </is>
      </c>
      <c r="C4872" t="inlineStr">
        <is>
          <t xml:space="preserve">So I’m type 1 and I’m 18, got it when i was 10. And with my current job i work mornings 4am-12pm. So use the time I’m at work for my intermittent fasting. Which means i don’t eat anything during that time period. But sometimes my blood sugar still rises. Example when i woke up this morning at about 3am i was 180. Which is good since I’m not gonna eat for the next 8 hours. But now when i checked it i was 352??? And this has happen multiple times but i think today was the highest I’ve been.  I haven’t ate anything. You guys have any ideas what could bring me so high? Btw i was 220 last when i took my meds and went to sleep. </t>
        </is>
      </c>
      <c r="D4872" t="n">
        <v>3</v>
      </c>
      <c r="E4872" t="n">
        <v>6</v>
      </c>
      <c r="F4872">
        <f>HYPERLINK("https://www.reddit.com/r/diabetes/comments/8pk768/questions_about_my_levels/")</f>
        <v/>
      </c>
      <c r="G4872" t="inlineStr">
        <is>
          <t>2018-06-08 07:13:17</t>
        </is>
      </c>
      <c r="H4872" t="inlineStr">
        <is>
          <t>Type 1</t>
        </is>
      </c>
    </row>
    <row r="4873">
      <c r="A4873" t="inlineStr">
        <is>
          <t>8pnnm1</t>
        </is>
      </c>
      <c r="B4873" t="inlineStr">
        <is>
          <t>Anyone have experience withT1D and being a live organ donor?</t>
        </is>
      </c>
      <c r="C4873" t="inlineStr">
        <is>
          <t xml:space="preserve">From what I have researched, everything points to type 1 diabetics being unable to be live organ donors. Unfortunately I have to think about donating a chunk of liver to a loved one. Does anyone have any experience or insight? Thanks. </t>
        </is>
      </c>
      <c r="D4873" t="n">
        <v>3</v>
      </c>
      <c r="E4873" t="n">
        <v>7</v>
      </c>
      <c r="F4873">
        <f>HYPERLINK("https://www.reddit.com/r/diabetes/comments/8pnnm1/anyone_have_experience_witht1d_and_being_a_live/")</f>
        <v/>
      </c>
      <c r="G4873" t="inlineStr">
        <is>
          <t>2018-06-08 14:15:30</t>
        </is>
      </c>
      <c r="H4873" t="inlineStr">
        <is>
          <t>Type 1</t>
        </is>
      </c>
    </row>
    <row r="4874">
      <c r="A4874" t="inlineStr">
        <is>
          <t>8pp1q2</t>
        </is>
      </c>
      <c r="B4874" t="inlineStr">
        <is>
          <t>How to disable alarms on omnipod?</t>
        </is>
      </c>
      <c r="C4874" t="inlineStr">
        <is>
          <t>How can I disable alarms on the omnipod?  In particular the alarms that go from 72hrs to 80hrs.  I often where my pod for a few extra hours since I can &amp;amp; overtime these few extra hours really add up (10% gain in pod life).
I HATE the stupid beep-beepbeep-beep that comes up randomly? between this time.  It's always so loud and is very disturbing.  Is there a way I can disable the alarms on my pod, especially the ones that come up after 72hrs?  I thought I saw some information that this is possible?</t>
        </is>
      </c>
      <c r="D4874" t="n">
        <v>1</v>
      </c>
      <c r="E4874" t="n">
        <v>5</v>
      </c>
      <c r="F4874">
        <f>HYPERLINK("https://www.reddit.com/r/diabetes/comments/8pp1q2/how_to_disable_alarms_on_omnipod/")</f>
        <v/>
      </c>
      <c r="G4874" t="inlineStr">
        <is>
          <t>2018-06-08 17:32:35</t>
        </is>
      </c>
      <c r="H4874" t="inlineStr">
        <is>
          <t>Type 1</t>
        </is>
      </c>
    </row>
    <row r="4875">
      <c r="A4875" t="inlineStr">
        <is>
          <t>8psb2o</t>
        </is>
      </c>
      <c r="B4875" t="inlineStr">
        <is>
          <t>UK drivers- first application</t>
        </is>
      </c>
      <c r="C4875" t="inlineStr">
        <is>
          <t>Has anyone in the UK applied for this first provisional license within the past few years? I'm wondering how long it takes. I filled it in online and ticked the box, and now it's been processing for a week. I assume I'll get a form for my GPs details and then have to wait for them to send that out, get the response, (acknowledge I've got great warning symptoms and haven't ever passed out from a hypo  or been hospitalised in over 20 years) and finally get it. Online I can just find posts from quite a while back when everything was paper form based, so was just hoping for some insight into how long it might take these days.
Thanks!</t>
        </is>
      </c>
      <c r="D4875" t="n">
        <v>1</v>
      </c>
      <c r="E4875" t="n">
        <v>5</v>
      </c>
      <c r="F4875">
        <f>HYPERLINK("https://www.reddit.com/r/diabetes/comments/8psb2o/uk_drivers_first_application/")</f>
        <v/>
      </c>
      <c r="G4875" t="inlineStr">
        <is>
          <t>2018-06-09 04:53:21</t>
        </is>
      </c>
      <c r="H4875" t="inlineStr">
        <is>
          <t>Type 1</t>
        </is>
      </c>
    </row>
    <row r="4876">
      <c r="A4876" t="inlineStr">
        <is>
          <t>8ptyru</t>
        </is>
      </c>
      <c r="B4876" t="inlineStr">
        <is>
          <t>Confused</t>
        </is>
      </c>
      <c r="C4876" t="inlineStr">
        <is>
          <t>A1c 5.4 but my sugars have been over 200 last few weeks.  Today I tested at 333, feel sick as hell.
Meds are metformin 500mgx2 2x a day.  NP switched me too metformin at 100omg 1x a day plus 1mg glimeprimiride.  Didn't help.  I'm trying 2000 1x a day, and 4mg glimeprimiride.  Also a protein shake.
I tried 1mg 2mg 3mg nothing seemed to change. Trying 4mg today.
Advice? Help?</t>
        </is>
      </c>
      <c r="D4876" t="n">
        <v>3</v>
      </c>
      <c r="E4876" t="n">
        <v>13</v>
      </c>
      <c r="F4876">
        <f>HYPERLINK("https://www.reddit.com/r/diabetes/comments/8ptyru/confused/")</f>
        <v/>
      </c>
      <c r="G4876" t="inlineStr">
        <is>
          <t>2018-06-09 09:33:28</t>
        </is>
      </c>
      <c r="H4876" t="inlineStr">
        <is>
          <t>Type 2</t>
        </is>
      </c>
    </row>
    <row r="4877">
      <c r="A4877" t="inlineStr">
        <is>
          <t>8q31dw</t>
        </is>
      </c>
      <c r="B4877" t="inlineStr">
        <is>
          <t>Cost of insurance after ones T1D child is no longer covered.</t>
        </is>
      </c>
      <c r="C4877" t="inlineStr">
        <is>
          <t xml:space="preserve">Can anyone please give me an idea as to what we should brace ourselves for?  Still a long ways before that, however, I want to educate myself and take proactive steps toward preparing? Any programs that cover uninsured T1D's? Maybe insurance I can pay into now that may somehow grandfather my daughter into lower costs when she is no longer covered under my jobs insurance? Any anecdotes? Personal experiences? </t>
        </is>
      </c>
      <c r="D4877" t="n">
        <v>8</v>
      </c>
      <c r="E4877" t="n">
        <v>10</v>
      </c>
      <c r="F4877">
        <f>HYPERLINK("https://www.reddit.com/r/diabetes/comments/8q31dw/cost_of_insurance_after_ones_t1d_child_is_no/")</f>
        <v/>
      </c>
      <c r="G4877" t="inlineStr">
        <is>
          <t>2018-06-10 12:06:52</t>
        </is>
      </c>
      <c r="H4877" t="inlineStr">
        <is>
          <t>Type 1</t>
        </is>
      </c>
    </row>
    <row r="4878">
      <c r="A4878" t="inlineStr">
        <is>
          <t>8q6ejv</t>
        </is>
      </c>
      <c r="B4878" t="inlineStr">
        <is>
          <t>Laws against employees administering glucagon at work.</t>
        </is>
      </c>
      <c r="C4878" t="inlineStr">
        <is>
          <t>I have a glucagon at work. Are their any laws that prohibit someone at work from giving me a glucagon injection if needed?</t>
        </is>
      </c>
      <c r="D4878" t="n">
        <v>4</v>
      </c>
      <c r="E4878" t="n">
        <v>14</v>
      </c>
      <c r="F4878">
        <f>HYPERLINK("https://www.reddit.com/r/diabetes/comments/8q6ejv/laws_against_employees_administering_glucagon_at/")</f>
        <v/>
      </c>
      <c r="G4878" t="inlineStr">
        <is>
          <t>2018-06-10 20:34:23</t>
        </is>
      </c>
      <c r="H4878" t="inlineStr">
        <is>
          <t>Type 1</t>
        </is>
      </c>
    </row>
    <row r="4879">
      <c r="A4879" t="inlineStr">
        <is>
          <t>8qbgn8</t>
        </is>
      </c>
      <c r="B4879" t="inlineStr">
        <is>
          <t>Do i have Diabetes T2?</t>
        </is>
      </c>
      <c r="C4879" t="inlineStr">
        <is>
          <t>(F/15yrs/173cm/60kg)
I have been feeling unusually tired and dizzy lately, despite 9+ hours of sleep. 
I have always been able to eat inhuman amounts of foods without it really showing on my frame (i have a good amount of muscles and a BMI of 20). I think i had around 5 000 calories today, probably half of which were cookies and ice cream. 
Every symptom i see on my body now seems to affirm my belief. 
Slow woundhealing? Diabetes.
Still feeling like i could fit some more after eating a whole pizza? Diabetes. 
I don’t know guys.. what do you think? 
*(my triglycerides have been a little over ever since i was 12, but not by a lot..)</t>
        </is>
      </c>
      <c r="D4879" t="n">
        <v>0</v>
      </c>
      <c r="E4879" t="n">
        <v>9</v>
      </c>
      <c r="F4879">
        <f>HYPERLINK("https://www.reddit.com/r/diabetes/comments/8qbgn8/do_i_have_diabetes_t2/")</f>
        <v/>
      </c>
      <c r="G4879" t="inlineStr">
        <is>
          <t>2018-06-11 10:56:43</t>
        </is>
      </c>
      <c r="H4879" t="inlineStr">
        <is>
          <t>Type 2</t>
        </is>
      </c>
    </row>
    <row r="4880">
      <c r="A4880" t="inlineStr">
        <is>
          <t>8qbs7v</t>
        </is>
      </c>
      <c r="B4880" t="inlineStr">
        <is>
          <t>My girlfriend just got approved for the Dexcom G6 and we are incredibly excited! What did you wish you knew about it when you first got your Dexcom?</t>
        </is>
      </c>
      <c r="C4880" t="inlineStr">
        <is>
          <t>As the title says, my girl friend just got approved for the Dexcom G6. She has never used a monitor before. This direction was suggested, because she has been having a very difficult time staying on top of things lately with all the other stress in her life.
This of you that have a Dexcom, what do you wish you knew when you first got it?
Does anyone have some experiences or best practices to share?
Thanks!</t>
        </is>
      </c>
      <c r="D4880" t="n">
        <v>6</v>
      </c>
      <c r="E4880" t="n">
        <v>22</v>
      </c>
      <c r="F4880">
        <f>HYPERLINK("https://www.reddit.com/r/diabetes/comments/8qbs7v/my_girlfriend_just_got_approved_for_the_dexcom_g6/")</f>
        <v/>
      </c>
      <c r="G4880" t="inlineStr">
        <is>
          <t>2018-06-11 11:36:15</t>
        </is>
      </c>
      <c r="H4880" t="inlineStr">
        <is>
          <t>Type 1</t>
        </is>
      </c>
    </row>
    <row r="4881">
      <c r="A4881" t="inlineStr">
        <is>
          <t>8qfwpf</t>
        </is>
      </c>
      <c r="B4881" t="inlineStr">
        <is>
          <t>Cortisone Shots and sugars</t>
        </is>
      </c>
      <c r="C4881" t="inlineStr">
        <is>
          <t xml:space="preserve">I'm going for a cortisone shot tomorrow for frozen shoulder. I've been advised that it "may elevate your sugars for a bit."
Last time I was told that a steroid "might" raise my sugars a neurologist prescribed me oral Predinsone for a week and I literally had to triple my basal dose for a three days. I'm feeling a bit antsy regarding medical advise. 
Anyone gone through this before? </t>
        </is>
      </c>
      <c r="D4881" t="n">
        <v>4</v>
      </c>
      <c r="E4881" t="n">
        <v>7</v>
      </c>
      <c r="F4881">
        <f>HYPERLINK("https://www.reddit.com/r/diabetes/comments/8qfwpf/cortisone_shots_and_sugars/")</f>
        <v/>
      </c>
      <c r="G4881" t="inlineStr">
        <is>
          <t>2018-06-11 20:55:42</t>
        </is>
      </c>
      <c r="H4881" t="inlineStr">
        <is>
          <t>Type 1</t>
        </is>
      </c>
    </row>
    <row r="4882">
      <c r="A4882" t="inlineStr">
        <is>
          <t>8qha8m</t>
        </is>
      </c>
      <c r="B4882" t="inlineStr">
        <is>
          <t>Something that made me wonder</t>
        </is>
      </c>
      <c r="C4882" t="inlineStr">
        <is>
          <t xml:space="preserve">You know I have different ratios depending on if I eat breakfast, lunch or dinner, but let’s say I sleep long enough to wake up at lunch, would I then take my regular lunch ratio or my breakfast ratio since i just woke up and it is my first meal? </t>
        </is>
      </c>
      <c r="D4882" t="n">
        <v>1</v>
      </c>
      <c r="E4882" t="n">
        <v>2</v>
      </c>
      <c r="F4882">
        <f>HYPERLINK("https://www.reddit.com/r/diabetes/comments/8qha8m/something_that_made_me_wonder/")</f>
        <v/>
      </c>
      <c r="G4882" t="inlineStr">
        <is>
          <t>2018-06-12 01:21:04</t>
        </is>
      </c>
      <c r="H4882" t="inlineStr">
        <is>
          <t>Type 1</t>
        </is>
      </c>
    </row>
    <row r="4883">
      <c r="A4883" t="inlineStr">
        <is>
          <t>8qimkz</t>
        </is>
      </c>
      <c r="B4883" t="inlineStr">
        <is>
          <t>What are the most basic and important questions to ask from your endocrinologist?</t>
        </is>
      </c>
      <c r="C4883" t="inlineStr">
        <is>
          <t>I’m meeting my endocrinologist, I’m not sure what I’ll gain from the experience. But I wanted to ask you guys, what should be my questions from him/her, that’ll benefit me the most. 
In early May I was diagnosed with DM2, my A1C was 12%. Hosts of other tests: 
Hemoglobin was 172 (normal range 129 to 169).  
Hematocrit 0.53 (normal range 0.39 to 0.49)
Glucose fasting 6.9 (normal range 3.6 to 6). 
Vitamin B12 ... 203 (normal range &amp;gt; 220)</t>
        </is>
      </c>
      <c r="D4883" t="n">
        <v>11</v>
      </c>
      <c r="E4883" t="n">
        <v>19</v>
      </c>
      <c r="F4883">
        <f>HYPERLINK("https://www.reddit.com/r/diabetes/comments/8qimkz/what_are_the_most_basic_and_important_questions/")</f>
        <v/>
      </c>
      <c r="G4883" t="inlineStr">
        <is>
          <t>2018-06-12 05:43:55</t>
        </is>
      </c>
      <c r="H4883" t="inlineStr">
        <is>
          <t>Type 2</t>
        </is>
      </c>
    </row>
    <row r="4884">
      <c r="A4884" t="inlineStr">
        <is>
          <t>8ql792</t>
        </is>
      </c>
      <c r="B4884" t="inlineStr">
        <is>
          <t>Xdrip stopped caring about the calibrations...</t>
        </is>
      </c>
      <c r="C4884" t="inlineStr">
        <is>
          <t>I'm using freestyle libre \+ xdrip. It usually is very accurate once I calibrate, but for some reason it has been off. Does anyone know what could be wrong?
Thank you for all your help.
*Processing img dre4xcry1m311...*</t>
        </is>
      </c>
      <c r="D4884" t="n">
        <v>1</v>
      </c>
      <c r="E4884" t="n">
        <v>3</v>
      </c>
      <c r="F4884">
        <f>HYPERLINK("https://www.reddit.com/r/diabetes/comments/8ql792/xdrip_stopped_caring_about_the_calibrations/")</f>
        <v/>
      </c>
      <c r="G4884" t="inlineStr">
        <is>
          <t>2018-06-12 11:10:49</t>
        </is>
      </c>
      <c r="H4884" t="inlineStr">
        <is>
          <t>Type 1.5/LADA</t>
        </is>
      </c>
    </row>
    <row r="4885">
      <c r="A4885" t="inlineStr">
        <is>
          <t>8ql89p</t>
        </is>
      </c>
      <c r="B4885" t="inlineStr">
        <is>
          <t>Dexcom App keeps saying "Enter new BF meter value after &amp;lt;time in 15 mins&amp;gt;"</t>
        </is>
      </c>
      <c r="C4885" t="inlineStr">
        <is>
          <t>Hi, I'm sure I've had this before and after entering the glucose value (15 mins later) the monitoring starts up again correctly. 
This started last night, the meter at the time thought the glucose was 150, it was actually 80. I entered the correct value, go the "enter new ..." message again. So waited, entered another level (about the same as the last one) and got the same message. waited, entered, same message, ... 5 times later I just gave up and went to sleep.
This morning I stopped and restarted the sensor, but it's happening again.
Any thoughts? Should I just replace the sensor?
Thanks</t>
        </is>
      </c>
      <c r="D4885" t="n">
        <v>2</v>
      </c>
      <c r="E4885" t="n">
        <v>4</v>
      </c>
      <c r="F4885">
        <f>HYPERLINK("https://www.reddit.com/r/diabetes/comments/8ql89p/dexcom_app_keeps_saying_enter_new_bf_meter_value/")</f>
        <v/>
      </c>
      <c r="G4885" t="inlineStr">
        <is>
          <t>2018-06-12 11:14:20</t>
        </is>
      </c>
      <c r="H4885" t="inlineStr">
        <is>
          <t>Type 1</t>
        </is>
      </c>
    </row>
    <row r="4886">
      <c r="A4886" t="inlineStr">
        <is>
          <t>8qmkcd</t>
        </is>
      </c>
      <c r="B4886" t="inlineStr">
        <is>
          <t>Hello everyone. I am an MPH student doing a thesis on knowledge and practice towards diabetes. I humbly request to help by filling this survey.</t>
        </is>
      </c>
      <c r="C4886" t="inlineStr">
        <is>
          <t>[https://www.surveymonkey.com/r/knowledgediabetes](https://www.surveymonkey.com/r/knowledgediabetes)</t>
        </is>
      </c>
      <c r="D4886" t="n">
        <v>0</v>
      </c>
      <c r="E4886" t="n">
        <v>3</v>
      </c>
      <c r="F4886">
        <f>HYPERLINK("https://www.reddit.com/r/diabetes/comments/8qmkcd/hello_everyone_i_am_an_mph_student_doing_a_thesis/")</f>
        <v/>
      </c>
      <c r="G4886" t="inlineStr">
        <is>
          <t>2018-06-12 13:56:05</t>
        </is>
      </c>
      <c r="H4886" t="inlineStr">
        <is>
          <t>Type 2</t>
        </is>
      </c>
    </row>
    <row r="4887">
      <c r="A4887" t="inlineStr">
        <is>
          <t>8qnh76</t>
        </is>
      </c>
      <c r="B4887" t="inlineStr">
        <is>
          <t>Blind Spots in Vision while Low?</t>
        </is>
      </c>
      <c r="C4887" t="inlineStr">
        <is>
          <t>Just had a decent low today, around 50 - 60 mg/dl,  and I noticed a strange large blind spot suddenly occurring in my right eye. Specifically, in the upper right field of vision. It was slightly blurry and I couldn't see my hand in that area of my vision when looking straight ahead. This is the first time I have ever experienced this, and I should also mention I have High Ocular Pressure from T1D and am taking eye drops to normalize the pressure daily. 
Anyone have any thoughts / experience on this? Or also take drops for high ocular pressure due to diabetes?  I'm trying to find out why this happened, and if I should see my Diabetic Eye Doctor soon or not. Thanks in advance!</t>
        </is>
      </c>
      <c r="D4887" t="n">
        <v>3</v>
      </c>
      <c r="E4887" t="n">
        <v>13</v>
      </c>
      <c r="F4887">
        <f>HYPERLINK("https://www.reddit.com/r/diabetes/comments/8qnh76/blind_spots_in_vision_while_low/")</f>
        <v/>
      </c>
      <c r="G4887" t="inlineStr">
        <is>
          <t>2018-06-12 15:56:26</t>
        </is>
      </c>
      <c r="H4887" t="inlineStr">
        <is>
          <t>Type 1</t>
        </is>
      </c>
    </row>
    <row r="4888">
      <c r="A4888" t="inlineStr">
        <is>
          <t>8qotpx</t>
        </is>
      </c>
      <c r="B4888" t="inlineStr">
        <is>
          <t>Safe to go without BG meter for half a day?</t>
        </is>
      </c>
      <c r="C4888" t="inlineStr">
        <is>
          <t>I’m going to a theme park tomorrow and was wondering if it would be safe to go without my BG meter while I’m there. I have a Dexcom, which is why I’m wondering (no way would I do it if I didn’t have a CGM). I keep everything in a fanny pack that’s small enough where I can wear it on the rides, and the BG meter + lancing device + strips take up a lot of room. I’d still bring it with me but would leave it in the car.</t>
        </is>
      </c>
      <c r="D4888" t="n">
        <v>5</v>
      </c>
      <c r="E4888" t="n">
        <v>15</v>
      </c>
      <c r="F4888">
        <f>HYPERLINK("https://www.reddit.com/r/diabetes/comments/8qotpx/safe_to_go_without_bg_meter_for_half_a_day/")</f>
        <v/>
      </c>
      <c r="G4888" t="inlineStr">
        <is>
          <t>2018-06-12 19:19:39</t>
        </is>
      </c>
      <c r="H4888" t="inlineStr">
        <is>
          <t>Type 1</t>
        </is>
      </c>
    </row>
    <row r="4889">
      <c r="A4889" t="inlineStr">
        <is>
          <t>8r082f</t>
        </is>
      </c>
      <c r="B4889" t="inlineStr">
        <is>
          <t>(New to this sub) Info/recommendations for carb counting</t>
        </is>
      </c>
      <c r="C4889" t="inlineStr">
        <is>
          <t>Any suggestions for websites or books with accurate carb info? My fitness pal has almost killed me a few times when I tried eating something I wasn't familiar with. Otherwise I stick to making every meal from scratch or eating out at chains with the nutritional facts online.
T1 ~3 years 
on pump ~3 months</t>
        </is>
      </c>
      <c r="D4889" t="n">
        <v>3</v>
      </c>
      <c r="E4889" t="n">
        <v>5</v>
      </c>
      <c r="F4889">
        <f>HYPERLINK("https://www.reddit.com/r/diabetes/comments/8r082f/new_to_this_sub_inforecommendations_for_carb/")</f>
        <v/>
      </c>
      <c r="G4889" t="inlineStr">
        <is>
          <t>2018-06-14 01:31:25</t>
        </is>
      </c>
      <c r="H4889" t="inlineStr">
        <is>
          <t>Type 1</t>
        </is>
      </c>
    </row>
    <row r="4890">
      <c r="A4890" t="inlineStr">
        <is>
          <t>8r2x5a</t>
        </is>
      </c>
      <c r="B4890" t="inlineStr">
        <is>
          <t>I don't understand hypos...</t>
        </is>
      </c>
      <c r="C4890" t="inlineStr">
        <is>
          <t>How can you go low if you haven't bolused at all recently?  It was never a problem as a non\-diabetic.  Do you just chalk it up to your basal being off?</t>
        </is>
      </c>
      <c r="D4890" t="n">
        <v>1</v>
      </c>
      <c r="E4890" t="n">
        <v>3</v>
      </c>
      <c r="F4890">
        <f>HYPERLINK("https://www.reddit.com/r/diabetes/comments/8r2x5a/i_dont_understand_hypos/")</f>
        <v/>
      </c>
      <c r="G4890" t="inlineStr">
        <is>
          <t>2018-06-14 08:51:40</t>
        </is>
      </c>
      <c r="H4890" t="inlineStr">
        <is>
          <t>Type 1</t>
        </is>
      </c>
    </row>
    <row r="4891">
      <c r="A4891" t="inlineStr">
        <is>
          <t>8r4fke</t>
        </is>
      </c>
      <c r="B4891" t="inlineStr">
        <is>
          <t>"No More Data" notification problem on new Dexcom G6</t>
        </is>
      </c>
      <c r="C4891" t="inlineStr">
        <is>
          <t>We got our son's new Dexcom G6 CGM this week. Getting really frustrated because it keeps losing the signal and we can't see his blood sugar data. This is happening at least 70&amp;amp;#37; of the time. We've called tech support to get some ideas, but nothing seems to help.  Ideas anyone?</t>
        </is>
      </c>
      <c r="D4891" t="n">
        <v>5</v>
      </c>
      <c r="E4891" t="n">
        <v>4</v>
      </c>
      <c r="F4891">
        <f>HYPERLINK("https://www.reddit.com/r/diabetes/comments/8r4fke/no_more_data_notification_problem_on_new_dexcom_g6/")</f>
        <v/>
      </c>
      <c r="G4891" t="inlineStr">
        <is>
          <t>2018-06-14 12:05:00</t>
        </is>
      </c>
      <c r="H4891" t="inlineStr">
        <is>
          <t>Type 1</t>
        </is>
      </c>
    </row>
    <row r="4892">
      <c r="A4892" t="inlineStr">
        <is>
          <t>8r4v3k</t>
        </is>
      </c>
      <c r="B4892" t="inlineStr">
        <is>
          <t>Just measured myself for first time - 6.5</t>
        </is>
      </c>
      <c r="C4892" t="inlineStr">
        <is>
          <t xml:space="preserve">Ok, so I got 6.5 after a meal but I'm finding it hard to work out from info online what this means. Is it normal or a bit worrying?  
</t>
        </is>
      </c>
      <c r="D4892" t="n">
        <v>2</v>
      </c>
      <c r="E4892" t="n">
        <v>11</v>
      </c>
      <c r="F4892">
        <f>HYPERLINK("https://www.reddit.com/r/diabetes/comments/8r4v3k/just_measured_myself_for_first_time_65/")</f>
        <v/>
      </c>
      <c r="G4892" t="inlineStr">
        <is>
          <t>2018-06-14 12:57:55</t>
        </is>
      </c>
      <c r="H4892" t="inlineStr">
        <is>
          <t>Type 2</t>
        </is>
      </c>
    </row>
    <row r="4893">
      <c r="A4893" t="inlineStr">
        <is>
          <t>8r60o8</t>
        </is>
      </c>
      <c r="B4893" t="inlineStr">
        <is>
          <t>How common is neuropathy with well-controlled blood sugars?</t>
        </is>
      </c>
      <c r="C4893" t="inlineStr">
        <is>
          <t xml:space="preserve">Hi all. Type 1 here. I have an A1C of 4.8 at last check - steady bloodsugars almost always between 70-110, so it's not like I'm having lots of swings with a ton of dangerous lows to achieve that. 
That being said, I get an occasional feeling of numbness/"being asleep" in my thigh and often in my hands, which has been occurring more frequently lately, and of course as a diabetic I'm worried about neuropathy. How likely is it to develop complications like that with a good A1C and very little deviation in glucose? I'm of course going to bring it up with my endocrinologist, but I was just looking for experience from other diabetics I guess. </t>
        </is>
      </c>
      <c r="D4893" t="n">
        <v>2</v>
      </c>
      <c r="E4893" t="n">
        <v>5</v>
      </c>
      <c r="F4893">
        <f>HYPERLINK("https://www.reddit.com/r/diabetes/comments/8r60o8/how_common_is_neuropathy_with_wellcontrolled/")</f>
        <v/>
      </c>
      <c r="G4893" t="inlineStr">
        <is>
          <t>2018-06-14 15:29:08</t>
        </is>
      </c>
      <c r="H4893" t="inlineStr">
        <is>
          <t>Type 1</t>
        </is>
      </c>
    </row>
    <row r="4894">
      <c r="A4894" t="inlineStr">
        <is>
          <t>8r6k9m</t>
        </is>
      </c>
      <c r="B4894" t="inlineStr">
        <is>
          <t>A1C down!</t>
        </is>
      </c>
      <c r="C4894" t="inlineStr">
        <is>
          <t xml:space="preserve">I went to the doctor today and my A1C is 7!! On April 24th it was 10.7!!! I also lost 8 pounds! All around great day, just wanted to share! </t>
        </is>
      </c>
      <c r="D4894" t="n">
        <v>104</v>
      </c>
      <c r="E4894" t="n">
        <v>12</v>
      </c>
      <c r="F4894">
        <f>HYPERLINK("https://www.reddit.com/r/diabetes/comments/8r6k9m/a1c_down/")</f>
        <v/>
      </c>
      <c r="G4894" t="inlineStr">
        <is>
          <t>2018-06-14 16:49:36</t>
        </is>
      </c>
      <c r="H4894" t="inlineStr">
        <is>
          <t>Type 2</t>
        </is>
      </c>
    </row>
    <row r="4895">
      <c r="A4895" t="inlineStr">
        <is>
          <t>8r6kim</t>
        </is>
      </c>
      <c r="B4895" t="inlineStr">
        <is>
          <t>Rebranding: Disattachment from the word DIABETES in efforts to rid general misconceptions of T1D.</t>
        </is>
      </c>
      <c r="C4895" t="inlineStr">
        <is>
          <t xml:space="preserve">Disclaimer: this is by no means intended to throw dirt at those individuals sufgering from Type 2 Diabetes or Alzheimer's Disease...you too have very tough battles to fight. 
There is a general misconception that Type 1 Diabetes is the same as Type 2 Diabetes. Actually, a ridiculously common misinformed belief that there is only one kind of Diabetes and then Type 1 Diabetes being falsely associated with eating too much junk and living sedentary lives.  Type 1 Diabetes doesn't discriminate between those who eat healthy and those who do not...it doesn't discriminate between those who exercise and those who don't. 
"Type 1 Diabetes? Yeah, you should have eaten healthier and exercised" 
I understand that there are people with T2D that held healthy eating habits and exercised before being diagnosed...likely genetic. However, while Type 2 Diabetes is GENERALLY (not always...sometimes genetics trump all) reversible with a healthy diet and exercise, Type 1 Diabetes is not reversible in any way...even if you have the healthiest diet and run marathons.
Now there is even a push to call Alzheimer's Disease Type 3  Diabetes (maybe it's T4D)...this will further continue to misinform the general public about T1D...all because if the word DIABETES.
Maybe it's time that Type 1 Diabetes is "rebranded".  A disattachment from the word  "Diabetes." Perhaps this would raise true large scale awareness...maybe leading to better funding in search for a cure for Juvenile Diabetes. 
What "rebranding" of the word DIABETES in T1D would you consider, if any?  
One ridiculously good rebranding I heard today was ABCD (AUTOIMMUNE BETA-CELL DEFDICIENCY).  </t>
        </is>
      </c>
      <c r="D4895" t="n">
        <v>0</v>
      </c>
      <c r="E4895" t="n">
        <v>10</v>
      </c>
      <c r="F4895">
        <f>HYPERLINK("https://www.reddit.com/r/diabetes/comments/8r6kim/rebranding_disattachment_from_the_word_diabetes/")</f>
        <v/>
      </c>
      <c r="G4895" t="inlineStr">
        <is>
          <t>2018-06-14 16:50:38</t>
        </is>
      </c>
      <c r="H4895" t="inlineStr">
        <is>
          <t>Type 1</t>
        </is>
      </c>
    </row>
    <row r="4896">
      <c r="A4896" t="inlineStr">
        <is>
          <t>8ragx8</t>
        </is>
      </c>
      <c r="B4896" t="inlineStr">
        <is>
          <t>Question about leg amputation</t>
        </is>
      </c>
      <c r="C4896" t="inlineStr">
        <is>
          <t xml:space="preserve">If I were to take my meds everyday and have my blood sugar below  10mg/ol do I still have higher chance to get my leg amputated?
</t>
        </is>
      </c>
      <c r="D4896" t="n">
        <v>7</v>
      </c>
      <c r="E4896" t="n">
        <v>4</v>
      </c>
      <c r="F4896">
        <f>HYPERLINK("https://www.reddit.com/r/diabetes/comments/8ragx8/question_about_leg_amputation/")</f>
        <v/>
      </c>
      <c r="G4896" t="inlineStr">
        <is>
          <t>2018-06-15 05:13:21</t>
        </is>
      </c>
      <c r="H4896" t="inlineStr">
        <is>
          <t>Type 2</t>
        </is>
      </c>
    </row>
    <row r="4897">
      <c r="A4897" t="inlineStr">
        <is>
          <t>8rdhwz</t>
        </is>
      </c>
      <c r="B4897" t="inlineStr">
        <is>
          <t>Omnipod failure or just need of more insulin?</t>
        </is>
      </c>
      <c r="C4897" t="inlineStr">
        <is>
          <t>Hello yet again😂 sorry for the bother
My blood glucose has been all over the place these last few days, which really annoys me because I do not know why lol. I have a few theories tho:
1. My honeymoon is soon over, that’s why i need more mealtime insulin: lunch is at 1:14, dinner 1:13
2. My omnipod is leaking? Have changed it 4(!) times this week lol, the thing is I see insulin splattered in that little window you can see if the cannula is in the body, does this mean that it’s leaking?
3. Just diabetes being diabetes and it will be better next week lol
The thing is, I suddently have been needing 25%+ more basal and alot more bolus and after meals my BS won’t go down as I want it too</t>
        </is>
      </c>
      <c r="D4897" t="n">
        <v>4</v>
      </c>
      <c r="E4897" t="n">
        <v>9</v>
      </c>
      <c r="F4897">
        <f>HYPERLINK("https://www.reddit.com/r/diabetes/comments/8rdhwz/omnipod_failure_or_just_need_of_more_insulin/")</f>
        <v/>
      </c>
      <c r="G4897" t="inlineStr">
        <is>
          <t>2018-06-15 12:06:10</t>
        </is>
      </c>
      <c r="H4897" t="inlineStr">
        <is>
          <t>Type 1</t>
        </is>
      </c>
    </row>
    <row r="4898">
      <c r="A4898" t="inlineStr">
        <is>
          <t>8re4uw</t>
        </is>
      </c>
      <c r="B4898" t="inlineStr">
        <is>
          <t>Side of face tingling</t>
        </is>
      </c>
      <c r="C4898" t="inlineStr">
        <is>
          <t xml:space="preserve">So i'm not sure if this is even diabetes related (type 1 for about 17 years) but the right side of my face around my ear feels almost like it's falling asleep sometimes, it's super random and as far as I can tell isn't related to blood sugar fluctuations. Sometimes my mouth/throat feels like it's falling asleep or something when I go low, but this face tingling thing happens no matter what my blood sugar is. Just curious if anyone else has experienced this or knows what it is, I asked my doctor about it thinking it was a nerve damage thing, but she said that wouldn't make sense for someone with my a1c levels and the placement is weird. After getting blood tests done she was pretty much like "eh idk!" </t>
        </is>
      </c>
      <c r="D4898" t="n">
        <v>2</v>
      </c>
      <c r="E4898" t="n">
        <v>10</v>
      </c>
      <c r="F4898">
        <f>HYPERLINK("https://www.reddit.com/r/diabetes/comments/8re4uw/side_of_face_tingling/")</f>
        <v/>
      </c>
      <c r="G4898" t="inlineStr">
        <is>
          <t>2018-06-15 13:32:48</t>
        </is>
      </c>
      <c r="H4898" t="inlineStr">
        <is>
          <t>Type 1</t>
        </is>
      </c>
    </row>
    <row r="4899">
      <c r="A4899" t="inlineStr">
        <is>
          <t>8rje61</t>
        </is>
      </c>
      <c r="B4899" t="inlineStr">
        <is>
          <t>Hospital visits</t>
        </is>
      </c>
      <c r="C4899" t="inlineStr">
        <is>
          <t xml:space="preserve">So I got diagnosed when i was 10, I’m 18 now and i was just wondering how often or at all have you guys been hospitalized for either a high or a low or anything diabetes related. I’m wondering because i had to get a new endo and she was surprised I’ve never been hospitalized because of any diabetic reasons since I’ve been diagnosed. </t>
        </is>
      </c>
      <c r="D4899" t="n">
        <v>1</v>
      </c>
      <c r="E4899" t="n">
        <v>1</v>
      </c>
      <c r="F4899">
        <f>HYPERLINK("https://www.reddit.com/r/diabetes/comments/8rje61/hospital_visits/")</f>
        <v/>
      </c>
      <c r="G4899" t="inlineStr">
        <is>
          <t>2018-06-16 06:38:19</t>
        </is>
      </c>
      <c r="H4899" t="inlineStr">
        <is>
          <t>Type 1</t>
        </is>
      </c>
    </row>
    <row r="4900">
      <c r="A4900" t="inlineStr">
        <is>
          <t>8rjyvn</t>
        </is>
      </c>
      <c r="B4900" t="inlineStr">
        <is>
          <t>Keeping insulin cool?</t>
        </is>
      </c>
      <c r="C4900" t="inlineStr">
        <is>
          <t xml:space="preserve">Hey, 
I need some advice and/or tips on keeping insulin cool. I'm going to be out with friends this afternoon and the temps are going to be in the mid to high 90's (Fahrenheit). Will my insulin (novolog pen) be Ok in my pocket for a few hours at those temps?
If not any tips on how to keep it cool? Preferably something that doesn't involve a bag. I can just fit the bag that holds my meter and pen and a few needles in my pocket and prefer not having to carry more. </t>
        </is>
      </c>
      <c r="D4900" t="n">
        <v>23</v>
      </c>
      <c r="E4900" t="n">
        <v>23</v>
      </c>
      <c r="F4900">
        <f>HYPERLINK("https://www.reddit.com/r/diabetes/comments/8rjyvn/keeping_insulin_cool/")</f>
        <v/>
      </c>
      <c r="G4900" t="inlineStr">
        <is>
          <t>2018-06-16 08:14:26</t>
        </is>
      </c>
      <c r="H4900" t="inlineStr">
        <is>
          <t>Type 1</t>
        </is>
      </c>
    </row>
    <row r="4901">
      <c r="A4901" t="inlineStr">
        <is>
          <t>8rkwu8</t>
        </is>
      </c>
      <c r="B4901" t="inlineStr">
        <is>
          <t>A journey to cure type 2 diabetes</t>
        </is>
      </c>
      <c r="C4901" t="inlineStr">
        <is>
          <t>In 2008, Olivia Davidson weighed 112kg. When she went to her doctor for a check-up, she received an unanticipated diagnosis: adult onset type 2 diabetes. 
Much has changed since then and Olivia plans to climb highest peak of Alaska in 2018 to help raise awareness and money for diabetes. 
She shares with us how she reversed her diabetes and how it changed her life.
**A dreadful diagnosis**
“My doctor was concerned about my health. I already had high blood pressure and high cholesterol, so she sought to keep an eye on my blood sugar too,” Olivia explains. 
“I was going for usual check-ups on these markers, and the day unavoidably came when I couldn’t close the eyes to the toll that hard, unhealthful living was taking on my body. The lab results came back – I had adult onset type 2 diabetes.” 
She was upset at the diagnosis. “I knew that I’d been living very unhealthily – eating too much, drinking too much and not exercising at all. But diabetes felt like a ailment that happened to other people, not to me. It was a rude and frightening development.”
**Making half-hearted lifestyle changes**
Olivia was put onto constant medication and her doctor’s orders were simple: “You need to make some important lifestyle changes, and right away.”
Her doctor recommended a vigorous weight program that Olivia signed up for right away. 
“I did pretty well at it but then I got bored and irritated at not being able to do anything I liked – that is, sitting around and eating and drinking a lot.”
When the program ended, Olivia went back to her unhealthy habits. “I took my medication and that was as far as lifestyle changes went.”
At the time, Olivia was ignorant that it was possible to reverse type 2 diabetes. “I didn’t know that was a thing. I just figured that I was now diabetic and as long as I took my pills, everything would be fine.”
**Reversing diabetes**
The next five years were a roller coaster for Olivia. “I lost a considerable amount of weight – 40kg – over a period of 15 months with the help of a dietitian.” 
She started in January 2010, but had regained all the weight by 2013.
In 2015 she decided to try again. “This time I found [7 steps to health – Big Diabetic lie](https://aiopsplashbuilder.com/splash.php?id=36316). In July 2015 I started making better choices – I trained three to four times a week and cut out most carbs.”
By December 2015, Olivia experienced dizzy spells caused by low blood sugar. She returned to her doctor.
“It turns out I’d managed to get my blood sugar down to a normal level. She took me off the medication for a trial period and to this day it’s remained within normal levels, so I no longer need medication.” 
**‘I knew I needed to make changes’**
“I knew that I needed to make changes but I couldn’t be troubled,” Olivia says. “I always knew it was something I ‘should’ do, but it wasn’t something I ever really wanted to do for myself. It just seemed too great an effort.”
She says that the problem with diabetes is that it’s a silent disease. “Apart from the requirement to go to the loo a few times at night, I experienced zero symptoms. Diabetes had no impact on my life – 99&amp;amp;#37; of the time I forgot I even had it. Perhaps if it had been a disease with more symptoms, I would have been more motivated to do something about it.” 
**Making big changes**
“Before I made lifestyle changes, the most exercise I got was walking from my car into a bar,” she says. Today, Olivia trains every day. “Weightlifting, boot camp, conditioning classes, trail running… The more exercise I do, the more I feel energized to do.”
Olivia also makes healthier eating choices by opting for lean protein, healthy fats, whole grains, fruits and vegetables.
“It’s a far cry from the never-ending takeaways I used to live off. And I feel more positive as well – my quality of life has improved significantly, and that’s worth celebrating in itself.”
**Living with diabetes**
“Don’t be lulled into a fake sense of security by the fact that your condition is fairly non-symptomatic,” Olivia says, adding that it’s important to take it seriously and make serious lifestyle changes in order to overcome it.
“I was able to reverse my condition in less than five months just following the [7 steps to diabetes cure](https://aiopsplashbuilder.com/splash.php?id=36316), so it is possible. Your diagnosis doesn’t have to be a death sentence – there’s always something you can do about it.”</t>
        </is>
      </c>
      <c r="D4901" t="n">
        <v>0</v>
      </c>
      <c r="E4901" t="n">
        <v>3</v>
      </c>
      <c r="F4901">
        <f>HYPERLINK("https://www.reddit.com/r/diabetes/comments/8rkwu8/a_journey_to_cure_type_2_diabetes/")</f>
        <v/>
      </c>
      <c r="G4901" t="inlineStr">
        <is>
          <t>2018-06-16 10:35:25</t>
        </is>
      </c>
      <c r="H4901" t="inlineStr">
        <is>
          <t>Type 2</t>
        </is>
      </c>
    </row>
    <row r="4902">
      <c r="A4902" t="inlineStr">
        <is>
          <t>8rm5a2</t>
        </is>
      </c>
      <c r="B4902" t="inlineStr">
        <is>
          <t>Drinking</t>
        </is>
      </c>
      <c r="C4902" t="inlineStr">
        <is>
          <t xml:space="preserve">So obviously we are not supposed to drink.  I am a type 2.  My last a1c was 7.  
I don't drink much at all but I want to have some when I camp.  What alcoholic beverages Spike your sugar the least? </t>
        </is>
      </c>
      <c r="D4902" t="n">
        <v>7</v>
      </c>
      <c r="E4902" t="n">
        <v>18</v>
      </c>
      <c r="F4902">
        <f>HYPERLINK("https://www.reddit.com/r/diabetes/comments/8rm5a2/drinking/")</f>
        <v/>
      </c>
      <c r="G4902" t="inlineStr">
        <is>
          <t>2018-06-16 13:45:41</t>
        </is>
      </c>
      <c r="H4902" t="inlineStr">
        <is>
          <t>Type 2</t>
        </is>
      </c>
    </row>
    <row r="4903">
      <c r="A4903" t="inlineStr">
        <is>
          <t>8rnkmh</t>
        </is>
      </c>
      <c r="B4903" t="inlineStr">
        <is>
          <t>Which sports do you play and what was your BG after 1 or 2 hours of playing it?</t>
        </is>
      </c>
      <c r="C4903" t="inlineStr">
        <is>
          <t xml:space="preserve">If you have any recommendations for any particular type of sports, and why, do let me know. Thanks. </t>
        </is>
      </c>
      <c r="D4903" t="n">
        <v>1</v>
      </c>
      <c r="E4903" t="n">
        <v>0</v>
      </c>
      <c r="F4903">
        <f>HYPERLINK("https://www.reddit.com/r/diabetes/comments/8rnkmh/which_sports_do_you_play_and_what_was_your_bg/")</f>
        <v/>
      </c>
      <c r="G4903" t="inlineStr">
        <is>
          <t>2018-06-16 17:44:34</t>
        </is>
      </c>
      <c r="H4903" t="inlineStr">
        <is>
          <t>Type 2</t>
        </is>
      </c>
    </row>
    <row r="4904">
      <c r="A4904" t="inlineStr">
        <is>
          <t>8rogbf</t>
        </is>
      </c>
      <c r="B4904" t="inlineStr">
        <is>
          <t>Metaflammation in T2DM and possible amelioration</t>
        </is>
      </c>
      <c r="C4904" t="inlineStr">
        <is>
          <t>Here are a couple of articles about Metaflammation in T2DM. Might be worth considering for some people. Note the article at the top is from Jan. 2018.
[https://www.sciencedirect.com/science/article/pii/S1568163717301782](https://www.sciencedirect.com/science/article/pii/S1568163717301782)
# Inflammageing and metaflammation: The yin and yang of type 2 diabetes
==========================================================
[Medicinal Food](https://www.liebertpub.com/journal/jmf)[Vol. 18, No. 11](https://www.liebertpub.com/toc/jmf/18/11) Full Communications
# [Nicotinamide Riboside Ameliorates Hepatic Metaflammation by Modulating NLRP3 Inflammasome in a Rodent Model of Type 2 Diabetes](https://www.liebertpub.com/doi/full/10.1089/jmf.2015.3439)
...In addition, NR treatment significantly improved hepatic proinflammatory markers, including tumor necrosis factor-alpha, interleukin (IL)-6, and IL-1. These ameliorations were accompanied by significant shifts of NLRP3 inflammasome components (NLRP3, ASC, and caspase1). These results demonstrate that NR attenuates hepatic metaflammation by modulating the NLRP3 inflammasome.</t>
        </is>
      </c>
      <c r="D4904" t="n">
        <v>0</v>
      </c>
      <c r="E4904" t="n">
        <v>2</v>
      </c>
      <c r="F4904">
        <f>HYPERLINK("https://www.reddit.com/r/diabetes/comments/8rogbf/metaflammation_in_t2dm_and_possible_amelioration/")</f>
        <v/>
      </c>
      <c r="G4904" t="inlineStr">
        <is>
          <t>2018-06-16 20:28:08</t>
        </is>
      </c>
      <c r="H4904" t="inlineStr">
        <is>
          <t>Type 2</t>
        </is>
      </c>
    </row>
    <row r="4905">
      <c r="A4905" t="inlineStr">
        <is>
          <t>8rrnog</t>
        </is>
      </c>
      <c r="B4905" t="inlineStr">
        <is>
          <t>Timing of pre-bolus with omnipod</t>
        </is>
      </c>
      <c r="C4905" t="inlineStr">
        <is>
          <t>Hey guys!
I was gonna eat dinner today and used about 9 units of insulin, and me havig omnipod it took like 6 minutes to fully inject it in my body. Should I subtract these 6 minutes or do the full 15 minutes pre-bolus waiting after hearing the *peep*?</t>
        </is>
      </c>
      <c r="D4905" t="n">
        <v>2</v>
      </c>
      <c r="E4905" t="n">
        <v>7</v>
      </c>
      <c r="F4905">
        <f>HYPERLINK("https://www.reddit.com/r/diabetes/comments/8rrnog/timing_of_prebolus_with_omnipod/")</f>
        <v/>
      </c>
      <c r="G4905" t="inlineStr">
        <is>
          <t>2018-06-17 08:12:53</t>
        </is>
      </c>
      <c r="H4905" t="inlineStr">
        <is>
          <t>Type 1</t>
        </is>
      </c>
    </row>
    <row r="4906">
      <c r="A4906" t="inlineStr">
        <is>
          <t>8ru4m3</t>
        </is>
      </c>
      <c r="B4906" t="inlineStr">
        <is>
          <t>Update - I'm not crazy</t>
        </is>
      </c>
      <c r="C4906" t="inlineStr">
        <is>
          <t>So my test strips were bad. I was testing 300+ for 2 weeks, finally went to the ER, I test on my glucometer at 338, tested on hospital one 150.  Have tested between 99 and 150 the last few days.  Only been T2 a few years, maybe the stress raised my sugar.</t>
        </is>
      </c>
      <c r="D4906" t="n">
        <v>2</v>
      </c>
      <c r="E4906" t="n">
        <v>4</v>
      </c>
      <c r="F4906">
        <f>HYPERLINK("https://www.reddit.com/r/diabetes/comments/8ru4m3/update_im_not_crazy/")</f>
        <v/>
      </c>
      <c r="G4906" t="inlineStr">
        <is>
          <t>2018-06-17 14:19:36</t>
        </is>
      </c>
      <c r="H4906" t="inlineStr">
        <is>
          <t>Type 2</t>
        </is>
      </c>
    </row>
    <row r="4907">
      <c r="A4907" t="inlineStr">
        <is>
          <t>8rucf9</t>
        </is>
      </c>
      <c r="B4907" t="inlineStr">
        <is>
          <t>Dexcom G5 and Apple Watch (haptic alerts and blank data in watch face?)</t>
        </is>
      </c>
      <c r="C4907" t="inlineStr">
        <is>
          <t xml:space="preserve">
Just got an Apple Watch Series 3. I setup Dexcom on it. However, I don’t get any haptic alerts when I have high BG (vibrations in the watch). I get them in the phone and do see a notification on the watch. Haven’t gotten low yet but assume the same. Any advice?
Also, I notice some of the included watch faces can show a Dexcom reading. However, sometimes I need to tap the Dexcom ‘complications’ area to trigger the data (it becomes blank). Thoughts?
Any other pro tips for you awesome folks?</t>
        </is>
      </c>
      <c r="D4907" t="n">
        <v>2</v>
      </c>
      <c r="E4907" t="n">
        <v>15</v>
      </c>
      <c r="F4907">
        <f>HYPERLINK("https://www.reddit.com/r/diabetes/comments/8rucf9/dexcom_g5_and_apple_watch_haptic_alerts_and_blank/")</f>
        <v/>
      </c>
      <c r="G4907" t="inlineStr">
        <is>
          <t>2018-06-17 14:52:02</t>
        </is>
      </c>
      <c r="H4907" t="inlineStr">
        <is>
          <t>Type 1</t>
        </is>
      </c>
    </row>
    <row r="4908">
      <c r="A4908" t="inlineStr">
        <is>
          <t>8rveqw</t>
        </is>
      </c>
      <c r="B4908" t="inlineStr">
        <is>
          <t>670g in Canada?</t>
        </is>
      </c>
      <c r="C4908" t="inlineStr">
        <is>
          <t>So I've been seeing lots of info on the Tandem Tslim coming to Canada, but does anyone know when to expect the 670g? I qualify for a pump next March and would love to know if the 670g will even be an option by then</t>
        </is>
      </c>
      <c r="D4908" t="n">
        <v>2</v>
      </c>
      <c r="E4908" t="n">
        <v>2</v>
      </c>
      <c r="F4908">
        <f>HYPERLINK("https://www.reddit.com/r/diabetes/comments/8rveqw/670g_in_canada/")</f>
        <v/>
      </c>
      <c r="G4908" t="inlineStr">
        <is>
          <t>2018-06-17 17:41:28</t>
        </is>
      </c>
      <c r="H4908" t="inlineStr">
        <is>
          <t>Type 1</t>
        </is>
      </c>
    </row>
    <row r="4909">
      <c r="A4909" t="inlineStr">
        <is>
          <t>8rzpv5</t>
        </is>
      </c>
      <c r="B4909" t="inlineStr">
        <is>
          <t>Confusing being high for low?</t>
        </is>
      </c>
      <c r="C4909" t="inlineStr">
        <is>
          <t xml:space="preserve">I went on a run today with my diabetic brother (13). Not long in, he started feeling low. Dexcom G5 showed 12.1, which continued to go up to 13.5 15 minutes later. We thought this was a sensor issue, but when we got back home (him still feeling a little low) and took a manual test which showed 17.
Anyone else had an experience like this?
</t>
        </is>
      </c>
      <c r="D4909" t="n">
        <v>30</v>
      </c>
      <c r="E4909" t="n">
        <v>24</v>
      </c>
      <c r="F4909">
        <f>HYPERLINK("https://www.reddit.com/r/diabetes/comments/8rzpv5/confusing_being_high_for_low/")</f>
        <v/>
      </c>
      <c r="G4909" t="inlineStr">
        <is>
          <t>2018-06-18 07:00:39</t>
        </is>
      </c>
      <c r="H4909" t="inlineStr">
        <is>
          <t>Type 1</t>
        </is>
      </c>
    </row>
    <row r="4910">
      <c r="A4910" t="inlineStr">
        <is>
          <t>8s88gf</t>
        </is>
      </c>
      <c r="B4910" t="inlineStr">
        <is>
          <t>Overbolused for Hamburger bread ...</t>
        </is>
      </c>
      <c r="C4910" t="inlineStr">
        <is>
          <t>... because it turned out to be low-carb hamburger bread. Which the cantine conveniently neglected to mention.
Isn't guessing carbs fun?
\*sigh\* Breaking out the glucose tablets now.</t>
        </is>
      </c>
      <c r="D4910" t="n">
        <v>6</v>
      </c>
      <c r="E4910" t="n">
        <v>3</v>
      </c>
      <c r="F4910">
        <f>HYPERLINK("https://www.reddit.com/r/diabetes/comments/8s88gf/overbolused_for_hamburger_bread/")</f>
        <v/>
      </c>
      <c r="G4910" t="inlineStr">
        <is>
          <t>2018-06-19 04:51:09</t>
        </is>
      </c>
      <c r="H4910" t="inlineStr">
        <is>
          <t>Type 1</t>
        </is>
      </c>
    </row>
    <row r="4911">
      <c r="A4911" t="inlineStr">
        <is>
          <t>8s9814</t>
        </is>
      </c>
      <c r="B4911" t="inlineStr">
        <is>
          <t>Today is my 29th Diaversary!</t>
        </is>
      </c>
      <c r="C4911" t="inlineStr">
        <is>
          <t>I was diagnosed 4 days before my 2nd birthday, so I've been diabetic basically my entire life.  So far I have zero complications, which astounds all of my doctors.  My A1c was 6.1 last month, which is the best it's been in years.  I'm excited to get the Dexcom G6 in August when I'm eligible for the upgrade.  All in all, this one feels like a good one to celebrate, unlike other years when it was just a reminder of how crappy this disease is.
Thanks for reading!  Just wanted to share with people who truly understand.</t>
        </is>
      </c>
      <c r="D4911" t="n">
        <v>122</v>
      </c>
      <c r="E4911" t="n">
        <v>20</v>
      </c>
      <c r="F4911">
        <f>HYPERLINK("https://www.reddit.com/r/diabetes/comments/8s9814/today_is_my_29th_diaversary/")</f>
        <v/>
      </c>
      <c r="G4911" t="inlineStr">
        <is>
          <t>2018-06-19 07:19:11</t>
        </is>
      </c>
      <c r="H4911" t="inlineStr">
        <is>
          <t>Type 1</t>
        </is>
      </c>
    </row>
    <row r="4912">
      <c r="A4912" t="inlineStr">
        <is>
          <t>8s9zys</t>
        </is>
      </c>
      <c r="B4912" t="inlineStr">
        <is>
          <t>Diabetes Symptoms before diagnosis?</t>
        </is>
      </c>
      <c r="C4912" t="inlineStr">
        <is>
          <t>Hi guys,
I'm 21 and I used to be pretty healthy, but since going to college I've gained heaps of weight and I have an absolutely AWFUL diet (heaps of sugar, processed carbs etc) and a mostly sedentary life minus walking to class. I'm about 10lbs overweight currently and I don't have a family history of diabetes (though pretty much everyone else in my family is active/ healthy), I am a bit concerned about my symptoms. I'm planning on going to the doctor next week but I'm just wondering how urgent you guys think it could be? 
\- tingling in toes and fingers (this is the thing I have noticed the most, it happens almost always at night)
\- peeing more than normal (maybe 4 times a day?) but not drinking any more than normal 
\- feel tired after a meal like I need a lie down (especially after dinner)</t>
        </is>
      </c>
      <c r="D4912" t="n">
        <v>0</v>
      </c>
      <c r="E4912" t="n">
        <v>6</v>
      </c>
      <c r="F4912">
        <f>HYPERLINK("https://www.reddit.com/r/diabetes/comments/8s9zys/diabetes_symptoms_before_diagnosis/")</f>
        <v/>
      </c>
      <c r="G4912" t="inlineStr">
        <is>
          <t>2018-06-19 09:00:14</t>
        </is>
      </c>
      <c r="H4912" t="inlineStr">
        <is>
          <t>Type 2</t>
        </is>
      </c>
    </row>
    <row r="4913">
      <c r="A4913" t="inlineStr">
        <is>
          <t>8sbcl6</t>
        </is>
      </c>
      <c r="B4913" t="inlineStr">
        <is>
          <t>Working out</t>
        </is>
      </c>
      <c r="C4913" t="inlineStr">
        <is>
          <t xml:space="preserve">Hey all. Quick question about working out. 
I recently (yesterday) started working out. I noticed that my levels are much lower than normal (79mg/dL down from 230mg/dL the day before) after having had a normal breakfast (english muffin with ham and spinach). I haven't taken my meds yet either. I thought that exercise would spike your sugars? Or do I have this backwards and now have to eat more to keep my sugars level? Do I need to re-baseline my insulin and metformin intake? Any advice would be greatly appreciated. </t>
        </is>
      </c>
      <c r="D4913" t="n">
        <v>1</v>
      </c>
      <c r="E4913" t="n">
        <v>5</v>
      </c>
      <c r="F4913">
        <f>HYPERLINK("https://www.reddit.com/r/diabetes/comments/8sbcl6/working_out/")</f>
        <v/>
      </c>
      <c r="G4913" t="inlineStr">
        <is>
          <t>2018-06-19 11:45:14</t>
        </is>
      </c>
      <c r="H4913" t="inlineStr">
        <is>
          <t>Type 2</t>
        </is>
      </c>
    </row>
    <row r="4914">
      <c r="A4914" t="inlineStr">
        <is>
          <t>8sd11d</t>
        </is>
      </c>
      <c r="B4914" t="inlineStr">
        <is>
          <t>My a1c test went up a percent lol</t>
        </is>
      </c>
      <c r="C4914" t="inlineStr">
        <is>
          <t xml:space="preserve">Friday I had a appointment with my Cardiologist and he sent me for blood tests for the dreaded A1c and Lipids tests. So I was scared out of my drawers because I fell off the wagon a couple of times and thought the worse. I just got the results a couple of hours ago and it was 5.0 up from 4.9 phew thank goodness and my Lipids were at the lower end of the standards. </t>
        </is>
      </c>
      <c r="D4914" t="n">
        <v>1</v>
      </c>
      <c r="E4914" t="n">
        <v>3</v>
      </c>
      <c r="F4914">
        <f>HYPERLINK("https://www.reddit.com/r/diabetes/comments/8sd11d/my_a1c_test_went_up_a_percent_lol/")</f>
        <v/>
      </c>
      <c r="G4914" t="inlineStr">
        <is>
          <t>2018-06-19 15:15:30</t>
        </is>
      </c>
      <c r="H4914" t="inlineStr">
        <is>
          <t>Type 2</t>
        </is>
      </c>
    </row>
    <row r="4915">
      <c r="A4915" t="inlineStr">
        <is>
          <t>8se4lu</t>
        </is>
      </c>
      <c r="B4915" t="inlineStr">
        <is>
          <t>Conflicting information from GP</t>
        </is>
      </c>
      <c r="C4915" t="inlineStr">
        <is>
          <t>I was diagnosed with T1 this January and I have had about 4 visits to the GP since then but since I live in a small town we have a different GP every week. This last meeting I had with one he was very annoyed at me that my blood sugar levels havn't been between 4-8mmol/L. Is this a realistic expectation from him? Keep in mind I've only had just on 6 months to get used to being diabetic.</t>
        </is>
      </c>
      <c r="D4915" t="n">
        <v>2</v>
      </c>
      <c r="E4915" t="n">
        <v>11</v>
      </c>
      <c r="F4915">
        <f>HYPERLINK("https://www.reddit.com/r/diabetes/comments/8se4lu/conflicting_information_from_gp/")</f>
        <v/>
      </c>
      <c r="G4915" t="inlineStr">
        <is>
          <t>2018-06-19 17:56:45</t>
        </is>
      </c>
      <c r="H4915" t="inlineStr">
        <is>
          <t>Type 1</t>
        </is>
      </c>
    </row>
    <row r="4916">
      <c r="A4916" t="inlineStr">
        <is>
          <t>8seonr</t>
        </is>
      </c>
      <c r="B4916" t="inlineStr">
        <is>
          <t>Dexcom g5 Android app won't recognize transmitter</t>
        </is>
      </c>
      <c r="C4916" t="inlineStr">
        <is>
          <t>Hey there. I put in a new transmitter and waited for it to connect to my Dexcom app. After while it said it couldn't be read. Any advice?</t>
        </is>
      </c>
      <c r="D4916" t="n">
        <v>1</v>
      </c>
      <c r="E4916" t="n">
        <v>20</v>
      </c>
      <c r="F4916">
        <f>HYPERLINK("https://www.reddit.com/r/diabetes/comments/8seonr/dexcom_g5_android_app_wont_recognize_transmitter/")</f>
        <v/>
      </c>
      <c r="G4916" t="inlineStr">
        <is>
          <t>2018-06-19 19:23:58</t>
        </is>
      </c>
      <c r="H4916" t="inlineStr">
        <is>
          <t>Type 1</t>
        </is>
      </c>
    </row>
    <row r="4917">
      <c r="A4917" t="inlineStr">
        <is>
          <t>8sjeke</t>
        </is>
      </c>
      <c r="B4917" t="inlineStr">
        <is>
          <t>Hello everyone. I am an MPH student doing a thesis. Please, please help me fill this Knowledge and Practices survey on Type 2 diabetes. This is a quick survey. Your 5 mins will contribute a lot. Thank You.</t>
        </is>
      </c>
      <c r="C4917" t="inlineStr">
        <is>
          <t>[https://www.surveymonkey.com/r/knowledgediabetes](https://www.surveymonkey.com/r/knowledgediabetes)</t>
        </is>
      </c>
      <c r="D4917" t="n">
        <v>0</v>
      </c>
      <c r="E4917" t="n">
        <v>4</v>
      </c>
      <c r="F4917">
        <f>HYPERLINK("https://www.reddit.com/r/diabetes/comments/8sjeke/hello_everyone_i_am_an_mph_student_doing_a_thesis/")</f>
        <v/>
      </c>
      <c r="G4917" t="inlineStr">
        <is>
          <t>2018-06-20 08:52:31</t>
        </is>
      </c>
      <c r="H4917" t="inlineStr">
        <is>
          <t>Type 2</t>
        </is>
      </c>
    </row>
    <row r="4918">
      <c r="A4918" t="inlineStr">
        <is>
          <t>8sjhbo</t>
        </is>
      </c>
      <c r="B4918" t="inlineStr">
        <is>
          <t>Weight Gain. Lantus vs Pump.</t>
        </is>
      </c>
      <c r="C4918" t="inlineStr">
        <is>
          <t>Hi r/diabetes.
I have been on Lantus for years and was thinking about switching over to the pump. I have changed to a healthy diet and been getting in shape for the last couple of months. However, I feel like no matter what, I can't lose weight, specifically around my belly area. I looked up some side effects of lantus and find that weight gain is a very common side effect. 
I was thinking about switching to the pump to see if it will change anything. Does anyone have any knowledge on this?
Thanks again guys.</t>
        </is>
      </c>
      <c r="D4918" t="n">
        <v>0</v>
      </c>
      <c r="E4918" t="n">
        <v>6</v>
      </c>
      <c r="F4918">
        <f>HYPERLINK("https://www.reddit.com/r/diabetes/comments/8sjhbo/weight_gain_lantus_vs_pump/")</f>
        <v/>
      </c>
      <c r="G4918" t="inlineStr">
        <is>
          <t>2018-06-20 09:01:22</t>
        </is>
      </c>
      <c r="H4918" t="inlineStr">
        <is>
          <t>Type 1</t>
        </is>
      </c>
    </row>
    <row r="4919">
      <c r="A4919" t="inlineStr">
        <is>
          <t>8sldia</t>
        </is>
      </c>
      <c r="B4919" t="inlineStr">
        <is>
          <t>A1C Down!</t>
        </is>
      </c>
      <c r="C4919" t="inlineStr">
        <is>
          <t xml:space="preserve">Just wanted to write a thank you to the people who are active here. Was diagnosed as a type two in February. Changed lifestyle completely (mainly minimal sugar and carbs, more walking) and today I got my new lab results back. Went from an A1C of 10.8 to a 5.7! Still working on keeping it lower with continued changes and Metformin at the moment but progresssssssss!
Thanks again to all you who post encouraging things for others and give good feedback as I still am typically clueless as to how this disease fully works. </t>
        </is>
      </c>
      <c r="D4919" t="n">
        <v>30</v>
      </c>
      <c r="E4919" t="n">
        <v>11</v>
      </c>
      <c r="F4919">
        <f>HYPERLINK("https://www.reddit.com/r/diabetes/comments/8sldia/a1c_down/")</f>
        <v/>
      </c>
      <c r="G4919" t="inlineStr">
        <is>
          <t>2018-06-20 12:50:26</t>
        </is>
      </c>
      <c r="H4919" t="inlineStr">
        <is>
          <t>Type 2</t>
        </is>
      </c>
    </row>
    <row r="4920">
      <c r="A4920" t="inlineStr">
        <is>
          <t>8sm7vc</t>
        </is>
      </c>
      <c r="B4920" t="inlineStr">
        <is>
          <t>Farxiga and Type 2 Diabetes</t>
        </is>
      </c>
      <c r="C4920" t="inlineStr">
        <is>
          <t xml:space="preserve">Hello all!   
Forgive me, as I am new to posting on Reddit, and I couldn't find a lot of new/updated information from users of Farxiga. I am a type 2 diabetic and my doctor has me taking Metformin and Trajenta. They were not working as well, so she has given me samples to try Farxiga. Are there any type 2 Diabetics that have much experience with it? I know there can be some scary side effects. I have had a few issues so far and was curious what others have had happen or if they liked it in the long run.   
Thank you all! :) </t>
        </is>
      </c>
      <c r="D4920" t="n">
        <v>2</v>
      </c>
      <c r="E4920" t="n">
        <v>4</v>
      </c>
      <c r="F4920">
        <f>HYPERLINK("https://www.reddit.com/r/diabetes/comments/8sm7vc/farxiga_and_type_2_diabetes/")</f>
        <v/>
      </c>
      <c r="G4920" t="inlineStr">
        <is>
          <t>2018-06-20 14:35:04</t>
        </is>
      </c>
      <c r="H4920" t="inlineStr">
        <is>
          <t>Type 2</t>
        </is>
      </c>
    </row>
    <row r="4921">
      <c r="A4921" t="inlineStr">
        <is>
          <t>8sqwf9</t>
        </is>
      </c>
      <c r="B4921" t="inlineStr">
        <is>
          <t>How slowly do the low GI raise BG?</t>
        </is>
      </c>
      <c r="C4921" t="inlineStr">
        <is>
          <t xml:space="preserve">For example, strawberries 🍓, when should the effect be seen with numbers on the glucometer. </t>
        </is>
      </c>
      <c r="D4921" t="n">
        <v>1</v>
      </c>
      <c r="E4921" t="n">
        <v>0</v>
      </c>
      <c r="F4921">
        <f>HYPERLINK("https://www.reddit.com/r/diabetes/comments/8sqwf9/how_slowly_do_the_low_gi_raise_bg/")</f>
        <v/>
      </c>
      <c r="G4921" t="inlineStr">
        <is>
          <t>2018-06-21 03:54:56</t>
        </is>
      </c>
      <c r="H4921" t="inlineStr">
        <is>
          <t>Type 2</t>
        </is>
      </c>
    </row>
    <row r="4922">
      <c r="A4922" t="inlineStr">
        <is>
          <t>8sw30i</t>
        </is>
      </c>
      <c r="B4922" t="inlineStr">
        <is>
          <t>$60 for ONE Lantus pen???</t>
        </is>
      </c>
      <c r="C4922" t="inlineStr">
        <is>
          <t>I've seen [other](https://www.reddit.com/r/diabetes/comments/8g217i/walgreens_splitting_insulin_pen_boxes/) posts related to box splitting, but that's not my major concern. 
My concern is that I used to pay a $60 co-pay at Walgreens for a box of 5 Lantus pens... now they're not only giving me one pen at a time, but it's STILL $60. For ONE pen. I couldn't refuse paying that price on the spot (obviously need this medicine to continue living), but I tried to ask the pharmacist why this it was suddenly so freaking expen$ive and I didn't get a straight answer. Something about insurance companies only paying Walgreens back for a fraction of what they were administering to customers (e.g. if a full box is technically a 107-day-supply, like it is for me, and the doctor only prescribed in units-per-day, Walgreens would give you the full box but Express Scripts would only pay them the price of 25-day supply).  I still don't really understand if the issue is my insurance, my pharmacy, or my prescription. 
Is this happening to anyone else? Should I be asking my doctor to write an inflated prescription to get more insulin at once, or should I just be running far, far away from Walgreens?</t>
        </is>
      </c>
      <c r="D4922" t="n">
        <v>3</v>
      </c>
      <c r="E4922" t="n">
        <v>3</v>
      </c>
      <c r="F4922">
        <f>HYPERLINK("https://www.reddit.com/r/diabetes/comments/8sw30i/60_for_one_lantus_pen/")</f>
        <v/>
      </c>
      <c r="G4922" t="inlineStr">
        <is>
          <t>2018-06-21 15:15:21</t>
        </is>
      </c>
      <c r="H4922" t="inlineStr">
        <is>
          <t>Type 1</t>
        </is>
      </c>
    </row>
    <row r="4923">
      <c r="A4923" t="inlineStr">
        <is>
          <t>8t12vy</t>
        </is>
      </c>
      <c r="B4923" t="inlineStr">
        <is>
          <t>Can you buy Dexcom or Freestyle Libre chips without a prescription in the US?</t>
        </is>
      </c>
      <c r="C4923" t="inlineStr">
        <is>
          <t>My gf is coming over to the States from Europe in a month to stay for a few months. I'm trying to make sure everything is set sensor wise for her before she arrives so I was wondering if one can buy the chips without a prescription. If not, how can someone without US healthcare (and who's healthcare only covers the strips and not the chips, so she can't bring them with her) get the chips?
Thanks!</t>
        </is>
      </c>
      <c r="D4923" t="n">
        <v>1</v>
      </c>
      <c r="E4923" t="n">
        <v>3</v>
      </c>
      <c r="F4923">
        <f>HYPERLINK("https://www.reddit.com/r/diabetes/comments/8t12vy/can_you_buy_dexcom_or_freestyle_libre_chips/")</f>
        <v/>
      </c>
      <c r="G4923" t="inlineStr">
        <is>
          <t>2018-06-22 05:50:32</t>
        </is>
      </c>
      <c r="H4923" t="inlineStr">
        <is>
          <t>Type 1</t>
        </is>
      </c>
    </row>
    <row r="4924">
      <c r="A4924" t="inlineStr">
        <is>
          <t>8t1dyh</t>
        </is>
      </c>
      <c r="B4924" t="inlineStr">
        <is>
          <t>Update: Visit to the endo.</t>
        </is>
      </c>
      <c r="C4924" t="inlineStr">
        <is>
          <t xml:space="preserve">I was recently diagnosed with Type 2, my A1C was 12% at that time. 
I have been given a date in December for a follow up, with loads of tests. 
The doctor said, I need to keep doing what I’m to keep my BG below 7 mmol/dL or ideally below 6 mmol/dL after 2 hours of meal. </t>
        </is>
      </c>
      <c r="D4924" t="n">
        <v>1</v>
      </c>
      <c r="E4924" t="n">
        <v>1</v>
      </c>
      <c r="F4924">
        <f>HYPERLINK("https://www.reddit.com/r/diabetes/comments/8t1dyh/update_visit_to_the_endo/")</f>
        <v/>
      </c>
      <c r="G4924" t="inlineStr">
        <is>
          <t>2018-06-22 06:37:12</t>
        </is>
      </c>
      <c r="H4924" t="inlineStr">
        <is>
          <t>Type 2</t>
        </is>
      </c>
    </row>
    <row r="4925">
      <c r="A4925" t="inlineStr">
        <is>
          <t>8t2pf6</t>
        </is>
      </c>
      <c r="B4925" t="inlineStr">
        <is>
          <t>Dietary changes in child with T1</t>
        </is>
      </c>
      <c r="C4925" t="inlineStr">
        <is>
          <t>At the end of May, my 4yo son was diagnosed with T1 diabetes.  We were very lucky in that, having several immediate family members with the disease, we were able to recognize the warning signs before he went into full blown ketoacidosis.  He still spent Memorial Day weekend in the hospital, but he has adjusted well.  The question I have is regarding a dietary change my wife and I have noticed.  Now that we have his blood sugar pretty stable, he is refusing to eat higher carb foods.  He won't touch cereal, sandwiches, and even some of his formerly favorite snacks, like goldfish or apples.  He asks for higher protein foods now instead.  As an example, today he refused eating cereal or pancakes but was fine with eggs and bacon for breakfast, for lunch he got really upset when his sister asked for a PBJ sandwich, and after calming down settled for a hot dog (no bun) and a handful of strawberries.  It has become a real challenge to get him the recommended number of carbs at each meal.  At this point, we have pretty much resorted to making him drink juice or one of the mini cans of pop just to get his carbs in normal range.  Is this type of thing normal?  Are the carbs making him physically ill when he eats them or is it more psychological in that now that he feels better overall he remembers these foods making him feel sick before he was diagnosed?  Any advice would be appreciated!</t>
        </is>
      </c>
      <c r="D4925" t="n">
        <v>6</v>
      </c>
      <c r="E4925" t="n">
        <v>12</v>
      </c>
      <c r="F4925">
        <f>HYPERLINK("https://www.reddit.com/r/diabetes/comments/8t2pf6/dietary_changes_in_child_with_t1/")</f>
        <v/>
      </c>
      <c r="G4925" t="inlineStr">
        <is>
          <t>2018-06-22 09:31:29</t>
        </is>
      </c>
      <c r="H4925" t="inlineStr">
        <is>
          <t>Type 1</t>
        </is>
      </c>
    </row>
    <row r="4926">
      <c r="A4926" t="inlineStr">
        <is>
          <t>8t4zis</t>
        </is>
      </c>
      <c r="B4926" t="inlineStr">
        <is>
          <t>Boxes of Mimimed Reservoirs and Quicksets</t>
        </is>
      </c>
      <c r="C4926" t="inlineStr">
        <is>
          <t>I have boxes boxes of each. Each box has 10. Unopened and not expired.</t>
        </is>
      </c>
      <c r="D4926" t="n">
        <v>1</v>
      </c>
      <c r="E4926" t="n">
        <v>2</v>
      </c>
      <c r="F4926">
        <f>HYPERLINK("https://www.reddit.com/r/diabetes/comments/8t4zis/boxes_of_mimimed_reservoirs_and_quicksets/")</f>
        <v/>
      </c>
      <c r="G4926" t="inlineStr">
        <is>
          <t>2018-06-22 14:29:02</t>
        </is>
      </c>
      <c r="H4926" t="inlineStr">
        <is>
          <t>Type 1</t>
        </is>
      </c>
    </row>
    <row r="4927">
      <c r="A4927" t="inlineStr">
        <is>
          <t>8t5s88</t>
        </is>
      </c>
      <c r="B4927" t="inlineStr">
        <is>
          <t>dexcom g5 transmitter update</t>
        </is>
      </c>
      <c r="C4927" t="inlineStr">
        <is>
          <t>i have the newer dexcom g5 with the bigger display and on the dexcom updater says i can update it to the g6 software,how do i ask my doctor for just the g6 sensors and get the update code from dexcom so it can be on the g6 software</t>
        </is>
      </c>
      <c r="D4927" t="n">
        <v>0</v>
      </c>
      <c r="E4927" t="n">
        <v>4</v>
      </c>
      <c r="F4927">
        <f>HYPERLINK("https://www.reddit.com/r/diabetes/comments/8t5s88/dexcom_g5_transmitter_update/")</f>
        <v/>
      </c>
      <c r="G4927" t="inlineStr">
        <is>
          <t>2018-06-22 16:26:10</t>
        </is>
      </c>
      <c r="H4927" t="inlineStr">
        <is>
          <t>Type 1</t>
        </is>
      </c>
    </row>
    <row r="4928">
      <c r="A4928" t="inlineStr">
        <is>
          <t>8tbj7c</t>
        </is>
      </c>
      <c r="B4928" t="inlineStr">
        <is>
          <t>In a Rough Spot with 1 Pen left.</t>
        </is>
      </c>
      <c r="C4928" t="inlineStr">
        <is>
          <t>Currently with where I'm at I'm in need of some advice on where to go or who to talk to. I got kicked out of my mom's place and was sent down to live in TN with my brother. Well I'm not too careful with how well I take care of myself and now that I'm here with 1 insulin pen left of toujeo I'm seeing now that I need to get my ass into gear. I have no insurance or any coverage at all right now and I'm not even sure where to go to start getting a steady supply of insulin that I can at least afford in some way. Any help or advice is greatly appreciated.</t>
        </is>
      </c>
      <c r="D4928" t="n">
        <v>3</v>
      </c>
      <c r="E4928" t="n">
        <v>11</v>
      </c>
      <c r="F4928">
        <f>HYPERLINK("https://www.reddit.com/r/diabetes/comments/8tbj7c/in_a_rough_spot_with_1_pen_left/")</f>
        <v/>
      </c>
      <c r="G4928" t="inlineStr">
        <is>
          <t>2018-06-23 10:35:23</t>
        </is>
      </c>
      <c r="H4928" t="inlineStr">
        <is>
          <t>Type 1</t>
        </is>
      </c>
    </row>
    <row r="4929">
      <c r="A4929" t="inlineStr">
        <is>
          <t>8tdkks</t>
        </is>
      </c>
      <c r="B4929" t="inlineStr">
        <is>
          <t>Anyone from the UK here? I have a few question and I can't find the answers on the internet!</t>
        </is>
      </c>
      <c r="C4929" t="inlineStr">
        <is>
          <t>I have diabetes type 1 and I'm moving to the UK soon (from Poland). I'm not sure how to prepare. I know that insulin is free but is it free for non-UK citizens? What about all the stuff for the insulin pump? Is it free too? How do I get support from a specialist, can I just choose a GP and he will tell me what to do or do I need something from a Polish doctor before? Like a history of disease (not sure if it's called that way) or something?
I'm not sure how it works and all the websites seem to be outdated, I don't know where to look for it and what to trust.
Could someone tell me more about it?  I've heard from some Polish people that I would need tons of insulin and polish prescriptions before I move, I think they meant that it's not easy to get it in the UK but I don't know why.</t>
        </is>
      </c>
      <c r="D4929" t="n">
        <v>1</v>
      </c>
      <c r="E4929" t="n">
        <v>7</v>
      </c>
      <c r="F4929">
        <f>HYPERLINK("https://www.reddit.com/r/diabetes/comments/8tdkks/anyone_from_the_uk_here_i_have_a_few_question_and/")</f>
        <v/>
      </c>
      <c r="G4929" t="inlineStr">
        <is>
          <t>2018-06-23 15:45:45</t>
        </is>
      </c>
      <c r="H4929" t="inlineStr">
        <is>
          <t>Type 1</t>
        </is>
      </c>
    </row>
    <row r="4930">
      <c r="A4930" t="inlineStr">
        <is>
          <t>8tdxyd</t>
        </is>
      </c>
      <c r="B4930" t="inlineStr">
        <is>
          <t>Freestyle Libre and Salt Water</t>
        </is>
      </c>
      <c r="C4930" t="inlineStr">
        <is>
          <t>Just wanted to let anyone wearing a Freestyle Libre going on vacation know that salt water may make it come off. My husband and I just got back from Jamaica and he wore his in the ocean. We had a concern going that it may not be a good thing to have on in the salt water and sure enough after we went in the first time the adhesive released and it no longer worked. Thankfully we only had about a day and half left before returning home.</t>
        </is>
      </c>
      <c r="D4930" t="n">
        <v>1</v>
      </c>
      <c r="E4930" t="n">
        <v>0</v>
      </c>
      <c r="F4930">
        <f>HYPERLINK("https://www.reddit.com/r/diabetes/comments/8tdxyd/freestyle_libre_and_salt_water/")</f>
        <v/>
      </c>
      <c r="G4930" t="inlineStr">
        <is>
          <t>2018-06-23 16:49:13</t>
        </is>
      </c>
      <c r="H4930" t="inlineStr">
        <is>
          <t>Type 1</t>
        </is>
      </c>
    </row>
    <row r="4931">
      <c r="A4931" t="inlineStr">
        <is>
          <t>8tf3vm</t>
        </is>
      </c>
      <c r="B4931" t="inlineStr">
        <is>
          <t>A1C 19.6 + BGL 588</t>
        </is>
      </c>
      <c r="C4931" t="inlineStr">
        <is>
          <t>So I had three major projects going at once and worked 207 days in row without a break.  Felt "tired" and "worn out" and all that other jazz - which was to be expected.  My drama queen mother cajoled me into getting a meter and poking my finger, which I did...just to make her happy.  Meter says "Too High - Unable to Read".  Hmmmm...  
So I drag myself into the ER to see if *their* meter could read my glucose level...and they all look at each other with *that* look.  They immediately start acting all concernicus and insert an IV with saline and shoot some chest films.  Labs come back with a **sky high** 19.6 A1C and blood glucose of 588.  So they shoot me with 25 units of insulin plus an insulin drip added to the IV.  By this time, they decide to keep me overnight.  
They're in every hour overnight, checking and poking and by dawn my BGL is down in the mid 250's.  So they decide to keep me another day.  More poking, more checking, more concernicus.  By the morning of day 2, I'm down in the mid to low 100's.  All of the nurse educators drop by, everyone remains *stunned* by my almost-20 A1C, how lucky I am, etc, etc.  They have a foundation that pays for the bags full of meds they send me home with...and pay for my first 30 days of Lantus pens, strips, meters, etc.  
14 days later, I'm doing 20 units of Lantus twice a day, BGL's are in the mid 150's, kidney function has dropped from the 3's down to the 1's, blurry vision has cleared up, constant scratchy throat has gone away, gout flareups are gone.  
It's a good time to be alive.</t>
        </is>
      </c>
      <c r="D4931" t="n">
        <v>50</v>
      </c>
      <c r="E4931" t="n">
        <v>27</v>
      </c>
      <c r="F4931">
        <f>HYPERLINK("https://www.reddit.com/r/diabetes/comments/8tf3vm/a1c_196_bgl_588/")</f>
        <v/>
      </c>
      <c r="G4931" t="inlineStr">
        <is>
          <t>2018-06-23 20:20:49</t>
        </is>
      </c>
      <c r="H4931" t="inlineStr">
        <is>
          <t>Type 2</t>
        </is>
      </c>
    </row>
    <row r="4932">
      <c r="A4932" t="inlineStr">
        <is>
          <t>8tfs95</t>
        </is>
      </c>
      <c r="B4932" t="inlineStr">
        <is>
          <t>Trouble staying motivated and any tips on not letting it control your life while still managing it</t>
        </is>
      </c>
      <c r="C4932" t="inlineStr">
        <is>
          <t xml:space="preserve">I was discussing how horribly depresing and powerless  someone must feel to watch a SO die of cancer.
She pointed out sometimes she feels powerless when my blood sugar gets terrible.
I wish I was better at it but now that I am balancing more in my life my diabetes has fallen to the wayside which is terrible but how can I stay motivated for it when life gets hard.
TLDR: it's hard to stay motivated to keep blood sugar on track. Any tips? 
</t>
        </is>
      </c>
      <c r="D4932" t="n">
        <v>11</v>
      </c>
      <c r="E4932" t="n">
        <v>4</v>
      </c>
      <c r="F4932">
        <f>HYPERLINK("https://www.reddit.com/r/diabetes/comments/8tfs95/trouble_staying_motivated_and_any_tips_on_not/")</f>
        <v/>
      </c>
      <c r="G4932" t="inlineStr">
        <is>
          <t>2018-06-23 22:29:54</t>
        </is>
      </c>
      <c r="H4932" t="inlineStr">
        <is>
          <t>Type 1</t>
        </is>
      </c>
    </row>
    <row r="4933">
      <c r="A4933" t="inlineStr">
        <is>
          <t>8thikl</t>
        </is>
      </c>
      <c r="B4933" t="inlineStr">
        <is>
          <t>What kind of drinks do not affect your blood sugar?</t>
        </is>
      </c>
      <c r="C4933" t="inlineStr">
        <is>
          <t xml:space="preserve">Water with mint leaves and lemon, all diet brands? </t>
        </is>
      </c>
      <c r="D4933" t="n">
        <v>15</v>
      </c>
      <c r="E4933" t="n">
        <v>73</v>
      </c>
      <c r="F4933">
        <f>HYPERLINK("https://www.reddit.com/r/diabetes/comments/8thikl/what_kind_of_drinks_do_not_affect_your_blood_sugar/")</f>
        <v/>
      </c>
      <c r="G4933" t="inlineStr">
        <is>
          <t>2018-06-24 05:33:48</t>
        </is>
      </c>
      <c r="H4933" t="inlineStr">
        <is>
          <t>Type 2</t>
        </is>
      </c>
    </row>
    <row r="4934">
      <c r="A4934" t="inlineStr">
        <is>
          <t>8ti6v1</t>
        </is>
      </c>
      <c r="B4934" t="inlineStr">
        <is>
          <t>When you think you're so prepared...</t>
        </is>
      </c>
      <c r="C4934" t="inlineStr">
        <is>
          <t>I went tubing with my coworkers yesterday, and anyone who has ever been tubing knows that means lots of alcohol and about 4 hours in the sun. My previous experiences with day drinking is that I'm gonna go low. Well we had a plan to leave by a certain time and go to a certain place, but the trip got hijacked by one of my coworkers fiances and we ended up leaving 4 hours later and to a completely different spot. I had originally eaten a moderate carb breakfast and cut my insulin a little so that I would be running just a little higher than usual when I started drinking. I had juice, fruit, water, a bottle of vodka soda, and my Libre reader in a water-proof pouch. Since we left so much later we stopped to get lunch on the way to the river. We ate Chik-Fil-A and my BS was normal (107) before hand so I took 2 less units than I would normally have. It took us another 2 hours to get to the place, grab tubes, and hit the water. I started getting a headache about 30 minutes in and checked my blood sugar. 307. 20 minutes later, 387. Then my sensor fell off. Again, if you've been tubing you know, but you are stuck on that river until you reach the exit. My head was pounding, I was parched and we ran out of water fast, and I didn't have any insulin because I prepared for lows and how the hell do you inject while floating down a nasty river? To end a long rant, it was miserable. I haven't had my diagnosis long but for the most part I have come to terms with my disease. Yesterday I absolutely hated being diabetic.
TLDR; went tubing, prepared for lows but went high instead. Diabetes sucks.</t>
        </is>
      </c>
      <c r="D4934" t="n">
        <v>7</v>
      </c>
      <c r="E4934" t="n">
        <v>9</v>
      </c>
      <c r="F4934">
        <f>HYPERLINK("https://www.reddit.com/r/diabetes/comments/8ti6v1/when_you_think_youre_so_prepared/")</f>
        <v/>
      </c>
      <c r="G4934" t="inlineStr">
        <is>
          <t>2018-06-24 07:36:49</t>
        </is>
      </c>
      <c r="H4934" t="inlineStr">
        <is>
          <t>Type 1</t>
        </is>
      </c>
    </row>
    <row r="4935">
      <c r="A4935" t="inlineStr">
        <is>
          <t>8tialo</t>
        </is>
      </c>
      <c r="B4935" t="inlineStr">
        <is>
          <t>Positives of the Medtronic 670g?</t>
        </is>
      </c>
      <c r="C4935" t="inlineStr">
        <is>
          <t xml:space="preserve">I am currently in the process of switching from an animas ping pump (w/Dexcom) to a Medtronic 670g (w/guardian). It’s a long story, but basically I’m not very excited about the switch... I’m really biased against Medtronic and have heard some not so good things, so can anyone share some positives??? I’d really appreciate it:)! </t>
        </is>
      </c>
      <c r="D4935" t="n">
        <v>1</v>
      </c>
      <c r="E4935" t="n">
        <v>3</v>
      </c>
      <c r="F4935">
        <f>HYPERLINK("https://www.reddit.com/r/diabetes/comments/8tialo/positives_of_the_medtronic_670g/")</f>
        <v/>
      </c>
      <c r="G4935" t="inlineStr">
        <is>
          <t>2018-06-24 07:53:36</t>
        </is>
      </c>
      <c r="H4935" t="inlineStr">
        <is>
          <t>Type 1</t>
        </is>
      </c>
    </row>
    <row r="4936">
      <c r="A4936" t="inlineStr">
        <is>
          <t>8tjlw9</t>
        </is>
      </c>
      <c r="B4936" t="inlineStr">
        <is>
          <t>pain when low?</t>
        </is>
      </c>
      <c r="C4936" t="inlineStr">
        <is>
          <t xml:space="preserve"> does anyone else experience physical pain when they are low? 
Personal history
I was diagnosed Oct 11th, 2015 at age of 23.  Glucose was 667 (was really funny cause I felt great that day, funny how the human body can adapt to things) with an a1c of 15.6 and living in severe dehydration and dka for roughly 6 months losing around 60lbs going from 222 to my lowest of 159. Last a1c was 7.3 with lowest a1c ever being 6.9. 
Still learning to manage wasn't till 2017 November when I got my first diabetic coaching class from my medical group
I dunno if it's just how bad my joints got due to no lubrication cause dehydration damage.  I'll get cold sweats when low and feel the pain around my joints and back. 
Currently without insurance in Washington state due to moving from Oregon and my temp job doesn't qualify. 
Ps. I knew something was wrong with my body for those 6 months but I didn't have insurance that I could use cause my employer at the time messed up the paperwork (which I now know I could have probably legally done something about but didn't) doc said I probably helped myself by buying a 64oz growler and purely using it for water  which I drank 4 bottles of minimum a day.  
Thanks for input and the read. </t>
        </is>
      </c>
      <c r="D4936" t="n">
        <v>1</v>
      </c>
      <c r="E4936" t="n">
        <v>5</v>
      </c>
      <c r="F4936">
        <f>HYPERLINK("https://www.reddit.com/r/diabetes/comments/8tjlw9/pain_when_low/")</f>
        <v/>
      </c>
      <c r="G4936" t="inlineStr">
        <is>
          <t>2018-06-24 11:04:56</t>
        </is>
      </c>
      <c r="H4936" t="inlineStr">
        <is>
          <t>Type 1</t>
        </is>
      </c>
    </row>
    <row r="4937">
      <c r="A4937" t="inlineStr">
        <is>
          <t>8tjy07</t>
        </is>
      </c>
      <c r="B4937" t="inlineStr">
        <is>
          <t>Vegan Diabetics</t>
        </is>
      </c>
      <c r="C4937" t="inlineStr">
        <is>
          <t xml:space="preserve">Hi there! I would love everyone who is going through the process of being diabetic and vegan to share with me any tips, ideas, recipes with me! 
Thanks! </t>
        </is>
      </c>
      <c r="D4937" t="n">
        <v>5</v>
      </c>
      <c r="E4937" t="n">
        <v>6</v>
      </c>
      <c r="F4937">
        <f>HYPERLINK("https://www.reddit.com/r/diabetes/comments/8tjy07/vegan_diabetics/")</f>
        <v/>
      </c>
      <c r="G4937" t="inlineStr">
        <is>
          <t>2018-06-24 11:53:07</t>
        </is>
      </c>
      <c r="H4937" t="inlineStr">
        <is>
          <t>Type 1</t>
        </is>
      </c>
    </row>
    <row r="4938">
      <c r="A4938" t="inlineStr">
        <is>
          <t>8tmpos</t>
        </is>
      </c>
      <c r="B4938" t="inlineStr">
        <is>
          <t>Newly diagnosed diabetes vision problems</t>
        </is>
      </c>
      <c r="C4938" t="inlineStr">
        <is>
          <t>I was diagnosed about 3 months ago and was only given pills and send home. Last week I wasn’t feeling well and went to the hospital. Turns out I had sugar around 700. 
They have me on Humalog and Lantus now and for about a week everything was fine. Then one morning I woke up and my vision was blurry even though my blood sugar was fine. 
I went to a optometrist and they have me glasses. I now can’t see without them. 
Has anyone else experienced a sudden vision impairment like this and do you know if it can be corrected?</t>
        </is>
      </c>
      <c r="D4938" t="n">
        <v>2</v>
      </c>
      <c r="E4938" t="n">
        <v>7</v>
      </c>
      <c r="F4938">
        <f>HYPERLINK("https://www.reddit.com/r/diabetes/comments/8tmpos/newly_diagnosed_diabetes_vision_problems/")</f>
        <v/>
      </c>
      <c r="G4938" t="inlineStr">
        <is>
          <t>2018-06-24 18:42:49</t>
        </is>
      </c>
      <c r="H4938" t="inlineStr">
        <is>
          <t>Type 2</t>
        </is>
      </c>
    </row>
    <row r="4939">
      <c r="A4939" t="inlineStr">
        <is>
          <t>8to64v</t>
        </is>
      </c>
      <c r="B4939" t="inlineStr">
        <is>
          <t>One month since being diagnosed.</t>
        </is>
      </c>
      <c r="C4939" t="inlineStr">
        <is>
          <t xml:space="preserve">Hello all,  just found this sub and I figured I would tell my story. 
So about two months ago I moved and things went downhill very quickly. At first it was being tired and what I thought was back pain. Since I was still moving I thought nothing of it and ignored it for about a week. This would have been around the 13 of May. Now is when things get worse, my eyesight went to crap overnight,  as in I could barely read my screen or the food I was making.  About 5 days pass and my back pain starts getting really bad and I am now starting to sleep 18+ hours a day. I had also started drinking a stupid amount of water, as in 10 to 15 glasses/bottles a day, and peeing just as much.  
As you can tell, things are bad, but they do get worse unfortunately. It is now the 18th, and I had lost all apatite and I started to vomit. This continued until the 21st when in the morning I started have troubles breathing. So we scheduled a doctors appointment for the next day.  When I woke up on the 22nd I started hyperventilating and I could not walk, I was just stumbling around like a drunk person, I had to be carried to the car by my dad.  
We get to the urgent care and within 30secs of the doctor laying eyes on me, he told me to go to the hospital. This is when we realized something was terribly wrong. So, we get to the hospital and I was immediately put in a room in the ER and they started figuring out what was wrong with me. The head doctor assigned to my case ordered a finger prick test, and when the nurse did it, the first 2 machines crashed when reading my blood and the third read my blood glucose level  was 1176. Stunned,  the doctor ordered a blood test done by the lab to verify the result and it was verified. I also had an A1c of 14.0.
I feel that I should add the fact that I was fully conscious for all of this, I was not in a coma. So that was how I found out I was diabetic, setting a new record in the hospital in the process. 
I won't lie, adapting to this new lifestyle has been tough, especially the early meal times. But I am getting though it. Looking back, I am really surprised my family and I did not realize that I was in DKA sooner, diabetes is rampant in my father's side, although everyone is type 2 not 1. I cannot believe how incredibly lucky I am to not have slipped into a coma or worse. 
Sorry for the long and incoherent post, I just felt like I needed to get this off my chest.  </t>
        </is>
      </c>
      <c r="D4939" t="n">
        <v>20</v>
      </c>
      <c r="E4939" t="n">
        <v>5</v>
      </c>
      <c r="F4939">
        <f>HYPERLINK("https://www.reddit.com/r/diabetes/comments/8to64v/one_month_since_being_diagnosed/")</f>
        <v/>
      </c>
      <c r="G4939" t="inlineStr">
        <is>
          <t>2018-06-24 22:57:34</t>
        </is>
      </c>
      <c r="H4939" t="inlineStr">
        <is>
          <t>Type 1</t>
        </is>
      </c>
    </row>
    <row r="4940">
      <c r="A4940" t="inlineStr">
        <is>
          <t>8tu2bl</t>
        </is>
      </c>
      <c r="B4940" t="inlineStr">
        <is>
          <t>Metformin or not?</t>
        </is>
      </c>
      <c r="C4940" t="inlineStr">
        <is>
          <t>My Doc has decided I am officially diabetic but does not want to prescribe any meds.  I am 63, my glucose was 132 on the last test and the A1c came in at 6.1. Both are down a bit from 4 months ago.  He said since I am diabetic, Metformin would not keep me from it.  This seems wrong to me.  Any thoughts?
Thanks in advance!</t>
        </is>
      </c>
      <c r="D4940" t="n">
        <v>1</v>
      </c>
      <c r="E4940" t="n">
        <v>8</v>
      </c>
      <c r="F4940">
        <f>HYPERLINK("https://www.reddit.com/r/diabetes/comments/8tu2bl/metformin_or_not/")</f>
        <v/>
      </c>
      <c r="G4940" t="inlineStr">
        <is>
          <t>2018-06-25 13:53:24</t>
        </is>
      </c>
      <c r="H4940" t="inlineStr">
        <is>
          <t>Type 2</t>
        </is>
      </c>
    </row>
    <row r="4941">
      <c r="A4941" t="inlineStr">
        <is>
          <t>8tw8hg</t>
        </is>
      </c>
      <c r="B4941" t="inlineStr">
        <is>
          <t>Newly diagnosed t1 here</t>
        </is>
      </c>
      <c r="C4941" t="inlineStr">
        <is>
          <t xml:space="preserve">Hi everyone, 
Was just diagnosed Friday night, when I was told to go to the ER after a blood test at my PCP showed my bg level at 600. I spent a few days in the ICU, and was finally discharged today. Still trying to understand all of this. Luckily I have a biology degree, plus I also used to do body building competitions (counting carbs) so I'm familiar with those aspects. 
The part that's frustrating is that with the current scale that the doctor put me on (insulin:carb = 1:15, insulin correction factor = 50) it seems like by bg is ALWAYS high. I use basaglar for my long-acting, and humalog for my mealtime. I'm taking the appropriate doses (for example, for dinner I had 30g carbs, so I took 4 units humalog prior) and when I checked my bg almost 2 hours later, it was 346! Does this mean the doctor has me on the wrong ratio? I feel like I should be taking more insulin if my bg is THAT high THAT long after my meal. </t>
        </is>
      </c>
      <c r="D4941" t="n">
        <v>9</v>
      </c>
      <c r="E4941" t="n">
        <v>47</v>
      </c>
      <c r="F4941">
        <f>HYPERLINK("https://www.reddit.com/r/diabetes/comments/8tw8hg/newly_diagnosed_t1_here/")</f>
        <v/>
      </c>
      <c r="G4941" t="inlineStr">
        <is>
          <t>2018-06-25 19:06:47</t>
        </is>
      </c>
      <c r="H4941" t="inlineStr">
        <is>
          <t>Type 1</t>
        </is>
      </c>
    </row>
    <row r="4942">
      <c r="A4942" t="inlineStr">
        <is>
          <t>8tzmch</t>
        </is>
      </c>
      <c r="B4942" t="inlineStr">
        <is>
          <t>Question to T2Ds about insulin dosages [x-post from r/diabetes_t2]</t>
        </is>
      </c>
      <c r="C4942" t="inlineStr">
        <is>
          <t>[(Original posting here)](https://www.reddit.com/r/diabetes_t2/comments/8tzerz/i_hope_it_is_ok_for_me_to_ask_here_question_about/)
I am a T1, I was having a discussion with another T1, and we noticed that we have no idea about typical dosage sizes of T2s. This topic came up when we were discussing double diabetes. So I would like to ask you T2s who inject basal and bolus insulin, how many units basal do you inject daily, and how is your insulin-to-carb ratio and insulin sensitivity factor?</t>
        </is>
      </c>
      <c r="D4942" t="n">
        <v>2</v>
      </c>
      <c r="E4942" t="n">
        <v>10</v>
      </c>
      <c r="F4942">
        <f>HYPERLINK("https://www.reddit.com/r/diabetes/comments/8tzmch/question_to_t2ds_about_insulin_dosages_xpost_from/")</f>
        <v/>
      </c>
      <c r="G4942" t="inlineStr">
        <is>
          <t>2018-06-26 05:31:27</t>
        </is>
      </c>
      <c r="H4942" t="inlineStr">
        <is>
          <t>Type 2</t>
        </is>
      </c>
    </row>
    <row r="4943">
      <c r="A4943" t="inlineStr">
        <is>
          <t>8u1g2z</t>
        </is>
      </c>
      <c r="B4943" t="inlineStr">
        <is>
          <t>Diabetes Research Survey</t>
        </is>
      </c>
      <c r="C4943" t="inlineStr">
        <is>
          <t xml:space="preserve">Hi,
We are a group of high school students currently researching new treatment solutions for diabetes in collaboration with Ryerson University. 
It would be extremely helpful if anyone diagnosed with Type 1 or 2 diabetes could fill out our quick research survey: 
https://rakeeb.typeform.com/to/S5mTzh
Thank you so much for your participation! </t>
        </is>
      </c>
      <c r="D4943" t="n">
        <v>0</v>
      </c>
      <c r="E4943" t="n">
        <v>3</v>
      </c>
      <c r="F4943">
        <f>HYPERLINK("https://www.reddit.com/r/diabetes/comments/8u1g2z/diabetes_research_survey/")</f>
        <v/>
      </c>
      <c r="G4943" t="inlineStr">
        <is>
          <t>2018-06-26 09:32:33</t>
        </is>
      </c>
      <c r="H4943" t="inlineStr">
        <is>
          <t>Type 2</t>
        </is>
      </c>
    </row>
    <row r="4944">
      <c r="A4944" t="inlineStr">
        <is>
          <t>8u22t7</t>
        </is>
      </c>
      <c r="B4944" t="inlineStr">
        <is>
          <t>Help with blood sugar monitoring without pump</t>
        </is>
      </c>
      <c r="C4944" t="inlineStr">
        <is>
          <t>Hello all, I have been lurking here for some time. I am looking for some way where a smart watch or so.ething can be worn to monitor blood sugar. 
Situation: My dad is a Type 1 diabetic (I have lived with it indirectly for 29 years). He has had it since he was 15. He is now 66. He does 1 Humulan N and R shot in the morning. No pump because he does not want it. So now I am looking for a solution to monitor without the pump. I wasn't sure if smart watches are available that can monitor. 
My dad has a tendency to overwork himself and then forgets to eat. Almost too much pride in working rather than stopping and eating. Sometimes just forgets because too busy. Yes, I have experienced the low blood sugar and blacking out and convulsions. 
Please, any direction I am grateful.
Thank you!</t>
        </is>
      </c>
      <c r="D4944" t="n">
        <v>3</v>
      </c>
      <c r="E4944" t="n">
        <v>9</v>
      </c>
      <c r="F4944">
        <f>HYPERLINK("https://www.reddit.com/r/diabetes/comments/8u22t7/help_with_blood_sugar_monitoring_without_pump/")</f>
        <v/>
      </c>
      <c r="G4944" t="inlineStr">
        <is>
          <t>2018-06-26 10:47:11</t>
        </is>
      </c>
      <c r="H4944" t="inlineStr">
        <is>
          <t>Type 1</t>
        </is>
      </c>
    </row>
    <row r="4945">
      <c r="A4945" t="inlineStr">
        <is>
          <t>8u29o0</t>
        </is>
      </c>
      <c r="B4945" t="inlineStr">
        <is>
          <t>AndroidAPS, OpenAPS, Loop, 670g users, what A1Cs do you reach, how much effort does it need, how much easier is it now?</t>
        </is>
      </c>
      <c r="C4945" t="inlineStr">
        <is>
          <t>Closed loop pumps are the new upcoming game changer. Being a honeymooning T1D myself, I want one ASAP. Ideally, honeymoon extends until they are more widely available.
I got told horror stories that once honeymoon is over, BG control will be a billion times more difficult, an A1C of &amp;lt;=7&amp;amp;#37; will be next to impossible to achieve, BGs of over 200 and less than 40 will be commonplace every day for the rest of my life, time in range above 40&amp;amp;#37; will be absolutely impossible, and an average BG of 160 will be a huge achievement. I hope this isn't true, but if it is, I want to have access to such a pump.
This of course assumes that they are a great help. So, I ask you guys who are using some form of looping setup:
* What are you using? AndroidAPS, OpenAPS, Loop, or 670g?
* What fasting BGs do you reach now vs. before looping?
* How much time in range you achieve now vs. before looping? And what is your range?
* What is your A1C now vs. before looping?
* How much effort do you still have to spend every day for your BG control, given your current A1C? In other words, do you still have to micromanage a  lot, or can you leave most of it to the pump and still reach a good A1C?
* Non-food factors such as dawn phenomenon, feet-on-floor phenomenon, stress etc. - how much worse did these get post-honeymoon, and how much does the loop help you?</t>
        </is>
      </c>
      <c r="D4945" t="n">
        <v>2</v>
      </c>
      <c r="E4945" t="n">
        <v>25</v>
      </c>
      <c r="F4945">
        <f>HYPERLINK("https://www.reddit.com/r/diabetes/comments/8u29o0/androidaps_openaps_loop_670g_users_what_a1cs_do/")</f>
        <v/>
      </c>
      <c r="G4945" t="inlineStr">
        <is>
          <t>2018-06-26 11:09:45</t>
        </is>
      </c>
      <c r="H4945" t="inlineStr">
        <is>
          <t>Type 1</t>
        </is>
      </c>
    </row>
    <row r="4946">
      <c r="A4946" t="inlineStr">
        <is>
          <t>8u505w</t>
        </is>
      </c>
      <c r="B4946" t="inlineStr">
        <is>
          <t>Fat build up on injection sites</t>
        </is>
      </c>
      <c r="C4946" t="inlineStr">
        <is>
          <t xml:space="preserve">So, I know to rotate sites but I was pretty bad about always wanting to go to my arms for the longest time. I have some build up on my right arm that I hate. Anyone have experience with getting this removed or the time frame of it to naturally go away? </t>
        </is>
      </c>
      <c r="D4946" t="n">
        <v>3</v>
      </c>
      <c r="E4946" t="n">
        <v>7</v>
      </c>
      <c r="F4946">
        <f>HYPERLINK("https://www.reddit.com/r/diabetes/comments/8u505w/fat_build_up_on_injection_sites/")</f>
        <v/>
      </c>
      <c r="G4946" t="inlineStr">
        <is>
          <t>2018-06-26 17:04:49</t>
        </is>
      </c>
      <c r="H4946" t="inlineStr">
        <is>
          <t>Type 1</t>
        </is>
      </c>
    </row>
    <row r="4947">
      <c r="A4947" t="inlineStr">
        <is>
          <t>8u9l8k</t>
        </is>
      </c>
      <c r="B4947" t="inlineStr">
        <is>
          <t>Blood sugar out of whack after having first child</t>
        </is>
      </c>
      <c r="C4947" t="inlineStr">
        <is>
          <t>Hey there,
So my wife and I just had our first child about three weeks ago. I've noticed that ever since then my blood sugar has been way out of whack compared to normal. I almost never had readings in the 200's and now I'm struggling to keep it down. I am assuming that this is due to stress/lack of sleep from all the changes? This is the first time I've really ever struggled with my numbers so it's pretty frustrating. 
Current carb ratio is 1u:15carbs and 1 unit per 50 over 150. Basal is .5u/hour or 12u/day.
I just switched over from pens to the Minimed 670g and Guardian cgm during all of this too...lots going on!  Anyone else had a major life event cause their numbers to go crazy?
I guess I'm mostly wondering if these changes are permanent or not. 
Thanks guys and gals!</t>
        </is>
      </c>
      <c r="D4947" t="n">
        <v>1</v>
      </c>
      <c r="E4947" t="n">
        <v>11</v>
      </c>
      <c r="F4947">
        <f>HYPERLINK("https://www.reddit.com/r/diabetes/comments/8u9l8k/blood_sugar_out_of_whack_after_having_first_child/")</f>
        <v/>
      </c>
      <c r="G4947" t="inlineStr">
        <is>
          <t>2018-06-27 06:26:04</t>
        </is>
      </c>
      <c r="H4947" t="inlineStr">
        <is>
          <t>Type 1</t>
        </is>
      </c>
    </row>
    <row r="4948">
      <c r="A4948" t="inlineStr">
        <is>
          <t>8uc5tt</t>
        </is>
      </c>
      <c r="B4948" t="inlineStr">
        <is>
          <t>Can high blood sugars contribute to acne?</t>
        </is>
      </c>
      <c r="C4948" t="inlineStr">
        <is>
          <t>I've been having one of those weeks, haven't really been taking care of myself as I should. I've been skipping my nightly lantus as well as not covering some of my meals. I've started to break out tremendously and was curious if some high blood sugars can be a factor in this? Thanks!</t>
        </is>
      </c>
      <c r="D4948" t="n">
        <v>1</v>
      </c>
      <c r="E4948" t="n">
        <v>7</v>
      </c>
      <c r="F4948">
        <f>HYPERLINK("https://www.reddit.com/r/diabetes/comments/8uc5tt/can_high_blood_sugars_contribute_to_acne/")</f>
        <v/>
      </c>
      <c r="G4948" t="inlineStr">
        <is>
          <t>2018-06-27 11:38:34</t>
        </is>
      </c>
      <c r="H4948" t="inlineStr">
        <is>
          <t>Type 1</t>
        </is>
      </c>
    </row>
    <row r="4949">
      <c r="A4949" t="inlineStr">
        <is>
          <t>8udcwo</t>
        </is>
      </c>
      <c r="B4949" t="inlineStr">
        <is>
          <t>Any type ones on the keto diet?</t>
        </is>
      </c>
      <c r="C4949" t="inlineStr">
        <is>
          <t>My wife (non diabetic) wants to try the keto diet and I’m gonna try along with her to help her out as well as maybe help myself out. I’ve always heard mixed reviews on it, though. 
Are there certain vitamins/minerals one needs to take while on this diet?</t>
        </is>
      </c>
      <c r="D4949" t="n">
        <v>1</v>
      </c>
      <c r="E4949" t="n">
        <v>0</v>
      </c>
      <c r="F4949">
        <f>HYPERLINK("https://www.reddit.com/r/diabetes/comments/8udcwo/any_type_ones_on_the_keto_diet/")</f>
        <v/>
      </c>
      <c r="G4949" t="inlineStr">
        <is>
          <t>2018-06-27 14:05:12</t>
        </is>
      </c>
      <c r="H4949" t="inlineStr">
        <is>
          <t>Type 1</t>
        </is>
      </c>
    </row>
    <row r="4950">
      <c r="A4950" t="inlineStr">
        <is>
          <t>8uhhc1</t>
        </is>
      </c>
      <c r="B4950" t="inlineStr">
        <is>
          <t>I have a story...</t>
        </is>
      </c>
      <c r="C4950" t="inlineStr">
        <is>
          <t>This is a story about how my Grandmother beat Type 2 Diabetes and practically hasn't taken insulin in almost two years.
So, my Grandma moved to Morraco to teach English because Morraco was changing it's secondary national language to English. When she moved, her diet drastically changed. She was already eating healthy, but, in her own words, "the Morracan Diet is perfect for Diabetics". One major change was Olive Oil. Olive Oil made her blood sugar plumit. She called her Endorcronologyst, and he told her to do half her insulin. She did and it worked for a little while, but then she gradually got lower and lower. Her doctor told her to half her insulin again and it didn't work. Taking a risk, he told her to not take any insulin. It worked perfectly. 
TL;DR Olive Oil does wonders</t>
        </is>
      </c>
      <c r="D4950" t="n">
        <v>0</v>
      </c>
      <c r="E4950" t="n">
        <v>19</v>
      </c>
      <c r="F4950">
        <f>HYPERLINK("https://www.reddit.com/r/diabetes/comments/8uhhc1/i_have_a_story/")</f>
        <v/>
      </c>
      <c r="G4950" t="inlineStr">
        <is>
          <t>2018-06-28 01:34:13</t>
        </is>
      </c>
      <c r="H4950" t="inlineStr">
        <is>
          <t>Type 2</t>
        </is>
      </c>
    </row>
    <row r="4951">
      <c r="A4951" t="inlineStr">
        <is>
          <t>8uijmy</t>
        </is>
      </c>
      <c r="B4951" t="inlineStr">
        <is>
          <t>Hypo at a late night meal, mildly elevated blood sugar hours later</t>
        </is>
      </c>
      <c r="C4951" t="inlineStr">
        <is>
          <t>Yesterday I wanted to eat some bread at ~8PM. It totaled to about 71g of carbs (3 large slices of bread + butter + cheese + ham). I am currently working with an I:C ratio of 1:10, so I injected 7.1 units. I then did my usual thing with pre-bolus and slow eating. But it ended up in a hypo. Gulped down about 3 glucose tablets (total of 18g carbs). Later things stabilized. Close to midnight BG rose to 130 mg/dL. Still confused by what had happened, I just chalked it up to the tablets. BG dropped to 99 mg/dL, I fell asleep. In the morning I woke up to 135 mg/dL. At around 4-6 AM, BG had crawled up again. I know this is the time when the dawn phenomenon usually hits, but for me, it has never been noticeable.
So I am still wondering what happened.
* Maybe the actual dosage that reached the bloodstream was higher than what I thought I had injected. However, this is a Pendiq I'm using, and it is very precise.
* Perhaps the carb absorption is slower after 6PM or so.
* Similarly, maybe the Humalog is absorbed faster at late hours.
* It could also be that the walk I took from the office back home still had an effect.
* The fat and protein could have delayed carbs a lot, explaining both the hypo and the later BG rise.
* Remaining carbs being digested in the morning could have coincided with the elevated insulin resistance in the morning caused by the dawn phenomenon.
My conclusion from this is to avoid carb heavy dinner after 5-6 PM. What do you guys think?</t>
        </is>
      </c>
      <c r="D4951" t="n">
        <v>1</v>
      </c>
      <c r="E4951" t="n">
        <v>1</v>
      </c>
      <c r="F4951">
        <f>HYPERLINK("https://www.reddit.com/r/diabetes/comments/8uijmy/hypo_at_a_late_night_meal_mildly_elevated_blood/")</f>
        <v/>
      </c>
      <c r="G4951" t="inlineStr">
        <is>
          <t>2018-06-28 04:40:26</t>
        </is>
      </c>
      <c r="H4951" t="inlineStr">
        <is>
          <t>Type 1</t>
        </is>
      </c>
    </row>
    <row r="4952">
      <c r="A4952" t="inlineStr">
        <is>
          <t>8ukzxe</t>
        </is>
      </c>
      <c r="B4952" t="inlineStr">
        <is>
          <t>Is this what typical post-honeymoon BG curves look like?</t>
        </is>
      </c>
      <c r="C4952" t="inlineStr">
        <is>
          <t>I am slowly getting better after being very down lately. But one thing keeps nagging me.
I keep seeing BG curves [like this one](https://forum.tudiabetes.org/uploads/default/original/3X/7/9/79ec8a9c48dfef256223f3a02f3e4acec396cc52.PNG). This is presented as an example of GOOD control. Average of 154 mg/dL and time in range 71%! My current average is 101 mg/dL and time in range is 97%.. I am not saying the person from the diagram is a bad diabetic! I am saying that apparently, such results are normal post-honeymoon. Look at these 300 BG levels...
[These are examples of what I am achieving right now.](https://i.imgur.com/2ozefJ0.png) The top two were very good days. The bottom is an example of when I mess up a bit.
Now, it is not like I can just roughly bolus and have results like the good days in that picture. I have to count carbs very carefully, pre-bolus properly, and can't eat too fast. I didn't do it like that at first, and regularly had peaks of 190 mg/dL or higher. I also don't do low-carb, but my carb count isn't so high, at least not compared to traditional Western diets. And I eat "safe" foods almost always ("safe" as in: I can accurately count carbs and don't have to roughly guess). The bottom graph also shows how apparently I made an error at dinner time, because the BG kept increasing constantly. I know you'll probably say that this increase is nothing (it peaked somewhere at 140 mg/dL), but I get all worked up about it, as you can probably guess from the huge number of scans.
So, is the 670g graph what I can realistically expect? Is this how it is for most T1Ds post-honeymoon? Or is it like this mostly if you eat lots of carbs and don't practice strict control? In other words, are graphs like my current ones even remotely possible post-honeymoon?</t>
        </is>
      </c>
      <c r="D4952" t="n">
        <v>4</v>
      </c>
      <c r="E4952" t="n">
        <v>10</v>
      </c>
      <c r="F4952">
        <f>HYPERLINK("https://www.reddit.com/r/diabetes/comments/8ukzxe/is_this_what_typical_posthoneymoon_bg_curves_look/")</f>
        <v/>
      </c>
      <c r="G4952" t="inlineStr">
        <is>
          <t>2018-06-28 09:27:45</t>
        </is>
      </c>
      <c r="H4952" t="inlineStr">
        <is>
          <t>Type 1</t>
        </is>
      </c>
    </row>
    <row r="4953">
      <c r="A4953" t="inlineStr">
        <is>
          <t>8uqlwf</t>
        </is>
      </c>
      <c r="B4953" t="inlineStr">
        <is>
          <t>Trulicity? What’s your experience?</t>
        </is>
      </c>
      <c r="C4953" t="inlineStr">
        <is>
          <t xml:space="preserve"> I saw the nurse practitioner for my drs office today who prescribed me Trulicity as she said it would help me to loose some weight which would be beneficial due to the weight gain I have had because of the amount of insulin I take. She didn’t really tell me much about it, but from what I’m reading online I’m terrified to take this.
The first huge concern I have is the risk of cancer that the drug seems to pose. Exactly what kind of increased risk is this? How many people have developed cancer as a result of taking this drug. How can it be worth the risk?
I’m also reading horror stories of the side-effects of the drug. I’ve read about extreme abdominal pain, diarrhea, vomiting, nausea and extreme fatigue. How common and how severe are these side effects really? I’m starting a new job next week and I really don’t want to go in too weak to focus and work or worse, vomiting and pooping. 
Ive read that this drug is similar to bayetta? Is it the same? I ask because I was on bayetta when I was first diagnosed. I don’t recall having any crazy side effects although it was 12 years ago, so I’m not sure. Are the side effects generally the same with both of these drugs? Is that cancer risk also the same with bayetta and I just didn’t know at the time? All I really remember about bayetta is it worked great for me for a few months, my sugars were down and I lost weight, but at one point it completely stopped working. This was also a daily injection as opposed to a weekly injection.</t>
        </is>
      </c>
      <c r="D4953" t="n">
        <v>1</v>
      </c>
      <c r="E4953" t="n">
        <v>0</v>
      </c>
      <c r="F4953">
        <f>HYPERLINK("https://www.reddit.com/r/diabetes/comments/8uqlwf/trulicity_whats_your_experience/")</f>
        <v/>
      </c>
      <c r="G4953" t="inlineStr">
        <is>
          <t>2018-06-28 22:21:48</t>
        </is>
      </c>
      <c r="H4953" t="inlineStr">
        <is>
          <t>Type 2</t>
        </is>
      </c>
    </row>
    <row r="4954">
      <c r="A4954" t="inlineStr">
        <is>
          <t>8utrfv</t>
        </is>
      </c>
      <c r="B4954" t="inlineStr">
        <is>
          <t>Trulicity?</t>
        </is>
      </c>
      <c r="C4954" t="inlineStr">
        <is>
          <t xml:space="preserve"> I saw the nurse practitioner for my drs office today who prescribed me Trulicity as she said it would help me to loose some weight which would be beneficial due to the weight gain I have had because of the amount of insulin I take. She didn’t really tell me much about it, but from what I’m reading online I’m terrified to take this.
The first huge concern I have is the risk of cancer that the drug seems to pose. Exactly what kind of increased risk is this? How many people have developed cancer as a result of taking this drug. How can it be worth the risk?
I’m also reading horror stories of the side-effects of the drug. I’ve read about extreme abdominal pain, diarrhea, vomiting, nausea and extreme fatigue. How common and how severe are these side effects really? I’m starting a new job next week and I really don’t want to go in too weak to focus and work or worse, vomiting and pooping. 
Ive read that this drug is similar to bayetta? Is it the same? I ask because I was on bayetta when I was first diagnosed. I don’t recall having any crazy side effects although it was 12 years ago, so I’m not sure. Are the side effects generally the same with both of these drugs? Is that cancer risk also the same with bayetta and I just didn’t know at the time? All I really remember about bayetta is it worked great for me for a few months, my sugars were down and I lost weight, but at one point it completely stopped working. This was also a daily injection as opposed to a weekly injection.</t>
        </is>
      </c>
      <c r="D4954" t="n">
        <v>1</v>
      </c>
      <c r="E4954" t="n">
        <v>3</v>
      </c>
      <c r="F4954">
        <f>HYPERLINK("https://www.reddit.com/r/diabetes/comments/8utrfv/trulicity/")</f>
        <v/>
      </c>
      <c r="G4954" t="inlineStr">
        <is>
          <t>2018-06-29 07:56:13</t>
        </is>
      </c>
      <c r="H4954" t="inlineStr">
        <is>
          <t>Type 2</t>
        </is>
      </c>
    </row>
    <row r="4955">
      <c r="A4955" t="inlineStr">
        <is>
          <t>8uvhg7</t>
        </is>
      </c>
      <c r="B4955" t="inlineStr">
        <is>
          <t>Insulin script filled under DME?</t>
        </is>
      </c>
      <c r="C4955" t="inlineStr">
        <is>
          <t>So I've heard that people have been able to get this done?  That with some insurance's, if you have an insulin pump, DME will cover the insulin that you need to take through that pump.  Currently, my Durable Medical Coverage is 100&amp;amp;#37;, whereas I'll have to pay significantly more to fill a prescription via the pharmacy.  
I've called my insurance people, (BCBS), and they confirmed that yes, it should be covered on my plan, and that I'd be able to do it via the people that process the DME stuff, Carecentrix.  So I called Carecentrix, and they told me they 'don't do insulin'.  So I'm not sure how to proceed, or if I'm just stuck?  Has anyone here ever gotten this done, and if so, how'd you do it?</t>
        </is>
      </c>
      <c r="D4955" t="n">
        <v>2</v>
      </c>
      <c r="E4955" t="n">
        <v>4</v>
      </c>
      <c r="F4955">
        <f>HYPERLINK("https://www.reddit.com/r/diabetes/comments/8uvhg7/insulin_script_filled_under_dme/")</f>
        <v/>
      </c>
      <c r="G4955" t="inlineStr">
        <is>
          <t>2018-06-29 11:32:09</t>
        </is>
      </c>
      <c r="H4955" t="inlineStr">
        <is>
          <t>Type 1</t>
        </is>
      </c>
    </row>
    <row r="4956">
      <c r="A4956" t="inlineStr">
        <is>
          <t>8uxfoz</t>
        </is>
      </c>
      <c r="B4956" t="inlineStr">
        <is>
          <t>PEBBLE server shutdown is tomorrow. Register your account with REBBLE ASAP</t>
        </is>
      </c>
      <c r="C4956" t="inlineStr">
        <is>
          <t xml:space="preserve">
PEBBLE server shutdown is tomorrow...if you use PEBBLE watches to monitor your kiddos BG with NIGHTSCOUT or DEXCOM SHARE you need to register your account with REBBLE (yes with an "R") ASAP...otherwise your Pebble watches may no longer be able to receive BG information.
https://auth.rebble.io
https://www.reddit.com/r/pebble/comments/8qxvkz/getting_ready_for_rebble_create_your_accounts/?utm_source=reddit-android
</t>
        </is>
      </c>
      <c r="D4956" t="n">
        <v>14</v>
      </c>
      <c r="E4956" t="n">
        <v>1</v>
      </c>
      <c r="F4956">
        <f>HYPERLINK("https://www.reddit.com/r/diabetes/comments/8uxfoz/pebble_server_shutdown_is_tomorrow_register_your/")</f>
        <v/>
      </c>
      <c r="G4956" t="inlineStr">
        <is>
          <t>2018-06-29 15:51:48</t>
        </is>
      </c>
      <c r="H4956" t="inlineStr">
        <is>
          <t>Type 1</t>
        </is>
      </c>
    </row>
    <row r="4957">
      <c r="A4957" t="inlineStr">
        <is>
          <t>8v020f</t>
        </is>
      </c>
      <c r="B4957" t="inlineStr">
        <is>
          <t>T1D and a Keto Diet</t>
        </is>
      </c>
      <c r="C4957" t="inlineStr">
        <is>
          <t>Anyone with T1D and follow a keto diet? 
I am wondering what your experience is? Any tips or pointers? How has your BG and A1c looked?</t>
        </is>
      </c>
      <c r="D4957" t="n">
        <v>6</v>
      </c>
      <c r="E4957" t="n">
        <v>8</v>
      </c>
      <c r="F4957">
        <f>HYPERLINK("https://www.reddit.com/r/diabetes/comments/8v020f/t1d_and_a_keto_diet/")</f>
        <v/>
      </c>
      <c r="G4957" t="inlineStr">
        <is>
          <t>2018-06-29 23:38:34</t>
        </is>
      </c>
      <c r="H4957" t="inlineStr">
        <is>
          <t>Type 1</t>
        </is>
      </c>
    </row>
    <row r="4958">
      <c r="A4958" t="inlineStr">
        <is>
          <t>8v27fa</t>
        </is>
      </c>
      <c r="B4958" t="inlineStr">
        <is>
          <t>Questions I have had with pump and type one.</t>
        </is>
      </c>
      <c r="C4958" t="inlineStr">
        <is>
          <t>1. When my bg is low, my pump says not to bolus for carbs but I have gotten conflicting answers on this. Do others with the pump still put carbs in or no?
2. My a1c is not great, 8.5 last I went. I really want to try to get it down, but I have a really hard time remembering to check my bg levels. I do not want the continuously monitering blood glucose monitering system, so aside from that does anyone have advice for remembering to check bg levels and put them in pump?
I know these may seem kind of dumb but I was hoping people with the pump / type 1 may have advice for how to do these things. Thank you in advanced.</t>
        </is>
      </c>
      <c r="D4958" t="n">
        <v>3</v>
      </c>
      <c r="E4958" t="n">
        <v>3</v>
      </c>
      <c r="F4958">
        <f>HYPERLINK("https://www.reddit.com/r/diabetes/comments/8v27fa/questions_i_have_had_with_pump_and_type_one/")</f>
        <v/>
      </c>
      <c r="G4958" t="inlineStr">
        <is>
          <t>2018-06-30 07:31:05</t>
        </is>
      </c>
      <c r="H4958" t="inlineStr">
        <is>
          <t>Type 1</t>
        </is>
      </c>
    </row>
    <row r="4959">
      <c r="A4959" t="inlineStr">
        <is>
          <t>8v6d43</t>
        </is>
      </c>
      <c r="B4959" t="inlineStr">
        <is>
          <t>Does anyone else seem to have days where nothing works?</t>
        </is>
      </c>
      <c r="C4959" t="inlineStr">
        <is>
          <t>Last week I was in range probably about 90% of the time and felt awesome.  The last few days, though, I’ve been extremely tired, and today I’ve been over 200 no matter how much insulin I give.  No ketones, either.  Really frustrating :(</t>
        </is>
      </c>
      <c r="D4959" t="n">
        <v>7</v>
      </c>
      <c r="E4959" t="n">
        <v>4</v>
      </c>
      <c r="F4959">
        <f>HYPERLINK("https://www.reddit.com/r/diabetes/comments/8v6d43/does_anyone_else_seem_to_have_days_where_nothing/")</f>
        <v/>
      </c>
      <c r="G4959" t="inlineStr">
        <is>
          <t>2018-06-30 17:51:56</t>
        </is>
      </c>
      <c r="H4959" t="inlineStr">
        <is>
          <t>Type 1</t>
        </is>
      </c>
    </row>
    <row r="4960">
      <c r="A4960" t="inlineStr">
        <is>
          <t>8v6euc</t>
        </is>
      </c>
      <c r="B4960" t="inlineStr">
        <is>
          <t>Ever travel outside the country with your supplies?</t>
        </is>
      </c>
      <c r="C4960" t="inlineStr">
        <is>
          <t>Hello, this might seem like a stupid question but I’ve never travelled outside the country and was wondering if security gets annoying when looking at your needles and your other diabetic supplies. What exactly is the process you go through to prove to them that you are a diabetic and that you need these supplies?</t>
        </is>
      </c>
      <c r="D4960" t="n">
        <v>3</v>
      </c>
      <c r="E4960" t="n">
        <v>10</v>
      </c>
      <c r="F4960">
        <f>HYPERLINK("https://www.reddit.com/r/diabetes/comments/8v6euc/ever_travel_outside_the_country_with_your_supplies/")</f>
        <v/>
      </c>
      <c r="G4960" t="inlineStr">
        <is>
          <t>2018-06-30 18:00:34</t>
        </is>
      </c>
      <c r="H4960" t="inlineStr">
        <is>
          <t>Type 1</t>
        </is>
      </c>
    </row>
    <row r="4961">
      <c r="A4961" t="inlineStr">
        <is>
          <t>8v8ew8</t>
        </is>
      </c>
      <c r="B4961" t="inlineStr">
        <is>
          <t>Freestyle Libre? Should I go on it?</t>
        </is>
      </c>
      <c r="C4961" t="inlineStr">
        <is>
          <t>My doctor recently suggested if I wanted to go on a CGM, to maybe consider purchasing a Freestyle Libre. I did a little research and I'm still not completely sure if I wanna spend that money or of it's really worth it. But at the same time my blood sugar levels can be very unstable and get very high really fast. And it could help me monitor my blood sugar with more ease. I need help making the decision, because I think it could possibly help me control it. And it can also improve everyday life like if I'm somewhere where it's not too easy to check it, or if I just wanna check it really fast.</t>
        </is>
      </c>
      <c r="D4961" t="n">
        <v>7</v>
      </c>
      <c r="E4961" t="n">
        <v>10</v>
      </c>
      <c r="F4961">
        <f>HYPERLINK("https://www.reddit.com/r/diabetes/comments/8v8ew8/freestyle_libre_should_i_go_on_it/")</f>
        <v/>
      </c>
      <c r="G4961" t="inlineStr">
        <is>
          <t>2018-07-01 00:38:39</t>
        </is>
      </c>
      <c r="H4961" t="inlineStr">
        <is>
          <t>Type 1</t>
        </is>
      </c>
    </row>
    <row r="4962">
      <c r="A4962" t="inlineStr">
        <is>
          <t>8v8xaf</t>
        </is>
      </c>
      <c r="B4962" t="inlineStr">
        <is>
          <t>I ate the same meal from a fast food place twice first was fine second I'm low</t>
        </is>
      </c>
      <c r="C4962" t="inlineStr">
        <is>
          <t xml:space="preserve">I ate chili dogs from wienerschnitzel a meal at 8pm and after my blood was perfect 100
Again I ate the exact same amount from the same order around 1am now my blood is 50 I've been drinking juice to stop the decline
I'm just complaining </t>
        </is>
      </c>
      <c r="D4962" t="n">
        <v>2</v>
      </c>
      <c r="E4962" t="n">
        <v>1</v>
      </c>
      <c r="F4962">
        <f>HYPERLINK("https://www.reddit.com/r/diabetes/comments/8v8xaf/i_ate_the_same_meal_from_a_fast_food_place_twice/")</f>
        <v/>
      </c>
      <c r="G4962" t="inlineStr">
        <is>
          <t>2018-07-01 02:52:48</t>
        </is>
      </c>
      <c r="H4962" t="inlineStr">
        <is>
          <t>Type 1</t>
        </is>
      </c>
    </row>
    <row r="4963">
      <c r="A4963" t="inlineStr">
        <is>
          <t>8vfkjq</t>
        </is>
      </c>
      <c r="B4963" t="inlineStr">
        <is>
          <t>I have had to triple my basal dose over the past two weeks. Anyone ever had something similar?</t>
        </is>
      </c>
      <c r="C4963" t="inlineStr">
        <is>
          <t>Was doing 24 units of Tresiba per day, now that number is up to 72.  I have no idea what the hell is going on.</t>
        </is>
      </c>
      <c r="D4963" t="n">
        <v>3</v>
      </c>
      <c r="E4963" t="n">
        <v>10</v>
      </c>
      <c r="F4963">
        <f>HYPERLINK("https://www.reddit.com/r/diabetes/comments/8vfkjq/i_have_had_to_triple_my_basal_dose_over_the_past/")</f>
        <v/>
      </c>
      <c r="G4963" t="inlineStr">
        <is>
          <t>2018-07-01 20:38:14</t>
        </is>
      </c>
      <c r="H4963" t="inlineStr">
        <is>
          <t>Type 1</t>
        </is>
      </c>
    </row>
    <row r="4964">
      <c r="A4964" t="inlineStr">
        <is>
          <t>8vk020</t>
        </is>
      </c>
      <c r="B4964" t="inlineStr">
        <is>
          <t>CGM issue eith calibration</t>
        </is>
      </c>
      <c r="C4964" t="inlineStr">
        <is>
          <t xml:space="preserve">I received a Drxcom CGM today to wear for a week. Doctor said after two hours, it should display two blood drops, indicating I have to test my glucose levels for calibration. I'm currently going on 4 hours. And there hasn't been any calibration message. Any ideas? I'm pretty sure this CGM is a loaner, of it's possible that it's a lemon. </t>
        </is>
      </c>
      <c r="D4964" t="n">
        <v>3</v>
      </c>
      <c r="E4964" t="n">
        <v>7</v>
      </c>
      <c r="F4964">
        <f>HYPERLINK("https://www.reddit.com/r/diabetes/comments/8vk020/cgm_issue_eith_calibration/")</f>
        <v/>
      </c>
      <c r="G4964" t="inlineStr">
        <is>
          <t>2018-07-02 09:30:05</t>
        </is>
      </c>
      <c r="H4964" t="inlineStr">
        <is>
          <t>Type 1</t>
        </is>
      </c>
    </row>
    <row r="4965">
      <c r="A4965" t="inlineStr">
        <is>
          <t>8vld7y</t>
        </is>
      </c>
      <c r="B4965" t="inlineStr">
        <is>
          <t>Medtronic 670 vs Tandem TSlim</t>
        </is>
      </c>
      <c r="C4965" t="inlineStr">
        <is>
          <t>My warranty on my Medtronic 530 comes up in a few months and I've been wondering whether to just stay with Medtronic and move up to the 670 closed loop system or look at Tandem's TSlim and their Dexcom G6.  I've had issues with the CGM from Medtronic and going to their newer closed loop system might not be something I really want to deal with.  The CGM can be very frustrating at times.  Any suggestions?</t>
        </is>
      </c>
      <c r="D4965" t="n">
        <v>13</v>
      </c>
      <c r="E4965" t="n">
        <v>30</v>
      </c>
      <c r="F4965">
        <f>HYPERLINK("https://www.reddit.com/r/diabetes/comments/8vld7y/medtronic_670_vs_tandem_tslim/")</f>
        <v/>
      </c>
      <c r="G4965" t="inlineStr">
        <is>
          <t>2018-07-02 12:12:21</t>
        </is>
      </c>
      <c r="H4965" t="inlineStr">
        <is>
          <t>Type 1</t>
        </is>
      </c>
    </row>
    <row r="4966">
      <c r="A4966" t="inlineStr">
        <is>
          <t>8vmxno</t>
        </is>
      </c>
      <c r="B4966" t="inlineStr">
        <is>
          <t>Have you achieved any physical feats after being diagnosed as a diabetic?</t>
        </is>
      </c>
      <c r="C4966" t="inlineStr">
        <is>
          <t xml:space="preserve">Examples: Marathon, cycling from one end of the country to another, walking for 20 hours straight, any other race? </t>
        </is>
      </c>
      <c r="D4966" t="n">
        <v>2</v>
      </c>
      <c r="E4966" t="n">
        <v>19</v>
      </c>
      <c r="F4966">
        <f>HYPERLINK("https://www.reddit.com/r/diabetes/comments/8vmxno/have_you_achieved_any_physical_feats_after_being/")</f>
        <v/>
      </c>
      <c r="G4966" t="inlineStr">
        <is>
          <t>2018-07-02 15:33:07</t>
        </is>
      </c>
      <c r="H4966" t="inlineStr">
        <is>
          <t>Type 2</t>
        </is>
      </c>
    </row>
    <row r="4967">
      <c r="A4967" t="inlineStr">
        <is>
          <t>8vnjlr</t>
        </is>
      </c>
      <c r="B4967" t="inlineStr">
        <is>
          <t>How high were you when you were diagnosed?</t>
        </is>
      </c>
      <c r="C4967" t="inlineStr">
        <is>
          <t>I was talking to a friend and he said 400 and that blew me away because I was at nearly 900 when I got diagnosed</t>
        </is>
      </c>
      <c r="D4967" t="n">
        <v>4</v>
      </c>
      <c r="E4967" t="n">
        <v>32</v>
      </c>
      <c r="F4967">
        <f>HYPERLINK("https://www.reddit.com/r/diabetes/comments/8vnjlr/how_high_were_you_when_you_were_diagnosed/")</f>
        <v/>
      </c>
      <c r="G4967" t="inlineStr">
        <is>
          <t>2018-07-02 16:59:46</t>
        </is>
      </c>
      <c r="H4967" t="inlineStr">
        <is>
          <t>Type 1</t>
        </is>
      </c>
    </row>
    <row r="4968">
      <c r="A4968" t="inlineStr">
        <is>
          <t>8vrafo</t>
        </is>
      </c>
      <c r="B4968" t="inlineStr">
        <is>
          <t>Dexcom G6 sensor, soreness/blessing from site (stomach)</t>
        </is>
      </c>
      <c r="C4968" t="inlineStr">
        <is>
          <t xml:space="preserve">Recently diagnosed and when I saw my endo, she wanted me to get the Dexcom and I was lucky enough to be able to get it through my insurance. I just replaced my first sensor which I had some tenderness so when I replaced the sensor yesterday and I noticed the same thing, I didn’t think anything of it. 
This morning though, I noticed that it’s even more sore and there is blood collected on the adhesive on the bottom. 
Anyone else experience this? Should I replace the sensor and put in a new location. </t>
        </is>
      </c>
      <c r="D4968" t="n">
        <v>2</v>
      </c>
      <c r="E4968" t="n">
        <v>4</v>
      </c>
      <c r="F4968">
        <f>HYPERLINK("https://www.reddit.com/r/diabetes/comments/8vrafo/dexcom_g6_sensor_sorenessblessing_from_site/")</f>
        <v/>
      </c>
      <c r="G4968" t="inlineStr">
        <is>
          <t>2018-07-03 03:59:38</t>
        </is>
      </c>
      <c r="H4968" t="inlineStr">
        <is>
          <t>Type 1</t>
        </is>
      </c>
    </row>
    <row r="4969">
      <c r="A4969" t="inlineStr">
        <is>
          <t>8vru3e</t>
        </is>
      </c>
      <c r="B4969" t="inlineStr">
        <is>
          <t>Medication Input Please (xpost diabetes_t2)</t>
        </is>
      </c>
      <c r="C4969" t="inlineStr">
        <is>
          <t>Hi all. I'm T2 diagnosed several years ago. I've only recently decided I'm not interested in dying and should therefore take treatment more seriously. When first diagnosed I was put on Metformin and Prandin. Metformin gave me terrible GI side effects (horrible gas, uncontrollable diarrhea, vomiting), no matter which formulation or how I took it. I got frustrated and stupidly did not seek further options until this year. I'm currently taking 24 units of Lantus at night but need more help than that. So, I've tried several medications and have yet to find one that works and doesn't cause side effects. The ones I remember are: Januvia did nothing but cause yeast infections, Glyxambi caused lower leg edema, Victoza and Ozempic caused the same side effects as Metformin. All except the Januvia worked to bring my blood sugar down but I can't tolerate the side effects. I'm currently on my third week of Ozempic and wanted be able to tolerate this because my provider said if I can't, she'll have to put me on NovoLog. I really want to avoid NovoLog but after puking while sitting on the toilet for over an hour on Saturday, I know my body isn't going to come around. Have any of you experienced the same GI side effects and what did you finally find that worked for you?</t>
        </is>
      </c>
      <c r="D4969" t="n">
        <v>2</v>
      </c>
      <c r="E4969" t="n">
        <v>2</v>
      </c>
      <c r="F4969">
        <f>HYPERLINK("https://www.reddit.com/r/diabetes/comments/8vru3e/medication_input_please_xpost_diabetes_t2/")</f>
        <v/>
      </c>
      <c r="G4969" t="inlineStr">
        <is>
          <t>2018-07-03 05:35:17</t>
        </is>
      </c>
      <c r="H4969" t="inlineStr">
        <is>
          <t>Type 2</t>
        </is>
      </c>
    </row>
    <row r="4970">
      <c r="A4970" t="inlineStr">
        <is>
          <t>8vs5zz</t>
        </is>
      </c>
      <c r="B4970" t="inlineStr">
        <is>
          <t>Questions unasked</t>
        </is>
      </c>
      <c r="C4970" t="inlineStr">
        <is>
          <t>Hello, 
Long time lurker.
I have type 2 diabetes, a year ago I was 308lbs, with a 7.3 a1c and I was testing in the 300s before I was put on anything. 
After taking Metformin for a year (2x500 morning and night), losing 30lbs I went to the doctors and my a1c was 5.5 and when they pricked me I was at 95. Doctor is taking me off the medication now.
He seemed genuinely shocked and I never know what to ask when I am there.
Does this mean I am no longer type 2 and just high risk, or borderline diabetic? I realize if I eat badly and gain weight I will go right back, but what does this mean today?
Thanks,</t>
        </is>
      </c>
      <c r="D4970" t="n">
        <v>7</v>
      </c>
      <c r="E4970" t="n">
        <v>9</v>
      </c>
      <c r="F4970">
        <f>HYPERLINK("https://www.reddit.com/r/diabetes/comments/8vs5zz/questions_unasked/")</f>
        <v/>
      </c>
      <c r="G4970" t="inlineStr">
        <is>
          <t>2018-07-03 06:24:23</t>
        </is>
      </c>
      <c r="H4970" t="inlineStr">
        <is>
          <t>Type 2</t>
        </is>
      </c>
    </row>
    <row r="4971">
      <c r="A4971" t="inlineStr">
        <is>
          <t>8vtyik</t>
        </is>
      </c>
      <c r="B4971" t="inlineStr">
        <is>
          <t>[Rant] My endo won't listen to me about other endocrine issues</t>
        </is>
      </c>
      <c r="C4971" t="inlineStr">
        <is>
          <t>Long post because I have a lot of health problems.
I moved to where I live now in 2011 and had to leave the endo who diagnosed me in 2007 (which I will call Dr. W).  Since then I've gone back and forth between like 5 different endos, before finally settling on the one I'm currently seeing (Dr. K)  in 2016. I wish I could find a new endo, but due to insurance issues and convenience, I'm stuck for the time being.  It's not like I don't like her, either—she's very nice and a lot more responsive than the 50 million other endos I've seen (except for Dr. W, she'll always be my favorite)—but she doesn't seem to listen to my other concerns outside of diabetes.
I was diagnosed T1 in 2007 after bloodwork revealed I had insanely high cholesterol levels, which prompted a visit to a pediatric endo. My blood sugar was over 500 and I spent a few days in the hospital. There was no extreme weight loss like most people experience; in fact, I gained weight. At 8 years old I weighed somewhere around 90 lbs, but my parents always told me it was because I was so tall for my age. Right from the get-go I was put on metformin (at age 8), but stopped taking it for a really long time due to stomach upset. My sugars were pretty much out of control, rarely under 200 for the most part.  My insulin-to-carb ratio became tighter and tighter until Dr. W finally said 1:5 was the lowest she'd allow me to be on. Eventually she diagnosed me as type 1.5, which all of the other endos have totally ignored.  At one practice I was incorrectly listed on paperwork as type 2, and we left the practice immediately after we found that out.
Fast forward 10 years. I'm 18, almost 19, years old, and recently hit a new low of 209 lbs.  Even when I eat low carb I still have to take a ton of insulin.  Believe me, I'm very aware obesity causes insulin resistance, but absolutely nothing has helped me lose weight.  I've gained about 50 pounds since the 8th grade, with *no lifestyle change whatsoever*.  In fact, I've even *more* active than I was then. 
Every single endo I've seen since Dr. W has dismissed my concerns about my significant weight gain and crazy insulin resistance.  It's always been, "Oh, just eat healthier! Now, your A1C is pretty good."  Yes, I know I'm at the endocrinologist for diabetes, but just because I'm diabetic doesn't mean I definitely don't have *other* endocrine disorders!  My mom and I have been convinced I've had PCOS for *years* now, and I was just prescribed PCOS medication in December after Dr. K said "maybe it'll do something" (spoiler alert: it did).  I still don't have an official PCOS diagnosis, even though I show literally every single symptom.
My mom has hypothyroidism, which leads me to believe I may have it as well.  I'm just really hesitant to bring it up with Dr. K since it's been dismissed so many times. My bloodwork always comes out "normal" (sans cholesterol levels), which is really frustrating. I *know* something's wrong, but no one seems to be listening.</t>
        </is>
      </c>
      <c r="D4971" t="n">
        <v>8</v>
      </c>
      <c r="E4971" t="n">
        <v>10</v>
      </c>
      <c r="F4971">
        <f>HYPERLINK("https://www.reddit.com/r/diabetes/comments/8vtyik/rant_my_endo_wont_listen_to_me_about_other/")</f>
        <v/>
      </c>
      <c r="G4971" t="inlineStr">
        <is>
          <t>2018-07-03 10:13:06</t>
        </is>
      </c>
      <c r="H4971" t="inlineStr">
        <is>
          <t>Type 1</t>
        </is>
      </c>
    </row>
    <row r="4972">
      <c r="A4972" t="inlineStr">
        <is>
          <t>8vu03j</t>
        </is>
      </c>
      <c r="B4972" t="inlineStr">
        <is>
          <t>What do you eat/drink to prepare for a workout?</t>
        </is>
      </c>
      <c r="C4972" t="inlineStr">
        <is>
          <t xml:space="preserve">I feel like whenever I work out I’m consuming even more calories then I’m burning because I have to consume carbs to keep me sugar up. 
I’ve tried fruit but it burns off so quickly. I’ve tried coconut water because it has fat which slows it down but at times that’s not enough. I’ve eaten Cliff bars for long bike rides but those are so calorie dense. 
I’m attempting  to prepare for long bike rides and intense 45min workouts. 
Any tips? </t>
        </is>
      </c>
      <c r="D4972" t="n">
        <v>2</v>
      </c>
      <c r="E4972" t="n">
        <v>13</v>
      </c>
      <c r="F4972">
        <f>HYPERLINK("https://www.reddit.com/r/diabetes/comments/8vu03j/what_do_you_eatdrink_to_prepare_for_a_workout/")</f>
        <v/>
      </c>
      <c r="G4972" t="inlineStr">
        <is>
          <t>2018-07-03 10:18:24</t>
        </is>
      </c>
      <c r="H4972" t="inlineStr">
        <is>
          <t>Type 1</t>
        </is>
      </c>
    </row>
    <row r="4973">
      <c r="A4973" t="inlineStr">
        <is>
          <t>8vxoil</t>
        </is>
      </c>
      <c r="B4973" t="inlineStr">
        <is>
          <t>21 and struggling.</t>
        </is>
      </c>
      <c r="C4973" t="inlineStr">
        <is>
          <t xml:space="preserve">Hi there. I'm 21 (F) yrs old and have been diagnosed with type 2 diabetes since I was 15 yrs. I've always struggled with it, my sugars are usually high. Like scary high (they never dip below 380. I start showing symptoms of low blood sugar around 180-200). I've had everyone and their mother tell me how unhealthy I am, that I may not deal with it now, but the complications will catch up to me later. I don't know why I can't seem to get my shit together and start taking care of myself. I want it, I know it sounds like a lazy excuse, but I don't know how to do better. I don't know how to stop eating sugar or not taking my medicine like I'm supposed to. I want to do better, but this horrible habit of not taking care of myself for the past 6 yrs has been taking over me like I don't have control anymore. </t>
        </is>
      </c>
      <c r="D4973" t="n">
        <v>7</v>
      </c>
      <c r="E4973" t="n">
        <v>12</v>
      </c>
      <c r="F4973">
        <f>HYPERLINK("https://www.reddit.com/r/diabetes/comments/8vxoil/21_and_struggling/")</f>
        <v/>
      </c>
      <c r="G4973" t="inlineStr">
        <is>
          <t>2018-07-03 18:28:26</t>
        </is>
      </c>
      <c r="H4973" t="inlineStr">
        <is>
          <t>Type 2</t>
        </is>
      </c>
    </row>
    <row r="4974">
      <c r="A4974" t="inlineStr">
        <is>
          <t>8vy6xh</t>
        </is>
      </c>
      <c r="B4974" t="inlineStr">
        <is>
          <t>Are we screwed if Dexcom G6 comes off early?</t>
        </is>
      </c>
      <c r="C4974" t="inlineStr">
        <is>
          <t xml:space="preserve">I just switched from g5 to g6. When I had the g5, I didn’t really worry about it if a sensor got caught on something and came of after a few days because it always kind of balanced out with the sensors that stayed on past 7 days. With the g6, if a sensor comes off after two days (like it just did with my first one) am I just screwed when I end up short at the end? I want to put in a new one, but I’m worried about ending up short towards the end of three months. Ughhhh this never gets easier. </t>
        </is>
      </c>
      <c r="D4974" t="n">
        <v>7</v>
      </c>
      <c r="E4974" t="n">
        <v>12</v>
      </c>
      <c r="F4974">
        <f>HYPERLINK("https://www.reddit.com/r/diabetes/comments/8vy6xh/are_we_screwed_if_dexcom_g6_comes_off_early/")</f>
        <v/>
      </c>
      <c r="G4974" t="inlineStr">
        <is>
          <t>2018-07-03 19:50:21</t>
        </is>
      </c>
      <c r="H4974" t="inlineStr">
        <is>
          <t>Type 1</t>
        </is>
      </c>
    </row>
    <row r="4975">
      <c r="A4975" t="inlineStr">
        <is>
          <t>8w0txc</t>
        </is>
      </c>
      <c r="B4975" t="inlineStr">
        <is>
          <t>Librelink Android Compatibility Update</t>
        </is>
      </c>
      <c r="C4975" t="inlineStr">
        <is>
          <t>Hey everyone, I cycle through phones quite a bit and thought it would be helpful for public posterity to have an update on phone compatibility. Abbott has a semi up-to-date compatibility list as of the beginning of 2018, but to my knowledge it hasn't been updated accurately and it's certainly not caught up with all the latest and greatest Android devices. Unfortunately, their customer service is well-meaning, but they have no idea what I'm talking about when I ask about software and OS compatibility.
FWIW, I'm an American living in Sweden, so I have access to US and EU app stores.
Devices I've Personally Tested:
* Samsung Galaxy Note 8 (8.0 Oreo, EU/Exynos version) - **Works perfectly**
* HTC U11 (8.0 Oreo, EU Version) - **Works perfectly**
* Huawei Mate 10 Pro (8.0 Oreo, EU Dual-sim version) - **Works perfectly**
* Google Pixel 2 (8.1 Oreo, US Version) - ***Does not work reliably, 1/10 scans work***
Please add to this thread with any other device details you may have. Hopefully this will help other Librelink/Freestyle users avoid purchasing phones that aren't yet compatible with the sensors.
In particular, I'm curious if anyone running Android Oreo 8.1 is able to use Librelink. If you have a Oneplus 6, Samsung Galaxy s9 or s9+ for example, please share your experience. I'd ask that you include the Make, model, Android OS version, and country where you live as some manufacturers like Samsung use different hardware in different countries.
Thanks!</t>
        </is>
      </c>
      <c r="D4975" t="n">
        <v>8</v>
      </c>
      <c r="E4975" t="n">
        <v>10</v>
      </c>
      <c r="F4975">
        <f>HYPERLINK("https://www.reddit.com/r/diabetes/comments/8w0txc/librelink_android_compatibility_update/")</f>
        <v/>
      </c>
      <c r="G4975" t="inlineStr">
        <is>
          <t>2018-07-04 04:07:54</t>
        </is>
      </c>
      <c r="H4975" t="inlineStr">
        <is>
          <t>Type 1</t>
        </is>
      </c>
    </row>
    <row r="4976">
      <c r="A4976" t="inlineStr">
        <is>
          <t>8w38e2</t>
        </is>
      </c>
      <c r="B4976" t="inlineStr">
        <is>
          <t>New Dexcom g5 User</t>
        </is>
      </c>
      <c r="C4976" t="inlineStr">
        <is>
          <t>I don't have a smart phone compatable with the Dexcom g5 software.  Using the receiver sent by dexcom.  I have been on the phone with Dexcom trying to get the transmitter and receiver to pair.  I have gone through 5 sensors and two transmitters thinking that the issue was the hardware.  The physician's office showed me how to use the equipment, but did not make sure that the transmitter and receiver were paired.  I have been on the phone with dexcom and have had them walk me through the procedure several time.   Other than throwing the device in the garbage, has anyone had any trouble with setting this up for the first time and what did you do?</t>
        </is>
      </c>
      <c r="D4976" t="n">
        <v>6</v>
      </c>
      <c r="E4976" t="n">
        <v>6</v>
      </c>
      <c r="F4976">
        <f>HYPERLINK("https://www.reddit.com/r/diabetes/comments/8w38e2/new_dexcom_g5_user/")</f>
        <v/>
      </c>
      <c r="G4976" t="inlineStr">
        <is>
          <t>2018-07-04 10:06:47</t>
        </is>
      </c>
      <c r="H4976" t="inlineStr">
        <is>
          <t>Type 1</t>
        </is>
      </c>
    </row>
    <row r="4977">
      <c r="A4977" t="inlineStr">
        <is>
          <t>8w3f77</t>
        </is>
      </c>
      <c r="B4977" t="inlineStr">
        <is>
          <t>When you were diagnosed, did you receive the information and support you needed to succeed?</t>
        </is>
      </c>
      <c r="C4977" t="inlineStr">
        <is>
          <t xml:space="preserve">Hey guys, 
I'm writing an article about diabetes education and technology, particularly for type 1s. I'm wondering what other people's experiences of diagnosis are, particularly as it pertains to your access to information. I live in Ontario, so I have always had access to an endo, a diabetes educator, and a dietician specializing in diabetes (though admittedly I have not always taken advantage of this access). I was a teenager when I was diagnosed, so I was covered by my parents' work insurance plans for all supplies (thank goodness for union jobs). Additionally, my mother is a type 1 diabetic as well, so I was familiar with the condition before I was diagnosed. Overall, I think my experience, while overwhelming and scary, was probably more manageable than most.
I'm wondering what it was like for people with less familiarity and perhaps less access to official channels of info. Who taught you about things like insulin–carb ratios, for example? How frequently did you see your healthcare providers after diagnosis? Was diabetes an unexpected financial expense for you to navigate? What were your A1Cs like? Were you ever hospitalized? Do you feel more knowledgeable now than you did then, and if so, how did you gain that knowledge? Really any information you could give me would be helpful. 
If you could include which state/province you live in, that would also help me out. Thanks! </t>
        </is>
      </c>
      <c r="D4977" t="n">
        <v>4</v>
      </c>
      <c r="E4977" t="n">
        <v>15</v>
      </c>
      <c r="F4977">
        <f>HYPERLINK("https://www.reddit.com/r/diabetes/comments/8w3f77/when_you_were_diagnosed_did_you_receive_the/")</f>
        <v/>
      </c>
      <c r="G4977" t="inlineStr">
        <is>
          <t>2018-07-04 10:31:19</t>
        </is>
      </c>
      <c r="H4977" t="inlineStr">
        <is>
          <t>Type 1</t>
        </is>
      </c>
    </row>
    <row r="4978">
      <c r="A4978" t="inlineStr">
        <is>
          <t>8w45b0</t>
        </is>
      </c>
      <c r="B4978" t="inlineStr">
        <is>
          <t>New FreeStyle Libre user. Overjoyed, yet confused. Please help!</t>
        </is>
      </c>
      <c r="C4978" t="inlineStr">
        <is>
          <t xml:space="preserve">Big-time lurker here. This sub has been so much help to me - thank you for your excellent advice!  Long story short:  I 'm a T2, 56 years old, and I successfully managed the Beetus with an ultra-low-carb diet for four years after diagnosis.  But as this is a progressive disease, I'm now having to use both NovoRapid and Levimir to control rampant sugar.  I punched my new first FreeStyle Libre sensor into my arm 10 days ago and it works well, but the readings I'm getting are 1.5 to 2 points higher than my finger-prick tests on my AccuCheck meter.  Is this normal? </t>
        </is>
      </c>
      <c r="D4978" t="n">
        <v>7</v>
      </c>
      <c r="E4978" t="n">
        <v>7</v>
      </c>
      <c r="F4978">
        <f>HYPERLINK("https://www.reddit.com/r/diabetes/comments/8w45b0/new_freestyle_libre_user_overjoyed_yet_confused/")</f>
        <v/>
      </c>
      <c r="G4978" t="inlineStr">
        <is>
          <t>2018-07-04 12:07:59</t>
        </is>
      </c>
      <c r="H4978" t="inlineStr">
        <is>
          <t>Type 2</t>
        </is>
      </c>
    </row>
    <row r="4979">
      <c r="A4979" t="inlineStr">
        <is>
          <t>8w8uqa</t>
        </is>
      </c>
      <c r="B4979" t="inlineStr">
        <is>
          <t>Tips for Miaomaio</t>
        </is>
      </c>
      <c r="C4979" t="inlineStr">
        <is>
          <t>I've been using the Libre for two years now, and after reading [this](https://www.reddit.com/r/diabetes/comments/8vx4n2/favorite_bluetooth_relay_for_libre/), I'm convinced that I should get a miaomiao transmitter for it. I'm looking for some tips&amp;amp;tricks from experienced miaomiao users. How do you attach it? Are the stickers that come with it good enough, or do you use extra tape or some arm band? If so, which one? In some video, I heard a user mention using wig glue to attach it to your arm, do people have experience with that? 
And do I understand correctly that I can still scan with the dedicated reader and a phone with librelink, while also using the maiomaio?
Finally, if you have any other miaomiao tips, please share! Thanks!</t>
        </is>
      </c>
      <c r="D4979" t="n">
        <v>9</v>
      </c>
      <c r="E4979" t="n">
        <v>1</v>
      </c>
      <c r="F4979">
        <f>HYPERLINK("https://www.reddit.com/r/diabetes/comments/8w8uqa/tips_for_miaomaio/")</f>
        <v/>
      </c>
      <c r="G4979" t="inlineStr">
        <is>
          <t>2018-07-05 01:29:24</t>
        </is>
      </c>
      <c r="H4979" t="inlineStr">
        <is>
          <t>Type 1</t>
        </is>
      </c>
    </row>
    <row r="4980">
      <c r="A4980" t="inlineStr">
        <is>
          <t>8we0ox</t>
        </is>
      </c>
      <c r="B4980" t="inlineStr">
        <is>
          <t>This App is Tackling Type 2 Diabetes in Finland One Healthy Habit at a Time</t>
        </is>
      </c>
      <c r="C4980" t="inlineStr">
        <is>
          <t>https://i.redd.it/iy7eakx2r6811.jpg
Read more: [https://medium.com/lifeomic/the-app-that-is-tackling-type-2-diabetes-in-finland-one-healthy-habit-at-a-time-935027df33dd](https://medium.com/lifeomic/the-app-that-is-tackling-type-2-diabetes-in-finland-one-healthy-habit-at-a-time-935027df33dd)</t>
        </is>
      </c>
      <c r="D4980" t="n">
        <v>0</v>
      </c>
      <c r="E4980" t="n">
        <v>1</v>
      </c>
      <c r="F4980">
        <f>HYPERLINK("https://www.reddit.com/r/diabetes/comments/8we0ox/this_app_is_tackling_type_2_diabetes_in_finland/")</f>
        <v/>
      </c>
      <c r="G4980" t="inlineStr">
        <is>
          <t>2018-07-05 13:52:49</t>
        </is>
      </c>
      <c r="H4980" t="inlineStr">
        <is>
          <t>Type 2</t>
        </is>
      </c>
    </row>
    <row r="4981">
      <c r="A4981" t="inlineStr">
        <is>
          <t>8we4dl</t>
        </is>
      </c>
      <c r="B4981" t="inlineStr">
        <is>
          <t>Omnipod vs tslim x2</t>
        </is>
      </c>
      <c r="C4981" t="inlineStr">
        <is>
          <t xml:space="preserve">So after nearly 11 years of injections, I've finally started to gravitate towards getting a pump. While I'm not quite ready to take the leap yet, I've narrowed my pump choices down to the Omnipod and tslim, but I'm having trouble deciding which one would be best for me. Here's what I've concluded based on my research:
Omnipod Pros:
* Tubeless
* Waterproof
* Receiver doubles as a glucose monitor
* Don't have to worry about dressing accordingly
Omnipod Cons:
* Only holds 200 units (my endo said it would probably last two days *at the most* for me, most of the time)
* That annoying screaming noise
* Have to carry around a receiver
tslim Pros:
* Connects to Dexcom
* A lot more "hands-off" than the Omnipod
* Holds 300 units
* Fun cases
tslim Cons:
* Tubing
* Not waterproof
* Have to worry about finding some place to put it in my clothing
One of the main reasons why I've leaned towards the Omnipod ever since it was released is the fact that it's tubeless and waterproof. I like not having to worry about something suddenly ripping out of my body due to being caught on something. However, the tslim is also tempting due to it being compatible with the Dexcom and being able to function more like a bionic pancreas (without the glucose). The main reason why I've been hesitant to switch from injections is because I like being able to have manual control over my insulin delivery, and can make sure it's being delivered properly.
Those of you who have experience, what are the pros and cons of either pump? </t>
        </is>
      </c>
      <c r="D4981" t="n">
        <v>2</v>
      </c>
      <c r="E4981" t="n">
        <v>14</v>
      </c>
      <c r="F4981">
        <f>HYPERLINK("https://www.reddit.com/r/diabetes/comments/8we4dl/omnipod_vs_tslim_x2/")</f>
        <v/>
      </c>
      <c r="G4981" t="inlineStr">
        <is>
          <t>2018-07-05 14:05:10</t>
        </is>
      </c>
      <c r="H4981" t="inlineStr">
        <is>
          <t>Type 1</t>
        </is>
      </c>
    </row>
    <row r="4982">
      <c r="A4982" t="inlineStr">
        <is>
          <t>8weita</t>
        </is>
      </c>
      <c r="B4982" t="inlineStr">
        <is>
          <t>libre freestyle very inaccurate for anyone else?</t>
        </is>
      </c>
      <c r="C4982" t="inlineStr">
        <is>
          <t>I find that the results on the freestyle are very different from the results i get from my one touch Verio Flex. Is this common for anyone else?</t>
        </is>
      </c>
      <c r="D4982" t="n">
        <v>1</v>
      </c>
      <c r="E4982" t="n">
        <v>13</v>
      </c>
      <c r="F4982">
        <f>HYPERLINK("https://www.reddit.com/r/diabetes/comments/8weita/libre_freestyle_very_inaccurate_for_anyone_else/")</f>
        <v/>
      </c>
      <c r="G4982" t="inlineStr">
        <is>
          <t>2018-07-05 14:56:10</t>
        </is>
      </c>
      <c r="H4982" t="inlineStr">
        <is>
          <t>Type 1</t>
        </is>
      </c>
    </row>
    <row r="4983">
      <c r="A4983" t="inlineStr">
        <is>
          <t>8wfdkt</t>
        </is>
      </c>
      <c r="B4983" t="inlineStr">
        <is>
          <t>New to pump and forgot to ask a few questions...</t>
        </is>
      </c>
      <c r="C4983" t="inlineStr">
        <is>
          <t>Hi guys! I started my T:Slim X2 on Tuesday (my very first pump) and so far I'm loving it! I have a few questions though.
1. I know you're supposed to change the infusion site every three days, but does that include the day I start it? For instance I started on Tuesday, so would I need to change it today (Thursday) or tomorrow?
2. If my cartridge runs out of insulin before my site changes, do I need to use a new cartridge or do I just put more insulin in the current one?
3. I currently have a pretty low TDD (around 20-25) and I have heard of people drawing out leftover insulin from the cartridge and reusing it. Anyone tried this successfully?
Any other tips and tricks would be much appreciated!</t>
        </is>
      </c>
      <c r="D4983" t="n">
        <v>6</v>
      </c>
      <c r="E4983" t="n">
        <v>10</v>
      </c>
      <c r="F4983">
        <f>HYPERLINK("https://www.reddit.com/r/diabetes/comments/8wfdkt/new_to_pump_and_forgot_to_ask_a_few_questions/")</f>
        <v/>
      </c>
      <c r="G4983" t="inlineStr">
        <is>
          <t>2018-07-05 16:53:29</t>
        </is>
      </c>
      <c r="H4983" t="inlineStr">
        <is>
          <t>Type 1</t>
        </is>
      </c>
    </row>
    <row r="4984">
      <c r="A4984" t="inlineStr">
        <is>
          <t>8wfk6m</t>
        </is>
      </c>
      <c r="B4984" t="inlineStr">
        <is>
          <t>Dexcom G5 lost signal</t>
        </is>
      </c>
      <c r="C4984" t="inlineStr">
        <is>
          <t xml:space="preserve">Hey reddit I have a sick child here with diabetes type 1 she’s had a stomach bug the past few days and her ketones levels are up and down along with blood glucose levels. Iv been in contact constantly with the diabetic nurse and also constantly monitoring her to make matters more stressful her transmitter needed to be changed yesterday and I wasn’t able to calibrate the Dexcom because of lost signal. I’m testing ketones every 4 hours and BGL every 2 hours but due to her being sick I really need this Dexcom to work as well please help. </t>
        </is>
      </c>
      <c r="D4984" t="n">
        <v>2</v>
      </c>
      <c r="E4984" t="n">
        <v>9</v>
      </c>
      <c r="F4984">
        <f>HYPERLINK("https://www.reddit.com/r/diabetes/comments/8wfk6m/dexcom_g5_lost_signal/")</f>
        <v/>
      </c>
      <c r="G4984" t="inlineStr">
        <is>
          <t>2018-07-05 17:19:29</t>
        </is>
      </c>
      <c r="H4984" t="inlineStr">
        <is>
          <t>Type 1</t>
        </is>
      </c>
    </row>
    <row r="4985">
      <c r="A4985" t="inlineStr">
        <is>
          <t>8whvlt</t>
        </is>
      </c>
      <c r="B4985" t="inlineStr">
        <is>
          <t>Reading of 344... Advice needed.</t>
        </is>
      </c>
      <c r="C4985" t="inlineStr">
        <is>
          <t>I had a low of 40 around around 9pm. I drank some strawberry milk, but I guess it was too much. My Dexcom alerted me to high sugar (160) around 11pm, so I took a couple units of correction and fell asleep. I woke up just now at 2am at 344! Confirmed it with a fingerstick. 
1) Am I okay? I took nine units of correction and am waiting for it to go down.
2) Why didn't Dexcom alert me again? Does it just alert once at your high setting and then that's it??
Thanks.</t>
        </is>
      </c>
      <c r="D4985" t="n">
        <v>4</v>
      </c>
      <c r="E4985" t="n">
        <v>6</v>
      </c>
      <c r="F4985">
        <f>HYPERLINK("https://www.reddit.com/r/diabetes/comments/8whvlt/reading_of_344_advice_needed/")</f>
        <v/>
      </c>
      <c r="G4985" t="inlineStr">
        <is>
          <t>2018-07-05 23:36:22</t>
        </is>
      </c>
      <c r="H4985" t="inlineStr">
        <is>
          <t>Type 1</t>
        </is>
      </c>
    </row>
    <row r="4986">
      <c r="A4986" t="inlineStr">
        <is>
          <t>8wmbwd</t>
        </is>
      </c>
      <c r="B4986" t="inlineStr">
        <is>
          <t>Celiac or Something more serious.</t>
        </is>
      </c>
      <c r="C4986" t="inlineStr">
        <is>
          <t>Hey guys, I was diagnosed 6ish months ago with type 1 and since then everything has been going well. However recently I have been having some weird sensations in one of my feet and slightly in the other. I have been keeping my A1C under control with my first one 3 months after diagnoses in April being a 6.9 and my dexcom clarity app says my average glucose for the last 3 months since then is around 140 at the moment. I have had some of the symptoms of celiac, abdominal pain, bloating, (to be PG) stool discomfort, high fiber food not digesting fully (do not ask how I know) and sometimes I get sore muscles and joints. However I have some symptoms that do not match, gaining some weight and not especially tired. I have a quarterly endo and yearly physical appointment in late July that I am going to ask to be tested but until then does anybody know if this foot sensations are being caused by Diabetes, or is it more likely something else like Celiac or Pancreas issue.</t>
        </is>
      </c>
      <c r="D4986" t="n">
        <v>3</v>
      </c>
      <c r="E4986" t="n">
        <v>2</v>
      </c>
      <c r="F4986">
        <f>HYPERLINK("https://www.reddit.com/r/diabetes/comments/8wmbwd/celiac_or_something_more_serious/")</f>
        <v/>
      </c>
      <c r="G4986" t="inlineStr">
        <is>
          <t>2018-07-06 11:10:04</t>
        </is>
      </c>
      <c r="H4986" t="inlineStr">
        <is>
          <t>Type 1</t>
        </is>
      </c>
    </row>
    <row r="4987">
      <c r="A4987" t="inlineStr">
        <is>
          <t>8wn980</t>
        </is>
      </c>
      <c r="B4987" t="inlineStr">
        <is>
          <t>Hello everyone, Type 1 diabetic here looking for some tips on getting my act together.</t>
        </is>
      </c>
      <c r="C4987" t="inlineStr">
        <is>
          <t>As the title says, I’m a type one diabetic. I was diagnosed almost 10 years ago and I’m now 18. In all the time I’ve had diabetes, I’ve had very poor control over it (My lowest A1C that I’ve ever had was 8.8, that was 3 years ago, my latest A1C was at a 10.0) but lately I’ve been working to try to improve my habits and hopefully change that.
My main problem comes from simply *forgetting things*. When I eat, 80% of the time or so I’ll forget to either carb count the food, test my blood sugar, or take my insulin, which is probably shocking to hear included with the fact that I’ve been doing this for ten years. I want to get my act together because I’m tired of feeling like shit all the time presumably because of my poor diabetes control.
What kind of positive habits or habit-promoting steps have you successfully-managing diabetics out there put in place to help gain the greatest amount of control of your diabetes?
(Also not quite related to the above post, but for anybody that uses Discord, would anybody be willing to help start up a Discord server for the sub?)</t>
        </is>
      </c>
      <c r="D4987" t="n">
        <v>35</v>
      </c>
      <c r="E4987" t="n">
        <v>32</v>
      </c>
      <c r="F4987">
        <f>HYPERLINK("https://www.reddit.com/r/diabetes/comments/8wn980/hello_everyone_type_1_diabetic_here_looking_for/")</f>
        <v/>
      </c>
      <c r="G4987" t="inlineStr">
        <is>
          <t>2018-07-06 13:07:28</t>
        </is>
      </c>
      <c r="H4987" t="inlineStr">
        <is>
          <t>Type 1</t>
        </is>
      </c>
    </row>
    <row r="4988">
      <c r="A4988" t="inlineStr">
        <is>
          <t>8wpg6j</t>
        </is>
      </c>
      <c r="B4988" t="inlineStr">
        <is>
          <t>Pain During OmniPod Bolus</t>
        </is>
      </c>
      <c r="C4988" t="inlineStr">
        <is>
          <t xml:space="preserve">Hey all! 
Just started the OmniPod yesterday and have been noticing something that I am not sure if it is normal or not. 
During my meal boluses I notice the site becomes painful. The pain is somewhat of a dull pain. Almost like a bruise. The pain is more noticeable when light pressure is applied to the pod (not sure why I have the habit of doing that. I do the same with my Dexcom) Seconds after the bolus ends the pain is completely  gone. 
Does anyone else have this problem? I should note, my bolus delivery is on the max setting. Do you guys think it would be worth while turning that down to see if that helps? I wanted that to be the last resort because even on max setting, it takes forever to get through a large bolus. 
Thanks ahead of time everyone! </t>
        </is>
      </c>
      <c r="D4988" t="n">
        <v>2</v>
      </c>
      <c r="E4988" t="n">
        <v>5</v>
      </c>
      <c r="F4988">
        <f>HYPERLINK("https://www.reddit.com/r/diabetes/comments/8wpg6j/pain_during_omnipod_bolus/")</f>
        <v/>
      </c>
      <c r="G4988" t="inlineStr">
        <is>
          <t>2018-07-06 18:17:15</t>
        </is>
      </c>
      <c r="H4988" t="inlineStr">
        <is>
          <t>Type 1</t>
        </is>
      </c>
    </row>
    <row r="4989">
      <c r="A4989" t="inlineStr">
        <is>
          <t>8wpi38</t>
        </is>
      </c>
      <c r="B4989" t="inlineStr">
        <is>
          <t>Help!</t>
        </is>
      </c>
      <c r="C4989" t="inlineStr">
        <is>
          <t>My blood sugar levels are fine, but I have been doing my ketones pee strip things all day and they are in the moderate to large section. I do not know what to do I have tried everything. Not eating, drinking water, etc. Am I going into dka? Do I have to go into hospital? I really don't want to since my birthday is on the 8th...</t>
        </is>
      </c>
      <c r="D4989" t="n">
        <v>2</v>
      </c>
      <c r="E4989" t="n">
        <v>6</v>
      </c>
      <c r="F4989">
        <f>HYPERLINK("https://www.reddit.com/r/diabetes/comments/8wpi38/help/")</f>
        <v/>
      </c>
      <c r="G4989" t="inlineStr">
        <is>
          <t>2018-07-06 18:25:45</t>
        </is>
      </c>
      <c r="H4989" t="inlineStr">
        <is>
          <t>Type 1</t>
        </is>
      </c>
    </row>
    <row r="4990">
      <c r="A4990" t="inlineStr">
        <is>
          <t>8wt4e9</t>
        </is>
      </c>
      <c r="B4990" t="inlineStr">
        <is>
          <t>Am in Florida for vacation</t>
        </is>
      </c>
      <c r="C4990" t="inlineStr">
        <is>
          <t>Hello guys!
I am with my family on vacation in Florida. I have brought with me everything I need, my omnipod, CGM, Accu-Check etc. That’s the easy part for me. The thing that worries me is that i’m the only t1 in my family, so they like to go to the shops and etc after eating. That’s kinda hard for me as I have just bolused and walking and the heat difference from Norway messes up my BS and it goes low, so I’m eating fast acting carbs while walking lol.
How can I stop this? Could I take less bolus when eating or should I take -40% on my pump 30 min before walking after eating? I really don’t want to be sitting alone in my hotel room while my family goes out lol, but also I do not want to fight lows all day</t>
        </is>
      </c>
      <c r="D4990" t="n">
        <v>4</v>
      </c>
      <c r="E4990" t="n">
        <v>13</v>
      </c>
      <c r="F4990">
        <f>HYPERLINK("https://www.reddit.com/r/diabetes/comments/8wt4e9/am_in_florida_for_vacation/")</f>
        <v/>
      </c>
      <c r="G4990" t="inlineStr">
        <is>
          <t>2018-07-07 06:21:49</t>
        </is>
      </c>
      <c r="H4990" t="inlineStr">
        <is>
          <t>Type 1</t>
        </is>
      </c>
    </row>
    <row r="4991">
      <c r="A4991" t="inlineStr">
        <is>
          <t>8wu5t1</t>
        </is>
      </c>
      <c r="B4991" t="inlineStr">
        <is>
          <t>I need help.</t>
        </is>
      </c>
      <c r="C4991" t="inlineStr">
        <is>
          <t xml:space="preserve">Little bit of backstory, Back in april I landed myself in A&amp;amp;E with blood sugars that were acting very erratically. For the 3 years that i've been diabetic I have never had any issues and always had a well managed control on my blood sugars which meant I never ran into any issues. However what lead up to my A&amp;amp;E visit was bloody sugars that were constantly dropping very fast with seemingly nothing bringing them back to normal levels. I once went from 8 to 4 in the space of 5 minutes, this lead to me on the floor for 40 minutes eating sugar to keep my blood above 2 mmol/dl.
This lead to my Consultants thinking my Pump was faulty, so I new pump came and everything has been working well with the pump, however I've been left with severe and I mean SEVERE anxiety about bolusing. In the 2 months since then My a1c has rose to 8.6&amp;amp;#37;, thats not all bad however the other side effect of this is, I don't want to eat. I don't want to eat because I'm scared of taking large bolus' incase the same event happens again. Because of not eating enough carbs, My ketones went through the roof, that and the whole not eating side of things has caused me to lose about 2 stone in weight. 
I know this is an issue, I know its a problem with my head and likely everything will be okay if I take a bigger bolus, but my head keeps intervening to the point were I actually can't live a normal life at the moment because I've became obsessive over checking my blood and making sure it doesn't drop. 
I need help, but everything I try leads to me having nearly severe panic attacks or anxiety attacks to point were I breakdown. 
Can anybody help? </t>
        </is>
      </c>
      <c r="D4991" t="n">
        <v>3</v>
      </c>
      <c r="E4991" t="n">
        <v>11</v>
      </c>
      <c r="F4991">
        <f>HYPERLINK("https://www.reddit.com/r/diabetes/comments/8wu5t1/i_need_help/")</f>
        <v/>
      </c>
      <c r="G4991" t="inlineStr">
        <is>
          <t>2018-07-07 09:01:55</t>
        </is>
      </c>
      <c r="H4991" t="inlineStr">
        <is>
          <t>Type 1</t>
        </is>
      </c>
    </row>
    <row r="4992">
      <c r="A4992" t="inlineStr">
        <is>
          <t>8wv73f</t>
        </is>
      </c>
      <c r="B4992" t="inlineStr">
        <is>
          <t>How do you guys/gals keep track of your injection sites?</t>
        </is>
      </c>
      <c r="C4992" t="inlineStr">
        <is>
          <t>Hey everyone, just have a quick question about injection sites - I'm a tall skinny dude and I'm kinda worried about getting hard skin or whatever it's called when you inject too much in a similar area, how do you avoid this and what method do you use to keep track of where you've previously injected? Or should I just not really worry about this? Thanks in advance.</t>
        </is>
      </c>
      <c r="D4992" t="n">
        <v>1</v>
      </c>
      <c r="E4992" t="n">
        <v>7</v>
      </c>
      <c r="F4992">
        <f>HYPERLINK("https://www.reddit.com/r/diabetes/comments/8wv73f/how_do_you_guysgals_keep_track_of_your_injection/")</f>
        <v/>
      </c>
      <c r="G4992" t="inlineStr">
        <is>
          <t>2018-07-07 11:22:09</t>
        </is>
      </c>
      <c r="H4992" t="inlineStr">
        <is>
          <t>Type 1</t>
        </is>
      </c>
    </row>
    <row r="4993">
      <c r="A4993" t="inlineStr">
        <is>
          <t>8x06nv</t>
        </is>
      </c>
      <c r="B4993" t="inlineStr">
        <is>
          <t>Lack of Energy</t>
        </is>
      </c>
      <c r="C4993" t="inlineStr">
        <is>
          <t xml:space="preserve">I’ve been type 1 Diabetic for 9 years now, currently 19. It used to be controlled reasonably well until a couple years ago. I sorta gave up with it and tried to forget about it which doesn’t help me. I currently don’t test my blood sugar and haven’t in months, I’ve been missing injections daily and sometimes not injecting at all, I’m suppose to be on Nova Rapid and Tresiba. I’m always struggling for energy and literally have none every day, I find it hard to do the simplest of tasks without my arms/legs aching when completing them. I always get 8 hours of sleep on average so I don’t think that’s the problem. Symptoms I’m having - No energy, tired, thirsty, flushed/hot, aching legs/arms. I haven’t tested for Ketones in a while either.. to be honest I haven’t been eating to well either recently, with skipping injections and never testing I don’t really know what to do. I’ve been in DKA twice but not the last couple of years ( not that I know of ) . Not sure if it’s worth going to get looked at? Just some advice would be helpful, thank you. </t>
        </is>
      </c>
      <c r="D4993" t="n">
        <v>3</v>
      </c>
      <c r="E4993" t="n">
        <v>9</v>
      </c>
      <c r="F4993">
        <f>HYPERLINK("https://www.reddit.com/r/diabetes/comments/8x06nv/lack_of_energy/")</f>
        <v/>
      </c>
      <c r="G4993" t="inlineStr">
        <is>
          <t>2018-07-08 01:41:54</t>
        </is>
      </c>
      <c r="H4993" t="inlineStr">
        <is>
          <t>Type 1</t>
        </is>
      </c>
    </row>
    <row r="4994">
      <c r="A4994" t="inlineStr">
        <is>
          <t>8x07hs</t>
        </is>
      </c>
      <c r="B4994" t="inlineStr">
        <is>
          <t>Need suggestions for how to live with this.</t>
        </is>
      </c>
      <c r="C4994" t="inlineStr">
        <is>
          <t>Got diagnosed in February, at 34 years old. To call it a shock would be the mother of all understatements. At that immediate moment, it felt like my life ended. I was overwhelmed by it all. And man, the hospital environment is intimidating. It made me feel like some sort of hopeles end-stage-something patient. It doesn't help that they stab you all the time to get blood samples, insert more infusions etc. And the wording in the patient letter sounds a lot like doom and gloom. Docs weren't worried though, they told me I'm otherwise fine. A little microalbuminuria was found, but they explained to me that this often happens when T1Ds are dx'ed and have DKA. Sure enough, 3 months later the microalbuminuria was totally gone, levels waaaaay below the threshold, barely detectable at all.
But here's the thing. Daily life with T1D can be tough man. I'm in the honeymoon phase still. Basal 8 units daily Lantus, and 1 unit per 13g carbs. Having to worry about carbs in food makes everything more difficult. Also, the differences between my Libre and the BG meter made me unsure of what to base my regimen on. I mean, the BG measurements are the basis for your meals, your bolus, your basal adjustments etc. and if this basis is shaky, then what *can* you do.
So here's what I cobbled together from browsing this sub and r/diabetes_t1 :
* I generally trust the Libre values, but regularly check with my BG meter to verify that the sensor isn't busted. On top of that, if I see significantly high or low values, I check with the BG meter (as recommended by the Libre manual). Now, my current sensor readings are typically about 8-10 mg/dL lower  than the BG meter's. I still aim for 100 mg/dL based on Libre readings. So I might actually be at 108 or 110 mg/dL. The thing is, 10 mg/dL is well within the margin of error for most meters, so I overall think this is okay to do. I do have a very accurate one (Contour Next), which I trust, and if the Libre values were lower than the BG meter's by, say, 30 mg/dL, I'd just adjust my Libre BG target to 80 mg/dL for example. But if the difference is about 10, I won't do anything. I described this further [in this post of mine](https://www.reddit.com/r/diabetes_t1/comments/8we7mv/honeymooning_lurker_decided_to_post_got_some/). So this is my basis. The results I got in the LibreView PDFs were overall accurate, and the predicted HbA1c was off by just 0.1%, which tells me that in total, I can trust the official Libre algorithm, but verifying is always a good idea. What is your approach with your sensor vs your meter? I tried the xDrip calibration approach, [and had problems](https://www.reddit.com/r/diabetes_t1/comments/8wzvti/problem_with_xdrip_and_calibrations/).
* I aim for keeping the BG below 160, ideally below 140, after meals. Pre-bolusing is sooo important man. I'm not one of these lucky ones for whom the rapid acting insulin kicks in near-instantly. I need my 15-20 minutes of pre-bolusing. But 100% of the time meeting these goals just ain't possible. There have been times where I messed up a bit and got a 180, or a 200. Stressed me a lot, partially because the scary images of complications from the schooling at the hospital are still fresh in my mind, partially because it feels a bit like defeat - I made the efforts, and I still got that. But I don't think there is such a thing as "defeat" in T1D, unless you give up and don't attempt to control it anymore. So I set goals to myself: aim for keeping stuff in range 80% of the time, allow myself to mess up a bit maybe 15% of the time, and 5% of the time tolerate very high peaks resulting from meals (especially unknown meals). The 5% exclude non-meal related spikes such as stress and infections - these just happen, you can't prevent them, you have to accept their presence and do your best to bring 'em down. I base this on the fact that occasional spikes won't mess up your body, regular spikes do. If I spot 1-2 high post-meal spikes per week, I'm okay with that, provided they don't drag on for hours. More than that, and I start to think what could be improved. Does this plan sound good?
* I still feel sort of "fragile". Like I'm a walking dead or something. Gotta check BG regularly, because I know that moving around lowers BG, some meals can raise BG hour later etc. I often catch myself checkin my Libre every 5-10 minutes or so. I'm not sure what to do about that. I feel as if I let go of that more, I worsen my BG control. But this ain't no way to live, you know. Living for that condition. I'm struggling with the balance. Hopefully I can get myself one of these closed loop pumps in the future so I don't have to worry about weird unexpected high BGs as much, or about impending hypos. How do you find this balance between BG control and having a life? I must find it, because I notice how much it stresses me to check the BG all the time. My goal is that I become able to eat something and not check my BG all the time afterwards (maybe every 15-20 minutes or so instead). It doesn't help that some low carb advocates kept telling me that I must follow the Bernstein method and that he predicts complications at A1Cs as low as 5.5%. That's crazy strict! I can't see how I can reach this without either stressing myself to death or following his immensely restrictive and monotonous diet (which also doesn't seem to be all that healthy to me). My last A1C was 5.4%, with few hypos, but a lot of stress.
So, in short: I'll allow myself some wiggle room regarding BG spikes. I will try to not get anxious when a BG of 190 happens occasionally. Won't be easy, but the alternative is constant stress. I'll also aim for an A1C below 6% if possible without tons of stress (otherwise 6.5%), stick to a moderate carb diet, so perhaps 100-150g daily, and generally trust the Libre and target 100 mg/dL. How does that sound? And did you have similar anxieties and difficulties to adjust in the beginning, particularly if you were dx'ed as an adult? If so, how long did it take you to "make peace" with your new reality?</t>
        </is>
      </c>
      <c r="D4994" t="n">
        <v>9</v>
      </c>
      <c r="E4994" t="n">
        <v>12</v>
      </c>
      <c r="F4994">
        <f>HYPERLINK("https://www.reddit.com/r/diabetes/comments/8x07hs/need_suggestions_for_how_to_live_with_this/")</f>
        <v/>
      </c>
      <c r="G4994" t="inlineStr">
        <is>
          <t>2018-07-08 01:48:16</t>
        </is>
      </c>
      <c r="H4994" t="inlineStr">
        <is>
          <t>Type 1</t>
        </is>
      </c>
    </row>
    <row r="4995">
      <c r="A4995" t="inlineStr">
        <is>
          <t>8x0fxb</t>
        </is>
      </c>
      <c r="B4995" t="inlineStr">
        <is>
          <t>Actrapid &amp;amp; Insulatard</t>
        </is>
      </c>
      <c r="C4995" t="inlineStr">
        <is>
          <t xml:space="preserve">Hello,
Those are the insulins I'm using. I became aware they are old and not prescribed anymore in the Western countries. I haven't seen them being mentioned in our community, or hardly anywhere I've read about diabetes. All of this makes me worry that I'm not getting the best possible care...
What are your thoughts on older human insulins? Do you have any experience with them?
I have one more question, which is more specific. Is it true that with human insulins you need bigger amount to cover the same quantity of carbs (compared to newest insulins)?
</t>
        </is>
      </c>
      <c r="D4995" t="n">
        <v>2</v>
      </c>
      <c r="E4995" t="n">
        <v>8</v>
      </c>
      <c r="F4995">
        <f>HYPERLINK("https://www.reddit.com/r/diabetes/comments/8x0fxb/actrapid_insulatard/")</f>
        <v/>
      </c>
      <c r="G4995" t="inlineStr">
        <is>
          <t>2018-07-08 02:48:57</t>
        </is>
      </c>
      <c r="H4995" t="inlineStr">
        <is>
          <t>Type 1</t>
        </is>
      </c>
    </row>
    <row r="4996">
      <c r="A4996" t="inlineStr">
        <is>
          <t>8x0mup</t>
        </is>
      </c>
      <c r="B4996" t="inlineStr">
        <is>
          <t>Im going to admit something embarrassing in the hopes it will help others.</t>
        </is>
      </c>
      <c r="C4996" t="inlineStr">
        <is>
          <t xml:space="preserve">I have been self paying for supplies (sensors and reservoirs) for a while. Luckily there was a local man I bought from.  Since he is no longer in my area, I bought some from someone online. The first mistake was paying moneygram.  I didn’t know better. It was a tremendous amount of money, to me anyways. 
Paypal goods and services has policies to help if you use them!
The second mistake was “loaning” my back up pump to the same person. Come to find out, my back up pump was of real value for a new program where you can hack the pump to make it like a pancreas. 
I know how stupid this was and I’ve been embarrassed about it. The one good thing is that it was for my personal use, just imagine if the supplies were for a child. 
Im having a hard time finding a job that has health insurance and pays more then $10.50 an hour. Im working to fix my situation as far as insurance goes. A company with excellent benefits has hired me part time with a possible full time position in the future and I work my other part time jobs as well. 
This situation has put me in a bad way. I test my blood sugar sometimes. Im using Walmart insulin sporadically. Oh boy Walmart Insulin has saved my azz again. 
So the moral of the story is, don’t use anything but Paypal when buying from someone online. 
I wish I could turn off comments because I know It’s going to be ugly in comments.. It’s true, it was stupidity on my part and I’m a dumbass. Don’t be like me! Now you know Paypal only! </t>
        </is>
      </c>
      <c r="D4996" t="n">
        <v>0</v>
      </c>
      <c r="E4996" t="n">
        <v>6</v>
      </c>
      <c r="F4996">
        <f>HYPERLINK("https://www.reddit.com/r/diabetes/comments/8x0mup/im_going_to_admit_something_embarrassing_in_the/")</f>
        <v/>
      </c>
      <c r="G4996" t="inlineStr">
        <is>
          <t>2018-07-08 03:37:21</t>
        </is>
      </c>
      <c r="H4996" t="inlineStr">
        <is>
          <t>Type 1</t>
        </is>
      </c>
    </row>
    <row r="4997">
      <c r="A4997" t="inlineStr">
        <is>
          <t>8xbgrk</t>
        </is>
      </c>
      <c r="B4997" t="inlineStr">
        <is>
          <t>There is a chance my parents might stop paying for my diabetic medication; need advice</t>
        </is>
      </c>
      <c r="C4997" t="inlineStr">
        <is>
          <t xml:space="preserve">Things have not been going well with my parents, and I may be moving in with my grandmother this week until I go to college next year. I am 18 years old and am finishing up my last semester of school. I was diagnosed with type 2 diabetes a few months ago and have been making good progress with metformin and insulin. My parents threatened to stop paying for all my medication if I move in with my grandmother, but I am pretty set on moving in with my grandmother this week.  
I figured if I follow a strictly keto diet with a glucose meter and some strips I can buy online or at a store, I will be able to maintain my blood sugar levels fine, and preserve my health. This is not an ideal medical situation, but I am doing my best. Any thoughts on what I can do? </t>
        </is>
      </c>
      <c r="D4997" t="n">
        <v>7</v>
      </c>
      <c r="E4997" t="n">
        <v>17</v>
      </c>
      <c r="F4997">
        <f>HYPERLINK("https://www.reddit.com/r/diabetes/comments/8xbgrk/there_is_a_chance_my_parents_might_stop_paying/")</f>
        <v/>
      </c>
      <c r="G4997" t="inlineStr">
        <is>
          <t>2018-07-09 06:13:13</t>
        </is>
      </c>
      <c r="H4997" t="inlineStr">
        <is>
          <t>Type 2</t>
        </is>
      </c>
    </row>
    <row r="4998">
      <c r="A4998" t="inlineStr">
        <is>
          <t>8xfkv9</t>
        </is>
      </c>
      <c r="B4998" t="inlineStr">
        <is>
          <t>Swelling directly after bolus?</t>
        </is>
      </c>
      <c r="C4998" t="inlineStr">
        <is>
          <t>Did this happen to you? I bolused once, and upon taking out the needle, I got some blood. This isn't unusual, it happened to me a few times. Not much blood, stops after a minute or so. But: the injection site started to swell up. It was clearly visible. This is new! My immediate thought was: is this lipohypertrophy? But it occurred way too fast for that, I thought lipohypertrophy takes a while to develop! Now what do I do. Is this normal? Nothing to worry about? Most importantly, can I expect the insulin to still kick in? If it does, and I don't eat -&amp;gt; hypo. If it doesn't, and I heat -&amp;gt; hyper. I should also mention that the swelling went away again, and I don't think i can feel any knots anymore, but I've never had this happen to me, so I am worried.</t>
        </is>
      </c>
      <c r="D4998" t="n">
        <v>5</v>
      </c>
      <c r="E4998" t="n">
        <v>10</v>
      </c>
      <c r="F4998">
        <f>HYPERLINK("https://www.reddit.com/r/diabetes/comments/8xfkv9/swelling_directly_after_bolus/")</f>
        <v/>
      </c>
      <c r="G4998" t="inlineStr">
        <is>
          <t>2018-07-09 13:03:51</t>
        </is>
      </c>
      <c r="H4998" t="inlineStr">
        <is>
          <t>Type 1</t>
        </is>
      </c>
    </row>
    <row r="4999">
      <c r="A4999" t="inlineStr">
        <is>
          <t>8xhcks</t>
        </is>
      </c>
      <c r="B4999" t="inlineStr">
        <is>
          <t>caution around Jardiance - and how Keto may have saved my life</t>
        </is>
      </c>
      <c r="C4999" t="inlineStr">
        <is>
          <t xml:space="preserve">June 27th I was formally diagnosed with diabetes. I'd looked at my lab results 3 weeks prior, saw the high sugar of 17 and knew life was changing. Jumped back onto Keto immediately and was down to 12 by the time I saw the doctor. He was totally support of Keto but also encouraged me to try Metaformin and Jardiance, a new drug recently introduced in Canada.   
I started the Met that day and the Jardiance friday (pharmacy had to order it in).  
Sugars were coming down nicely and I knew the Jardiance was really kicking it as I would drop a full point during the day. I was dropping pounds pretty quick too.   
I was pretty pleased with how this was going.  
Sunday I was starting to feel a little tired, but figured lots was happening and adjustments were happening. My ketones were climbing nicely - 2.3 on Friday to 4.8 on Sunday.   
Tuesday I had a bit of a backache but an Advil eased that. But the fatigue was getting pretty serious. So I picked up some Powerade Zero to replace electrolytes as it was hotter than blazes outside so I figured I was just low.  
Left work early on Wednesday, almost unable to walk, but again, super hot out, new drugs....suck it up Princess!  
Threw up when I got home, but felt significantly better, so then I'm thinking 'food poisoning'...went to bed at 8 pm as I couldn't even lay on the couch.  
Background - I live alone, 51 year old woman  
2:30 am I wake up, throw up again, don't feel better. My brain starts screaming 'GET TO THE HOSPITAL". I decide not to call an ambulance as that would disturb my neighbours....  
Drive to the hospital.   
Make the long story shorter...4 days in the ICU with acidosis. The onset symptoms are the same as heat exhaustion. Doctor said it was a perfect storm of weather etc.  
My blood PH was 6.9...Google provides autopsy reports when you Google that number.   
It turns out Jardiance can cause acidosis as a side effect.   
No one could believe I could drive with that PH level, we are affectionally refering to it as "coma driving" because I should have been in a coma.   
But talking to a friend who also Ketos today, and she suggested that it was Keto that protected my brain because I was Keto adapted. So while the rest of my body was being stripped of everything it needed to function, my brain was protected by the ketones, and continued to function. Otherwise I'd be a goner.  
So word of warning if you are prescribed this drug, watch for a drastic, sudden and dangerous side effect.   
It's a miracle drug, until its not.  
cross posting to r/keto </t>
        </is>
      </c>
      <c r="D4999" t="n">
        <v>2</v>
      </c>
      <c r="E4999" t="n">
        <v>8</v>
      </c>
      <c r="F4999">
        <f>HYPERLINK("https://www.reddit.com/r/diabetes/comments/8xhcks/caution_around_jardiance_and_how_keto_may_have/")</f>
        <v/>
      </c>
      <c r="G4999" t="inlineStr">
        <is>
          <t>2018-07-09 15:57:14</t>
        </is>
      </c>
      <c r="H4999" t="inlineStr">
        <is>
          <t>Type 2</t>
        </is>
      </c>
    </row>
    <row r="5000">
      <c r="A5000" t="inlineStr">
        <is>
          <t>8xi3qi</t>
        </is>
      </c>
      <c r="B5000" t="inlineStr">
        <is>
          <t>Advice with diabetic mother</t>
        </is>
      </c>
      <c r="C5000" t="inlineStr">
        <is>
          <t>Hey there, would really appreciate some opinions that could help me deal with my mothers diabetes and how to convince her when she is low that she needs something to eat/drink to bring her levels back up, or just some advice on how to stop a low before it happens.
My mother is a type 1 diabetic, lived with it since I was born and yet still seems to have lows constantly. My father said she was low 3 times the past 2 days and he needed to get her up in the middle of the night because of it. 
This happens regularly with her, even since I was a child trying to get her levels back up with the help of my older brother when my dad was away. We really had no idea what to do, never taught anything about it and it was always frightening. The only way we could get her levels up was forcing orange juice down her throat, it was either that or call 911, and she would not talk to us for a week if we did that. She actually once said when my sister had to force her to drink orange juice that it was the equivalent to raping her.
Only recently have I done some research and have worked with clients who are diabetic. The difference is that my clients rarely or never have diabetic lows. My mother has been on the pump, as well as needles. 
My mother is stubborn and does not listen to me, my brother, father or really anyone(we had 3 paramedics try to explain to her to go to the hospital after giving her a ton of liquid sugar via injection, she refused even though they tried for a solid 40 minutes to convince her., we do have those sugar needles in case of emergencies(glucagon?) but i have only used it once and it still did nothing. 
I would like to help my mother get this under control as this has not only impacted her health as well as her job, but has also impacted our family relationships.
so my questions are:
How do I talk to her when she is low/ convince her to listen? We have lived with her for so long we can tell even when she is slightly low.
Any advice on what you guys do to make sure your blood sugar is always at a good level as to prevent this from happening?
Any other injections I could give my mother during a low? or how to properly give injections to have an effect?
Anyone else dealing with someone in your life like my mother?</t>
        </is>
      </c>
      <c r="D5000" t="n">
        <v>1</v>
      </c>
      <c r="E5000" t="n">
        <v>8</v>
      </c>
      <c r="F5000">
        <f>HYPERLINK("https://www.reddit.com/r/diabetes/comments/8xi3qi/advice_with_diabetic_mother/")</f>
        <v/>
      </c>
      <c r="G5000" t="inlineStr">
        <is>
          <t>2018-07-09 17:03:58</t>
        </is>
      </c>
      <c r="H5000" t="inlineStr">
        <is>
          <t>Type 1</t>
        </is>
      </c>
    </row>
    <row r="5001">
      <c r="A5001" t="inlineStr">
        <is>
          <t>8xn2zy</t>
        </is>
      </c>
      <c r="B5001" t="inlineStr">
        <is>
          <t>Amanita muscaria and diabetes?</t>
        </is>
      </c>
      <c r="C5001" t="inlineStr">
        <is>
          <t>Hi Guys,
I would like to ask if any one of you had experience with Amanita muscaria? I have been taking psychedelic mushrooms and they haven't been affecting my blood sugar, but when I read about Amanita muscaria, I can see, that it contains different molecules (muscimol and  Ibotenic acid), while the regular psychedelic mushrooms contain psylocibin and psylocin.
Does any of you have experience with Hi Guys,
I would like to ask if any one of you had experience with Amanita muscaria? 
Thank you for your help!</t>
        </is>
      </c>
      <c r="D5001" t="n">
        <v>0</v>
      </c>
      <c r="E5001" t="n">
        <v>2</v>
      </c>
      <c r="F5001">
        <f>HYPERLINK("https://www.reddit.com/r/diabetes/comments/8xn2zy/amanita_muscaria_and_diabetes/")</f>
        <v/>
      </c>
      <c r="G5001" t="inlineStr">
        <is>
          <t>2018-07-10 01:45:05</t>
        </is>
      </c>
      <c r="H5001" t="inlineStr">
        <is>
          <t>Type 1</t>
        </is>
      </c>
    </row>
    <row r="5002">
      <c r="A5002" t="inlineStr">
        <is>
          <t>8xnri6</t>
        </is>
      </c>
      <c r="B5002" t="inlineStr">
        <is>
          <t>My first Hb1ac since dx, 8.7 % to 6.7% in 5 weeks, good or bad?</t>
        </is>
      </c>
      <c r="C5002" t="inlineStr">
        <is>
          <t>Hi
I just got my results back that I took before my second meeting with my diabetes nurse. My fasting sugar was 86 mg/dl (4,8 mmol/L) and my Hb1ac was 6,7% (50 mmol/mol), should i be satisfied with that progress? Will my nurse be satisfied? Since i met her three weeks ago ive been on mostly a low carb diet and My targets have been below 100 mg/dl FBG, below 108 mg/ml Premeal and 1 hour post meal 120 mg/DL ( on vaction/Fancy dinner i my target is 140 mg/dL) and then i wanna be back to below 108 2 hours post meal. 
Since i got my meter 3 weeks ago ive mostly met my targets, so i had hope my Hb1ac would be Lower. Is my targets good enough to reach the ”5 % club” or Do i need to be more strict?
For those interested i am on 850 mg metformin x 3</t>
        </is>
      </c>
      <c r="D5002" t="n">
        <v>4</v>
      </c>
      <c r="E5002" t="n">
        <v>21</v>
      </c>
      <c r="F5002">
        <f>HYPERLINK("https://www.reddit.com/r/diabetes/comments/8xnri6/my_first_hb1ac_since_dx_87_to_67_in_5_weeks_good/")</f>
        <v/>
      </c>
      <c r="G5002" t="inlineStr">
        <is>
          <t>2018-07-10 03:30:27</t>
        </is>
      </c>
      <c r="H5002" t="inlineStr">
        <is>
          <t>Type 2</t>
        </is>
      </c>
    </row>
    <row r="5003">
      <c r="A5003" t="inlineStr">
        <is>
          <t>8xrk28</t>
        </is>
      </c>
      <c r="B5003" t="inlineStr">
        <is>
          <t>High Blood Sugars Exercise (T2)</t>
        </is>
      </c>
      <c r="C5003" t="inlineStr">
        <is>
          <t>Hi,
Does anyone else get high blood sugars **after** exercise? I am a T2 diabetic, pills only, no injections. Before going for a run, I'll have a blood sugar of 130-150 and then after it go up to 250-260+. It does go down eventually but I feel like there is something wrong. Is there anyone experience the same thing? Anything I can do to prevent this? 
Greatly appreciate everyone's advice. Thanks</t>
        </is>
      </c>
      <c r="D5003" t="n">
        <v>3</v>
      </c>
      <c r="E5003" t="n">
        <v>7</v>
      </c>
      <c r="F5003">
        <f>HYPERLINK("https://www.reddit.com/r/diabetes/comments/8xrk28/high_blood_sugars_exercise_t2/")</f>
        <v/>
      </c>
      <c r="G5003" t="inlineStr">
        <is>
          <t>2018-07-10 10:44:46</t>
        </is>
      </c>
      <c r="H5003" t="inlineStr">
        <is>
          <t>Type 2</t>
        </is>
      </c>
    </row>
    <row r="5004">
      <c r="A5004" t="inlineStr">
        <is>
          <t>8xszbl</t>
        </is>
      </c>
      <c r="B5004" t="inlineStr">
        <is>
          <t>Hey all diabetes sufferers!!</t>
        </is>
      </c>
      <c r="C5004" t="inlineStr">
        <is>
          <t xml:space="preserve"> How much are you currently paying for test strips per month??</t>
        </is>
      </c>
      <c r="D5004" t="n">
        <v>1</v>
      </c>
      <c r="E5004" t="n">
        <v>14</v>
      </c>
      <c r="F5004">
        <f>HYPERLINK("https://www.reddit.com/r/diabetes/comments/8xszbl/hey_all_diabetes_sufferers/")</f>
        <v/>
      </c>
      <c r="G5004" t="inlineStr">
        <is>
          <t>2018-07-10 13:28:43</t>
        </is>
      </c>
      <c r="H5004" t="inlineStr">
        <is>
          <t>Type 2</t>
        </is>
      </c>
    </row>
    <row r="5005">
      <c r="A5005" t="inlineStr">
        <is>
          <t>8xw0q8</t>
        </is>
      </c>
      <c r="B5005" t="inlineStr">
        <is>
          <t>Fiasp in a Tandem pump</t>
        </is>
      </c>
      <c r="C5005" t="inlineStr">
        <is>
          <t>My endo was telling me about Fiasp being a faster acting insulin, but said he hadn't heard of anyone using it in a Tandem pump yet. I had heard a while back about Tandem having issues with Apidra crystallizing and wasn't sure if that's still an issue or if Fiasp was similar.
Has anyone tried Fiasp in a Tandem?</t>
        </is>
      </c>
      <c r="D5005" t="n">
        <v>3</v>
      </c>
      <c r="E5005" t="n">
        <v>5</v>
      </c>
      <c r="F5005">
        <f>HYPERLINK("https://www.reddit.com/r/diabetes/comments/8xw0q8/fiasp_in_a_tandem_pump/")</f>
        <v/>
      </c>
      <c r="G5005" t="inlineStr">
        <is>
          <t>2018-07-10 20:09:10</t>
        </is>
      </c>
      <c r="H5005" t="inlineStr">
        <is>
          <t>Type 1</t>
        </is>
      </c>
    </row>
    <row r="5006">
      <c r="A5006" t="inlineStr">
        <is>
          <t>8y27ce</t>
        </is>
      </c>
      <c r="B5006" t="inlineStr">
        <is>
          <t>Use of mobile applications in the self-management of diabetes</t>
        </is>
      </c>
      <c r="C5006" t="inlineStr">
        <is>
          <t>Hi everyone! I am an MSc student at UCL (University College London), and  am conducting a research project that investigates the solutions that  people with diabetes are looking for in mobile health applications  (apps), and the drawbacks they encounter with currently available apps.  If you are diagnosed with diabetes (type 1 or 2), and are above 18 years  of age, I would really appreciate it if you could spare 5 minutes of  your time to complete my survey. It does not ask for any personal  details, and your responses are anonymous. Your support would be very  much appreciated - Thank you!
[https://www.surveymonkey.com/r/2CXYQ5H](https://www.surveymonkey.com/r/2CXYQ5H)</t>
        </is>
      </c>
      <c r="D5006" t="n">
        <v>2</v>
      </c>
      <c r="E5006" t="n">
        <v>3</v>
      </c>
      <c r="F5006">
        <f>HYPERLINK("https://www.reddit.com/r/diabetes/comments/8y27ce/use_of_mobile_applications_in_the_selfmanagement/")</f>
        <v/>
      </c>
      <c r="G5006" t="inlineStr">
        <is>
          <t>2018-07-11 11:39:24</t>
        </is>
      </c>
      <c r="H5006" t="inlineStr">
        <is>
          <t>Type 2</t>
        </is>
      </c>
    </row>
    <row r="5007">
      <c r="A5007" t="inlineStr">
        <is>
          <t>8y2g01</t>
        </is>
      </c>
      <c r="B5007" t="inlineStr">
        <is>
          <t>Use of mobile applications in the self-management of diabetes</t>
        </is>
      </c>
      <c r="C5007" t="inlineStr">
        <is>
          <t>Hi everyone! I am an MSc student at UCL (University College London), and  am conducting a research project that investigates the solutions that  people with diabetes are looking for in mobile health applications  (apps), and the drawbacks they encounter with currently available apps.  If you are diagnosed with diabetes (type 1 or 2), and are above 18 years  of age, I would really appreciate it if you could spare 5 minutes of  your time to complete my survey. It does not ask for any personal  details, and your responses are anonymous. Your support would be very  much appreciated - Thank you!
[https://www.surveymonkey.com/r/2CXYQ5H](https://www.surveymonkey.com/r/2CXYQ5H)</t>
        </is>
      </c>
      <c r="D5007" t="n">
        <v>0</v>
      </c>
      <c r="E5007" t="n">
        <v>4</v>
      </c>
      <c r="F5007">
        <f>HYPERLINK("https://www.reddit.com/r/diabetes/comments/8y2g01/use_of_mobile_applications_in_the_selfmanagement/")</f>
        <v/>
      </c>
      <c r="G5007" t="inlineStr">
        <is>
          <t>2018-07-11 12:07:41</t>
        </is>
      </c>
      <c r="H5007" t="inlineStr">
        <is>
          <t>Type 1</t>
        </is>
      </c>
    </row>
    <row r="5008">
      <c r="A5008" t="inlineStr">
        <is>
          <t>8y3d8u</t>
        </is>
      </c>
      <c r="B5008" t="inlineStr">
        <is>
          <t>Need advice for a loved one that was just diagnosed</t>
        </is>
      </c>
      <c r="C5008" t="inlineStr">
        <is>
          <t>Didn't know if this was the right place for this, but I need some advice. My partner just got diagnosed t2 with a 9.9 a1c. He's gotten extremely depressed about it, mostly about the permanent nature of the situation. He already had a lot of health problems: fatty liver, bipolar 2, hernia pain(making exercising harder), and this on top of everything. Its hard to stay positive when there's nothing I can really do to help. I'm not much of a cook but I've been trying to keep food from being too much of a nightmare, but most days he's choosing to not eat much at all instead, not a huge fan of chicken or fish. He's lost 15 lbs since diagnosed 2 weeks ago. Any advice for a lost and concerned loved one?</t>
        </is>
      </c>
      <c r="D5008" t="n">
        <v>1</v>
      </c>
      <c r="E5008" t="n">
        <v>19</v>
      </c>
      <c r="F5008">
        <f>HYPERLINK("https://www.reddit.com/r/diabetes/comments/8y3d8u/need_advice_for_a_loved_one_that_was_just/")</f>
        <v/>
      </c>
      <c r="G5008" t="inlineStr">
        <is>
          <t>2018-07-11 13:57:59</t>
        </is>
      </c>
      <c r="H5008" t="inlineStr">
        <is>
          <t>Type 2</t>
        </is>
      </c>
    </row>
    <row r="5009">
      <c r="A5009" t="inlineStr">
        <is>
          <t>8y6jg0</t>
        </is>
      </c>
      <c r="B5009" t="inlineStr">
        <is>
          <t>Dexcom G6 : Anyone else having issues with ripping?</t>
        </is>
      </c>
      <c r="C5009" t="inlineStr">
        <is>
          <t>My 18 year old son loves the G6 but after a couple of days of showering, sweating, etc the mesh starts to tear away from the sensor.   Any advice would be greatly appreciated!</t>
        </is>
      </c>
      <c r="D5009" t="n">
        <v>4</v>
      </c>
      <c r="E5009" t="n">
        <v>4</v>
      </c>
      <c r="F5009">
        <f>HYPERLINK("https://www.reddit.com/r/diabetes/comments/8y6jg0/dexcom_g6_anyone_else_having_issues_with_ripping/")</f>
        <v/>
      </c>
      <c r="G5009" t="inlineStr">
        <is>
          <t>2018-07-11 21:10:35</t>
        </is>
      </c>
      <c r="H5009" t="inlineStr">
        <is>
          <t>Type 1</t>
        </is>
      </c>
    </row>
    <row r="5010">
      <c r="A5010" t="inlineStr">
        <is>
          <t>8y9e2g</t>
        </is>
      </c>
      <c r="B5010" t="inlineStr">
        <is>
          <t>What was your test result when you were diagnosed with LADA (Type 1.5)?</t>
        </is>
      </c>
      <c r="C5010" t="inlineStr">
        <is>
          <t xml:space="preserve">My endo told me to go through these tests. So that it is suspected that I might have LADA. In my research, I actually think I have LADA. 
GAD test reference range for normal is &amp;lt; 5 IU/ML
My test came as normal but it’s exactly 5 IU/ML. 
For Pancreatic antibodies, the result came as normal. </t>
        </is>
      </c>
      <c r="D5010" t="n">
        <v>2</v>
      </c>
      <c r="E5010" t="n">
        <v>7</v>
      </c>
      <c r="F5010">
        <f>HYPERLINK("https://www.reddit.com/r/diabetes/comments/8y9e2g/what_was_your_test_result_when_you_were_diagnosed/")</f>
        <v/>
      </c>
      <c r="G5010" t="inlineStr">
        <is>
          <t>2018-07-12 05:37:16</t>
        </is>
      </c>
      <c r="H5010" t="inlineStr">
        <is>
          <t>Type 1.5/LADA</t>
        </is>
      </c>
    </row>
    <row r="5011">
      <c r="A5011" t="inlineStr">
        <is>
          <t>8ya2kb</t>
        </is>
      </c>
      <c r="B5011" t="inlineStr">
        <is>
          <t>Canadian living with diabetes T1 who wants to travel</t>
        </is>
      </c>
      <c r="C5011" t="inlineStr">
        <is>
          <t>Sorry for my english because it's not my first language.
I want to have tips and advice because I would like to travel in the next few months, but doing so with diabetes gives me some stress. I am a Canadian (I live in Quebec) and I would like to know what is important to plan and take into consideration when traveling.
I would like to go to Cuba as well as to Germany, so I imagine that the important things are different from one country to another. My endocrinologist is not very bright (sorry!), so I want to take the advice of someone living with diabetes. Thank you for sharing your experiences!</t>
        </is>
      </c>
      <c r="D5011" t="n">
        <v>0</v>
      </c>
      <c r="E5011" t="n">
        <v>2</v>
      </c>
      <c r="F5011">
        <f>HYPERLINK("https://www.reddit.com/r/diabetes/comments/8ya2kb/canadian_living_with_diabetes_t1_who_wants_to/")</f>
        <v/>
      </c>
      <c r="G5011" t="inlineStr">
        <is>
          <t>2018-07-12 07:07:16</t>
        </is>
      </c>
      <c r="H5011" t="inlineStr">
        <is>
          <t>Type 1</t>
        </is>
      </c>
    </row>
    <row r="5012">
      <c r="A5012" t="inlineStr">
        <is>
          <t>8ycs0d</t>
        </is>
      </c>
      <c r="B5012" t="inlineStr">
        <is>
          <t>Anyone else have trigger finger?</t>
        </is>
      </c>
      <c r="C5012" t="inlineStr">
        <is>
          <t>Hi everyone! I've had issues on and off with clicky fingers. I've heard it is fairly common among diabetics so I thought I'd bring it up here. Recently one of my trouble fingers has gotten very bad and I can no longer bend it. My general practitioner gave me contact information for an orthopedic surgeon and a hand clinic. I am not sure which one I am supposed to contact first. Has anyone had to deal with trigger finger and if so, do you have any advice for me?</t>
        </is>
      </c>
      <c r="D5012" t="n">
        <v>1</v>
      </c>
      <c r="E5012" t="n">
        <v>12</v>
      </c>
      <c r="F5012">
        <f>HYPERLINK("https://www.reddit.com/r/diabetes/comments/8ycs0d/anyone_else_have_trigger_finger/")</f>
        <v/>
      </c>
      <c r="G5012" t="inlineStr">
        <is>
          <t>2018-07-12 12:16:47</t>
        </is>
      </c>
      <c r="H5012" t="inlineStr">
        <is>
          <t>Type 1</t>
        </is>
      </c>
    </row>
    <row r="5013">
      <c r="A5013" t="inlineStr">
        <is>
          <t>8ydmy7</t>
        </is>
      </c>
      <c r="B5013" t="inlineStr">
        <is>
          <t>Massive drop in insulin requirement out of nowhere</t>
        </is>
      </c>
      <c r="C5013" t="inlineStr">
        <is>
          <t xml:space="preserve">Has this happened to anyone?
Last night I had a bowl of rice and chicken. Per usual I took 4 units 15 minutes prior. I spent the entire night downing gatorade and glucose tabs just to keep it in the steady 120's. Eventually I overcorredted because I was so ready to sleep. It spiked to almost 300 but came down immediatley to 120 after about 2 units.
Today I SIGNIFIGANTLY cut my basal rate. For breakfast I had miso soup, tamagoyaki and a bowl of rice, 3 units, same situation. I'm downing gatorade to keep it stable. 
I have no idea what is going on. I've had 3 days off work and I've been more sedentary than I've been all month. It's almost like I shouldnt have bolused for a meal that included rice which is insane for me. 
Is this just a weird glitch that comes with being diabetic? I've had flucuations in insulin needs but nothing this drastic. 
I've been diabetic for about 3 years, I stopped honeymooning about a year ago. At least I think. Does anyone have a possible explination?
</t>
        </is>
      </c>
      <c r="D5013" t="n">
        <v>3</v>
      </c>
      <c r="E5013" t="n">
        <v>11</v>
      </c>
      <c r="F5013">
        <f>HYPERLINK("https://www.reddit.com/r/diabetes/comments/8ydmy7/massive_drop_in_insulin_requirement_out_of_nowhere/")</f>
        <v/>
      </c>
      <c r="G5013" t="inlineStr">
        <is>
          <t>2018-07-12 13:56:02</t>
        </is>
      </c>
      <c r="H5013" t="inlineStr">
        <is>
          <t>Type 1</t>
        </is>
      </c>
    </row>
    <row r="5014">
      <c r="A5014" t="inlineStr">
        <is>
          <t>8yeeuc</t>
        </is>
      </c>
      <c r="B5014" t="inlineStr">
        <is>
          <t>How hard is it fighting insulin with rapid carbs?</t>
        </is>
      </c>
      <c r="C5014" t="inlineStr">
        <is>
          <t>I’ve had this thought bugging me these last few days where I’ve been wondering let’s say I take 8 units of insulin for food and I throw it up and can’t eat it, would it be hard to fight the insulin or is it just one can of coke?
This has made me sort of «scared» of eating big meals incase I do not eat it all etc lol. Am I just crazy or is it hard?</t>
        </is>
      </c>
      <c r="D5014" t="n">
        <v>7</v>
      </c>
      <c r="E5014" t="n">
        <v>21</v>
      </c>
      <c r="F5014">
        <f>HYPERLINK("https://www.reddit.com/r/diabetes/comments/8yeeuc/how_hard_is_it_fighting_insulin_with_rapid_carbs/")</f>
        <v/>
      </c>
      <c r="G5014" t="inlineStr">
        <is>
          <t>2018-07-12 15:31:15</t>
        </is>
      </c>
      <c r="H5014" t="inlineStr">
        <is>
          <t>Type 1</t>
        </is>
      </c>
    </row>
    <row r="5015">
      <c r="A5015" t="inlineStr">
        <is>
          <t>8yfkqk</t>
        </is>
      </c>
      <c r="B5015" t="inlineStr">
        <is>
          <t>Dexcom G6 only on stomach? For real?</t>
        </is>
      </c>
      <c r="C5015" t="inlineStr">
        <is>
          <t xml:space="preserve">Is there any reason the dexcom g6 needs to be on your stomach if you’re 18 years or older. I just can’t ever get a cgm to stay stuck there. With the g5 I always used my outer thighs. Any reason to change with the g6?
I’ve never had good luck with skintac or similar products because they make me itch like crazy, but maybe I need to try again. </t>
        </is>
      </c>
      <c r="D5015" t="n">
        <v>5</v>
      </c>
      <c r="E5015" t="n">
        <v>17</v>
      </c>
      <c r="F5015">
        <f>HYPERLINK("https://www.reddit.com/r/diabetes/comments/8yfkqk/dexcom_g6_only_on_stomach_for_real/")</f>
        <v/>
      </c>
      <c r="G5015" t="inlineStr">
        <is>
          <t>2018-07-12 18:10:21</t>
        </is>
      </c>
      <c r="H5015" t="inlineStr">
        <is>
          <t>Type 1</t>
        </is>
      </c>
    </row>
    <row r="5016">
      <c r="A5016" t="inlineStr">
        <is>
          <t>8yj0bl</t>
        </is>
      </c>
      <c r="B5016" t="inlineStr">
        <is>
          <t>Invokana</t>
        </is>
      </c>
      <c r="C5016" t="inlineStr">
        <is>
          <t xml:space="preserve">Hi! I’ve been suffering with type 2 diabetes for years now and slowly my HbA1c is getting higher my reading from my glucose machine is 20.4 so the doctor has started me on a new medication Invokana does anybody have any experience with this medication he’s started me on 100mg which is the starting dose and told me to go back in 4 weeks where he will see if it needs increasing I’m also on 2000mg of Metformin. I’m worried about the increased urinary output caused by Invokana is it anything I should worry about I don’t want to be caught short away from a toilet. 
Thanks in advance for any reply’s </t>
        </is>
      </c>
      <c r="D5016" t="n">
        <v>1</v>
      </c>
      <c r="E5016" t="n">
        <v>7</v>
      </c>
      <c r="F5016">
        <f>HYPERLINK("https://www.reddit.com/r/diabetes/comments/8yj0bl/invokana/")</f>
        <v/>
      </c>
      <c r="G5016" t="inlineStr">
        <is>
          <t>2018-07-13 04:00:42</t>
        </is>
      </c>
      <c r="H5016" t="inlineStr">
        <is>
          <t>Type 2</t>
        </is>
      </c>
    </row>
    <row r="5017">
      <c r="A5017" t="inlineStr">
        <is>
          <t>8ykpor</t>
        </is>
      </c>
      <c r="B5017" t="inlineStr">
        <is>
          <t>looking for endicronologist in Pittsburgh</t>
        </is>
      </c>
      <c r="C5017" t="inlineStr">
        <is>
          <t>37 years old, diagnosed with type-1 while travelling, now looking for an endicrononologist in Pittsburgh. Any suggestings would be appreciated.</t>
        </is>
      </c>
      <c r="D5017" t="n">
        <v>1</v>
      </c>
      <c r="E5017" t="n">
        <v>0</v>
      </c>
      <c r="F5017">
        <f>HYPERLINK("https://www.reddit.com/r/diabetes/comments/8ykpor/looking_for_endicronologist_in_pittsburgh/")</f>
        <v/>
      </c>
      <c r="G5017" t="inlineStr">
        <is>
          <t>2018-07-13 08:04:48</t>
        </is>
      </c>
      <c r="H5017" t="inlineStr">
        <is>
          <t>Type 1</t>
        </is>
      </c>
    </row>
    <row r="5018">
      <c r="A5018" t="inlineStr">
        <is>
          <t>8ymkus</t>
        </is>
      </c>
      <c r="B5018" t="inlineStr">
        <is>
          <t>What do you do when you don’t follow your medicine schedule?</t>
        </is>
      </c>
      <c r="C5018" t="inlineStr">
        <is>
          <t xml:space="preserve">I am not taking medicines properly at fixed times. My A1c Test is in August, and I’m prescribed metformin 500 mg twice daily. My A1c was 12% in early May. 
My hands get cold, many times a day. And I’m not sure why, but my throat and lower part of throat feels weirdly nauseatingly empty too (as if something’s not right). 
I also feel like eating ice cream and drinking milkshakes all the time (I don’t do that). I’m keeping my carbs in every meal to less than 50. I only take two meals a day, sometimes I only take one meal a day when I’m super stressed. 
I was taken multivitamins, now I’m not taking them anymore. 
I took flaxseeds and chia seeds. Kind of tired of it. I’m not sure what I’m gaining from it. 
I’m sure, I feel pretty down. I felt super bad when I saw three youngster eating a cone, while I skipped eating at a vegan restaurant just to make sure I eat what I can make, plus I already ate some pita with bread and cheese in the morning. 
It seems I’m in the military fighting a battle I didn’t sign up for. The only choice to exist is to fight everyday. 
When I decide not to take medicine, I avoid eating anything. 
In short: How do you keep pushing yourself in this lonely journey? </t>
        </is>
      </c>
      <c r="D5018" t="n">
        <v>2</v>
      </c>
      <c r="E5018" t="n">
        <v>11</v>
      </c>
      <c r="F5018">
        <f>HYPERLINK("https://www.reddit.com/r/diabetes/comments/8ymkus/what_do_you_do_when_you_dont_follow_your_medicine/")</f>
        <v/>
      </c>
      <c r="G5018" t="inlineStr">
        <is>
          <t>2018-07-13 11:40:38</t>
        </is>
      </c>
      <c r="H5018" t="inlineStr">
        <is>
          <t>Type 2</t>
        </is>
      </c>
    </row>
    <row r="5019">
      <c r="A5019" t="inlineStr">
        <is>
          <t>8yn57h</t>
        </is>
      </c>
      <c r="B5019" t="inlineStr">
        <is>
          <t>dexcom g6 does NOT require calibration every 12 hours after sensor restart</t>
        </is>
      </c>
      <c r="C5019" t="inlineStr">
        <is>
          <t>Restarted my g6 sensor using [this method](https://seemycgm.com/2018/06/11/restarting-g6-sensors-and-transmitter/) and am on day 16 of using the same sensor. I am using the dexcom receiver and it has not required a calibration at any time after the sensor restart. Has anyone else experienced the same thing?</t>
        </is>
      </c>
      <c r="D5019" t="n">
        <v>15</v>
      </c>
      <c r="E5019" t="n">
        <v>25</v>
      </c>
      <c r="F5019">
        <f>HYPERLINK("https://www.reddit.com/r/diabetes/comments/8yn57h/dexcom_g6_does_not_require_calibration_every_12/")</f>
        <v/>
      </c>
      <c r="G5019" t="inlineStr">
        <is>
          <t>2018-07-13 12:47:57</t>
        </is>
      </c>
      <c r="H5019" t="inlineStr">
        <is>
          <t>Type 1</t>
        </is>
      </c>
    </row>
    <row r="5020">
      <c r="A5020" t="inlineStr">
        <is>
          <t>8yo6wf</t>
        </is>
      </c>
      <c r="B5020" t="inlineStr">
        <is>
          <t>Public Awareness Anouncement - Freestyle libre can be turned in to a continuous glucose monitor!</t>
        </is>
      </c>
      <c r="C5020" t="inlineStr">
        <is>
          <t>I'm sorry for everyone who already knows this, please forgive me and please try not to post "Duh, we already knew that.." too much.. But I just found out this week that there are devices and hacks to turn the Libre in to a CGM.
Again, sorry if you knew this, but I have literally been skimming over posts with terms I didn't understand for months thinking they didn't apply to me, only to be asked about them by a friend this week and doing a bit of googling myself, to find out it was staring me in the face all this time!
So this is a post for the uninitiated, the uninformed, the people like me who need it shouted in capitals in their face before they realise what you're talking about..
So as the title says, there are ways to turn the Freestyle Libre in to a CGM device that continuously monitors your blood, warns you when you're heading low etc.  I have also found 3d printed cases on ebay etc. which allow these things to be securely fitted to the sensor on your arm, which was also news to me as I was just looking for one that held the libre itself in place..
So again, sorry for everyone who knew this already but now you understand my naivety, is anyone using these devices who can offer comments on quality, reliability, best choices etc?  I've fond one guy who has even got a pebble watch showing a liver graph of his blood sugar level so this stuff is way further ahead than I was expecting..</t>
        </is>
      </c>
      <c r="D5020" t="n">
        <v>2</v>
      </c>
      <c r="E5020" t="n">
        <v>7</v>
      </c>
      <c r="F5020">
        <f>HYPERLINK("https://www.reddit.com/r/diabetes/comments/8yo6wf/public_awareness_anouncement_freestyle_libre_can/")</f>
        <v/>
      </c>
      <c r="G5020" t="inlineStr">
        <is>
          <t>2018-07-13 14:58:30</t>
        </is>
      </c>
      <c r="H5020" t="inlineStr">
        <is>
          <t>Type 1</t>
        </is>
      </c>
    </row>
    <row r="5021">
      <c r="A5021" t="inlineStr">
        <is>
          <t>8ypbm1</t>
        </is>
      </c>
      <c r="B5021" t="inlineStr">
        <is>
          <t>Grandpa has uncontrolled diabetes and BG levels in the 400s. What to do?</t>
        </is>
      </c>
      <c r="C5021" t="inlineStr">
        <is>
          <t xml:space="preserve">My grandfather who is in his 80s has bg readings that routinely fall in the 400s. I tell his doctor this and he puts him on Humulin N 2 x a day one in the morning and one at night at 15 units each time. This is obviously not working but he just keeps on yo-yoing the amounts. Should he be on some fast acting insulin? the Humulin N doesn't seem to bring it down fast enough. He's been to the ER with readings in the 500s-600s and they don't prescribe anything. I brought up the fast acting insulin to his doctor but he just says lets stay on the humulin N. Not sure what to do to get his BG under control. He's been changing his diet to more veggies, protein and fat with little to no carbs also. </t>
        </is>
      </c>
      <c r="D5021" t="n">
        <v>4</v>
      </c>
      <c r="E5021" t="n">
        <v>14</v>
      </c>
      <c r="F5021">
        <f>HYPERLINK("https://www.reddit.com/r/diabetes/comments/8ypbm1/grandpa_has_uncontrolled_diabetes_and_bg_levels/")</f>
        <v/>
      </c>
      <c r="G5021" t="inlineStr">
        <is>
          <t>2018-07-13 17:40:27</t>
        </is>
      </c>
      <c r="H5021" t="inlineStr">
        <is>
          <t>Type 2</t>
        </is>
      </c>
    </row>
    <row r="5022">
      <c r="A5022" t="inlineStr">
        <is>
          <t>8yqe4l</t>
        </is>
      </c>
      <c r="B5022" t="inlineStr">
        <is>
          <t>Using Canadian test strips with my USA Meter?</t>
        </is>
      </c>
      <c r="C5022" t="inlineStr">
        <is>
          <t>Hi all,
Quick question for anyone that travels between countries alot. I have an imperial One Touch Ultra test meter and got some One Touch Ultra test strips for it while in Canada. The strips look the same, and seem to give the same readings but have metric measurement printed on the side since they are Canadian strips. Does this matter? Are the test strips the same thing and will work with my USA Meter or should I grab one from here?</t>
        </is>
      </c>
      <c r="D5022" t="n">
        <v>3</v>
      </c>
      <c r="E5022" t="n">
        <v>4</v>
      </c>
      <c r="F5022">
        <f>HYPERLINK("https://www.reddit.com/r/diabetes/comments/8yqe4l/using_canadian_test_strips_with_my_usa_meter/")</f>
        <v/>
      </c>
      <c r="G5022" t="inlineStr">
        <is>
          <t>2018-07-13 20:35:06</t>
        </is>
      </c>
      <c r="H5022" t="inlineStr">
        <is>
          <t>Type 1</t>
        </is>
      </c>
    </row>
    <row r="5023">
      <c r="A5023" t="inlineStr">
        <is>
          <t>8yswkl</t>
        </is>
      </c>
      <c r="B5023" t="inlineStr">
        <is>
          <t>Having children as a type 1 diabetic</t>
        </is>
      </c>
      <c r="C5023" t="inlineStr">
        <is>
          <t>I'm a 37 year old male and was diagnosed with type 1 diabetes 2 weeks ago. This has led me to rethink a lot of things in my life. One thing that I'm concerned about is having children. I've always viewed myself as eventually having children, and I understand that there are many people with type 1 who do have children. But isn't procreating somewhat irresponsible with a serious chronic disease that has a genetic component (doesn't it)? I'm sure many people have thought about this, and I'd like to hear your opinions.</t>
        </is>
      </c>
      <c r="D5023" t="n">
        <v>1</v>
      </c>
      <c r="E5023" t="n">
        <v>14</v>
      </c>
      <c r="F5023">
        <f>HYPERLINK("https://www.reddit.com/r/diabetes/comments/8yswkl/having_children_as_a_type_1_diabetic/")</f>
        <v/>
      </c>
      <c r="G5023" t="inlineStr">
        <is>
          <t>2018-07-14 05:24:27</t>
        </is>
      </c>
      <c r="H5023" t="inlineStr">
        <is>
          <t>Type 1</t>
        </is>
      </c>
    </row>
    <row r="5024">
      <c r="A5024" t="inlineStr">
        <is>
          <t>8ytd9c</t>
        </is>
      </c>
      <c r="B5024" t="inlineStr">
        <is>
          <t>Keeping insulin cold while studying abroad</t>
        </is>
      </c>
      <c r="C5024" t="inlineStr">
        <is>
          <t xml:space="preserve">Hi everyone! 
I’m studying abroad in Italy in the fall and I need to bring 4 months worth of insulin with me. It needs to be in my carry on. I’m struggling to find a way to keep it cool. I bought Frio cases but they say it only keeps it at room temp, not like a refrigerator. If anyone has done this before or as any ideas it would be greatly appreciated, thank you! </t>
        </is>
      </c>
      <c r="D5024" t="n">
        <v>5</v>
      </c>
      <c r="E5024" t="n">
        <v>10</v>
      </c>
      <c r="F5024">
        <f>HYPERLINK("https://www.reddit.com/r/diabetes/comments/8ytd9c/keeping_insulin_cold_while_studying_abroad/")</f>
        <v/>
      </c>
      <c r="G5024" t="inlineStr">
        <is>
          <t>2018-07-14 06:46:42</t>
        </is>
      </c>
      <c r="H5024" t="inlineStr">
        <is>
          <t>Type 1</t>
        </is>
      </c>
    </row>
    <row r="5025">
      <c r="A5025" t="inlineStr">
        <is>
          <t>8ytuq6</t>
        </is>
      </c>
      <c r="B5025" t="inlineStr">
        <is>
          <t>My DKA Story</t>
        </is>
      </c>
      <c r="C5025" t="inlineStr">
        <is>
          <t>I'm 23m, and I was about 370lbs before this started. Ill start it off by saying I really hate hospitals, Im sure some of you can relate to that. I noticed symptoms back in about November, but remember them  starting even farther back then that. I was peeing about every 45 minutes, my vision was slowly getting worse, I felt sick all the time, the usual symptoms. I was a fool, and I ignored it, and learned to live with it. I was trying to not accept the fact that something was wrong. Around Christmas I went out, bought a meter, tested myself in the parking lot, and got a HI reading, after that I drove straight to the ER! Nope, again I ignored it. Symptoms got worse and worse until a few days into February, My fiancee was 8 months pregnant and due a few days into March, and she was in the hospital because she was having starting to have preeclampsia, she had to stay the night and I was peeing ever 30min-45min, falling asleep talking to her, and I remember walking out of the lobby to pick her up dinner and just puking out of no where, with no warning (I didn't tell her this). She begged me to go in but I kept with it until the 12th i tested my ketones and they where between 80-160, so finally on the 12th of February I went in to the ER. I was told my a1c was saying I've been around 400 for months, it was 425 when they checked me, my breath stank, and my potassium was severely low. I had blood drawn every 4 hours, because of my pottasium, that fucking sucked. also getting pottasium in a IV burned like hell, they also tried to give me this gross orange drink for it too that was god awful. From Sunday until Thursday morning I was in the ICU (they moved me to a room around 8am and I left at about 12pm) (also this whole thing costed about 17,000$ than god for my parents insurance lol) feeling better and healthy and just wanting to take a shower. So she picked me up we went home I showered for about a full hour, then 3 o clock came around my fiancee had a check up. Bam high blood pressure they tell her they are going to induce her. Great timing! Thursday night comes it isn't working, stay there at the same hospital with her another night, then Friday is a full day of the same, finally on Saturday she has a c section, everything goes smooth and i can finally leave the hospital with her and my son on Tuesday afternoon. After I left I had tingling in both my feet (something I didnt tell the doctors for fear of staying more) thankfully it went away in about 3 weeks lol. Also I was doing good with injections and everything but one day I woke up to my son crying and felt spacey and checked my sugar it was 55, I ate something and fixed it and was fine but I stopped taking my insulin after that, 2 weeks after leaving the hospital I was down to 330lbs and last week I was 308, my numbers have been NORMAL since mid march, not just diabetic normal, totally 100&amp;amp;#37; non diabetic normal (I check 3-5 times a day and havent seen over 140 since then always around 70-90 in the AM). I only eat 60 carbs MAX per meal usually under that (thank you buffalo wings, and my fiance for making sure I'm eating right). I probably am in a honeymoon period or have LADA or something. Id assume Type 2, but the actual ketones I had makes no sense to me how it cna be T2. I see an Endo on the 22nd of next month and will tell him about all of this and get his opinion.
tldr: i was a complete idiot, shrugged off and lived with the symptoms for 4+ months and probably should be dead but Im not, sons healthy, I'm healthy, life is good for now</t>
        </is>
      </c>
      <c r="D5025" t="n">
        <v>3</v>
      </c>
      <c r="E5025" t="n">
        <v>7</v>
      </c>
      <c r="F5025">
        <f>HYPERLINK("https://www.reddit.com/r/diabetes/comments/8ytuq6/my_dka_story/")</f>
        <v/>
      </c>
      <c r="G5025" t="inlineStr">
        <is>
          <t>2018-07-14 08:02:18</t>
        </is>
      </c>
      <c r="H5025" t="inlineStr">
        <is>
          <t>Type 1</t>
        </is>
      </c>
    </row>
    <row r="5026">
      <c r="A5026" t="inlineStr">
        <is>
          <t>8yz5nb</t>
        </is>
      </c>
      <c r="B5026" t="inlineStr">
        <is>
          <t>[Type 1] High for no damn reason today, long read</t>
        </is>
      </c>
      <c r="C5026" t="inlineStr">
        <is>
          <t>My old pump went out a week ago and my replacement didn’t come in until yesterday, so I was on injections for a week and my levels were about as they usually are. I started using my new pump when it came in and out all my old settings in and today I started becoming early this afternoon for no reason. I made sure there was nothing wrong with the pump and my levels still didn’t come down so I switched back to my Novolog pens. I came down shortly this evening but I’m back up again (300-) and don’t know why. I’ve even given myself more insulin than usual to compensate. I have know clue why this is happening.
5’10 165 lb M, diagnosed 2012 if that helps.</t>
        </is>
      </c>
      <c r="D5026" t="n">
        <v>1</v>
      </c>
      <c r="E5026" t="n">
        <v>9</v>
      </c>
      <c r="F5026">
        <f>HYPERLINK("https://www.reddit.com/r/diabetes/comments/8yz5nb/type_1_high_for_no_damn_reason_today_long_read/")</f>
        <v/>
      </c>
      <c r="G5026" t="inlineStr">
        <is>
          <t>2018-07-14 21:18:05</t>
        </is>
      </c>
      <c r="H5026" t="inlineStr">
        <is>
          <t>Type 1</t>
        </is>
      </c>
    </row>
    <row r="5027">
      <c r="A5027" t="inlineStr">
        <is>
          <t>8z34vm</t>
        </is>
      </c>
      <c r="B5027" t="inlineStr">
        <is>
          <t>Does overconsumption of saturated fat or processed sugar cause type 2 diabetes?</t>
        </is>
      </c>
      <c r="C5027" t="inlineStr">
        <is>
          <t xml:space="preserve"> Does large amounts of (saturated) fat or large amounts of (processed) sugar induce insulin resistance, and if it is both then which one seems to have a more potent effect and why? Please provide academic references in your answer; this seems to be a compelling ongoing discussion in the medical and nutritional community.</t>
        </is>
      </c>
      <c r="D5027" t="n">
        <v>0</v>
      </c>
      <c r="E5027" t="n">
        <v>9</v>
      </c>
      <c r="F5027">
        <f>HYPERLINK("https://www.reddit.com/r/diabetes/comments/8z34vm/does_overconsumption_of_saturated_fat_or/")</f>
        <v/>
      </c>
      <c r="G5027" t="inlineStr">
        <is>
          <t>2018-07-15 10:01:02</t>
        </is>
      </c>
      <c r="H5027" t="inlineStr">
        <is>
          <t>Type 2</t>
        </is>
      </c>
    </row>
    <row r="5028">
      <c r="A5028" t="inlineStr">
        <is>
          <t>8z3kyw</t>
        </is>
      </c>
      <c r="B5028" t="inlineStr">
        <is>
          <t>Brand new pump takes a swim in the pool...</t>
        </is>
      </c>
      <c r="C5028" t="inlineStr">
        <is>
          <t>Yesterday while helping my dad with something out by the pool, my brand new TSlim X2 popped off of my shorts. I watched as it disconnected itself from the tubing and fell seemingly in slow motion, before it bounced right in to the deep end. I didn't think twice and jumped right in after it (with my phone in my pocket...luckily that is waterproof) and all in all it was probably submerged for about 20 seconds. My dad didn't even know what happened and thought I fell in 😂 Anyway, I throughly dried it off and stuck it in a bowl of rice with the cartridge disconnected. The website says it's water resistant up to 3 feet for 30 minutes, and after its rice nap everything seemed to be working fine. The problem is my blood sugar has been way out of whack ever since. There's a few other factors like the fact that I wasn't plugged in for about two hours, and was eating more carbs than usual (I did dose for these.) I have been unable to clear anything below 180 since yesterday, and have been shooting up in to the upper 200's. I am changing my site in a few hours and hopefully that will fix it because nothing seems to be wrong with my pump. Has anyone else's TSlim taken a dive?</t>
        </is>
      </c>
      <c r="D5028" t="n">
        <v>4</v>
      </c>
      <c r="E5028" t="n">
        <v>1</v>
      </c>
      <c r="F5028">
        <f>HYPERLINK("https://www.reddit.com/r/diabetes/comments/8z3kyw/brand_new_pump_takes_a_swim_in_the_pool/")</f>
        <v/>
      </c>
      <c r="G5028" t="inlineStr">
        <is>
          <t>2018-07-15 10:58:18</t>
        </is>
      </c>
      <c r="H5028" t="inlineStr">
        <is>
          <t>Type 1</t>
        </is>
      </c>
    </row>
    <row r="5029">
      <c r="A5029" t="inlineStr">
        <is>
          <t>8z4pb6</t>
        </is>
      </c>
      <c r="B5029" t="inlineStr">
        <is>
          <t>Does climbing and going down stairs reduce BG? (Yes, dramatically)</t>
        </is>
      </c>
      <c r="C5029" t="inlineStr">
        <is>
          <t xml:space="preserve">I did take metformin 500 mg, half an hour earlier. I checked my BG after that it was 8.7 mg/dL. I thought of an experiment, why don’t I climb up and down quickly for 30 minutes. From 8.7 mg/dL my BG came down to 4.6 mg/dL. 
I had eaten an ice cream, whipped cream and biscuits and all bunch of other stuff because I was sweet thirsty. I think I did around 65-70 grams of sugar. 
I will go for my A1c result in August. But please try it, for those who can physically do it. </t>
        </is>
      </c>
      <c r="D5029" t="n">
        <v>1</v>
      </c>
      <c r="E5029" t="n">
        <v>0</v>
      </c>
      <c r="F5029">
        <f>HYPERLINK("https://www.reddit.com/r/diabetes/comments/8z4pb6/does_climbing_and_going_down_stairs_reduce_bg_yes/")</f>
        <v/>
      </c>
      <c r="G5029" t="inlineStr">
        <is>
          <t>2018-07-15 13:22:12</t>
        </is>
      </c>
      <c r="H5029" t="inlineStr">
        <is>
          <t>Type 2</t>
        </is>
      </c>
    </row>
    <row r="5030">
      <c r="A5030" t="inlineStr">
        <is>
          <t>8z4rmu</t>
        </is>
      </c>
      <c r="B5030" t="inlineStr">
        <is>
          <t>Do you know climbing up and down stairs for 30 mins reduces BG level by 3 mg/dL points?</t>
        </is>
      </c>
      <c r="C5030" t="inlineStr">
        <is>
          <t xml:space="preserve">After an hour of taking metformin I checked my BG , it was 8.7 and after going up and down stairs for 30 mins, it went to 4.6. </t>
        </is>
      </c>
      <c r="D5030" t="n">
        <v>0</v>
      </c>
      <c r="E5030" t="n">
        <v>2</v>
      </c>
      <c r="F5030">
        <f>HYPERLINK("https://www.reddit.com/r/diabetes/comments/8z4rmu/do_you_know_climbing_up_and_down_stairs_for_30/")</f>
        <v/>
      </c>
      <c r="G5030" t="inlineStr">
        <is>
          <t>2018-07-15 13:30:56</t>
        </is>
      </c>
      <c r="H5030" t="inlineStr">
        <is>
          <t>Type 2</t>
        </is>
      </c>
    </row>
    <row r="5031">
      <c r="A5031" t="inlineStr">
        <is>
          <t>8z6vbw</t>
        </is>
      </c>
      <c r="B5031" t="inlineStr">
        <is>
          <t>freestyle libre sensor</t>
        </is>
      </c>
      <c r="C5031" t="inlineStr">
        <is>
          <t>how does this work? Does it show the Blood glucose levels  on a android app or iphone?</t>
        </is>
      </c>
      <c r="D5031" t="n">
        <v>2</v>
      </c>
      <c r="E5031" t="n">
        <v>6</v>
      </c>
      <c r="F5031">
        <f>HYPERLINK("https://www.reddit.com/r/diabetes/comments/8z6vbw/freestyle_libre_sensor/")</f>
        <v/>
      </c>
      <c r="G5031" t="inlineStr">
        <is>
          <t>2018-07-15 18:36:05</t>
        </is>
      </c>
      <c r="H5031" t="inlineStr">
        <is>
          <t>Type 2</t>
        </is>
      </c>
    </row>
    <row r="5032">
      <c r="A5032" t="inlineStr">
        <is>
          <t>8z94y7</t>
        </is>
      </c>
      <c r="B5032" t="inlineStr">
        <is>
          <t>Questions for Type 1 Diabetics in Canada</t>
        </is>
      </c>
      <c r="C5032" t="inlineStr">
        <is>
          <t>I'm a type 1 diabetic on insulin pump, myself and my boyfriend are looking to emigrate for work in a couple years time and Canada is a big possibility. What is the situation with healthcare over there? I am from the UK so excuse the ignorance but I know barely anything about other healthcare systems outside the NHS. Do you still pay massive amounts to healthcare? Do you use health insurance? Does your employer pay for your healthcare? Or is it like the UK where we pay in with tax and get free all round healthcare? Thanks in advance for any advice.</t>
        </is>
      </c>
      <c r="D5032" t="n">
        <v>1</v>
      </c>
      <c r="E5032" t="n">
        <v>15</v>
      </c>
      <c r="F5032">
        <f>HYPERLINK("https://www.reddit.com/r/diabetes/comments/8z94y7/questions_for_type_1_diabetics_in_canada/")</f>
        <v/>
      </c>
      <c r="G5032" t="inlineStr">
        <is>
          <t>2018-07-16 01:13:16</t>
        </is>
      </c>
      <c r="H5032" t="inlineStr">
        <is>
          <t>Type 1</t>
        </is>
      </c>
    </row>
    <row r="5033">
      <c r="A5033" t="inlineStr">
        <is>
          <t>8za7kl</t>
        </is>
      </c>
      <c r="B5033" t="inlineStr">
        <is>
          <t>What is the longest honeymoon phase you know of?</t>
        </is>
      </c>
      <c r="C5033" t="inlineStr">
        <is>
          <t>I've read several claims that the older you are by the time T1D is dx'ed, the longer your honeymoon phase tends to be. So, babies may have a honeymoon phase that maybe lasts a few days, or may not even have a honeymoon phase, in kids it may last a few weeks, and in adults months to years.
I do remember seeing people here saying that their honeymoon lasted for years. I'd like to know what's the longest honeymoon period you know of, and how old the person that had it was. Also, if you had or are having a very long honeymoon period, feel free to mention it. I suspect a lot of long-term honeymoon phase cases will be LADAs or near-LADAs (that is, onset in their early 30's).</t>
        </is>
      </c>
      <c r="D5033" t="n">
        <v>6</v>
      </c>
      <c r="E5033" t="n">
        <v>34</v>
      </c>
      <c r="F5033">
        <f>HYPERLINK("https://www.reddit.com/r/diabetes/comments/8za7kl/what_is_the_longest_honeymoon_phase_you_know_of/")</f>
        <v/>
      </c>
      <c r="G5033" t="inlineStr">
        <is>
          <t>2018-07-16 04:42:27</t>
        </is>
      </c>
      <c r="H5033" t="inlineStr">
        <is>
          <t>Type 1</t>
        </is>
      </c>
    </row>
    <row r="5034">
      <c r="A5034" t="inlineStr">
        <is>
          <t>8ze38p</t>
        </is>
      </c>
      <c r="B5034" t="inlineStr">
        <is>
          <t>X-Rays &amp;amp; Metal Detectors vs Dexcom and T-slim X2 Pump.</t>
        </is>
      </c>
      <c r="C5034" t="inlineStr">
        <is>
          <t xml:space="preserve">When going through X-Rays &amp;amp; Metal Detectors, will it cause damage to  Dexcom and T-slim X2 Pumps?
Any advise? </t>
        </is>
      </c>
      <c r="D5034" t="n">
        <v>3</v>
      </c>
      <c r="E5034" t="n">
        <v>5</v>
      </c>
      <c r="F5034">
        <f>HYPERLINK("https://www.reddit.com/r/diabetes/comments/8ze38p/xrays_metal_detectors_vs_dexcom_and_tslim_x2_pump/")</f>
        <v/>
      </c>
      <c r="G5034" t="inlineStr">
        <is>
          <t>2018-07-16 12:42:41</t>
        </is>
      </c>
      <c r="H5034" t="inlineStr">
        <is>
          <t>Type 1</t>
        </is>
      </c>
    </row>
    <row r="5035">
      <c r="A5035" t="inlineStr">
        <is>
          <t>8zfhw8</t>
        </is>
      </c>
      <c r="B5035" t="inlineStr">
        <is>
          <t>I don't know what to say guys</t>
        </is>
      </c>
      <c r="C5035" t="inlineStr">
        <is>
          <t xml:space="preserve">I'm useless at this diabetes stuff. I get utterly confused with any and all of the information. I read advice that contradicts what my doctors tell me. Honestly when I got diagnosed two years ago it was a mine field and my depression resulted in me not caring much. My blood sugars at the time were 23 and for most of the last 18 months were 12+. I was on tablets and still on metformin. 
Due to a particularly bad few months of my life, I stopped eating. I didn't really chose to, I just had zero appetite. I lost 10kg down from 74kg (40 yr old male). My blood sugars dropped to normal levels and at times as low as 3.2. Things are a bit better now and I'm eating almost normally. My doc told me I don't need to monitor my blood anymore which actually made me anxious as I didn't want to fall backwards again. I didn't have enough strips to check it very often anyway. So today was my hb1ac result. The nurse wasn't able to check what it was two years ago but she could see it had been 97 in the past. I've got a feeling it was 114 once. 
I was quite nervous today. I knew it would be a reasonably good result but it could easily send my depression in the wrong direction if it was in any way negative. 
My hb1ac is 41 today. I could not be happier. The nurse asked if I wanted to stop the metformin but I'd rather keep taking it for another 3-6 months at least. 
I am working out more but I don't go to the gym. I run a few times a week between 2 and 6 miles. I thoroughly enjoy it and I go walking/hiking when I can. 
Honestly though, I'm crap at this. I have quite a bad diet and still have a chocolate bar most days. I do drink lots more water these days so I guess that helps. 
My message is a simple one. If you're struggling the help isn't necessarily out there. The help is inside. It's you. It's not easy and it seems impossible at times but you can find what works for you. You really can. 
I'm sure I'll struggle again and I'm still struggling with mental health issues but maybe just maybe my diabetic days are behind me. 
Sorry to the USA folks if my readings seem strange, you seem to use a different scale to the uk. </t>
        </is>
      </c>
      <c r="D5035" t="n">
        <v>1</v>
      </c>
      <c r="E5035" t="n">
        <v>2</v>
      </c>
      <c r="F5035">
        <f>HYPERLINK("https://www.reddit.com/r/diabetes/comments/8zfhw8/i_dont_know_what_to_say_guys/")</f>
        <v/>
      </c>
      <c r="G5035" t="inlineStr">
        <is>
          <t>2018-07-16 15:22:47</t>
        </is>
      </c>
      <c r="H5035" t="inlineStr">
        <is>
          <t>Type 2</t>
        </is>
      </c>
    </row>
    <row r="5036">
      <c r="A5036" t="inlineStr">
        <is>
          <t>8zhcgz</t>
        </is>
      </c>
      <c r="B5036" t="inlineStr">
        <is>
          <t>After all this time</t>
        </is>
      </c>
      <c r="C5036" t="inlineStr">
        <is>
          <t>I've been a type one since I was 3 years old (I'm 24 now). For the longest time, especially after I graduated high school, my numbers were garbage. Constant a1c's above 10, always feeling like crap cause my blood sugar has been high for hours, rarely ever tested (sometimes went a week without testing) and honestly I wasn't giving my diabetes anywhere near the attention I was supposed to give it. I couldn't care enough to put in the effort.
I have been on minimed pumps ever since 2002, and recently I finally upgraded to the 670g with the closed-loop system. 
And for the first time in my life, I can finally say that it's easy for me to manage my diabetes. This system has provided me with constant steady numbers, much less intense/more manageable fluctuations, and useful data. And most importantly, it's provided me with a sense of comfort. I know that I can rely on and trust this system, and I can go on with my life without worrying about it anywhere near as much. I feel so much better than I have in forever, and because of the immediate results, it's given me a new feeling of responsibility with my diabetes that I've never really experienced before.
I know this is kind of a random story, but I wanted to share this happiness somewhere. I'm also curious for people that have gone onto a closed-loop system: how has it affected your diabetes and day to day life?</t>
        </is>
      </c>
      <c r="D5036" t="n">
        <v>19</v>
      </c>
      <c r="E5036" t="n">
        <v>4</v>
      </c>
      <c r="F5036">
        <f>HYPERLINK("https://www.reddit.com/r/diabetes/comments/8zhcgz/after_all_this_time/")</f>
        <v/>
      </c>
      <c r="G5036" t="inlineStr">
        <is>
          <t>2018-07-16 19:34:55</t>
        </is>
      </c>
      <c r="H5036" t="inlineStr">
        <is>
          <t>Type 1</t>
        </is>
      </c>
    </row>
    <row r="5037">
      <c r="A5037" t="inlineStr">
        <is>
          <t>8zilbq</t>
        </is>
      </c>
      <c r="B5037" t="inlineStr">
        <is>
          <t>diet of someone with type 2 diabetes</t>
        </is>
      </c>
      <c r="C5037" t="inlineStr">
        <is>
          <t>Found out my mom has type 2 diabetes. Im going to buy a a cookbook so that she gets an idea of what food to go for. Does someone who has type 2 diabetes have the same diet as someone who has type 1?
the reason im asking is because im buying her a cookbook in a different language and I cant find any type 2 diabetes cookbook only type 1. So would it be fine to buy her a book that has recipes for type 1?</t>
        </is>
      </c>
      <c r="D5037" t="n">
        <v>1</v>
      </c>
      <c r="E5037" t="n">
        <v>19</v>
      </c>
      <c r="F5037">
        <f>HYPERLINK("https://www.reddit.com/r/diabetes/comments/8zilbq/diet_of_someone_with_type_2_diabetes/")</f>
        <v/>
      </c>
      <c r="G5037" t="inlineStr">
        <is>
          <t>2018-07-16 22:53:06</t>
        </is>
      </c>
      <c r="H5037" t="inlineStr">
        <is>
          <t>Type 2</t>
        </is>
      </c>
    </row>
    <row r="5038">
      <c r="A5038" t="inlineStr">
        <is>
          <t>8zlyj3</t>
        </is>
      </c>
      <c r="B5038" t="inlineStr">
        <is>
          <t>Diabetic Neuropathy</t>
        </is>
      </c>
      <c r="C5038" t="inlineStr">
        <is>
          <t xml:space="preserve">Hey guys, 
Just want to ask if these symptoms line up to anything and when I go to the endocrinology and my GP nest week for my physical should I ask to get test run for anything this could be. I get a fuzzy feeling in the top of my feet and in the surrounding area in the mornings and weird parts of the day. As of right now I have not been able to correlate it with anything that is happening such as high blood sugar or anything. 
I know these symptoms is in line with diabetic neuropathy but I have only been diagnosed for 7-8 months and my last two A1C's were 6.9 and  6.5. I had a physical in July 2017, 6 months before diagnose, and my blood sugars were in the 80s fasting so I know I was diagnosed pretty quickly after.  I do not know how I could have gotten it so quickly so what else could it be. Can Celiac or EPI cause this? What should I ask my doctor about what to do? I am very active coaching soccer twice a week, playing pick up twice and running/lifting every morning so I really do not want anything to happen to my feet. </t>
        </is>
      </c>
      <c r="D5038" t="n">
        <v>4</v>
      </c>
      <c r="E5038" t="n">
        <v>17</v>
      </c>
      <c r="F5038">
        <f>HYPERLINK("https://www.reddit.com/r/diabetes/comments/8zlyj3/diabetic_neuropathy/")</f>
        <v/>
      </c>
      <c r="G5038" t="inlineStr">
        <is>
          <t>2018-07-17 08:13:05</t>
        </is>
      </c>
      <c r="H5038" t="inlineStr">
        <is>
          <t>Type 1</t>
        </is>
      </c>
    </row>
    <row r="5039">
      <c r="A5039" t="inlineStr">
        <is>
          <t>8zn1fj</t>
        </is>
      </c>
      <c r="B5039" t="inlineStr">
        <is>
          <t>Will Medtronic 670G work without the CGM?</t>
        </is>
      </c>
      <c r="C5039" t="inlineStr">
        <is>
          <t>Currently have an animas ping and Medtronic is doing an exchange program for animas customers. I would pay $400 for the pump and 1 sensor but after that, the rep told me the sensors retail price is around $500 and I can’t afford that. I have Aetna and they won’t even begin to cover any DME until I meet the $12,000 deductible (which isn’t going to happen). I’m going to run out of Dexcom sensors soon and my sugars drop and I don’t feel it at all. So I guess I’ll just be without any CGM. I’m just trying to see if I can still use the Medtronic pump without the CGM it comes with. Any suggestions at all would be really great! Thanks :)</t>
        </is>
      </c>
      <c r="D5039" t="n">
        <v>2</v>
      </c>
      <c r="E5039" t="n">
        <v>4</v>
      </c>
      <c r="F5039">
        <f>HYPERLINK("https://www.reddit.com/r/diabetes/comments/8zn1fj/will_medtronic_670g_work_without_the_cgm/")</f>
        <v/>
      </c>
      <c r="G5039" t="inlineStr">
        <is>
          <t>2018-07-17 10:16:28</t>
        </is>
      </c>
      <c r="H5039" t="inlineStr">
        <is>
          <t>Type 1</t>
        </is>
      </c>
    </row>
    <row r="5040">
      <c r="A5040" t="inlineStr">
        <is>
          <t>8zoiq6</t>
        </is>
      </c>
      <c r="B5040" t="inlineStr">
        <is>
          <t>Is the Dexcom CGM for type 1 only?</t>
        </is>
      </c>
      <c r="C5040" t="inlineStr">
        <is>
          <t>I was looking at the dexcom cgm and it looks like something my grandpa could benefit from because of his unpredictable glucose levels and his insulin( humulin N) not matching or not reacting fast enough to bring it down. I asked his doctor if this could be something he could use , but he told me that its only used for patients with type 1 diabetes. I was unaware of that . Is this true? Does anyone with type 2 diabetes use this? and does insurance cover it?</t>
        </is>
      </c>
      <c r="D5040" t="n">
        <v>2</v>
      </c>
      <c r="E5040" t="n">
        <v>5</v>
      </c>
      <c r="F5040">
        <f>HYPERLINK("https://www.reddit.com/r/diabetes/comments/8zoiq6/is_the_dexcom_cgm_for_type_1_only/")</f>
        <v/>
      </c>
      <c r="G5040" t="inlineStr">
        <is>
          <t>2018-07-17 12:58:11</t>
        </is>
      </c>
      <c r="H5040" t="inlineStr">
        <is>
          <t>Type 2</t>
        </is>
      </c>
    </row>
    <row r="5041">
      <c r="A5041" t="inlineStr">
        <is>
          <t>8zpu5f</t>
        </is>
      </c>
      <c r="B5041" t="inlineStr">
        <is>
          <t>Best Technology</t>
        </is>
      </c>
      <c r="C5041" t="inlineStr">
        <is>
          <t xml:space="preserve">Had an awful day today, my wife was diagnosed with T1. Looking for the best technology avaliable to make her routine and life as easy as can be. 
What is the best solution for realtime monitoring and insulin delivery avaliable? Are there any completely automated solutions? 
No limit on cost
Thanks all in advanced 
</t>
        </is>
      </c>
      <c r="D5041" t="n">
        <v>3</v>
      </c>
      <c r="E5041" t="n">
        <v>14</v>
      </c>
      <c r="F5041">
        <f>HYPERLINK("https://www.reddit.com/r/diabetes/comments/8zpu5f/best_technology/")</f>
        <v/>
      </c>
      <c r="G5041" t="inlineStr">
        <is>
          <t>2018-07-17 15:37:45</t>
        </is>
      </c>
      <c r="H5041" t="inlineStr">
        <is>
          <t>Type 1</t>
        </is>
      </c>
    </row>
    <row r="5042">
      <c r="A5042" t="inlineStr">
        <is>
          <t>8zs013</t>
        </is>
      </c>
      <c r="B5042" t="inlineStr">
        <is>
          <t>Any Type 1.5ers out there? CGM question</t>
        </is>
      </c>
      <c r="C5042" t="inlineStr">
        <is>
          <t xml:space="preserve">Also called Latent Autoimmune Diabetes in Adults, type 1.5 is a diagnosis my doctors keep telling me, and suggesting that I does not reach the levels of glucose required to receive a CGM (continuous glucose monitor) through my insurance. 
In regards to treatment, what are your guys' gals' treatment plans and was it easy/hard to attain a pump or CGM?
Currently, I am taking long acting insulin (Lantis) and fast acting insulin (novalog).  </t>
        </is>
      </c>
      <c r="D5042" t="n">
        <v>2</v>
      </c>
      <c r="E5042" t="n">
        <v>7</v>
      </c>
      <c r="F5042">
        <f>HYPERLINK("https://www.reddit.com/r/diabetes/comments/8zs013/any_type_15ers_out_there_cgm_question/")</f>
        <v/>
      </c>
      <c r="G5042" t="inlineStr">
        <is>
          <t>2018-07-17 20:36:35</t>
        </is>
      </c>
      <c r="H5042" t="inlineStr">
        <is>
          <t>Type 1.5/LADA</t>
        </is>
      </c>
    </row>
    <row r="5043">
      <c r="A5043" t="inlineStr">
        <is>
          <t>8ztu8q</t>
        </is>
      </c>
      <c r="B5043" t="inlineStr">
        <is>
          <t>How consistent are your FBG values? Can you improve consistensy?</t>
        </is>
      </c>
      <c r="C5043" t="inlineStr">
        <is>
          <t>Hi
I got my diagnosis 2 months ago and i have mostly gotten my blood sugars under controll, however i do get annoyed that my FVG values can vary wildly, some mornings i wake up and i have values in the 80s which feels great, but some days i wake up in the high 90s/low 100s. Is this type of variability normal? are you guys able to more consistent values? Am i beeing overly anal/concern with my values? ;)</t>
        </is>
      </c>
      <c r="D5043" t="n">
        <v>1</v>
      </c>
      <c r="E5043" t="n">
        <v>7</v>
      </c>
      <c r="F5043">
        <f>HYPERLINK("https://www.reddit.com/r/diabetes/comments/8ztu8q/how_consistent_are_your_fbg_values_can_you/")</f>
        <v/>
      </c>
      <c r="G5043" t="inlineStr">
        <is>
          <t>2018-07-18 02:06:46</t>
        </is>
      </c>
      <c r="H5043" t="inlineStr">
        <is>
          <t>Type 2</t>
        </is>
      </c>
    </row>
    <row r="5044">
      <c r="A5044" t="inlineStr">
        <is>
          <t>8zwl3z</t>
        </is>
      </c>
      <c r="B5044" t="inlineStr">
        <is>
          <t>Is it really necessary to pre-bolus?</t>
        </is>
      </c>
      <c r="C5044" t="inlineStr">
        <is>
          <t>I live with my family of 5 and we eat several meals a day together. Anyways I was wondering is it really necessary to pre-bolus 15 min before eating? It always ends up with me waiting while my family eats lol, how much of a difference is there on my hba1c while pre-bolusing and not pre-bolusing?
I did not pre-bolus while on vacation and I felt like I was a «bad» diabetic because of this. Can I live really long without complications if I do not pre-bolus?</t>
        </is>
      </c>
      <c r="D5044" t="n">
        <v>11</v>
      </c>
      <c r="E5044" t="n">
        <v>59</v>
      </c>
      <c r="F5044">
        <f>HYPERLINK("https://www.reddit.com/r/diabetes/comments/8zwl3z/is_it_really_necessary_to_prebolus/")</f>
        <v/>
      </c>
      <c r="G5044" t="inlineStr">
        <is>
          <t>2018-07-18 08:41:41</t>
        </is>
      </c>
      <c r="H5044" t="inlineStr">
        <is>
          <t>Type 1</t>
        </is>
      </c>
    </row>
    <row r="5045">
      <c r="A5045" t="inlineStr">
        <is>
          <t>901jvj</t>
        </is>
      </c>
      <c r="B5045" t="inlineStr">
        <is>
          <t>How do you keep yourself off high sweets and high salt, yummy food, when you lose your job?</t>
        </is>
      </c>
      <c r="C5045" t="inlineStr">
        <is>
          <t xml:space="preserve">Foods: chocolate cakes, baklava, mangoes, pizza, fries...it seems I’m on a love drive :) 
I know it sounds stupid, but I don’t feel like searching for jobs anymore. I feel like creating one, but don’t have much in the kitty. 
Some ideas, 
1) Record my BG on YT? 
2) Making a show on dealing with depression and diabetes 
3) Travel and be a digital nomad 
(Any ideas, how do you keep your energy up while not eating food that you feel energized by?)
I’m thin, type 2, diagnosed in early May with A1c of 12%, high cholesterol and low B12. On metformin 500 mg, twice daily. 
tl;dr: How do you not take junk when the hell breaks lose in your head? </t>
        </is>
      </c>
      <c r="D5045" t="n">
        <v>0</v>
      </c>
      <c r="E5045" t="n">
        <v>10</v>
      </c>
      <c r="F5045">
        <f>HYPERLINK("https://www.reddit.com/r/diabetes/comments/901jvj/how_do_you_keep_yourself_off_high_sweets_and_high/")</f>
        <v/>
      </c>
      <c r="G5045" t="inlineStr">
        <is>
          <t>2018-07-18 18:46:07</t>
        </is>
      </c>
      <c r="H5045" t="inlineStr">
        <is>
          <t>Type 2</t>
        </is>
      </c>
    </row>
    <row r="5046">
      <c r="A5046" t="inlineStr">
        <is>
          <t>902dha</t>
        </is>
      </c>
      <c r="B5046" t="inlineStr">
        <is>
          <t>freestyle libre sensor</t>
        </is>
      </c>
      <c r="C5046" t="inlineStr">
        <is>
          <t xml:space="preserve">What is the price of the freestyle libre in US? I live in canada and it costs 89$ CAD for each sensor and its not covered by my insurance. </t>
        </is>
      </c>
      <c r="D5046" t="n">
        <v>3</v>
      </c>
      <c r="E5046" t="n">
        <v>6</v>
      </c>
      <c r="F5046">
        <f>HYPERLINK("https://www.reddit.com/r/diabetes/comments/902dha/freestyle_libre_sensor/")</f>
        <v/>
      </c>
      <c r="G5046" t="inlineStr">
        <is>
          <t>2018-07-18 20:41:56</t>
        </is>
      </c>
      <c r="H5046" t="inlineStr">
        <is>
          <t>Type 2</t>
        </is>
      </c>
    </row>
    <row r="5047">
      <c r="A5047" t="inlineStr">
        <is>
          <t>902h9d</t>
        </is>
      </c>
      <c r="B5047" t="inlineStr">
        <is>
          <t>I have type 1 diabetes. Does anyone know why ground cinnamon, holy basil tea, and bitter melon tea RAISE my blood sugar when I purchased them to LOWER my blood sugar?</t>
        </is>
      </c>
      <c r="C5047" t="inlineStr">
        <is>
          <t>If I consume ground cinnamon powder on an empty stomach, it appears to raise my blood sugar, and taking it with meals in the hopes of slowing blood sugar spike does not work. Holy basil doesn't do much (I think it glucose-neutral), and I was recommended bitter melon tea at a health food store today. I drank a cup and it raised my blood sugar. I ended up consuming three more cups and over the course of an hour, my blood sugar rose from 191 to 305 without eating a single thing. I am confused as to why this is. Chromium picolinate (800 mg) seems to work well for lowering blood sugar, but even taking chromium after consuming the bitter melon tea did not reduce my blood sugar. I had to take a bolus (HumaLog) to achieve that effect.</t>
        </is>
      </c>
      <c r="D5047" t="n">
        <v>0</v>
      </c>
      <c r="E5047" t="n">
        <v>33</v>
      </c>
      <c r="F5047">
        <f>HYPERLINK("https://www.reddit.com/r/diabetes/comments/902h9d/i_have_type_1_diabetes_does_anyone_know_why/")</f>
        <v/>
      </c>
      <c r="G5047" t="inlineStr">
        <is>
          <t>2018-07-18 20:57:53</t>
        </is>
      </c>
      <c r="H5047" t="inlineStr">
        <is>
          <t>Type 1</t>
        </is>
      </c>
    </row>
    <row r="5048">
      <c r="A5048" t="inlineStr">
        <is>
          <t>90326x</t>
        </is>
      </c>
      <c r="B5048" t="inlineStr">
        <is>
          <t>Am I supposed to keep blood sugar as low as possible?</t>
        </is>
      </c>
      <c r="C5048" t="inlineStr">
        <is>
          <t xml:space="preserve">Recently diagnosed T2.    
So....  
I am supposed to keep my glucose below 180.  Is the game to keep it as close to non-diabetic levels (below 140)as possible?  Or am I golden as long as it is 180?    
Does keeping it low reverse damage, or does it just prevent more?  Will keeping it at normal (non diabetic) levels reverse it?    
180 is the "post prandial" level.  Should it be under that throughout the day?  or just after meals?  I've been doing pretty well so far..."so far" is one day.  I've been eating very low carb.  Mostly I've been at 130-140.  (My fasting glucose was a little high at 133.  </t>
        </is>
      </c>
      <c r="D5048" t="n">
        <v>1</v>
      </c>
      <c r="E5048" t="n">
        <v>11</v>
      </c>
      <c r="F5048">
        <f>HYPERLINK("https://www.reddit.com/r/diabetes/comments/90326x/am_i_supposed_to_keep_blood_sugar_as_low_as/")</f>
        <v/>
      </c>
      <c r="G5048" t="inlineStr">
        <is>
          <t>2018-07-18 22:29:42</t>
        </is>
      </c>
      <c r="H5048" t="inlineStr">
        <is>
          <t>Type 2</t>
        </is>
      </c>
    </row>
    <row r="5049">
      <c r="A5049" t="inlineStr">
        <is>
          <t>904dj7</t>
        </is>
      </c>
      <c r="B5049" t="inlineStr">
        <is>
          <t>Uni project</t>
        </is>
      </c>
      <c r="C5049" t="inlineStr">
        <is>
          <t>Dear all, I am currently a Master's student at UCL, and as part of my thesis I am researching the role that mobile health applications play (or can potentially play) in the self-management of diabetes. The main goal is to identify the preferences of people with diabetes when it comes to the use of mobile apps. I would really appreciate it if you could complete this short survey (it takes about 4 minutes). All responses are anonymous, and personal information is not asked for. Your participation would be very much appreciated. Thank you!
[https://www.surveymonkey.com/r/2CXYQ5H](https://www.surveymonkey.com/r/2CXYQ5H)</t>
        </is>
      </c>
      <c r="D5049" t="n">
        <v>0</v>
      </c>
      <c r="E5049" t="n">
        <v>2</v>
      </c>
      <c r="F5049">
        <f>HYPERLINK("https://www.reddit.com/r/diabetes/comments/904dj7/uni_project/")</f>
        <v/>
      </c>
      <c r="G5049" t="inlineStr">
        <is>
          <t>2018-07-19 02:32:08</t>
        </is>
      </c>
      <c r="H5049" t="inlineStr">
        <is>
          <t>Type 2</t>
        </is>
      </c>
    </row>
    <row r="5050">
      <c r="A5050" t="inlineStr">
        <is>
          <t>904krq</t>
        </is>
      </c>
      <c r="B5050" t="inlineStr">
        <is>
          <t>Finger Tips</t>
        </is>
      </c>
      <c r="C5050" t="inlineStr">
        <is>
          <t xml:space="preserve">How do you all keep your finger tips from getting too torn up from the constant checking? I am not sure if it is the new pricker I am using or what, but for the first time in my 18+ years of T1D I haven't seen this much... hardening? Not sure how to describe it. I can definitely feel the healing of the punctures as far as little holes go. </t>
        </is>
      </c>
      <c r="D5050" t="n">
        <v>2</v>
      </c>
      <c r="E5050" t="n">
        <v>6</v>
      </c>
      <c r="F5050">
        <f>HYPERLINK("https://www.reddit.com/r/diabetes/comments/904krq/finger_tips/")</f>
        <v/>
      </c>
      <c r="G5050" t="inlineStr">
        <is>
          <t>2018-07-19 03:09:34</t>
        </is>
      </c>
      <c r="H5050" t="inlineStr">
        <is>
          <t>Type 1</t>
        </is>
      </c>
    </row>
    <row r="5051">
      <c r="A5051" t="inlineStr">
        <is>
          <t>904x4z</t>
        </is>
      </c>
      <c r="B5051" t="inlineStr">
        <is>
          <t>Diabetes Research Project</t>
        </is>
      </c>
      <c r="C5051" t="inlineStr">
        <is>
          <t xml:space="preserve">Hi everyone!
I am looking for diabetic participants to take part in my study for my master’s dissertation. It is on social networking and diabetes self-management. Anyone over the age of 18 with diabetes (type 1 and type 2) can take part in this study. It’s an online survey which asks questions about you, your social networking use and how you self-manage your diabetes.  It’s a simple survey which will take no longer than 10 minutes to complete, and you can also win **a £10 amazon gift card**.  
If you’re interested in gaining valuable insight that may encourage beneficial changes to your own diabetes self-management, please click the link below I would greatly appreciate it! Thank you.
Link:  [https://qtrial2018q2az1.az1.qualtrics.com/jfe/form/SV\_0HWDglX9ts6eIMR](https://qtrial2018q2az1.az1.qualtrics.com/jfe/form/SV_0HWDglX9ts6eIMR)  
If you have any questions, please email me at [km00868@Surrey.ac.uk](mailto:km00868@Surrey.ac.uk). </t>
        </is>
      </c>
      <c r="D5051" t="n">
        <v>0</v>
      </c>
      <c r="E5051" t="n">
        <v>0</v>
      </c>
      <c r="F5051">
        <f>HYPERLINK("https://www.reddit.com/r/diabetes/comments/904x4z/diabetes_research_project/")</f>
        <v/>
      </c>
      <c r="G5051" t="inlineStr">
        <is>
          <t>2018-07-19 04:10:29</t>
        </is>
      </c>
      <c r="H5051" t="inlineStr">
        <is>
          <t>Type 2</t>
        </is>
      </c>
    </row>
    <row r="5052">
      <c r="A5052" t="inlineStr">
        <is>
          <t>906rax</t>
        </is>
      </c>
      <c r="B5052" t="inlineStr">
        <is>
          <t>How do you bolus for proteins and fats?</t>
        </is>
      </c>
      <c r="C5052" t="inlineStr">
        <is>
          <t>Hi redditor, i'm a t1d and i have been on omnipod since october. One of my big challenges has been how to bolus for proteins and fats . How do you do it?</t>
        </is>
      </c>
      <c r="D5052" t="n">
        <v>2</v>
      </c>
      <c r="E5052" t="n">
        <v>9</v>
      </c>
      <c r="F5052">
        <f>HYPERLINK("https://www.reddit.com/r/diabetes/comments/906rax/how_do_you_bolus_for_proteins_and_fats/")</f>
        <v/>
      </c>
      <c r="G5052" t="inlineStr">
        <is>
          <t>2018-07-19 08:19:42</t>
        </is>
      </c>
      <c r="H5052" t="inlineStr">
        <is>
          <t>Type 1</t>
        </is>
      </c>
    </row>
    <row r="5053">
      <c r="A5053" t="inlineStr">
        <is>
          <t>9079tg</t>
        </is>
      </c>
      <c r="B5053" t="inlineStr">
        <is>
          <t>New to Diabetes. Terrified. Need guidance. (T2, Diagnosed 7/15/18 with A1C of 8.6)</t>
        </is>
      </c>
      <c r="C5053" t="inlineStr">
        <is>
          <t>I'm 33 years old, which is up there, but it's not super old. I didn't think things were this bad. I really need a trusted source of information and would appreciate some guidance. I'm on metformin now but I'm afraid my pancreas will fail any moment. 
* What do I need to buy?
* Are there any books or websites that y'all can direct me to?
* Are there anythings that I should stop doing immediately?
* Start doing?</t>
        </is>
      </c>
      <c r="D5053" t="n">
        <v>2</v>
      </c>
      <c r="E5053" t="n">
        <v>14</v>
      </c>
      <c r="F5053">
        <f>HYPERLINK("https://www.reddit.com/r/diabetes/comments/9079tg/new_to_diabetes_terrified_need_guidance_t2/")</f>
        <v/>
      </c>
      <c r="G5053" t="inlineStr">
        <is>
          <t>2018-07-19 09:18:11</t>
        </is>
      </c>
      <c r="H5053" t="inlineStr">
        <is>
          <t>Type 2</t>
        </is>
      </c>
    </row>
    <row r="5054">
      <c r="A5054" t="inlineStr">
        <is>
          <t>907ao2</t>
        </is>
      </c>
      <c r="B5054" t="inlineStr">
        <is>
          <t>Weight Gain since diagnosed with T1D a year ago</t>
        </is>
      </c>
      <c r="C5054" t="inlineStr">
        <is>
          <t>Hi everyone,
I was just diagnosed a year ago and the reddit community has truly helped me in so many ways during this lifestyle adjustment. I have gained 15 lbs since I was diagnosed and I find it almost impossible to lose weight now. I realize I'm not overweight, but it's just frustrating that losing weight since I was diagnosed seems harder than it ever was before. 
For reference, I'm 24 years old female, 5'4, go to the gym 3x week for about 40 min, and I used to weight 116 lbs before diagnosed, now I weight 132 lbs and I cannot lose these extra lbs no matter what. 
I have good A1C (5.8), but I'm also constantly treating hypos (probably 2 or 3 times a day). I cut a lot of carbs from my diet (although not completely). I eat about 150-200 g carbs a day, which I know is a lot more than a lot of you probably eat. It's just frustrating because I used to eat a lot more than that during college before diagnosed and didn't gain nearly as much weight as I do now, eating healthier.
Did this happen to anyone else? Any advice, suggestions, or words of encouragement are greatly appreciate it.
Thank you so much in advance!
TL;DR: 5'4 F gained 15 lbs since diagnosed a year ago, eating healthier but not low-carb, any advice?</t>
        </is>
      </c>
      <c r="D5054" t="n">
        <v>1</v>
      </c>
      <c r="E5054" t="n">
        <v>25</v>
      </c>
      <c r="F5054">
        <f>HYPERLINK("https://www.reddit.com/r/diabetes/comments/907ao2/weight_gain_since_diagnosed_with_t1d_a_year_ago/")</f>
        <v/>
      </c>
      <c r="G5054" t="inlineStr">
        <is>
          <t>2018-07-19 09:20:42</t>
        </is>
      </c>
      <c r="H5054" t="inlineStr">
        <is>
          <t>Type 1</t>
        </is>
      </c>
    </row>
    <row r="5055">
      <c r="A5055" t="inlineStr">
        <is>
          <t>908oqn</t>
        </is>
      </c>
      <c r="B5055" t="inlineStr">
        <is>
          <t>Due to dyshidrotic eczema on hands, I have not been using my glucometer and checking blood sugars</t>
        </is>
      </c>
      <c r="C5055" t="inlineStr">
        <is>
          <t>I have these painful blisters from finger tips to wrists that are really sensitive and itchy, and I've seen a doctor and am trying to clear it up. The problem is that I don't feel like checking my blood sugar because  my hands are already painful and breaking the skin barrier can cause infection with these cases. 
I was wondering whether anyone had any tips for this? It will probably go away half a month max but it tends to be a chronic problem. 
Thanks</t>
        </is>
      </c>
      <c r="D5055" t="n">
        <v>2</v>
      </c>
      <c r="E5055" t="n">
        <v>11</v>
      </c>
      <c r="F5055">
        <f>HYPERLINK("https://www.reddit.com/r/diabetes/comments/908oqn/due_to_dyshidrotic_eczema_on_hands_i_have_not/")</f>
        <v/>
      </c>
      <c r="G5055" t="inlineStr">
        <is>
          <t>2018-07-19 11:58:05</t>
        </is>
      </c>
      <c r="H5055" t="inlineStr">
        <is>
          <t>Type 2</t>
        </is>
      </c>
    </row>
    <row r="5056">
      <c r="A5056" t="inlineStr">
        <is>
          <t>90bz4t</t>
        </is>
      </c>
      <c r="B5056" t="inlineStr">
        <is>
          <t>Anyone notice a correlation between cardiovascular strain and blood sugar spikes during exercise?</t>
        </is>
      </c>
      <c r="C5056" t="inlineStr">
        <is>
          <t xml:space="preserve">I got a Freestyle Libre a few weeks ago and this thing has been a total game changer. After years of struggle, I can FINALLY see patterns in my BG levels and correct issues that have plagued me since diagnosis. However, one thing I have yet to understand is what is happening during exercise.
I work out for an hour 6 days a week and do 3 different kind of training: power lifting, long distance running (4+ miles), and high intensity interval training (HIIT). Occasionally I'll throw in something like martial arts or yoga. I have heard that running is supposed to be the best way to lower BG, but that hasn't been my experience. Somehow an hour of lifting will drop me by up to 40 mg/dl. Sometimes I have to eat sugar to keep from going low! With jogging, I usually rise 30-40 for the duration of my run, then fall back down to prior levels. Interval training absolutely destroys me; I spike well into the 200's within 15 minutes and stay there for a while. It's worse than drinking OJ or sugar soda (although I recover more quickly from exercise than dietary sugar). 
The only correlation I can think of is how winded I get during these types of exercise. Power lifting is hard but involves a lot of long breaks between sets. I breath heavily during my jogs, and I'm constantly gasping for air and stopping to catch my breath with HIIT (cardio is not my thing, lol). Is there a relationship between cardiovascular/respiratory strain and blood sugar? I'm on Jardiance so I'm a little concerned with flying from the low 100's to 240+ so frequently.   
</t>
        </is>
      </c>
      <c r="D5056" t="n">
        <v>1</v>
      </c>
      <c r="E5056" t="n">
        <v>12</v>
      </c>
      <c r="F5056">
        <f>HYPERLINK("https://www.reddit.com/r/diabetes/comments/90bz4t/anyone_notice_a_correlation_between/")</f>
        <v/>
      </c>
      <c r="G5056" t="inlineStr">
        <is>
          <t>2018-07-19 19:03:56</t>
        </is>
      </c>
      <c r="H5056" t="inlineStr">
        <is>
          <t>Type 2</t>
        </is>
      </c>
    </row>
    <row r="5057">
      <c r="A5057" t="inlineStr">
        <is>
          <t>90czoi</t>
        </is>
      </c>
      <c r="B5057" t="inlineStr">
        <is>
          <t>A1C from 11 to 7 after many years</t>
        </is>
      </c>
      <c r="C5057" t="inlineStr">
        <is>
          <t>Hi everyone,
I just want to thank you all. I'm a T1 (actually 1.5) since 2002 (I was 9) and I finally got an "ok" A1C result after taking courage to work harder on my health. I'm aiming for 6-6.5, which I believe I'll get in less than a month, according to my FreeStyle Libre 90-day Average - a nice 6.4.
My A1C was better when I was younger, but always around 7.5-9. For the last 7 years I started having insulin resistance and even taking a lot of meds (victoza, metformin...) things were going really bad (10-11), but I don't have any complication. Last April, I started using FreeStyle Libre + Forxiga (farxiga in some countries) + going 3x a week to the gym and things started to work really well.
I was motivated to change my health after reading all your posts and nice comments, so thank you!
I also want to say that I'm not interested in keto, low carb or things like that, and I admire who does that.  I believe I can keep my A1C at 6.5 and be happy and healthy eating my normal carbs.</t>
        </is>
      </c>
      <c r="D5057" t="n">
        <v>17</v>
      </c>
      <c r="E5057" t="n">
        <v>1</v>
      </c>
      <c r="F5057">
        <f>HYPERLINK("https://www.reddit.com/r/diabetes/comments/90czoi/a1c_from_11_to_7_after_many_years/")</f>
        <v/>
      </c>
      <c r="G5057" t="inlineStr">
        <is>
          <t>2018-07-19 21:40:01</t>
        </is>
      </c>
      <c r="H5057" t="inlineStr">
        <is>
          <t>Type 1</t>
        </is>
      </c>
    </row>
    <row r="5058">
      <c r="A5058" t="inlineStr">
        <is>
          <t>90g7ny</t>
        </is>
      </c>
      <c r="B5058" t="inlineStr">
        <is>
          <t>I'm sick</t>
        </is>
      </c>
      <c r="C5058" t="inlineStr">
        <is>
          <t>For three days now my blood has been affected by my sickness causing it to stay high and need two correction bolus at a time to lower it
Just complaining</t>
        </is>
      </c>
      <c r="D5058" t="n">
        <v>3</v>
      </c>
      <c r="E5058" t="n">
        <v>5</v>
      </c>
      <c r="F5058">
        <f>HYPERLINK("https://www.reddit.com/r/diabetes/comments/90g7ny/im_sick/")</f>
        <v/>
      </c>
      <c r="G5058" t="inlineStr">
        <is>
          <t>2018-07-20 06:59:22</t>
        </is>
      </c>
      <c r="H5058" t="inlineStr">
        <is>
          <t>Type 1</t>
        </is>
      </c>
    </row>
    <row r="5059">
      <c r="A5059" t="inlineStr">
        <is>
          <t>90h54f</t>
        </is>
      </c>
      <c r="B5059" t="inlineStr">
        <is>
          <t>No CGM no Pump no problem?</t>
        </is>
      </c>
      <c r="C5059" t="inlineStr">
        <is>
          <t xml:space="preserve">Type 1 for 4 years and have been pricking finger and using pens for the entire time.
I'm comfortable checking my blood sugars and giving myself shots. For me, I would prefer this rather than having something attached to me. Just a personal preference. Other than the convenience of CGM's and Pumps, are there any other reason to consider switching? I do keto and it has done wonders for my health, average blood sugar of 105 for the past few months. </t>
        </is>
      </c>
      <c r="D5059" t="n">
        <v>5</v>
      </c>
      <c r="E5059" t="n">
        <v>18</v>
      </c>
      <c r="F5059">
        <f>HYPERLINK("https://www.reddit.com/r/diabetes/comments/90h54f/no_cgm_no_pump_no_problem/")</f>
        <v/>
      </c>
      <c r="G5059" t="inlineStr">
        <is>
          <t>2018-07-20 08:53:39</t>
        </is>
      </c>
      <c r="H5059" t="inlineStr">
        <is>
          <t>Type 1</t>
        </is>
      </c>
    </row>
    <row r="5060">
      <c r="A5060" t="inlineStr">
        <is>
          <t>90iudp</t>
        </is>
      </c>
      <c r="B5060" t="inlineStr">
        <is>
          <t>Fun Stream with dear diabetics</t>
        </is>
      </c>
      <c r="C5060" t="inlineStr">
        <is>
          <t xml:space="preserve">hi, i recently started to stream and i would like the people of this subreddit to enjoy my stream. i am having fun but with no people watching and as i t1 diabetic myself i want your support. i have songrequest on as well. you only have to donate for videos. so coem on down to my stream if you have time and i hope to see you people there! by a dear T1 &amp;lt;3 </t>
        </is>
      </c>
      <c r="D5060" t="n">
        <v>0</v>
      </c>
      <c r="E5060" t="n">
        <v>1</v>
      </c>
      <c r="F5060">
        <f>HYPERLINK("https://www.reddit.com/r/diabetes/comments/90iudp/fun_stream_with_dear_diabetics/")</f>
        <v/>
      </c>
      <c r="G5060" t="inlineStr">
        <is>
          <t>2018-07-20 12:11:48</t>
        </is>
      </c>
      <c r="H5060" t="inlineStr">
        <is>
          <t>Type 1</t>
        </is>
      </c>
    </row>
    <row r="5061">
      <c r="A5061" t="inlineStr">
        <is>
          <t>90k1a9</t>
        </is>
      </c>
      <c r="B5061" t="inlineStr">
        <is>
          <t>Leftover Apidra insulin after a switch...</t>
        </is>
      </c>
      <c r="C5061" t="inlineStr">
        <is>
          <t xml:space="preserve">I recently switched insulin and I have a pack of Apidra pens left.. I don't want to throw them and I would rather somebody who needs them gets them... is there anyway I can do this? </t>
        </is>
      </c>
      <c r="D5061" t="n">
        <v>0</v>
      </c>
      <c r="E5061" t="n">
        <v>2</v>
      </c>
      <c r="F5061">
        <f>HYPERLINK("https://www.reddit.com/r/diabetes/comments/90k1a9/leftover_apidra_insulin_after_a_switch/")</f>
        <v/>
      </c>
      <c r="G5061" t="inlineStr">
        <is>
          <t>2018-07-20 14:36:11</t>
        </is>
      </c>
      <c r="H5061" t="inlineStr">
        <is>
          <t>Type 1</t>
        </is>
      </c>
    </row>
    <row r="5062">
      <c r="A5062" t="inlineStr">
        <is>
          <t>90kylm</t>
        </is>
      </c>
      <c r="B5062" t="inlineStr">
        <is>
          <t>What could have been a better alternative for 2 muffin burgers from McD and one spicy burger with everything from Harvey and some frickles?</t>
        </is>
      </c>
      <c r="C5062" t="inlineStr">
        <is>
          <t xml:space="preserve">I consumed this all, and I think eating outside is a death trap, I’m guilty of falling into. My schedule is tough and I’m not sure if I can carry food around while on foot. </t>
        </is>
      </c>
      <c r="D5062" t="n">
        <v>0</v>
      </c>
      <c r="E5062" t="n">
        <v>23</v>
      </c>
      <c r="F5062">
        <f>HYPERLINK("https://www.reddit.com/r/diabetes/comments/90kylm/what_could_have_been_a_better_alternative_for_2/")</f>
        <v/>
      </c>
      <c r="G5062" t="inlineStr">
        <is>
          <t>2018-07-20 16:43:33</t>
        </is>
      </c>
      <c r="H5062" t="inlineStr">
        <is>
          <t>Type 2</t>
        </is>
      </c>
    </row>
    <row r="5063">
      <c r="A5063" t="inlineStr">
        <is>
          <t>90lxwo</t>
        </is>
      </c>
      <c r="B5063" t="inlineStr">
        <is>
          <t>Hard when people dont understand this isn't always easy.</t>
        </is>
      </c>
      <c r="C5063" t="inlineStr">
        <is>
          <t>I just had dinner with my partner and a friend and was trying to explain to them that I am trying intermittent fasting to help with my blood sugar numbers that often go above 200 after meals and got completely shut down. My friend said "that's just way to complicated for me." And my partner tried to make a joke about it. 
I just responded to my friend that they're not diabetic so she wouldn't understand but I have to think about it and told my partner that I was serious and would like if he would try to listen. 
Sometimes I just wish they could understand though...or that I could just not have to think about and deal with type 1 for awhile. 
Usually I'm fine with all this stuff, but tonight it just hit me. I guess I just needed somewhere to vent.</t>
        </is>
      </c>
      <c r="D5063" t="n">
        <v>3</v>
      </c>
      <c r="E5063" t="n">
        <v>0</v>
      </c>
      <c r="F5063">
        <f>HYPERLINK("https://www.reddit.com/r/diabetes/comments/90lxwo/hard_when_people_dont_understand_this_isnt_always/")</f>
        <v/>
      </c>
      <c r="G5063" t="inlineStr">
        <is>
          <t>2018-07-20 19:14:20</t>
        </is>
      </c>
      <c r="H5063" t="inlineStr">
        <is>
          <t>Type 1</t>
        </is>
      </c>
    </row>
    <row r="5064">
      <c r="A5064" t="inlineStr">
        <is>
          <t>90m29q</t>
        </is>
      </c>
      <c r="B5064" t="inlineStr">
        <is>
          <t>Switched Insulin Yesterday</t>
        </is>
      </c>
      <c r="C5064" t="inlineStr">
        <is>
          <t>My DH (T1 since 1992) saw an endocrinologist yesterday for the first time ever.  He normally sees his general practitioner but we're wanting more specialized diabetes care.  He had a whole barrage of tests and the new doc was pleased with the results.  Feet, legs, eyes are in very good shape for a 26 year diabetic.  
He's been on Lantas insulin (morning and night, 50 units each time) and Novalog on a sliding scale during the day at meal times.  New doctor changed him to Toujeo yesterday, one injection at night (80 units) starting last night (Thursday) and continue on Novalog, keeping a daily log of blood sugar and insulin used on the sliding scale.  He normally does \*okay\* checking his sugar but doesn't keep a log or anything.  He wants to get a pump and he has to do the month of logging to get started on qualifying for the pump (as far as insurance I think).  The doc was very high on the new insulin as she thinks he's built up a tolerance to the Lantas.
Anyway...his blood sugar has been through the roof....307 first thingt this morning. He took 50 units of Novalog and ate two eggs, checked his sugar twice more 303 and 308.  50 more units of Novalog.  He skipped lunch just because he felt so bad and didn't feel like eating, spent most of the afternoon in bed. Checked sugar twice more this afternoon and it's slowly dropping, lowest was 224.  Dinner was a total of 61 carbs, 50 more units of Novalog...sugar was 356 about an hour ago. So he's had 150 units of Novalog, 61 TOTAL carbs for the day and it's 356.  Obviously, something is very wrong but today is Friday and the endo is an hour from us.  I tried to get him to call them today but he said "Let's do the weekend and see what happens." If we keep going like this, the weekend is going to be disastrous!! It sounds like he's built up a tolerance to the Novalog to me (which sucks because that's all his insurance will cover).
 The test is going to be the fasting blood sugar in the morning.  If his sugar continues to run this high, should switch back to the Lantas until Monday and we can talk to the doctor?</t>
        </is>
      </c>
      <c r="D5064" t="n">
        <v>2</v>
      </c>
      <c r="E5064" t="n">
        <v>7</v>
      </c>
      <c r="F5064">
        <f>HYPERLINK("https://www.reddit.com/r/diabetes/comments/90m29q/switched_insulin_yesterday/")</f>
        <v/>
      </c>
      <c r="G5064" t="inlineStr">
        <is>
          <t>2018-07-20 19:33:44</t>
        </is>
      </c>
      <c r="H5064" t="inlineStr">
        <is>
          <t>Type 1</t>
        </is>
      </c>
    </row>
    <row r="5065">
      <c r="A5065" t="inlineStr">
        <is>
          <t>90m5hi</t>
        </is>
      </c>
      <c r="B5065" t="inlineStr">
        <is>
          <t>Recommended Ranges</t>
        </is>
      </c>
      <c r="C5065" t="inlineStr">
        <is>
          <t>So, my partner is type 2 on x2 500 metaformin/day. just got him a Libre and we've been testing it out all day. &amp;lt;90 with keto meals. We decided to try an apple and 2 hours later it was 138. This is within diabetic range but does this mean we should still stay away from apples? Trying to figure out how to really interpret the findings. Cant get in with a nutritionist for a couple weeks. -\_- Any help is greatly appreciated!</t>
        </is>
      </c>
      <c r="D5065" t="n">
        <v>3</v>
      </c>
      <c r="E5065" t="n">
        <v>8</v>
      </c>
      <c r="F5065">
        <f>HYPERLINK("https://www.reddit.com/r/diabetes/comments/90m5hi/recommended_ranges/")</f>
        <v/>
      </c>
      <c r="G5065" t="inlineStr">
        <is>
          <t>2018-07-20 19:47:58</t>
        </is>
      </c>
      <c r="H5065" t="inlineStr">
        <is>
          <t>Type 2</t>
        </is>
      </c>
    </row>
    <row r="5066">
      <c r="A5066" t="inlineStr">
        <is>
          <t>90o2nh</t>
        </is>
      </c>
      <c r="B5066" t="inlineStr">
        <is>
          <t>How insulin dependent are you?</t>
        </is>
      </c>
      <c r="C5066" t="inlineStr">
        <is>
          <t>I wanted to know how long without insulin it would take for you to generate ketones and have major spikes and so on, with relation to how early in life you were diagnosed, and how many carbs you eat per day.
The reason for this, is I was diagnosed when I was almost 4 years old and I have STRONG insulin dependency, compared to my teenage-diagnosed friends who could spend an overnight without having any terrible symptoms such as I have.
And also, I'm looking into lowering this dependency, by perhaps eating less carbs thus requiring less insulin.
Thanks :)</t>
        </is>
      </c>
      <c r="D5066" t="n">
        <v>2</v>
      </c>
      <c r="E5066" t="n">
        <v>8</v>
      </c>
      <c r="F5066">
        <f>HYPERLINK("https://www.reddit.com/r/diabetes/comments/90o2nh/how_insulin_dependent_are_you/")</f>
        <v/>
      </c>
      <c r="G5066" t="inlineStr">
        <is>
          <t>2018-07-21 02:10:35</t>
        </is>
      </c>
      <c r="H5066" t="inlineStr">
        <is>
          <t>Type 1</t>
        </is>
      </c>
    </row>
    <row r="5067">
      <c r="A5067" t="inlineStr">
        <is>
          <t>90r5vx</t>
        </is>
      </c>
      <c r="B5067" t="inlineStr">
        <is>
          <t>Six year old put on pump.</t>
        </is>
      </c>
      <c r="C5067" t="inlineStr">
        <is>
          <t>This question is for parents of diabetic children on pumps. Monday my daughter was finally put on her pump. She is six and has been diagnosed for 3 years now. My question is about how long did it take for your child to adjust to the pump? And did it take long for their blood sugars to level out? My daughters basal was dropped from 0.23 to 0.166 because she dropped to 54 the night after getting on her pump. Since then her sugars are great one day and not so good the next. I know it will take awhile for everything to be figured out I'm just wondering about what to expect in the next few weeks. Her diabetic educator was great in explaining things but parents usually have different input.</t>
        </is>
      </c>
      <c r="D5067" t="n">
        <v>3</v>
      </c>
      <c r="E5067" t="n">
        <v>10</v>
      </c>
      <c r="F5067">
        <f>HYPERLINK("https://www.reddit.com/r/diabetes/comments/90r5vx/six_year_old_put_on_pump/")</f>
        <v/>
      </c>
      <c r="G5067" t="inlineStr">
        <is>
          <t>2018-07-21 10:57:59</t>
        </is>
      </c>
      <c r="H5067" t="inlineStr">
        <is>
          <t>Type 1</t>
        </is>
      </c>
    </row>
    <row r="5068">
      <c r="A5068" t="inlineStr">
        <is>
          <t>90rk6o</t>
        </is>
      </c>
      <c r="B5068" t="inlineStr">
        <is>
          <t>Concerned about my mother’s diabetes</t>
        </is>
      </c>
      <c r="C5068" t="inlineStr">
        <is>
          <t xml:space="preserve">My mother is a type 1 diabetic for about 50 years now. She’s in her late 50’s and has diabetic retinopathy and other problems such as high cholesterol and blood pressure from diabetes. Every week, for a few years or more, she has 1-2 insulin shocks from taking too much insulin via syringe. Recently,  its becoming more frequent. 
Now I’m no expert, but isn’t this just as dangerous as having high insulin this frequently? I want to talk to her about this but I believe she’s in denial with me and her doctor. Is there a pump or some other technology I can suggest to her so she doesn’t have these reactions every week? I can’t see my mom do this to herself any longer because she may be stubborn. 
TLDR; My mother is type 1 and has insulin shock 1-2x a week and I want to help her find better treatments so she doesn’t inject herself with too much insulin via syringe. </t>
        </is>
      </c>
      <c r="D5068" t="n">
        <v>0</v>
      </c>
      <c r="E5068" t="n">
        <v>6</v>
      </c>
      <c r="F5068">
        <f>HYPERLINK("https://www.reddit.com/r/diabetes/comments/90rk6o/concerned_about_my_mothers_diabetes/")</f>
        <v/>
      </c>
      <c r="G5068" t="inlineStr">
        <is>
          <t>2018-07-21 11:51:58</t>
        </is>
      </c>
      <c r="H5068" t="inlineStr">
        <is>
          <t>Type 1</t>
        </is>
      </c>
    </row>
    <row r="5069">
      <c r="A5069" t="inlineStr">
        <is>
          <t>90s0se</t>
        </is>
      </c>
      <c r="B5069" t="inlineStr">
        <is>
          <t>Looking for recipes and resources for a heart patient.</t>
        </is>
      </c>
      <c r="C5069" t="inlineStr">
        <is>
          <t xml:space="preserve">Hey everyone! 
I was wondering if there are any good sites for diabetic heart patients? Books, apps, resources? 
My dad is coming home from being in the hospital for over 2 weeks. He had a heart attack. He’s has had diabetes for over 20 years. 
He wasn’t taking care of himself. At the er, his blood sugar was in the 700’s. He wasn’t taking his medication everyday. His heart was functioning at only 17% and he had four blockages. He had congestive heart failure and failing kidneys. He should be dead. 
Sorry for rambling. I just wanted resources but it seemed fitting to share his story. Thank you in advance. Also, sorry if I broke any rules. They wouldn’t load on my phone. </t>
        </is>
      </c>
      <c r="D5069" t="n">
        <v>1</v>
      </c>
      <c r="E5069" t="n">
        <v>1</v>
      </c>
      <c r="F5069">
        <f>HYPERLINK("https://www.reddit.com/r/diabetes/comments/90s0se/looking_for_recipes_and_resources_for_a_heart/")</f>
        <v/>
      </c>
      <c r="G5069" t="inlineStr">
        <is>
          <t>2018-07-21 12:54:09</t>
        </is>
      </c>
      <c r="H5069" t="inlineStr">
        <is>
          <t>Type 2</t>
        </is>
      </c>
    </row>
    <row r="5070">
      <c r="A5070" t="inlineStr">
        <is>
          <t>90sedk</t>
        </is>
      </c>
      <c r="B5070" t="inlineStr">
        <is>
          <t>Rant warning: why is it so hard to get my prescription for life saving medicine???</t>
        </is>
      </c>
      <c r="C5070" t="inlineStr">
        <is>
          <t>As I sit waiting in my very hot car in the parking lot of my pharmacy, I’m thinking about all of the total snafus that have happened in the past month that have made it so hard to pick up my insulin. 
1. Refills for humalog run out (that’s fine, I call the doctor and they say they’ll renew it)
2. New insurance no longer covers humalog. Also new insurance can’t find my ID number and it takes a week of phone calls to sort out all the information. 
3. Call doctor again, they say they’ll send a new one for novolog
4. They send the prescription to a pharmacy I’ve never been to before, so I keep calling my old pharmacy and they keep saying they don’t have it
5. Finally find out where they sent the prescription, go 20 minutes out of the way to get there. That pharmacy doesn’t take my insurance.
6. Have them send it to my normal pharmacy. Go there. Turns out the doctor incorrectly sent a prescription for INSULIN FLEX PENS instead of vials. I have NEVER used pens. 
7. It’s a weekend, and I’m almost out of insulin at this point, and I’m about to leave for a trip, so I have to call the on call doctor 
8. On call doctor acts super pissy that I’m bothering her, tells me I’m interrupting her vacation
9. Burst into tears, but at least I’m going to get my insulin 
Why is getting insulin so hard in the US? I know I can get cheap stuff at Walmart in an emergency situation, but good lord this is immoral. In Canada I can get insulin cheap without a prescription. It just seems so unjust sometimes. 
Aargh. Sorry, rant over. (Also if you’re reading this, hi jess!)</t>
        </is>
      </c>
      <c r="D5070" t="n">
        <v>51</v>
      </c>
      <c r="E5070" t="n">
        <v>53</v>
      </c>
      <c r="F5070">
        <f>HYPERLINK("https://www.reddit.com/r/diabetes/comments/90sedk/rant_warning_why_is_it_so_hard_to_get_my/")</f>
        <v/>
      </c>
      <c r="G5070" t="inlineStr">
        <is>
          <t>2018-07-21 13:46:58</t>
        </is>
      </c>
      <c r="H5070" t="inlineStr">
        <is>
          <t>Type 1</t>
        </is>
      </c>
    </row>
    <row r="5071">
      <c r="A5071" t="inlineStr">
        <is>
          <t>90vdct</t>
        </is>
      </c>
      <c r="B5071" t="inlineStr">
        <is>
          <t>CGM error</t>
        </is>
      </c>
      <c r="C5071" t="inlineStr">
        <is>
          <t>Ive been using enlite cgm for about two years with no problems.  However in the past month or so I am getting an error message with my enlite sensor every time I shower.  Ive tried additional taping but nothing has helped so far.  Im sure the sensor must be getting wet because after approximately twelve hours I can get it to work again.  Any ideas?</t>
        </is>
      </c>
      <c r="D5071" t="n">
        <v>4</v>
      </c>
      <c r="E5071" t="n">
        <v>1</v>
      </c>
      <c r="F5071">
        <f>HYPERLINK("https://www.reddit.com/r/diabetes/comments/90vdct/cgm_error/")</f>
        <v/>
      </c>
      <c r="G5071" t="inlineStr">
        <is>
          <t>2018-07-21 21:36:54</t>
        </is>
      </c>
      <c r="H5071" t="inlineStr">
        <is>
          <t>Type 1</t>
        </is>
      </c>
    </row>
    <row r="5072">
      <c r="A5072" t="inlineStr">
        <is>
          <t>90xyd8</t>
        </is>
      </c>
      <c r="B5072" t="inlineStr">
        <is>
          <t>I've been planning to lose some weight and build muscles, but I'm afraid that if my body fat % get to low, I will no longer be able to use my freestyle libre. So does anyone have some experience with low body fat %?</t>
        </is>
      </c>
      <c r="C5072" t="inlineStr">
        <is>
          <t>My dream is to be &amp;lt; 10% body fat</t>
        </is>
      </c>
      <c r="D5072" t="n">
        <v>6</v>
      </c>
      <c r="E5072" t="n">
        <v>6</v>
      </c>
      <c r="F5072">
        <f>HYPERLINK("https://www.reddit.com/r/diabetes/comments/90xyd8/ive_been_planning_to_lose_some_weight_and_build/")</f>
        <v/>
      </c>
      <c r="G5072" t="inlineStr">
        <is>
          <t>2018-07-22 07:06:25</t>
        </is>
      </c>
      <c r="H5072" t="inlineStr">
        <is>
          <t>Type 1</t>
        </is>
      </c>
    </row>
    <row r="5073">
      <c r="A5073" t="inlineStr">
        <is>
          <t>915fx6</t>
        </is>
      </c>
      <c r="B5073" t="inlineStr">
        <is>
          <t>Can a bot help with diabetes? Type 1 diabetes [Type 1 diabetes] [Parents Type 1]</t>
        </is>
      </c>
      <c r="C5073" t="inlineStr">
        <is>
          <t>Hi Everyone,
We are a group of recent graduates from Harvard / MIT, and we are studying the effects of a fun virtual character (bot) on enhancing young adult and children's engagement in managing their diabetes. 
**What are the requirements?** 
You will need to be living with diabetes yourself or have a child who lives with diabetes to participate.
**What will I do as a test user?**
You will download an app with a fun character and use it.
**How long will it take?**
1-2 weeks 
**Will I be compensated for my time?**
You will be offered a $15 Amazon voucher once you complete a 5-min survey at the end of the test.
If you’d like to learn more or join out beta test please visit our website and sign up at [www.eddiihealth.com](http://www.eddiihealth.com/) or email us at [beta@eddiihealth.com](mailto:beta@eddiihealth.com)
Thank you.
Eddii Team</t>
        </is>
      </c>
      <c r="D5073" t="n">
        <v>0</v>
      </c>
      <c r="E5073" t="n">
        <v>5</v>
      </c>
      <c r="F5073">
        <f>HYPERLINK("https://www.reddit.com/r/diabetes/comments/915fx6/can_a_bot_help_with_diabetes_type_1_diabetes_type/")</f>
        <v/>
      </c>
      <c r="G5073" t="inlineStr">
        <is>
          <t>2018-07-23 01:54:37</t>
        </is>
      </c>
      <c r="H5073" t="inlineStr">
        <is>
          <t>Type 1</t>
        </is>
      </c>
    </row>
    <row r="5074">
      <c r="A5074" t="inlineStr">
        <is>
          <t>9161vi</t>
        </is>
      </c>
      <c r="B5074" t="inlineStr">
        <is>
          <t>10 years ago today I was diagnosed with Type 1 diabetes</t>
        </is>
      </c>
      <c r="C5074" t="inlineStr">
        <is>
          <t>Ten years ago I was diagnosed with Type 1 Diabetes. I was in the ICU in Chicago for a week with blood sugars above 800. I only went to the ER because my buddy at the time convinced me to go because I thought my spleen was going to explode. I didn’t have a smart phone or internet back then. I couldn’t even google what was wrong with me. No one in my family is a diabetic and I didn’t know anyone/anything about diabetes. I had all the symptoms and never put two and two together. 
So here I am now, ten years later.. still struggling and trying to get by. I’ve been on shots to pumps and now to the Omnipod (which I’ll have to make a new post because I’m not liking it like I thought I would). My sugars are in a better range. Not perfect but pretty damn near it. 
Cheers to you all and I’m lucky to have such a great community of support!</t>
        </is>
      </c>
      <c r="D5074" t="n">
        <v>65</v>
      </c>
      <c r="E5074" t="n">
        <v>22</v>
      </c>
      <c r="F5074">
        <f>HYPERLINK("https://www.reddit.com/r/diabetes/comments/9161vi/10_years_ago_today_i_was_diagnosed_with_type_1/")</f>
        <v/>
      </c>
      <c r="G5074" t="inlineStr">
        <is>
          <t>2018-07-23 03:54:51</t>
        </is>
      </c>
      <c r="H5074" t="inlineStr">
        <is>
          <t>Type 1</t>
        </is>
      </c>
    </row>
    <row r="5075">
      <c r="A5075" t="inlineStr">
        <is>
          <t>918cvq</t>
        </is>
      </c>
      <c r="B5075" t="inlineStr">
        <is>
          <t>t:slim X2 &amp;amp; Dexcom G6</t>
        </is>
      </c>
      <c r="C5075" t="inlineStr">
        <is>
          <t>Hopefully my Dexcom G6 order will be shipping soon but in the meantime I have a question regarding the ability to pair the G6 with a t:slim x2 pump. I have my G5 and t:slim x2 paired currently but was wondering if the G6 will also pair OR if I will have to wait until the software for the predictive low glucose suspend software update to be released?</t>
        </is>
      </c>
      <c r="D5075" t="n">
        <v>6</v>
      </c>
      <c r="E5075" t="n">
        <v>2</v>
      </c>
      <c r="F5075">
        <f>HYPERLINK("https://www.reddit.com/r/diabetes/comments/918cvq/tslim_x2_dexcom_g6/")</f>
        <v/>
      </c>
      <c r="G5075" t="inlineStr">
        <is>
          <t>2018-07-23 09:08:32</t>
        </is>
      </c>
      <c r="H5075" t="inlineStr">
        <is>
          <t>Type 1</t>
        </is>
      </c>
    </row>
    <row r="5076">
      <c r="A5076" t="inlineStr">
        <is>
          <t>9195mz</t>
        </is>
      </c>
      <c r="B5076" t="inlineStr">
        <is>
          <t>11 year old son just diagnosed with type 1</t>
        </is>
      </c>
      <c r="C5076" t="inlineStr">
        <is>
          <t>Just got home from the hospital a couple days ago. He's handling it like a champ - already does his own injections, etc. but my wife and I feel overwhelmed.  Not looking for anything specific from this forum other than maybe some general advice about how to handle the next few months and how to plan for the best possible life for him.</t>
        </is>
      </c>
      <c r="D5076" t="n">
        <v>7</v>
      </c>
      <c r="E5076" t="n">
        <v>13</v>
      </c>
      <c r="F5076">
        <f>HYPERLINK("https://www.reddit.com/r/diabetes/comments/9195mz/11_year_old_son_just_diagnosed_with_type_1/")</f>
        <v/>
      </c>
      <c r="G5076" t="inlineStr">
        <is>
          <t>2018-07-23 10:39:21</t>
        </is>
      </c>
      <c r="H5076" t="inlineStr">
        <is>
          <t>Type 1</t>
        </is>
      </c>
    </row>
    <row r="5077">
      <c r="A5077" t="inlineStr">
        <is>
          <t>91ao4w</t>
        </is>
      </c>
      <c r="B5077" t="inlineStr">
        <is>
          <t>Canadian travelling to Ireland - do I need a prescription for insulin?</t>
        </is>
      </c>
      <c r="C5077" t="inlineStr">
        <is>
          <t>I will be taking heaps of extra supplies but as we all know, we can never be too prepared. If for some reason I needed to purchase insulin, can I do so over the counter?
Thanks in advance!</t>
        </is>
      </c>
      <c r="D5077" t="n">
        <v>1</v>
      </c>
      <c r="E5077" t="n">
        <v>3</v>
      </c>
      <c r="F5077">
        <f>HYPERLINK("https://www.reddit.com/r/diabetes/comments/91ao4w/canadian_travelling_to_ireland_do_i_need_a/")</f>
        <v/>
      </c>
      <c r="G5077" t="inlineStr">
        <is>
          <t>2018-07-23 13:29:03</t>
        </is>
      </c>
      <c r="H5077" t="inlineStr">
        <is>
          <t>Type 1</t>
        </is>
      </c>
    </row>
    <row r="5078">
      <c r="A5078" t="inlineStr">
        <is>
          <t>91bxvf</t>
        </is>
      </c>
      <c r="B5078" t="inlineStr">
        <is>
          <t>Doctor gave me the go ahead for a pump!</t>
        </is>
      </c>
      <c r="C5078" t="inlineStr">
        <is>
          <t xml:space="preserve">My endo just gave the go ahead for a pump! I've only been diagnosed for just about 3 years. Honeymoon didn't last that long and have been insulin dependent for just over a year. The endo said I've been moving really fast with this, but since I've managed well for the time I've been insulin dependent she thought I could handle a pump. I decided to go with the tslim and the dexcom g6. This is one of the only times that I can't wait for the insurance to call! I hope they bring good news! </t>
        </is>
      </c>
      <c r="D5078" t="n">
        <v>32</v>
      </c>
      <c r="E5078" t="n">
        <v>10</v>
      </c>
      <c r="F5078">
        <f>HYPERLINK("https://www.reddit.com/r/diabetes/comments/91bxvf/doctor_gave_me_the_go_ahead_for_a_pump/")</f>
        <v/>
      </c>
      <c r="G5078" t="inlineStr">
        <is>
          <t>2018-07-23 16:02:11</t>
        </is>
      </c>
      <c r="H5078" t="inlineStr">
        <is>
          <t>Type 1</t>
        </is>
      </c>
    </row>
    <row r="5079">
      <c r="A5079" t="inlineStr">
        <is>
          <t>91fvtd</t>
        </is>
      </c>
      <c r="B5079" t="inlineStr">
        <is>
          <t>I want to recover from diabulimia. (Trigger warning?)</t>
        </is>
      </c>
      <c r="C5079" t="inlineStr">
        <is>
          <t xml:space="preserve">Hello! I am completely new here, and on mobile, so if this looks absolutely awful, it's my fault and I'm sorry. Now, I need some help or advice.
A little background: I am 20 years old (also, I live in Finland, if that matters; I might not know all the correct terms in English), and I've been Type 1 since I was 5. I do not have a pump, I recently switched from Novorapid to Fiasp and have been using Lantus for several years. I have been relatively in control and doing well, but after I became ill with depression at 14, my levels have been slipping and I am probably suffering from a diabetic burnout. This is is probably partly because I don't know anyone else with diabetes so I've never been able to talk about it with someone who understands. I've always been self-conscious of my weight (despite never actually being overweight), because I'm very short. 
About a year ago I noticed that if I didn't take as much insulin, I could eat more without gaining weight. At this point, I haven't been to a doctor's appointment for nearly two years, I think. I'm not entirely sure. Anyway, I'm not completely omitting insulin; I've had DKA twice (nearly fell into a coma the first time) so I really want to avoid that. For me, it's just taking less insulin with meals and slightly less Lantus than I used to. I do have extreme fatigue, I am thirsty all the time and feel nauseous quite often.
I need some advice on how to start beating this diabulimia (that's what it's called, right?) because I'm going to university in the autumn and I'll be moving out of my childhood home. I've slowly started accepting that I have an eating disorder, but I haven't told anyone (my parents would freak out and I don't really have friends to count on for help or advice). I know I need to talk to a doctor, but I don't know how much they actually know about diabulimia here. Could it be possible to slowly start checking my blood sugars more, to stop snacking and slowly increasing exercise (I used to walk at least 7 km every day, but recently I've had no energy) and the amount of insulin I take? It's going to be a long journey but since it's "only" been a year, I'd like to get a grip before my body starts breaking down even more.
In short, I need advice on how to start the process of beating diabulimia. Any successful experiences would be appreciated. Thank you in advance! And sorry for the long post, hahaha. </t>
        </is>
      </c>
      <c r="D5079" t="n">
        <v>25</v>
      </c>
      <c r="E5079" t="n">
        <v>37</v>
      </c>
      <c r="F5079">
        <f>HYPERLINK("https://www.reddit.com/r/diabetes/comments/91fvtd/i_want_to_recover_from_diabulimia_trigger_warning/")</f>
        <v/>
      </c>
      <c r="G5079" t="inlineStr">
        <is>
          <t>2018-07-24 02:29:05</t>
        </is>
      </c>
      <c r="H5079" t="inlineStr">
        <is>
          <t>Type 1</t>
        </is>
      </c>
    </row>
    <row r="5080">
      <c r="A5080" t="inlineStr">
        <is>
          <t>91h2qx</t>
        </is>
      </c>
      <c r="B5080" t="inlineStr">
        <is>
          <t>Dialadies - is the pill making my blood sugar spike?</t>
        </is>
      </c>
      <c r="C5080" t="inlineStr">
        <is>
          <t xml:space="preserve">Hi! I’ve recently started on the pill (combined Millinette 20/75 but slightly lower oestrogen I think) and I’ve noticed that my blood sugar has been  going WAY high since I’ve been taking it (about 1.5 months now) and seemed to calm down to normal during the pill-free week - has anyone else noticed hormonal contraception messing with their sugars? 
I’m also writing my thesis at the moment, so could well be a combination of stress and not being as physically active too, but still thought it was odd that it settled for a week and is now spiking again. 
Would greatly appreciate any insight! </t>
        </is>
      </c>
      <c r="D5080" t="n">
        <v>7</v>
      </c>
      <c r="E5080" t="n">
        <v>12</v>
      </c>
      <c r="F5080">
        <f>HYPERLINK("https://www.reddit.com/r/diabetes/comments/91h2qx/dialadies_is_the_pill_making_my_blood_sugar_spike/")</f>
        <v/>
      </c>
      <c r="G5080" t="inlineStr">
        <is>
          <t>2018-07-24 05:47:00</t>
        </is>
      </c>
      <c r="H5080" t="inlineStr">
        <is>
          <t>Type 1</t>
        </is>
      </c>
    </row>
    <row r="5081">
      <c r="A5081" t="inlineStr">
        <is>
          <t>91hr7i</t>
        </is>
      </c>
      <c r="B5081" t="inlineStr">
        <is>
          <t>Going low in the early morning hours after starting Keto - suggestions?</t>
        </is>
      </c>
      <c r="C5081" t="inlineStr">
        <is>
          <t>I take Lantus at night so I was thinking about splitting it up and taking it in the morning and at night.   Going full keto is new to me but not much of an adjustment, I already typically stay under 50 carbs.  I would previously cheat once or twice a week, so keto for me was tightening up carbs even more and eliminating cheat days.  I am going low ( 40's ) around 3am and my dexcom isn't doing a good job waking me up.  Seems to be happening every night, I catch most of them and correct before I go too low but once or twice a week I sleep through the alarm.</t>
        </is>
      </c>
      <c r="D5081" t="n">
        <v>2</v>
      </c>
      <c r="E5081" t="n">
        <v>13</v>
      </c>
      <c r="F5081">
        <f>HYPERLINK("https://www.reddit.com/r/diabetes/comments/91hr7i/going_low_in_the_early_morning_hours_after/")</f>
        <v/>
      </c>
      <c r="G5081" t="inlineStr">
        <is>
          <t>2018-07-24 07:15:25</t>
        </is>
      </c>
      <c r="H5081" t="inlineStr">
        <is>
          <t>Type 1</t>
        </is>
      </c>
    </row>
    <row r="5082">
      <c r="A5082" t="inlineStr">
        <is>
          <t>91ikxp</t>
        </is>
      </c>
      <c r="B5082" t="inlineStr">
        <is>
          <t>Are there any next-gen treatments for lipohypertrophy besides liposuction?</t>
        </is>
      </c>
      <c r="C5082" t="inlineStr">
        <is>
          <t>I'm extremely thin and have four good lumps that are several years or more old - meaning, I don't think they will resolve with time. Unfortunately this wipes out a good portion of my thighs for infusion sets! I'm underweight due to other issues, so sets without a layer of fat can be painful.   
Has anyone found anything that works to treat these (besides preventation moving forward)? My lumps are not due to a lack of rotation - I think the set gets kinked or angry by hitting muscle, and lumps up :(  
Thanks!</t>
        </is>
      </c>
      <c r="D5082" t="n">
        <v>2</v>
      </c>
      <c r="E5082" t="n">
        <v>0</v>
      </c>
      <c r="F5082">
        <f>HYPERLINK("https://www.reddit.com/r/diabetes/comments/91ikxp/are_there_any_nextgen_treatments_for/")</f>
        <v/>
      </c>
      <c r="G5082" t="inlineStr">
        <is>
          <t>2018-07-24 08:52:16</t>
        </is>
      </c>
      <c r="H5082" t="inlineStr">
        <is>
          <t>Type 1</t>
        </is>
      </c>
    </row>
    <row r="5083">
      <c r="A5083" t="inlineStr">
        <is>
          <t>91k9m6</t>
        </is>
      </c>
      <c r="B5083" t="inlineStr">
        <is>
          <t>Omnipods</t>
        </is>
      </c>
      <c r="C5083" t="inlineStr">
        <is>
          <t xml:space="preserve">Anyone have extra Omnipods they can sell at a decent price? </t>
        </is>
      </c>
      <c r="D5083" t="n">
        <v>0</v>
      </c>
      <c r="E5083" t="n">
        <v>1</v>
      </c>
      <c r="F5083">
        <f>HYPERLINK("https://www.reddit.com/r/diabetes/comments/91k9m6/omnipods/")</f>
        <v/>
      </c>
      <c r="G5083" t="inlineStr">
        <is>
          <t>2018-07-24 11:58:31</t>
        </is>
      </c>
      <c r="H5083" t="inlineStr">
        <is>
          <t>Type 1</t>
        </is>
      </c>
    </row>
    <row r="5084">
      <c r="A5084" t="inlineStr">
        <is>
          <t>91m0y7</t>
        </is>
      </c>
      <c r="B5084" t="inlineStr">
        <is>
          <t>The “Right” Way to Count Carbs</t>
        </is>
      </c>
      <c r="C5084" t="inlineStr">
        <is>
          <t>After reading an earlier post about sugar alcohols I’ve realized I don’t know what I’m doing. I was taught by my endo and a diabetes educator that I only need to refer to the total carbs. I was told by a nurse I work with who sits on a diabetes management board and also has a T1 child that I should subtract the fiber from the total carbs. I’ve read that one should subtract half the fiber if it’s over 5, subtract sugar alcohols, subtract half the sugar alcohols, subtract 3.14 from sugar alcohols but only if it’s Wednesday or a full moon (/s)...
What gives? What should I be doing?</t>
        </is>
      </c>
      <c r="D5084" t="n">
        <v>1</v>
      </c>
      <c r="E5084" t="n">
        <v>9</v>
      </c>
      <c r="F5084">
        <f>HYPERLINK("https://www.reddit.com/r/diabetes/comments/91m0y7/the_right_way_to_count_carbs/")</f>
        <v/>
      </c>
      <c r="G5084" t="inlineStr">
        <is>
          <t>2018-07-24 15:22:18</t>
        </is>
      </c>
      <c r="H5084" t="inlineStr">
        <is>
          <t>Type 2</t>
        </is>
      </c>
    </row>
    <row r="5085">
      <c r="A5085" t="inlineStr">
        <is>
          <t>91pjrp</t>
        </is>
      </c>
      <c r="B5085" t="inlineStr">
        <is>
          <t>Madhuhar Best Ayurvedic Medicine and Treatment For Diabetes Type 2</t>
        </is>
      </c>
      <c r="C5085" t="inlineStr">
        <is>
          <t>[Madhuhar Best Ayurvedic Medicine and Treatment For Diabetes Type 2](https://razorveda.com/product/madhuhar/)
Blessing of Ayurveda which help you to keep you sugar in check. The goodness of Gurmar and Jamun beej is time tested to reduce blood sugar level naturally. But the magic is with the remaining herbs which are there in this preparation. They help you pushing the limits of your pancreas to secrete more insulin and helps reducing the insulin resistance in the body.
SO now you can manage your sugar but you certainly need to take care of your diet. Don’t eat sweet items but for normal rice and fruits leave your sugar worries on Madhuhar capsules.
**Call  Toll Free: +011-39236768** 
I have Use this medicine.
[madhuhar](https://i.redd.it/e5q21l9al1c11.png)</t>
        </is>
      </c>
      <c r="D5085" t="n">
        <v>0</v>
      </c>
      <c r="E5085" t="n">
        <v>3</v>
      </c>
      <c r="F5085">
        <f>HYPERLINK("https://www.reddit.com/r/diabetes/comments/91pjrp/madhuhar_best_ayurvedic_medicine_and_treatment/")</f>
        <v/>
      </c>
      <c r="G5085" t="inlineStr">
        <is>
          <t>2018-07-24 23:58:29</t>
        </is>
      </c>
      <c r="H5085" t="inlineStr">
        <is>
          <t>Type 2</t>
        </is>
      </c>
    </row>
    <row r="5086">
      <c r="A5086" t="inlineStr">
        <is>
          <t>91tki4</t>
        </is>
      </c>
      <c r="B5086" t="inlineStr">
        <is>
          <t>Reversed my prediabetes..</t>
        </is>
      </c>
      <c r="C5086" t="inlineStr">
        <is>
          <t>I got diagnosed with prediabetes about 3 years ago. My a1c was 5.8. My primary care physician suggested that I switch to a Plant-based whole foods diet. If you are not familiar with this diet,  "It's a diet based on **fruits**, **vegetables**, **tubers**, whole grains, and **legumes**; and it excludes or minimizes **meat** (including chicken and fish), **dairy products**, and eggs, as well as highly refined foods like bleached **flour**, refined **sugar**, and oil."
After only 4 months of following it, I'm happy to say that my a1c is down to 5.3. That being said, I did have one issue with this approach. I'm a skinny guy. I'm talking 5'11" 138 lbs. On this diet I dropped to 128 lbs. It was really hard to get enough calories (&amp;gt;2300) to maintain my weight. So if you are already skinny like me, I recommend you track your calories and implement a weight lifting program.
I just wanted to share my solution in case anyone else is in my shoes.  
tl;dr: Reversed prediabetes by going plant-based whole foods.</t>
        </is>
      </c>
      <c r="D5086" t="n">
        <v>0</v>
      </c>
      <c r="E5086" t="n">
        <v>24</v>
      </c>
      <c r="F5086">
        <f>HYPERLINK("https://www.reddit.com/r/diabetes/comments/91tki4/reversed_my_prediabetes/")</f>
        <v/>
      </c>
      <c r="G5086" t="inlineStr">
        <is>
          <t>2018-07-25 09:52:29</t>
        </is>
      </c>
      <c r="H5086" t="inlineStr">
        <is>
          <t>Type 2</t>
        </is>
      </c>
    </row>
    <row r="5087">
      <c r="A5087" t="inlineStr">
        <is>
          <t>91v9xo</t>
        </is>
      </c>
      <c r="B5087" t="inlineStr">
        <is>
          <t>What's your remedy for a hypo headache?</t>
        </is>
      </c>
      <c r="C5087" t="inlineStr">
        <is>
          <t>Sometimes after having low blood sugar I get an awful headache and feel terrible for many hours, well after I've stabilized my blood sugars. 
Course the best way to solve that is to never get low in the first place, but when it's too late for that, do you have a good remedy?</t>
        </is>
      </c>
      <c r="D5087" t="n">
        <v>1</v>
      </c>
      <c r="E5087" t="n">
        <v>5</v>
      </c>
      <c r="F5087">
        <f>HYPERLINK("https://www.reddit.com/r/diabetes/comments/91v9xo/whats_your_remedy_for_a_hypo_headache/")</f>
        <v/>
      </c>
      <c r="G5087" t="inlineStr">
        <is>
          <t>2018-07-25 13:01:02</t>
        </is>
      </c>
      <c r="H5087" t="inlineStr">
        <is>
          <t>Type 1</t>
        </is>
      </c>
    </row>
    <row r="5088">
      <c r="A5088" t="inlineStr">
        <is>
          <t>91ve85</t>
        </is>
      </c>
      <c r="B5088" t="inlineStr">
        <is>
          <t>dex g6 sensor errors - drops readings for 2-3 hrs at random</t>
        </is>
      </c>
      <c r="C5088" t="inlineStr">
        <is>
          <t>2 out of 4 of my sensors so far have done this - anyone else? Tech support sent me a replacement for the first. I haven't called yet about the second - it has 'only' one dropout so far, so waiting to see how it pans out...</t>
        </is>
      </c>
      <c r="D5088" t="n">
        <v>2</v>
      </c>
      <c r="E5088" t="n">
        <v>5</v>
      </c>
      <c r="F5088">
        <f>HYPERLINK("https://www.reddit.com/r/diabetes/comments/91ve85/dex_g6_sensor_errors_drops_readings_for_23_hrs_at/")</f>
        <v/>
      </c>
      <c r="G5088" t="inlineStr">
        <is>
          <t>2018-07-25 13:13:57</t>
        </is>
      </c>
      <c r="H5088" t="inlineStr">
        <is>
          <t>Type 1</t>
        </is>
      </c>
    </row>
    <row r="5089">
      <c r="A5089" t="inlineStr">
        <is>
          <t>91xw94</t>
        </is>
      </c>
      <c r="B5089" t="inlineStr">
        <is>
          <t>Triathlon/Swimming Advice</t>
        </is>
      </c>
      <c r="C5089" t="inlineStr">
        <is>
          <t>Hello! I'm going to be competing in my first Triathlon later this fall, and I was wondering if any of you guys have suggestions for ways to keep sugar with me as I'm doing the swimming portion of the race? For training I've been in a pool so I can keep sugar handy, but my triathlon will be in open water with minimal access to aid stations in the water.
I appreciate any advice you guys have!</t>
        </is>
      </c>
      <c r="D5089" t="n">
        <v>2</v>
      </c>
      <c r="E5089" t="n">
        <v>1</v>
      </c>
      <c r="F5089">
        <f>HYPERLINK("https://www.reddit.com/r/diabetes/comments/91xw94/triathlonswimming_advice/")</f>
        <v/>
      </c>
      <c r="G5089" t="inlineStr">
        <is>
          <t>2018-07-25 18:24:13</t>
        </is>
      </c>
      <c r="H5089" t="inlineStr">
        <is>
          <t>Type 1</t>
        </is>
      </c>
    </row>
    <row r="5090">
      <c r="A5090" t="inlineStr">
        <is>
          <t>91yjln</t>
        </is>
      </c>
      <c r="B5090" t="inlineStr">
        <is>
          <t>glucose level 99 but I am underweight (17 BMI) and youngish (30)</t>
        </is>
      </c>
      <c r="C5090" t="inlineStr">
        <is>
          <t>diabetes runs in my family, i crave sugar, pee a lot at night, and tend to gain weight in my midsection.
however i am also underweight and fairly young and it is difficult to get the doctor to take me seriously. i know 99 falls within the average range but it is at a very high level, much too close for comfort.
should i be worried? should i ask for a second opinion? how do i get my dr to take me seriously</t>
        </is>
      </c>
      <c r="D5090" t="n">
        <v>1</v>
      </c>
      <c r="E5090" t="n">
        <v>16</v>
      </c>
      <c r="F5090">
        <f>HYPERLINK("https://www.reddit.com/r/diabetes/comments/91yjln/glucose_level_99_but_i_am_underweight_17_bmi_and/")</f>
        <v/>
      </c>
      <c r="G5090" t="inlineStr">
        <is>
          <t>2018-07-25 19:55:33</t>
        </is>
      </c>
      <c r="H5090" t="inlineStr">
        <is>
          <t>Type 2</t>
        </is>
      </c>
    </row>
    <row r="5091">
      <c r="A5091" t="inlineStr">
        <is>
          <t>920284</t>
        </is>
      </c>
      <c r="B5091" t="inlineStr">
        <is>
          <t>Blood sugar going DOWN.. vision getting WORSE</t>
        </is>
      </c>
      <c r="C5091" t="inlineStr">
        <is>
          <t>First some background:
Last month I went to an eye doctor. this was before I knew I had diabetes. He said I had a very slight focusing issue. He also said it wasn't caused by diabetes. (I think he was looking for retinopathy but I am not sure, he just showed me a screen of my eye with a bunch of green like radar spots that he told me meant it was good) I couldn't see digital clocks and text from maybe 5-6 feet away.
Fast forward to last week and I am in the hospital, I had a blood sugar level of 600. I went in for an infection and that's when they found out. For all I know I have diabetes forever, I haven't seen a doctor for ten years up until this point, but I only recently had the classic signs (excessive urination, excessive thirst, leg cramps.. blurry vision). THey released me from the hospital at 450. Since then I have gone into avoid carbs at all cost mode. Drinking only water. On saturday I was 190. That's on a day where I ate zero carbs. On Monday I went to the doctor at 1pm having not eaten anything and I was 324. WHAT THE FUCK? I got meds, started exercising. I know it's early days, but tuesday I was 174 and today I was 145.
The problem is, over these last 3-4 days, my vision is going down the shitter. I can barely read my fucking laptop screen. As I type this right now, I can barely see the words I am typing. My vision is blurry as shit. What's even weirder is that while a month ago I couldn't see things far away, now my long distance vision is clear, I just can't see things close up.
So how the hell am I getting better, lowering my blood sugar, doing the right things, and now my vision is getting worse and worse. I am really worried. I have read that rapid blood sugar changes can fuck up vision but I always thought that was with blood sugar going UP, not down. 
I am worried to wake up tomorrow and not be able to see at all. I see the doctor again on monday but I am worried to even wait that long. 
:((</t>
        </is>
      </c>
      <c r="D5091" t="n">
        <v>3</v>
      </c>
      <c r="E5091" t="n">
        <v>23</v>
      </c>
      <c r="F5091">
        <f>HYPERLINK("https://www.reddit.com/r/diabetes/comments/920284/blood_sugar_going_down_vision_getting_worse/")</f>
        <v/>
      </c>
      <c r="G5091" t="inlineStr">
        <is>
          <t>2018-07-26 00:09:08</t>
        </is>
      </c>
      <c r="H5091" t="inlineStr">
        <is>
          <t>Type 2</t>
        </is>
      </c>
    </row>
    <row r="5092">
      <c r="A5092" t="inlineStr">
        <is>
          <t>924twq</t>
        </is>
      </c>
      <c r="B5092" t="inlineStr">
        <is>
          <t>Alcohol and type 1 diabetes</t>
        </is>
      </c>
      <c r="C5092" t="inlineStr">
        <is>
          <t xml:space="preserve">so i never really drink but as i am about to go to college i feel it is better to know these things and ask for help from others before i get into it. i was recently diagnosed with type 1 diabetes as a 19 year old. i've never been drunk before but as i'm getting older obviously these things are more prevalent in society. I have been reading a bunch of articles and things on this website that suggest a safe environment when drinking and a group of friends that know your situation and how to help you but i have also read that alcohol drops you blood sugar really low and with that, glucagon does not work because the liver can only do one thing at a time... what do these articles mean when they say "have a friend that knows what to do and how they can help you" yes they can call an ambulance or have you check your sugar but as far as i understand the normal treatment we have for our lows would not work so is calling an ambulance and monitoring you blood sugar all you can really do for someone who have type 1 diabetes when they are drinking and go low?
also, my friend who also has type 1 says she drinks liquor with juices or sodas mixed...i would assume this stabilizes you sugar as the alcohol makes it drop but the soda makes it high. please in the thread below, enlighten me on how you all deal with diabetes and still try to have a somewhat normal college life. yes, alcohol isn't a must but it's something i feel a lot of people get into. thank you for the help in advance, i'm just trying to understand as much as i can as a newly diagnosed diabetic. </t>
        </is>
      </c>
      <c r="D5092" t="n">
        <v>1</v>
      </c>
      <c r="E5092" t="n">
        <v>10</v>
      </c>
      <c r="F5092">
        <f>HYPERLINK("https://www.reddit.com/r/diabetes/comments/924twq/alcohol_and_type_1_diabetes/")</f>
        <v/>
      </c>
      <c r="G5092" t="inlineStr">
        <is>
          <t>2018-07-26 11:28:29</t>
        </is>
      </c>
      <c r="H5092" t="inlineStr">
        <is>
          <t>Type 1</t>
        </is>
      </c>
    </row>
    <row r="5093">
      <c r="A5093" t="inlineStr">
        <is>
          <t>926658</t>
        </is>
      </c>
      <c r="B5093" t="inlineStr">
        <is>
          <t>No cake, but Cake Day!</t>
        </is>
      </c>
      <c r="C5093" t="inlineStr">
        <is>
          <t>It's  been just over two years since I was diagnosed with T2 Diabetes. Looking back I'm now remembering how much I was freaking out, I remember the fear and the anxiety, how insurmountable it felt. So, after years of lurking on reddit I figured it I would create an account and seek some support. /r/diabetes has been a blessing of support. I love seeing everyone else's success stories, and how quickly fears and questions are answered.
Yesterday I got the results from my 2 year checkup. BLAM! A1C 5.3% I had been splurging a little more with a bunch of cheat meals over the last few months and I was super worried about my results, but this was so encouraging and it just lets me know to keep doing what I'm doing. 
What am I doing? Lazy keto, lots of fat and fiber. I run 3 times a week. Usually 6 miles on Monday and Wednesday night, and then 8 - 15 miles on Saturday morning depending on the weather. I used to hate running, now it allows me to cheat more, so I'm never stopping. 
What did I go though? A recap.
July 22, 2016 : Found out I was diabetic. A1C 10.1%, weight 230lbs, 5'10" 35yrs old, barely could run 1 mile 13-15min/mi, started on Metformin.
October 3, 2016 : First follow up after being diagnosed. A1C 6.1%, weight 200lbs, longest run around 3 miles now 12min/mi, off of Metformin.
May 5, 2017 : A1C 5.5%, HELL YES!!! Felt so awesome!, weight 170lbs, longest run 6 miles 10ish min/mi.
November 28, 2017 : A1C 5.4%, buying a new wardrobe, my life is mine again, weight 165lbs, longest run 12 miles 10ish min/mi.
July 25, 2018 : A1C 5.3%, I got injured in December and didn't run for almost 3 months switched to weight lifting, weight gain to 180lbs, but the last 5 months I'm managed to work my way up to 15miles on my longest runs 9.5min/mi. I want to do a marathon next year. Probably the Surf Cities in Long Beach, CA. I'm hoping to lose 15lbs by marathon time. The thought of carrying an extra 15lbs for 26.4miles... uhg.
Things that have helped me. /r/diabetes and /r/ketorecipes have been essential to me, the stories and the encouragement. A good fitness tracking watch to monitor my progress with exercise and other health stuff. I'm currently using a Garmin Forerunning 235. Aaaaand cheat days about once a month.
I'm starting to try the intermittent fasting thing. It's been very challenging, but I really want to lose those 15lbs.
To anyone who's recently diagnosed, you can do this. It is not a death sentence, it will be okay. PM me for some encouragement or if you just have some questions I'll do my best. Good luck everyone.
TL;DR : Its my cake day and my 2 year diagnoses anniversary. I'm at A1C 5.3% and feeling awesome! Thank you /r/diabetes</t>
        </is>
      </c>
      <c r="D5093" t="n">
        <v>3</v>
      </c>
      <c r="E5093" t="n">
        <v>3</v>
      </c>
      <c r="F5093">
        <f>HYPERLINK("https://www.reddit.com/r/diabetes/comments/926658/no_cake_but_cake_day/")</f>
        <v/>
      </c>
      <c r="G5093" t="inlineStr">
        <is>
          <t>2018-07-26 14:02:21</t>
        </is>
      </c>
      <c r="H5093" t="inlineStr">
        <is>
          <t>Type 2</t>
        </is>
      </c>
    </row>
    <row r="5094">
      <c r="A5094" t="inlineStr">
        <is>
          <t>926j01</t>
        </is>
      </c>
      <c r="B5094" t="inlineStr">
        <is>
          <t>Found out I had Type 2 Diabetes today.</t>
        </is>
      </c>
      <c r="C5094" t="inlineStr">
        <is>
          <t>I honestly feel like a failure. I'm embarrassed that I have this and I keep beating myself up because I let myself get to this point. I'm a 21 year old female, my family and friends have been very comforting which I appreciate. But my anxiety has been at a peak ever since my visit to the doctor. I know it isn't the end of the world but it certainly feels like it. 
I got prescribed metformin, 2 tablets a day totalling to 100 mg a day. 
Any tips on how to cope and how you dealt with the entirety of everything.</t>
        </is>
      </c>
      <c r="D5094" t="n">
        <v>2</v>
      </c>
      <c r="E5094" t="n">
        <v>17</v>
      </c>
      <c r="F5094">
        <f>HYPERLINK("https://www.reddit.com/r/diabetes/comments/926j01/found_out_i_had_type_2_diabetes_today/")</f>
        <v/>
      </c>
      <c r="G5094" t="inlineStr">
        <is>
          <t>2018-07-26 14:44:26</t>
        </is>
      </c>
      <c r="H5094" t="inlineStr">
        <is>
          <t>Type 2</t>
        </is>
      </c>
    </row>
    <row r="5095">
      <c r="A5095" t="inlineStr">
        <is>
          <t>926kln</t>
        </is>
      </c>
      <c r="B5095" t="inlineStr">
        <is>
          <t>Using a basal insulin injection with a pump for bolus/correction</t>
        </is>
      </c>
      <c r="C5095" t="inlineStr">
        <is>
          <t xml:space="preserve">Is it conceivable that one can use a basal, long acting insulin and \*just\* use an insulin pump for boluses and corrections?
I'm a t:flex customer that goes through \~160 units per day (yes, a 70g carb meal will pretty much max out the maximum 60 unit delivery and have to give 2 boluses).  But with the t:flex being at the end of the road in the next few years without a future, I'm starting to think about what to do next.  Obviously the X2 is the future of Tandem's pumps, and I'm excited about the direction they're taking towards eventual closed loop.  But it's a problem if I'm changing my site every day to day and a half.  My endocrinologist was encouraging me to check into whether or not anyone had used their pumps in this fashion, and I'm not even sure where to start looking for such information.  </t>
        </is>
      </c>
      <c r="D5095" t="n">
        <v>2</v>
      </c>
      <c r="E5095" t="n">
        <v>20</v>
      </c>
      <c r="F5095">
        <f>HYPERLINK("https://www.reddit.com/r/diabetes/comments/926kln/using_a_basal_insulin_injection_with_a_pump_for/")</f>
        <v/>
      </c>
      <c r="G5095" t="inlineStr">
        <is>
          <t>2018-07-26 14:50:00</t>
        </is>
      </c>
      <c r="H5095" t="inlineStr">
        <is>
          <t>Type 1</t>
        </is>
      </c>
    </row>
    <row r="5096">
      <c r="A5096" t="inlineStr">
        <is>
          <t>92c7yz</t>
        </is>
      </c>
      <c r="B5096" t="inlineStr">
        <is>
          <t>My father has just found out he's pre diabetic. Refuses to change his diet.</t>
        </is>
      </c>
      <c r="C5096" t="inlineStr">
        <is>
          <t xml:space="preserve">My father (54) has just found out he's pre-diabetic and well on his way to type 2 diabetes. He has an active lifestyle (plays multiple sports such as touch rugby and soccer) and his diet is pretty sound. Except for one (or two) huge problems. My father is addicted to chocolate. He doesn't drink alcohol, or smoke tobacco. His vice (and it has been for decades) is two blocks of chocolate every night. Years ago I managed to convince him that he had to drop the chocolate. He dropped down to one block but refused to give it up. Just to be clear I'm not talking about a chocolate bar. I'm talking about a block of chocolate. He also drinks three instant mochas a day (nescafe or one of those brands) which have 12g of sugar in them and he adds a teaspoon of sugar! 😡
I've told him he has to change or he'll become diabetic and he is worried but is so genuinely addicted he can't even conceive of giving up chocolate. Even though he'll be forced to if he becomes diabetic anyway.
I love my old man and I don't want him to become diabetic and shorten his life span (tbh he'd be useless at looking after himself as a diabetic).
How can I get through to him? What horrors of diabetes can I show him? I've told him how much sugar is in his chocolate and he's blown away but didn't decrease his intake. I don't know what to do.
TLDR: father has found out he's pre-diabetic. Is chronically addicted to chocolate (and other sugars) and refuses to give them up. How can I help him? </t>
        </is>
      </c>
      <c r="D5096" t="n">
        <v>2</v>
      </c>
      <c r="E5096" t="n">
        <v>18</v>
      </c>
      <c r="F5096">
        <f>HYPERLINK("https://www.reddit.com/r/diabetes/comments/92c7yz/my_father_has_just_found_out_hes_pre_diabetic/")</f>
        <v/>
      </c>
      <c r="G5096" t="inlineStr">
        <is>
          <t>2018-07-27 05:48:53</t>
        </is>
      </c>
      <c r="H5096" t="inlineStr">
        <is>
          <t>Type 2</t>
        </is>
      </c>
    </row>
    <row r="5097">
      <c r="A5097" t="inlineStr">
        <is>
          <t>92cxcm</t>
        </is>
      </c>
      <c r="B5097" t="inlineStr">
        <is>
          <t>Dexcom vs Medtronic Guardian sensors?</t>
        </is>
      </c>
      <c r="C5097" t="inlineStr">
        <is>
          <t>Can anyone attest to the pain levels for inserting the dexcom sensor vs. Medtronic's guardian sensor? I was on dexcom for years and found inserting CGM sites to be very painful, i usually iced the area for like 5 minutes before the insertion. I recently upgraded to the Medtronic 670g and am going to try to put the Guardian sensor in this afternoon. Has anyone used both and can give me a pain level comparison? Or advice on the change overall? Thanks!</t>
        </is>
      </c>
      <c r="D5097" t="n">
        <v>1</v>
      </c>
      <c r="E5097" t="n">
        <v>3</v>
      </c>
      <c r="F5097">
        <f>HYPERLINK("https://www.reddit.com/r/diabetes/comments/92cxcm/dexcom_vs_medtronic_guardian_sensors/")</f>
        <v/>
      </c>
      <c r="G5097" t="inlineStr">
        <is>
          <t>2018-07-27 07:21:13</t>
        </is>
      </c>
      <c r="H5097" t="inlineStr">
        <is>
          <t>Type 1</t>
        </is>
      </c>
    </row>
    <row r="5098">
      <c r="A5098" t="inlineStr">
        <is>
          <t>92e1aj</t>
        </is>
      </c>
      <c r="B5098" t="inlineStr">
        <is>
          <t>Mastering Diabetes diet thoughts for T1D's</t>
        </is>
      </c>
      <c r="C5098" t="inlineStr">
        <is>
          <t>Hi, 
What are your thoughts about this diet/lifestyle? Being a T1D I've ALWAYS been advised to  eat as low carb as  possible. This program is saying that you can eat as many carbs as you want (in fruits and veggies). 
www.masteringdiabetes.org</t>
        </is>
      </c>
      <c r="D5098" t="n">
        <v>0</v>
      </c>
      <c r="E5098" t="n">
        <v>6</v>
      </c>
      <c r="F5098">
        <f>HYPERLINK("https://www.reddit.com/r/diabetes/comments/92e1aj/mastering_diabetes_diet_thoughts_for_t1ds/")</f>
        <v/>
      </c>
      <c r="G5098" t="inlineStr">
        <is>
          <t>2018-07-27 09:33:00</t>
        </is>
      </c>
      <c r="H5098" t="inlineStr">
        <is>
          <t>Type 1</t>
        </is>
      </c>
    </row>
    <row r="5099">
      <c r="A5099" t="inlineStr">
        <is>
          <t>92erh5</t>
        </is>
      </c>
      <c r="B5099" t="inlineStr">
        <is>
          <t>Was type 2, had bariatric surgery and instantly went into remission, held that status for 4 years. Today woke up with a blood sugar reading of 293. What do I do?</t>
        </is>
      </c>
      <c r="C5099" t="inlineStr">
        <is>
          <t>Only held active diabetic status for 6 months. I haven’t changed anything in my diet or exercise routine, neither of which are exemplary, since going into remission. I don’t eat or drink crazy amounts of sugar or carbs, and I don’t exercise like crazy, but I do physical work around my house. Noticed that I’ve been feeling slightly strange lately, but attributed that to the excessive heat when working outside.  Red flags went up after I’ve been extra thirsty and using the restroom a lot. I thought it might have been just because I’ve been sweating a lot while working in the yard. My A1C is usually around 5 or 6. Life has been business as usual. I may be under more stress than usual, but everything else is the same. What should I do?</t>
        </is>
      </c>
      <c r="D5099" t="n">
        <v>0</v>
      </c>
      <c r="E5099" t="n">
        <v>4</v>
      </c>
      <c r="F5099">
        <f>HYPERLINK("https://www.reddit.com/r/diabetes/comments/92erh5/was_type_2_had_bariatric_surgery_and_instantly/")</f>
        <v/>
      </c>
      <c r="G5099" t="inlineStr">
        <is>
          <t>2018-07-27 10:56:11</t>
        </is>
      </c>
      <c r="H5099" t="inlineStr">
        <is>
          <t>Type 2</t>
        </is>
      </c>
    </row>
    <row r="5100">
      <c r="A5100" t="inlineStr">
        <is>
          <t>92f2sj</t>
        </is>
      </c>
      <c r="B5100" t="inlineStr">
        <is>
          <t>Diabetes Guide?</t>
        </is>
      </c>
      <c r="C5100" t="inlineStr">
        <is>
          <t>Does anybody have a type 1 diabetes guide for people who were recently diagnosed? Kind of something that explains the disease, glucose testing, insulin therapy, pump vs MDI, CGMs, etc. I can't seem to find anything.</t>
        </is>
      </c>
      <c r="D5100" t="n">
        <v>1</v>
      </c>
      <c r="E5100" t="n">
        <v>6</v>
      </c>
      <c r="F5100">
        <f>HYPERLINK("https://www.reddit.com/r/diabetes/comments/92f2sj/diabetes_guide/")</f>
        <v/>
      </c>
      <c r="G5100" t="inlineStr">
        <is>
          <t>2018-07-27 11:32:07</t>
        </is>
      </c>
      <c r="H5100" t="inlineStr">
        <is>
          <t>Type 1</t>
        </is>
      </c>
    </row>
    <row r="5101">
      <c r="A5101" t="inlineStr">
        <is>
          <t>92fc15</t>
        </is>
      </c>
      <c r="B5101" t="inlineStr">
        <is>
          <t>Went to see the results of my A1C</t>
        </is>
      </c>
      <c r="C5101" t="inlineStr">
        <is>
          <t xml:space="preserve">I was diagnosed with type 2 Diabetes in 2016 when I my A1C was at 13. 
Today it's down to 5.6. My doctor decided that I no longer need my Metformin and Fenofibrate (Cholesterol). 
Dieting and portion control has been so hard to maintain. Especially given that I live on the Tex/Mexico border. It's been a struggle. </t>
        </is>
      </c>
      <c r="D5101" t="n">
        <v>7</v>
      </c>
      <c r="E5101" t="n">
        <v>3</v>
      </c>
      <c r="F5101">
        <f>HYPERLINK("https://www.reddit.com/r/diabetes/comments/92fc15/went_to_see_the_results_of_my_a1c/")</f>
        <v/>
      </c>
      <c r="G5101" t="inlineStr">
        <is>
          <t>2018-07-27 12:01:58</t>
        </is>
      </c>
      <c r="H5101" t="inlineStr">
        <is>
          <t>Type 2</t>
        </is>
      </c>
    </row>
    <row r="5102">
      <c r="A5102" t="inlineStr">
        <is>
          <t>92fpe2</t>
        </is>
      </c>
      <c r="B5102" t="inlineStr">
        <is>
          <t>Woke Up This Morning, Naked, and Surrounded by Emergency Responders</t>
        </is>
      </c>
      <c r="C5102" t="inlineStr">
        <is>
          <t>Last night boyfriend and I were watching movies and were doing a little drinking. Ate a PB&amp;amp;J at around 6pm, and hadn't eaten much else that day. We went to bed, everything was normal.
I woke up sometime in the night to my Dexcom alerting a low, bs is 60. So I get a juice and lay back down, playing on my phone, waiting for my bs to go up.
Next thing I know, I feel something sticking to my arms and legs and something on my finger. Oh no. My eyes are shut, and I thought I heard other people in the room. Im in that weird stage between being asleep and being awake, where you dont know if you're dreaming or not. Hopefully I'm dreaming. 
Nope.
I hear "Kaity-lynn, nod if you hear me." Fugg, I wake up a little more and am surrounded by EMS and some firefighters. Im also butt ass naked (thats how I sleep). 
Apparently my boyfriend was woken up by my Dexcom alarm (suprising because he is a HEAVY sleeper), and was trying to wake me up to drink juice.  I wouldn't wake up, I was covered in sweat, and had a slow heartbeat. 
So he calls 911 and tries to cover me, but I was uncooperative af, so I wake up naked and surrounded by emergency responders. (Also, apparently his mother also saw me naked, so... awk)</t>
        </is>
      </c>
      <c r="D5102" t="n">
        <v>28</v>
      </c>
      <c r="E5102" t="n">
        <v>18</v>
      </c>
      <c r="F5102">
        <f>HYPERLINK("https://www.reddit.com/r/diabetes/comments/92fpe2/woke_up_this_morning_naked_and_surrounded_by/")</f>
        <v/>
      </c>
      <c r="G5102" t="inlineStr">
        <is>
          <t>2018-07-27 12:46:11</t>
        </is>
      </c>
      <c r="H5102" t="inlineStr">
        <is>
          <t>Type 1</t>
        </is>
      </c>
    </row>
    <row r="5103">
      <c r="A5103" t="inlineStr">
        <is>
          <t>92frat</t>
        </is>
      </c>
      <c r="B5103" t="inlineStr">
        <is>
          <t>Traveling to Canada just to get Insulin?</t>
        </is>
      </c>
      <c r="C5103" t="inlineStr">
        <is>
          <t>So, I live in Austin, TX and have found out with my new high deductible insurance my humalog is more expensive than at my previous job. Have seen some stuff about getting it in Canada and wanted to know:
\-How many vials can I bring back? I know a lot of resources say 3-month supply, but how far can I push that? 18 vials? 24?
\-Will US customs be suspicious or take away my insulin? Especially if I fly in and fly out the same day just to get it. Is it illegal?
\-For those that have ordered from an online Canadian pharmacy, is it safe? The part that worries me is the 1-2 week expedited shipping in the heat of summer.
Thank you!</t>
        </is>
      </c>
      <c r="D5103" t="n">
        <v>5</v>
      </c>
      <c r="E5103" t="n">
        <v>17</v>
      </c>
      <c r="F5103">
        <f>HYPERLINK("https://www.reddit.com/r/diabetes/comments/92frat/traveling_to_canada_just_to_get_insulin/")</f>
        <v/>
      </c>
      <c r="G5103" t="inlineStr">
        <is>
          <t>2018-07-27 12:52:49</t>
        </is>
      </c>
      <c r="H5103" t="inlineStr">
        <is>
          <t>Type 1</t>
        </is>
      </c>
    </row>
    <row r="5104">
      <c r="A5104" t="inlineStr">
        <is>
          <t>92fyno</t>
        </is>
      </c>
      <c r="B5104" t="inlineStr">
        <is>
          <t>Question about extended wear of the Dexcom (kind of gross description)</t>
        </is>
      </c>
      <c r="C5104" t="inlineStr">
        <is>
          <t>I have a Dexcom g5 and I know it “ officially “ lasts for 7 days. I also know that it’s very easy to make the sensor last much longer than these 7 days. When I wear one for the recommended amount of time, upon removal, my skin is red and itchy and the insertion site is red and inflamed. Recently I used the sensor for 13 days and when I took it off, the site was still red and inflamed, but this time the insertion site has some pus around it!
I brought this up to my endocrinologist ( actually her NP) , including the redness after the recommended time of wear and she brushed me off and told me not to wear the sensor for longer than 7 days. I agreed with her but I told her that I was still being left with significant red scars on my stomach and arms after I remove the sensor! Seriously, I have a visible scar from the insertion site I used 4 sensors ago!!!
I am asking if anybody else has this problem.  I do have a mild latex allergy (severe enough to use latex-free band-aids and other latex-free paraphernalia, but not so severe that I can’t blow up a balloon) so I have heard that I should use skin-tax to create a barrier. I plan on testing this out but if anybody else has this problem or any suggestions I would love to hear them!</t>
        </is>
      </c>
      <c r="D5104" t="n">
        <v>1</v>
      </c>
      <c r="E5104" t="n">
        <v>6</v>
      </c>
      <c r="F5104">
        <f>HYPERLINK("https://www.reddit.com/r/diabetes/comments/92fyno/question_about_extended_wear_of_the_dexcom_kind/")</f>
        <v/>
      </c>
      <c r="G5104" t="inlineStr">
        <is>
          <t>2018-07-27 13:17:11</t>
        </is>
      </c>
      <c r="H5104" t="inlineStr">
        <is>
          <t>Type 1</t>
        </is>
      </c>
    </row>
    <row r="5105">
      <c r="A5105" t="inlineStr">
        <is>
          <t>92icr3</t>
        </is>
      </c>
      <c r="B5105" t="inlineStr">
        <is>
          <t>diagnosis and specialists</t>
        </is>
      </c>
      <c r="C5105" t="inlineStr">
        <is>
          <t>Just curious--did anyone get diagnosed as diabetic and have the doctor (GP) refuse to send you to an Endo? As in flat out using the words he refuses to refer me. given various medications that did nothing, kpt chaning them or increasing dosages. Went to a diabetic counsellor as is usual upon diagnosis and even they agreed I should be seeing a specialist but had no power to refer me. I also asked for a GAD test to be told he never heard of such a thing and he chuckled. Long story short  I've since changed doctors who sent me immediately to an an Endo, all good now getting the right course of treatments, gaining weight back to normal, not waking up hourly to go to the bathroom, brain starting to work again, not in pain all day and night, etc :) 
I guess I am just wondering if anyone had a similar experience? Just processing everything now--thanks!</t>
        </is>
      </c>
      <c r="D5105" t="n">
        <v>2</v>
      </c>
      <c r="E5105" t="n">
        <v>5</v>
      </c>
      <c r="F5105">
        <f>HYPERLINK("https://www.reddit.com/r/diabetes/comments/92icr3/diagnosis_and_specialists/")</f>
        <v/>
      </c>
      <c r="G5105" t="inlineStr">
        <is>
          <t>2018-07-27 18:33:57</t>
        </is>
      </c>
      <c r="H5105" t="inlineStr">
        <is>
          <t>Type 1.5/LADA</t>
        </is>
      </c>
    </row>
    <row r="5106">
      <c r="A5106" t="inlineStr">
        <is>
          <t>92j85l</t>
        </is>
      </c>
      <c r="B5106" t="inlineStr">
        <is>
          <t>Has anyone ever relocated due to heat intolerance?</t>
        </is>
      </c>
      <c r="C5106" t="inlineStr">
        <is>
          <t>Currently live in Phoenix which is basically hell. For the past 8 years or so I have suffered through every summer(usually starts with excessive sweating that leads to thyroid imbalances then things that get miserable from there). I have tried various medications, changes in activity and hydration.
So I am exhausted trying to make this work. I kept thinking I could figure out the root cause and solve(worked with many doctors and endocrinologists) it but it appears neuropathy is my main issue which makes me feel helpless.</t>
        </is>
      </c>
      <c r="D5106" t="n">
        <v>3</v>
      </c>
      <c r="E5106" t="n">
        <v>9</v>
      </c>
      <c r="F5106">
        <f>HYPERLINK("https://www.reddit.com/r/diabetes/comments/92j85l/has_anyone_ever_relocated_due_to_heat_intolerance/")</f>
        <v/>
      </c>
      <c r="G5106" t="inlineStr">
        <is>
          <t>2018-07-27 20:52:56</t>
        </is>
      </c>
      <c r="H5106" t="inlineStr">
        <is>
          <t>Type 1</t>
        </is>
      </c>
    </row>
    <row r="5107">
      <c r="A5107" t="inlineStr">
        <is>
          <t>92qcbc</t>
        </is>
      </c>
      <c r="B5107" t="inlineStr">
        <is>
          <t>Anyone else *not* experience weight loss as a pre-dx symptom? Also, an A1C question....</t>
        </is>
      </c>
      <c r="C5107" t="inlineStr">
        <is>
          <t>Dx’d at the end of January with an A1C of 6.9.  Really didn’t experience any of the usual symptoms:  not overly hungry or thirsty, not any more tired than usual (ha!), no increase in trips to the loo, wounds healed at usual pace, and no weight loss.  Occasionally I had bleary eyes, but I honestly attributed that to my have a poor night’s sleep or my astigmatism.
Went to my diabetes classes, and during our group discussion, two of the ladies were very shocked I was there because (1) I didn’t have any weight loss and (2) because they said my A1C was pre-diabetic.  Uh, what?
So I did a search with Dr. Google, and apparently there are some people who feel you have to have A1C numbers over 7.0 to actually be classed diabetic?  
What’s your experience?
Diabetes runs in my family, so this was a big wake-up call regardless.</t>
        </is>
      </c>
      <c r="D5107" t="n">
        <v>9</v>
      </c>
      <c r="E5107" t="n">
        <v>20</v>
      </c>
      <c r="F5107">
        <f>HYPERLINK("https://www.reddit.com/r/diabetes/comments/92qcbc/anyone_else_not_experience_weight_loss_as_a_predx/")</f>
        <v/>
      </c>
      <c r="G5107" t="inlineStr">
        <is>
          <t>2018-07-28 16:10:39</t>
        </is>
      </c>
      <c r="H5107" t="inlineStr">
        <is>
          <t>Type 2</t>
        </is>
      </c>
    </row>
    <row r="5108">
      <c r="A5108" t="inlineStr">
        <is>
          <t>92u7es</t>
        </is>
      </c>
      <c r="B5108" t="inlineStr">
        <is>
          <t>In need of Diabetic Participants!</t>
        </is>
      </c>
      <c r="C5108" t="inlineStr">
        <is>
          <t xml:space="preserve">  Hi everyone!
I am getting close to reaching my required amount of participants for my Master’s Dissertation study. If you have not had the chance to look at it, please do! The study is on social networking and diabetes self-management. Anyone who is over the age of 18, has type 1 or type 2 diabetes and who uses Facebook can take part in this study. It’s an online survey which asks questions about you, your social networking use and how you self-manage your diabetes. It’s a simple survey which will take no longer than 10 minutes to complete, and you can also win **a £10 amazon gift card**. 
If you’re interested in gaining valuable insight that may encourage beneficial changes to your own diabetes self-management, please click the link below I would greatly appreciate it! Thank you for your time and I hope you have a wonderful day.
Link: [https://qtrial2018q2az1.az1.qualtrics.com/jfe/form/SV\_0HWDglX9ts6eIMR](https://qtrial2018q2az1.az1.qualtrics.com/jfe/form/SV_0HWDglX9ts6eIMR) 
If you have any questions, please email me at [km00868@Surrey.ac.uk](mailto:km00868@Surrey.ac.uk). </t>
        </is>
      </c>
      <c r="D5108" t="n">
        <v>12</v>
      </c>
      <c r="E5108" t="n">
        <v>12</v>
      </c>
      <c r="F5108">
        <f>HYPERLINK("https://www.reddit.com/r/diabetes/comments/92u7es/in_need_of_diabetic_participants/")</f>
        <v/>
      </c>
      <c r="G5108" t="inlineStr">
        <is>
          <t>2018-07-29 04:45:19</t>
        </is>
      </c>
      <c r="H5108" t="inlineStr">
        <is>
          <t>Type 2</t>
        </is>
      </c>
    </row>
    <row r="5109">
      <c r="A5109" t="inlineStr">
        <is>
          <t>92v1lp</t>
        </is>
      </c>
      <c r="B5109" t="inlineStr">
        <is>
          <t>Is Freestyle Libre the only CGM option in Central Europe?</t>
        </is>
      </c>
      <c r="C5109" t="inlineStr">
        <is>
          <t>I live in Poland and I've only heard about Freestyle Libre when it comes to CGMs. I've been using it for a while but they're having some logistics issues, meaning I can realistically only hope to get 2 sets once every 2 months or so. I mean, the way I see it: what's the point of using a CGM if you can't be consistent? Switching back and forth to flash tests is annoying and defeats the whole purpose. Hence my question: do you guys know if there's a better alternative that ships internationally? Thanks!</t>
        </is>
      </c>
      <c r="D5109" t="n">
        <v>3</v>
      </c>
      <c r="E5109" t="n">
        <v>5</v>
      </c>
      <c r="F5109">
        <f>HYPERLINK("https://www.reddit.com/r/diabetes/comments/92v1lp/is_freestyle_libre_the_only_cgm_option_in_central/")</f>
        <v/>
      </c>
      <c r="G5109" t="inlineStr">
        <is>
          <t>2018-07-29 07:16:37</t>
        </is>
      </c>
      <c r="H5109" t="inlineStr">
        <is>
          <t>Type 1</t>
        </is>
      </c>
    </row>
    <row r="5110">
      <c r="A5110" t="inlineStr">
        <is>
          <t>92whbi</t>
        </is>
      </c>
      <c r="B5110" t="inlineStr">
        <is>
          <t>Out of town, out of insulin.</t>
        </is>
      </c>
      <c r="C5110" t="inlineStr">
        <is>
          <t xml:space="preserve">So I am in Utah, south Jordan area, and I thought I had packed 3 insulin pens instead of just the two! I will be out of insulin with 2 days and are here for 4 more days. I don’t know what to do. Any advice? </t>
        </is>
      </c>
      <c r="D5110" t="n">
        <v>1</v>
      </c>
      <c r="E5110" t="n">
        <v>3</v>
      </c>
      <c r="F5110">
        <f>HYPERLINK("https://www.reddit.com/r/diabetes/comments/92whbi/out_of_town_out_of_insulin/")</f>
        <v/>
      </c>
      <c r="G5110" t="inlineStr">
        <is>
          <t>2018-07-29 10:39:01</t>
        </is>
      </c>
      <c r="H5110" t="inlineStr">
        <is>
          <t>Type 1.5/LADA</t>
        </is>
      </c>
    </row>
    <row r="5111">
      <c r="A5111" t="inlineStr">
        <is>
          <t>92xld2</t>
        </is>
      </c>
      <c r="B5111" t="inlineStr">
        <is>
          <t>Melatonin Effects on Blood Sugar</t>
        </is>
      </c>
      <c r="C5111" t="inlineStr">
        <is>
          <t>I’ve had terrible insomnia for the past few weeks due to stress before the start of school. I’m considering trying Melatonin, but am getting mixed results when searching for its effects on blood sugar. Has anyone tried it and noticed unusual spikes or drops?</t>
        </is>
      </c>
      <c r="D5111" t="n">
        <v>0</v>
      </c>
      <c r="E5111" t="n">
        <v>3</v>
      </c>
      <c r="F5111">
        <f>HYPERLINK("https://www.reddit.com/r/diabetes/comments/92xld2/melatonin_effects_on_blood_sugar/")</f>
        <v/>
      </c>
      <c r="G5111" t="inlineStr">
        <is>
          <t>2018-07-29 13:06:17</t>
        </is>
      </c>
      <c r="H5111" t="inlineStr">
        <is>
          <t>Type 1</t>
        </is>
      </c>
    </row>
    <row r="5112">
      <c r="A5112" t="inlineStr">
        <is>
          <t>92yyl5</t>
        </is>
      </c>
      <c r="B5112" t="inlineStr">
        <is>
          <t>Pizza Struggles</t>
        </is>
      </c>
      <c r="C5112" t="inlineStr">
        <is>
          <t>All the thing I looked at gives nutrition info based on pie cut pizza slices, and I’m tired of getting pieces to imitate that amount. So does anyone know how many carbs are in a square cut pizza slice?</t>
        </is>
      </c>
      <c r="D5112" t="n">
        <v>6</v>
      </c>
      <c r="E5112" t="n">
        <v>8</v>
      </c>
      <c r="F5112">
        <f>HYPERLINK("https://www.reddit.com/r/diabetes/comments/92yyl5/pizza_struggles/")</f>
        <v/>
      </c>
      <c r="G5112" t="inlineStr">
        <is>
          <t>2018-07-29 16:13:48</t>
        </is>
      </c>
      <c r="H5112" t="inlineStr">
        <is>
          <t>Type 1</t>
        </is>
      </c>
    </row>
    <row r="5113">
      <c r="A5113" t="inlineStr">
        <is>
          <t>92z8q4</t>
        </is>
      </c>
      <c r="B5113" t="inlineStr">
        <is>
          <t>My daughter lost her insulin pump yesterday.</t>
        </is>
      </c>
      <c r="C5113" t="inlineStr">
        <is>
          <t xml:space="preserve">This is just a rant, it's been a tough 24 hours.
Yesterday, my daughter went to the mall with her friends. It wasn't supposed to be a big deal. We picked her up, brought her home, everything was fine. Then, later that night, she comes to us crying because she didn't have her pump. She had taken it off when trying on clothes at the mall and forgot to put it back on. She had known for a couple hours already, but she was hoping we wouldn't have to find out, which I don't understand. She had been giving herself shots every hour, but she realized that it was going to be harder than she thought, and she finally told us, but by then, the mall was already closed. We don't have an extra pump, nor do we have any long acting insulin in the house, so basically all night we were giving her hourly shots. Thank goodness she still had her cgm so we could track things. But we were waiting outside the mall this morning to get in right when they opened. We had to go to three stores before we found it, but we found it, thank goodness. I can't even begin to imagine the nightmare if we didn't find it. 
We came home right after that, and we all took a long nap after our sleepless night. We had a long talk with her about it, stressing that if she loses it again, that she needs to tell us right away. If she had told us earlier last night, maybe we could have gotten to the mall before they closed, and she could have had her pump all night. I really don't know what she was thinking by not telling us. </t>
        </is>
      </c>
      <c r="D5113" t="n">
        <v>82</v>
      </c>
      <c r="E5113" t="n">
        <v>36</v>
      </c>
      <c r="F5113">
        <f>HYPERLINK("https://www.reddit.com/r/diabetes/comments/92z8q4/my_daughter_lost_her_insulin_pump_yesterday/")</f>
        <v/>
      </c>
      <c r="G5113" t="inlineStr">
        <is>
          <t>2018-07-29 16:55:53</t>
        </is>
      </c>
      <c r="H5113" t="inlineStr">
        <is>
          <t>Type 1</t>
        </is>
      </c>
    </row>
    <row r="5114">
      <c r="A5114" t="inlineStr">
        <is>
          <t>932yxm</t>
        </is>
      </c>
      <c r="B5114" t="inlineStr">
        <is>
          <t>morning highs</t>
        </is>
      </c>
      <c r="C5114" t="inlineStr">
        <is>
          <t>I guess this is more venting than anything. No matter what I do, how much I exercise, what I eat, I wake up EVERY MORNING with blood sugar between 250 and 300. It doesn't matter what my blood sugar was when I went to bed, what it was in the middle of the night. It's so hard to get my day started when I need to wait hours for my sugar to go down. I wake up feeling sick almost every day. Has anyone had any luck dealing with this (besides the pump- that chapter of my life is long over)? The only thing that helps me, funny enough, is drinking alcohol at night, which obviously is not a viable solution. Ugh.</t>
        </is>
      </c>
      <c r="D5114" t="n">
        <v>1</v>
      </c>
      <c r="E5114" t="n">
        <v>8</v>
      </c>
      <c r="F5114">
        <f>HYPERLINK("https://www.reddit.com/r/diabetes/comments/932yxm/morning_highs/")</f>
        <v/>
      </c>
      <c r="G5114" t="inlineStr">
        <is>
          <t>2018-07-30 03:34:38</t>
        </is>
      </c>
      <c r="H5114" t="inlineStr">
        <is>
          <t>Type 1</t>
        </is>
      </c>
    </row>
    <row r="5115">
      <c r="A5115" t="inlineStr">
        <is>
          <t>936ths</t>
        </is>
      </c>
      <c r="B5115" t="inlineStr">
        <is>
          <t>How do I develop a healthy relationship with food?</t>
        </is>
      </c>
      <c r="C5115" t="inlineStr">
        <is>
          <t xml:space="preserve">I was diagnosed with T1 at age 8 and have had it for going on 11 years.  When I was diagnosed, the endocrinologist emphasized that I would still be able to live a normal life—including eating foods like pizza and cake.
Now that I'm 19, I've realized I've taken this a little *too* seriously.  I weigh double what I did when I was diagnosed, and obesity has obviously led to crazy insulin resistance.  My insulin:carb ratio is 1:5, and I take a total of 56 units of Lantus daily.  I've been trying to lose weight both to decrease my insulin requirements and to be healthier, and although I've lost about 10 lbs through small lifestyle changes I've hit a major roadblock.
I've come to the conclusion that keto/low carb would probably be the best option for me to lose weight.  Unfortunately, all my attempts at a low carb diet have left me miserable.  I hate a lot of the low carb "staples" (eggs, meat), and after my last attempt I don't want to touch bacon ever again.  It's gotten so bad that I'd rather starve myself than give up carbs.  I purposely don't eat until around dinnertime so I can eat a bunch of carbs and calories without fear of snacking all day.
Obviously I *do* enjoy eating low-carb foods like cabbage and cauliflower, and I've been trying to increase the amount of low-carb veggies I eat, but ultimately carbs always win.  How do I develop a healthy relationship with food?  </t>
        </is>
      </c>
      <c r="D5115" t="n">
        <v>2</v>
      </c>
      <c r="E5115" t="n">
        <v>8</v>
      </c>
      <c r="F5115">
        <f>HYPERLINK("https://www.reddit.com/r/diabetes/comments/936ths/how_do_i_develop_a_healthy_relationship_with_food/")</f>
        <v/>
      </c>
      <c r="G5115" t="inlineStr">
        <is>
          <t>2018-07-30 11:50:19</t>
        </is>
      </c>
      <c r="H5115" t="inlineStr">
        <is>
          <t>Type 1</t>
        </is>
      </c>
    </row>
    <row r="5116">
      <c r="A5116" t="inlineStr">
        <is>
          <t>937not</t>
        </is>
      </c>
      <c r="B5116" t="inlineStr">
        <is>
          <t>Shift work</t>
        </is>
      </c>
      <c r="C5116" t="inlineStr">
        <is>
          <t xml:space="preserve">
Just a lil vent session. I've been working shift work at the same place for about 5 years. 6 months or so ago I was diagnosed with t1d. I work 12 hour shifts days and nights. I've been having a really hard time on nights sugar is always low and have mirgranes bad enough I throw up. I've fought really hard to get off nights that's starting this week but I really wanna be off shift work all together the thing that bugs me the most is how dizzy I get to the point I feel like I'll fall. No one really seems to help just don't really know what to do anymore. Anyone been in a place like this before?</t>
        </is>
      </c>
      <c r="D5116" t="n">
        <v>1</v>
      </c>
      <c r="E5116" t="n">
        <v>4</v>
      </c>
      <c r="F5116">
        <f>HYPERLINK("https://www.reddit.com/r/diabetes/comments/937not/shift_work/")</f>
        <v/>
      </c>
      <c r="G5116" t="inlineStr">
        <is>
          <t>2018-07-30 13:23:32</t>
        </is>
      </c>
      <c r="H5116" t="inlineStr">
        <is>
          <t>Type 1</t>
        </is>
      </c>
    </row>
    <row r="5117">
      <c r="A5117" t="inlineStr">
        <is>
          <t>937xep</t>
        </is>
      </c>
      <c r="B5117" t="inlineStr">
        <is>
          <t>Cholesterol Issues</t>
        </is>
      </c>
      <c r="C5117" t="inlineStr">
        <is>
          <t xml:space="preserve">I was diagnosed with type 1 diabetes and hypothyroidism about a year ago. I'm having issues with high LDL cholesterol, and I just got prescribed a statin. I'm pretty freaked out and sad about it. I'm in my early 30s, and I don't want to have yet another health issue. I'm active and eat well, so I am at a loss for what else I could do. Anyone have any experience with this? Thoughts? Advice? Thanks in advance. </t>
        </is>
      </c>
      <c r="D5117" t="n">
        <v>2</v>
      </c>
      <c r="E5117" t="n">
        <v>8</v>
      </c>
      <c r="F5117">
        <f>HYPERLINK("https://www.reddit.com/r/diabetes/comments/937xep/cholesterol_issues/")</f>
        <v/>
      </c>
      <c r="G5117" t="inlineStr">
        <is>
          <t>2018-07-30 13:54:23</t>
        </is>
      </c>
      <c r="H5117" t="inlineStr">
        <is>
          <t>Type 1</t>
        </is>
      </c>
    </row>
    <row r="5118">
      <c r="A5118" t="inlineStr">
        <is>
          <t>939hue</t>
        </is>
      </c>
      <c r="B5118" t="inlineStr">
        <is>
          <t>How can Type 1 diabetes affect your urine when taking a drug test?</t>
        </is>
      </c>
      <c r="C5118" t="inlineStr">
        <is>
          <t>I am currently living in a recovery home and i get tested weekly. My A1C has been at 5.5 - 6 for 24 years(with a high blood sugar a couple times per week). I've always controlled it very well.   
Every time i get drug tested the test shows that the sample doesn't register as urine.   
I'm assuming that since diabetics pee so much that my urine is so dilluted that is mostly water.   
Even with perfect blood sugar it's mostly clear.   
I have even been accused of tampering with my sample(fake urine or however people fake drug tests).   
Is it possible that diabetic kidneys/livers process urine differently? .....No matter how well you control your blood sugar? Thanks.</t>
        </is>
      </c>
      <c r="D5118" t="n">
        <v>3</v>
      </c>
      <c r="E5118" t="n">
        <v>3</v>
      </c>
      <c r="F5118">
        <f>HYPERLINK("https://www.reddit.com/r/diabetes/comments/939hue/how_can_type_1_diabetes_affect_your_urine_when/")</f>
        <v/>
      </c>
      <c r="G5118" t="inlineStr">
        <is>
          <t>2018-07-30 17:06:05</t>
        </is>
      </c>
      <c r="H5118" t="inlineStr">
        <is>
          <t>Type 1</t>
        </is>
      </c>
    </row>
    <row r="5119">
      <c r="A5119" t="inlineStr">
        <is>
          <t>93ch3t</t>
        </is>
      </c>
      <c r="B5119" t="inlineStr">
        <is>
          <t>Why dont people with diabetes just lose weight?</t>
        </is>
      </c>
      <c r="C5119" t="inlineStr">
        <is>
          <t>My dad has this and I don't understand him. Literally 90% of type 2 diabetes are fat and/or old. I see him snacking on stacks of waffles with syrup every day or eating cookies-also he's glued to the couch. But no matter what, I cannot get him to care enough as long as he has his medicine. Why do doctors continue to just give out drugs instead of forcing patients to eat better and exercise? I have googled so many studies where it says it is reversed by simply losing weight..</t>
        </is>
      </c>
      <c r="D5119" t="n">
        <v>0</v>
      </c>
      <c r="E5119" t="n">
        <v>13</v>
      </c>
      <c r="F5119">
        <f>HYPERLINK("https://www.reddit.com/r/diabetes/comments/93ch3t/why_dont_people_with_diabetes_just_lose_weight/")</f>
        <v/>
      </c>
      <c r="G5119" t="inlineStr">
        <is>
          <t>2018-07-31 00:48:36</t>
        </is>
      </c>
      <c r="H5119" t="inlineStr">
        <is>
          <t>Type 2</t>
        </is>
      </c>
    </row>
    <row r="5120">
      <c r="A5120" t="inlineStr">
        <is>
          <t>93ex5y</t>
        </is>
      </c>
      <c r="B5120" t="inlineStr">
        <is>
          <t>Told I had type 2 but now a1c going up and Anti-GAD is positive</t>
        </is>
      </c>
      <c r="C5120" t="inlineStr">
        <is>
          <t>I tried to find a similar post for answers before posting, but apologies if I didn't look very well.
I'm a thin 25y F with T2 diagnosed 2.5 years ago after a1c was 12.8. Took 500 mg of Metformin XR every morning and had very good control up until last 6 months. Levels kept climbing and I was recently put on Januvia + Merformin.. seems to be working "ok", much better than before
Anyway, I'm a healthcare provider and I asked my endo to re-check C-peptide and antibodies again since control was so poor with no changes.. C-peptide was normal but Anti-GAD was positive. My endo is on vacation for the next 2 weeks but her message today said "ok to stay on orals for now, but may need insulin eventually" and that she'll call me when she's back. I know it's not urgent, but I just want to clarify.. Does this mean I have LADA now instead of T2? Does it mean I will need insulin and we're just waiting to figure out when? Or does it just mean antibody is positive and I have to wait and see? Any thoughts you all can give would mean a lot to me right now.</t>
        </is>
      </c>
      <c r="D5120" t="n">
        <v>5</v>
      </c>
      <c r="E5120" t="n">
        <v>11</v>
      </c>
      <c r="F5120">
        <f>HYPERLINK("https://www.reddit.com/r/diabetes/comments/93ex5y/told_i_had_type_2_but_now_a1c_going_up_and/")</f>
        <v/>
      </c>
      <c r="G5120" t="inlineStr">
        <is>
          <t>2018-07-31 07:26:26</t>
        </is>
      </c>
      <c r="H5120" t="inlineStr">
        <is>
          <t>Type 1.5/LADA</t>
        </is>
      </c>
    </row>
    <row r="5121">
      <c r="A5121" t="inlineStr">
        <is>
          <t>93f44e</t>
        </is>
      </c>
      <c r="B5121" t="inlineStr">
        <is>
          <t>After glowing recommendations for Tresiba, and the fear of "Lantus Lows", I'm considering a switch to Tresiba. And ... I have questions.</t>
        </is>
      </c>
      <c r="C5121" t="inlineStr">
        <is>
          <t>I am still honeymooning, as evidenced by my low Lantus needs (6-8 units per day). And yet, even a few grams of carbs can bump my BG measurably. I also have noticed that the BG is sometimes a little more elevated in the evening. We are talking about a very slight increase, so if I'm at, say, 88 at noon, I may be at 97 or 101 at 7PM. (This assumes no or few carbs have been eaten during the day, essentiallyy a basal rate test situation.) The afternoon increase starts somewhere around 5-6PM. And, I inject Lantus once daily, at 9PM, so it seems to fit - it may be running out after 20 hours.
I was considering a split dose, but then I heard about Tresiba. Very interesting stuff! However, it needs several days to stabilize, which is a little concerning. I suppose during these days I'll have to combat highs using my rapid acting insulin, right? Also, I've read that it took some people weeks to get to a stable dose! Really, weeks? Does it usually take this long? I'd start with a 1:1 ratio, as suggested by my endo.
Then there's the time of injection. I'd like to move it to the morning. I figure that it would fit well with a morning routine, plus this appears to work better for most Tresiba users. With Lantus, I was warned not to shower after injecting unless at least an hour has passed. Is this also the case with Tresiba? And I suppose shifting the injection time to the morning can be done once I'm fully on Tresiba, not before, right?
You might also ask why I'm concerning myself with this while honeymooning. Well, I currently have a relatively stable BG with the once-daily injections, but once endogenous insulin production wanes, the Lantus induced lows may become much more noticeable - and so will its not-quite-24-hour basal coverage. And a honeymoon typically passes gradually for a LADA like me, but it might also suddenly be over. I figure that switching to Tresiba during honeymoon may make sense because the transition between these basal insulins will produce less severe highs and make sure that I benefit from the flat Tresiba profile already.
However, there's another concern: 6-8 units of Tresiba daily? Does Tresiba then still work reliably? Or is this too low a dose?
And, any honeymooning T1Ds here on Tresiba?</t>
        </is>
      </c>
      <c r="D5121" t="n">
        <v>3</v>
      </c>
      <c r="E5121" t="n">
        <v>9</v>
      </c>
      <c r="F5121">
        <f>HYPERLINK("https://www.reddit.com/r/diabetes/comments/93f44e/after_glowing_recommendations_for_tresiba_and_the/")</f>
        <v/>
      </c>
      <c r="G5121" t="inlineStr">
        <is>
          <t>2018-07-31 07:49:54</t>
        </is>
      </c>
      <c r="H5121" t="inlineStr">
        <is>
          <t>Type 1</t>
        </is>
      </c>
    </row>
    <row r="5122">
      <c r="A5122" t="inlineStr">
        <is>
          <t>93f4yo</t>
        </is>
      </c>
      <c r="B5122" t="inlineStr">
        <is>
          <t>Following my previous post...</t>
        </is>
      </c>
      <c r="C5122" t="inlineStr">
        <is>
          <t xml:space="preserve">Hey guys, I was concerned about my tests in my last post. My A1C was 9,44% a month ago.  My endo told me "That is impossible, we will repeat the tests" so I went to a lab with good reputation. Today my tests came back and my A1C actually is... 5,5%! I'm so happy but angry because the lab error was atrocious. Now I know where I don't have to do my blood work lol. Nothing, I just wanted to share my joy with you :) </t>
        </is>
      </c>
      <c r="D5122" t="n">
        <v>13</v>
      </c>
      <c r="E5122" t="n">
        <v>8</v>
      </c>
      <c r="F5122">
        <f>HYPERLINK("https://www.reddit.com/r/diabetes/comments/93f4yo/following_my_previous_post/")</f>
        <v/>
      </c>
      <c r="G5122" t="inlineStr">
        <is>
          <t>2018-07-31 07:52:48</t>
        </is>
      </c>
      <c r="H5122" t="inlineStr">
        <is>
          <t>Type 1</t>
        </is>
      </c>
    </row>
    <row r="5123">
      <c r="A5123" t="inlineStr">
        <is>
          <t>93gqnz</t>
        </is>
      </c>
      <c r="B5123" t="inlineStr">
        <is>
          <t>A1C is 7.6. Need help and guidance?</t>
        </is>
      </c>
      <c r="C5123" t="inlineStr">
        <is>
          <t>Background: Currently borderline obese by 60lb. Not super active lifestyle. Just stepped into 40s. Diabetes run in the family.
Just got A!C done last week and its 7.6. BP is high as well some days. I am a strong willed guy and with a baby on the way, this has been a kick in the butt. 
Made some changes since last week and will focus on Diet and Excercise and check again in 3 month before starting pills.
1. No bread, pasta, rice for 3 months
2. No booze
3. Avoid salt and down to 1 cupf of Joe per day
4. Water 64oz+ daily.
5. Walk immediately after lunch
6. Walk immediately after dinner
7. 30 min aerobics or HIIT daily.
8. Resistent training with weights alternate days.
Not seeking medical advice here, but what other changes I can make right away?</t>
        </is>
      </c>
      <c r="D5123" t="n">
        <v>1</v>
      </c>
      <c r="E5123" t="n">
        <v>5</v>
      </c>
      <c r="F5123">
        <f>HYPERLINK("https://www.reddit.com/r/diabetes/comments/93gqnz/a1c_is_76_need_help_and_guidance/")</f>
        <v/>
      </c>
      <c r="G5123" t="inlineStr">
        <is>
          <t>2018-07-31 10:54:09</t>
        </is>
      </c>
      <c r="H5123" t="inlineStr">
        <is>
          <t>Type 2</t>
        </is>
      </c>
    </row>
    <row r="5124">
      <c r="A5124" t="inlineStr">
        <is>
          <t>93hwqc</t>
        </is>
      </c>
      <c r="B5124" t="inlineStr">
        <is>
          <t>Glimp not detecting Libre sensor at all</t>
        </is>
      </c>
      <c r="C5124" t="inlineStr">
        <is>
          <t xml:space="preserve"> I am using Glimp with a OnePlusOne phone. It never detects it. I have tried rebooting, reinstall, holding phone really really close, almost touching. still no luck. I am based in USA. 
The NFC on phone is pretty strong, I use it to print on printer and such from a fair distance
Any advice,
thanks much
Jay</t>
        </is>
      </c>
      <c r="D5124" t="n">
        <v>2</v>
      </c>
      <c r="E5124" t="n">
        <v>3</v>
      </c>
      <c r="F5124">
        <f>HYPERLINK("https://www.reddit.com/r/diabetes/comments/93hwqc/glimp_not_detecting_libre_sensor_at_all/")</f>
        <v/>
      </c>
      <c r="G5124" t="inlineStr">
        <is>
          <t>2018-07-31 13:05:49</t>
        </is>
      </c>
      <c r="H5124" t="inlineStr">
        <is>
          <t>Type 2</t>
        </is>
      </c>
    </row>
    <row r="5125">
      <c r="A5125" t="inlineStr">
        <is>
          <t>93jaor</t>
        </is>
      </c>
      <c r="B5125" t="inlineStr">
        <is>
          <t>New pump through CSS Medical???</t>
        </is>
      </c>
      <c r="C5125" t="inlineStr">
        <is>
          <t>Hi, all!  I'm hoping someone can let me know if this is normal practice or not... 
My animas pump is out of warranty and about to fail me any day, so I contacted Tandem to get a TslimX2 in the works about a month ago.  They put me in touch with CSS medical - which seems to be the work-around for when insurance doesn't work with Tandem directly.  I received a call from CSS in the middle of last week, and the woman explained they needed to verify how much of my deductible/out of pocket was left before finalizing everything, and that I would be sent an 'agreement of benefits' form, basically my consent for them to bill my insurance.  The last call from them at the end of last week, a gentleman confirmed the out of pocket amount and my shipping information, and he mentioned that I wouldn't be charged until after I received the pump???  So, today I physically received the pump, but I'm hesitant to even open it because I've received nothing explaining what the costs to me will be or if my insurance has been billed or anything like that.  It just seems very bizarre - it kind of feels like they just threw it at me, but I have no idea what my responsibility for it is.  Anyone with a similar experience through CSS medical - is this their normal operating procedure?  It's my first time dealing with a supplier.</t>
        </is>
      </c>
      <c r="D5125" t="n">
        <v>2</v>
      </c>
      <c r="E5125" t="n">
        <v>7</v>
      </c>
      <c r="F5125">
        <f>HYPERLINK("https://www.reddit.com/r/diabetes/comments/93jaor/new_pump_through_css_medical/")</f>
        <v/>
      </c>
      <c r="G5125" t="inlineStr">
        <is>
          <t>2018-07-31 15:47:44</t>
        </is>
      </c>
      <c r="H5125" t="inlineStr">
        <is>
          <t>Type 1</t>
        </is>
      </c>
    </row>
    <row r="5126">
      <c r="A5126" t="inlineStr">
        <is>
          <t>93jc52</t>
        </is>
      </c>
      <c r="B5126" t="inlineStr">
        <is>
          <t>My dad has type 2 diabetes</t>
        </is>
      </c>
      <c r="C5126" t="inlineStr">
        <is>
          <t>How could I support him? He is secretive about his health and he has been distant recently but requires my assistance for daily tasks. 
(Sorry is this is a bit of a silly question, but I'm a bit lost atm)</t>
        </is>
      </c>
      <c r="D5126" t="n">
        <v>2</v>
      </c>
      <c r="E5126" t="n">
        <v>2</v>
      </c>
      <c r="F5126">
        <f>HYPERLINK("https://www.reddit.com/r/diabetes/comments/93jc52/my_dad_has_type_2_diabetes/")</f>
        <v/>
      </c>
      <c r="G5126" t="inlineStr">
        <is>
          <t>2018-07-31 15:53:12</t>
        </is>
      </c>
      <c r="H5126" t="inlineStr">
        <is>
          <t>Type 2</t>
        </is>
      </c>
    </row>
    <row r="5127">
      <c r="A5127" t="inlineStr">
        <is>
          <t>93on80</t>
        </is>
      </c>
      <c r="B5127" t="inlineStr">
        <is>
          <t>Bionic Pancreas Research Funding</t>
        </is>
      </c>
      <c r="C5127" t="inlineStr">
        <is>
          <t>Ever since I heard of the bionic pancreas research underway, I’ve never understood why anyone is spending a single type 1 research dollar on anything else. The BP is a functional cure, it eliminates the problem nearly entirely. I understand the whole putting all the eggs in one basket opposition, but I haven’t heard of a better alternative than some variation of a pump and CGM linked together with an algorithm. 
Until that’s ready and approved for public use, I don’t think any research money should be going towards other treatments. Once it’s released (ie we are cured for all intents and purposes), then money could go to understanding the autoimmune mechanisms and etymology of the disease. Until then, is it just researchers’ pride not wanting to abandon a project? Diversifying options? Thoughts?</t>
        </is>
      </c>
      <c r="D5127" t="n">
        <v>0</v>
      </c>
      <c r="E5127" t="n">
        <v>22</v>
      </c>
      <c r="F5127">
        <f>HYPERLINK("https://www.reddit.com/r/diabetes/comments/93on80/bionic_pancreas_research_funding/")</f>
        <v/>
      </c>
      <c r="G5127" t="inlineStr">
        <is>
          <t>2018-08-01 05:46:13</t>
        </is>
      </c>
      <c r="H5127" t="inlineStr">
        <is>
          <t>Type 1</t>
        </is>
      </c>
    </row>
    <row r="5128">
      <c r="A5128" t="inlineStr">
        <is>
          <t>93pvf6</t>
        </is>
      </c>
      <c r="B5128" t="inlineStr">
        <is>
          <t>Penetrate into Diabetes Pharmaceutical/Device Sales</t>
        </is>
      </c>
      <c r="C5128" t="inlineStr">
        <is>
          <t xml:space="preserve">I know this isn't r/jobs but I have 13 years sales experience and want to help others as my career.  Anybody else here work for Insulet, Dexcom, Novo Nordisk, Abbott and anywhere else that can give some advice?  Quick learner but I understand the Medical Sales arena is hard to break through.  What gives?    </t>
        </is>
      </c>
      <c r="D5128" t="n">
        <v>8</v>
      </c>
      <c r="E5128" t="n">
        <v>11</v>
      </c>
      <c r="F5128">
        <f>HYPERLINK("https://www.reddit.com/r/diabetes/comments/93pvf6/penetrate_into_diabetes_pharmaceuticaldevice_sales/")</f>
        <v/>
      </c>
      <c r="G5128" t="inlineStr">
        <is>
          <t>2018-08-01 08:19:18</t>
        </is>
      </c>
      <c r="H5128" t="inlineStr">
        <is>
          <t>Type 1</t>
        </is>
      </c>
    </row>
    <row r="5129">
      <c r="A5129" t="inlineStr">
        <is>
          <t>93r0yj</t>
        </is>
      </c>
      <c r="B5129" t="inlineStr">
        <is>
          <t>Keurig K-cup nutrition facts?</t>
        </is>
      </c>
      <c r="C5129" t="inlineStr">
        <is>
          <t>Hey all, 
I've been drinking K-Cups for about a month now, and I'm noticing my blood sugar has been increasing from them. Can someone tell me if they have any sugar/sweeteners in them?
Online, I see unofficial sources saying they have 0 calories/carbs in them, but these sites have been very inaccurate in the past for me. 
Thanks!</t>
        </is>
      </c>
      <c r="D5129" t="n">
        <v>3</v>
      </c>
      <c r="E5129" t="n">
        <v>7</v>
      </c>
      <c r="F5129">
        <f>HYPERLINK("https://www.reddit.com/r/diabetes/comments/93r0yj/keurig_kcup_nutrition_facts/")</f>
        <v/>
      </c>
      <c r="G5129" t="inlineStr">
        <is>
          <t>2018-08-01 10:26:02</t>
        </is>
      </c>
      <c r="H5129" t="inlineStr">
        <is>
          <t>Type 1</t>
        </is>
      </c>
    </row>
    <row r="5130">
      <c r="A5130" t="inlineStr">
        <is>
          <t>93rdyk</t>
        </is>
      </c>
      <c r="B5130" t="inlineStr">
        <is>
          <t>How come alpha cells don’t save us from low blood sugar?</t>
        </is>
      </c>
      <c r="C5130" t="inlineStr">
        <is>
          <t>Is it because manufactured insulin is more effective?</t>
        </is>
      </c>
      <c r="D5130" t="n">
        <v>3</v>
      </c>
      <c r="E5130" t="n">
        <v>8</v>
      </c>
      <c r="F5130">
        <f>HYPERLINK("https://www.reddit.com/r/diabetes/comments/93rdyk/how_come_alpha_cells_dont_save_us_from_low_blood/")</f>
        <v/>
      </c>
      <c r="G5130" t="inlineStr">
        <is>
          <t>2018-08-01 11:05:09</t>
        </is>
      </c>
      <c r="H5130" t="inlineStr">
        <is>
          <t>Type 1</t>
        </is>
      </c>
    </row>
    <row r="5131">
      <c r="A5131" t="inlineStr">
        <is>
          <t>93twtb</t>
        </is>
      </c>
      <c r="B5131" t="inlineStr">
        <is>
          <t>My Little Sister is suffering from Diabulimia</t>
        </is>
      </c>
      <c r="C5131" t="inlineStr">
        <is>
          <t>I will start from the beginning. I am her big brother and I am very scared. We live in Manchester, in England. I am 26 and she is 21.  
12 years ago my little sister was diagnosed with Type one Diabetes when she was about 9 years old. For the first few years my Mum and Dad sorted her insulin and blood sugars out for her. At 13ish she was put on the pump. As she grew older, I guess she did gain weight, but all the women in my family are big and strong and she certainly was not the biggest. When she was around 16 she quit the pump as she hated it and went back to injecting, but this time she was in control.  
She is very clever, good with numbers so I expected that she would be quite good at it. When she turned 18 she went to live in Greece for a summer to work. Before she went the weight just dropped off her, she was slimmest she had looked since she was a child, everyone told her how good she looked. A few weeks into her trip she was flown home from the hospital in Greece with really  high sugar and full of ketones. Since then things have spiraled and she has been in and out of hospital for the last 3 years rapidly gaining and losing weight.  
I have suspected it ever since I saw a BBC documentary about it, but never knew how to talk to her. In the last 6 months it has got really bad, she seems to be in and out of hospital every week and hasn't seen the specialist for years as she just refuses to go (I presume because she knows they will know). She went back into A and E today and after my family left I went back in to speak to her. I didn't say much, I just said 'your not doing this to yourself are you?' and she burst into tears. We cried, I told her she can talk to me if she wants and that I love her.   
My mum doesn't have a clue, which is probably for the better. My mum loves her, but would probably make this situation worse. I spoke to my Dad about it 6 months ago as they are close and he said he asked her and she swore blind she wasn't. I think one of my other little sisters suspects it too.  
I have no idea how to help her?</t>
        </is>
      </c>
      <c r="D5131" t="n">
        <v>17</v>
      </c>
      <c r="E5131" t="n">
        <v>24</v>
      </c>
      <c r="F5131">
        <f>HYPERLINK("https://www.reddit.com/r/diabetes/comments/93twtb/my_little_sister_is_suffering_from_diabulimia/")</f>
        <v/>
      </c>
      <c r="G5131" t="inlineStr">
        <is>
          <t>2018-08-01 15:53:40</t>
        </is>
      </c>
      <c r="H5131" t="inlineStr">
        <is>
          <t>Type 1</t>
        </is>
      </c>
    </row>
    <row r="5132">
      <c r="A5132" t="inlineStr">
        <is>
          <t>93w0es</t>
        </is>
      </c>
      <c r="B5132" t="inlineStr">
        <is>
          <t>Part of my Right Hand is Goes Numb Sometimes!!</t>
        </is>
      </c>
      <c r="C5132" t="inlineStr">
        <is>
          <t xml:space="preserve">For about the last two weeks my right middle and ring finger go numb whenever they are in a horizontal position. I'm not quite sure if this is due to my diabetes (which I take relatively good care of) or if I just fucked up my hand at work. Does anybody know anything about this, any help would be appreciated. </t>
        </is>
      </c>
      <c r="D5132" t="n">
        <v>3</v>
      </c>
      <c r="E5132" t="n">
        <v>11</v>
      </c>
      <c r="F5132">
        <f>HYPERLINK("https://www.reddit.com/r/diabetes/comments/93w0es/part_of_my_right_hand_is_goes_numb_sometimes/")</f>
        <v/>
      </c>
      <c r="G5132" t="inlineStr">
        <is>
          <t>2018-08-01 21:00:29</t>
        </is>
      </c>
      <c r="H5132" t="inlineStr">
        <is>
          <t>Type 1</t>
        </is>
      </c>
    </row>
    <row r="5133">
      <c r="A5133" t="inlineStr">
        <is>
          <t>93y05z</t>
        </is>
      </c>
      <c r="B5133" t="inlineStr">
        <is>
          <t>Hba1c mystery - type 2</t>
        </is>
      </c>
      <c r="C5133" t="inlineStr">
        <is>
          <t xml:space="preserve">My partner was diagnosed as type 2 18 months ago with a hba1c of 75. He was put on metformin, but taken off after 3 months as his hba1c had returned to normal. He eats a load of sugar, drinks full sugar coke all the time, and over the last few months his acanthosis negricans has been getting worse (it got better when he was on metformin) so I asked him to get his hba1c checked again. It has come back at 44, but his urine tests had high sugar. His GP repeated the test with the same result. They have told him it could indicate a more serious issue but not what that may be. 
Has anyone experienced this? Or have any idea what the "serious problem" could be? He is seeing his GP again in 3 weeks but I am worrying. He does take a load of steroids for asthma and exczema. He has other symptoms of diabetes than the acanthosis negricans, including excessive thirst, tingling in extremities, lack of sensation in the soles of his feet, he is constantly tired (can sleep up to 20 hours a day when not working). </t>
        </is>
      </c>
      <c r="D5133" t="n">
        <v>0</v>
      </c>
      <c r="E5133" t="n">
        <v>6</v>
      </c>
      <c r="F5133">
        <f>HYPERLINK("https://www.reddit.com/r/diabetes/comments/93y05z/hba1c_mystery_type_2/")</f>
        <v/>
      </c>
      <c r="G5133" t="inlineStr">
        <is>
          <t>2018-08-02 03:08:18</t>
        </is>
      </c>
      <c r="H5133" t="inlineStr">
        <is>
          <t>Type 2</t>
        </is>
      </c>
    </row>
    <row r="5134">
      <c r="A5134" t="inlineStr">
        <is>
          <t>93zlrl</t>
        </is>
      </c>
      <c r="B5134" t="inlineStr">
        <is>
          <t>IA2 and GAD65 positive</t>
        </is>
      </c>
      <c r="C5134" t="inlineStr">
        <is>
          <t xml:space="preserve">I was diagnosed as Diabetic last August with A1C of \~12 and fasting bg of  \~250. I had symptoms of diabetes since 2016 (peeing and thirst). My A1C dropped to 5.8 as of December last year.  This July I again tested for A1c and it came down to 5.5 and bg of 83 (Not fasting) but I tested positive for GAD65 and IA2 antibodies and negative for Insulin antibodies (It is almost borderline positive). 
I guess it is just a waiting ticking bomb until I am "promoted" to Type 1 ? I keep reading about "honeymoon" period and I guess so it is just the matter of time until I am put on Insulin. </t>
        </is>
      </c>
      <c r="D5134" t="n">
        <v>2</v>
      </c>
      <c r="E5134" t="n">
        <v>2</v>
      </c>
      <c r="F5134">
        <f>HYPERLINK("https://www.reddit.com/r/diabetes/comments/93zlrl/ia2_and_gad65_positive/")</f>
        <v/>
      </c>
      <c r="G5134" t="inlineStr">
        <is>
          <t>2018-08-02 07:12:09</t>
        </is>
      </c>
      <c r="H5134" t="inlineStr">
        <is>
          <t>Type 1.5/LADA</t>
        </is>
      </c>
    </row>
    <row r="5135">
      <c r="A5135" t="inlineStr">
        <is>
          <t>941yx9</t>
        </is>
      </c>
      <c r="B5135" t="inlineStr">
        <is>
          <t>what increases hypoglycemia</t>
        </is>
      </c>
      <c r="C5135" t="inlineStr">
        <is>
          <t>I have hypoglycimia no diabeties. I have been tested for pre-diabeties as well and no indicators. I had a hypo incident this morning around noon. I ate two whole grain bread with jam in the morning then around 11 the same. Was it the jam because i dont usually eat jam. Also does anyone know what puts one at a general higher risk for a hypo? Such as caffine, smoking, dehydration, a deficiency in any vitamin or mineral?
Thank you</t>
        </is>
      </c>
      <c r="D5135" t="n">
        <v>3</v>
      </c>
      <c r="E5135" t="n">
        <v>8</v>
      </c>
      <c r="F5135">
        <f>HYPERLINK("https://www.reddit.com/r/diabetes/comments/941yx9/what_increases_hypoglycemia/")</f>
        <v/>
      </c>
      <c r="G5135" t="inlineStr">
        <is>
          <t>2018-08-02 11:41:07</t>
        </is>
      </c>
      <c r="H5135" t="inlineStr">
        <is>
          <t>Type 1</t>
        </is>
      </c>
    </row>
    <row r="5136">
      <c r="A5136" t="inlineStr">
        <is>
          <t>9427x4</t>
        </is>
      </c>
      <c r="B5136" t="inlineStr">
        <is>
          <t>How long does glucose data last on a CGM before it is deleted from the receiver?</t>
        </is>
      </c>
      <c r="C5136" t="inlineStr">
        <is>
          <t>I faintly remember my doctor saying it lasts two weeks, but not sure if I am remembering correctly. I have a Dexcom G5 Transmitter/Sensor. I am going to connect my CGM to CLARITY soon, but was curious how far back my data goes.</t>
        </is>
      </c>
      <c r="D5136" t="n">
        <v>2</v>
      </c>
      <c r="E5136" t="n">
        <v>1</v>
      </c>
      <c r="F5136">
        <f>HYPERLINK("https://www.reddit.com/r/diabetes/comments/9427x4/how_long_does_glucose_data_last_on_a_cgm_before/")</f>
        <v/>
      </c>
      <c r="G5136" t="inlineStr">
        <is>
          <t>2018-08-02 12:08:44</t>
        </is>
      </c>
      <c r="H5136" t="inlineStr">
        <is>
          <t>Type 1</t>
        </is>
      </c>
    </row>
    <row r="5137">
      <c r="A5137" t="inlineStr">
        <is>
          <t>943tq0</t>
        </is>
      </c>
      <c r="B5137" t="inlineStr">
        <is>
          <t>Depression [Venty Post]</t>
        </is>
      </c>
      <c r="C5137" t="inlineStr">
        <is>
          <t xml:space="preserve">Hi, I’m 16 and I was diagnosed with type 1 diabetes a few months ago and I’m really struggling to cope with things, my hospital has been really really good about getting me into pumps and sensors as quick as possible (something between my autism and anxiety disorder made it very difficult for me to use needles or finger pricks), I don’t even know why I’m writing this, it feel stupid especially considering some people on this sub have been living with diabetes for 20+ years but I don’t feel like I can keep going, I suffered from depressive episodes for a long time but it’s been so much worse in the last few months, I don’t think I’ve been happy or even okay since I left hospital, I can’t ever see myself being happy again, trying to stay alive has become so stressful, so many things can wrong, I could become insulin resistant again, there could be an insulin shortage, It might cost too much if the NHS goes under, hell I might just die in my sleep from what I can gather, has anyone been through it all already and figured it out because I’m on the edge now.
-sorry if you read through all that </t>
        </is>
      </c>
      <c r="D5137" t="n">
        <v>8</v>
      </c>
      <c r="E5137" t="n">
        <v>16</v>
      </c>
      <c r="F5137">
        <f>HYPERLINK("https://www.reddit.com/r/diabetes/comments/943tq0/depression_venty_post/")</f>
        <v/>
      </c>
      <c r="G5137" t="inlineStr">
        <is>
          <t>2018-08-02 15:14:42</t>
        </is>
      </c>
      <c r="H5137" t="inlineStr">
        <is>
          <t>Type 1</t>
        </is>
      </c>
    </row>
    <row r="5138">
      <c r="A5138" t="inlineStr">
        <is>
          <t>94a1fj</t>
        </is>
      </c>
      <c r="B5138" t="inlineStr">
        <is>
          <t>Does anyone else freak out when they forget their blood glucose meter?</t>
        </is>
      </c>
      <c r="C5138" t="inlineStr">
        <is>
          <t xml:space="preserve">I'm currently on the tandem tslim x2 and using g5 so I have my cgm but when I left for work this morning I stupidly forgot my meter and I've always brought my meter to check my blood sugar while using dexcom for trends.
</t>
        </is>
      </c>
      <c r="D5138" t="n">
        <v>4</v>
      </c>
      <c r="E5138" t="n">
        <v>5</v>
      </c>
      <c r="F5138">
        <f>HYPERLINK("https://www.reddit.com/r/diabetes/comments/94a1fj/does_anyone_else_freak_out_when_they_forget_their/")</f>
        <v/>
      </c>
      <c r="G5138" t="inlineStr">
        <is>
          <t>2018-08-03 07:27:51</t>
        </is>
      </c>
      <c r="H5138" t="inlineStr">
        <is>
          <t>Type 1</t>
        </is>
      </c>
    </row>
    <row r="5139">
      <c r="A5139" t="inlineStr">
        <is>
          <t>94d0y2</t>
        </is>
      </c>
      <c r="B5139" t="inlineStr">
        <is>
          <t>Weird feelings?</t>
        </is>
      </c>
      <c r="C5139" t="inlineStr">
        <is>
          <t>Does anyone else here take Suboxone woth T1D? I am constantly feeling the symptoms of a high BG since I have started this suboxone but every time I check my levels are normal. Has anyone else had any other types of interactions or reactions with diabetes and the medication suboxone?</t>
        </is>
      </c>
      <c r="D5139" t="n">
        <v>2</v>
      </c>
      <c r="E5139" t="n">
        <v>0</v>
      </c>
      <c r="F5139">
        <f>HYPERLINK("https://www.reddit.com/r/diabetes/comments/94d0y2/weird_feelings/")</f>
        <v/>
      </c>
      <c r="G5139" t="inlineStr">
        <is>
          <t>2018-08-03 13:15:18</t>
        </is>
      </c>
      <c r="H5139" t="inlineStr">
        <is>
          <t>Type 1</t>
        </is>
      </c>
    </row>
    <row r="5140">
      <c r="A5140" t="inlineStr">
        <is>
          <t>94f4si</t>
        </is>
      </c>
      <c r="B5140" t="inlineStr">
        <is>
          <t>T1D in Med School: A True Story of Living Through The Lows</t>
        </is>
      </c>
      <c r="C5140" t="inlineStr">
        <is>
          <t>My father was a type 1 diabetic. He passed recently, very suddenly, like most T1D.  I grew up knowing this story but never grasping the full gravity of it. I hope it encourages you to live your fullest life, regardless of your diagnosis, as he did his.
My father was an athlete his whole life, despite having T1D. He was diagnosed at 14, and had already seen his older brother struggle for years with managing T1D. He was determined not to let it stop him from playing sports. Around the same age, a bad tackle blew out his knee and ruined his chances of playing football competitively, so he took up swimming.
He became such a skilled swimmer that he attended college on a swimming scholarship.
He graduated undergrad and was accepted into med school, where he dreamed of becoming a neurologist.
He kept swimming throughout med school. But one day, he had a low in the pool and choked. It nearly killed him. When he woke up, he was in the hospital with a bad chest infection. It took him nearly 9 months to overcome the infection, and it cost him parts of his ribs, his sternum, and a good bit of both lungs. 
He wanted badly to be up and rounding with the other med school students, but he wasn't allowed to. He knew it was putting him behind and would make it nearly impossible to get into a neuro program. But one of his mentors and favorite professors offered to let him work on research and review patient labs from his bed. It was nephrology (kidney) work, but he would take what he could get.
He went on to become a nephrologist and professor at that same school, working alongside that mentor for many years. Of course, he was always afraid of the damage of high blood sugar to the kidneys, so he tried to keep his blood sugars low - which did lead to frequent low glucose episodes. This was always a struggle for him, because you never want to endanger your patients by not having a clear head, but he also wanted to make sure he was healthy and lived a long life.
Despite having a severely deformed chest (from having only half a lung on one side and his sternum missing), I remember him swimming quite a bit when I was young. He was still a very strong swimmer. As a small child I remember he would put me and my sister on his back and take us along as he swam laps.
Don't let anything stop you from living the life you were meant to.</t>
        </is>
      </c>
      <c r="D5140" t="n">
        <v>6</v>
      </c>
      <c r="E5140" t="n">
        <v>5</v>
      </c>
      <c r="F5140">
        <f>HYPERLINK("https://www.reddit.com/r/diabetes/comments/94f4si/t1d_in_med_school_a_true_story_of_living_through/")</f>
        <v/>
      </c>
      <c r="G5140" t="inlineStr">
        <is>
          <t>2018-08-03 17:56:40</t>
        </is>
      </c>
      <c r="H5140" t="inlineStr">
        <is>
          <t>Type 1</t>
        </is>
      </c>
    </row>
    <row r="5141">
      <c r="A5141" t="inlineStr">
        <is>
          <t>94fn79</t>
        </is>
      </c>
      <c r="B5141" t="inlineStr">
        <is>
          <t>Newly diagnosed, can’t keep my sugar down (or how long does it take to drop to something reasonable)</t>
        </is>
      </c>
      <c r="C5141" t="inlineStr">
        <is>
          <t xml:space="preserve">Hi folks, new subscriber here. I was diagnosed with type 2 about 3 weeks ago. First blood tests from the lab showed fasting glucose of 300 and an A1C of 11.5. I got put on the usual faire of metformin and a statin (cholesterol was through the roof).  I check my sugar every morning before I eat breakfast.  So far I’ve brought it down to a low of 171, but it keeps yo-yoing around 200. 
Assuming a perfect diet, how long should it take to get my sugar down to something reasonable?  And what would dictate a “perfect” diet? Zero carbs &amp;amp; sugar? </t>
        </is>
      </c>
      <c r="D5141" t="n">
        <v>2</v>
      </c>
      <c r="E5141" t="n">
        <v>5</v>
      </c>
      <c r="F5141">
        <f>HYPERLINK("https://www.reddit.com/r/diabetes/comments/94fn79/newly_diagnosed_cant_keep_my_sugar_down_or_how/")</f>
        <v/>
      </c>
      <c r="G5141" t="inlineStr">
        <is>
          <t>2018-08-03 19:15:11</t>
        </is>
      </c>
      <c r="H5141" t="inlineStr">
        <is>
          <t>Type 2</t>
        </is>
      </c>
    </row>
    <row r="5142">
      <c r="A5142" t="inlineStr">
        <is>
          <t>94gsuu</t>
        </is>
      </c>
      <c r="B5142" t="inlineStr">
        <is>
          <t>Lack of drowsiness upon waking up during a low?</t>
        </is>
      </c>
      <c r="C5142" t="inlineStr">
        <is>
          <t>Does anyone else get that: waking up a lot more easily and not feeling drowsy and tired at all during a deep low? I’m speaking 50s, 40s here.
Whenever I wake up a lot more easily than usual, I know what’s up. It’s like the body is preparing me to eat carbs ASAP rather than get distracted by falling asleep again. 
It’s also a little like the troubles we get falling asleep during lows.</t>
        </is>
      </c>
      <c r="D5142" t="n">
        <v>1</v>
      </c>
      <c r="E5142" t="n">
        <v>2</v>
      </c>
      <c r="F5142">
        <f>HYPERLINK("https://www.reddit.com/r/diabetes/comments/94gsuu/lack_of_drowsiness_upon_waking_up_during_a_low/")</f>
        <v/>
      </c>
      <c r="G5142" t="inlineStr">
        <is>
          <t>2018-08-03 22:27:21</t>
        </is>
      </c>
      <c r="H5142" t="inlineStr">
        <is>
          <t>Type 1</t>
        </is>
      </c>
    </row>
    <row r="5143">
      <c r="A5143" t="inlineStr">
        <is>
          <t>94h11w</t>
        </is>
      </c>
      <c r="B5143" t="inlineStr">
        <is>
          <t>Blood sugar spikes post exercise.</t>
        </is>
      </c>
      <c r="C5143" t="inlineStr">
        <is>
          <t xml:space="preserve">Hey Diabetus brethren,
Currently I have just jumped on a CGM and have seen a pattern that my sugars spike after HIIT or High intensity exercise of around 30-45minutes and drop my Basal to 55% when completing the activity, my sugars drop during but spike to 13-15mmol (230-270mg). This messes with my recovery and generally makes me act like a nob. 
Any suggestions or solutions would be very much appreciated. 
p.s. 
Im new here, but have had T1D for 16 years and have been on an insulin pump for the last 2. </t>
        </is>
      </c>
      <c r="D5143" t="n">
        <v>4</v>
      </c>
      <c r="E5143" t="n">
        <v>10</v>
      </c>
      <c r="F5143">
        <f>HYPERLINK("https://www.reddit.com/r/diabetes/comments/94h11w/blood_sugar_spikes_post_exercise/")</f>
        <v/>
      </c>
      <c r="G5143" t="inlineStr">
        <is>
          <t>2018-08-03 23:08:12</t>
        </is>
      </c>
      <c r="H5143" t="inlineStr">
        <is>
          <t>Type 1</t>
        </is>
      </c>
    </row>
    <row r="5144">
      <c r="A5144" t="inlineStr">
        <is>
          <t>94i7r9</t>
        </is>
      </c>
      <c r="B5144" t="inlineStr">
        <is>
          <t>How in control are you of your BG when you follow Diet Doctor videos?</t>
        </is>
      </c>
      <c r="C5144" t="inlineStr">
        <is>
          <t xml:space="preserve">Here’s a link to [Diet Doctor recipe videos](https://www.youtube.com/playlist?list=PLPTndB1S1lEC_oVmb6ItB-dbh_MF8Olbc). 
</t>
        </is>
      </c>
      <c r="D5144" t="n">
        <v>0</v>
      </c>
      <c r="E5144" t="n">
        <v>2</v>
      </c>
      <c r="F5144">
        <f>HYPERLINK("https://www.reddit.com/r/diabetes/comments/94i7r9/how_in_control_are_you_of_your_bg_when_you_follow/")</f>
        <v/>
      </c>
      <c r="G5144" t="inlineStr">
        <is>
          <t>2018-08-04 03:30:48</t>
        </is>
      </c>
      <c r="H5144" t="inlineStr">
        <is>
          <t>Type 2</t>
        </is>
      </c>
    </row>
    <row r="5145">
      <c r="A5145" t="inlineStr">
        <is>
          <t>94jgze</t>
        </is>
      </c>
      <c r="B5145" t="inlineStr">
        <is>
          <t>feel sick after physical exertion</t>
        </is>
      </c>
      <c r="C5145" t="inlineStr">
        <is>
          <t xml:space="preserve">Hello.  Long time lurker here. 
I’m a T2 diabetic.  Currently taking Victoza and Jardiance.  My last A1C was 8.1.  
I’ve recently made some changes in my diet and activity levels.   I go on 1.5–2.5 mile walks, with a goal of 4x a week.  I’ve actually been maintaining 6x a week average.  
After these walks, I feel great.  Maybe a little tired and sweaty but generally that’s expected. 
Now, if I’m working in the yard, or on a DIY project, I sweat more in a very short time than I do when I go on long walks.  Often when I finish one of these projects, I have an “episode” where I feel like absolute garbage.  I continue to sweat, and even though I’m drinking water/Gatorade (G2) I feel shaky and nauseous.  Sometimes it triggers a migraine (which is extra special)
I’m guessing you’re thinking “oh, you’re hypoglycemic”.  
Except, I just checked my sugar and it’s 186.  
This has happened a bunch of times before.   Anyone have any idea what may be happening here?  </t>
        </is>
      </c>
      <c r="D5145" t="n">
        <v>1</v>
      </c>
      <c r="E5145" t="n">
        <v>2</v>
      </c>
      <c r="F5145">
        <f>HYPERLINK("https://www.reddit.com/r/diabetes/comments/94jgze/feel_sick_after_physical_exertion/")</f>
        <v/>
      </c>
      <c r="G5145" t="inlineStr">
        <is>
          <t>2018-08-04 07:23:09</t>
        </is>
      </c>
      <c r="H5145" t="inlineStr">
        <is>
          <t>Type 2</t>
        </is>
      </c>
    </row>
    <row r="5146">
      <c r="A5146" t="inlineStr">
        <is>
          <t>94kizg</t>
        </is>
      </c>
      <c r="B5146" t="inlineStr">
        <is>
          <t>Need some help</t>
        </is>
      </c>
      <c r="C5146" t="inlineStr">
        <is>
          <t>My mother has just been switched to injections from tablets. She has a blood sugar level of more than 200. The first day she took 20 ml and was weak for the rest of the day. The second day the part where she injects got swollen immediately.
Is this normal? should i be worried?</t>
        </is>
      </c>
      <c r="D5146" t="n">
        <v>0</v>
      </c>
      <c r="E5146" t="n">
        <v>6</v>
      </c>
      <c r="F5146">
        <f>HYPERLINK("https://www.reddit.com/r/diabetes/comments/94kizg/need_some_help/")</f>
        <v/>
      </c>
      <c r="G5146" t="inlineStr">
        <is>
          <t>2018-08-04 09:49:49</t>
        </is>
      </c>
      <c r="H5146" t="inlineStr">
        <is>
          <t>Type 1</t>
        </is>
      </c>
    </row>
    <row r="5147">
      <c r="A5147" t="inlineStr">
        <is>
          <t>94nm1m</t>
        </is>
      </c>
      <c r="B5147" t="inlineStr">
        <is>
          <t>Searching for a really really old Medtronic Pump-For Looping</t>
        </is>
      </c>
      <c r="C5147" t="inlineStr">
        <is>
          <t>## On the Hunt for an old Medtronic Pump 522/523/722/723
Check your closets, storage, whatever! I am on the hunt for an old Medtronic Pump. I'd prefer a 723/722. However, 522/523 will work as well.
***\*\*The firmware on the pump needs to be 2.4A or lower. \*\****
I can trade life juice, pods, or pay a REASONABLE price. Most of these devices are 10 years old.</t>
        </is>
      </c>
      <c r="D5147" t="n">
        <v>1</v>
      </c>
      <c r="E5147" t="n">
        <v>8</v>
      </c>
      <c r="F5147">
        <f>HYPERLINK("https://www.reddit.com/r/diabetes/comments/94nm1m/searching_for_a_really_really_old_medtronic/")</f>
        <v/>
      </c>
      <c r="G5147" t="inlineStr">
        <is>
          <t>2018-08-04 16:55:06</t>
        </is>
      </c>
      <c r="H5147" t="inlineStr">
        <is>
          <t>Type 1</t>
        </is>
      </c>
    </row>
    <row r="5148">
      <c r="A5148" t="inlineStr">
        <is>
          <t>94r3zs</t>
        </is>
      </c>
      <c r="B5148" t="inlineStr">
        <is>
          <t>Honeymoon Period T1D</t>
        </is>
      </c>
      <c r="C5148" t="inlineStr">
        <is>
          <t>So I was diagnosed back in the beginning of June (I’m 21), I started getting hypoglycemia every time I inject insulin so I stopped taking it entirely. I’ve been eating whatever I want and my blood sugar is staying normal. Keep in mind I almost died when I arrived at the hospital, my blood sugar was 900, two months later it’s constantly normal. Is this normal to get in HM period this fast? And how can I maintain it for as long as possible? How can I also prevent my sugar from dropping at the gym? That seems to be the only issue now.</t>
        </is>
      </c>
      <c r="D5148" t="n">
        <v>3</v>
      </c>
      <c r="E5148" t="n">
        <v>5</v>
      </c>
      <c r="F5148">
        <f>HYPERLINK("https://www.reddit.com/r/diabetes/comments/94r3zs/honeymoon_period_t1d/")</f>
        <v/>
      </c>
      <c r="G5148" t="inlineStr">
        <is>
          <t>2018-08-05 04:04:22</t>
        </is>
      </c>
      <c r="H5148" t="inlineStr">
        <is>
          <t>Type 1</t>
        </is>
      </c>
    </row>
    <row r="5149">
      <c r="A5149" t="inlineStr">
        <is>
          <t>94tfi2</t>
        </is>
      </c>
      <c r="B5149" t="inlineStr">
        <is>
          <t>T1D A1c from 13.3 down to 5.7 between May and August. I could cry from happiness</t>
        </is>
      </c>
      <c r="C5149" t="inlineStr">
        <is>
          <t>It's been a long journey for me and my diabetes (15 years) and the lowest A1c I ever managed was around a 7. I developed  an eating disorder and used heavy restriction on my insulin to lose weight. For a solid two years my fasting BGL was in the 350's, and honestly probably higher but I never actually checked (Freestyle Libre saved me!).
I put so much hard work into lowering my blood sugars, eating ridiculously clean,  and keeping up with my insulin. I can very proudly say I don't let myself get above 170, and really keep my BGL between 80-110. I found an amazing endo who has put so much motivation into me, and who didn't give up on me like some past doctors have. I just really wanted to share with some people who actually understand (I don't know anyone IRL who's a T1). I did it guys!!!</t>
        </is>
      </c>
      <c r="D5149" t="n">
        <v>71</v>
      </c>
      <c r="E5149" t="n">
        <v>32</v>
      </c>
      <c r="F5149">
        <f>HYPERLINK("https://www.reddit.com/r/diabetes/comments/94tfi2/t1d_a1c_from_133_down_to_57_between_may_and/")</f>
        <v/>
      </c>
      <c r="G5149" t="inlineStr">
        <is>
          <t>2018-08-05 10:16:01</t>
        </is>
      </c>
      <c r="H5149" t="inlineStr">
        <is>
          <t>Type 1</t>
        </is>
      </c>
    </row>
    <row r="5150">
      <c r="A5150" t="inlineStr">
        <is>
          <t>94vbsn</t>
        </is>
      </c>
      <c r="B5150" t="inlineStr">
        <is>
          <t>Running rises my BG.</t>
        </is>
      </c>
      <c r="C5150" t="inlineStr">
        <is>
          <t xml:space="preserve">Guys, I'm frustrated.
I used to love running! Today, two months after diagnosis, I went for my first run. It was really nothing intense - a light jog for about 20-5 minutes. 
I expected to get low, as theoretically that's what cardio is supposed to cause. Nah, I went high! BG stayed high for two hours and came back to pre-workout level by itself. If exercising is going to cause another BG peak in my day, it's not worth it. Some days I eat only twice in order to deal with only two possible peaks..
That first run didn't help with a struggle I've had since diagnosis. I feel...fragile. I can't push myself, I can't imagine pushing myself because God-knows-what will happen. It sounds weird as I write it now, but since diagnosis I consider my body...ill? I don't think I'll be able to perform well in physical activities anymore, or what's most enjoyable to me - see improvement in my performance. I want to go out for a run, push myself to the limit and see I'm 10 sec faster than last time. Or at least, I want to get low from runs. Yes, yes, that's where all of this started - I got high from my first run. :D
That's a meaningless post you're better off not reading, I know. Diabetes really got to me today. I'm doing my best. I'm reading the internet in and out, measuring, counting, checking, analyzing. And clearly not done accepting.
</t>
        </is>
      </c>
      <c r="D5150" t="n">
        <v>3</v>
      </c>
      <c r="E5150" t="n">
        <v>12</v>
      </c>
      <c r="F5150">
        <f>HYPERLINK("https://www.reddit.com/r/diabetes/comments/94vbsn/running_rises_my_bg/")</f>
        <v/>
      </c>
      <c r="G5150" t="inlineStr">
        <is>
          <t>2018-08-05 14:21:46</t>
        </is>
      </c>
      <c r="H5150" t="inlineStr">
        <is>
          <t>Type 1</t>
        </is>
      </c>
    </row>
    <row r="5151">
      <c r="A5151" t="inlineStr">
        <is>
          <t>94x9at</t>
        </is>
      </c>
      <c r="B5151" t="inlineStr">
        <is>
          <t>Medtronic 670 - auto mode</t>
        </is>
      </c>
      <c r="C5151" t="inlineStr">
        <is>
          <t>The past few days my pump has said “auto mode delivery at min - exiting auto mode” 
What does this mean?</t>
        </is>
      </c>
      <c r="D5151" t="n">
        <v>2</v>
      </c>
      <c r="E5151" t="n">
        <v>4</v>
      </c>
      <c r="F5151">
        <f>HYPERLINK("https://www.reddit.com/r/diabetes/comments/94x9at/medtronic_670_auto_mode/")</f>
        <v/>
      </c>
      <c r="G5151" t="inlineStr">
        <is>
          <t>2018-08-05 18:59:08</t>
        </is>
      </c>
      <c r="H5151" t="inlineStr">
        <is>
          <t>Type 1</t>
        </is>
      </c>
    </row>
    <row r="5152">
      <c r="A5152" t="inlineStr">
        <is>
          <t>954ofx</t>
        </is>
      </c>
      <c r="B5152" t="inlineStr">
        <is>
          <t>Can you guys help?</t>
        </is>
      </c>
      <c r="C5152" t="inlineStr">
        <is>
          <t xml:space="preserve">Hi I’m 14 and I have had diabetes type 1 since I was 7 I’ve always been jabbed in the butt by my parents but I’m now trying to do it in my leg but every time I try to do it I freak out and I don’t do it because I’m stressed that I might hurt myself 
Any suggestions that can help? Thanks.
</t>
        </is>
      </c>
      <c r="D5152" t="n">
        <v>41</v>
      </c>
      <c r="E5152" t="n">
        <v>60</v>
      </c>
      <c r="F5152">
        <f>HYPERLINK("https://www.reddit.com/r/diabetes/comments/954ofx/can_you_guys_help/")</f>
        <v/>
      </c>
      <c r="G5152" t="inlineStr">
        <is>
          <t>2018-08-06 13:06:19</t>
        </is>
      </c>
      <c r="H5152" t="inlineStr">
        <is>
          <t>Type 1</t>
        </is>
      </c>
    </row>
    <row r="5153">
      <c r="A5153" t="inlineStr">
        <is>
          <t>9557qx</t>
        </is>
      </c>
      <c r="B5153" t="inlineStr">
        <is>
          <t>Humalog vs. Novolog?</t>
        </is>
      </c>
      <c r="C5153" t="inlineStr">
        <is>
          <t xml:space="preserve">I am wondering if anyone has any insight about switching from Humalog to Novolog for weight gain/loss issues. I've been on Humalog since diagnosis (2/14/18), and I've seen people post recently about issues with large weight gains/difficulty losing weight while on Humalog. 
I've gained a considerable amount of weight since diagnosis (about 20 pounds), a lot of which I attribute to my body finding it's "new normal," but now I'd like to try and lose about 10-15 pounds that I think I've gained on top of the "new normal." </t>
        </is>
      </c>
      <c r="D5153" t="n">
        <v>1</v>
      </c>
      <c r="E5153" t="n">
        <v>17</v>
      </c>
      <c r="F5153">
        <f>HYPERLINK("https://www.reddit.com/r/diabetes/comments/9557qx/humalog_vs_novolog/")</f>
        <v/>
      </c>
      <c r="G5153" t="inlineStr">
        <is>
          <t>2018-08-06 14:07:36</t>
        </is>
      </c>
      <c r="H5153" t="inlineStr">
        <is>
          <t>Type 1</t>
        </is>
      </c>
    </row>
    <row r="5154">
      <c r="A5154" t="inlineStr">
        <is>
          <t>9579yn</t>
        </is>
      </c>
      <c r="B5154" t="inlineStr">
        <is>
          <t>Going low, feeling buzzed?</t>
        </is>
      </c>
      <c r="C5154" t="inlineStr">
        <is>
          <t xml:space="preserve">Anyone else get this? When I go low I feel legit buzzed. I like it more than I should. The problem is it's a fine line between that and too low.
Just curious... </t>
        </is>
      </c>
      <c r="D5154" t="n">
        <v>5</v>
      </c>
      <c r="E5154" t="n">
        <v>15</v>
      </c>
      <c r="F5154">
        <f>HYPERLINK("https://www.reddit.com/r/diabetes/comments/9579yn/going_low_feeling_buzzed/")</f>
        <v/>
      </c>
      <c r="G5154" t="inlineStr">
        <is>
          <t>2018-08-06 18:31:22</t>
        </is>
      </c>
      <c r="H5154" t="inlineStr">
        <is>
          <t>Type 1</t>
        </is>
      </c>
    </row>
    <row r="5155">
      <c r="A5155" t="inlineStr">
        <is>
          <t>958mxv</t>
        </is>
      </c>
      <c r="B5155" t="inlineStr">
        <is>
          <t>Tandem t-slim x2 disable</t>
        </is>
      </c>
      <c r="C5155" t="inlineStr">
        <is>
          <t>I recently received my tslim pump and I wore it for a few days just to make sure the new pump was functioning and nothing was wrong with it but now I want to switch back to my Animas OneTouch ping as I have just about 2 months worth of supplies left. So my question is how do I disable the tslim pump so that it does not play that sound to remind me to refill it with insulin as right now it does not have a new cartridge it and I do not know how to disable/turn it off (if that is even possible since battery is non removable). I have not been able to find a solution if anyone knows how to do so let me know.</t>
        </is>
      </c>
      <c r="D5155" t="n">
        <v>4</v>
      </c>
      <c r="E5155" t="n">
        <v>4</v>
      </c>
      <c r="F5155">
        <f>HYPERLINK("https://www.reddit.com/r/diabetes/comments/958mxv/tandem_tslim_x2_disable/")</f>
        <v/>
      </c>
      <c r="G5155" t="inlineStr">
        <is>
          <t>2018-08-06 21:48:27</t>
        </is>
      </c>
      <c r="H5155" t="inlineStr">
        <is>
          <t>Type 1</t>
        </is>
      </c>
    </row>
    <row r="5156">
      <c r="A5156" t="inlineStr">
        <is>
          <t>95b4bi</t>
        </is>
      </c>
      <c r="B5156" t="inlineStr">
        <is>
          <t>Higher fasting # in early pregnancy?</t>
        </is>
      </c>
      <c r="C5156" t="inlineStr">
        <is>
          <t xml:space="preserve">Type II ladies: in early pregnancy, did you notice higher numbers in the morning? It seems that no matter how "good" I am the day before, including a protein snack at bedtime, my morning numbers are around 140 - 170. Could use some tips. </t>
        </is>
      </c>
      <c r="D5156" t="n">
        <v>1</v>
      </c>
      <c r="E5156" t="n">
        <v>7</v>
      </c>
      <c r="F5156">
        <f>HYPERLINK("https://www.reddit.com/r/diabetes/comments/95b4bi/higher_fasting_in_early_pregnancy/")</f>
        <v/>
      </c>
      <c r="G5156" t="inlineStr">
        <is>
          <t>2018-08-07 05:17:35</t>
        </is>
      </c>
      <c r="H5156" t="inlineStr">
        <is>
          <t>Type 2</t>
        </is>
      </c>
    </row>
    <row r="5157">
      <c r="A5157" t="inlineStr">
        <is>
          <t>95dhhq</t>
        </is>
      </c>
      <c r="B5157" t="inlineStr">
        <is>
          <t>First a1c redraw</t>
        </is>
      </c>
      <c r="C5157" t="inlineStr">
        <is>
          <t>I was diagnosed in May, had my first a1c test yesterday. I went from 10.2 to 7.</t>
        </is>
      </c>
      <c r="D5157" t="n">
        <v>4</v>
      </c>
      <c r="E5157" t="n">
        <v>6</v>
      </c>
      <c r="F5157">
        <f>HYPERLINK("https://www.reddit.com/r/diabetes/comments/95dhhq/first_a1c_redraw/")</f>
        <v/>
      </c>
      <c r="G5157" t="inlineStr">
        <is>
          <t>2018-08-07 10:07:21</t>
        </is>
      </c>
      <c r="H5157" t="inlineStr">
        <is>
          <t>Type 2</t>
        </is>
      </c>
    </row>
    <row r="5158">
      <c r="A5158" t="inlineStr">
        <is>
          <t>95fpyh</t>
        </is>
      </c>
      <c r="B5158" t="inlineStr">
        <is>
          <t>Unique case involving Anti-GAD Antibody / MODY 2 / Carbs &amp;amp; Counterintuitive BG Response</t>
        </is>
      </c>
      <c r="C5158" t="inlineStr">
        <is>
          <t>Hey everyone,
So, I think I have somewhat of a unique case, and I was hoping some of you smarter, more informed forum members could help.
I think I have a unique situation, best explained with this quick story.
I've been very healthy &amp;amp; active since high school. I'm now in my early 30's, very lean and muscular – I go to the gym 5x /wk, sub 10% bf, eat clean, have healthy relationships &amp;amp; handle stress well.
As part of my health interests, I experimented with paleo, then keto, 5 years ago. I was strict, became keto adapted and took blood glucose &amp;amp; blood ketone measurements. That's when this journey down the path of diabetes began.
I noticed my FBG was higher than I thought it should be: 105-120. I learned about the dawn phenomenon &amp;amp; physiological insulin resistance. But, I also had 150+ bg readings for 1 and 2 hour PP's (I've seen as high as 200). Meanwhile, I got my HbA1c tested and it was decent (5.2). My doctor thought I was crazy to be concerned, so did the endo I eventually visited.
I stopped thinking about it for years. Then, back in January, while maintaining a low carb to VLC diet (no longer keto), I did a spontaneous check: the #s were the same. I thought they should be lower, because of the inclusion of carbs (no physiological insulin resistance), so I saw a new endo.
This doctor measured my HbA1c, C-peptide, among others. My HbA1c was still 5.2, but c-peptide was very low at 0.45. He concluded I most likely had a form of MODY, probably GCK-MODY.
Fast forward to this month, I decided I wasn't happy with the quick diagnosis, lacking genetic tests. I went to see a third endo, who ran more complete diagnostics. This time, I was having low carbs, sometimes moderate. My HbA1c had gone up to 5.4, along with the C-peptide at 1.1 (which I was happy to see; it seems to imply that my very low C-peptide was due to VLC / not needing to release much insulin). All other labs &amp;amp; hormones were in range. However, what concerned me most was that I had 0.05 of Anti GAD (reference was &amp;lt;0.02).
So, naturally I'm now concerned that this might be the early incarnations of Type I diabetes – something that I hadn't even considered up to this point. However, to add complication...
As an experiment, I bought new strips for the Precision Xtra and have upped my carbs substantially this week to a high carb diet (bananas, rice, quinoa, occasional ice cream for testing purposes, etc.).  Since doing that, my BG control has been excellently controlled and tight. I imagine an OGTT would reflect the same. Some points to note:
•I'm 5 days in
•BG has not gone higher than 144 in one single instance (after full can of mashed sweet potato, whey protein, 2 servings of fruits + dried dates), otherwise no higher than 122 on the other 3 days.
•BG tends to be 92-105 for 1hr &amp;amp; 2hr post prandials, with a min of 78 and max of 122.
•I've seen figures as low at 76; prior to this experiment, over the last 5 years, I never saw anything below 95.
•My FBG is still somewhat high, with one day's exception (don't know why, except maybe better sleep): 105, 124, 88, 106.
•I've done 4x 3 hour post prandials, and they've been 76, 94, 95, 96.
So, my questions are:
1. What should I make of the Anti-GAD antibody? Does that mean Type 1 is inevitable, or is it possibly a false positive / not significant enough to disrupt my beta cells?
2. Does my info reflect the possibility of any form of MODY? Type 1?
3. Does having what seems to be a great response to insulin, as well as adequate insulin to bring me to the 90's, sometimes within just 1 hour of a meal, mean I should be a lot less concerned?
4. Does this indicate that I'm better off on a moderate to high carb diet, and I'm one of the few where a low carb diet doesn't cut it?
Thanks so much for your help – all of this has been on my mind a ton lately!</t>
        </is>
      </c>
      <c r="D5158" t="n">
        <v>2</v>
      </c>
      <c r="E5158" t="n">
        <v>5</v>
      </c>
      <c r="F5158">
        <f>HYPERLINK("https://www.reddit.com/r/diabetes/comments/95fpyh/unique_case_involving_antigad_antibody_mody_2/")</f>
        <v/>
      </c>
      <c r="G5158" t="inlineStr">
        <is>
          <t>2018-08-07 14:16:35</t>
        </is>
      </c>
      <c r="H5158" t="inlineStr">
        <is>
          <t>Type 1.5/LADA</t>
        </is>
      </c>
    </row>
    <row r="5159">
      <c r="A5159" t="inlineStr">
        <is>
          <t>95ofv3</t>
        </is>
      </c>
      <c r="B5159" t="inlineStr">
        <is>
          <t>Survey: Looking for Type 2 Patients - U.S. only</t>
        </is>
      </c>
      <c r="C5159" t="inlineStr">
        <is>
          <t xml:space="preserve">We are a small market research firm in San Diego that conducts consumer based research to help companies better  understand the needs of the diabetes community.  The clients we support want a pulse on the current market, so survey  participants have an opportunity to express their concerns and be heard.  
* All information we collect is strictly confidential, we never share individual participant information with our clients
* We are explicitly a Market Research firm, hence we never solicit the selling of anything to participants
* The survey is being finalized and will be sent out shortly to to those who signup
If you are interested in participating please complete the    [signup form](https://www.diabetesdaily.com/forum/redirect-to/?redirect=https%3A%2F%2Fwww.surveymonkey.com%2Fr%2FGLYYQPM)  
 Further information about us can be found on our website: [Seagrove Partners](https://www.diabetesdaily.com/forum/redirect-to/?redirect=https%3A%2F%2Fwww.seagrovepartners.net%2F)  
  </t>
        </is>
      </c>
      <c r="D5159" t="n">
        <v>0</v>
      </c>
      <c r="E5159" t="n">
        <v>3</v>
      </c>
      <c r="F5159">
        <f>HYPERLINK("https://www.reddit.com/r/diabetes/comments/95ofv3/survey_looking_for_type_2_patients_us_only/")</f>
        <v/>
      </c>
      <c r="G5159" t="inlineStr">
        <is>
          <t>2018-08-08 11:06:23</t>
        </is>
      </c>
      <c r="H5159" t="inlineStr">
        <is>
          <t>Type 2</t>
        </is>
      </c>
    </row>
    <row r="5160">
      <c r="A5160" t="inlineStr">
        <is>
          <t>95r2ve</t>
        </is>
      </c>
      <c r="B5160" t="inlineStr">
        <is>
          <t>BG spike following low</t>
        </is>
      </c>
      <c r="C5160" t="inlineStr">
        <is>
          <t xml:space="preserve">Does anyone else have a crazy BG spike after treating a low? But while treating the low you don’t seem to be going up? Just today i was 68, ate 15 carbs, waited 15 minutes, went down to 64(???), then shoot up to 200 after about an hour... I’m careful not to overeat when treating but it’s maddening to keep feeling crappy after thinking you treat it then just end up going in the complete  opposite direction.... </t>
        </is>
      </c>
      <c r="D5160" t="n">
        <v>2</v>
      </c>
      <c r="E5160" t="n">
        <v>3</v>
      </c>
      <c r="F5160">
        <f>HYPERLINK("https://www.reddit.com/r/diabetes/comments/95r2ve/bg_spike_following_low/")</f>
        <v/>
      </c>
      <c r="G5160" t="inlineStr">
        <is>
          <t>2018-08-08 16:09:35</t>
        </is>
      </c>
      <c r="H5160" t="inlineStr">
        <is>
          <t>Type 1</t>
        </is>
      </c>
    </row>
    <row r="5161">
      <c r="A5161" t="inlineStr">
        <is>
          <t>95tonn</t>
        </is>
      </c>
      <c r="B5161" t="inlineStr">
        <is>
          <t>Developed allergy to dexcom or skin tac?</t>
        </is>
      </c>
      <c r="C5161" t="inlineStr">
        <is>
          <t xml:space="preserve">I had been using dexcom and skin tac together/separately for no problem for the past year but my last dexcom site after 2 weeks on my arm is pretty red and bumpy and the new site for my dexcom I used with skin tac and after just 2 days I'm already getting bumps and itching. Does anyone know what the problem might be? Or if it's possible for me to develop an allergy to either my dexcom or the skin tac wipes?
</t>
        </is>
      </c>
      <c r="D5161" t="n">
        <v>8</v>
      </c>
      <c r="E5161" t="n">
        <v>3</v>
      </c>
      <c r="F5161">
        <f>HYPERLINK("https://www.reddit.com/r/diabetes/comments/95tonn/developed_allergy_to_dexcom_or_skin_tac/")</f>
        <v/>
      </c>
      <c r="G5161" t="inlineStr">
        <is>
          <t>2018-08-08 22:28:58</t>
        </is>
      </c>
      <c r="H5161" t="inlineStr">
        <is>
          <t>Type 1</t>
        </is>
      </c>
    </row>
    <row r="5162">
      <c r="A5162" t="inlineStr">
        <is>
          <t>95u4nm</t>
        </is>
      </c>
      <c r="B5162" t="inlineStr">
        <is>
          <t>Herbal Remedies To Control Blood Sugar And Reduce Diabetes Symptoms</t>
        </is>
      </c>
      <c r="C5162" t="inlineStr">
        <is>
          <t>\[removed\]</t>
        </is>
      </c>
      <c r="D5162" t="n">
        <v>1</v>
      </c>
      <c r="E5162" t="n">
        <v>0</v>
      </c>
      <c r="F5162">
        <f>HYPERLINK("https://www.reddit.com/r/diabetes/comments/95u4nm/herbal_remedies_to_control_blood_sugar_and_reduce/")</f>
        <v/>
      </c>
      <c r="G5162" t="inlineStr">
        <is>
          <t>2018-08-08 23:51:12</t>
        </is>
      </c>
      <c r="H5162" t="inlineStr">
        <is>
          <t>Type 2</t>
        </is>
      </c>
    </row>
    <row r="5163">
      <c r="A5163" t="inlineStr">
        <is>
          <t>95xh98</t>
        </is>
      </c>
      <c r="B5163" t="inlineStr">
        <is>
          <t>Newly diagnosed and miserable</t>
        </is>
      </c>
      <c r="C5163" t="inlineStr">
        <is>
          <t>I'm absolutely miserable.  I'm not surprised -- nearly everyone on my mom's side of the family (with the exception my mom) is diabetic.  I gained a bunch of weight after a knee injury (and six months of PT) and a medication switch that changed my metabolism.  I've been working on losing weight (I'm 5'8 at 260 right now, which is awful, but getting there.)
A non fasting blood panel showed my BG at 190, A1C at 7.1.  I just started with a new PCP last week, and she was awful.  She told me that she didn't believe me that I don't drink alcohol (I don't - I've had migraines since I was a child, and it's a trigger) or soda or caffeine.  I've only been drinking water, iced hibiscus (no sugar, I brew it), or other herbal teas w/out sugar for several months. She insisted I'm probably going to end up on dialysis and lose my vision.  
I ended up with on 500mg metformin 1x/day, and it's brutal.  I haven't been able to eat.  Even water (I've been drinking a gallon a day per my neurologist and texas heat) is hard.  My whole body hurts.  I'm using the bathroom a few times an hours, and it's just like stomach acid.  I forced about 490 calories down yesterday (some low sodium soup at 1, some cumin roasted cauliflower and bell peppers and like three bits of plain baked chicken breast at 7pm). It was literally me telling myself that I had to chew and swallow through the nausea and pain.  I had a bit of egg white this morning instantly was in pain.  The smell of my romaine lettuce made me gag.  I haven't been able to eat other than that today.  
I'm trying here.  I started going to the gym again a few weeks ago ow that my knee is better.  My PCP said that if I don't lose weight that she will continue to up the metformin until it's "2 pills four times a day, and then you'll definitely have the stomach issues and be forced to lose weight." 
Is this my life now?  I have chronic migraines, that I've had since I was a child.  I would rather have those every day than this miserable stomach pain and depression.  I felt pretty great the past few weeks.  I was happy, I've had pretty great energy, I've been sleeping great.  I'm more depressed than I've ever been right now.
Thanks to anyone who reads this rant, I guess.</t>
        </is>
      </c>
      <c r="D5163" t="n">
        <v>5</v>
      </c>
      <c r="E5163" t="n">
        <v>17</v>
      </c>
      <c r="F5163">
        <f>HYPERLINK("https://www.reddit.com/r/diabetes/comments/95xh98/newly_diagnosed_and_miserable/")</f>
        <v/>
      </c>
      <c r="G5163" t="inlineStr">
        <is>
          <t>2018-08-09 08:35:15</t>
        </is>
      </c>
      <c r="H5163" t="inlineStr">
        <is>
          <t>Type 2</t>
        </is>
      </c>
    </row>
    <row r="5164">
      <c r="A5164" t="inlineStr">
        <is>
          <t>95y03s</t>
        </is>
      </c>
      <c r="B5164" t="inlineStr">
        <is>
          <t>How should people with type 2 diabetes eat?</t>
        </is>
      </c>
      <c r="C5164" t="inlineStr">
        <is>
          <t>My mother just got diagnosed with type 2 diabetes. And in the report it also said that she has “high cholesterol or triglycerides”.  How should she eat so she doesn’t feel like crap? Thanks!</t>
        </is>
      </c>
      <c r="D5164" t="n">
        <v>3</v>
      </c>
      <c r="E5164" t="n">
        <v>10</v>
      </c>
      <c r="F5164">
        <f>HYPERLINK("https://www.reddit.com/r/diabetes/comments/95y03s/how_should_people_with_type_2_diabetes_eat/")</f>
        <v/>
      </c>
      <c r="G5164" t="inlineStr">
        <is>
          <t>2018-08-09 09:33:12</t>
        </is>
      </c>
      <c r="H5164" t="inlineStr">
        <is>
          <t>Type 2</t>
        </is>
      </c>
    </row>
    <row r="5165">
      <c r="A5165" t="inlineStr">
        <is>
          <t>95zsgy</t>
        </is>
      </c>
      <c r="B5165" t="inlineStr">
        <is>
          <t>Been on zero carb for a few days now (unplanned) ... what effects could this have?</t>
        </is>
      </c>
      <c r="C5165" t="inlineStr">
        <is>
          <t>My Libre sensor broke down, didn't have a replacement, and I am getting one tomorrow. Since I got a sensor right after diagnosis, I got completely used to having it, so relying on finger sticks only makes me extremely nervous. For that reason, I was eating meals with next to no carbs. Blood sugars seem to be very stable - all finger stick checks resulted in values between 87 and 100 - but I'm concerned about negative effects. I suppose nothing bad happens after just a few days, right? For example, I've read that after a very low carb diet, some people get more insulin resistant. But this takes more than a few days to happen, doesn't it?
And man, I am hungry for carbs by now..</t>
        </is>
      </c>
      <c r="D5165" t="n">
        <v>1</v>
      </c>
      <c r="E5165" t="n">
        <v>7</v>
      </c>
      <c r="F5165">
        <f>HYPERLINK("https://www.reddit.com/r/diabetes/comments/95zsgy/been_on_zero_carb_for_a_few_days_now_unplanned/")</f>
        <v/>
      </c>
      <c r="G5165" t="inlineStr">
        <is>
          <t>2018-08-09 12:50:45</t>
        </is>
      </c>
      <c r="H5165" t="inlineStr">
        <is>
          <t>Type 1</t>
        </is>
      </c>
    </row>
    <row r="5166">
      <c r="A5166" t="inlineStr">
        <is>
          <t>961oc6</t>
        </is>
      </c>
      <c r="B5166" t="inlineStr">
        <is>
          <t>Working on an Insulin calculator app for pen users, looking for feedback and testers!</t>
        </is>
      </c>
      <c r="C5166" t="inlineStr">
        <is>
          <t>Hello /r/diabetes! I wanted to post here since it might get the most visibility, but I am currently working on a very very alpha version of a simplified insulin calculator for iOS. I am very new to software development in general, but wanted to create something for myself that could assist me with my diabetes as a T1 diabetic. I currently use insulin pens and a good old fashioned one touch for my insulin calculation, so I figured this tool will be perfect for those who aren't using pumps or CGMs.
The concept of the app is simple, you type in your ratios, the app saves it and then during mealtime you can type in your carbs and current blood glucose to get a readout of how many units of insulin you should take, that's it. I wanted to get an app out there (to prove to myself I can)  and get feedback for new features and functions (I want to add Apple Health integration as well as a nutrition search in the future!). This is definitely targeted for people using pen needles (I currently use novolog) and I would precaution that I am NOT a doctor by any means, so definitely do your own math against it (and please tell me what I could do to make it better/more accurate). I eventually want to support vial measurements and possibly pumps if I can. 
If anyone is interested or would like to give it a try I will post the invite links as I can! I am going to be working on setting that up tonight. Keep in mind this is very very alpha and will most definitely have bugs in the get go, but I plan on updating it weekly or as I can. Thank you!</t>
        </is>
      </c>
      <c r="D5166" t="n">
        <v>1</v>
      </c>
      <c r="E5166" t="n">
        <v>9</v>
      </c>
      <c r="F5166">
        <f>HYPERLINK("https://www.reddit.com/r/diabetes/comments/961oc6/working_on_an_insulin_calculator_app_for_pen/")</f>
        <v/>
      </c>
      <c r="G5166" t="inlineStr">
        <is>
          <t>2018-08-09 16:33:14</t>
        </is>
      </c>
      <c r="H5166" t="inlineStr">
        <is>
          <t>Type 1</t>
        </is>
      </c>
    </row>
    <row r="5167">
      <c r="A5167" t="inlineStr">
        <is>
          <t>967j94</t>
        </is>
      </c>
      <c r="B5167" t="inlineStr">
        <is>
          <t>Intermittent fasting with t1?</t>
        </is>
      </c>
      <c r="C5167" t="inlineStr">
        <is>
          <t>I’ve recently been looking into IF and it seems like something I could definitely do with my schedule and eating habits, but I’m wondering if this will mess with my blood sugars? Has anyone ever done this before?</t>
        </is>
      </c>
      <c r="D5167" t="n">
        <v>2</v>
      </c>
      <c r="E5167" t="n">
        <v>6</v>
      </c>
      <c r="F5167">
        <f>HYPERLINK("https://www.reddit.com/r/diabetes/comments/967j94/intermittent_fasting_with_t1/")</f>
        <v/>
      </c>
      <c r="G5167" t="inlineStr">
        <is>
          <t>2018-08-10 07:44:35</t>
        </is>
      </c>
      <c r="H5167" t="inlineStr">
        <is>
          <t>Type 1</t>
        </is>
      </c>
    </row>
    <row r="5168">
      <c r="A5168" t="inlineStr">
        <is>
          <t>969dmc</t>
        </is>
      </c>
      <c r="B5168" t="inlineStr">
        <is>
          <t>What does being 475 feel like?</t>
        </is>
      </c>
      <c r="C5168" t="inlineStr">
        <is>
          <t>I'm not a diabetic, but the parent of one.  
Tonight, we think our 3 year old snuck some snacks, or we totally miscalculated his carbs at dinner, maybe both, probably both.  When I did my 11pm check he was 475 (we shoot for around 200 at 11pm).  Corrected, gave water, and started to wait an hour to test again, but he climbed out of bed about 30 minutes later saying "ouchie" but not pointing anywhere.  My wife asked why he was saying "ouchie" and my first thought was "because he's 475, that has to hurt"
But I don't know and have no way of knowing, so I'm wondering what being that high feels like?  I know it's different for everyone and maybe different for kids, I don't know.  But I'm genuinely curious what he's going through when he's that high.
Thanks for any insight.</t>
        </is>
      </c>
      <c r="D5168" t="n">
        <v>2</v>
      </c>
      <c r="E5168" t="n">
        <v>14</v>
      </c>
      <c r="F5168">
        <f>HYPERLINK("https://www.reddit.com/r/diabetes/comments/969dmc/what_does_being_475_feel_like/")</f>
        <v/>
      </c>
      <c r="G5168" t="inlineStr">
        <is>
          <t>2018-08-10 11:12:35</t>
        </is>
      </c>
      <c r="H5168" t="inlineStr">
        <is>
          <t>Type 1</t>
        </is>
      </c>
    </row>
    <row r="5169">
      <c r="A5169" t="inlineStr">
        <is>
          <t>96a60p</t>
        </is>
      </c>
      <c r="B5169" t="inlineStr">
        <is>
          <t>I'm dating a Type 1 diabetic and I worry too much</t>
        </is>
      </c>
      <c r="C5169" t="inlineStr">
        <is>
          <t>Hey guys, hopefully this kind of post is allowed here. I've been dating this guy, let's call him Rowen, for over a year. We're really serious, like possibly heading towards an engagement in the next year or two. One issue that we've had is my worries over his health.
He's 27 and was diagnosed at 23. He is not in the best place financially, so he doesn't have a CGM or pump, just regular test strips and insulin pens. When we first got together, I didn't really think much about his condition, but this past spring, he had a really close call. He was working a front desk at a hotel, misread a nutrition label, took too much insulin, and passed out in the back room. He managed to eat a bit of sugar before he passed out, but it wasn't enough. A guest showed up, saw that the desk was unmanned, had heard about some crime occurring at the hotel in the past, got scared, and called the cops, who found my boyfriend having a seizure in the back and gave him a glucose injection.
He didn't go to the hospital because he couldn't afford it, and instead just got some Taco Bell and went home. It was his first seizure but his brother, who was diagnosed as a child, has had seizures before, so Rowen didn't freak out too much.
He kinda downplayed it to me, so it's only been in the past few months that he's told me how bad it was and I've realized that he could have died if no one had found him. It's honestly really terrifying (and I can only imagine how much worse it must be for him, as the person who has to live through it). I have a hard time thinking about it.
In addition, my paranoid ass made the mistake of Googling “type 1 diabetes life expectancy,” and now that we're looking at maybe getting engaged, every now and then I start worrying that he won't be able to live to be elderly with me and it makes me really sad. He tells me that he's better off because he was diagnosed comparatively late in life, so he is more sensitive to feelings of going low and has been treating it more responsibly than some people who have had it throughout their teenage years, and his A1C is pretty decent (I think low 7's). But it's kinda hard to internalize that when I see the figures for his risk of heart disease/everything else.
Hope I haven't said anything that'd offend anyone. If any of y'all are going to say “You are an anxious mess, get therapy,” I'm doing that too. I talk to him about this sometimes, but I don't want to put the whole burden of my anxieties on him, especially since his condition affects his life way more than it affects mine. I was just hoping that some actual diabetics (who are not currently dating me) could give me advice, like telling me reasons why I shouldn't be so worried or things that I can do to support him or things that he can do to stay safe. He told me he'll get a medical ID bracelet if it would make me feel better, and he's shown me how to use his emergency glucose syringe. I'm hoping that once he can get on my insurance, which is really good, he can get some fancier equipment.</t>
        </is>
      </c>
      <c r="D5169" t="n">
        <v>18</v>
      </c>
      <c r="E5169" t="n">
        <v>25</v>
      </c>
      <c r="F5169">
        <f>HYPERLINK("https://www.reddit.com/r/diabetes/comments/96a60p/im_dating_a_type_1_diabetic_and_i_worry_too_much/")</f>
        <v/>
      </c>
      <c r="G5169" t="inlineStr">
        <is>
          <t>2018-08-10 12:44:05</t>
        </is>
      </c>
      <c r="H5169" t="inlineStr">
        <is>
          <t>Type 1</t>
        </is>
      </c>
    </row>
    <row r="5170">
      <c r="A5170" t="inlineStr">
        <is>
          <t>96apbc</t>
        </is>
      </c>
      <c r="B5170" t="inlineStr">
        <is>
          <t>How do I get a Dexcom G6?</t>
        </is>
      </c>
      <c r="C5170" t="inlineStr">
        <is>
          <t>I have an upcoming appointment with my endo but I'm not sure how to ask for the G6 or if my insurance even covers it. I had sent in info to Dexcom but have yet to hear back from them. Thoughts? Ideas?</t>
        </is>
      </c>
      <c r="D5170" t="n">
        <v>5</v>
      </c>
      <c r="E5170" t="n">
        <v>3</v>
      </c>
      <c r="F5170">
        <f>HYPERLINK("https://www.reddit.com/r/diabetes/comments/96apbc/how_do_i_get_a_dexcom_g6/")</f>
        <v/>
      </c>
      <c r="G5170" t="inlineStr">
        <is>
          <t>2018-08-10 13:47:47</t>
        </is>
      </c>
      <c r="H5170" t="inlineStr">
        <is>
          <t>Type 1</t>
        </is>
      </c>
    </row>
    <row r="5171">
      <c r="A5171" t="inlineStr">
        <is>
          <t>96ax10</t>
        </is>
      </c>
      <c r="B5171" t="inlineStr">
        <is>
          <t>Questions on differences between these 2 insulin’s?</t>
        </is>
      </c>
      <c r="C5171" t="inlineStr">
        <is>
          <t xml:space="preserve">So i got switch form a different long acting insulin to lantus but found out it’s not covered well by my insurance ($1,000 copay) and asked my doctor if they could prescribe something that’s like the lantus not as expensive and she prescribed my Novolin N. I was wondering if there’s any big difference between those 2 insulins. Thanks in advance guys 
UPDATE EDIT!!: i talked with my insurance and they said basaglar is almost identical and is the preferred insulin to lantus and my copay would be only $50 versus it woulda been $1,000 with the lantus. Big thanks to everyone that helped !! </t>
        </is>
      </c>
      <c r="D5171" t="n">
        <v>3</v>
      </c>
      <c r="E5171" t="n">
        <v>4</v>
      </c>
      <c r="F5171">
        <f>HYPERLINK("https://www.reddit.com/r/diabetes/comments/96ax10/questions_on_differences_between_these_2_insulins/")</f>
        <v/>
      </c>
      <c r="G5171" t="inlineStr">
        <is>
          <t>2018-08-10 14:14:04</t>
        </is>
      </c>
      <c r="H5171" t="inlineStr">
        <is>
          <t>Type 1</t>
        </is>
      </c>
    </row>
    <row r="5172">
      <c r="A5172" t="inlineStr">
        <is>
          <t>96bsxv</t>
        </is>
      </c>
      <c r="B5172" t="inlineStr">
        <is>
          <t>T2 - 12 years, 69yo Male, general update. You may comment or direct message, I'll try to help either way.</t>
        </is>
      </c>
      <c r="C5172" t="inlineStr">
        <is>
          <t xml:space="preserve">These are in no particular order, But ...
* A1C down from Infinite (Thanksgiving 2017) to 6.8 (and dropping) by following modified Keto. I eat LOTS of protein and fats, but hold Carbs to under 40 grams/day.
* I use mySugr to log BG readings and insulin. I try to stay in 'green' readings and like that App.
* I have almost thrown away fast-acting novolog. I might use a FA pen twice a week or less.
* Thanksgiving, Lantus sliding scale baseline was 34 and rising - today sliding scale is 22 and falling quickly.
* I do not eat breakfast - I know no the best - logs show that even poached eggs for breakfast brings 200 BG readings for lunch.
* Have found an Endocrinologist Nurse Practitioner and she is 100% supportive. I asked for a Dexcom and she started the papers right then and there.
* After a Hypo of 18, yes, 18, I resorted to a pirated Dexcom to test and have obtained a Service Dog to prevent life challenging future Hypos.
* increased walking and simple movement by factors of 2 multiple times since last Thanksgiving.
* Here is a BIGGIE. When I was diagnosed in 2006, I had gastro problems (pancreatitis from blown up gall bladder - thanks DNA) and Metformin was never on the table. You start Metformin at 500mg and work up to 2000mg one pill at a time. I am up to 3 and will go to the fourth Sunday. My BG has been so steady that it is freaky! If YOU are not on Metformin, simply ask "Why?" There may be a perfectly valid reason, but ask.
Anyway, if you want info about my experience, please comment or ask. I just want diabetes wiped off the map!
</t>
        </is>
      </c>
      <c r="D5172" t="n">
        <v>6</v>
      </c>
      <c r="E5172" t="n">
        <v>2</v>
      </c>
      <c r="F5172">
        <f>HYPERLINK("https://www.reddit.com/r/diabetes/comments/96bsxv/t2_12_years_69yo_male_general_update_you_may/")</f>
        <v/>
      </c>
      <c r="G5172" t="inlineStr">
        <is>
          <t>2018-08-10 16:06:48</t>
        </is>
      </c>
      <c r="H5172" t="inlineStr">
        <is>
          <t>Type 2</t>
        </is>
      </c>
    </row>
    <row r="5173">
      <c r="A5173" t="inlineStr">
        <is>
          <t>96cc3q</t>
        </is>
      </c>
      <c r="B5173" t="inlineStr">
        <is>
          <t>Just Diagnosed</t>
        </is>
      </c>
      <c r="C5173" t="inlineStr">
        <is>
          <t>So first of all if this is against the subreddits rules I'm sorry and I'll take it down. (I saw on the side about "No "do I have diabetes" posts"
Basically I just got some blood work done to see if I was diabetic, because when I was younger (around 14? I'm 21 now) I was told I was pre-diabetic and it came back yesterday. Initially my doctor replied with "your sugar levels are slightly elevated" but when I replied and asked to confirm I was diabetic he told me that my a1c was 7.1 which puts me in the diabetic range.  I did some googling and this doesn't seem like a horrible number or anything but, honestly it makes me scared.
My whole life this has been something that was a real possibility seeing as I've been over weight the majority of it and some of my family has diabetes too. It has always been something that's been portrayed like a "bad thing" and my parents kind of stressed how much "you don't want to be diabetic". So now that this has happened and it's a real thing I have to deal with I'm worried... Like, will I have to change my life substantially? Will I have to eat only certain things and never touch others. Am I going to lose some of the foods I love most because of this one god damn word?  
I guess what I'm pretty much asking if a post has to be a question is: How was your life changed when you first got told you were diabetic, is it as much of a problem as it's been made to seem?</t>
        </is>
      </c>
      <c r="D5173" t="n">
        <v>2</v>
      </c>
      <c r="E5173" t="n">
        <v>4</v>
      </c>
      <c r="F5173">
        <f>HYPERLINK("https://www.reddit.com/r/diabetes/comments/96cc3q/just_diagnosed/")</f>
        <v/>
      </c>
      <c r="G5173" t="inlineStr">
        <is>
          <t>2018-08-10 17:20:52</t>
        </is>
      </c>
      <c r="H5173" t="inlineStr">
        <is>
          <t>Type 2</t>
        </is>
      </c>
    </row>
    <row r="5174">
      <c r="A5174" t="inlineStr">
        <is>
          <t>96cf90</t>
        </is>
      </c>
      <c r="B5174" t="inlineStr">
        <is>
          <t>Rise in BS when taking naps?</t>
        </is>
      </c>
      <c r="C5174" t="inlineStr">
        <is>
          <t xml:space="preserve">Anyone have this problem? I'm pretty sure that this happens to me. My BS starts to rise when I take naps. When I don't, my graph stays flat. </t>
        </is>
      </c>
      <c r="D5174" t="n">
        <v>5</v>
      </c>
      <c r="E5174" t="n">
        <v>6</v>
      </c>
      <c r="F5174">
        <f>HYPERLINK("https://www.reddit.com/r/diabetes/comments/96cf90/rise_in_bs_when_taking_naps/")</f>
        <v/>
      </c>
      <c r="G5174" t="inlineStr">
        <is>
          <t>2018-08-10 17:33:30</t>
        </is>
      </c>
      <c r="H5174" t="inlineStr">
        <is>
          <t>Type 1</t>
        </is>
      </c>
    </row>
    <row r="5175">
      <c r="A5175" t="inlineStr">
        <is>
          <t>96csxa</t>
        </is>
      </c>
      <c r="B5175" t="inlineStr">
        <is>
          <t>Not sure how much Humulin R/N to give myself?</t>
        </is>
      </c>
      <c r="C5175" t="inlineStr">
        <is>
          <t>Long story short, insurance changed my insulin from Novolog to Admelog. Pharmacy doesn't have it in stock so I have to wait until Monday to get it. My endo closed before I got this information so no chance of getting a vial, so did the next best thing (I guess?): Walmart insulin! I am on a pump so I don't even know how much of this stuff to give myself, and no doctor's to ask. I don't have a sliding scale or anything anymore since I've been on a pump for the last 5 years, but I do have my pump settings which are: 
53.5 units total basal (12a.m-3a.m is 1.85/3 a.m-10 a.m is 1.80/10 a.m-12 a.m is 2.50)
Carb ratio is 6
Insulin sensitivity factor is 20
Should I just give myself 20 units of the Humulin N tonight and hope for the best? It's just until Monday, so it doesn't have to be perfect, I am just really confused since I've never really used this stuff before.</t>
        </is>
      </c>
      <c r="D5175" t="n">
        <v>2</v>
      </c>
      <c r="E5175" t="n">
        <v>4</v>
      </c>
      <c r="F5175">
        <f>HYPERLINK("https://www.reddit.com/r/diabetes/comments/96csxa/not_sure_how_much_humulin_rn_to_give_myself/")</f>
        <v/>
      </c>
      <c r="G5175" t="inlineStr">
        <is>
          <t>2018-08-10 18:30:02</t>
        </is>
      </c>
      <c r="H5175" t="inlineStr">
        <is>
          <t>Type 1</t>
        </is>
      </c>
    </row>
    <row r="5176">
      <c r="A5176" t="inlineStr">
        <is>
          <t>96dfag</t>
        </is>
      </c>
      <c r="B5176" t="inlineStr">
        <is>
          <t>7.2 to 6</t>
        </is>
      </c>
      <c r="C5176" t="inlineStr">
        <is>
          <t>Had a horrendous last 12 or so months, the culmination of which both my parents died within 10 days of each other and I was diagnosed with Parkinson’s. So when my doctor told me my a1c was 7.2, I was surprised it was that low. I just got retested and it was 6, but my triglycerides are way up. 
Can’t win for losing....good news we are experimenting with testosterone. Mine is way down more on that as we go along
Edit: a word</t>
        </is>
      </c>
      <c r="D5176" t="n">
        <v>10</v>
      </c>
      <c r="E5176" t="n">
        <v>4</v>
      </c>
      <c r="F5176">
        <f>HYPERLINK("https://www.reddit.com/r/diabetes/comments/96dfag/72_to_6/")</f>
        <v/>
      </c>
      <c r="G5176" t="inlineStr">
        <is>
          <t>2018-08-10 20:07:31</t>
        </is>
      </c>
      <c r="H5176" t="inlineStr">
        <is>
          <t>Type 2</t>
        </is>
      </c>
    </row>
    <row r="5177">
      <c r="A5177" t="inlineStr">
        <is>
          <t>96e245</t>
        </is>
      </c>
      <c r="B5177" t="inlineStr">
        <is>
          <t>Too much protein?</t>
        </is>
      </c>
      <c r="C5177" t="inlineStr">
        <is>
          <t xml:space="preserve">Could eating too much protein in one meal cause complications? I usually eat 1lb of chicken with vegetables for dinner </t>
        </is>
      </c>
      <c r="D5177" t="n">
        <v>3</v>
      </c>
      <c r="E5177" t="n">
        <v>2</v>
      </c>
      <c r="F5177">
        <f>HYPERLINK("https://www.reddit.com/r/diabetes/comments/96e245/too_much_protein/")</f>
        <v/>
      </c>
      <c r="G5177" t="inlineStr">
        <is>
          <t>2018-08-10 21:53:05</t>
        </is>
      </c>
      <c r="H5177" t="inlineStr">
        <is>
          <t>Type 2</t>
        </is>
      </c>
    </row>
    <row r="5178">
      <c r="A5178" t="inlineStr">
        <is>
          <t>96e6wq</t>
        </is>
      </c>
      <c r="B5178" t="inlineStr">
        <is>
          <t>T1 or Parents of T1</t>
        </is>
      </c>
      <c r="C5178" t="inlineStr">
        <is>
          <t>Is there a T1 only or parents of T1 only sub?
Full disclosure: I'm too lazy on my night off of being my kid's pancreas to search for good subs</t>
        </is>
      </c>
      <c r="D5178" t="n">
        <v>5</v>
      </c>
      <c r="E5178" t="n">
        <v>4</v>
      </c>
      <c r="F5178">
        <f>HYPERLINK("https://www.reddit.com/r/diabetes/comments/96e6wq/t1_or_parents_of_t1/")</f>
        <v/>
      </c>
      <c r="G5178" t="inlineStr">
        <is>
          <t>2018-08-10 22:16:59</t>
        </is>
      </c>
      <c r="H5178" t="inlineStr">
        <is>
          <t>Type 1</t>
        </is>
      </c>
    </row>
    <row r="5179">
      <c r="A5179" t="inlineStr">
        <is>
          <t>96hp36</t>
        </is>
      </c>
      <c r="B5179" t="inlineStr">
        <is>
          <t>Lasting symptoms of hypoglycemic episode?</t>
        </is>
      </c>
      <c r="C5179" t="inlineStr">
        <is>
          <t>Hi r/diabetes... I've had T1 for 25 years now, and for the first time on Sunday night I had a blackout/seizing hypoglycemic episode.  My boyfriend woke up when I got out of bed and fell and hit my head trying to walk to the kitchen, and although he immediately got me glucose and prepared glucagon just in case, I still have about half an hour missing from my memory, and I woke up terrified and covered in sweat. If he hadn't been there I think I would've died. I wanted to ask some fellow diabetics--if you've had this happen, did you have any lasting symptoms? I still feel sluggish and physically exhausted 5 days later, and I feel dull, like I'm not as quick-thinking as I used to be. I also have bouts of terrible anxiety that feel like a result of trauma? I'm talking to my therapist about it but I was hoping maybe someone here has experience with similar problems (or lack thereof).</t>
        </is>
      </c>
      <c r="D5179" t="n">
        <v>8</v>
      </c>
      <c r="E5179" t="n">
        <v>14</v>
      </c>
      <c r="F5179">
        <f>HYPERLINK("https://www.reddit.com/r/diabetes/comments/96hp36/lasting_symptoms_of_hypoglycemic_episode/")</f>
        <v/>
      </c>
      <c r="G5179" t="inlineStr">
        <is>
          <t>2018-08-11 09:14:52</t>
        </is>
      </c>
      <c r="H5179" t="inlineStr">
        <is>
          <t>Type 1</t>
        </is>
      </c>
    </row>
    <row r="5180">
      <c r="A5180" t="inlineStr">
        <is>
          <t>96obe5</t>
        </is>
      </c>
      <c r="B5180" t="inlineStr">
        <is>
          <t>Getting an endoscopy tomorrow and I have a question</t>
        </is>
      </c>
      <c r="C5180" t="inlineStr">
        <is>
          <t xml:space="preserve">So tomorrow I will get an endoscopy because I’m having pretty bad acid reflux and heartburn and they wanna confirm the diagnosis and see if there is anything else going on. 
So now I can’t eat anything like 6-7 hours before the whole ordeal which also means that I can’t get low because I would need to eat or drink something. Now the doctor doing the endoscopy said that I should cut my basal rate in half so I don’t run low. I plan on doing that but is there anything else I can do to ensure I don’t accidentally run low at night? </t>
        </is>
      </c>
      <c r="D5180" t="n">
        <v>3</v>
      </c>
      <c r="E5180" t="n">
        <v>3</v>
      </c>
      <c r="F5180">
        <f>HYPERLINK("https://www.reddit.com/r/diabetes/comments/96obe5/getting_an_endoscopy_tomorrow_and_i_have_a/")</f>
        <v/>
      </c>
      <c r="G5180" t="inlineStr">
        <is>
          <t>2018-08-12 03:33:38</t>
        </is>
      </c>
      <c r="H5180" t="inlineStr">
        <is>
          <t>Type 1</t>
        </is>
      </c>
    </row>
    <row r="5181">
      <c r="A5181" t="inlineStr">
        <is>
          <t>96rdnj</t>
        </is>
      </c>
      <c r="B5181" t="inlineStr">
        <is>
          <t>Last chance to participate in diabetes research</t>
        </is>
      </c>
      <c r="C5181" t="inlineStr">
        <is>
          <t>Hi everyone,
First of all, I just want to say a huge thank you to everyone who has participated already! I have reached my goal for participants, which I never though I would get and it means the world to me that large number of you took the time out of your day to participate. This is my last week of data collection, so if anyone has not yet had the chance to have a go at it, please do! 
The study is on social networking and diabetes self-management. Anyone who is over the age of 18, has type 1 or type 2 diabetes and who uses Facebook can take part in this study. It’s an online survey which asks questions about you, your social networking use and how you self-manage your diabetes. It’s a simple survey which will take no longer than 10 minutes to complete, and you can also win **a £10 amazon gift card**.
If you’re interested in gaining valuable insight that may encourage beneficial changes to your own diabetes self-management, please click the link below I would greatly appreciate it! Thank you for your time and I hope you have a wonderful day.
Link: [https://qtrial2018q2az1.az1.qualtrics.com/jfe/form/SV\_0HWDglX9ts6eIMR](https://qtrial2018q2az1.az1.qualtrics.com/jfe/form/SV_0HWDglX9ts6eIMR)
If you have any questions, please email me at [km00868@Surrey.ac.uk](mailto:km00868@Surrey.ac.uk).</t>
        </is>
      </c>
      <c r="D5181" t="n">
        <v>3</v>
      </c>
      <c r="E5181" t="n">
        <v>1</v>
      </c>
      <c r="F5181">
        <f>HYPERLINK("https://www.reddit.com/r/diabetes/comments/96rdnj/last_chance_to_participate_in_diabetes_research/")</f>
        <v/>
      </c>
      <c r="G5181" t="inlineStr">
        <is>
          <t>2018-08-12 11:58:22</t>
        </is>
      </c>
      <c r="H5181" t="inlineStr">
        <is>
          <t>Type 1</t>
        </is>
      </c>
    </row>
    <row r="5182">
      <c r="A5182" t="inlineStr">
        <is>
          <t>96w2az</t>
        </is>
      </c>
      <c r="B5182" t="inlineStr">
        <is>
          <t>Today I'm "celebrating" my 19th Diaversary</t>
        </is>
      </c>
      <c r="C5182" t="inlineStr">
        <is>
          <t xml:space="preserve">PLEASE PLEASE PLEASE, someone find a cure for this stupid disease, I'm extremely super bored from having a "second job". Btw, I've got diagnosed on Friday 13th... </t>
        </is>
      </c>
      <c r="D5182" t="n">
        <v>67</v>
      </c>
      <c r="E5182" t="n">
        <v>27</v>
      </c>
      <c r="F5182">
        <f>HYPERLINK("https://www.reddit.com/r/diabetes/comments/96w2az/today_im_celebrating_my_19th_diaversary/")</f>
        <v/>
      </c>
      <c r="G5182" t="inlineStr">
        <is>
          <t>2018-08-12 23:38:07</t>
        </is>
      </c>
      <c r="H5182" t="inlineStr">
        <is>
          <t>Type 1</t>
        </is>
      </c>
    </row>
    <row r="5183">
      <c r="A5183" t="inlineStr">
        <is>
          <t>96wd4d</t>
        </is>
      </c>
      <c r="B5183" t="inlineStr">
        <is>
          <t>Plenny shake or Soylent for managing type 1?</t>
        </is>
      </c>
      <c r="C5183" t="inlineStr">
        <is>
          <t>Hey guys first post here, I'm a 21 year old swedish guy and I have had type 1 for about 10 years now.
Last two years I have been struggling with depression and anxiety partly due to my diabetes  but other reasons aswell, I find it impossible to get the energy to cook and eat well ever since I moved out from my parents a year ago and my blood suger levels looks like a roller coaster.
I want to take control and start taking proper care of my body but as I said it's impossible to find the energy to cook, now to the main reason I'm making this post has anyone tried any of the many different insta-meals you mix with water such as Plenny shake and Soylent and how do you find it managing your diabetes ?</t>
        </is>
      </c>
      <c r="D5183" t="n">
        <v>2</v>
      </c>
      <c r="E5183" t="n">
        <v>6</v>
      </c>
      <c r="F5183">
        <f>HYPERLINK("https://www.reddit.com/r/diabetes/comments/96wd4d/plenny_shake_or_soylent_for_managing_type_1/")</f>
        <v/>
      </c>
      <c r="G5183" t="inlineStr">
        <is>
          <t>2018-08-13 00:37:39</t>
        </is>
      </c>
      <c r="H5183" t="inlineStr">
        <is>
          <t>Type 1</t>
        </is>
      </c>
    </row>
    <row r="5184">
      <c r="A5184" t="inlineStr">
        <is>
          <t>96y64w</t>
        </is>
      </c>
      <c r="B5184" t="inlineStr">
        <is>
          <t>Today I’m celebrating my 3rd diaversary!</t>
        </is>
      </c>
      <c r="C5184" t="inlineStr">
        <is>
          <t xml:space="preserve">I have been diagnosed for 3 years as of today, and I’m also starting a new job in 30 mins. Lots of emotions today! I have come a long way in terms of accepting my condition. It def sucks and I still have my mini breakdowns but in general, I’m content despite t1d! </t>
        </is>
      </c>
      <c r="D5184" t="n">
        <v>35</v>
      </c>
      <c r="E5184" t="n">
        <v>4</v>
      </c>
      <c r="F5184">
        <f>HYPERLINK("https://www.reddit.com/r/diabetes/comments/96y64w/today_im_celebrating_my_3rd_diaversary/")</f>
        <v/>
      </c>
      <c r="G5184" t="inlineStr">
        <is>
          <t>2018-08-13 06:10:48</t>
        </is>
      </c>
      <c r="H5184" t="inlineStr">
        <is>
          <t>Type 1</t>
        </is>
      </c>
    </row>
    <row r="5185">
      <c r="A5185" t="inlineStr">
        <is>
          <t>9718mw</t>
        </is>
      </c>
      <c r="B5185" t="inlineStr">
        <is>
          <t>T1D YOUNG ADULTS IN NYC</t>
        </is>
      </c>
      <c r="C5185" t="inlineStr">
        <is>
          <t xml:space="preserve">**Connect, share stories, seek advice, build relationships**. If you or a loved one are a Type 1 Diabetic Young Adult living in the greater NYC area, please join/share this group: link [here](https://www.facebook.com/groups/264172541075932/).  I am trying to build a community in order to connect, engage, and support other type one diabetics, specifically young adults living in NYC and the surrounding area. Through this group I am also hosting our first meetup on September 8th at 1 PM in Central Park, the invite can be found through the group. </t>
        </is>
      </c>
      <c r="D5185" t="n">
        <v>5</v>
      </c>
      <c r="E5185" t="n">
        <v>3</v>
      </c>
      <c r="F5185">
        <f>HYPERLINK("https://www.reddit.com/r/diabetes/comments/9718mw/t1d_young_adults_in_nyc/")</f>
        <v/>
      </c>
      <c r="G5185" t="inlineStr">
        <is>
          <t>2018-08-13 12:17:19</t>
        </is>
      </c>
      <c r="H5185" t="inlineStr">
        <is>
          <t>Type 1</t>
        </is>
      </c>
    </row>
    <row r="5186">
      <c r="A5186" t="inlineStr">
        <is>
          <t>972ffp</t>
        </is>
      </c>
      <c r="B5186" t="inlineStr">
        <is>
          <t>G5 new sensor and now only getting “signal loss”</t>
        </is>
      </c>
      <c r="C5186" t="inlineStr">
        <is>
          <t xml:space="preserve">Put in a new sensor and started the 2 hour warmup. Took a shower and left for work and noticed that it said “signal loss.” Usually closing the app and reopening it works but it’s been close to an hour or a little more and still getting it. Also tried ending and restarting the session but nothing. Is it a bad sensor? It’s my last one so not sure how to fix it if it’s even possible. </t>
        </is>
      </c>
      <c r="D5186" t="n">
        <v>2</v>
      </c>
      <c r="E5186" t="n">
        <v>7</v>
      </c>
      <c r="F5186">
        <f>HYPERLINK("https://www.reddit.com/r/diabetes/comments/972ffp/g5_new_sensor_and_now_only_getting_signal_loss/")</f>
        <v/>
      </c>
      <c r="G5186" t="inlineStr">
        <is>
          <t>2018-08-13 14:36:41</t>
        </is>
      </c>
      <c r="H5186" t="inlineStr">
        <is>
          <t>Type 1</t>
        </is>
      </c>
    </row>
    <row r="5187">
      <c r="A5187" t="inlineStr">
        <is>
          <t>9742ox</t>
        </is>
      </c>
      <c r="B5187" t="inlineStr">
        <is>
          <t>How much does stress affect your levels?</t>
        </is>
      </c>
      <c r="C5187" t="inlineStr">
        <is>
          <t xml:space="preserve">Okay newly diagnosed, still working my BG down from dangerous levels. I was doing okay and then today I started work and levels went up again. </t>
        </is>
      </c>
      <c r="D5187" t="n">
        <v>4</v>
      </c>
      <c r="E5187" t="n">
        <v>6</v>
      </c>
      <c r="F5187">
        <f>HYPERLINK("https://www.reddit.com/r/diabetes/comments/9742ox/how_much_does_stress_affect_your_levels/")</f>
        <v/>
      </c>
      <c r="G5187" t="inlineStr">
        <is>
          <t>2018-08-13 18:16:02</t>
        </is>
      </c>
      <c r="H5187" t="inlineStr">
        <is>
          <t>Type 2</t>
        </is>
      </c>
    </row>
    <row r="5188">
      <c r="A5188" t="inlineStr">
        <is>
          <t>975jy6</t>
        </is>
      </c>
      <c r="B5188" t="inlineStr">
        <is>
          <t>So I was a really special kind of stupid - ***UPDATE***</t>
        </is>
      </c>
      <c r="C5188" t="inlineStr">
        <is>
          <t>[Original Story Here](https://www.reddit.com/r/diabetes/comments/8oxjzi/so_i_was_a_really_special_kind_of_stupid/)
I posted the original story 2 months back.  I had let my diabetes get out of control by stress eating over my job and my wife's terminal diagnosis.  My blood glucose hit 500 on May 22nd and I started full blown keto.
I did a follow up with my doctor the other day.  For two months my blood glucose has been reading normal before breakfast, lunch, and dinner.   He was over the moon with my blood work results.  My overall cholesterol dropped to a 136.  My triglycerides dropped from 330 to 163.   My LDL was a 86.   But the best part.....my A1C dropped from approximately a 14 to a 5.3!!!!!!!  I had also lost 18 pounds.  He was so impressed he took me off my diabetes meds.  He said to just keep doing what I was doing.  
What was funny was he insisted on checking my blood glucose right there in the office.  Like I was faking or something.  It was 100 at 4:15pm in the afternoon.  I told him my goal was to be off all meds by Spring.  He said with the way I was producing results that was very likely.</t>
        </is>
      </c>
      <c r="D5188" t="n">
        <v>35</v>
      </c>
      <c r="E5188" t="n">
        <v>4</v>
      </c>
      <c r="F5188">
        <f>HYPERLINK("https://www.reddit.com/r/diabetes/comments/975jy6/so_i_was_a_really_special_kind_of_stupid_update/")</f>
        <v/>
      </c>
      <c r="G5188" t="inlineStr">
        <is>
          <t>2018-08-13 21:59:14</t>
        </is>
      </c>
      <c r="H5188" t="inlineStr">
        <is>
          <t>Type 2</t>
        </is>
      </c>
    </row>
    <row r="5189">
      <c r="A5189" t="inlineStr">
        <is>
          <t>975ory</t>
        </is>
      </c>
      <c r="B5189" t="inlineStr">
        <is>
          <t>my tester said Hi to me...</t>
        </is>
      </c>
      <c r="C5189" t="inlineStr">
        <is>
          <t xml:space="preserve">yeah , under "some" stress...  when i said "well hello to you to" i got the weirdest look till i showed them it said "HI" , its 1am im just tired and wanna sleep and cant till i take care of this...another 4 or 5am for me i feeling ... youtube rabbit hole where ya taken me tonight , its been about 2 weeks without good sleep.. slew of bs all at once </t>
        </is>
      </c>
      <c r="D5189" t="n">
        <v>0</v>
      </c>
      <c r="E5189" t="n">
        <v>0</v>
      </c>
      <c r="F5189">
        <f>HYPERLINK("https://www.reddit.com/r/diabetes/comments/975ory/my_tester_said_hi_to_me/")</f>
        <v/>
      </c>
      <c r="G5189" t="inlineStr">
        <is>
          <t>2018-08-13 22:22:01</t>
        </is>
      </c>
      <c r="H5189" t="inlineStr">
        <is>
          <t>Type 1</t>
        </is>
      </c>
    </row>
    <row r="5190">
      <c r="A5190" t="inlineStr">
        <is>
          <t>977aoe</t>
        </is>
      </c>
      <c r="B5190" t="inlineStr">
        <is>
          <t>Symptoms of diabetes, but negative test</t>
        </is>
      </c>
      <c r="C5190" t="inlineStr">
        <is>
          <t>So for the past month or so, I've been getting some symptoms of diabetes. Type 2 to be more specific. I went and got my glucose levels checked, I had eaten 2 hours before said test so I made sure to specify that, the test came back normal. With a glucose level of 85 mg/dL. But recently I've been having inconsistent blurred vision, where distant objects appear blurry. This comes and goes, one day it's there, the next it's gone. I live in a rather secluded area, where doctors are a long drive from here, so that explains why I'm here before going to the doc. In short, what's wrong with me. 
If it adds anything, I've been asthmatic all my life, and use a ventolin inhaler about 20 times a day roughly. On top of that, to add to the pile of stupid decisions I've been making recently, I started smoking this February, easing down on it now and trying to quit.  
P.s not sure if this is the right place to ask</t>
        </is>
      </c>
      <c r="D5190" t="n">
        <v>2</v>
      </c>
      <c r="E5190" t="n">
        <v>6</v>
      </c>
      <c r="F5190">
        <f>HYPERLINK("https://www.reddit.com/r/diabetes/comments/977aoe/symptoms_of_diabetes_but_negative_test/")</f>
        <v/>
      </c>
      <c r="G5190" t="inlineStr">
        <is>
          <t>2018-08-14 03:43:42</t>
        </is>
      </c>
      <c r="H5190" t="inlineStr">
        <is>
          <t>Type 2</t>
        </is>
      </c>
    </row>
    <row r="5191">
      <c r="A5191" t="inlineStr">
        <is>
          <t>977j0p</t>
        </is>
      </c>
      <c r="B5191" t="inlineStr">
        <is>
          <t>MiaoMiao for a diabetic child... DO IT! 👍🏻</t>
        </is>
      </c>
      <c r="C5191" t="inlineStr">
        <is>
          <t>So, we took the plunge and bought a MiaoMiao for our 9 year old Type1 Diabetic son. We’re using it with a Freestyle Libre and an old iPhone5 with a payasyougo sim.
After following all the online instructions and guidance from here, (it is a long setup) all I can say is BUY ONE!!!
I am currently sat at work looking at his BG live on my browser, he’s at home, at a friends house, out and about with Grandad... and I can constantly see it, it truly is life changing for us as parents!!!
I can see it on my phone as can my wife, grandparents, siblings, anybody, anywhere, anytime!! You can get to it on a SmartTV and put it full screen for babysitters, middle of the night checking (so you don’t have to get up), etc etc etc.
TOP TIP: Set up the child’s iPhone account as an age over 13 so you can download the TESTFLIGHT Apple App.</t>
        </is>
      </c>
      <c r="D5191" t="n">
        <v>13</v>
      </c>
      <c r="E5191" t="n">
        <v>14</v>
      </c>
      <c r="F5191">
        <f>HYPERLINK("https://www.reddit.com/r/diabetes/comments/977j0p/miaomiao_for_a_diabetic_child_do_it/")</f>
        <v/>
      </c>
      <c r="G5191" t="inlineStr">
        <is>
          <t>2018-08-14 04:25:41</t>
        </is>
      </c>
      <c r="H5191" t="inlineStr">
        <is>
          <t>Type 1</t>
        </is>
      </c>
    </row>
    <row r="5192">
      <c r="A5192" t="inlineStr">
        <is>
          <t>978jm4</t>
        </is>
      </c>
      <c r="B5192" t="inlineStr">
        <is>
          <t>Lantus dropping me really fast lately?</t>
        </is>
      </c>
      <c r="C5192" t="inlineStr">
        <is>
          <t>Anyone else have an issue with Lantus working really fast? Its happened to me 3 times recently, the first time I was drinking so I just chalked it up to that, the next time I shot down to 48 around 30 -40 minutes after taking it and this morning I dropped 98 points within the timespan of taking a shower. I'm a pretty thin guy (5'9" 135lbs) but I don't think I'm injecting into the muscle because I don't feel any pain or see any blood. I have been wondering if maybe I'm not rotating my injection sites enough, I've used the back of my arms for my Lantus since I was diagnosed and the back for my arms or stomach for my Humalog since diagnosis too. I also don't change my needles out near as often as I should but I don't see how that would correlate. 
Just looking for any sort of advice, thanks!</t>
        </is>
      </c>
      <c r="D5192" t="n">
        <v>2</v>
      </c>
      <c r="E5192" t="n">
        <v>10</v>
      </c>
      <c r="F5192">
        <f>HYPERLINK("https://www.reddit.com/r/diabetes/comments/978jm4/lantus_dropping_me_really_fast_lately/")</f>
        <v/>
      </c>
      <c r="G5192" t="inlineStr">
        <is>
          <t>2018-08-14 06:54:17</t>
        </is>
      </c>
      <c r="H5192" t="inlineStr">
        <is>
          <t>Type 1</t>
        </is>
      </c>
    </row>
    <row r="5193">
      <c r="A5193" t="inlineStr">
        <is>
          <t>97cotk</t>
        </is>
      </c>
      <c r="B5193" t="inlineStr">
        <is>
          <t>School Diabetes Management Protocol</t>
        </is>
      </c>
      <c r="C5193" t="inlineStr">
        <is>
          <t>Hi all, i just wanted to share this link i just put up today. It is the template we used for developing our protocol with our son's school. Hopefully it helps someone out. 
[https://vbetics.com/blogs/news/school-diabetes-management-protocol](https://vbetics.com/blogs/news/school-diabetes-management-protocol)</t>
        </is>
      </c>
      <c r="D5193" t="n">
        <v>1</v>
      </c>
      <c r="E5193" t="n">
        <v>2</v>
      </c>
      <c r="F5193">
        <f>HYPERLINK("https://www.reddit.com/r/diabetes/comments/97cotk/school_diabetes_management_protocol/")</f>
        <v/>
      </c>
      <c r="G5193" t="inlineStr">
        <is>
          <t>2018-08-14 15:07:54</t>
        </is>
      </c>
      <c r="H5193" t="inlineStr">
        <is>
          <t>Type 1</t>
        </is>
      </c>
    </row>
    <row r="5194">
      <c r="A5194" t="inlineStr">
        <is>
          <t>97eypn</t>
        </is>
      </c>
      <c r="B5194" t="inlineStr">
        <is>
          <t>Just diagnosed, have a few questions.</t>
        </is>
      </c>
      <c r="C5194" t="inlineStr">
        <is>
          <t>I was just recently diagnosed (3 Weeks) with Type 2 and was started on Metformin. When I first got diagnosed my blood sugar was around 411. Since then I have completely changed my diet and lost around 32 pounds. My usual blood sugar now is 100-108, and my spikes hit around 130ish. My question is, if I continue on my diet, can I get myself off the medication? Does my body just progressively get worse moving forward or with my change of diet can I keep my levels in a normal range without medication.
Thanks.</t>
        </is>
      </c>
      <c r="D5194" t="n">
        <v>3</v>
      </c>
      <c r="E5194" t="n">
        <v>9</v>
      </c>
      <c r="F5194">
        <f>HYPERLINK("https://www.reddit.com/r/diabetes/comments/97eypn/just_diagnosed_have_a_few_questions/")</f>
        <v/>
      </c>
      <c r="G5194" t="inlineStr">
        <is>
          <t>2018-08-14 20:21:41</t>
        </is>
      </c>
      <c r="H5194" t="inlineStr">
        <is>
          <t>Type 2</t>
        </is>
      </c>
    </row>
    <row r="5195">
      <c r="A5195" t="inlineStr">
        <is>
          <t>97gx08</t>
        </is>
      </c>
      <c r="B5195" t="inlineStr">
        <is>
          <t>When do you consider your diagnosis date?</t>
        </is>
      </c>
      <c r="C5195" t="inlineStr">
        <is>
          <t xml:space="preserve">I was thinking "Damn I need to add my flair at r/diabetes" but I don't have it clear. I was hospitalized and misdiagnosed with stomach flu 12/31/2017 and the doc realized that it wasn't that the 01/03/2018. Now I don't know which date should I use lol. Also, do you have any story of misdiagnosis like me? Cheers! </t>
        </is>
      </c>
      <c r="D5195" t="n">
        <v>2</v>
      </c>
      <c r="E5195" t="n">
        <v>6</v>
      </c>
      <c r="F5195">
        <f>HYPERLINK("https://www.reddit.com/r/diabetes/comments/97gx08/when_do_you_consider_your_diagnosis_date/")</f>
        <v/>
      </c>
      <c r="G5195" t="inlineStr">
        <is>
          <t>2018-08-15 02:38:46</t>
        </is>
      </c>
      <c r="H5195" t="inlineStr">
        <is>
          <t>Type 1</t>
        </is>
      </c>
    </row>
    <row r="5196">
      <c r="A5196" t="inlineStr">
        <is>
          <t>97iukp</t>
        </is>
      </c>
      <c r="B5196" t="inlineStr">
        <is>
          <t>I have trouble maintaining weight.</t>
        </is>
      </c>
      <c r="C5196" t="inlineStr">
        <is>
          <t>My BMI is 17.4 and the normal is 20-25. What should I do?</t>
        </is>
      </c>
      <c r="D5196" t="n">
        <v>4</v>
      </c>
      <c r="E5196" t="n">
        <v>2</v>
      </c>
      <c r="F5196">
        <f>HYPERLINK("https://www.reddit.com/r/diabetes/comments/97iukp/i_have_trouble_maintaining_weight/")</f>
        <v/>
      </c>
      <c r="G5196" t="inlineStr">
        <is>
          <t>2018-08-15 07:48:37</t>
        </is>
      </c>
      <c r="H5196" t="inlineStr">
        <is>
          <t>Type 1</t>
        </is>
      </c>
    </row>
    <row r="5197">
      <c r="A5197" t="inlineStr">
        <is>
          <t>97khif</t>
        </is>
      </c>
      <c r="B5197" t="inlineStr">
        <is>
          <t>Low-blood sugar, a varying work schedule, and me almost snapping on a coworker</t>
        </is>
      </c>
      <c r="C5197" t="inlineStr">
        <is>
          <t>I should state I have bipolar disorder and type II diabetes. Long story short I do tech support and got stuck on a long call minutes before lunch. I had to call internally for help and almost blew up on the guy who was being nice. But I cannot be doing this. I count calories and eat a banana in the morning and an apple in the evening. I clock in at 8:30 AM and eat breakfast at 7 AM and usually my lunch is at 1:15 which is almost always too far from me. And management will not help me with it (and yet I work for a major hospital). I am angry at myself for being rude to my coworker and I am angry at the situation. Two pieces of fruit a day is not doing it. Is there something more I could do, more filling and will help control my blood sugar to get me through from my first break to lunch? My A1C was like 6 something so it is controlled my doc says, if that helps.</t>
        </is>
      </c>
      <c r="D5197" t="n">
        <v>2</v>
      </c>
      <c r="E5197" t="n">
        <v>11</v>
      </c>
      <c r="F5197">
        <f>HYPERLINK("https://www.reddit.com/r/diabetes/comments/97khif/lowblood_sugar_a_varying_work_schedule_and_me/")</f>
        <v/>
      </c>
      <c r="G5197" t="inlineStr">
        <is>
          <t>2018-08-15 10:58:02</t>
        </is>
      </c>
      <c r="H5197" t="inlineStr">
        <is>
          <t>Type 2</t>
        </is>
      </c>
    </row>
    <row r="5198">
      <c r="A5198" t="inlineStr">
        <is>
          <t>97rkcv</t>
        </is>
      </c>
      <c r="B5198" t="inlineStr">
        <is>
          <t>Type 1 and birth control</t>
        </is>
      </c>
      <c r="C5198" t="inlineStr">
        <is>
          <t>Hi ladies, I started a combination low dose birth control pill about a week ago and my blood sugar has been nuts. It feels like I need way more insulin than normal and it gets up to 300-400 at least once daily, sometimes more (this wasn’t a normal thing for me before). 
My endo isn’t helpful about this topic, I asked him about the best birth control methods for diabetics and he said I just needed to talk to a gynecologist (who has no idea how hormonal bc affects blood sugar). I’m really frustrated and wondering if I should just stop taking it or if anyone has experienced this and if their blood sugar has leveled out after being on the birth control for a while. 
I had a nexplanon implant before this which didn’t seem to affect my blood sugar control but I bled for like 4 months so I had it taken out. I am afraid to try the copper iud because I have really painful periods. Any advice? Thank you!!!</t>
        </is>
      </c>
      <c r="D5198" t="n">
        <v>5</v>
      </c>
      <c r="E5198" t="n">
        <v>16</v>
      </c>
      <c r="F5198">
        <f>HYPERLINK("https://www.reddit.com/r/diabetes/comments/97rkcv/type_1_and_birth_control/")</f>
        <v/>
      </c>
      <c r="G5198" t="inlineStr">
        <is>
          <t>2018-08-16 04:45:26</t>
        </is>
      </c>
      <c r="H5198" t="inlineStr">
        <is>
          <t>Type 1</t>
        </is>
      </c>
    </row>
    <row r="5199">
      <c r="A5199" t="inlineStr">
        <is>
          <t>97rxfu</t>
        </is>
      </c>
      <c r="B5199" t="inlineStr">
        <is>
          <t>Diabetes Controlling Course</t>
        </is>
      </c>
      <c r="C5199" t="inlineStr">
        <is>
          <t xml:space="preserve"> The course provides all the necessary information about the disease of diabetes. The course focuses the diet, exercise, rest and stress management systems for a diabetes patient. The course will guide you to fight with diabetes naturally and how to prevent it naturally. 
# #diabetes #course #disease #Controlling
# #istudy</t>
        </is>
      </c>
      <c r="D5199" t="n">
        <v>0</v>
      </c>
      <c r="E5199" t="n">
        <v>1</v>
      </c>
      <c r="F5199">
        <f>HYPERLINK("https://www.reddit.com/r/diabetes/comments/97rxfu/diabetes_controlling_course/")</f>
        <v/>
      </c>
      <c r="G5199" t="inlineStr">
        <is>
          <t>2018-08-16 05:40:21</t>
        </is>
      </c>
      <c r="H5199" t="inlineStr">
        <is>
          <t>Type 1</t>
        </is>
      </c>
    </row>
    <row r="5200">
      <c r="A5200" t="inlineStr">
        <is>
          <t>97sw63</t>
        </is>
      </c>
      <c r="B5200" t="inlineStr">
        <is>
          <t>Achilles tendon problems -- wondering if related with T1D</t>
        </is>
      </c>
      <c r="C5200" t="inlineStr">
        <is>
          <t>I'm a T1D. Recently after a few days of biking (about one hour a day) I started having burning feeling in my achilles tendons. Fast forward 3 (almost 4 now) weeks, I'm no longer having burning feeling, but I'm having other pain and my tendons are so weak I can't even walk more than 5 minutes. Saw a physio 3 times already, all they can suggest is to rest, which I believe is not helping in my case (I don't think it's getting better for the last 2 weeks at least). Officially my condition is called "tendinosis" (and a few more things), and as far as I can see online for most people it takes 2-3 weeks at most. I'm wondering if the reason why I'm not getting any better (or maybe getting better too slowly) is T1D. Any ideas? Thanks.</t>
        </is>
      </c>
      <c r="D5200" t="n">
        <v>3</v>
      </c>
      <c r="E5200" t="n">
        <v>4</v>
      </c>
      <c r="F5200">
        <f>HYPERLINK("https://www.reddit.com/r/diabetes/comments/97sw63/achilles_tendon_problems_wondering_if_related/")</f>
        <v/>
      </c>
      <c r="G5200" t="inlineStr">
        <is>
          <t>2018-08-16 07:44:47</t>
        </is>
      </c>
      <c r="H5200" t="inlineStr">
        <is>
          <t>Type 1</t>
        </is>
      </c>
    </row>
    <row r="5201">
      <c r="A5201" t="inlineStr">
        <is>
          <t>97uad1</t>
        </is>
      </c>
      <c r="B5201" t="inlineStr">
        <is>
          <t>Freestyle Libre Sensor issue...</t>
        </is>
      </c>
      <c r="C5201" t="inlineStr">
        <is>
          <t>I applied a new Libre sensor to my arm 7.5 hours ago and activated it as usual. I just scanned it for kicks and got a message to "restart the sensor"... and the reader reset to another full 12 hours!!! WTF, anyone else ever get this?</t>
        </is>
      </c>
      <c r="D5201" t="n">
        <v>2</v>
      </c>
      <c r="E5201" t="n">
        <v>2</v>
      </c>
      <c r="F5201">
        <f>HYPERLINK("https://www.reddit.com/r/diabetes/comments/97uad1/freestyle_libre_sensor_issue/")</f>
        <v/>
      </c>
      <c r="G5201" t="inlineStr">
        <is>
          <t>2018-08-16 10:26:13</t>
        </is>
      </c>
      <c r="H5201" t="inlineStr">
        <is>
          <t>Type 2</t>
        </is>
      </c>
    </row>
    <row r="5202">
      <c r="A5202" t="inlineStr">
        <is>
          <t>97vlak</t>
        </is>
      </c>
      <c r="B5202" t="inlineStr">
        <is>
          <t>Wanted: Medtronic Model 715, 722, or 723!</t>
        </is>
      </c>
      <c r="C5202" t="inlineStr">
        <is>
          <t xml:space="preserve">Looking for an older Medtronic model 715, 722, or 723 (723 needs firmware 2.4 or less). I am a T1D and need it for looping! Happy to pay $ or trade my 530G model 751. Please let me know if you have one that you would be willing to donate/sell! </t>
        </is>
      </c>
      <c r="D5202" t="n">
        <v>3</v>
      </c>
      <c r="E5202" t="n">
        <v>4</v>
      </c>
      <c r="F5202">
        <f>HYPERLINK("https://www.reddit.com/r/diabetes/comments/97vlak/wanted_medtronic_model_715_722_or_723/")</f>
        <v/>
      </c>
      <c r="G5202" t="inlineStr">
        <is>
          <t>2018-08-16 12:56:00</t>
        </is>
      </c>
      <c r="H5202" t="inlineStr">
        <is>
          <t>Type 1</t>
        </is>
      </c>
    </row>
    <row r="5203">
      <c r="A5203" t="inlineStr">
        <is>
          <t>97z1if</t>
        </is>
      </c>
      <c r="B5203" t="inlineStr">
        <is>
          <t>Should I get cortisone shots in my shoulder</t>
        </is>
      </c>
      <c r="C5203" t="inlineStr">
        <is>
          <t xml:space="preserve">I successfully reversed my diabetes with a ketogenic diet and fasting. I recently had  a fall and injured my right scapula.   It is incredibly painful and I hed to stop exercise.   I want to stop the pain but I'm afraid of narcotics so my doctor in the shoulder clinic ia going to inject cortisone in the injured area.  Won't this skyrocket my blood sugar.   The doctor doesn't seem too concerned. </t>
        </is>
      </c>
      <c r="D5203" t="n">
        <v>2</v>
      </c>
      <c r="E5203" t="n">
        <v>10</v>
      </c>
      <c r="F5203">
        <f>HYPERLINK("https://www.reddit.com/r/diabetes/comments/97z1if/should_i_get_cortisone_shots_in_my_shoulder/")</f>
        <v/>
      </c>
      <c r="G5203" t="inlineStr">
        <is>
          <t>2018-08-16 20:45:20</t>
        </is>
      </c>
      <c r="H5203" t="inlineStr">
        <is>
          <t>Type 2</t>
        </is>
      </c>
    </row>
    <row r="5204">
      <c r="A5204" t="inlineStr">
        <is>
          <t>983gc5</t>
        </is>
      </c>
      <c r="B5204" t="inlineStr">
        <is>
          <t>I see your 5.7 and raise you one.</t>
        </is>
      </c>
      <c r="C5204" t="inlineStr">
        <is>
          <t xml:space="preserve">Just got my A1C today and very happy to report 5.6!
Was 6.2 back in May and around the end of June developed a pre-ulser under my big toe. At that time I stopped ALL simple carbs and basically went keto except for the high fat.
Now more on a low glycemic diet with no beef or pork.
The frustration is that I have only lost 10 lbs since May. </t>
        </is>
      </c>
      <c r="D5204" t="n">
        <v>8</v>
      </c>
      <c r="E5204" t="n">
        <v>3</v>
      </c>
      <c r="F5204">
        <f>HYPERLINK("https://www.reddit.com/r/diabetes/comments/983gc5/i_see_your_57_and_raise_you_one/")</f>
        <v/>
      </c>
      <c r="G5204" t="inlineStr">
        <is>
          <t>2018-08-17 08:58:30</t>
        </is>
      </c>
      <c r="H5204" t="inlineStr">
        <is>
          <t>Type 2</t>
        </is>
      </c>
    </row>
    <row r="5205">
      <c r="A5205" t="inlineStr">
        <is>
          <t>9841hi</t>
        </is>
      </c>
      <c r="B5205" t="inlineStr">
        <is>
          <t>Advice needed</t>
        </is>
      </c>
      <c r="C5205" t="inlineStr">
        <is>
          <t>I was diagnosed as a T1 on 8/8/18, and started insulin Monday 8/13/18. I have yet to hit my target range of 70-120, and I’m running a 207 average. I’m testing fasting and 2 hours after meals, 10 units of Lantus, and Humalog on a sliding scale. I’ve also cut out most carbs and sugars. I don’t see my diabetes educator until 9/4. Am I doing something wrong? Why am I still running so high?</t>
        </is>
      </c>
      <c r="D5205" t="n">
        <v>3</v>
      </c>
      <c r="E5205" t="n">
        <v>21</v>
      </c>
      <c r="F5205">
        <f>HYPERLINK("https://www.reddit.com/r/diabetes/comments/9841hi/advice_needed/")</f>
        <v/>
      </c>
      <c r="G5205" t="inlineStr">
        <is>
          <t>2018-08-17 10:07:20</t>
        </is>
      </c>
      <c r="H5205" t="inlineStr">
        <is>
          <t>Type 1</t>
        </is>
      </c>
    </row>
    <row r="5206">
      <c r="A5206" t="inlineStr">
        <is>
          <t>985ydf</t>
        </is>
      </c>
      <c r="B5206" t="inlineStr">
        <is>
          <t>Has your MiniMed™ 630G SmartGuard lowered your A1C?</t>
        </is>
      </c>
      <c r="C5206" t="inlineStr">
        <is>
          <t>I sometimes feel like I wish it would be more aggressive and go for a lower number. Your thoughts?</t>
        </is>
      </c>
      <c r="D5206" t="n">
        <v>1</v>
      </c>
      <c r="E5206" t="n">
        <v>3</v>
      </c>
      <c r="F5206">
        <f>HYPERLINK("https://www.reddit.com/r/diabetes/comments/985ydf/has_your_minimed_630g_smartguard_lowered_your_a1c/")</f>
        <v/>
      </c>
      <c r="G5206" t="inlineStr">
        <is>
          <t>2018-08-17 13:57:47</t>
        </is>
      </c>
      <c r="H5206" t="inlineStr">
        <is>
          <t>Type 1</t>
        </is>
      </c>
    </row>
    <row r="5207">
      <c r="A5207" t="inlineStr">
        <is>
          <t>986sqv</t>
        </is>
      </c>
      <c r="B5207" t="inlineStr">
        <is>
          <t>Question about Dexcom -- re: switching to a new transmitter for first time</t>
        </is>
      </c>
      <c r="C5207" t="inlineStr">
        <is>
          <t>I've not switched trainsmitters before now. I've had the G5 for 3 months. I just got the 2-week, low-battery warning. 
The new G6 version arrived yesterday. I am going to start using that tomorrow, before my endo appt on Monday. 
Questions about switching:
* Do I use a separate iPhone app for the G6?
* For the Clarity App, we set it up so the endo and CDE can pull up my G5 data whenever they feel like it. If I want to set that up again, do I have to coordinate a new code with the endo's office on Monday?
* I would like to stick the old G5 on my partner for the remaining week. One of his elderly family members just got a G5 this week, too.  So, he should understand how it works. Can I "un-pair" my old G5 transmitter from my phone and transfer it to an app on his phone, to pair for the remaining time? And nobody will know or care? (Yes, I have an extra G5 sensor.)</t>
        </is>
      </c>
      <c r="D5207" t="n">
        <v>1</v>
      </c>
      <c r="E5207" t="n">
        <v>2</v>
      </c>
      <c r="F5207">
        <f>HYPERLINK("https://www.reddit.com/r/diabetes/comments/986sqv/question_about_dexcom_re_switching_to_a_new/")</f>
        <v/>
      </c>
      <c r="G5207" t="inlineStr">
        <is>
          <t>2018-08-17 15:48:40</t>
        </is>
      </c>
      <c r="H5207" t="inlineStr">
        <is>
          <t>Type 1</t>
        </is>
      </c>
    </row>
    <row r="5208">
      <c r="A5208" t="inlineStr">
        <is>
          <t>987054</t>
        </is>
      </c>
      <c r="B5208" t="inlineStr">
        <is>
          <t>Am I being to hard on myself?</t>
        </is>
      </c>
      <c r="C5208" t="inlineStr">
        <is>
          <t xml:space="preserve">Okay week one of being a diabetic. Background: I was on a weight loss journey hit my mid point of having lost about 130 pounds. Stopped in at the doctors for weigh in and blood tests and discovered I was diabetic (BG 358, A1C 11). I am a teacher, went back to school and started medication the same week. I has been hard but to top it all off I can only get my BG down in the safe range before bed. During the day I bounce between 180 and 132, even on a veggie (no starches) day. Am I just being paranoid? I could not get an appointment with an educator or doctor until September. </t>
        </is>
      </c>
      <c r="D5208" t="n">
        <v>1</v>
      </c>
      <c r="E5208" t="n">
        <v>1</v>
      </c>
      <c r="F5208">
        <f>HYPERLINK("https://www.reddit.com/r/diabetes/comments/987054/am_i_being_to_hard_on_myself/")</f>
        <v/>
      </c>
      <c r="G5208" t="inlineStr">
        <is>
          <t>2018-08-17 16:16:50</t>
        </is>
      </c>
      <c r="H5208" t="inlineStr">
        <is>
          <t>Type 2</t>
        </is>
      </c>
    </row>
    <row r="5209">
      <c r="A5209" t="inlineStr">
        <is>
          <t>98am9j</t>
        </is>
      </c>
      <c r="B5209" t="inlineStr">
        <is>
          <t>Long acting insulin.</t>
        </is>
      </c>
      <c r="C5209" t="inlineStr">
        <is>
          <t>So last night I just passed out without taking my long acting insulin. It is now the morning and I do not know what to do.</t>
        </is>
      </c>
      <c r="D5209" t="n">
        <v>2</v>
      </c>
      <c r="E5209" t="n">
        <v>8</v>
      </c>
      <c r="F5209">
        <f>HYPERLINK("https://www.reddit.com/r/diabetes/comments/98am9j/long_acting_insulin/")</f>
        <v/>
      </c>
      <c r="G5209" t="inlineStr">
        <is>
          <t>2018-08-18 02:59:17</t>
        </is>
      </c>
      <c r="H5209" t="inlineStr">
        <is>
          <t>Type 1</t>
        </is>
      </c>
    </row>
    <row r="5210">
      <c r="A5210" t="inlineStr">
        <is>
          <t>98axse</t>
        </is>
      </c>
      <c r="B5210" t="inlineStr">
        <is>
          <t>My HB A1C went down from 12% to 6.3% in 3 months, my results are coming in and I have not been caring about my blood sugar level for 2 months out of these 3, why does diabetes cause depression?</t>
        </is>
      </c>
      <c r="C5210" t="inlineStr">
        <is>
          <t xml:space="preserve">My triglycerides are out of range, my HBA1C test was good, but I have been taken Metformin daily for 3 months, 500 mg twice daily. 
I lost my job at the start of July. And the downward spiral of emotions started. I ate everything, McD, and ice cream, fruit, popcorn, I’ve been eating bread. 
My advice to anyone who started with 12% and is depressed, follow diet doctor foods and recipes. If you are not a foody. Just shove yourself with raw vegetables most of your time for 3 months. You can definitely eat tuna, and chicken, made by yourself—ideally. 
Things I changed: diet pop, exercise a little bit more, try not to eat anything after 8, pop reduced to 2 table spoons once or twice a month. 
I really couldn’t afford to check my BG with $1 strips, so I stopped checking all together. I was thinking of making YT videos and recording my data like that and possibly seeing what works best for me. 
Help me get rid of medicines. They are pretty cheap, but I can’t afford checking my BG. I know I’m fucked by my BG, but fuck it. </t>
        </is>
      </c>
      <c r="D5210" t="n">
        <v>2</v>
      </c>
      <c r="E5210" t="n">
        <v>7</v>
      </c>
      <c r="F5210">
        <f>HYPERLINK("https://www.reddit.com/r/diabetes/comments/98axse/my_hb_a1c_went_down_from_12_to_63_in_3_months_my/")</f>
        <v/>
      </c>
      <c r="G5210" t="inlineStr">
        <is>
          <t>2018-08-18 04:09:06</t>
        </is>
      </c>
      <c r="H5210" t="inlineStr">
        <is>
          <t>Type 2</t>
        </is>
      </c>
    </row>
    <row r="5211">
      <c r="A5211" t="inlineStr">
        <is>
          <t>98dxpe</t>
        </is>
      </c>
      <c r="B5211" t="inlineStr">
        <is>
          <t>Does anybody else have endo anxiety?</t>
        </is>
      </c>
      <c r="C5211" t="inlineStr">
        <is>
          <t>I absolutely hate going to endo appointments. I'm not the best diabetic. I forget to bolus sometimes, I don't always check my blood sugar before eating, sometimes I'll lie to my parents about my bg if it's too high and I don't want a lecture. But it always comes back to bite me. If my a1c is too high, then they're going to know that I lied, and everybody's going to be mad at me, and then I won't be able to avoid the stupid lectures. It's just so hard and I don't know what to do. :/</t>
        </is>
      </c>
      <c r="D5211" t="n">
        <v>19</v>
      </c>
      <c r="E5211" t="n">
        <v>7</v>
      </c>
      <c r="F5211">
        <f>HYPERLINK("https://www.reddit.com/r/diabetes/comments/98dxpe/does_anybody_else_have_endo_anxiety/")</f>
        <v/>
      </c>
      <c r="G5211" t="inlineStr">
        <is>
          <t>2018-08-18 11:46:03</t>
        </is>
      </c>
      <c r="H5211" t="inlineStr">
        <is>
          <t>Type 1</t>
        </is>
      </c>
    </row>
    <row r="5212">
      <c r="A5212" t="inlineStr">
        <is>
          <t>98dy9s</t>
        </is>
      </c>
      <c r="B5212" t="inlineStr">
        <is>
          <t>I usually don’t act too stupid when I’m low...</t>
        </is>
      </c>
      <c r="C5212" t="inlineStr">
        <is>
          <t>...but 46 mg/dL me almost took 14u of long acting insulin instead of 12u of rapid acting. That could’ve been bad.</t>
        </is>
      </c>
      <c r="D5212" t="n">
        <v>4</v>
      </c>
      <c r="E5212" t="n">
        <v>6</v>
      </c>
      <c r="F5212">
        <f>HYPERLINK("https://www.reddit.com/r/diabetes/comments/98dy9s/i_usually_dont_act_too_stupid_when_im_low/")</f>
        <v/>
      </c>
      <c r="G5212" t="inlineStr">
        <is>
          <t>2018-08-18 11:48:01</t>
        </is>
      </c>
      <c r="H5212" t="inlineStr">
        <is>
          <t>Type 1</t>
        </is>
      </c>
    </row>
    <row r="5213">
      <c r="A5213" t="inlineStr">
        <is>
          <t>98ebwp</t>
        </is>
      </c>
      <c r="B5213" t="inlineStr">
        <is>
          <t>Can high fat diet increase triglycerides from 1.28 mmol/L to 2.59 mmol/L in 3 months?</t>
        </is>
      </c>
      <c r="C5213" t="inlineStr">
        <is>
          <t xml:space="preserve">It seems my Total Cholesterol/HDL ratio is high as well, 4.9 mmol/L but it was 5.4 mmol/L 3 months ago.   
On what would you recommend if I have to keep my triglycerides level down? If it can increase so dramatically in 3 months. It can be seriously dangerous in the next three months. Idk? </t>
        </is>
      </c>
      <c r="D5213" t="n">
        <v>3</v>
      </c>
      <c r="E5213" t="n">
        <v>1</v>
      </c>
      <c r="F5213">
        <f>HYPERLINK("https://www.reddit.com/r/diabetes/comments/98ebwp/can_high_fat_diet_increase_triglycerides_from_128/")</f>
        <v/>
      </c>
      <c r="G5213" t="inlineStr">
        <is>
          <t>2018-08-18 12:39:23</t>
        </is>
      </c>
      <c r="H5213" t="inlineStr">
        <is>
          <t>Type 2</t>
        </is>
      </c>
    </row>
    <row r="5214">
      <c r="A5214" t="inlineStr">
        <is>
          <t>98fcea</t>
        </is>
      </c>
      <c r="B5214" t="inlineStr">
        <is>
          <t>Vapes &amp;amp; Sugar in-take?</t>
        </is>
      </c>
      <c r="C5214" t="inlineStr">
        <is>
          <t>Anyone know if vapes increase your blood glucose levels? 
I have type 2 and am quitting cigarettes Monday and considering vaping to help me quit but am concerned about the sugar intake from the vape juice. I’ve noticed all of the juices have glycerine. Obviously the fruity flavors would be worse but don’t want to take in unneeded extra sugar.</t>
        </is>
      </c>
      <c r="D5214" t="n">
        <v>1</v>
      </c>
      <c r="E5214" t="n">
        <v>2</v>
      </c>
      <c r="F5214">
        <f>HYPERLINK("https://www.reddit.com/r/diabetes/comments/98fcea/vapes_sugar_intake/")</f>
        <v/>
      </c>
      <c r="G5214" t="inlineStr">
        <is>
          <t>2018-08-18 15:01:22</t>
        </is>
      </c>
      <c r="H5214" t="inlineStr">
        <is>
          <t>Type 2</t>
        </is>
      </c>
    </row>
    <row r="5215">
      <c r="A5215" t="inlineStr">
        <is>
          <t>98g42e</t>
        </is>
      </c>
      <c r="B5215" t="inlineStr">
        <is>
          <t>Do you refrigarate your insulin?</t>
        </is>
      </c>
      <c r="C5215" t="inlineStr">
        <is>
          <t>I've always struggled with keeping my BS under control. I'm 38 now, and I was diagnosed when I was 5, so I've been diabetic for 33 years. I've noticed, at times, my insulin really seems to have minimal effect. My blood sugar a few days ago was at 25.6 mmol/l, so I took 25 units of Novorapid. An hour later it was at 24.2 mmol/l, and another hour later it was 23.8 mmol/l. It continued to creep down a minimal amount at a time. My understanding is that it is 1 unit of Novorapid for every 10 mmol/l and never more than 3 units per shot. A few days later I took 6 units of Novorapid with some serial in the morning for breakfast with a BS reading of 8.6 mmol/l, and I crashed to 3.2 mmol/l an hour and a half later!! The main difference here, my Novorapid was a new pen straight from the fridge. I keep both my insulin pens in my bag while in use and only store insulin pens in the fridge, and I'm really beginning to wonder this is an issue?!
Do you keep your insulin pens in the fridge?</t>
        </is>
      </c>
      <c r="D5215" t="n">
        <v>4</v>
      </c>
      <c r="E5215" t="n">
        <v>18</v>
      </c>
      <c r="F5215">
        <f>HYPERLINK("https://www.reddit.com/r/diabetes/comments/98g42e/do_you_refrigarate_your_insulin/")</f>
        <v/>
      </c>
      <c r="G5215" t="inlineStr">
        <is>
          <t>2018-08-18 16:59:19</t>
        </is>
      </c>
      <c r="H5215" t="inlineStr">
        <is>
          <t>Type 1</t>
        </is>
      </c>
    </row>
    <row r="5216">
      <c r="A5216" t="inlineStr">
        <is>
          <t>98h5m9</t>
        </is>
      </c>
      <c r="B5216" t="inlineStr">
        <is>
          <t>Type 1 Diagnosis Age</t>
        </is>
      </c>
      <c r="C5216" t="inlineStr">
        <is>
          <t>I was diagnosed at 24 with type 1 diabetes. How many others on this thread were diagnosed T1 later in life? What have your doctors said to you about it?</t>
        </is>
      </c>
      <c r="D5216" t="n">
        <v>8</v>
      </c>
      <c r="E5216" t="n">
        <v>47</v>
      </c>
      <c r="F5216">
        <f>HYPERLINK("https://www.reddit.com/r/diabetes/comments/98h5m9/type_1_diagnosis_age/")</f>
        <v/>
      </c>
      <c r="G5216" t="inlineStr">
        <is>
          <t>2018-08-18 19:46:31</t>
        </is>
      </c>
      <c r="H5216" t="inlineStr">
        <is>
          <t>Type 1</t>
        </is>
      </c>
    </row>
    <row r="5217">
      <c r="A5217" t="inlineStr">
        <is>
          <t>98o9ya</t>
        </is>
      </c>
      <c r="B5217" t="inlineStr">
        <is>
          <t>Dexcom G-5 signal loss</t>
        </is>
      </c>
      <c r="C5217" t="inlineStr">
        <is>
          <t xml:space="preserve">My Dexcom keeps giving me signal loss even though my transmitter/phone is right next to me. It also gives me three question marks a couple times a week. Any advice? </t>
        </is>
      </c>
      <c r="D5217" t="n">
        <v>2</v>
      </c>
      <c r="E5217" t="n">
        <v>3</v>
      </c>
      <c r="F5217">
        <f>HYPERLINK("https://www.reddit.com/r/diabetes/comments/98o9ya/dexcom_g5_signal_loss/")</f>
        <v/>
      </c>
      <c r="G5217" t="inlineStr">
        <is>
          <t>2018-08-19 15:39:26</t>
        </is>
      </c>
      <c r="H5217" t="inlineStr">
        <is>
          <t>Type 1</t>
        </is>
      </c>
    </row>
    <row r="5218">
      <c r="A5218" t="inlineStr">
        <is>
          <t>98ohfs</t>
        </is>
      </c>
      <c r="B5218" t="inlineStr">
        <is>
          <t>Dexcom G6 and airports</t>
        </is>
      </c>
      <c r="C5218" t="inlineStr">
        <is>
          <t>In an introductory video for the Dexcom G6, it was stated that if I was wearing a Dexcom G6 sensor, I should forego the body scan at the airport and, instead, ask for a full body pat down. Additionally, instead of letting my sensors go through the x-ray machine, I should request the TSA personnel to examine the items instead.
What has been your experience? Have you asked the TSA staff for pat downs outside of the full body scanners?</t>
        </is>
      </c>
      <c r="D5218" t="n">
        <v>3</v>
      </c>
      <c r="E5218" t="n">
        <v>7</v>
      </c>
      <c r="F5218">
        <f>HYPERLINK("https://www.reddit.com/r/diabetes/comments/98ohfs/dexcom_g6_and_airports/")</f>
        <v/>
      </c>
      <c r="G5218" t="inlineStr">
        <is>
          <t>2018-08-19 16:08:28</t>
        </is>
      </c>
      <c r="H5218" t="inlineStr">
        <is>
          <t>Type 1</t>
        </is>
      </c>
    </row>
    <row r="5219">
      <c r="A5219" t="inlineStr">
        <is>
          <t>98s7us</t>
        </is>
      </c>
      <c r="B5219" t="inlineStr">
        <is>
          <t>Usability research regarding accessoire for an insulin-pump</t>
        </is>
      </c>
      <c r="C5219" t="inlineStr">
        <is>
          <t>Dear redditors of r/diabetes,
my name is Alexander Arendt and I am working as a project manager for the German company Use-Lab GmbH, settled in Burgsteinfurt, Northrine-Westphalia. We are conducting manufacturer-independent usability studies since 2001 and are currently looking for users of insulin-pumps to participate in a usability study regarding an accessory for an insulin-pump. This research aims to improve the usability and, thereby, the (patient-)safety of said accessory. You will receive more details in individual conversation with me.
One session in our research will take a maximum of one hour of your time. Renumeration will be discussed individually.
You will be required to conduct a series of tasks concerning the accessory **on site.**
You will not be required to apply insulin, or any other medicine, to you or anyone else. Neither will you be required to stick yourself or anyone else with a needle.
You will only be able to participate in this study, if you live in the vicinity of Burgsteinfurt near Münster, Munich, Berlin, or Frankfurt (Main).
Dutch people with diabetes are welcome, too, seeing how Burgsteinfurt is close to the Dutch border. Being able to speak German is required, though.
To contact me in my office, you can use the following contact details:
E-mail: [alexander.arendt@use-lab.com](mailto:alexander.arendt@use-lab.com)
Tel.: 0049 2551 962483
If you want to know more about our company, see r/http://www.use-lab.com/en/
We are looking forward to your participation, thanks a lot in advance. Please, feel free to contact anyone you know who might be applicable to this study.
Kind regards,
Alexander Arendt, M.Sc.
Project manager @ Use-Lab GmbH</t>
        </is>
      </c>
      <c r="D5219" t="n">
        <v>1</v>
      </c>
      <c r="E5219" t="n">
        <v>0</v>
      </c>
      <c r="F5219">
        <f>HYPERLINK("https://www.reddit.com/r/diabetes/comments/98s7us/usability_research_regarding_accessoire_for_an/")</f>
        <v/>
      </c>
      <c r="G5219" t="inlineStr">
        <is>
          <t>2018-08-20 02:44:18</t>
        </is>
      </c>
      <c r="H5219" t="inlineStr">
        <is>
          <t>Type 1</t>
        </is>
      </c>
    </row>
    <row r="5220">
      <c r="A5220" t="inlineStr">
        <is>
          <t>98spjy</t>
        </is>
      </c>
      <c r="B5220" t="inlineStr">
        <is>
          <t>Usability research for an insulin-pump</t>
        </is>
      </c>
      <c r="C5220" t="inlineStr">
        <is>
          <t>Dear redditors of [r/diabetes](/r/diabetes),
my name is Alexander Arendt and I work for Use-Lab, a consultant for medical device manufacturers. We test medical devices to ensure that real people can use them. To do these tests we invite people to come try out a device and tell us what they think. 
Right now we are planning a study about an insulin pump. We are looking for insulin pump users to participate in the Berlin, Frankfurt am Main, and München metro areas and in Burgsteinfurt near Münster (where our offices are located).
**What's in it for you?**
You will help make a medical device safer and easier to use. Your feedback will go directly to the manufacturer.
To thank you for your time, we are also offering a **compensation of 50€.**
**How long will it take?**
We will ask you to attend a **1-hour** session.
Sessions will be available throughout each day from 3 September to 18 September, so you can choose a time that works for you.
**What else do you need to know?**
· You **will not** have to apply insulin to yourself.
· You **will not** have to stick yourself with a needle.
**How can you get more information?**
You can contact me by e-mail or phone:
E-mail: [alexander.arendt@use-lab.com](mailto:alexander.arendt@use-lab.com)
Tel.: 0049 2551 962483
Or leave a reply here and I will get back to you as quickly as possible.
If you want to know more about our company, please check us out online at:
[http://www.use-lab.com](http://www.use-lab.com/en/)
Thanks,
Alexander</t>
        </is>
      </c>
      <c r="D5220" t="n">
        <v>4</v>
      </c>
      <c r="E5220" t="n">
        <v>0</v>
      </c>
      <c r="F5220">
        <f>HYPERLINK("https://www.reddit.com/r/diabetes/comments/98spjy/usability_research_for_an_insulinpump/")</f>
        <v/>
      </c>
      <c r="G5220" t="inlineStr">
        <is>
          <t>2018-08-20 04:16:36</t>
        </is>
      </c>
      <c r="H5220" t="inlineStr">
        <is>
          <t>Type 1</t>
        </is>
      </c>
    </row>
    <row r="5221">
      <c r="A5221" t="inlineStr">
        <is>
          <t>98ubnc</t>
        </is>
      </c>
      <c r="B5221" t="inlineStr">
        <is>
          <t>Type One Diabetes at University</t>
        </is>
      </c>
      <c r="C5221" t="inlineStr">
        <is>
          <t>Hi,
I am researching the support students with type one diabetes currently receive during their transition to University and how it can be improved. If you can help,  live in the UK and are currently a student (or have been in the past few years) please follow the link below and fill out the 10-minute survey. 
 [Improving the support given to students with type one diabetes during their transition to University ](https://docs.google.com/forms/d/e/1FAIpQLSeeCHMIthZ7677XTr-Y-IVs2S78DkYOJ9bPnboG_P-BZaO_Mw/viewform?c=0&amp;amp;w=1&amp;amp;usp=mail_form_link) 
Thank you!</t>
        </is>
      </c>
      <c r="D5221" t="n">
        <v>2</v>
      </c>
      <c r="E5221" t="n">
        <v>0</v>
      </c>
      <c r="F5221">
        <f>HYPERLINK("https://www.reddit.com/r/diabetes/comments/98ubnc/type_one_diabetes_at_university/")</f>
        <v/>
      </c>
      <c r="G5221" t="inlineStr">
        <is>
          <t>2018-08-20 08:01:22</t>
        </is>
      </c>
      <c r="H5221" t="inlineStr">
        <is>
          <t>Type 1</t>
        </is>
      </c>
    </row>
    <row r="5222">
      <c r="A5222" t="inlineStr">
        <is>
          <t>98ugnz</t>
        </is>
      </c>
      <c r="B5222" t="inlineStr">
        <is>
          <t>Looking for advice on how to do this whole "diabetes" thing right</t>
        </is>
      </c>
      <c r="C5222" t="inlineStr">
        <is>
          <t>Hello, all! I'm T1 for the last 20 years and have always struggled with being a "good diabetic". Every year or so, I get on a kick where I try to do better in terms of consistent testing, eating better, etc. In the last couple of weeks, I've been trying to decrease the amount of carbs I consume, or at least eat "better" carbs (fruit instead of bread, that sort of thing). I'm seeking advice on the types of food you eat, especially as I transition from loads of bread to little or none at all. And any advice in general on how to stay on the straight and narrow would also be most welcome.
P.S. - This is my first post to Reddit, so please be gentle.
tl;dr - Bad diabetic trying to become a better diabetic, looking for stories on how you did it.</t>
        </is>
      </c>
      <c r="D5222" t="n">
        <v>7</v>
      </c>
      <c r="E5222" t="n">
        <v>9</v>
      </c>
      <c r="F5222">
        <f>HYPERLINK("https://www.reddit.com/r/diabetes/comments/98ugnz/looking_for_advice_on_how_to_do_this_whole/")</f>
        <v/>
      </c>
      <c r="G5222" t="inlineStr">
        <is>
          <t>2018-08-20 08:16:36</t>
        </is>
      </c>
      <c r="H5222" t="inlineStr">
        <is>
          <t>Type 1</t>
        </is>
      </c>
    </row>
    <row r="5223">
      <c r="A5223" t="inlineStr">
        <is>
          <t>9939i7</t>
        </is>
      </c>
      <c r="B5223" t="inlineStr">
        <is>
          <t>Dexcom G6 &amp;amp; xDrip+</t>
        </is>
      </c>
      <c r="C5223" t="inlineStr">
        <is>
          <t>Hi guys. Is there any way to start and use a G6 sensor with xDrip+?</t>
        </is>
      </c>
      <c r="D5223" t="n">
        <v>7</v>
      </c>
      <c r="E5223" t="n">
        <v>2</v>
      </c>
      <c r="F5223">
        <f>HYPERLINK("https://www.reddit.com/r/diabetes/comments/9939i7/dexcom_g6_xdrip/")</f>
        <v/>
      </c>
      <c r="G5223" t="inlineStr">
        <is>
          <t>2018-08-21 06:45:58</t>
        </is>
      </c>
      <c r="H5223" t="inlineStr">
        <is>
          <t>Type 1</t>
        </is>
      </c>
    </row>
    <row r="5224">
      <c r="A5224" t="inlineStr">
        <is>
          <t>994126</t>
        </is>
      </c>
      <c r="B5224" t="inlineStr">
        <is>
          <t>Tips for managing diabetes while living alone? No CGM.</t>
        </is>
      </c>
      <c r="C5224" t="inlineStr">
        <is>
          <t xml:space="preserve">Next year I'll start college and I have to live alone. I don't have a CGM, only the Libre (cannot get a Blucon or MiaoMiao). Obviously I'm anxious about having lows while I'm sleeping (this is obviously avoidable if I cut carbs at dinner, which I'll do). Do you have any other pro tips? Cheers! </t>
        </is>
      </c>
      <c r="D5224" t="n">
        <v>7</v>
      </c>
      <c r="E5224" t="n">
        <v>37</v>
      </c>
      <c r="F5224">
        <f>HYPERLINK("https://www.reddit.com/r/diabetes/comments/994126/tips_for_managing_diabetes_while_living_alone_no/")</f>
        <v/>
      </c>
      <c r="G5224" t="inlineStr">
        <is>
          <t>2018-08-21 08:19:01</t>
        </is>
      </c>
      <c r="H5224" t="inlineStr">
        <is>
          <t>Type 1</t>
        </is>
      </c>
    </row>
    <row r="5225">
      <c r="A5225" t="inlineStr">
        <is>
          <t>9973cy</t>
        </is>
      </c>
      <c r="B5225" t="inlineStr">
        <is>
          <t>Diabetes T1 with CGM...after 20 years it is still confusing...</t>
        </is>
      </c>
      <c r="C5225" t="inlineStr">
        <is>
          <t>Since 3 months i have a CGM in combination with a Minimed Pump. Minimed and the hospital changed my basal pattern.
I'm still getting confused why my blood sugar keeps getting higher and higher when i didn't eat anything after dinner. Any idea's? Basal Pattern from 18:00 - 24:00 = 0.750 E/h 
&amp;amp;#x200B;</t>
        </is>
      </c>
      <c r="D5225" t="n">
        <v>0</v>
      </c>
      <c r="E5225" t="n">
        <v>6</v>
      </c>
      <c r="F5225">
        <f>HYPERLINK("https://www.reddit.com/r/diabetes/comments/9973cy/diabetes_t1_with_cgmafter_20_years_it_is_still/")</f>
        <v/>
      </c>
      <c r="G5225" t="inlineStr">
        <is>
          <t>2018-08-21 14:12:55</t>
        </is>
      </c>
      <c r="H5225" t="inlineStr">
        <is>
          <t>Type 1</t>
        </is>
      </c>
    </row>
    <row r="5226">
      <c r="A5226" t="inlineStr">
        <is>
          <t>999geg</t>
        </is>
      </c>
      <c r="B5226" t="inlineStr">
        <is>
          <t>Low Blood Sugar Help</t>
        </is>
      </c>
      <c r="C5226" t="inlineStr">
        <is>
          <t xml:space="preserve">Does any ever have a long term low blood sugar? I had a meal around 5 pm glucose was at 120 and took my insulin. Dropped to 68 and an hour later at 78. Now 9 pm and I’m at 52. I’ve drank orange juice and I’ve even had a snack with no added insulin. I’m on a pump and my sugar is controlled well, usually not abnormalities but sometimes I have nights like this. Any advice or explanation would be great. </t>
        </is>
      </c>
      <c r="D5226" t="n">
        <v>1</v>
      </c>
      <c r="E5226" t="n">
        <v>0</v>
      </c>
      <c r="F5226">
        <f>HYPERLINK("https://www.reddit.com/r/diabetes/comments/999geg/low_blood_sugar_help/")</f>
        <v/>
      </c>
      <c r="G5226" t="inlineStr">
        <is>
          <t>2018-08-21 19:20:56</t>
        </is>
      </c>
      <c r="H5226" t="inlineStr">
        <is>
          <t>Type 1</t>
        </is>
      </c>
    </row>
    <row r="5227">
      <c r="A5227" t="inlineStr">
        <is>
          <t>999ixl</t>
        </is>
      </c>
      <c r="B5227" t="inlineStr">
        <is>
          <t>The love of my life is a type 1 diabetic and I need advice please.</t>
        </is>
      </c>
      <c r="C5227" t="inlineStr">
        <is>
          <t>Every blue moon we mess up with my loves insulin and we have 2 years without incident but Sunday his R ran out and we dont get paid until Thursday, he is trying to use the N to help lower his blood sugar but without R we haven't been successful at keeping his sugars under 215.  Does anyone know of any program that can help get a couple of days of insulin until we ge TV paid on Thursday.  I called the pharmacy and they aren't aware of weather or not any program like this exists.  Thank you</t>
        </is>
      </c>
      <c r="D5227" t="n">
        <v>4</v>
      </c>
      <c r="E5227" t="n">
        <v>13</v>
      </c>
      <c r="F5227">
        <f>HYPERLINK("https://www.reddit.com/r/diabetes/comments/999ixl/the_love_of_my_life_is_a_type_1_diabetic_and_i/")</f>
        <v/>
      </c>
      <c r="G5227" t="inlineStr">
        <is>
          <t>2018-08-21 19:30:55</t>
        </is>
      </c>
      <c r="H5227" t="inlineStr">
        <is>
          <t>Type 1</t>
        </is>
      </c>
    </row>
    <row r="5228">
      <c r="A5228" t="inlineStr">
        <is>
          <t>99ayg7</t>
        </is>
      </c>
      <c r="B5228" t="inlineStr">
        <is>
          <t>Diabetes and constipation</t>
        </is>
      </c>
      <c r="C5228" t="inlineStr">
        <is>
          <t>I've noticed that I have this problem of constipation, particularly when my numbers are in the range (\~80 to \~140).  Anyone else facing this problem?  Any suggestions on what I can do to get the shit out of me :)?  I believe my fiber/protein intake is sufficient, though I'm not on any particular type of diet.</t>
        </is>
      </c>
      <c r="D5228" t="n">
        <v>3</v>
      </c>
      <c r="E5228" t="n">
        <v>9</v>
      </c>
      <c r="F5228">
        <f>HYPERLINK("https://www.reddit.com/r/diabetes/comments/99ayg7/diabetes_and_constipation/")</f>
        <v/>
      </c>
      <c r="G5228" t="inlineStr">
        <is>
          <t>2018-08-21 23:23:15</t>
        </is>
      </c>
      <c r="H5228" t="inlineStr">
        <is>
          <t>Type 1</t>
        </is>
      </c>
    </row>
    <row r="5229">
      <c r="A5229" t="inlineStr">
        <is>
          <t>99e40j</t>
        </is>
      </c>
      <c r="B5229" t="inlineStr">
        <is>
          <t>Tandem t:slim X2 Update?</t>
        </is>
      </c>
      <c r="C5229" t="inlineStr">
        <is>
          <t>I'm not sure if anyone has been able to successfully update their t:slim X2 pump yet to include the predictive low glucose suspend and Dexcom G6 integration but it appears the update process is different than the Dexcom G5 update. For the G5 update, a code was emailed out that allowed you to install the update; however, this time you must submit a request online and then a prescription is required from your doctor. Once the prescription is received you have to take an online training class and then you should be able to update the pump without a special code.
&amp;amp;#x200B;
I just submitted my request and am waiting for the prescription to be approved and processed so if anyone has gotten past this point, feel free to chime in. The link, which includes directions, is below:
&amp;amp;#x200B;
[https://www.tandemdiabetes.com/products/x2-update](https://www.tandemdiabetes.com/products/x2-update)</t>
        </is>
      </c>
      <c r="D5229" t="n">
        <v>4</v>
      </c>
      <c r="E5229" t="n">
        <v>2</v>
      </c>
      <c r="F5229">
        <f>HYPERLINK("https://www.reddit.com/r/diabetes/comments/99e40j/tandem_tslim_x2_update/")</f>
        <v/>
      </c>
      <c r="G5229" t="inlineStr">
        <is>
          <t>2018-08-22 08:07:03</t>
        </is>
      </c>
      <c r="H5229" t="inlineStr">
        <is>
          <t>Type 1</t>
        </is>
      </c>
    </row>
    <row r="5230">
      <c r="A5230" t="inlineStr">
        <is>
          <t>99ev3x</t>
        </is>
      </c>
      <c r="B5230" t="inlineStr">
        <is>
          <t>Active Insulin Time</t>
        </is>
      </c>
      <c r="C5230" t="inlineStr">
        <is>
          <t xml:space="preserve">How long does insulin stay in your system? My doctor said it is usually around 3.5/4 hours, but I am seeing that insulin is still going strong at 4 hours in and can sometimes still be impacting my blood sugar up to 5 hours after dosing. I am using Novolog via an insulin pump. I have a CGM which helps me observe these trends. 
&amp;amp;#x200B;
What are you all seeing? I know this is different for everyone. </t>
        </is>
      </c>
      <c r="D5230" t="n">
        <v>6</v>
      </c>
      <c r="E5230" t="n">
        <v>5</v>
      </c>
      <c r="F5230">
        <f>HYPERLINK("https://www.reddit.com/r/diabetes/comments/99ev3x/active_insulin_time/")</f>
        <v/>
      </c>
      <c r="G5230" t="inlineStr">
        <is>
          <t>2018-08-22 09:36:12</t>
        </is>
      </c>
      <c r="H5230" t="inlineStr">
        <is>
          <t>Type 1</t>
        </is>
      </c>
    </row>
    <row r="5231">
      <c r="A5231" t="inlineStr">
        <is>
          <t>99hvp5</t>
        </is>
      </c>
      <c r="B5231" t="inlineStr">
        <is>
          <t>Any diabetic nurses out there?!?!</t>
        </is>
      </c>
      <c r="C5231" t="inlineStr">
        <is>
          <t>So i'm a Type One Diabetic about to start nursing school and am SUPER nervous about keeping my sugar stable and safe during class and clinicals with strict no technology/no food rules.
I've been a tech in a hospital for years but have never had any issues with having a safe place to test/treat so it's not exactly being in clinicals that worries me, I'm mostly worried about professors being upset with the array of beeps my pump makes (always thinking its a cellphone) and the emergency granola bar in my pocket.
I'm working on getting disability services but am so lost as to what I should be specifically asking for.
Permission to be able to test whenever I need to? Permission to have emergency low food in places where food is otherwise prohibited? Permission to have my testing supplies and/or dexcom on my person at all times? 
I know my college will be needing specifics, so is there anything I'm leaving out?
I'm fairly new to disability services (I had an IEP in high school but am not 100% sure where that paperwork is) so this is a first for me. I'm used to just telling people and them understanding, but seeing how strict this program is, I don't want to risk anything.
Also any tips for nursing with type one would be greatly appreciated!</t>
        </is>
      </c>
      <c r="D5231" t="n">
        <v>3</v>
      </c>
      <c r="E5231" t="n">
        <v>7</v>
      </c>
      <c r="F5231">
        <f>HYPERLINK("https://www.reddit.com/r/diabetes/comments/99hvp5/any_diabetic_nurses_out_there/")</f>
        <v/>
      </c>
      <c r="G5231" t="inlineStr">
        <is>
          <t>2018-08-22 15:37:10</t>
        </is>
      </c>
      <c r="H5231" t="inlineStr">
        <is>
          <t>Type 1</t>
        </is>
      </c>
    </row>
    <row r="5232">
      <c r="A5232" t="inlineStr">
        <is>
          <t>99jmbc</t>
        </is>
      </c>
      <c r="B5232" t="inlineStr">
        <is>
          <t>Frustrated Tandem user</t>
        </is>
      </c>
      <c r="C5232" t="inlineStr">
        <is>
          <t xml:space="preserve">I’ve been T1D for the past 8 years, and I’ve been using an insulin pump for the past 7. I first used the minimed paradigm, &amp;amp; I believe I only had a problem with the pump once, when I left it hooked to my spandex my sweat exposed it to too much water. 
I’ve been using the Tandem t-slim g4 for the past 3 years, and it’s broken a ridiculous amount of times! I’ve had to get a replacement pump probably around 8 times, and none of my pumps have lasted longer than a year. Has anyone else had an experience like this? </t>
        </is>
      </c>
      <c r="D5232" t="n">
        <v>1</v>
      </c>
      <c r="E5232" t="n">
        <v>3</v>
      </c>
      <c r="F5232">
        <f>HYPERLINK("https://www.reddit.com/r/diabetes/comments/99jmbc/frustrated_tandem_user/")</f>
        <v/>
      </c>
      <c r="G5232" t="inlineStr">
        <is>
          <t>2018-08-22 19:39:19</t>
        </is>
      </c>
      <c r="H5232" t="inlineStr">
        <is>
          <t>Type 1</t>
        </is>
      </c>
    </row>
    <row r="5233">
      <c r="A5233" t="inlineStr">
        <is>
          <t>99lf2i</t>
        </is>
      </c>
      <c r="B5233" t="inlineStr">
        <is>
          <t>Scared to eat alone</t>
        </is>
      </c>
      <c r="C5233" t="inlineStr">
        <is>
          <t xml:space="preserve">Hello guys, this might be a weird thing to post and Im so sorry if it is, but ever since school has started again and work has, I have been home, because in Norway we get to have 1 year free from school. Anyways my mind is messing with me, and telling me that I shouldn’t take the chance of taking insulin alone, because what if I can’t eat my food? 
How do I get rid of that annoying mindset? I’ve sort of tried to reassure myself that it is really easy to make your BS go up with candy if you can’t eat food. Sorry if this is a weird thing to post! But it really annoys me that I seem to me «afraid» to take it alone, which honestly I can’t be because one day I am going to be living alone </t>
        </is>
      </c>
      <c r="D5233" t="n">
        <v>14</v>
      </c>
      <c r="E5233" t="n">
        <v>34</v>
      </c>
      <c r="F5233">
        <f>HYPERLINK("https://www.reddit.com/r/diabetes/comments/99lf2i/scared_to_eat_alone/")</f>
        <v/>
      </c>
      <c r="G5233" t="inlineStr">
        <is>
          <t>2018-08-23 00:48:08</t>
        </is>
      </c>
      <c r="H5233" t="inlineStr">
        <is>
          <t>Type 1</t>
        </is>
      </c>
    </row>
    <row r="5234">
      <c r="A5234" t="inlineStr">
        <is>
          <t>99lrao</t>
        </is>
      </c>
      <c r="B5234" t="inlineStr">
        <is>
          <t>Leaking Omnipod</t>
        </is>
      </c>
      <c r="C5234" t="inlineStr">
        <is>
          <t xml:space="preserve">I have noticed that my omnipod either leaks or causes insulin build up on my love handles. I have been using this site for years to the point where there’s even a brown scar on each side. Is it time to retire this site? 
What other sites do you guys recommend ? I want to try my arm but I work with my arms a lot (I am a cashier) and I always bump into things/people.. Does anyone have problems using their arms? I can’t use my thighs because they’re too tender. I currently use my stomach with no issues though.. </t>
        </is>
      </c>
      <c r="D5234" t="n">
        <v>3</v>
      </c>
      <c r="E5234" t="n">
        <v>5</v>
      </c>
      <c r="F5234">
        <f>HYPERLINK("https://www.reddit.com/r/diabetes/comments/99lrao/leaking_omnipod/")</f>
        <v/>
      </c>
      <c r="G5234" t="inlineStr">
        <is>
          <t>2018-08-23 01:59:04</t>
        </is>
      </c>
      <c r="H5234" t="inlineStr">
        <is>
          <t>Type 1</t>
        </is>
      </c>
    </row>
    <row r="5235">
      <c r="A5235" t="inlineStr">
        <is>
          <t>99mprx</t>
        </is>
      </c>
      <c r="B5235" t="inlineStr">
        <is>
          <t>Fighting Diabetes Naturally with Dr. shalini</t>
        </is>
      </c>
      <c r="C5235" t="inlineStr">
        <is>
          <t xml:space="preserve">Diabetes is a disease that can make you feel lifeless, but Dr. Shalini Vinay helps in conquering this condition naturally through [homeopathic treatments](http://homoeopathicspecialist.com/diseases/diabetes/) with sustainable results. </t>
        </is>
      </c>
      <c r="D5235" t="n">
        <v>0</v>
      </c>
      <c r="E5235" t="n">
        <v>4</v>
      </c>
      <c r="F5235">
        <f>HYPERLINK("https://www.reddit.com/r/diabetes/comments/99mprx/fighting_diabetes_naturally_with_dr_shalini/")</f>
        <v/>
      </c>
      <c r="G5235" t="inlineStr">
        <is>
          <t>2018-08-23 04:51:37</t>
        </is>
      </c>
      <c r="H5235" t="inlineStr">
        <is>
          <t>Type 2</t>
        </is>
      </c>
    </row>
    <row r="5236">
      <c r="A5236" t="inlineStr">
        <is>
          <t>99nzra</t>
        </is>
      </c>
      <c r="B5236" t="inlineStr">
        <is>
          <t>For those of you that have gone into ketoacidosis, what was the reason for it?</t>
        </is>
      </c>
      <c r="C5236" t="inlineStr">
        <is>
          <t xml:space="preserve">I have gone into ketoacidosis twice. Once when I was 17 and was foolishly skipping my nighttime Novalin shots and last year (aged 27/pump user and my blood sugars had been great) because of severe dehydration (be sure drink an obscene amount of water if you do a cleanse). What caused yours? </t>
        </is>
      </c>
      <c r="D5236" t="n">
        <v>8</v>
      </c>
      <c r="E5236" t="n">
        <v>46</v>
      </c>
      <c r="F5236">
        <f>HYPERLINK("https://www.reddit.com/r/diabetes/comments/99nzra/for_those_of_you_that_have_gone_into_ketoacidosis/")</f>
        <v/>
      </c>
      <c r="G5236" t="inlineStr">
        <is>
          <t>2018-08-23 07:46:35</t>
        </is>
      </c>
      <c r="H5236" t="inlineStr">
        <is>
          <t>Type 1</t>
        </is>
      </c>
    </row>
    <row r="5237">
      <c r="A5237" t="inlineStr">
        <is>
          <t>99pc7p</t>
        </is>
      </c>
      <c r="B5237" t="inlineStr">
        <is>
          <t>Trying to help my dad with type 2 diabetes</t>
        </is>
      </c>
      <c r="C5237" t="inlineStr">
        <is>
          <t xml:space="preserve">He's been having diabetes since he's late 30s now he's 60 was diagnose with type 2 a year ago and in early June he had a mini stroke. It a miracle he is not dead honestly. he Manage recover completely in a month thankfully. The bad thing is that he's always angry and upset and negative.
His always fighting with my mom and I about the smallest thing like it's really annoying because we're are trying to help him out but he wants to do what he wants do. 
Can't really help a person that doesn't want to be help. My dad has always been an impatience type of person and now with the stroke and avrything else he takes out he's anger and frustration on us and I fill it not fair cuz we are trying to help the best we can. </t>
        </is>
      </c>
      <c r="D5237" t="n">
        <v>1</v>
      </c>
      <c r="E5237" t="n">
        <v>6</v>
      </c>
      <c r="F5237">
        <f>HYPERLINK("https://www.reddit.com/r/diabetes/comments/99pc7p/trying_to_help_my_dad_with_type_2_diabetes/")</f>
        <v/>
      </c>
      <c r="G5237" t="inlineStr">
        <is>
          <t>2018-08-23 10:24:14</t>
        </is>
      </c>
      <c r="H5237" t="inlineStr">
        <is>
          <t>Type 2</t>
        </is>
      </c>
    </row>
    <row r="5238">
      <c r="A5238" t="inlineStr">
        <is>
          <t>99tfog</t>
        </is>
      </c>
      <c r="B5238" t="inlineStr">
        <is>
          <t>Carbs for Exercise</t>
        </is>
      </c>
      <c r="C5238" t="inlineStr">
        <is>
          <t>Just took my first really strenuous exercise since my diagnosis- I hiked 11 very difficult miles. I came prepared with carbs but my god I did not expect to require so many. All told I had ~150g carbs during the day, all unmatched, and I could barely keep my BG above 90. I was just pouring candy down my gullet. 
I usually eat keto so this was a whopper of a day for me. 
How many extra carbs do you consume for strenuous exercise?</t>
        </is>
      </c>
      <c r="D5238" t="n">
        <v>10</v>
      </c>
      <c r="E5238" t="n">
        <v>9</v>
      </c>
      <c r="F5238">
        <f>HYPERLINK("https://www.reddit.com/r/diabetes/comments/99tfog/carbs_for_exercise/")</f>
        <v/>
      </c>
      <c r="G5238" t="inlineStr">
        <is>
          <t>2018-08-23 19:00:39</t>
        </is>
      </c>
      <c r="H5238" t="inlineStr">
        <is>
          <t>Type 1</t>
        </is>
      </c>
    </row>
    <row r="5239">
      <c r="A5239" t="inlineStr">
        <is>
          <t>99w59n</t>
        </is>
      </c>
      <c r="B5239" t="inlineStr">
        <is>
          <t>Lows while asleep/awake and fast drop/slow drop?</t>
        </is>
      </c>
      <c r="C5239" t="inlineStr">
        <is>
          <t xml:space="preserve">I'm doing a lot of posts lately lol. How the lows symptoms affects you in these conditions? When I'm awake I can feel the symptoms at 70±, but when I'm sleeping I can go below 60 before I wake up. Also is different when I'm dropping fast vs dropping slowly. </t>
        </is>
      </c>
      <c r="D5239" t="n">
        <v>1</v>
      </c>
      <c r="E5239" t="n">
        <v>4</v>
      </c>
      <c r="F5239">
        <f>HYPERLINK("https://www.reddit.com/r/diabetes/comments/99w59n/lows_while_asleepawake_and_fast_dropslow_drop/")</f>
        <v/>
      </c>
      <c r="G5239" t="inlineStr">
        <is>
          <t>2018-08-24 03:05:17</t>
        </is>
      </c>
      <c r="H5239" t="inlineStr">
        <is>
          <t>Type 1</t>
        </is>
      </c>
    </row>
    <row r="5240">
      <c r="A5240" t="inlineStr">
        <is>
          <t>9abgti</t>
        </is>
      </c>
      <c r="B5240" t="inlineStr">
        <is>
          <t>Help: Girlfriend is type 1 and drunk</t>
        </is>
      </c>
      <c r="C5240" t="inlineStr">
        <is>
          <t>Hello, my girlfriend is type 1 and drunk. I did the best I can to get her safe, took her to a bathroom where she is now asleep. She’s still dry heaving and throwing up either saliva or bile, can’t tell. I’m scared and unknowledgeable about her blood sugar or what to do. I was hoping you guys could help me because I’m scared.
Thank you.</t>
        </is>
      </c>
      <c r="D5240" t="n">
        <v>120</v>
      </c>
      <c r="E5240" t="n">
        <v>68</v>
      </c>
      <c r="F5240">
        <f>HYPERLINK("https://www.reddit.com/r/diabetes/comments/9abgti/help_girlfriend_is_type_1_and_drunk/")</f>
        <v/>
      </c>
      <c r="G5240" t="inlineStr">
        <is>
          <t>2018-08-25 17:15:49</t>
        </is>
      </c>
      <c r="H5240" t="inlineStr">
        <is>
          <t>Type 1</t>
        </is>
      </c>
    </row>
    <row r="5241">
      <c r="A5241" t="inlineStr">
        <is>
          <t>9abt73</t>
        </is>
      </c>
      <c r="B5241" t="inlineStr">
        <is>
          <t>My Spirit Animal</t>
        </is>
      </c>
      <c r="C5241" t="inlineStr">
        <is>
          <t>My wife told me that she thinks my spirit animal is the panda. We’re both always tired because we eat food that are bodies can’t use/process 🤗 
Clarification: Pandas eat bamboo even though they are made to process meat, so they don’t have much energy. I eat too many carbs, which makes me tired because my body can’t process the sugar (without a bolus 😐)</t>
        </is>
      </c>
      <c r="D5241" t="n">
        <v>10</v>
      </c>
      <c r="E5241" t="n">
        <v>3</v>
      </c>
      <c r="F5241">
        <f>HYPERLINK("https://www.reddit.com/r/diabetes/comments/9abt73/my_spirit_animal/")</f>
        <v/>
      </c>
      <c r="G5241" t="inlineStr">
        <is>
          <t>2018-08-25 18:06:52</t>
        </is>
      </c>
      <c r="H5241" t="inlineStr">
        <is>
          <t>Type 1</t>
        </is>
      </c>
    </row>
    <row r="5242">
      <c r="A5242" t="inlineStr">
        <is>
          <t>9abtzy</t>
        </is>
      </c>
      <c r="B5242" t="inlineStr">
        <is>
          <t>How to deal with husband's lows</t>
        </is>
      </c>
      <c r="C5242" t="inlineStr">
        <is>
          <t>My husband (T1 for over 20 years) has pretty decent control of his diabetes most of the time (A1C in the 5's-6's). However, when he drops low enough, especially when he plummets, he becomes irrational, belligerent, loud, and a nasty human being to deal with. 
If it happens in public, he appears drunk and, in his muddled, low blood sugar mind, sometimes denies that he is low or refuses to eat or drink what I offer. He stumbles around, says nonsensical things, and acts in terrifying ways that make me scared for his wellbeing and my safety. In private, he (sometimes) yells at me and belittles me until he "comes back." It's humiliating. This does not by any means happen on a regular basis (maybe 7-8 times a year), but when it does, it's traumatizing for me. He apologizes and feels terrible, and I, of course, understand that it's not his fault (fucking disease!), but I am having trouble coping lately. It happened 4 times in short period of time this summer and I am having a hard time processing my anger about it.
I usually just help him get sugar and, in public, try to keep him away from others. Is there something that other spouses of diabetics on here do? How do they cope? Advice? I've been with him for over 15 years, so this is not new to me, but for some reason, I feel an increasing uneasiness about it lately that has made me want to reach out to other partners of diabetics.
&amp;amp;#x200B;</t>
        </is>
      </c>
      <c r="D5242" t="n">
        <v>5</v>
      </c>
      <c r="E5242" t="n">
        <v>6</v>
      </c>
      <c r="F5242">
        <f>HYPERLINK("https://www.reddit.com/r/diabetes/comments/9abtzy/how_to_deal_with_husbands_lows/")</f>
        <v/>
      </c>
      <c r="G5242" t="inlineStr">
        <is>
          <t>2018-08-25 18:10:24</t>
        </is>
      </c>
      <c r="H5242" t="inlineStr">
        <is>
          <t>Type 1</t>
        </is>
      </c>
    </row>
    <row r="5243">
      <c r="A5243" t="inlineStr">
        <is>
          <t>9afvjk</t>
        </is>
      </c>
      <c r="B5243" t="inlineStr">
        <is>
          <t>Shot too shallow</t>
        </is>
      </c>
      <c r="C5243" t="inlineStr">
        <is>
          <t>Since I'm pregnant, I'm on insulin. Last night I did my shot too shallowly, and the insulin sort of blew up under the skin like a bubble. It's gone down this morning, and my blood sugar is still okay. Anyone else done this before? Have you noticed any drop in effectiveness when it happens?</t>
        </is>
      </c>
      <c r="D5243" t="n">
        <v>3</v>
      </c>
      <c r="E5243" t="n">
        <v>5</v>
      </c>
      <c r="F5243">
        <f>HYPERLINK("https://www.reddit.com/r/diabetes/comments/9afvjk/shot_too_shallow/")</f>
        <v/>
      </c>
      <c r="G5243" t="inlineStr">
        <is>
          <t>2018-08-26 07:23:54</t>
        </is>
      </c>
      <c r="H5243" t="inlineStr">
        <is>
          <t>Type 2</t>
        </is>
      </c>
    </row>
    <row r="5244">
      <c r="A5244" t="inlineStr">
        <is>
          <t>9alkme</t>
        </is>
      </c>
      <c r="B5244" t="inlineStr">
        <is>
          <t>University</t>
        </is>
      </c>
      <c r="C5244" t="inlineStr">
        <is>
          <t>Hello,
Im 19 and have just recently arrived at university. I was diagnosed with type 1 diabetes on September 25 of last year. I am on MDI and wear a dexcom. Should I notify my university about my diabetes. I am concerned about being able to check my BS should I need to and being allowed to have supplies to test my blood sugar during classes/exams. As well as being able to leave during a test/exam should I go low. Is this something that I would benefit from if I told the university?</t>
        </is>
      </c>
      <c r="D5244" t="n">
        <v>4</v>
      </c>
      <c r="E5244" t="n">
        <v>10</v>
      </c>
      <c r="F5244">
        <f>HYPERLINK("https://www.reddit.com/r/diabetes/comments/9alkme/university/")</f>
        <v/>
      </c>
      <c r="G5244" t="inlineStr">
        <is>
          <t>2018-08-26 20:15:13</t>
        </is>
      </c>
      <c r="H5244" t="inlineStr">
        <is>
          <t>Type 1</t>
        </is>
      </c>
    </row>
    <row r="5245">
      <c r="A5245" t="inlineStr">
        <is>
          <t>9arwyw</t>
        </is>
      </c>
      <c r="B5245" t="inlineStr">
        <is>
          <t>PSA: Wash your hands and/or test twice when your gut tells you a reading isn't right.</t>
        </is>
      </c>
      <c r="C5245" t="inlineStr">
        <is>
          <t>Had a scary incident today at work.
When I arrived this morning, I wasn't feeling quite right, but I couldn't initially tell if it was high or low.
Test at 521 mg/dL. I thought "Hrm.... I don't feel THAT high....but I don't feel well...Well this sucks! Maybe my pump site is not absorbing anymore." Manually dosed with 6 units of Novolog from my back-up pen at work.
40 minutes later, I'm feeling totally low and confused, test again and I'm at 61 mg/dL. WTF?
Down a whole can of Sprite, get back to 120 mg/dL and think that it's over.
Walking to lunch with a co-worker about an hour later, I start to get double vision, knees buckling, sweating, etc.
Very scary!
I know we all don't always wash our hands prior to testing, but I did do a quick search and [found a study](https://www.ncbi.nlm.nih.gov/pmc/articles/PMC2769960/) that confirms contamination can significantly affect glucose readings. I think the science made sense for contamination for me, but I'd never seen any study actually confirm this. 
In the study, touching a banana peel and then testing from the contaminated skin increased the reading by nearly 300 mg/dL!
Crazy.
I should have trusted my gut and tested again before treating myself.
So today I learned. And I thought I would share.
&amp;amp;#x200B;</t>
        </is>
      </c>
      <c r="D5245" t="n">
        <v>53</v>
      </c>
      <c r="E5245" t="n">
        <v>19</v>
      </c>
      <c r="F5245">
        <f>HYPERLINK("https://www.reddit.com/r/diabetes/comments/9arwyw/psa_wash_your_hands_andor_test_twice_when_your/")</f>
        <v/>
      </c>
      <c r="G5245" t="inlineStr">
        <is>
          <t>2018-08-27 12:20:43</t>
        </is>
      </c>
      <c r="H5245" t="inlineStr">
        <is>
          <t>Type 1</t>
        </is>
      </c>
    </row>
    <row r="5246">
      <c r="A5246" t="inlineStr">
        <is>
          <t>9avs59</t>
        </is>
      </c>
      <c r="B5246" t="inlineStr">
        <is>
          <t>Three months down, A1C three points down thx to new diet</t>
        </is>
      </c>
      <c r="C5246" t="inlineStr">
        <is>
          <t xml:space="preserve">Had a root awakening three months ago and knew I had to make a change. Went straight to Keto and A1c results now nearly three months after starting has dropped 10.1 to 7.2. 
Weight has dropped 14 lbs and pant size from 34 to close to 32. 
Still not done but had to share.  I only wish I had done this over a decade ago. </t>
        </is>
      </c>
      <c r="D5246" t="n">
        <v>29</v>
      </c>
      <c r="E5246" t="n">
        <v>10</v>
      </c>
      <c r="F5246">
        <f>HYPERLINK("https://www.reddit.com/r/diabetes/comments/9avs59/three_months_down_a1c_three_points_down_thx_to/")</f>
        <v/>
      </c>
      <c r="G5246" t="inlineStr">
        <is>
          <t>2018-08-27 21:07:36</t>
        </is>
      </c>
      <c r="H5246" t="inlineStr">
        <is>
          <t>Type 2</t>
        </is>
      </c>
    </row>
    <row r="5247">
      <c r="A5247" t="inlineStr">
        <is>
          <t>9b3xmh</t>
        </is>
      </c>
      <c r="B5247" t="inlineStr">
        <is>
          <t>Dexcom G5 and Accutane</t>
        </is>
      </c>
      <c r="C5247" t="inlineStr">
        <is>
          <t xml:space="preserve">Hey guys, I've recently started to take Accutane for around a week now and since that, my Dexcom has just been crazy, I can never get it to warm up and its always on signal loss. Im not sure if they don't go with each other but wanted to know if you guys know about it. </t>
        </is>
      </c>
      <c r="D5247" t="n">
        <v>2</v>
      </c>
      <c r="E5247" t="n">
        <v>1</v>
      </c>
      <c r="F5247">
        <f>HYPERLINK("https://www.reddit.com/r/diabetes/comments/9b3xmh/dexcom_g5_and_accutane/")</f>
        <v/>
      </c>
      <c r="G5247" t="inlineStr">
        <is>
          <t>2018-08-28 16:23:35</t>
        </is>
      </c>
      <c r="H5247" t="inlineStr">
        <is>
          <t>Type 1</t>
        </is>
      </c>
    </row>
    <row r="5248">
      <c r="A5248" t="inlineStr">
        <is>
          <t>9b41nb</t>
        </is>
      </c>
      <c r="B5248" t="inlineStr">
        <is>
          <t>Bout of depression, job contract ended, feeling down, and not eating healthy, what would you do in this situation?</t>
        </is>
      </c>
      <c r="C5248" t="inlineStr">
        <is>
          <t xml:space="preserve">Eating cheap is an option: so I’ll probably eat that. I’m having sad thoughts. </t>
        </is>
      </c>
      <c r="D5248" t="n">
        <v>9</v>
      </c>
      <c r="E5248" t="n">
        <v>7</v>
      </c>
      <c r="F5248">
        <f>HYPERLINK("https://www.reddit.com/r/diabetes/comments/9b41nb/bout_of_depression_job_contract_ended_feeling/")</f>
        <v/>
      </c>
      <c r="G5248" t="inlineStr">
        <is>
          <t>2018-08-28 16:38:11</t>
        </is>
      </c>
      <c r="H5248" t="inlineStr">
        <is>
          <t>Type 2</t>
        </is>
      </c>
    </row>
    <row r="5249">
      <c r="A5249" t="inlineStr">
        <is>
          <t>9bcg29</t>
        </is>
      </c>
      <c r="B5249" t="inlineStr">
        <is>
          <t>Switching insulins from humalog</t>
        </is>
      </c>
      <c r="C5249" t="inlineStr">
        <is>
          <t xml:space="preserve">My insurance company has informed me they will be switching me to admelog instead of covering humalog. 
I’ve been on humalog since 11 so I’m curious if anyone has been on it recently. It says it is very similar. I’ve heard stories of people having a different result with novalog and humalog but idk. 
Anyone have any insight?
</t>
        </is>
      </c>
      <c r="D5249" t="n">
        <v>2</v>
      </c>
      <c r="E5249" t="n">
        <v>7</v>
      </c>
      <c r="F5249">
        <f>HYPERLINK("https://www.reddit.com/r/diabetes/comments/9bcg29/switching_insulins_from_humalog/")</f>
        <v/>
      </c>
      <c r="G5249" t="inlineStr">
        <is>
          <t>2018-08-29 12:33:33</t>
        </is>
      </c>
      <c r="H5249" t="inlineStr">
        <is>
          <t>Type 1</t>
        </is>
      </c>
    </row>
    <row r="5250">
      <c r="A5250" t="inlineStr">
        <is>
          <t>9bdt6o</t>
        </is>
      </c>
      <c r="B5250" t="inlineStr">
        <is>
          <t>New Libre User in Need of Tips</t>
        </is>
      </c>
      <c r="C5250" t="inlineStr">
        <is>
          <t xml:space="preserve">Hey folks,
&amp;amp;#x200B;
T1 for almost 13 years, just got a CGM in the Dexcom G6 about three months ago, but it's just too expensive for me, so I'm swapping to the Libre.
&amp;amp;#x200B;
I just got it, but I have another week and a half of my Dexcom left. I've been wearing my dexcom sensors on my upper butt for the last three months (as I have pretty thin arms and didn't at all feel comfortable with it on my stomach) with pretty great results. I was wondering if any Libre users can comment on whether or not they've placed any sensors on their butts or any other options for placement sites that might be helpful for a skinny lad. </t>
        </is>
      </c>
      <c r="D5250" t="n">
        <v>3</v>
      </c>
      <c r="E5250" t="n">
        <v>6</v>
      </c>
      <c r="F5250">
        <f>HYPERLINK("https://www.reddit.com/r/diabetes/comments/9bdt6o/new_libre_user_in_need_of_tips/")</f>
        <v/>
      </c>
      <c r="G5250" t="inlineStr">
        <is>
          <t>2018-08-29 15:10:17</t>
        </is>
      </c>
      <c r="H5250" t="inlineStr">
        <is>
          <t>Type 1</t>
        </is>
      </c>
    </row>
    <row r="5251">
      <c r="A5251" t="inlineStr">
        <is>
          <t>9bg9nt</t>
        </is>
      </c>
      <c r="B5251" t="inlineStr">
        <is>
          <t>Trying CGM for the first time</t>
        </is>
      </c>
      <c r="C5251" t="inlineStr">
        <is>
          <t xml:space="preserve">I’ve been diabetic for 20 years now. I just got a Freestyle Libre today. I’m scared to install the sensor 😑 </t>
        </is>
      </c>
      <c r="D5251" t="n">
        <v>5</v>
      </c>
      <c r="E5251" t="n">
        <v>21</v>
      </c>
      <c r="F5251">
        <f>HYPERLINK("https://www.reddit.com/r/diabetes/comments/9bg9nt/trying_cgm_for_the_first_time/")</f>
        <v/>
      </c>
      <c r="G5251" t="inlineStr">
        <is>
          <t>2018-08-29 20:48:06</t>
        </is>
      </c>
      <c r="H5251" t="inlineStr">
        <is>
          <t>Type 2</t>
        </is>
      </c>
    </row>
    <row r="5252">
      <c r="A5252" t="inlineStr">
        <is>
          <t>9bgmib</t>
        </is>
      </c>
      <c r="B5252" t="inlineStr">
        <is>
          <t>Tslim g6 update?</t>
        </is>
      </c>
      <c r="C5252" t="inlineStr">
        <is>
          <t>Has anyone gotten the tslim g6 update yet?  I got a portal link, and I signed in, and am waiting on a prescription now.  But I contacted my doctor a few days later, and they haven't heard anything yet.  So I'm wondering how long it takes to get this part moving.</t>
        </is>
      </c>
      <c r="D5252" t="n">
        <v>3</v>
      </c>
      <c r="E5252" t="n">
        <v>3</v>
      </c>
      <c r="F5252">
        <f>HYPERLINK("https://www.reddit.com/r/diabetes/comments/9bgmib/tslim_g6_update/")</f>
        <v/>
      </c>
      <c r="G5252" t="inlineStr">
        <is>
          <t>2018-08-29 21:44:14</t>
        </is>
      </c>
      <c r="H5252" t="inlineStr">
        <is>
          <t>Type 1</t>
        </is>
      </c>
    </row>
    <row r="5253">
      <c r="A5253" t="inlineStr">
        <is>
          <t>9bi6fe</t>
        </is>
      </c>
      <c r="B5253" t="inlineStr">
        <is>
          <t>Ketones in type 2 diabetes without high sugar levels?</t>
        </is>
      </c>
      <c r="C5253" t="inlineStr">
        <is>
          <t>I have what my endocrinologist wrote down as pre-diabetes/type 2 diabetes, and she's also looking into possible cyclic cushing's. For a long explanation of my background I recently wrote about it here:
[https://www.reddit.com/r/diabetes/comments/9ae7wx/what\_is\_your\_hba1c/e4utyvk](https://www.reddit.com/r/diabetes/comments/9ae7wx/what_is_your_hba1c/e4utyvk)
In that comment, I go on at length about "bad spells" I have where I get high cortisol, high blood pressure, fast pulse, and higher blood sugar. But my blood sugar at the very highest I think has been 214 or so, and that's very rare. But in these bad spells I've ended up in the hospital (for heart symptom concerns--and nothing is found) and looking back on my records, each time I had very high urine ketones (it says greater than 160). But in these bad spells, I would have trouble eating as much as usual, but not stopping eating altogether. My PCP always just wrote it off as saying when you don't eat for a while your body starts making ketones. But I've read people have to stop eating for a much longer time than I would have to develop ketones.
So a while ago I bought a blood ketone meter and have tested, and I can range from so low it's undetectable up to 1.2 for ketones (the 1.2 I think was the highest--usually it's 0.5 or lower). I've never had this at the same time as a high blood sugar reading though. 
When I've tried looking up whether a person with type 2 diabetes normally has ketones, I can only find information on the rare possibility of a type 2 diabetic having DKA, but that's when the blood sugar is also high. And my sugar isn't high (at least not over 150 whenever I've seen evidence of ketones).
I'm wondering if the cause of the ketones in me is that due to being insensitive to insulin, my body starts burning fat for fuel faster when I haven't recently eaten carbohydrates? Because I notice when I eat carbs, the ketones go down. It's mainly higher if I've been eating less during one of my bad spells or if it's been like maybe 4-6 hours since I've eaten--but strangely sometimes it's not detectable even after fasting overnight.
I have been tested for the type 1 antibodies and was told I do not have them. I am told the Cushing's is still a possibility but no definitive answer.
Thanks for any info anyone might have.</t>
        </is>
      </c>
      <c r="D5253" t="n">
        <v>1</v>
      </c>
      <c r="E5253" t="n">
        <v>3</v>
      </c>
      <c r="F5253">
        <f>HYPERLINK("https://www.reddit.com/r/diabetes/comments/9bi6fe/ketones_in_type_2_diabetes_without_high_sugar/")</f>
        <v/>
      </c>
      <c r="G5253" t="inlineStr">
        <is>
          <t>2018-08-30 02:39:43</t>
        </is>
      </c>
      <c r="H5253" t="inlineStr">
        <is>
          <t>Type 2</t>
        </is>
      </c>
    </row>
    <row r="5254">
      <c r="A5254" t="inlineStr">
        <is>
          <t>9bndyn</t>
        </is>
      </c>
      <c r="B5254" t="inlineStr">
        <is>
          <t>Suddenly no Bolus needed</t>
        </is>
      </c>
      <c r="C5254" t="inlineStr">
        <is>
          <t>Hi Guys,
I was diagnosed about 9 months ago, so I may still be in the honeymoon phase.
I didn't need much Insulin once I got out of the hospital after the diagnosis (1U/30g of Carbs) and I always thought, that that's the honeymoon phase. 
But in the past 8 days, I even completly needed no bolus. But I'm still taking my Lantus.
I'm always in my target range now, even if I'm eating lots of candy.
On two days my BG spiked after the meal to about 400 mg/dl, so I corrected, but now I'm back to no bolus.
I'm irritated that, if that's the honeymoon phase, is it normal that it's only coming after 9 months? I thought it comes in the first weeks after the diagnosis.
If it is, has anyone else experienced a honeymoon phase that late?
Thank you :)</t>
        </is>
      </c>
      <c r="D5254" t="n">
        <v>3</v>
      </c>
      <c r="E5254" t="n">
        <v>7</v>
      </c>
      <c r="F5254">
        <f>HYPERLINK("https://www.reddit.com/r/diabetes/comments/9bndyn/suddenly_no_bolus_needed/")</f>
        <v/>
      </c>
      <c r="G5254" t="inlineStr">
        <is>
          <t>2018-08-30 13:45:48</t>
        </is>
      </c>
      <c r="H5254" t="inlineStr">
        <is>
          <t>Type 1</t>
        </is>
      </c>
    </row>
    <row r="5255">
      <c r="A5255" t="inlineStr">
        <is>
          <t>9bomo8</t>
        </is>
      </c>
      <c r="B5255" t="inlineStr">
        <is>
          <t>High BG due to Anxiety?</t>
        </is>
      </c>
      <c r="C5255" t="inlineStr">
        <is>
          <t xml:space="preserve">I’ve recently been dealing with a lot of anxiety. Everyday it seems like there’s something that gives me a very nervous energy. Not full blown attacks but an underlying uneasiness. I’ve noticed from having a CGM that when I feel this way, my BG gets high (sits around 200 fasting) and is very stubborn when I try to correct. Just wondering if anyone else has seen this correlation too. I mentioned it to my endo and she didn’t seem worried about it at all and told me to “focus on my breathing” which I really have tried but once I see it rising it’s hard to stop. </t>
        </is>
      </c>
      <c r="D5255" t="n">
        <v>3</v>
      </c>
      <c r="E5255" t="n">
        <v>5</v>
      </c>
      <c r="F5255">
        <f>HYPERLINK("https://www.reddit.com/r/diabetes/comments/9bomo8/high_bg_due_to_anxiety/")</f>
        <v/>
      </c>
      <c r="G5255" t="inlineStr">
        <is>
          <t>2018-08-30 16:42:45</t>
        </is>
      </c>
      <c r="H5255" t="inlineStr">
        <is>
          <t>Type 1</t>
        </is>
      </c>
    </row>
    <row r="5256">
      <c r="A5256" t="inlineStr">
        <is>
          <t>9bsuof</t>
        </is>
      </c>
      <c r="B5256" t="inlineStr">
        <is>
          <t>Low basal requirements, pump worth it?</t>
        </is>
      </c>
      <c r="C5256" t="inlineStr">
        <is>
          <t xml:space="preserve">Diagnosed last November as Type 1 and the desire to get a pump has been growing for a while (getting tired of stabbing myself in public/work). However I only take \~7 units of basal (1:20 bolus). Is that too low for even a pump to work or be worthwhile? I know you can get fraction of units with a pump, but I feel like it would be sitting idle for most of the day. </t>
        </is>
      </c>
      <c r="D5256" t="n">
        <v>3</v>
      </c>
      <c r="E5256" t="n">
        <v>10</v>
      </c>
      <c r="F5256">
        <f>HYPERLINK("https://www.reddit.com/r/diabetes/comments/9bsuof/low_basal_requirements_pump_worth_it/")</f>
        <v/>
      </c>
      <c r="G5256" t="inlineStr">
        <is>
          <t>2018-08-31 04:37:25</t>
        </is>
      </c>
      <c r="H5256" t="inlineStr">
        <is>
          <t>Type 1</t>
        </is>
      </c>
    </row>
    <row r="5257">
      <c r="A5257" t="inlineStr">
        <is>
          <t>9btdls</t>
        </is>
      </c>
      <c r="B5257" t="inlineStr">
        <is>
          <t>Panick attacks almost every evening</t>
        </is>
      </c>
      <c r="C5257" t="inlineStr">
        <is>
          <t xml:space="preserve">Hi guys.
Some time ago I asked you if it's possible to have lows after taking long-acting insulin and you said yes. Since it kinda helped me, I started to dig deeper, reading other forums, other users' stories and now I'm...well, freaking out every night before taking my Lantus. That maybe this time I'm gonna gave a low again, maybe I won't be fast enough to eat something sweet, I'll pass out and I'll go into a coma. This is silly thinking, I know, what are the odds, but...still possible, right? My whole day is based on overthinking and it really makes my life harder. 
How do you cope with your anxiety (if you have any)? </t>
        </is>
      </c>
      <c r="D5257" t="n">
        <v>7</v>
      </c>
      <c r="E5257" t="n">
        <v>6</v>
      </c>
      <c r="F5257">
        <f>HYPERLINK("https://www.reddit.com/r/diabetes/comments/9btdls/panick_attacks_almost_every_evening/")</f>
        <v/>
      </c>
      <c r="G5257" t="inlineStr">
        <is>
          <t>2018-08-31 05:57:41</t>
        </is>
      </c>
      <c r="H5257" t="inlineStr">
        <is>
          <t>Type 1</t>
        </is>
      </c>
    </row>
    <row r="5258">
      <c r="A5258" t="inlineStr">
        <is>
          <t>9btgkk</t>
        </is>
      </c>
      <c r="B5258" t="inlineStr">
        <is>
          <t>Getting needles while travelling?</t>
        </is>
      </c>
      <c r="C5258" t="inlineStr">
        <is>
          <t>Hey, I'm currently interrailling around Europe and of course I have brought a large amount of diabetes supplies with me (needles, insulin, test strips etc.) however I have noticed my needle stash has begun to thin quite a bit and even though I am fairly sure I have enough to last me until I'm home im a little worried, does anyone know how I would go about getting 4mm needles while abroad? I'm currently in Naples, would I be able to buy them in a pharmacy or something? If anyone has any advice or previous experience I'd love to hear it, thankyou.</t>
        </is>
      </c>
      <c r="D5258" t="n">
        <v>6</v>
      </c>
      <c r="E5258" t="n">
        <v>3</v>
      </c>
      <c r="F5258">
        <f>HYPERLINK("https://www.reddit.com/r/diabetes/comments/9btgkk/getting_needles_while_travelling/")</f>
        <v/>
      </c>
      <c r="G5258" t="inlineStr">
        <is>
          <t>2018-08-31 06:08:38</t>
        </is>
      </c>
      <c r="H5258" t="inlineStr">
        <is>
          <t>Type 1</t>
        </is>
      </c>
    </row>
    <row r="5259">
      <c r="A5259" t="inlineStr">
        <is>
          <t>9bwthv</t>
        </is>
      </c>
      <c r="B5259" t="inlineStr">
        <is>
          <t>Guardian CGM and Cell Battery</t>
        </is>
      </c>
      <c r="C5259" t="inlineStr">
        <is>
          <t xml:space="preserve">So I just switched to the Medtronic Guardian CGM, which tracks all my levels on my phone. Everything is good so far, but I’ve noticed my battery life on my phone depletes twice as fast. I have to charge my phone half way through the day just to keep it from dying completely.  I have the iPhone 7 if that matters.... Anyone else experience a similar issue? Are there any tips on how to keep from needing to charge it through the day? Or am I basically out of luck with this CGM and it’s just an unfortunate part of the Guardian?  </t>
        </is>
      </c>
      <c r="D5259" t="n">
        <v>2</v>
      </c>
      <c r="E5259" t="n">
        <v>1</v>
      </c>
      <c r="F5259">
        <f>HYPERLINK("https://www.reddit.com/r/diabetes/comments/9bwthv/guardian_cgm_and_cell_battery/")</f>
        <v/>
      </c>
      <c r="G5259" t="inlineStr">
        <is>
          <t>2018-08-31 12:51:44</t>
        </is>
      </c>
      <c r="H5259" t="inlineStr">
        <is>
          <t>Type 1</t>
        </is>
      </c>
    </row>
    <row r="5260">
      <c r="A5260" t="inlineStr">
        <is>
          <t>9bxoeg</t>
        </is>
      </c>
      <c r="B5260" t="inlineStr">
        <is>
          <t>Lots of "out of range" error messages?</t>
        </is>
      </c>
      <c r="C5260" t="inlineStr">
        <is>
          <t>TL;DR: My t-slim keeps giving me "transmitter out of range" messages, even when it's in-range, even with a fresh sensor and a replacement transmitter.
G5 and t-slim x2 user, my dexcom is integrated with my pump and that's the only receiver that I use. I've been getting a ton of "out of range" errors. It's obviously never out of range bc my sensor is on my arm and my pump is on my hip (unless I'm taking a shower). It's been happening for a while and I never really paid close attention to it, and I always blamed it on sensors past their prime (I use mine for about 3-4 weeks...and I continue to use it even when it's only half-working to stretch the sensors and save money). 10 days ago I put in a fresh sensor and got the error. I called tandem and they sent me a new transmitter (mine was still within it's 122 days, I don't use any life-extending apps). I popped on the transmitter, same problem within a day or so. When I re-started the sensor session, it took me 3-4 hours to get through the 2 hour warm-up period. I called tandem, they jumped on the "invalid transmitter ID" message I'd gotten, told me to re-enter it and start the warm-up again. I did, and I haven't gotten another invalid message, but I'm still getting out of range errors. It's starting to drive me bonkers. Anyone have any experience with this?</t>
        </is>
      </c>
      <c r="D5260" t="n">
        <v>3</v>
      </c>
      <c r="E5260" t="n">
        <v>7</v>
      </c>
      <c r="F5260">
        <f>HYPERLINK("https://www.reddit.com/r/diabetes/comments/9bxoeg/lots_of_out_of_range_error_messages/")</f>
        <v/>
      </c>
      <c r="G5260" t="inlineStr">
        <is>
          <t>2018-08-31 14:38:26</t>
        </is>
      </c>
      <c r="H5260" t="inlineStr">
        <is>
          <t>Type 1</t>
        </is>
      </c>
    </row>
    <row r="5261">
      <c r="A5261" t="inlineStr">
        <is>
          <t>9bzkja</t>
        </is>
      </c>
      <c r="B5261" t="inlineStr">
        <is>
          <t>Removeable cgm?</t>
        </is>
      </c>
      <c r="C5261" t="inlineStr">
        <is>
          <t>Hey diabete-buddies, thanks for reading. I poked around the web for some info but didn't go too in depth, so forgive me if this is a dum-dum question.
I'm interested in trying out a cgm for the obvious benefits - but especially because I'd like a better idea of how my bg is reacting to exercise (weights/running) and what the sneaky sneakster sugar goblins are doing to me while I sleep.
I'm just curious to know if it would be feasible to take the thing off while I'm doing martial arts and re...(attach?) it afterwards? 
Again, sorry if this is a real waste of a question. I've never seen a cgm up close so I honestly know nothing about them.</t>
        </is>
      </c>
      <c r="D5261" t="n">
        <v>5</v>
      </c>
      <c r="E5261" t="n">
        <v>12</v>
      </c>
      <c r="F5261">
        <f>HYPERLINK("https://www.reddit.com/r/diabetes/comments/9bzkja/removeable_cgm/")</f>
        <v/>
      </c>
      <c r="G5261" t="inlineStr">
        <is>
          <t>2018-08-31 19:17:08</t>
        </is>
      </c>
      <c r="H5261" t="inlineStr">
        <is>
          <t>Type 1</t>
        </is>
      </c>
    </row>
    <row r="5262">
      <c r="A5262" t="inlineStr">
        <is>
          <t>9c0eec</t>
        </is>
      </c>
      <c r="B5262" t="inlineStr">
        <is>
          <t>Still honeymooning almost 3 years later???</t>
        </is>
      </c>
      <c r="C5262" t="inlineStr">
        <is>
          <t>Just as the title says I've been honeymooning for almost 3 years now. Nov. 1st is my 3 year diaversary. I am 33 and type 1 LADA was my diagnosis. I'm extremely insulin sensitive. Currently I'm taking 1 unit per 40g carb roughly. Is it crazy to still be honeymooning after this long. How long did your honeymoons last?</t>
        </is>
      </c>
      <c r="D5262" t="n">
        <v>6</v>
      </c>
      <c r="E5262" t="n">
        <v>6</v>
      </c>
      <c r="F5262">
        <f>HYPERLINK("https://www.reddit.com/r/diabetes/comments/9c0eec/still_honeymooning_almost_3_years_later/")</f>
        <v/>
      </c>
      <c r="G5262" t="inlineStr">
        <is>
          <t>2018-08-31 21:35:43</t>
        </is>
      </c>
      <c r="H5262" t="inlineStr">
        <is>
          <t>Type 1</t>
        </is>
      </c>
    </row>
    <row r="5263">
      <c r="A5263" t="inlineStr">
        <is>
          <t>9c5suf</t>
        </is>
      </c>
      <c r="B5263" t="inlineStr">
        <is>
          <t>Binge eating and type 1?</t>
        </is>
      </c>
      <c r="C5263" t="inlineStr">
        <is>
          <t>Tw: disordered eating
(I searched for similar posts but most are from a few years ago and I’d love to talk with people in a similar boat. Sorry for putting binge eating in the title I hope this is okay!)
Hi! I’ve been diagnosed type 1 for 3.5 years. Since before then, I struggled with undiagnosed body image and disordered eating problems. Right before my diabetes diagnosis, I would stuff my face and never be satisfied, likely because my body wasn’t properly using carbs. After my diagnosis, I feel like I completely lost control over my eating habits. I could monitor my blood sugar pretty well, but still would eat and eat unnecessarily. 
Within the last year, I have been diagnosed with binge eating disorder. I also recently did my own research and discovered type 1s don’t produce amylin(basically a hormone that tells your brain you’re satisfied and to stop eating, from my limited understanding.) (Also, wtf why was I not told about this at diagnosis? I feel like I could’ve been saved years of heartache and a lack of understanding of my body! Ugh!!)
Does anyone else have co-occurring T1D and binge eating? How are you managing it? It’s so difficult when one demands I maintain constant control and to recover from the other I know I need to not worry about controlling my food. I feel like there is no happy medium! And yes, I am in therapy, but I would like to hear from others who have gone through this. All answers appreciated! Thanks!</t>
        </is>
      </c>
      <c r="D5263" t="n">
        <v>3</v>
      </c>
      <c r="E5263" t="n">
        <v>7</v>
      </c>
      <c r="F5263">
        <f>HYPERLINK("https://www.reddit.com/r/diabetes/comments/9c5suf/binge_eating_and_type_1/")</f>
        <v/>
      </c>
      <c r="G5263" t="inlineStr">
        <is>
          <t>2018-09-01 12:26:02</t>
        </is>
      </c>
      <c r="H5263" t="inlineStr">
        <is>
          <t>Type 1</t>
        </is>
      </c>
    </row>
    <row r="5264">
      <c r="A5264" t="inlineStr">
        <is>
          <t>9c6l8r</t>
        </is>
      </c>
      <c r="B5264" t="inlineStr">
        <is>
          <t>So goddamn sick of insurance companies</t>
        </is>
      </c>
      <c r="C5264" t="inlineStr">
        <is>
          <t xml:space="preserve">I’m going out of town tomorrow and for this half past week it’s been a shit show to try and get my endo to refill my prescription. Not only that but my insurance is now telling me they don’t cover what my endo prescribed (which they used to cover) but it takes fucking days just to get my endo to correctly fill my prescription again. Now I’m leaving tomorrow with no long acting insulin and I’ll have to be taking shots constantly until my endo and the insurance company finally get their shit together. I’m sick of the fucking hoops I have to jump through to get medication that I should have a right to easily purchase without getting completely fucked over by pharmaceutical companies, insurance companies, and my endo. </t>
        </is>
      </c>
      <c r="D5264" t="n">
        <v>1</v>
      </c>
      <c r="E5264" t="n">
        <v>1</v>
      </c>
      <c r="F5264">
        <f>HYPERLINK("https://www.reddit.com/r/diabetes/comments/9c6l8r/so_goddamn_sick_of_insurance_companies/")</f>
        <v/>
      </c>
      <c r="G5264" t="inlineStr">
        <is>
          <t>2018-09-01 14:08:18</t>
        </is>
      </c>
      <c r="H5264" t="inlineStr">
        <is>
          <t>Type 1</t>
        </is>
      </c>
    </row>
    <row r="5265">
      <c r="A5265" t="inlineStr">
        <is>
          <t>9c88br</t>
        </is>
      </c>
      <c r="B5265" t="inlineStr">
        <is>
          <t>My toe's been feeling numb and I'm scared</t>
        </is>
      </c>
      <c r="C5265" t="inlineStr">
        <is>
          <t xml:space="preserve">I was diagnosed only 7 years ago. That's not that much time, all things considered. Other than my original diagnosis, I've always kept my A1c under 7, and often under 6. 
The last week or so my toe has been numb. I've scheduled an appt with my dr to discuss it, but I'm scared. I worked really hard to avoid the shitty consequences of high blood sugar and it just sucks to think I'm getting them anyway. </t>
        </is>
      </c>
      <c r="D5265" t="n">
        <v>7</v>
      </c>
      <c r="E5265" t="n">
        <v>9</v>
      </c>
      <c r="F5265">
        <f>HYPERLINK("https://www.reddit.com/r/diabetes/comments/9c88br/my_toes_been_feeling_numb_and_im_scared/")</f>
        <v/>
      </c>
      <c r="G5265" t="inlineStr">
        <is>
          <t>2018-09-01 18:01:00</t>
        </is>
      </c>
      <c r="H5265" t="inlineStr">
        <is>
          <t>Type 1</t>
        </is>
      </c>
    </row>
    <row r="5266">
      <c r="A5266" t="inlineStr">
        <is>
          <t>9c8zfm</t>
        </is>
      </c>
      <c r="B5266" t="inlineStr">
        <is>
          <t>Can anyone here not afford insulin?</t>
        </is>
      </c>
      <c r="C5266" t="inlineStr">
        <is>
          <t xml:space="preserve">I don't have any to give away, but there are ways to eat which CAN reduce your intake significantly. I went from around 700u/week to close to 200u/week during a few particularly moneyless months with this, and can help.   
This is in response to the insulin rationing post. Perhaps you need to do this, but it doesn't mean your blood sugars have to go up. You have more control than you think. </t>
        </is>
      </c>
      <c r="D5266" t="n">
        <v>0</v>
      </c>
      <c r="E5266" t="n">
        <v>5</v>
      </c>
      <c r="F5266">
        <f>HYPERLINK("https://www.reddit.com/r/diabetes/comments/9c8zfm/can_anyone_here_not_afford_insulin/")</f>
        <v/>
      </c>
      <c r="G5266" t="inlineStr">
        <is>
          <t>2018-09-01 20:00:26</t>
        </is>
      </c>
      <c r="H5266" t="inlineStr">
        <is>
          <t>Type 1</t>
        </is>
      </c>
    </row>
    <row r="5267">
      <c r="A5267" t="inlineStr">
        <is>
          <t>9cbc15</t>
        </is>
      </c>
      <c r="B5267" t="inlineStr">
        <is>
          <t>CRazy high spike in blood levels after breakfast??</t>
        </is>
      </c>
      <c r="C5267" t="inlineStr">
        <is>
          <t xml:space="preserve">Hi, 
This morning had a crazy high spike in blood sugar after breakfast. I have the same breakfast every day and this never normally happens. Any explanations...? Injected the normal amount, ate the normal amount etc and injected 30 minutes before eating as per usual. </t>
        </is>
      </c>
      <c r="D5267" t="n">
        <v>3</v>
      </c>
      <c r="E5267" t="n">
        <v>5</v>
      </c>
      <c r="F5267">
        <f>HYPERLINK("https://www.reddit.com/r/diabetes/comments/9cbc15/crazy_high_spike_in_blood_levels_after_breakfast/")</f>
        <v/>
      </c>
      <c r="G5267" t="inlineStr">
        <is>
          <t>2018-09-02 04:13:11</t>
        </is>
      </c>
      <c r="H5267" t="inlineStr">
        <is>
          <t>Type 1</t>
        </is>
      </c>
    </row>
    <row r="5268">
      <c r="A5268" t="inlineStr">
        <is>
          <t>9cczjq</t>
        </is>
      </c>
      <c r="B5268" t="inlineStr">
        <is>
          <t>(UK) I’m getting my prescription for my “Freestyle Libre” in October.</t>
        </is>
      </c>
      <c r="C5268" t="inlineStr">
        <is>
          <t>Do I get a new sensor every 2 weeks for free?</t>
        </is>
      </c>
      <c r="D5268" t="n">
        <v>7</v>
      </c>
      <c r="E5268" t="n">
        <v>37</v>
      </c>
      <c r="F5268">
        <f>HYPERLINK("https://www.reddit.com/r/diabetes/comments/9cczjq/uk_im_getting_my_prescription_for_my_freestyle/")</f>
        <v/>
      </c>
      <c r="G5268" t="inlineStr">
        <is>
          <t>2018-09-02 08:43:39</t>
        </is>
      </c>
      <c r="H5268" t="inlineStr">
        <is>
          <t>Type 1</t>
        </is>
      </c>
    </row>
    <row r="5269">
      <c r="A5269" t="inlineStr">
        <is>
          <t>9cect6</t>
        </is>
      </c>
      <c r="B5269" t="inlineStr">
        <is>
          <t>(Recently Diagnosed with Type 1 Diabetes)</t>
        </is>
      </c>
      <c r="C5269" t="inlineStr">
        <is>
          <t>How and when exactly do you get one of those “Insulin Pumps?
The Diabetic Nurse told me 5 years but I’m uncertain.</t>
        </is>
      </c>
      <c r="D5269" t="n">
        <v>4</v>
      </c>
      <c r="E5269" t="n">
        <v>8</v>
      </c>
      <c r="F5269">
        <f>HYPERLINK("https://www.reddit.com/r/diabetes/comments/9cect6/recently_diagnosed_with_type_1_diabetes/")</f>
        <v/>
      </c>
      <c r="G5269" t="inlineStr">
        <is>
          <t>2018-09-02 11:33:34</t>
        </is>
      </c>
      <c r="H5269" t="inlineStr">
        <is>
          <t>Type 1</t>
        </is>
      </c>
    </row>
    <row r="5270">
      <c r="A5270" t="inlineStr">
        <is>
          <t>9cjevd</t>
        </is>
      </c>
      <c r="B5270" t="inlineStr">
        <is>
          <t>T1, constantly tired and blood sugar goes up and down without any consistency</t>
        </is>
      </c>
      <c r="C5270" t="inlineStr">
        <is>
          <t xml:space="preserve">I was diagnosed T2 in June, then T1 in August after further blood work. I stay under 250 carbs a day (per my dietician) and taking 18 units of long-acting insulin. Eating anything, even just chicken and vegetables, makes my sugar spike to 300, then down to almost 60. I’m 21 and feel helpless. Any input is appreciated. </t>
        </is>
      </c>
      <c r="D5270" t="n">
        <v>6</v>
      </c>
      <c r="E5270" t="n">
        <v>17</v>
      </c>
      <c r="F5270">
        <f>HYPERLINK("https://www.reddit.com/r/diabetes/comments/9cjevd/t1_constantly_tired_and_blood_sugar_goes_up_and/")</f>
        <v/>
      </c>
      <c r="G5270" t="inlineStr">
        <is>
          <t>2018-09-03 00:17:04</t>
        </is>
      </c>
      <c r="H5270" t="inlineStr">
        <is>
          <t>Type 1</t>
        </is>
      </c>
    </row>
    <row r="5271">
      <c r="A5271" t="inlineStr">
        <is>
          <t>9crx70</t>
        </is>
      </c>
      <c r="B5271" t="inlineStr">
        <is>
          <t>Cost and control of diabetes?</t>
        </is>
      </c>
      <c r="C5271" t="inlineStr">
        <is>
          <t>Hello,
I'm almost 24 years old and I've had type 1 diabetes for about 15 years. I've heard people everywhere-- doctors, diabetics, or redditors talk about controlling diabetes. I've also heard about the costs of diabetes, but it wasn't until about a year ago that I began to really face these costs. 
For diabetics living in the USA, how do all of you afford pumps, CGMs, a healthy diet, and time off? I've begun feeling so incredibly upset and hurt when I hear people talk about controlling diabetes or when I see people being financially secure enough to do so. All of the most basic ways to better control diabetes are tied to money: pumps; CGMS; accurate glucose testers; effective insulin; time and money to cook low-carb food; money to see specialists on a quarterly or yearly basis; work that provides paid time off to take care of yourself... the list can go on and on. 
I've suffered from this disease for ***15 years***. I feel like nearly every aspect of my life has been debased by diabetes. Instead of just saying "*well controlled diabetes will reduce diabetic complications, extend your lifespan*", it should also be added that *being financial secure is essentially required in order to control diabetes well*. 
Does anyone else feel similarly?</t>
        </is>
      </c>
      <c r="D5271" t="n">
        <v>6</v>
      </c>
      <c r="E5271" t="n">
        <v>38</v>
      </c>
      <c r="F5271">
        <f>HYPERLINK("https://www.reddit.com/r/diabetes/comments/9crx70/cost_and_control_of_diabetes/")</f>
        <v/>
      </c>
      <c r="G5271" t="inlineStr">
        <is>
          <t>2018-09-03 20:12:33</t>
        </is>
      </c>
      <c r="H5271" t="inlineStr">
        <is>
          <t>Type 1</t>
        </is>
      </c>
    </row>
    <row r="5272">
      <c r="A5272" t="inlineStr">
        <is>
          <t>9cv7h8</t>
        </is>
      </c>
      <c r="B5272" t="inlineStr">
        <is>
          <t>doctors appointment today!</t>
        </is>
      </c>
      <c r="C5272" t="inlineStr">
        <is>
          <t>i'm going in today to see about getting a pump and a cgm, wish me luck you guys!! i havent had a pump since like 2008 and i've never had a cgm so i'm excited c: i will keep you guys updated :-)</t>
        </is>
      </c>
      <c r="D5272" t="n">
        <v>13</v>
      </c>
      <c r="E5272" t="n">
        <v>9</v>
      </c>
      <c r="F5272">
        <f>HYPERLINK("https://www.reddit.com/r/diabetes/comments/9cv7h8/doctors_appointment_today/")</f>
        <v/>
      </c>
      <c r="G5272" t="inlineStr">
        <is>
          <t>2018-09-04 05:38:03</t>
        </is>
      </c>
      <c r="H5272" t="inlineStr">
        <is>
          <t>Type 1</t>
        </is>
      </c>
    </row>
    <row r="5273">
      <c r="A5273" t="inlineStr">
        <is>
          <t>9cvkux</t>
        </is>
      </c>
      <c r="B5273" t="inlineStr">
        <is>
          <t>A short insight as to what it’s like to prick your fingers again instead of using a cgm</t>
        </is>
      </c>
      <c r="C5273" t="inlineStr">
        <is>
          <t xml:space="preserve">It sucks. Huge quantities of dong.
Background: had a libre for about a year and on Saturday I flew to Ibiza for vacation. Now beforehand I realised that I had no sensors left and ordered them online. That was on the 19th of August. They didn’t arrive in time so I now have to use the good old method of pricking my finger to measure my blood sugar.
It annoys me so much. Not only does it always take so much longer and requires me to stand still and find a place where it’s not to crowded, dirty etc. It also doesn’t show me a trend where my bg is headed. I had a low of 1.7 in the last hour that I could have prevented if I just had my libre. I really miss it :( 
Oh well, I won’t let that ruin my vacation. And when I arrive at home I hopefully will have my cgm back.
</t>
        </is>
      </c>
      <c r="D5273" t="n">
        <v>19</v>
      </c>
      <c r="E5273" t="n">
        <v>10</v>
      </c>
      <c r="F5273">
        <f>HYPERLINK("https://www.reddit.com/r/diabetes/comments/9cvkux/a_short_insight_as_to_what_its_like_to_prick_your/")</f>
        <v/>
      </c>
      <c r="G5273" t="inlineStr">
        <is>
          <t>2018-09-04 06:26:01</t>
        </is>
      </c>
      <c r="H5273" t="inlineStr">
        <is>
          <t>Type 1</t>
        </is>
      </c>
    </row>
    <row r="5274">
      <c r="A5274" t="inlineStr">
        <is>
          <t>9cvx3y</t>
        </is>
      </c>
      <c r="B5274" t="inlineStr">
        <is>
          <t>Free 10 G5 senor holders and 1 G5 monitor</t>
        </is>
      </c>
      <c r="C5274" t="inlineStr">
        <is>
          <t xml:space="preserve">Hi,
My wife recently upgraded from G5 to G6 and we would like to donate unused G5 items that we have left over to someone who is in need. As the title says, we have 10 G5 sensor applicators ( please note, we do not have the actual sensor) and 1 G5 monitor. We would really like to continue this subreddit's tradition of helping others out. 
We are located in Boston, MA so if you can come pick them up that would be the best option. If no one is in the Boston area we would be happy to send them in the mail to you. </t>
        </is>
      </c>
      <c r="D5274" t="n">
        <v>2</v>
      </c>
      <c r="E5274" t="n">
        <v>10</v>
      </c>
      <c r="F5274">
        <f>HYPERLINK("https://www.reddit.com/r/diabetes/comments/9cvx3y/free_10_g5_senor_holders_and_1_g5_monitor/")</f>
        <v/>
      </c>
      <c r="G5274" t="inlineStr">
        <is>
          <t>2018-09-04 07:06:24</t>
        </is>
      </c>
      <c r="H5274" t="inlineStr">
        <is>
          <t>Type 1</t>
        </is>
      </c>
    </row>
    <row r="5275">
      <c r="A5275" t="inlineStr">
        <is>
          <t>9d10ai</t>
        </is>
      </c>
      <c r="B5275" t="inlineStr">
        <is>
          <t>Was recently diagnosed a little over a week ago and I wasn’t bothered at all...until I realised how repetitive injecting myself would become!</t>
        </is>
      </c>
      <c r="C5275" t="inlineStr">
        <is>
          <t>Before I left the hospital I briefly mentioned about a pump and the diabetic nurse basically closed me down by saying “We are gonna get you used to pens first before we start talking about a pump” 
Which was fine but after watching multiple videos of people getting their pumps and showing how easy it is to get through your day with one I slowly started hating pens as they don’t hurt at first but when you keep forgetting we’re you injected recently it starts to hurt when you inject in the same spot!
So, if the option for a pump was there how long would it take for me to get it?</t>
        </is>
      </c>
      <c r="D5275" t="n">
        <v>2</v>
      </c>
      <c r="E5275" t="n">
        <v>15</v>
      </c>
      <c r="F5275">
        <f>HYPERLINK("https://www.reddit.com/r/diabetes/comments/9d10ai/was_recently_diagnosed_a_little_over_a_week_ago/")</f>
        <v/>
      </c>
      <c r="G5275" t="inlineStr">
        <is>
          <t>2018-09-04 16:49:03</t>
        </is>
      </c>
      <c r="H5275" t="inlineStr">
        <is>
          <t>Type 1</t>
        </is>
      </c>
    </row>
    <row r="5276">
      <c r="A5276" t="inlineStr">
        <is>
          <t>9d212w</t>
        </is>
      </c>
      <c r="B5276" t="inlineStr">
        <is>
          <t>Just one of those days.</t>
        </is>
      </c>
      <c r="C5276" t="inlineStr">
        <is>
          <t>I've injected my insulin. 4 units for 30g of spaghetti, chicken and sauce. Now I'm going for at least 40g of pure sugar because my BS keeps dropping. WHAT THE FUCK IS HAPPENING!?</t>
        </is>
      </c>
      <c r="D5276" t="n">
        <v>6</v>
      </c>
      <c r="E5276" t="n">
        <v>4</v>
      </c>
      <c r="F5276">
        <f>HYPERLINK("https://www.reddit.com/r/diabetes/comments/9d212w/just_one_of_those_days/")</f>
        <v/>
      </c>
      <c r="G5276" t="inlineStr">
        <is>
          <t>2018-09-04 19:08:05</t>
        </is>
      </c>
      <c r="H5276" t="inlineStr">
        <is>
          <t>Type 1</t>
        </is>
      </c>
    </row>
    <row r="5277">
      <c r="A5277" t="inlineStr">
        <is>
          <t>9d26a9</t>
        </is>
      </c>
      <c r="B5277" t="inlineStr">
        <is>
          <t>Official confirmation as Type 2 diabetic today</t>
        </is>
      </c>
      <c r="C5277" t="inlineStr">
        <is>
          <t>I was originally diagnosed as type 1 by my primary care doctor in early August, then saw an endo and he did some more tests and informed me today that I am in fact Type 2, not 1. In a way, I am relieved (probably not the right word) because I know that type 2 is reversible with proper diet and lifestyle changes (which my wife and I have already started). 
&amp;amp;#x200B;
My blood sugar levels have gone from 400-500 range after meals in early August (once diagnosed and prescribed insulin (both daily and meal time)) to now hovering (usually) around 170-200 at the highest after meals, even after a particularly bad meal. The plan now is for me to continue on my current insulin regimen until my next appointment in October, and then they said they will more than likely either prescribe me a weekly injection instead of daily/meal time, OR metformin, not sure which yet. Reading up, I see that Metformin is way more cost effective than the weekly injections ($700 for a month's worth of Trulicity?!?!?)
&amp;amp;#x200B;
Anyhow, this post really was just to vent and explain my situation to other like-minded individuals since people at work and my friends really have no understanding of any of it, lol.. Thanks for listening.</t>
        </is>
      </c>
      <c r="D5277" t="n">
        <v>2</v>
      </c>
      <c r="E5277" t="n">
        <v>8</v>
      </c>
      <c r="F5277">
        <f>HYPERLINK("https://www.reddit.com/r/diabetes/comments/9d26a9/official_confirmation_as_type_2_diabetic_today/")</f>
        <v/>
      </c>
      <c r="G5277" t="inlineStr">
        <is>
          <t>2018-09-04 19:27:47</t>
        </is>
      </c>
      <c r="H5277" t="inlineStr">
        <is>
          <t>Type 2</t>
        </is>
      </c>
    </row>
    <row r="5278">
      <c r="A5278" t="inlineStr">
        <is>
          <t>9d3hdx</t>
        </is>
      </c>
      <c r="B5278" t="inlineStr">
        <is>
          <t>Simpatch for Medtronic Guardian Sensor?</t>
        </is>
      </c>
      <c r="C5278" t="inlineStr">
        <is>
          <t>It seems like every week when replacing my Guardian sensor, I have to insert it minimum 2 times before it actually works. I can make a long ass post complaining about that problem in itself, but that isn't what this post is about. 
&amp;amp;#x200B;
The actual problem is that I use 2 pieces of the oval tape each time I replace the sensor. On one particularly frustrating day, I used 6 pieces of oval tape when I had to replace the sensor three times (!!!) before it actually worked. I looked online to see if I could possibly buy a box of extra oval tape to have on hand, but the two results I found were dumb expensive. (One was $1 per patch which I guess isn't HORRIBLE but the other was like, $2.25 per patch and I was straight up offended)
&amp;amp;#x200B;
While looking for alternatives, I stumbled across Simpatch. It has great reviews on Amazon, and I watched a few YouTube reviews but only from people who use Dexcom or Freestyle Libre. My only concern is that the patches that are supposed to be used for the Guardian don't have a hole cut out for the sensor, so in my mind it wont lay flat and will peel up quicker. 
&amp;amp;#x200B;
Can anyone who uses the Simpatch with the Guardian sensor tell me what they think about it? Or maybe even anyone who uses the Simpatch at all? Or if you're frustrated like me you can just shit talk the Guardian sensor if you'd like. 
&amp;amp;#x200B;
Thanks!
&amp;amp;#x200B;
PS: If anyone is interested, the Simpatch has 4.5 starts with 241 reviews on Amazon. They're $17.75 for a pack of 25 which makes them about 0.71 per patch.</t>
        </is>
      </c>
      <c r="D5278" t="n">
        <v>2</v>
      </c>
      <c r="E5278" t="n">
        <v>14</v>
      </c>
      <c r="F5278">
        <f>HYPERLINK("https://www.reddit.com/r/diabetes/comments/9d3hdx/simpatch_for_medtronic_guardian_sensor/")</f>
        <v/>
      </c>
      <c r="G5278" t="inlineStr">
        <is>
          <t>2018-09-04 22:43:26</t>
        </is>
      </c>
      <c r="H5278" t="inlineStr">
        <is>
          <t>Type 1</t>
        </is>
      </c>
    </row>
    <row r="5279">
      <c r="A5279" t="inlineStr">
        <is>
          <t>9d6208</t>
        </is>
      </c>
      <c r="B5279" t="inlineStr">
        <is>
          <t>T1 of 8 years having LOTS of trouble with scarring and injections/CGM</t>
        </is>
      </c>
      <c r="C5279" t="inlineStr">
        <is>
          <t xml:space="preserve">Hey all, kind of at the end of my rope here and am hoping some of you might have some advice for me. I got diagnosed with Type 1 at 18, 8 years ago now. I've been on injections most of the time with a year or so of pump in there(about 5 years ago now). I just got a CGM and while I really love the comfort it gives me, I'm having a LOT of trouble with insulin absorption. I mostly used my stomach for injections with my pens and it feels like barely anything 'takes', it's getting to be the same situation with my arms. My endocrinologist isn't very helpful on this either. I'm not sure what to do and its affecting my life in a big way at this point. I can't control my blood sugar if I can't actually dose the insulin, and its affecting my workouts/fitness now. 
&amp;amp;#x200B;
I've thought about a pump but I didn't really take well to the whole infusion site thing and I think it'd just cause more issues with trying to rotate both the CGM and pump site together. Not really sure what to do. Anything helps a lot! </t>
        </is>
      </c>
      <c r="D5279" t="n">
        <v>4</v>
      </c>
      <c r="E5279" t="n">
        <v>3</v>
      </c>
      <c r="F5279">
        <f>HYPERLINK("https://www.reddit.com/r/diabetes/comments/9d6208/t1_of_8_years_having_lots_of_trouble_with/")</f>
        <v/>
      </c>
      <c r="G5279" t="inlineStr">
        <is>
          <t>2018-09-05 05:30:12</t>
        </is>
      </c>
      <c r="H5279" t="inlineStr">
        <is>
          <t>Type 1</t>
        </is>
      </c>
    </row>
    <row r="5280">
      <c r="A5280" t="inlineStr">
        <is>
          <t>9dat16</t>
        </is>
      </c>
      <c r="B5280" t="inlineStr">
        <is>
          <t>Which pump is best in your opinion? I can read about them, but I'd like to know the pros/cons.</t>
        </is>
      </c>
      <c r="C5280" t="inlineStr">
        <is>
          <t>Time for a new pump, finally! I've heard and seen a lot about new pumps coming out, but it's so hard to choose. I'm looking for a CGM, I'm a bad diabetic when it comes to checking my sugar.  Any comments/reviews would be helpful. Thank you ahead of time!</t>
        </is>
      </c>
      <c r="D5280" t="n">
        <v>3</v>
      </c>
      <c r="E5280" t="n">
        <v>35</v>
      </c>
      <c r="F5280">
        <f>HYPERLINK("https://www.reddit.com/r/diabetes/comments/9dat16/which_pump_is_best_in_your_opinion_i_can_read/")</f>
        <v/>
      </c>
      <c r="G5280" t="inlineStr">
        <is>
          <t>2018-09-05 13:49:13</t>
        </is>
      </c>
      <c r="H5280" t="inlineStr">
        <is>
          <t>Type 1</t>
        </is>
      </c>
    </row>
    <row r="5281">
      <c r="A5281" t="inlineStr">
        <is>
          <t>9dazkx</t>
        </is>
      </c>
      <c r="B5281" t="inlineStr">
        <is>
          <t>Why do some Type 1s only take 2 injections a day whilst I’ve to take 4?</t>
        </is>
      </c>
      <c r="C5281" t="inlineStr">
        <is>
          <t>I was diagnosed on “25th August 2018” as type 1.
So I’ve been advised to take 4 shots a day and I’m signed up for a course to learn about carb intake and how much units to take for a certain amount and that could suggest more than 4 shots a day.
So why do some Type 1s only need 2 shots?
Ps. My sugar levels average at about 9.0 - 15.0 even with the dietitian diet plan (which I have been following strictly) 
I also prick myself A LOT!
I’m unsure but isn’t high blood sugars no matter how careful you are with what you eat a tick in the NHS insulin pump criteria?</t>
        </is>
      </c>
      <c r="D5281" t="n">
        <v>5</v>
      </c>
      <c r="E5281" t="n">
        <v>24</v>
      </c>
      <c r="F5281">
        <f>HYPERLINK("https://www.reddit.com/r/diabetes/comments/9dazkx/why_do_some_type_1s_only_take_2_injections_a_day/")</f>
        <v/>
      </c>
      <c r="G5281" t="inlineStr">
        <is>
          <t>2018-09-05 14:07:39</t>
        </is>
      </c>
      <c r="H5281" t="inlineStr">
        <is>
          <t>Type 1</t>
        </is>
      </c>
    </row>
    <row r="5282">
      <c r="A5282" t="inlineStr">
        <is>
          <t>9de0ne</t>
        </is>
      </c>
      <c r="B5282" t="inlineStr">
        <is>
          <t>Anyone ever hear of splitting Levemir into three doses?</t>
        </is>
      </c>
      <c r="C5282" t="inlineStr">
        <is>
          <t>I produce insufficient insulin with high insulin sensitivity  so my Endo says she manages me as a pregnant T1. My BG is going up between meals (about an hour after spiking from my meals). I've already split my Levemir dose in two, taking 10 units around 3 pm and 24 units around 10:30 PM in order to keep my fasting low without crashing me (making it 25 units at night sends me from ~100 to the 50s). Now I'm considering adding one more dose of about 3 units when I wake up and lowering my mid-day dose by a unit or two to avoid these between-meal highs. I asked my diabetes NP about it today and she said she'd never heard of someone splitting Levemir into three doses and I should see if any T1 friends have tried it. She's nervous about insulin stacking, which is a valid concern. Any experience with this would be much appreciated. Thank you ❤️</t>
        </is>
      </c>
      <c r="D5282" t="n">
        <v>5</v>
      </c>
      <c r="E5282" t="n">
        <v>6</v>
      </c>
      <c r="F5282">
        <f>HYPERLINK("https://www.reddit.com/r/diabetes/comments/9de0ne/anyone_ever_hear_of_splitting_levemir_into_three/")</f>
        <v/>
      </c>
      <c r="G5282" t="inlineStr">
        <is>
          <t>2018-09-05 19:50:32</t>
        </is>
      </c>
      <c r="H5282" t="inlineStr">
        <is>
          <t>Type 1</t>
        </is>
      </c>
    </row>
    <row r="5283">
      <c r="A5283" t="inlineStr">
        <is>
          <t>9def7s</t>
        </is>
      </c>
      <c r="B5283" t="inlineStr">
        <is>
          <t>What lesson has diabetes taught you?</t>
        </is>
      </c>
      <c r="C5283" t="inlineStr">
        <is>
          <t xml:space="preserve">My lessons: My life is a test of my *patience* and diabetes is a piece of shit—It keeps generating in the tummy. </t>
        </is>
      </c>
      <c r="D5283" t="n">
        <v>5</v>
      </c>
      <c r="E5283" t="n">
        <v>17</v>
      </c>
      <c r="F5283">
        <f>HYPERLINK("https://www.reddit.com/r/diabetes/comments/9def7s/what_lesson_has_diabetes_taught_you/")</f>
        <v/>
      </c>
      <c r="G5283" t="inlineStr">
        <is>
          <t>2018-09-05 20:42:01</t>
        </is>
      </c>
      <c r="H5283" t="inlineStr">
        <is>
          <t>Type 2</t>
        </is>
      </c>
    </row>
    <row r="5284">
      <c r="A5284" t="inlineStr">
        <is>
          <t>9dh6pp</t>
        </is>
      </c>
      <c r="B5284" t="inlineStr">
        <is>
          <t>Um...I’ve already went through a pack of 50 one touch test strips and it’s only been nearly 2 weeks.</t>
        </is>
      </c>
      <c r="C5284" t="inlineStr">
        <is>
          <t>I’ve only one pack left...</t>
        </is>
      </c>
      <c r="D5284" t="n">
        <v>1</v>
      </c>
      <c r="E5284" t="n">
        <v>17</v>
      </c>
      <c r="F5284">
        <f>HYPERLINK("https://www.reddit.com/r/diabetes/comments/9dh6pp/umive_already_went_through_a_pack_of_50_one_touch/")</f>
        <v/>
      </c>
      <c r="G5284" t="inlineStr">
        <is>
          <t>2018-09-06 03:35:00</t>
        </is>
      </c>
      <c r="H5284" t="inlineStr">
        <is>
          <t>Type 1</t>
        </is>
      </c>
    </row>
    <row r="5285">
      <c r="A5285" t="inlineStr">
        <is>
          <t>9dm10t</t>
        </is>
      </c>
      <c r="B5285" t="inlineStr">
        <is>
          <t>Gastroparesis</t>
        </is>
      </c>
      <c r="C5285" t="inlineStr">
        <is>
          <t>I’ve been throwing up a lot lately, hours after I eat and not after every meal. This morning I threw up French fries I had 20 hours prior. 
This can’t be good right? Should I see a GI doctor?</t>
        </is>
      </c>
      <c r="D5285" t="n">
        <v>3</v>
      </c>
      <c r="E5285" t="n">
        <v>4</v>
      </c>
      <c r="F5285">
        <f>HYPERLINK("https://www.reddit.com/r/diabetes/comments/9dm10t/gastroparesis/")</f>
        <v/>
      </c>
      <c r="G5285" t="inlineStr">
        <is>
          <t>2018-09-06 12:20:25</t>
        </is>
      </c>
      <c r="H5285" t="inlineStr">
        <is>
          <t>Type 1</t>
        </is>
      </c>
    </row>
    <row r="5286">
      <c r="A5286" t="inlineStr">
        <is>
          <t>9dqzqo</t>
        </is>
      </c>
      <c r="B5286" t="inlineStr">
        <is>
          <t>Bad Experiences with CGMs, but doctors still want me on it. Advice?</t>
        </is>
      </c>
      <c r="C5286" t="inlineStr">
        <is>
          <t xml:space="preserve">My doctors have been trying to get me to use CGMs for about a few years now. My control over my blood sugars aren't great, but they aren't bad either. I have an A1C of 6.9 as of my last check, and I have an insulin pump with basal settings that work great for me that have helped a lot bringing my A1C down. But my doctors want me on a CGM.
I have tried CGMs in the past. I have Dexcom and the medtronic one that is slipping my brain at the moment (fucking concussion!!!). But when I tried the medtronic one, no matter how it was set up by the person training me along with my doctor, it would shut down my pump when my blood sugars were high -I had ketones one night, but my cgm kept saying I was low even though I was reading at over 500 and kept trying to shut off insulin flow. ~~I may have gotten mad and thrown it at a wall. That was my final attempt with that one..~~.-, and not alert me if my sugars were dropping dangerously -I woke up in the middle of the night with my blood sugars in the 40s (thank you mabel for jumping on me and meowing in my face to wake me), but my cgm had no alerts and was showing my range in the upper hundreds??? I was mad- I had then decided to try Dexcom after the fourth fail at the medtronic one. Same results over three different tries. I gave up, and have stopped using them. (This has all happened in the past 3 years if that helps anyone at all)  
But my doctors still want me having one, even though I have said multiple times no. I feel stuck between a rock and a hard place, because every appointment the topic comes back around, and I am tired of it. I don't want to spend another month or two with another device if it's just going to malfunction again on me... Can anyone give me any advice on what to do about this situation, or has anyone had a similar experience? </t>
        </is>
      </c>
      <c r="D5286" t="n">
        <v>0</v>
      </c>
      <c r="E5286" t="n">
        <v>9</v>
      </c>
      <c r="F5286">
        <f>HYPERLINK("https://www.reddit.com/r/diabetes/comments/9dqzqo/bad_experiences_with_cgms_but_doctors_still_want/")</f>
        <v/>
      </c>
      <c r="G5286" t="inlineStr">
        <is>
          <t>2018-09-06 21:53:19</t>
        </is>
      </c>
      <c r="H5286" t="inlineStr">
        <is>
          <t>Type 1</t>
        </is>
      </c>
    </row>
    <row r="5287">
      <c r="A5287" t="inlineStr">
        <is>
          <t>9dt6ve</t>
        </is>
      </c>
      <c r="B5287" t="inlineStr">
        <is>
          <t>While putting in my infusion set for my pump, I forgot to fill the tubing before inserting the set</t>
        </is>
      </c>
      <c r="C5287" t="inlineStr">
        <is>
          <t xml:space="preserve">So I'm just wondering if it's anything to be concerned about. After inserting into my belly I disconnected the tubing and filled the tubing, but the small amount of tubing that's currently in my belly is only filled with air. I know that it'll take a unit or two of insulin to start getting to me, just wondering if that air going into my belly is super bad? </t>
        </is>
      </c>
      <c r="D5287" t="n">
        <v>1</v>
      </c>
      <c r="E5287" t="n">
        <v>4</v>
      </c>
      <c r="F5287">
        <f>HYPERLINK("https://www.reddit.com/r/diabetes/comments/9dt6ve/while_putting_in_my_infusion_set_for_my_pump_i/")</f>
        <v/>
      </c>
      <c r="G5287" t="inlineStr">
        <is>
          <t>2018-09-07 03:51:16</t>
        </is>
      </c>
      <c r="H5287" t="inlineStr">
        <is>
          <t>Type 1</t>
        </is>
      </c>
    </row>
    <row r="5288">
      <c r="A5288" t="inlineStr">
        <is>
          <t>9dwyt0</t>
        </is>
      </c>
      <c r="B5288" t="inlineStr">
        <is>
          <t>Tips on Studying/Traveling Abroad with T1D?</t>
        </is>
      </c>
      <c r="C5288" t="inlineStr">
        <is>
          <t>In about 10 days I will be leaving to study abroad for the Fall 2018 Semester! 
&amp;amp;#x200B;
Does anyone have advice on how to stay healthy without limiting my experiences while abroad?</t>
        </is>
      </c>
      <c r="D5288" t="n">
        <v>2</v>
      </c>
      <c r="E5288" t="n">
        <v>8</v>
      </c>
      <c r="F5288">
        <f>HYPERLINK("https://www.reddit.com/r/diabetes/comments/9dwyt0/tips_on_studyingtraveling_abroad_with_t1d/")</f>
        <v/>
      </c>
      <c r="G5288" t="inlineStr">
        <is>
          <t>2018-09-07 11:12:35</t>
        </is>
      </c>
      <c r="H5288" t="inlineStr">
        <is>
          <t>Type 1</t>
        </is>
      </c>
    </row>
    <row r="5289">
      <c r="A5289" t="inlineStr">
        <is>
          <t>9dzbxg</t>
        </is>
      </c>
      <c r="B5289" t="inlineStr">
        <is>
          <t>How would you want your significant other to help you as you deal with Type 1.</t>
        </is>
      </c>
      <c r="C5289" t="inlineStr">
        <is>
          <t xml:space="preserve">My wife has been Type 1 for about 30 years. We have been married a little over 7. I see her struggle day in and day out trying to control her diabetes. I often feel helpless in what I can do to support her. 
So my question goes like this: What would YOU want your spouse or significant other to do to support you as you live with this terribly frustrating disease?
</t>
        </is>
      </c>
      <c r="D5289" t="n">
        <v>16</v>
      </c>
      <c r="E5289" t="n">
        <v>16</v>
      </c>
      <c r="F5289">
        <f>HYPERLINK("https://www.reddit.com/r/diabetes/comments/9dzbxg/how_would_you_want_your_significant_other_to_help/")</f>
        <v/>
      </c>
      <c r="G5289" t="inlineStr">
        <is>
          <t>2018-09-07 15:44:05</t>
        </is>
      </c>
      <c r="H5289" t="inlineStr">
        <is>
          <t>Type 1</t>
        </is>
      </c>
    </row>
    <row r="5290">
      <c r="A5290" t="inlineStr">
        <is>
          <t>9e3x7p</t>
        </is>
      </c>
      <c r="B5290" t="inlineStr">
        <is>
          <t>Bad news: Where I live we apparently don’t fund Omnipods. Good News: My Endo said they might start bringing them in (I might ask to be put on the list so I can be first to test one out).</t>
        </is>
      </c>
      <c r="C5290" t="inlineStr">
        <is>
          <t>I don’t know if the pump waiting list is the same list no matter what pump you want but I hope it’s not so I can be put on it early.
We get something called the “Medtronic” and “Roche Accu-Chek”</t>
        </is>
      </c>
      <c r="D5290" t="n">
        <v>3</v>
      </c>
      <c r="E5290" t="n">
        <v>7</v>
      </c>
      <c r="F5290">
        <f>HYPERLINK("https://www.reddit.com/r/diabetes/comments/9e3x7p/bad_news_where_i_live_we_apparently_dont_fund/")</f>
        <v/>
      </c>
      <c r="G5290" t="inlineStr">
        <is>
          <t>2018-09-08 05:18:51</t>
        </is>
      </c>
      <c r="H5290" t="inlineStr">
        <is>
          <t>Type 1</t>
        </is>
      </c>
    </row>
    <row r="5291">
      <c r="A5291" t="inlineStr">
        <is>
          <t>9e4wm8</t>
        </is>
      </c>
      <c r="B5291" t="inlineStr">
        <is>
          <t>Intermittent Fasting without pump</t>
        </is>
      </c>
      <c r="C5291" t="inlineStr">
        <is>
          <t>On a pump, this is pretty easy since you dial your basal rate back significantly while you're in the fasting period, but I'm wondering how you would do this with a long acting insulin?  would you split up your doses?  Any insight?</t>
        </is>
      </c>
      <c r="D5291" t="n">
        <v>5</v>
      </c>
      <c r="E5291" t="n">
        <v>5</v>
      </c>
      <c r="F5291">
        <f>HYPERLINK("https://www.reddit.com/r/diabetes/comments/9e4wm8/intermittent_fasting_without_pump/")</f>
        <v/>
      </c>
      <c r="G5291" t="inlineStr">
        <is>
          <t>2018-09-08 08:07:03</t>
        </is>
      </c>
      <c r="H5291" t="inlineStr">
        <is>
          <t>Type 1</t>
        </is>
      </c>
    </row>
    <row r="5292">
      <c r="A5292" t="inlineStr">
        <is>
          <t>9e8zhf</t>
        </is>
      </c>
      <c r="B5292" t="inlineStr">
        <is>
          <t>How fast do you go through a pen?</t>
        </is>
      </c>
      <c r="C5292" t="inlineStr">
        <is>
          <t>It’s about 1 pen a week for me.</t>
        </is>
      </c>
      <c r="D5292" t="n">
        <v>3</v>
      </c>
      <c r="E5292" t="n">
        <v>15</v>
      </c>
      <c r="F5292">
        <f>HYPERLINK("https://www.reddit.com/r/diabetes/comments/9e8zhf/how_fast_do_you_go_through_a_pen/")</f>
        <v/>
      </c>
      <c r="G5292" t="inlineStr">
        <is>
          <t>2018-09-08 17:33:09</t>
        </is>
      </c>
      <c r="H5292" t="inlineStr">
        <is>
          <t>Type 1</t>
        </is>
      </c>
    </row>
    <row r="5293">
      <c r="A5293" t="inlineStr">
        <is>
          <t>9ed7te</t>
        </is>
      </c>
      <c r="B5293" t="inlineStr">
        <is>
          <t>Ketones after a night of drinking?</t>
        </is>
      </c>
      <c r="C5293" t="inlineStr">
        <is>
          <t xml:space="preserve">Hi All. I eat relatively low carb and hover in and out of ketosis on a regular basis. I woke up this AM to pee after a day of heavy drinking yesterday and found that it smelled quite fruity. Blood sugar was at 6 mmol. Felt fine (except for a little hungover) but decided to test based on the smell. I had trace to moderate ketones. I use urine strips to test. 
Does this happen to anyone else?
Come to think of it, my pee always has a faint fruity smell after a night of drinking.  
I would say I am a moderate drinker. I drink usually once or twice a week and will easily drink 4-6 glasses of wine on one of those nights. The other night just be 1 glass after work here and there. 
Thanks for reading. 
</t>
        </is>
      </c>
      <c r="D5293" t="n">
        <v>3</v>
      </c>
      <c r="E5293" t="n">
        <v>7</v>
      </c>
      <c r="F5293">
        <f>HYPERLINK("https://www.reddit.com/r/diabetes/comments/9ed7te/ketones_after_a_night_of_drinking/")</f>
        <v/>
      </c>
      <c r="G5293" t="inlineStr">
        <is>
          <t>2018-09-09 07:10:53</t>
        </is>
      </c>
      <c r="H5293" t="inlineStr">
        <is>
          <t>Type 1</t>
        </is>
      </c>
    </row>
    <row r="5294">
      <c r="A5294" t="inlineStr">
        <is>
          <t>9edf14</t>
        </is>
      </c>
      <c r="B5294" t="inlineStr">
        <is>
          <t>Whats your thoughts on the “One Touch: Select Plus Glucose monitor”?</t>
        </is>
      </c>
      <c r="C5294" t="inlineStr">
        <is>
          <t>I was given a “One Touch: Select Plus” by my endo and it feels like the cheapest one they could of given me.
What’s your thoughts on it and what Glucose monitor do you use?</t>
        </is>
      </c>
      <c r="D5294" t="n">
        <v>4</v>
      </c>
      <c r="E5294" t="n">
        <v>8</v>
      </c>
      <c r="F5294">
        <f>HYPERLINK("https://www.reddit.com/r/diabetes/comments/9edf14/whats_your_thoughts_on_the_one_touch_select_plus/")</f>
        <v/>
      </c>
      <c r="G5294" t="inlineStr">
        <is>
          <t>2018-09-09 07:39:51</t>
        </is>
      </c>
      <c r="H5294" t="inlineStr">
        <is>
          <t>Type 1</t>
        </is>
      </c>
    </row>
    <row r="5295">
      <c r="A5295" t="inlineStr">
        <is>
          <t>9eexv2</t>
        </is>
      </c>
      <c r="B5295" t="inlineStr">
        <is>
          <t>Questions/problems concerning keto diet [Type 1]</t>
        </is>
      </c>
      <c r="C5295" t="inlineStr">
        <is>
          <t xml:space="preserve">Hey all,  
I've been doing the keto diet since the beginning of June and up untill two weeks ago it has been going great for me.  
My weight dropped around 5kg and I got my HbA1c down to 6,8 (yeah!).   
Because of avoiding carbs, I have to use little insulin, but since about two weeks now I struggle more and more to get my blood sugars down when high.   
Mostly I hang around 180mg/dl and I need to give myself a lot of insulin to get down to normal again.  
I'm using pens and normally 1 unit of insulin was enough to get my bloodsugars to drop about 40 mg/dl. Now I see myself using more like 4-5 units and sometimes I go down only 10mg/dl. (I'm using Freestyle Libre so I can see my bloodsugars not moving at all)
&amp;amp;#x200B;
I've changed my basal at the beginning of my diet and it worked for me all summer. Changed my insulin vials, so bad insulin is not the problem. My doctor couldn't help either, she was like "well, maybe it's a phase".  
Has anyone experienced this, and what can I do?  
I'm afraid to give myself more and more insulin because in my head I'm calculating into negative bloodsugars and I really hate lows, but I also don't want to be high all the time. High blood sugars give me headaches a lot. 
&amp;amp;#x200B;
PS: English is not my first language, so sorry about any mistakes. </t>
        </is>
      </c>
      <c r="D5295" t="n">
        <v>1</v>
      </c>
      <c r="E5295" t="n">
        <v>3</v>
      </c>
      <c r="F5295">
        <f>HYPERLINK("https://www.reddit.com/r/diabetes/comments/9eexv2/questionsproblems_concerning_keto_diet_type_1/")</f>
        <v/>
      </c>
      <c r="G5295" t="inlineStr">
        <is>
          <t>2018-09-09 10:51:56</t>
        </is>
      </c>
      <c r="H5295" t="inlineStr">
        <is>
          <t>Type 1</t>
        </is>
      </c>
    </row>
    <row r="5296">
      <c r="A5296" t="inlineStr">
        <is>
          <t>9eh3r9</t>
        </is>
      </c>
      <c r="B5296" t="inlineStr">
        <is>
          <t>Looking for Supplements that Work for a Type 1 and Blood Sugar Rollercoasters</t>
        </is>
      </c>
      <c r="C5296" t="inlineStr">
        <is>
          <t>I was on an insulin pump for 10 years before coming off it this year. I've been back on shots (Humalog and Tresiba) and I feel these last few months I've aged more than I ever have in the span of 6 years. I'm on a rollercoaster and my day always starts with a low blood sugar and then it shoots up to 250+ even if I cover with insulin. I'm knowledgeable on supplements and have tackled a lot of issues successfully with them but my blood sugars have stumped me. 
Here's stuff I've already tried:
Glycemic Assist by Herb Pharm - Did absolutely nothing for me to prevent high sugars. I think it will work a lot better for a Type 2 Diabetic, though.
Brewer's Yeast - Has a good amount of Chromium but it has done nothing or I simply am not taking it enough. It's a powder so a bit inconvenient for me unless I put it in a smoothie.
Golden Black Seed by New Chapter - No significant difference. May have been causing me low sugars so I stopped it.
What I have considered: 
Glucose Optimizer by Jarrow Formulas - One of my favorite supplement brands but it's 4 pills a day. Not convenient for me and a bit pricey. I'll get it if someone has had success with it, though.
Glucose Stabili-T by Life Seasons - It says it balances sugars that already in the normal range so I don't know if it will help me as a Type 1.
I currently don't have access to an endocrinologist. I was put on Medicaid despite me being only 26 and have to find a new one (left messages for multiple doctors since none of these assholes ever pick up the phone) and since Diabetes is an epidemic, I'll probably be on a waiting list. My old Endo was an idiot that kept lowering my Tresiba because he said "my sugars were low in the morning due to too much bolus from Tresiba". I was down to 7 units and still running the same lows at the exact same time in the morning but now with not enough bolus to tackle higher sugars later in the day. I put myself back on 20 units. I just want to try and reverse the damage that has been done these past few months and get my blood sugars stabilized. I ate a salad today and started at 122 and somehow ended up at 253 an hour later from just a fricken salad with no carbs. It just doesn't make sense. The insulin pump wasn't any better btw and I was always having lows in the morning the same way I do now so to me it wasn't worth the cost and having a device attached me to 24/7. 
Any suggestions are highly appreciated, even if it's not supplements and just changes I could make to get the blood sugars stabled. I already don't eat carbs in my diet except for fruit (usually berries and plums) when my sugar drops but then it makes it too high lately when I eat them to treat my morning low.</t>
        </is>
      </c>
      <c r="D5296" t="n">
        <v>1</v>
      </c>
      <c r="E5296" t="n">
        <v>15</v>
      </c>
      <c r="F5296">
        <f>HYPERLINK("https://www.reddit.com/r/diabetes/comments/9eh3r9/looking_for_supplements_that_work_for_a_type_1/")</f>
        <v/>
      </c>
      <c r="G5296" t="inlineStr">
        <is>
          <t>2018-09-09 15:23:25</t>
        </is>
      </c>
      <c r="H5296" t="inlineStr">
        <is>
          <t>Type 1</t>
        </is>
      </c>
    </row>
    <row r="5297">
      <c r="A5297" t="inlineStr">
        <is>
          <t>9ejb1g</t>
        </is>
      </c>
      <c r="B5297" t="inlineStr">
        <is>
          <t>Please help! T1D responses needed for class</t>
        </is>
      </c>
      <c r="C5297" t="inlineStr">
        <is>
          <t>Hello, I'm doing this survey for a biostats college class (not published results) and I need a minimum of 100 responses to do basic statistical analyses on. Responses are completely anonymous and should take less than 5 minutes to complete. Thanks for your help!
[Type 1 Diabetics Survey](https://www.surveymonkey.com/r/NJX32VL)</t>
        </is>
      </c>
      <c r="D5297" t="n">
        <v>0</v>
      </c>
      <c r="E5297" t="n">
        <v>3</v>
      </c>
      <c r="F5297">
        <f>HYPERLINK("https://www.reddit.com/r/diabetes/comments/9ejb1g/please_help_t1d_responses_needed_for_class/")</f>
        <v/>
      </c>
      <c r="G5297" t="inlineStr">
        <is>
          <t>2018-09-09 20:33:36</t>
        </is>
      </c>
      <c r="H5297" t="inlineStr">
        <is>
          <t>Type 1</t>
        </is>
      </c>
    </row>
    <row r="5298">
      <c r="A5298" t="inlineStr">
        <is>
          <t>9ens7m</t>
        </is>
      </c>
      <c r="B5298" t="inlineStr">
        <is>
          <t>Travelling abroad</t>
        </is>
      </c>
      <c r="C5298" t="inlineStr">
        <is>
          <t>Hey
I am planning to travel abroad soon. I learned I need doctor's letter to get my insulin with me. I asked the nurse and she said it costs £15 and I have to wait on week for that. She also said that people usually have prescription instead of the letter but she wasn't sure. So I'm asking you. Will prescription do? How do you travel abroad?
Does it vary on the company I use? I am going by WizzAir if it matters</t>
        </is>
      </c>
      <c r="D5298" t="n">
        <v>3</v>
      </c>
      <c r="E5298" t="n">
        <v>6</v>
      </c>
      <c r="F5298">
        <f>HYPERLINK("https://www.reddit.com/r/diabetes/comments/9ens7m/travelling_abroad/")</f>
        <v/>
      </c>
      <c r="G5298" t="inlineStr">
        <is>
          <t>2018-09-10 07:45:57</t>
        </is>
      </c>
      <c r="H5298" t="inlineStr">
        <is>
          <t>Type 1</t>
        </is>
      </c>
    </row>
    <row r="5299">
      <c r="A5299" t="inlineStr">
        <is>
          <t>9eqdok</t>
        </is>
      </c>
      <c r="B5299" t="inlineStr">
        <is>
          <t>Best Website or Video to learn Carb Counting?</t>
        </is>
      </c>
      <c r="C5299" t="inlineStr">
        <is>
          <t>My Dietitian has signed me up for a course on Carb Counting and how much insulin to take for certain amounts of Carbs.
But it isn’t until mid October and they are actually really impressed with my ability to keep tract of everything and take an understandable correction when I need it.
Although since I’m newly diagnosed my BG average is 12.0.
I’m doing everything I can to convince them to give me a pump.
Does anyone have any suggestions?</t>
        </is>
      </c>
      <c r="D5299" t="n">
        <v>2</v>
      </c>
      <c r="E5299" t="n">
        <v>4</v>
      </c>
      <c r="F5299">
        <f>HYPERLINK("https://www.reddit.com/r/diabetes/comments/9eqdok/best_website_or_video_to_learn_carb_counting/")</f>
        <v/>
      </c>
      <c r="G5299" t="inlineStr">
        <is>
          <t>2018-09-10 12:43:50</t>
        </is>
      </c>
      <c r="H5299" t="inlineStr">
        <is>
          <t>Type 1</t>
        </is>
      </c>
    </row>
    <row r="5300">
      <c r="A5300" t="inlineStr">
        <is>
          <t>9erfov</t>
        </is>
      </c>
      <c r="B5300" t="inlineStr">
        <is>
          <t>I’ve an appointment for the “Transition Diabetes Clinic” What exactly is that?</t>
        </is>
      </c>
      <c r="C5300" t="inlineStr">
        <is>
          <t>It also says I’ve to bring down my medications and a small urine sample?</t>
        </is>
      </c>
      <c r="D5300" t="n">
        <v>2</v>
      </c>
      <c r="E5300" t="n">
        <v>7</v>
      </c>
      <c r="F5300">
        <f>HYPERLINK("https://www.reddit.com/r/diabetes/comments/9erfov/ive_an_appointment_for_the_transition_diabetes/")</f>
        <v/>
      </c>
      <c r="G5300" t="inlineStr">
        <is>
          <t>2018-09-10 14:46:04</t>
        </is>
      </c>
      <c r="H5300" t="inlineStr">
        <is>
          <t>Type 1</t>
        </is>
      </c>
    </row>
    <row r="5301">
      <c r="A5301" t="inlineStr">
        <is>
          <t>9esbgo</t>
        </is>
      </c>
      <c r="B5301" t="inlineStr">
        <is>
          <t>When would you consider someone no longer “Newly Diagnosed” ?</t>
        </is>
      </c>
      <c r="C5301" t="inlineStr">
        <is>
          <t>I’d say 2-3 months.</t>
        </is>
      </c>
      <c r="D5301" t="n">
        <v>1</v>
      </c>
      <c r="E5301" t="n">
        <v>17</v>
      </c>
      <c r="F5301">
        <f>HYPERLINK("https://www.reddit.com/r/diabetes/comments/9esbgo/when_would_you_consider_someone_no_longer_newly/")</f>
        <v/>
      </c>
      <c r="G5301" t="inlineStr">
        <is>
          <t>2018-09-10 16:39:20</t>
        </is>
      </c>
      <c r="H5301" t="inlineStr">
        <is>
          <t>Type 1</t>
        </is>
      </c>
    </row>
    <row r="5302">
      <c r="A5302" t="inlineStr">
        <is>
          <t>9ezpyr</t>
        </is>
      </c>
      <c r="B5302" t="inlineStr">
        <is>
          <t>Thoughts on Fiasp Insulin?</t>
        </is>
      </c>
      <c r="C5302" t="inlineStr">
        <is>
          <t>Just had an appointment with my endocrinologist, and we got to the subject of insulin. I’ve been on regular fast-acting insulin for quite a while, and had no idea there were new versions of it. She gave me a sample vial of Fiasp, which is supposedly an even faster-acting insulin than what I’m currently on. 
Have any of you tried using it yet? What have been your experiences, positive and negative?</t>
        </is>
      </c>
      <c r="D5302" t="n">
        <v>7</v>
      </c>
      <c r="E5302" t="n">
        <v>22</v>
      </c>
      <c r="F5302">
        <f>HYPERLINK("https://www.reddit.com/r/diabetes/comments/9ezpyr/thoughts_on_fiasp_insulin/")</f>
        <v/>
      </c>
      <c r="G5302" t="inlineStr">
        <is>
          <t>2018-09-11 10:44:40</t>
        </is>
      </c>
      <c r="H5302" t="inlineStr">
        <is>
          <t>Type 1</t>
        </is>
      </c>
    </row>
    <row r="5303">
      <c r="A5303" t="inlineStr">
        <is>
          <t>9f4h4b</t>
        </is>
      </c>
      <c r="B5303" t="inlineStr">
        <is>
          <t>I wish I was the kind of Diabetic who either hates pumps or doesn’t have any idea of their existence.</t>
        </is>
      </c>
      <c r="C5303" t="inlineStr">
        <is>
          <t>I’m newly diagnosed and I’m already willing to give up ANYTHING (not really) to obtain a pump!
I’ve only had 1 appointment since I got home apart from the one whilst I was in hospital and when I mentioned about a pump my endo said “We’ll get around to talking about a pump at some other time” and left it at that.
I’m literally a dog scraping at the back door here! 
Is there ANY way I can convince my endo to go a little more in depth about a pump and possibly put me on the waiting list (which could be up to 5 years!!!)
Ps.
I should mention that my endo and dietitian are extremely impressed with my loggings and my ability to take the correct amount of correcting insulin when I’m too high.
She did talk about the pump in a positive tone though...</t>
        </is>
      </c>
      <c r="D5303" t="n">
        <v>5</v>
      </c>
      <c r="E5303" t="n">
        <v>20</v>
      </c>
      <c r="F5303">
        <f>HYPERLINK("https://www.reddit.com/r/diabetes/comments/9f4h4b/i_wish_i_was_the_kind_of_diabetic_who_either/")</f>
        <v/>
      </c>
      <c r="G5303" t="inlineStr">
        <is>
          <t>2018-09-11 21:03:55</t>
        </is>
      </c>
      <c r="H5303" t="inlineStr">
        <is>
          <t>Type 1</t>
        </is>
      </c>
    </row>
    <row r="5304">
      <c r="A5304" t="inlineStr">
        <is>
          <t>9f92cr</t>
        </is>
      </c>
      <c r="B5304" t="inlineStr">
        <is>
          <t>Super Low carb - game changer (Type 1)</t>
        </is>
      </c>
      <c r="C5304" t="inlineStr">
        <is>
          <t>After almost 30 years as T1 with a low-ish average amount of control (as you can see from my last A1c a few months ago, not horrible but lots room for improvement), for the 1st time ever I removed carbs from my diet almost completely and the results have been amazing. From 31st Aug I have gone pretty much lazy-keto and it has changed my life. I am doing this purely to get better control of my levels but my weight has also dropped from 89.5kg to 85.8kg (197.4lb to 189.2lb US) but I would imagine this is just water leaving my system rather than active Ketosis driven weight loss. Using my store of ketostix I have been regularly checking my urine and have a low amount of Ketones 2-6 mmol so am in a state of ketosis regularly and am keeping my carb intake under 20g almost completely.
I have not had a result over 10.2mmoL/L (184 US) for 12 days and I don't think I can say that for any other 12 day period for the last 30 years. It is just game changing and I will never under any circumstance go back. I have started reading Dr Bernstein's book and it just reinforces everything I am doing. It just makes sense.
OK lots of changes made:
Alcohol cut massively, no beer just white wine &amp;amp; spirit with soda water  
Breakfast is just egg based, omelette or scrambled with ham cheese etc
Lunch is chicken with colslaw or some other salad generally with chicken
Dinner has been hard... meat and salad with coleslaw again or fish and salad or I tried edamame pasta that was very low carb and it seemed to work but that was my one move over 10 to 10.2 but may have been the onion in the ragu...
&amp;amp;#x200B;
I eat a lot of cheese and have eaten a few squared of 90% dark chocolate when I need something "sweet" and after 12 days with zero sugar it actually does taste sweet to me :) 
I am lucky no cravings and a very supportive wife and kids. As an Irish man living in UK life without spuds is a challenge but those results are jaw dropping to me, I am excited again about managing my diabetes for the 1st time since I did the DAFNE course over a year ago. I am going to get another HBA1c done around end October and looking forward to a new low from it. In time I may go full keto to work on the weight but for now I am just so pleased with the Blood Glucose levels!!</t>
        </is>
      </c>
      <c r="D5304" t="n">
        <v>24</v>
      </c>
      <c r="E5304" t="n">
        <v>74</v>
      </c>
      <c r="F5304">
        <f>HYPERLINK("https://www.reddit.com/r/diabetes/comments/9f92cr/super_low_carb_game_changer_type_1/")</f>
        <v/>
      </c>
      <c r="G5304" t="inlineStr">
        <is>
          <t>2018-09-12 09:04:20</t>
        </is>
      </c>
      <c r="H5304" t="inlineStr">
        <is>
          <t>Type 1</t>
        </is>
      </c>
    </row>
    <row r="5305">
      <c r="A5305" t="inlineStr">
        <is>
          <t>9f940k</t>
        </is>
      </c>
      <c r="B5305" t="inlineStr">
        <is>
          <t>Anyone else diagnosed while in medical school?</t>
        </is>
      </c>
      <c r="C5305" t="inlineStr">
        <is>
          <t xml:space="preserve">Or any health professional program or while working in healthcare? I’m having a hard time with my new diabetes diagnosis as a medical student. I feel like I know too much about diabetic complications, so that’s freaking me out. 
Also, I’m finding it difficult to keep it together when people in my class (or anyone I guess) make comments or joke about diabetes or insinuate that the patient should take better care of themselves during a case. When anyone finds out they assume it’s type 2 because I’m an adult, and I’ve had people advising me on how I need to eat better and exercise (good advice for anyone, not just diabetics) and I get the feeling like a lot of people are judging me. Part of this might be me making mountains out of mole hills, I don’t know. 
TL;DR
I guess I just want to know how other diabetics working or studying in health fields deal with a) knowing too much = health anxiety, b) judgemental comments from well meaning colleagues. 
</t>
        </is>
      </c>
      <c r="D5305" t="n">
        <v>4</v>
      </c>
      <c r="E5305" t="n">
        <v>10</v>
      </c>
      <c r="F5305">
        <f>HYPERLINK("https://www.reddit.com/r/diabetes/comments/9f940k/anyone_else_diagnosed_while_in_medical_school/")</f>
        <v/>
      </c>
      <c r="G5305" t="inlineStr">
        <is>
          <t>2018-09-12 09:08:48</t>
        </is>
      </c>
      <c r="H5305" t="inlineStr">
        <is>
          <t>Type 1</t>
        </is>
      </c>
    </row>
    <row r="5306">
      <c r="A5306" t="inlineStr">
        <is>
          <t>9f99g4</t>
        </is>
      </c>
      <c r="B5306" t="inlineStr">
        <is>
          <t>Its scary and depressing when you hear about someone the same age as you dying from this disease 😔</t>
        </is>
      </c>
      <c r="C5306" t="inlineStr">
        <is>
          <t>I'm 14 and in a group on Facebook for teens and kids with type 1 and today he someone's mum posted on the group that he had died in his sleep from a hypo and not waking up..I didn't know him and didn't talk to him or anything but it's still made me feel really shit and scared that stuff like that can happen at random :/</t>
        </is>
      </c>
      <c r="D5306" t="n">
        <v>65</v>
      </c>
      <c r="E5306" t="n">
        <v>13</v>
      </c>
      <c r="F5306">
        <f>HYPERLINK("https://www.reddit.com/r/diabetes/comments/9f99g4/its_scary_and_depressing_when_you_hear_about/")</f>
        <v/>
      </c>
      <c r="G5306" t="inlineStr">
        <is>
          <t>2018-09-12 09:25:51</t>
        </is>
      </c>
      <c r="H5306" t="inlineStr">
        <is>
          <t>Type 1</t>
        </is>
      </c>
    </row>
    <row r="5307">
      <c r="A5307" t="inlineStr">
        <is>
          <t>9feqh1</t>
        </is>
      </c>
      <c r="B5307" t="inlineStr">
        <is>
          <t>I also went from an Iphone 7 plus to a Google 2 XL</t>
        </is>
      </c>
      <c r="C5307" t="inlineStr">
        <is>
          <t xml:space="preserve"> 
Posted by[u/\_The\_Golden\_God\_](https://www.reddit.com/user/_The_Golden_God_)  
T1 2012  
[6 months ago](https://www.reddit.com/r/diabetes/comments/828ovc/g5_mobile_app_google_pixel_2_xl_compatibility/)
My situation is almost exactly the same as the post made by the above person.  I have contacted Dexcom as well as, believe it or not, talked directly to Google about it.  Dexcom was great about trying to get the issue resolved about not being able to use the app with my Google 2sl but sent a request to the tech dept.  No word recently on what it will take to get the app on the Google 2 XL.  Does anyone know who to contact?  I don't want to trick my phone into anything, I'm not that bright.  I am hoping that the G6 will become compatible with the XL but just don't know who to make that request to.</t>
        </is>
      </c>
      <c r="D5307" t="n">
        <v>3</v>
      </c>
      <c r="E5307" t="n">
        <v>3</v>
      </c>
      <c r="F5307">
        <f>HYPERLINK("https://www.reddit.com/r/diabetes/comments/9feqh1/i_also_went_from_an_iphone_7_plus_to_a_google_2_xl/")</f>
        <v/>
      </c>
      <c r="G5307" t="inlineStr">
        <is>
          <t>2018-09-12 20:52:00</t>
        </is>
      </c>
      <c r="H5307" t="inlineStr">
        <is>
          <t>Type 1</t>
        </is>
      </c>
    </row>
    <row r="5308">
      <c r="A5308" t="inlineStr">
        <is>
          <t>9ff0gz</t>
        </is>
      </c>
      <c r="B5308" t="inlineStr">
        <is>
          <t>19 years with diabetes and I still need tips</t>
        </is>
      </c>
      <c r="C5308" t="inlineStr">
        <is>
          <t xml:space="preserve">So im a senior in college (M21,America) and I've been slacking on taking care of my diabetes. It frustrates me that it takes so much for me to do the bare minimum for myself when I know the potential long term consequences. 
I want to know if any of you who have been diagnosed for a long time and have pretty brittle diabetes: does a specific kind of diet help you maintain more stable blood sugar levels? 
I like to think I eat fairly well. I try and avoid simple sugars and overly fatty or cheloric foods but all too often I get unpredictable spikes or drops in my blood sugar when I don't expect it. Even when I know how the food I eat should be digested and broken down. </t>
        </is>
      </c>
      <c r="D5308" t="n">
        <v>32</v>
      </c>
      <c r="E5308" t="n">
        <v>27</v>
      </c>
      <c r="F5308">
        <f>HYPERLINK("https://www.reddit.com/r/diabetes/comments/9ff0gz/19_years_with_diabetes_and_i_still_need_tips/")</f>
        <v/>
      </c>
      <c r="G5308" t="inlineStr">
        <is>
          <t>2018-09-12 21:36:07</t>
        </is>
      </c>
      <c r="H5308" t="inlineStr">
        <is>
          <t>Type 1</t>
        </is>
      </c>
    </row>
    <row r="5309">
      <c r="A5309" t="inlineStr">
        <is>
          <t>9fipla</t>
        </is>
      </c>
      <c r="B5309" t="inlineStr">
        <is>
          <t>Looking for a quick response: removing Medtronic insulin reservoir before unplugging the cannula</t>
        </is>
      </c>
      <c r="C5309" t="inlineStr">
        <is>
          <t>Like the title says, I have accidentally unscrewed the insulin reservoir before unplugging the cannula.   
I've immediately checked the remaining unsulin units on my pump and it stood at 263. I've reinserted the reservoir and started it as a new one. Didn't fill the cannula, and checked the insulin units on pump at this point - it read 261.  
Does this mean I have accidentally injected myself with 2 units of insulin? Does anyone have experience with this? I've repeated the whole ordeal while unplugged just to see how much insulin comes out of the cannula distal end. Nothing came out even if I pressed hard on the reservoir while removing it. Still, this is concerning.</t>
        </is>
      </c>
      <c r="D5309" t="n">
        <v>0</v>
      </c>
      <c r="E5309" t="n">
        <v>0</v>
      </c>
      <c r="F5309">
        <f>HYPERLINK("https://www.reddit.com/r/diabetes/comments/9fipla/looking_for_a_quick_response_removing_medtronic/")</f>
        <v/>
      </c>
      <c r="G5309" t="inlineStr">
        <is>
          <t>2018-09-13 07:58:43</t>
        </is>
      </c>
      <c r="H5309" t="inlineStr">
        <is>
          <t>Type 1</t>
        </is>
      </c>
    </row>
    <row r="5310">
      <c r="A5310" t="inlineStr">
        <is>
          <t>9fmgwu</t>
        </is>
      </c>
      <c r="B5310" t="inlineStr">
        <is>
          <t>A question about lows</t>
        </is>
      </c>
      <c r="C5310" t="inlineStr">
        <is>
          <t>About 2 months ago, I got my 3 month average (A1C?), and it was 5.2, which they said was really good, but I have a lot of lows (About 1-2 per week, going down to about 2 sometimes). Is this a lot of lows? And are there any long term effects if going low? Thanks!</t>
        </is>
      </c>
      <c r="D5310" t="n">
        <v>3</v>
      </c>
      <c r="E5310" t="n">
        <v>6</v>
      </c>
      <c r="F5310">
        <f>HYPERLINK("https://www.reddit.com/r/diabetes/comments/9fmgwu/a_question_about_lows/")</f>
        <v/>
      </c>
      <c r="G5310" t="inlineStr">
        <is>
          <t>2018-09-13 15:21:39</t>
        </is>
      </c>
      <c r="H5310" t="inlineStr">
        <is>
          <t>Type 1</t>
        </is>
      </c>
    </row>
    <row r="5311">
      <c r="A5311" t="inlineStr">
        <is>
          <t>9fmyk2</t>
        </is>
      </c>
      <c r="B5311" t="inlineStr">
        <is>
          <t>I am so discouraged! It should not be this hard!</t>
        </is>
      </c>
      <c r="C5311" t="inlineStr">
        <is>
          <t>So my husband got his pump (Medtronic 670g)  last week and we scheduled training for tomorrow.  He uses insulin pens so we do not have vials of insulin to use in the pump.  I called the doctor's office EVERY DAY this week and told them, "we will need insulin, what do we need to do?"  They kept saying they would let us know.  They finally told us today that they had insulin and would give us a prescription tomorrow during training.  Perfect!  Then they called at 4:30 today and said "Oh, we don't have your insulin here, we're sending prescription to your pharmacy now."  Well, our pharmacy closes at 6:00 and while they are WONDERFUL they could not fill the prescription.  It's Humulin R U-500 which is not a common insulin in our area.  They had pens because that's what we been using but no vials and there was just no time to get vials.  Not only that, they just called in test strips and a glucagon emergency kit.  Why haven't they already done this?
I am LIVID with the doctor because we have no insulin for this pump and we both scheduled days off from work to go to this training  We are still going to the training appointment because they are going to get an earful about poor communication and preparation.  After we get settled with this pump, we will be looking for a new doctor.  Endocrinologists are in short supply in our area and we went with the first one who was available but we've got to do something different.  My poor husband feels awful and I'm so hoping the pump helps him get his sugars stable.  He has developed an insulin resistance and takes 255 units of Humulin R U-500 every day as well as Lantus at night.  That's a lot of insulin and I don't know that this doctor is concerned about the amount of insulin he takes.  Isn't it bad to take so much?
I'm just so frustrated with diabetes!  If I had one wish granted, it would be a cure for all diabetes.</t>
        </is>
      </c>
      <c r="D5311" t="n">
        <v>16</v>
      </c>
      <c r="E5311" t="n">
        <v>13</v>
      </c>
      <c r="F5311">
        <f>HYPERLINK("https://www.reddit.com/r/diabetes/comments/9fmyk2/i_am_so_discouraged_it_should_not_be_this_hard/")</f>
        <v/>
      </c>
      <c r="G5311" t="inlineStr">
        <is>
          <t>2018-09-13 16:26:24</t>
        </is>
      </c>
      <c r="H5311" t="inlineStr">
        <is>
          <t>Type 1</t>
        </is>
      </c>
    </row>
    <row r="5312">
      <c r="A5312" t="inlineStr">
        <is>
          <t>9fpjyh</t>
        </is>
      </c>
      <c r="B5312" t="inlineStr">
        <is>
          <t>I'm Probably Diabetic</t>
        </is>
      </c>
      <c r="C5312" t="inlineStr">
        <is>
          <t xml:space="preserve">TL,DR, How bad can it mess up the A1c if I have a cookie when I'm otherwise doing pretty good, (in my opinion)? 
&amp;amp;#x200B;
So, I just found out three weeks ago that I might be diabetic. I had a random sugar test I think they called it and the number was 270. I hadn't eaten yet that morning, and I knew what that was going to mean even before they came back to tell me the bad news. My Dad has been diabetic my whole life and refuses to take care of himself, my Mom used to draw up his insulin and he'd squeeze it down the drain it was so bad. He just had his second foot amputated at the calf, so I have seen the bad bad bad side of this shit. I got scared/freaked out and started doing the Keto diet the next day, I'm over weight and had lost 70 pounds already and want to lose another 55 at least. 
I have an appointment at the end of October to confirm, we're going to do and A1c and general check up. I'm currently doing everything I know to do which is limit my carb intake and no sugar, and all the non-fun stuff. I gotta exercise more also. I'm sure there's more I could do, but until I talk to the doctor I'm doing what I know should help me out.
I have one burning question though. I have a terrible sweet tooth, and while I've switched to sugar free candies, and have been doing good with my carbs having only 20-50 a day, I had a regular cookie today (12 carbs, 9 grams of sugar) and am wondering how bad that kind of thing will impact the A1c. I know it will jack up my blood sugar soon after I ate it, but is it gonna really mess me up in the long run if I occasionally have something sweet? The only example I've ever had is my Dad and he'd sit down with a spoon and a whole pie and eat half of it. I know he's in bad shape now, but I hate to think, "Well, he always ate XYZ, so what harm is one cookie?" So really, what harm is one cookie? </t>
        </is>
      </c>
      <c r="D5312" t="n">
        <v>4</v>
      </c>
      <c r="E5312" t="n">
        <v>14</v>
      </c>
      <c r="F5312">
        <f>HYPERLINK("https://www.reddit.com/r/diabetes/comments/9fpjyh/im_probably_diabetic/")</f>
        <v/>
      </c>
      <c r="G5312" t="inlineStr">
        <is>
          <t>2018-09-13 23:00:19</t>
        </is>
      </c>
      <c r="H5312" t="inlineStr">
        <is>
          <t>Type 2</t>
        </is>
      </c>
    </row>
    <row r="5313">
      <c r="A5313" t="inlineStr">
        <is>
          <t>9fs9e4</t>
        </is>
      </c>
      <c r="B5313" t="inlineStr">
        <is>
          <t>Feeling panicky about current bgl</t>
        </is>
      </c>
      <c r="C5313" t="inlineStr">
        <is>
          <t>I’m away from home for a few days, staying with my boyfriends family, and I forgot my glucagon. I’ve eaten pretty inconsistently tonight and my blood sugar has just checked in at 3.5mmol with 5.1u active insulin. I’ve chugged like 500ml of juice, but the whole situation is making me very nervous. I have generalised anxiety disorder and health anxiety (hypochondria) and this is probably why I’m really struggling to calm down. what can I do?</t>
        </is>
      </c>
      <c r="D5313" t="n">
        <v>3</v>
      </c>
      <c r="E5313" t="n">
        <v>5</v>
      </c>
      <c r="F5313">
        <f>HYPERLINK("https://www.reddit.com/r/diabetes/comments/9fs9e4/feeling_panicky_about_current_bgl/")</f>
        <v/>
      </c>
      <c r="G5313" t="inlineStr">
        <is>
          <t>2018-09-14 07:04:08</t>
        </is>
      </c>
      <c r="H5313" t="inlineStr">
        <is>
          <t>Type 1</t>
        </is>
      </c>
    </row>
    <row r="5314">
      <c r="A5314" t="inlineStr">
        <is>
          <t>9fss8x</t>
        </is>
      </c>
      <c r="B5314" t="inlineStr">
        <is>
          <t>Type 2 treatment, and the 100yr circle.</t>
        </is>
      </c>
      <c r="C5314" t="inlineStr">
        <is>
          <t xml:space="preserve">So, I just found out that my work access for engineering standards also give me access to a lot of old medical journals. So I took a gander at this article by Dr. George Nesbitt in 1916.  
"In the milder types, the measures ordinarily used in
human diabetes--namely, restriction of carbohydrate or
protein and brief fasting if necessary--suffice to keep the
animal sugar-free and in good condition indefinitely." 
Yup, 100 years later we figure out cutting carbs and IF can help manage A1C. 
Full citation: Nesbitt, George E; Remarks on the Allen Treatment of Diabetes; Dublin Journal of Medical Science; December 1916, Volume 142, Issue 6, pp379-385. </t>
        </is>
      </c>
      <c r="D5314" t="n">
        <v>2</v>
      </c>
      <c r="E5314" t="n">
        <v>7</v>
      </c>
      <c r="F5314">
        <f>HYPERLINK("https://www.reddit.com/r/diabetes/comments/9fss8x/type_2_treatment_and_the_100yr_circle/")</f>
        <v/>
      </c>
      <c r="G5314" t="inlineStr">
        <is>
          <t>2018-09-14 08:08:08</t>
        </is>
      </c>
      <c r="H5314" t="inlineStr">
        <is>
          <t>Type 2</t>
        </is>
      </c>
    </row>
    <row r="5315">
      <c r="A5315" t="inlineStr">
        <is>
          <t>9fy3eu</t>
        </is>
      </c>
      <c r="B5315" t="inlineStr">
        <is>
          <t>The dreaded "loop of death"</t>
        </is>
      </c>
      <c r="C5315" t="inlineStr">
        <is>
          <t>So, last week, I had my first 'loop of death' with the 670g Medtronic system auto-mode. I did what my endos and diabetes groups suggest-when asked for a second BG, wait 20-45 minutes or so, *then* enter a BG-and it worked fine. No problems.
But today was sensor change day, and around three in the afternoon is when I entered the BG for auto-mode. It is now roughly 10:30pm... and been doing the loop since then, despite me waiting and waiting... and waiting. *Still* will not enter auto-mode. It runs on manual mode just fine, but I waited a half hour the first time I got the enter a BG message a second time-then about 45 minutes to an hour after, and still get either "waiting for BG" despite entering one, or I get asked to calibrate, I do, and it starts all over again. Is this a sign of a borked sensor? I'm not getting any weird readings on it-it's fine matching what's appearing on manual mode but it just doesn't want to seem to take the BG I enter to put it into Auto. Should I turn the sensor off, then on to see if this helps? Re-insert a new one? (The only thing I can think of is it did sting a little more where I inserted, and maybe it's not the greatest spot? (I didn't notice any blood, though.)</t>
        </is>
      </c>
      <c r="D5315" t="n">
        <v>2</v>
      </c>
      <c r="E5315" t="n">
        <v>4</v>
      </c>
      <c r="F5315">
        <f>HYPERLINK("https://www.reddit.com/r/diabetes/comments/9fy3eu/the_dreaded_loop_of_death/")</f>
        <v/>
      </c>
      <c r="G5315" t="inlineStr">
        <is>
          <t>2018-09-14 19:35:15</t>
        </is>
      </c>
      <c r="H5315" t="inlineStr">
        <is>
          <t>Type 1</t>
        </is>
      </c>
    </row>
    <row r="5316">
      <c r="A5316" t="inlineStr">
        <is>
          <t>9fyy91</t>
        </is>
      </c>
      <c r="B5316" t="inlineStr">
        <is>
          <t>Is there a way to change insulin without reservoir?</t>
        </is>
      </c>
      <c r="C5316" t="inlineStr">
        <is>
          <t xml:space="preserve">I forgot my reservoirs at home and I’m on a trip away from home. My insulin is low and I need to change it. Is there a way to change the insulin without a reservoir set?? 
I have a Medtronic pump. 
Pls help any way you can, as I’m pretty stressed. Thank you. </t>
        </is>
      </c>
      <c r="D5316" t="n">
        <v>2</v>
      </c>
      <c r="E5316" t="n">
        <v>7</v>
      </c>
      <c r="F5316">
        <f>HYPERLINK("https://www.reddit.com/r/diabetes/comments/9fyy91/is_there_a_way_to_change_insulin_without_reservoir/")</f>
        <v/>
      </c>
      <c r="G5316" t="inlineStr">
        <is>
          <t>2018-09-14 21:59:24</t>
        </is>
      </c>
      <c r="H5316" t="inlineStr">
        <is>
          <t>Type 1</t>
        </is>
      </c>
    </row>
    <row r="5317">
      <c r="A5317" t="inlineStr">
        <is>
          <t>9g2yc1</t>
        </is>
      </c>
      <c r="B5317" t="inlineStr">
        <is>
          <t>contour one bluetooth</t>
        </is>
      </c>
      <c r="C5317" t="inlineStr">
        <is>
          <t>I'm looking for mobile software that will import my meter's entire database.  I found something for the desktop called Tidepool that will grab all my data via USB and upload it to their server, but it didn't offer any way to export it to a csv file or sqlite db.  I tried xdrip, but it only gets the current reading.  Anything out there that's free?</t>
        </is>
      </c>
      <c r="D5317" t="n">
        <v>1</v>
      </c>
      <c r="E5317" t="n">
        <v>4</v>
      </c>
      <c r="F5317">
        <f>HYPERLINK("https://www.reddit.com/r/diabetes/comments/9g2yc1/contour_one_bluetooth/")</f>
        <v/>
      </c>
      <c r="G5317" t="inlineStr">
        <is>
          <t>2018-09-15 09:48:26</t>
        </is>
      </c>
      <c r="H5317" t="inlineStr">
        <is>
          <t>Type 2</t>
        </is>
      </c>
    </row>
    <row r="5318">
      <c r="A5318" t="inlineStr">
        <is>
          <t>9g35g0</t>
        </is>
      </c>
      <c r="B5318" t="inlineStr">
        <is>
          <t>Doctor withholding prescriptions...?</t>
        </is>
      </c>
      <c r="C5318" t="inlineStr">
        <is>
          <t>My girlfriend’s (Type 1) doctor is telling her that her insulin needs to last and ‘x’ amount of time... like a pack of Humalog needs to last you 3 months. Well my girlfriend’s blood sugar typically runs higher and she’s using more insulin. We went to get a refill today AND WE COULDN’T BECAUSE HE DID CALL FOR A SCRIPT AFTER WE TOLD HIM SHE WAS OUT! HE SAID WE NEED TO MAKE AN APPOINTMENT TO SEE HIM BEFORE SHE GETS A REFILL!
Is this okay today? I am outraged at this, I want to walk into this doctors office and knock his lights out.  
This happened a few months ago, and she ended up having to go to the ER for DKA.</t>
        </is>
      </c>
      <c r="D5318" t="n">
        <v>10</v>
      </c>
      <c r="E5318" t="n">
        <v>27</v>
      </c>
      <c r="F5318">
        <f>HYPERLINK("https://www.reddit.com/r/diabetes/comments/9g35g0/doctor_withholding_prescriptions/")</f>
        <v/>
      </c>
      <c r="G5318" t="inlineStr">
        <is>
          <t>2018-09-15 10:12:41</t>
        </is>
      </c>
      <c r="H5318" t="inlineStr">
        <is>
          <t>Type 1</t>
        </is>
      </c>
    </row>
    <row r="5319">
      <c r="A5319" t="inlineStr">
        <is>
          <t>9g457d</t>
        </is>
      </c>
      <c r="B5319" t="inlineStr">
        <is>
          <t>Is dramatically reducing long-lasting insulin bad?</t>
        </is>
      </c>
      <c r="C5319" t="inlineStr">
        <is>
          <t>After getting frustrated at the fact that I couldn't eat literally anything with carbs in it between meals, I started to increase  my Levemir dosage quite dramatically. After realising I don't actually *want* to eat between meals, the only difference this increase has made is multiplying the amount of lows I have by about 3x. Since realising this, I want reduce my Levemir dosage from 12 units to 5 units. Can I just go straight down to 5, or do I have to do it gradually? Thanks!</t>
        </is>
      </c>
      <c r="D5319" t="n">
        <v>4</v>
      </c>
      <c r="E5319" t="n">
        <v>16</v>
      </c>
      <c r="F5319">
        <f>HYPERLINK("https://www.reddit.com/r/diabetes/comments/9g457d/is_dramatically_reducing_longlasting_insulin_bad/")</f>
        <v/>
      </c>
      <c r="G5319" t="inlineStr">
        <is>
          <t>2018-09-15 12:17:50</t>
        </is>
      </c>
      <c r="H5319" t="inlineStr">
        <is>
          <t>Type 1</t>
        </is>
      </c>
    </row>
    <row r="5320">
      <c r="A5320" t="inlineStr">
        <is>
          <t>9g674z</t>
        </is>
      </c>
      <c r="B5320" t="inlineStr">
        <is>
          <t>Does anybody want to try this with me?</t>
        </is>
      </c>
      <c r="C5320" t="inlineStr">
        <is>
          <t>[Natural sugar only for 30 days](https://www.youtube.com/watch?v=wBtslkL5nUA)</t>
        </is>
      </c>
      <c r="D5320" t="n">
        <v>0</v>
      </c>
      <c r="E5320" t="n">
        <v>5</v>
      </c>
      <c r="F5320">
        <f>HYPERLINK("https://www.reddit.com/r/diabetes/comments/9g674z/does_anybody_want_to_try_this_with_me/")</f>
        <v/>
      </c>
      <c r="G5320" t="inlineStr">
        <is>
          <t>2018-09-15 16:58:39</t>
        </is>
      </c>
      <c r="H5320" t="inlineStr">
        <is>
          <t>Type 2</t>
        </is>
      </c>
    </row>
    <row r="5321">
      <c r="A5321" t="inlineStr">
        <is>
          <t>9g6r3l</t>
        </is>
      </c>
      <c r="B5321" t="inlineStr">
        <is>
          <t>If it's not one thing...</t>
        </is>
      </c>
      <c r="C5321" t="inlineStr">
        <is>
          <t>So I had an a1c recently, and I hit a personal best (at least for say the last 20y or so) of 7.0.  I was happy, to say the least. (Took a *lot* of work... As I'm sure we can appreciate)  But it came with an unexpected spike in my LDL. (143). And I'm usually under 100... So that was very unexpected, and makes me sad.  I already take a satin... So I guess i will see what's next, (apt next week).  But sometimes I feel like I can't catch a break.
It's frustrating.</t>
        </is>
      </c>
      <c r="D5321" t="n">
        <v>38</v>
      </c>
      <c r="E5321" t="n">
        <v>6</v>
      </c>
      <c r="F5321">
        <f>HYPERLINK("https://www.reddit.com/r/diabetes/comments/9g6r3l/if_its_not_one_thing/")</f>
        <v/>
      </c>
      <c r="G5321" t="inlineStr">
        <is>
          <t>2018-09-15 18:19:58</t>
        </is>
      </c>
      <c r="H5321" t="inlineStr">
        <is>
          <t>Type 1</t>
        </is>
      </c>
    </row>
    <row r="5322">
      <c r="A5322" t="inlineStr">
        <is>
          <t>9gb80j</t>
        </is>
      </c>
      <c r="B5322" t="inlineStr">
        <is>
          <t>Are Diabetics usually lactose intolerant?</t>
        </is>
      </c>
      <c r="C5322" t="inlineStr">
        <is>
          <t>I've finally realized Im lactose intolerant and was curious does having type two diabetes have any role in being lactose intolerant.</t>
        </is>
      </c>
      <c r="D5322" t="n">
        <v>2</v>
      </c>
      <c r="E5322" t="n">
        <v>13</v>
      </c>
      <c r="F5322">
        <f>HYPERLINK("https://www.reddit.com/r/diabetes/comments/9gb80j/are_diabetics_usually_lactose_intolerant/")</f>
        <v/>
      </c>
      <c r="G5322" t="inlineStr">
        <is>
          <t>2018-09-16 08:06:21</t>
        </is>
      </c>
      <c r="H5322" t="inlineStr">
        <is>
          <t>Type 2</t>
        </is>
      </c>
    </row>
    <row r="5323">
      <c r="A5323" t="inlineStr">
        <is>
          <t>9gcvt9</t>
        </is>
      </c>
      <c r="B5323" t="inlineStr">
        <is>
          <t>So my endo is out until the end of October and I have no idea how to switch from Levemir to Toujeo. Is it 1 to 1?</t>
        </is>
      </c>
      <c r="C5323" t="inlineStr">
        <is>
          <t>Is it a 1 to 1 switch? What if I am taking split Levemir doses? Just combine them and take that in Toujeo, but maybe a little less to be safe and adjust from there?
&amp;amp;#x200B;
How did you guys do it?
&amp;amp;#x200B;
I used to take Lantus and switched to Levemir and needed to up the dose like 15% and split.</t>
        </is>
      </c>
      <c r="D5323" t="n">
        <v>1</v>
      </c>
      <c r="E5323" t="n">
        <v>1</v>
      </c>
      <c r="F5323">
        <f>HYPERLINK("https://www.reddit.com/r/diabetes/comments/9gcvt9/so_my_endo_is_out_until_the_end_of_october_and_i/")</f>
        <v/>
      </c>
      <c r="G5323" t="inlineStr">
        <is>
          <t>2018-09-16 11:29:41</t>
        </is>
      </c>
      <c r="H5323" t="inlineStr">
        <is>
          <t>Type 1</t>
        </is>
      </c>
    </row>
    <row r="5324">
      <c r="A5324" t="inlineStr">
        <is>
          <t>9gdju1</t>
        </is>
      </c>
      <c r="B5324" t="inlineStr">
        <is>
          <t>DKA</t>
        </is>
      </c>
      <c r="C5324" t="inlineStr">
        <is>
          <t xml:space="preserve">I think I'm in DKA. Shortness of breath, slurred speech, high BG. It's been like this for days now. 
I'm waiting for the kids to head to bed then I'm going to go to the hospital. 
Should I wait? The last time this happened I was in a coma like sleep for 3 days. Small stroke in my right cerebellum and pneumonia. 
I'm scared. </t>
        </is>
      </c>
      <c r="D5324" t="n">
        <v>0</v>
      </c>
      <c r="E5324" t="n">
        <v>9</v>
      </c>
      <c r="F5324">
        <f>HYPERLINK("https://www.reddit.com/r/diabetes/comments/9gdju1/dka/")</f>
        <v/>
      </c>
      <c r="G5324" t="inlineStr">
        <is>
          <t>2018-09-16 12:50:39</t>
        </is>
      </c>
      <c r="H5324" t="inlineStr">
        <is>
          <t>Type 1</t>
        </is>
      </c>
    </row>
    <row r="5325">
      <c r="A5325" t="inlineStr">
        <is>
          <t>9gdla2</t>
        </is>
      </c>
      <c r="B5325" t="inlineStr">
        <is>
          <t>Tandem T-slim X2. Insertion site begins to leak between the 2-3 day mark...not 3 full days. Anyone share the same experience?</t>
        </is>
      </c>
      <c r="C5325" t="inlineStr">
        <is>
          <t xml:space="preserve">Using the AutoSoft 30 insertions because they are for people with little body fat. </t>
        </is>
      </c>
      <c r="D5325" t="n">
        <v>3</v>
      </c>
      <c r="E5325" t="n">
        <v>14</v>
      </c>
      <c r="F5325">
        <f>HYPERLINK("https://www.reddit.com/r/diabetes/comments/9gdla2/tandem_tslim_x2_insertion_site_begins_to_leak/")</f>
        <v/>
      </c>
      <c r="G5325" t="inlineStr">
        <is>
          <t>2018-09-16 12:55:45</t>
        </is>
      </c>
      <c r="H5325" t="inlineStr">
        <is>
          <t>Type 1</t>
        </is>
      </c>
    </row>
    <row r="5326">
      <c r="A5326" t="inlineStr">
        <is>
          <t>9geb3k</t>
        </is>
      </c>
      <c r="B5326" t="inlineStr">
        <is>
          <t>My sister runs "citizenship" newsletters for her office and as a part of "Diabetes Awareness Week" asked me to write about my experiences as a diabetic....</t>
        </is>
      </c>
      <c r="C5326" t="inlineStr">
        <is>
          <t xml:space="preserve">I posted it on my blog, and I was told it might be worth sharing? 
[https://wordswontsaveyou.wordpress.com/2018/09/16/diabetes/](https://wordswontsaveyou.wordpress.com/2018/09/16/diabetes/)
Constructive criticism more than appreciated! I'm not the type of person to judge. I don't want anyone to feel belittled or anything by this. </t>
        </is>
      </c>
      <c r="D5326" t="n">
        <v>3</v>
      </c>
      <c r="E5326" t="n">
        <v>6</v>
      </c>
      <c r="F5326">
        <f>HYPERLINK("https://www.reddit.com/r/diabetes/comments/9geb3k/my_sister_runs_citizenship_newsletters_for_her/")</f>
        <v/>
      </c>
      <c r="G5326" t="inlineStr">
        <is>
          <t>2018-09-16 14:22:18</t>
        </is>
      </c>
      <c r="H5326" t="inlineStr">
        <is>
          <t>Type 1</t>
        </is>
      </c>
    </row>
    <row r="5327">
      <c r="A5327" t="inlineStr">
        <is>
          <t>9gfju7</t>
        </is>
      </c>
      <c r="B5327" t="inlineStr">
        <is>
          <t>Longterm Travel/Expat Insurance</t>
        </is>
      </c>
      <c r="C5327" t="inlineStr">
        <is>
          <t>Hey Friends, did a quick search for this already, but all the posts I could find were a few years old, but apologies if I missed something.
I am a US citizen who is about to turn 26, which means I'm no longer able to use my mom's health insurance through her employer. I have been travelling outside the US for the last couple of years and had everything worked out with my insurance to get my insulin and supplies (Type 1 diabetes with a Medtronic pump). I am planning (or maybe hoping) to continue travelling for another couple years. The plan is to move to Australia for the next year. Does anyone have any experience with anything similar? I can't seem to find any travel/expat health insurance plans that will cover Type 1 Diabetes or insulin.</t>
        </is>
      </c>
      <c r="D5327" t="n">
        <v>2</v>
      </c>
      <c r="E5327" t="n">
        <v>2</v>
      </c>
      <c r="F5327">
        <f>HYPERLINK("https://www.reddit.com/r/diabetes/comments/9gfju7/longterm_travelexpat_insurance/")</f>
        <v/>
      </c>
      <c r="G5327" t="inlineStr">
        <is>
          <t>2018-09-16 17:12:26</t>
        </is>
      </c>
      <c r="H5327" t="inlineStr">
        <is>
          <t>Type 1</t>
        </is>
      </c>
    </row>
    <row r="5328">
      <c r="A5328" t="inlineStr">
        <is>
          <t>9gkfaw</t>
        </is>
      </c>
      <c r="B5328" t="inlineStr">
        <is>
          <t>Insurance for Dexcom and Pumps</t>
        </is>
      </c>
      <c r="C5328" t="inlineStr">
        <is>
          <t xml:space="preserve">Hey guys, I am wondering if anyone know if distributors can put pumps and CGM’s under durable supplies? I am currently still on my parents insurance (thank god) but I have the option to go on my wife’s now and her insurance covers %100 of durable medical supplies. 
Would all of a CGM be covered? What parts of a pump will be covered by durable? Thank you for your help! </t>
        </is>
      </c>
      <c r="D5328" t="n">
        <v>2</v>
      </c>
      <c r="E5328" t="n">
        <v>6</v>
      </c>
      <c r="F5328">
        <f>HYPERLINK("https://www.reddit.com/r/diabetes/comments/9gkfaw/insurance_for_dexcom_and_pumps/")</f>
        <v/>
      </c>
      <c r="G5328" t="inlineStr">
        <is>
          <t>2018-09-17 06:44:24</t>
        </is>
      </c>
      <c r="H5328" t="inlineStr">
        <is>
          <t>Type 1</t>
        </is>
      </c>
    </row>
    <row r="5329">
      <c r="A5329" t="inlineStr">
        <is>
          <t>9gn5xe</t>
        </is>
      </c>
      <c r="B5329" t="inlineStr">
        <is>
          <t>Does the contraceptive pill affect your BGs?</t>
        </is>
      </c>
      <c r="C5329" t="inlineStr">
        <is>
          <t xml:space="preserve">This may be obvious to a lot of you T1 ladies, but has anyone switched from the combined pill to a progesterone only one and seen their BGs drop? I've been on the combined pill for 12 years. Been off it for 2 weeks and my blood sugar has never been so consistently good! 
I can find some information about oestrogen and insulin online, but I'm looking for some anecdotal tales :)  </t>
        </is>
      </c>
      <c r="D5329" t="n">
        <v>3</v>
      </c>
      <c r="E5329" t="n">
        <v>1</v>
      </c>
      <c r="F5329">
        <f>HYPERLINK("https://www.reddit.com/r/diabetes/comments/9gn5xe/does_the_contraceptive_pill_affect_your_bgs/")</f>
        <v/>
      </c>
      <c r="G5329" t="inlineStr">
        <is>
          <t>2018-09-17 11:55:59</t>
        </is>
      </c>
      <c r="H5329" t="inlineStr">
        <is>
          <t>Type 1</t>
        </is>
      </c>
    </row>
    <row r="5330">
      <c r="A5330" t="inlineStr">
        <is>
          <t>9gnh5v</t>
        </is>
      </c>
      <c r="B5330" t="inlineStr">
        <is>
          <t>Strange Drop in Price of Humalog at CVS Pharamacy</t>
        </is>
      </c>
      <c r="C5330" t="inlineStr">
        <is>
          <t>So I have Aetna insurance and have been using the same Target Pharmacy which is now CVS for years. Typically my one month supply of Humalog costs somewhere between $1000-$1200 and then my company has an HRA plan the refunds me 60% of whatever I pay at the Pharmacy.
&amp;amp;#x200B;
The last two times I've picked up my insulin though, it has been a flat $95 with a line item on the prescription that says "Coupon" with a price that makes up the difference between the total cost and the $95 I paid. When I check my explanation of benefits from Aetna, the full amount is applied towards my deductible, not just the $95 I paid.
&amp;amp;#x200B;
The pharmacist said it could be some new system of theirs that automatically seeks out coupons or it could be some sort of subsidized price from Eli Lily.
&amp;amp;#x200B;
Has anybody else had something like this happen recently?</t>
        </is>
      </c>
      <c r="D5330" t="n">
        <v>4</v>
      </c>
      <c r="E5330" t="n">
        <v>11</v>
      </c>
      <c r="F5330">
        <f>HYPERLINK("https://www.reddit.com/r/diabetes/comments/9gnh5v/strange_drop_in_price_of_humalog_at_cvs_pharamacy/")</f>
        <v/>
      </c>
      <c r="G5330" t="inlineStr">
        <is>
          <t>2018-09-17 12:30:46</t>
        </is>
      </c>
      <c r="H5330" t="inlineStr">
        <is>
          <t>Type 1</t>
        </is>
      </c>
    </row>
    <row r="5331">
      <c r="A5331" t="inlineStr">
        <is>
          <t>9gqsx2</t>
        </is>
      </c>
      <c r="B5331" t="inlineStr">
        <is>
          <t>Steady Shot: Reduce Lipodystrophy Campaign</t>
        </is>
      </c>
      <c r="C5331" t="inlineStr">
        <is>
          <t>Hi Everyone. I inject insulin and started to get lipo. Since I didn’t want it to get worse, I thought of an idea to make rotating injection sites easier. Please share my GoFundMe to help fight lipo!
[https://www.gofundme.com/xtvuqa-steady-shot&amp;amp;rcid=r01-153723601975-d4c4c10005c24a05&amp;amp;pc=ot\_co\_campmgmt\_w](https://www.gofundme.com/xtvuqa-steady-shot&amp;amp;rcid=r01-153723601975-d4c4c10005c24a05&amp;amp;pc=ot_co_campmgmt_w)</t>
        </is>
      </c>
      <c r="D5331" t="n">
        <v>1</v>
      </c>
      <c r="E5331" t="n">
        <v>1</v>
      </c>
      <c r="F5331">
        <f>HYPERLINK("https://www.reddit.com/r/diabetes/comments/9gqsx2/steady_shot_reduce_lipodystrophy_campaign/")</f>
        <v/>
      </c>
      <c r="G5331" t="inlineStr">
        <is>
          <t>2018-09-17 19:24:30</t>
        </is>
      </c>
      <c r="H5331" t="inlineStr">
        <is>
          <t>Type 1</t>
        </is>
      </c>
    </row>
    <row r="5332">
      <c r="A5332" t="inlineStr">
        <is>
          <t>9gsf0l</t>
        </is>
      </c>
      <c r="B5332" t="inlineStr">
        <is>
          <t>How do I nderstand this disease and it’s symptoms?</t>
        </is>
      </c>
      <c r="C5332" t="inlineStr">
        <is>
          <t>Hey everyone for the past 5 years I would experience type 2/prediabetes symptoms on and off. I would get the pins and needle in the hands and feet, frequent urination (5 times in a hour), and crazy thirst all randomly along with the rare blurred vision.
My mom has type 2 diabetes and had it before I was born. So far none of my siblings have type 2 (that I am aware of) but we all have an unhealthy diet. I would occasionally use my mom’s blood glucose meter to check my fasting/after meal blood levels. Every time I did that I was at the normal range. I went to the doctor to get a blood test because I was too anxious and was experiencing the symptoms. The results came in and I was at a healthy blood sugar level according to my doctor.
So I spent this summer changing my diet completely so I can live a diabetes free life. I lost 20lbs in the span of 3 months, I cut off all sugars, junk food, and high card foods. My symptoms all went away. HOWEVER, I slipped a bit in my diet (friends party/holiday/religious gathering) and ate a lot of junk foods that were not healthy at all. I still kept my calorie intake the same so I wasn’t over indulging. But now I’m starting to feel pins and needles again, I had a episode of frequent urination a couple days ago. 
I don’t know what’s happening, and why I am experiencing symptoms of diabetes when my blood work shows that I am at a healthy blood range.Do I go back to my doctor and talk about this? Last time they told me not to worry because I was “good.”
Are these symptoms coming from something else? Anyone else having these problems? 
Not sure if this matters but I am a Male 5’11 215lbs currently.</t>
        </is>
      </c>
      <c r="D5332" t="n">
        <v>2</v>
      </c>
      <c r="E5332" t="n">
        <v>6</v>
      </c>
      <c r="F5332">
        <f>HYPERLINK("https://www.reddit.com/r/diabetes/comments/9gsf0l/how_do_i_nderstand_this_disease_and_its_symptoms/")</f>
        <v/>
      </c>
      <c r="G5332" t="inlineStr">
        <is>
          <t>2018-09-17 23:35:00</t>
        </is>
      </c>
      <c r="H5332" t="inlineStr">
        <is>
          <t>Type 2</t>
        </is>
      </c>
    </row>
    <row r="5333">
      <c r="A5333" t="inlineStr">
        <is>
          <t>9gueim</t>
        </is>
      </c>
      <c r="B5333" t="inlineStr">
        <is>
          <t>Am I eligible for the Freestle Libre?</t>
        </is>
      </c>
      <c r="C5333" t="inlineStr">
        <is>
          <t>Hey guys I'm a 22 Year old from the UK looking for a bit of help regarding the Libre and what requirement's are needed to get my hands on one. I'd also like to know how people are getting on with them, what the pro's and con's are, &amp;amp; whether they've been using this device for a while now or are still fairly new and adjusting to it. 
Much appreciated.</t>
        </is>
      </c>
      <c r="D5333" t="n">
        <v>0</v>
      </c>
      <c r="E5333" t="n">
        <v>1</v>
      </c>
      <c r="F5333">
        <f>HYPERLINK("https://www.reddit.com/r/diabetes/comments/9gueim/am_i_eligible_for_the_freestle_libre/")</f>
        <v/>
      </c>
      <c r="G5333" t="inlineStr">
        <is>
          <t>2018-09-18 05:32:50</t>
        </is>
      </c>
      <c r="H5333" t="inlineStr">
        <is>
          <t>Type 1</t>
        </is>
      </c>
    </row>
    <row r="5334">
      <c r="A5334" t="inlineStr">
        <is>
          <t>9guizh</t>
        </is>
      </c>
      <c r="B5334" t="inlineStr">
        <is>
          <t>Research opportunity!</t>
        </is>
      </c>
      <c r="C5334" t="inlineStr">
        <is>
          <t xml:space="preserve">&amp;amp;#x200B;
https://i.redd.it/b8qapkhqszm11.png
This research opportunity is intended to benefit this Reddit community by facilitating discussions about diabetes managements and providing opportunities to improve diabetes management. Compensation information and estimated time are provided on the flyer. 
Email [healthyrelationships@g.syr.edu](mailto:healthyrelationships@g.syr.edu) to receive more information and to schedule a time to participate. Alternatively, email Dr. Jakubiak directly at [bkjakubi@syr.edu](mailto:bkjakubi@syr.edu). If you have questions or concerns about this study, you may also contact our IRB at Syracuse University (315.443.3013). </t>
        </is>
      </c>
      <c r="D5334" t="n">
        <v>0</v>
      </c>
      <c r="E5334" t="n">
        <v>2</v>
      </c>
      <c r="F5334">
        <f>HYPERLINK("https://www.reddit.com/r/diabetes/comments/9guizh/research_opportunity/")</f>
        <v/>
      </c>
      <c r="G5334" t="inlineStr">
        <is>
          <t>2018-09-18 05:48:43</t>
        </is>
      </c>
      <c r="H5334" t="inlineStr">
        <is>
          <t>Type 2</t>
        </is>
      </c>
    </row>
    <row r="5335">
      <c r="A5335" t="inlineStr">
        <is>
          <t>9gum0o</t>
        </is>
      </c>
      <c r="B5335" t="inlineStr">
        <is>
          <t>Paid research opportunity!</t>
        </is>
      </c>
      <c r="C5335" t="inlineStr">
        <is>
          <t>&amp;amp;#x200B;
*Processing img 2g212hs0vzm11...*
This research opportunity is intended to benefit this Reddit community by facilitating discussions about diabetes managements and providing opportunities to improve diabetes management. Compensation information and estimated time are provided on the flyer.
Email **healthyrelationships@g.syr.edu** to receive more information and to schedule a time to participate. Alternatively, email Dr. Jakubiak directly at **bkjakubi@syr.edu**. If you have questions or concerns about this study, you may also contact our IRB at Syracuse University (315.443.3013).</t>
        </is>
      </c>
      <c r="D5335" t="n">
        <v>1</v>
      </c>
      <c r="E5335" t="n">
        <v>2</v>
      </c>
      <c r="F5335">
        <f>HYPERLINK("https://www.reddit.com/r/diabetes/comments/9gum0o/paid_research_opportunity/")</f>
        <v/>
      </c>
      <c r="G5335" t="inlineStr">
        <is>
          <t>2018-09-18 06:00:22</t>
        </is>
      </c>
      <c r="H5335" t="inlineStr">
        <is>
          <t>Type 2</t>
        </is>
      </c>
    </row>
    <row r="5336">
      <c r="A5336" t="inlineStr">
        <is>
          <t>9gw2al</t>
        </is>
      </c>
      <c r="B5336" t="inlineStr">
        <is>
          <t>Why can't I get real life insurance?</t>
        </is>
      </c>
      <c r="C5336" t="inlineStr">
        <is>
          <t>Seriously?  I have an excellent insurance agent and the best he's ever been able to offer was recurring term-life insurance.
Can't I get some sort of medical documentation that I'm healthier than the majority of the USA?  My A1c was 5.6 for crying out loud.</t>
        </is>
      </c>
      <c r="D5336" t="n">
        <v>1</v>
      </c>
      <c r="E5336" t="n">
        <v>8</v>
      </c>
      <c r="F5336">
        <f>HYPERLINK("https://www.reddit.com/r/diabetes/comments/9gw2al/why_cant_i_get_real_life_insurance/")</f>
        <v/>
      </c>
      <c r="G5336" t="inlineStr">
        <is>
          <t>2018-09-18 08:56:46</t>
        </is>
      </c>
      <c r="H5336" t="inlineStr">
        <is>
          <t>Type 1</t>
        </is>
      </c>
    </row>
    <row r="5337">
      <c r="A5337" t="inlineStr">
        <is>
          <t>9gx0pb</t>
        </is>
      </c>
      <c r="B5337" t="inlineStr">
        <is>
          <t>DKA: Update</t>
        </is>
      </c>
      <c r="C5337" t="inlineStr">
        <is>
          <t xml:space="preserve">I took everyone's advice and headed to the hospital asap. 
My EKG and CT came back normal. I was still having trouble breathing and horrific heart burn which I'm still having. They chalked it up to marijuana use!!!!!!!!
I smoke maybe every week, but the doc said it could be the cause of it and discharged me home. 
I'm waiting for an appointment with my endocrinologist. After I see her I'm going to ask for a referral for a GI doctor. There's something else going on. I puke almost every morning and its always from 18+ hours prior. The heartburn is killing me and now I'm at the point I don't want to eat. 
Diabetes sucks. </t>
        </is>
      </c>
      <c r="D5337" t="n">
        <v>2</v>
      </c>
      <c r="E5337" t="n">
        <v>8</v>
      </c>
      <c r="F5337">
        <f>HYPERLINK("https://www.reddit.com/r/diabetes/comments/9gx0pb/dka_update/")</f>
        <v/>
      </c>
      <c r="G5337" t="inlineStr">
        <is>
          <t>2018-09-18 10:43:37</t>
        </is>
      </c>
      <c r="H5337" t="inlineStr">
        <is>
          <t>Type 1</t>
        </is>
      </c>
    </row>
    <row r="5338">
      <c r="A5338" t="inlineStr">
        <is>
          <t>9h0vji</t>
        </is>
      </c>
      <c r="B5338" t="inlineStr">
        <is>
          <t>Questions about switching to a pump?</t>
        </is>
      </c>
      <c r="C5338" t="inlineStr">
        <is>
          <t xml:space="preserve">Hey! So Type 1 here. I've been to the ER with DKA a couple times in the last two years. I've been doing regular Lantus and Humalog injections for a long time but feel like I'm either too high or too low. I finally have insurance that's gonna let me see an endo again and I wanted to research an insulin pump and gcm combo that might help me out. My problem is that I am on a terribly tight budget and don't know if there are affordable diabetes management systems out there. 
Do you have any pointers or places I should check out? </t>
        </is>
      </c>
      <c r="D5338" t="n">
        <v>1</v>
      </c>
      <c r="E5338" t="n">
        <v>8</v>
      </c>
      <c r="F5338">
        <f>HYPERLINK("https://www.reddit.com/r/diabetes/comments/9h0vji/questions_about_switching_to_a_pump/")</f>
        <v/>
      </c>
      <c r="G5338" t="inlineStr">
        <is>
          <t>2018-09-18 18:33:12</t>
        </is>
      </c>
      <c r="H5338" t="inlineStr">
        <is>
          <t>Type 1</t>
        </is>
      </c>
    </row>
    <row r="5339">
      <c r="A5339" t="inlineStr">
        <is>
          <t>9h71vp</t>
        </is>
      </c>
      <c r="B5339" t="inlineStr">
        <is>
          <t>Dexcom or freestyle libre on nhs</t>
        </is>
      </c>
      <c r="C5339" t="inlineStr">
        <is>
          <t xml:space="preserve">My boyfriend is T1 and has been reading a lot in here about the Dexcom G6 and the freestyle libre and is really interested about getting one to stop him having to finger prick but can not afford to buy this himself. 
So what I am wondering is does anyone know if either are available on the nhs in the east Kent health authority in England? </t>
        </is>
      </c>
      <c r="D5339" t="n">
        <v>4</v>
      </c>
      <c r="E5339" t="n">
        <v>4</v>
      </c>
      <c r="F5339">
        <f>HYPERLINK("https://www.reddit.com/r/diabetes/comments/9h71vp/dexcom_or_freestyle_libre_on_nhs/")</f>
        <v/>
      </c>
      <c r="G5339" t="inlineStr">
        <is>
          <t>2018-09-19 10:13:40</t>
        </is>
      </c>
      <c r="H5339" t="inlineStr">
        <is>
          <t>Type 1</t>
        </is>
      </c>
    </row>
    <row r="5340">
      <c r="A5340" t="inlineStr">
        <is>
          <t>9h7ca0</t>
        </is>
      </c>
      <c r="B5340" t="inlineStr">
        <is>
          <t>Recntly Diagnosed, could use help/advice</t>
        </is>
      </c>
      <c r="C5340" t="inlineStr">
        <is>
          <t xml:space="preserve">Hi all, so I was recently diagnosed with type 2 and Hashimotos. It's been hard for me to come to terms with it and it's hard saying it out loud so I thought I'd start here... I have diabetes. I'm a 26 y.o male, my glucose was around 300 when I was diagnosed and my A1cs about 11 iirc. I know those numbers are extremely high. During my last visit my fasting glucose was 205. There was about 2 weeks between visits. 
I was diagnosed a few weeks ago and since then have been taking small steps. I got a bike and have really started trying to go out daily. Coming from a fairly sedentary lifestyle I think I'm doing ok. I've cut out excess sugar and tried replacing stuff with diet or sugar-free/light versions. I've also been counting carbs and looking at product labels. In my eyes I'm doing pretty badly, but I also used to eat a LOT to counteract my anxiety and depression. So making this drastic change has been hard. I've read posts on here saying to not to think if foods as off-limits or "bad" wasn't necessarily the right course of action, but that way of thinking has actually helped me a bunch. It's useful for me to think that way. I have yet to see an endocrinologist or a nutritionist yet, but I do plan on it within the coming weeks. 
I just got my glucometer but haven't checked it yet as the instructions were daunting and I don't have anything for sharp disposal yet. Part of my posting on here is to ask how I should deal with that. What types of containers do I get? Is there a specific place I go to, to dispose of sharp containers? Etc. Also any advice for meals, meal planning, snacks, and just general helpful tips. 
This sucks and in my head I keep yelling at myself. It's like I'm looking at myself through a one-way, soundproof mirror yelling at how stupid I am. And I know the other me is there and I think he's saying even worse things. Being depressed is awful and I could barely deal with that, now I have all this additional stuff to deal with, and my only support is my gf who I don't want to burden more. 
So, thanks for reading. </t>
        </is>
      </c>
      <c r="D5340" t="n">
        <v>3</v>
      </c>
      <c r="E5340" t="n">
        <v>9</v>
      </c>
      <c r="F5340">
        <f>HYPERLINK("https://www.reddit.com/r/diabetes/comments/9h7ca0/recntly_diagnosed_could_use_helpadvice/")</f>
        <v/>
      </c>
      <c r="G5340" t="inlineStr">
        <is>
          <t>2018-09-19 10:46:56</t>
        </is>
      </c>
      <c r="H5340" t="inlineStr">
        <is>
          <t>Type 2</t>
        </is>
      </c>
    </row>
    <row r="5341">
      <c r="A5341" t="inlineStr">
        <is>
          <t>9hcd94</t>
        </is>
      </c>
      <c r="B5341" t="inlineStr">
        <is>
          <t>Does the amount of fiber in a food affect how much insulin you take?</t>
        </is>
      </c>
      <c r="C5341" t="inlineStr">
        <is>
          <t xml:space="preserve">I have an app (carb manager) that gives me the ‘total carbs’ and ‘net carbs’ - total carbs is exacty what the name infers and net carbs is total carbs minus fiber. </t>
        </is>
      </c>
      <c r="D5341" t="n">
        <v>3</v>
      </c>
      <c r="E5341" t="n">
        <v>11</v>
      </c>
      <c r="F5341">
        <f>HYPERLINK("https://www.reddit.com/r/diabetes/comments/9hcd94/does_the_amount_of_fiber_in_a_food_affect_how/")</f>
        <v/>
      </c>
      <c r="G5341" t="inlineStr">
        <is>
          <t>2018-09-19 21:45:46</t>
        </is>
      </c>
      <c r="H5341" t="inlineStr">
        <is>
          <t>Type 1</t>
        </is>
      </c>
    </row>
    <row r="5342">
      <c r="A5342" t="inlineStr">
        <is>
          <t>9hf1kz</t>
        </is>
      </c>
      <c r="B5342" t="inlineStr">
        <is>
          <t>About to leave to start my 670G, any tips or tricks?</t>
        </is>
      </c>
      <c r="C5342" t="inlineStr">
        <is>
          <t>This is my second pump, I’ve used the 530G for two years.</t>
        </is>
      </c>
      <c r="D5342" t="n">
        <v>8</v>
      </c>
      <c r="E5342" t="n">
        <v>12</v>
      </c>
      <c r="F5342">
        <f>HYPERLINK("https://www.reddit.com/r/diabetes/comments/9hf1kz/about_to_leave_to_start_my_670g_any_tips_or_tricks/")</f>
        <v/>
      </c>
      <c r="G5342" t="inlineStr">
        <is>
          <t>2018-09-20 05:54:08</t>
        </is>
      </c>
      <c r="H5342" t="inlineStr">
        <is>
          <t>Type 1</t>
        </is>
      </c>
    </row>
    <row r="5343">
      <c r="A5343" t="inlineStr">
        <is>
          <t>9hfde0</t>
        </is>
      </c>
      <c r="B5343" t="inlineStr">
        <is>
          <t>T1 Diabetes in the workplace</t>
        </is>
      </c>
      <c r="C5343" t="inlineStr">
        <is>
          <t>TLDR: Went from private office to open cubes, how can I get a better situation for treating privately?
Hello all,
I was diagnosed with type 1 about a year ago, and it ended my military career.  In my short time still in, I had my own office where I could shut a door and close the blinds to treat with my pen, then eventually swap out Dexcoms and Omnipods.  I have since gotten a new job, in business dress cubicle land, and have no such privacy to do what I need to do.  Also, my Omnipods beep all the damn time, which I'm sure drives the people around me crazy. This place, like others, do offer "reasonable accommodations" for disabilities and medical conditions... I'm wondering what would be a reasonable request?  Yes, bathroom is an option, but that's pretty unsanitary in my mind. Ideally, I'd like an office similar to my previous one, with a mini-fridge. Is this asking too much? How do you all deal with it in this sort of situation?
&amp;amp;#x200B;
&amp;amp;#x200B;</t>
        </is>
      </c>
      <c r="D5343" t="n">
        <v>8</v>
      </c>
      <c r="E5343" t="n">
        <v>66</v>
      </c>
      <c r="F5343">
        <f>HYPERLINK("https://www.reddit.com/r/diabetes/comments/9hfde0/t1_diabetes_in_the_workplace/")</f>
        <v/>
      </c>
      <c r="G5343" t="inlineStr">
        <is>
          <t>2018-09-20 06:37:31</t>
        </is>
      </c>
      <c r="H5343" t="inlineStr">
        <is>
          <t>Type 1</t>
        </is>
      </c>
    </row>
    <row r="5344">
      <c r="A5344" t="inlineStr">
        <is>
          <t>9hfqtp</t>
        </is>
      </c>
      <c r="B5344" t="inlineStr">
        <is>
          <t>Threw up morning meds--should he take more?</t>
        </is>
      </c>
      <c r="C5344" t="inlineStr">
        <is>
          <t>My husband was diagnosed with Type II, um, the day before yesterday, so we're very, very new to all this. This morning he took his medication (metaformin and glipizide) with breakfast. Immediately after he became ill and threw up. (We suspect the breakfast rather than the meds.)  
&amp;amp;#x200B;
Should he retake his meds?</t>
        </is>
      </c>
      <c r="D5344" t="n">
        <v>1</v>
      </c>
      <c r="E5344" t="n">
        <v>6</v>
      </c>
      <c r="F5344">
        <f>HYPERLINK("https://www.reddit.com/r/diabetes/comments/9hfqtp/threw_up_morning_medsshould_he_take_more/")</f>
        <v/>
      </c>
      <c r="G5344" t="inlineStr">
        <is>
          <t>2018-09-20 07:27:05</t>
        </is>
      </c>
      <c r="H5344" t="inlineStr">
        <is>
          <t>Type 2</t>
        </is>
      </c>
    </row>
    <row r="5345">
      <c r="A5345" t="inlineStr">
        <is>
          <t>9hg245</t>
        </is>
      </c>
      <c r="B5345" t="inlineStr">
        <is>
          <t>Very confused!!!</t>
        </is>
      </c>
      <c r="C5345" t="inlineStr">
        <is>
          <t xml:space="preserve">Hi everyone! I’ve had type 2 diabetes for a little over a year now. At first, I was managing it very well with diet, but little to no exercise. A few months ago, my A1C went back up after trending down for an entire year. I started exercising regularly (3-4 times a week) and maintained a solid diet. And now my glucose levels are consistently high. I used to maintain levels that went AT MOST to about 130 and now I’m over 200-250 all the time and constantly dehydrated to an uncomfortable level despite hydrating more than enough. I though exercising and dieting would finally turn things around, but I’m only getting worse. Any tips or ideas?
PS The only medication I’m on is trulicity once a week, which I’ve been on for about 9-10 months. </t>
        </is>
      </c>
      <c r="D5345" t="n">
        <v>1</v>
      </c>
      <c r="E5345" t="n">
        <v>4</v>
      </c>
      <c r="F5345">
        <f>HYPERLINK("https://www.reddit.com/r/diabetes/comments/9hg245/very_confused/")</f>
        <v/>
      </c>
      <c r="G5345" t="inlineStr">
        <is>
          <t>2018-09-20 08:07:04</t>
        </is>
      </c>
      <c r="H5345" t="inlineStr">
        <is>
          <t>Type 2</t>
        </is>
      </c>
    </row>
    <row r="5346">
      <c r="A5346" t="inlineStr">
        <is>
          <t>9hhgux</t>
        </is>
      </c>
      <c r="B5346" t="inlineStr">
        <is>
          <t>Your Experience Using Medtronic 670G Smartguard</t>
        </is>
      </c>
      <c r="C5346" t="inlineStr">
        <is>
          <t>How has this gone for you? I'm using the Tandem with G6 integration and Basal IQ currently. I don't know if I could handle giving the pump so much control.  And you can't even set your own values.  From what I understand, it just keeps you in a "target range", from like 70-180 instead of shooting for a hard target like 100.  I feel like my a1c would go up by like 0.5 if I were to use something like this.  Am I missing something?</t>
        </is>
      </c>
      <c r="D5346" t="n">
        <v>1</v>
      </c>
      <c r="E5346" t="n">
        <v>1</v>
      </c>
      <c r="F5346">
        <f>HYPERLINK("https://www.reddit.com/r/diabetes/comments/9hhgux/your_experience_using_medtronic_670g_smartguard/")</f>
        <v/>
      </c>
      <c r="G5346" t="inlineStr">
        <is>
          <t>2018-09-20 11:03:04</t>
        </is>
      </c>
      <c r="H5346" t="inlineStr">
        <is>
          <t>Type 1</t>
        </is>
      </c>
    </row>
    <row r="5347">
      <c r="A5347" t="inlineStr">
        <is>
          <t>9hjk2u</t>
        </is>
      </c>
      <c r="B5347" t="inlineStr">
        <is>
          <t>Newly diagnosed MODY -1 Anyone else?</t>
        </is>
      </c>
      <c r="C5347" t="inlineStr">
        <is>
          <t>Just got my genetic testing back, and my endo said my HNF4a gene showed the mutation leading to Mody-1.  So does that mean one of may parent definitly has Mody -1 as well, or could they be carrying it without symptoms?  Since I really do not see a lot of posts from people with MODY, does anyone has experience with it?  My endo said that sulfonylureas are used and is going to give a baby dose of glipizide.  She is going to continue Metformin 1500, but not sure why.  Anyway, it was relieving to finally have a diagnosis.  Hopefully the testing is accurate! 
41 yr old male. 5,9 155lbs
&amp;amp;#x200B;
Also, why no MODY flair?
&amp;amp;#x200B;</t>
        </is>
      </c>
      <c r="D5347" t="n">
        <v>3</v>
      </c>
      <c r="E5347" t="n">
        <v>2</v>
      </c>
      <c r="F5347">
        <f>HYPERLINK("https://www.reddit.com/r/diabetes/comments/9hjk2u/newly_diagnosed_mody_1_anyone_else/")</f>
        <v/>
      </c>
      <c r="G5347" t="inlineStr">
        <is>
          <t>2018-09-20 15:16:04</t>
        </is>
      </c>
      <c r="H5347" t="inlineStr">
        <is>
          <t>Type 1.5/LADA</t>
        </is>
      </c>
    </row>
    <row r="5348">
      <c r="A5348" t="inlineStr">
        <is>
          <t>9hk4k2</t>
        </is>
      </c>
      <c r="B5348" t="inlineStr">
        <is>
          <t>Decreased insulin delay after fasting?</t>
        </is>
      </c>
      <c r="C5348" t="inlineStr">
        <is>
          <t>TL;DR - does the time it takes for insulin to affect you decrease if you inject after fasting?
&amp;amp;#x200B;
Hi all, T1 here diagnosed last year on MDI. Yesterday was Yom Kippur, a fasting holiday for Jews. I broke my fast with bagels, which typically I inject \~4 units for, wait 15 minutes, then go to town. Having just fasted for a day I took my 4 units and only waited for about 1 minute. "Oh well," I thought, "I guess I'll go a bit high to start and can correct if I'm too high later on." But about 10 minutes later my BG started plummeting. The most likely explanation in my mind is that since I had been fasting the insulin was absorbed into my bloodstream much faster and the 4 units got to max strength before the bagel hit, but I'm curious if others have seen this?</t>
        </is>
      </c>
      <c r="D5348" t="n">
        <v>3</v>
      </c>
      <c r="E5348" t="n">
        <v>2</v>
      </c>
      <c r="F5348">
        <f>HYPERLINK("https://www.reddit.com/r/diabetes/comments/9hk4k2/decreased_insulin_delay_after_fasting/")</f>
        <v/>
      </c>
      <c r="G5348" t="inlineStr">
        <is>
          <t>2018-09-20 16:29:32</t>
        </is>
      </c>
      <c r="H5348" t="inlineStr">
        <is>
          <t>Type 1</t>
        </is>
      </c>
    </row>
    <row r="5349">
      <c r="A5349" t="inlineStr">
        <is>
          <t>9hlafk</t>
        </is>
      </c>
      <c r="B5349" t="inlineStr">
        <is>
          <t>Dexcom G6 Help: Low But Not Low?</t>
        </is>
      </c>
      <c r="C5349" t="inlineStr">
        <is>
          <t>My daughter is T1D, and she recently started using the Dexcom G6, never having had a CGM before. This is her third sensor, and everything has worked fine so far. I applied her new sensor, and she went through the usual warmup period. During that time, she felt low, tested with her meter, was at 60, and treated the low. A little while later, the G6 was done with its warmup and alerted. The circle just says LOW, but when she checked with her meter, she’s at 111. It’s only said LOW since the warmup was finished and has not changed from LOW for at least a half-hour. Does anyone have any similar experience and can offer advice?</t>
        </is>
      </c>
      <c r="D5349" t="n">
        <v>2</v>
      </c>
      <c r="E5349" t="n">
        <v>4</v>
      </c>
      <c r="F5349">
        <f>HYPERLINK("https://www.reddit.com/r/diabetes/comments/9hlafk/dexcom_g6_help_low_but_not_low/")</f>
        <v/>
      </c>
      <c r="G5349" t="inlineStr">
        <is>
          <t>2018-09-20 19:16:10</t>
        </is>
      </c>
      <c r="H5349" t="inlineStr">
        <is>
          <t>Type 1</t>
        </is>
      </c>
    </row>
    <row r="5350">
      <c r="A5350" t="inlineStr">
        <is>
          <t>9hldi9</t>
        </is>
      </c>
      <c r="B5350" t="inlineStr">
        <is>
          <t>What’s the science/mechanics behind the Dawn Phenomenon?</t>
        </is>
      </c>
      <c r="C5350" t="inlineStr">
        <is>
          <t xml:space="preserve">Like, for T2s, what’s the deal?  I get that our liver dumps glucose.  The theory is that it does this to get you ready for the day. And I guess it is triggered by a release of glucagon and/or cortisol?  But .... why does it stay elevated?  For t2s is it because we’re insulin resistant and/or our pancreas, while technically working, is not producing enough insulin?
So I was diagnosed T2 about 5 months ago. And I’ve been good. Got my a1c down to 5.4.  My numbers are generally good: pre and post prandial are always below 7.0 mmol/l (~125 sorry. I’m Canadian, eh).   But in the last month, my fasting BG has been slowly creeping up. To the point that I’m usually around 6.5 mmol/l (117 for the Americans) in the mornings.  And it takes a while to come back down. I skip breakfast, eat a salad for lunch then go for a 30-40 min walk. By then, I’m nearly hypo; around 4.8 (~85).  
I’m wondering if my pancreas is just “sleepy”, and seems to be slow to release insulin?  
</t>
        </is>
      </c>
      <c r="D5350" t="n">
        <v>3</v>
      </c>
      <c r="E5350" t="n">
        <v>2</v>
      </c>
      <c r="F5350">
        <f>HYPERLINK("https://www.reddit.com/r/diabetes/comments/9hldi9/whats_the_sciencemechanics_behind_the_dawn/")</f>
        <v/>
      </c>
      <c r="G5350" t="inlineStr">
        <is>
          <t>2018-09-20 19:28:18</t>
        </is>
      </c>
      <c r="H5350" t="inlineStr">
        <is>
          <t>Type 2</t>
        </is>
      </c>
    </row>
    <row r="5351">
      <c r="A5351" t="inlineStr">
        <is>
          <t>9hp0iz</t>
        </is>
      </c>
      <c r="B5351" t="inlineStr">
        <is>
          <t>Looking for feedback on freestyle libre</t>
        </is>
      </c>
      <c r="C5351" t="inlineStr">
        <is>
          <t>Hi, I was diagnosed with T1 3 months ago. I'm considering getting a freestyle libre. I'd consider dexcom but it's way too expensive. What are your thoughts on libre if you've ever used one?</t>
        </is>
      </c>
      <c r="D5351" t="n">
        <v>5</v>
      </c>
      <c r="E5351" t="n">
        <v>10</v>
      </c>
      <c r="F5351">
        <f>HYPERLINK("https://www.reddit.com/r/diabetes/comments/9hp0iz/looking_for_feedback_on_freestyle_libre/")</f>
        <v/>
      </c>
      <c r="G5351" t="inlineStr">
        <is>
          <t>2018-09-21 04:57:56</t>
        </is>
      </c>
      <c r="H5351" t="inlineStr">
        <is>
          <t>Type 1</t>
        </is>
      </c>
    </row>
    <row r="5352">
      <c r="A5352" t="inlineStr">
        <is>
          <t>9hq59i</t>
        </is>
      </c>
      <c r="B5352" t="inlineStr">
        <is>
          <t>Lyrica (Pregabalin) and Type 1 Diabetes</t>
        </is>
      </c>
      <c r="C5352" t="inlineStr">
        <is>
          <t xml:space="preserve">Hi, I was using Lyrica for pain and anxiety and it was working great. The problem is it totally wrecks my blood sugar. It creates a lot of insulin resistance and blood sugar swings. Sometimes I can get close to 300 mg/dl after meals and insulin takes forever to work. 
&amp;amp;#x200B;
Does anybody knows if this situation goes away once your body is adapted to it? Or is it a permanent side effect? </t>
        </is>
      </c>
      <c r="D5352" t="n">
        <v>1</v>
      </c>
      <c r="E5352" t="n">
        <v>0</v>
      </c>
      <c r="F5352">
        <f>HYPERLINK("https://www.reddit.com/r/diabetes/comments/9hq59i/lyrica_pregabalin_and_type_1_diabetes/")</f>
        <v/>
      </c>
      <c r="G5352" t="inlineStr">
        <is>
          <t>2018-09-21 06:57:49</t>
        </is>
      </c>
      <c r="H5352" t="inlineStr">
        <is>
          <t>Type 1</t>
        </is>
      </c>
    </row>
    <row r="5353">
      <c r="A5353" t="inlineStr">
        <is>
          <t>9hqlzq</t>
        </is>
      </c>
      <c r="B5353" t="inlineStr">
        <is>
          <t>Medtronic 670g Micro-Bolus Data Extraction?</t>
        </is>
      </c>
      <c r="C5353" t="inlineStr">
        <is>
          <t xml:space="preserve">I am currently at work with no access to Carelink and was wondering if the Micro-Bolus data from the 670g can be extracted into a .csv or some other data format.  I had the thought of using that data from the last 7, 14 or 30 days to model a manual basal pattern that I could use on the days or times when I am not wearing the CGM system. </t>
        </is>
      </c>
      <c r="D5353" t="n">
        <v>6</v>
      </c>
      <c r="E5353" t="n">
        <v>5</v>
      </c>
      <c r="F5353">
        <f>HYPERLINK("https://www.reddit.com/r/diabetes/comments/9hqlzq/medtronic_670g_microbolus_data_extraction/")</f>
        <v/>
      </c>
      <c r="G5353" t="inlineStr">
        <is>
          <t>2018-09-21 07:44:43</t>
        </is>
      </c>
      <c r="H5353" t="inlineStr">
        <is>
          <t>Type 1</t>
        </is>
      </c>
    </row>
    <row r="5354">
      <c r="A5354" t="inlineStr">
        <is>
          <t>9hretm</t>
        </is>
      </c>
      <c r="B5354" t="inlineStr">
        <is>
          <t>What's the largest bolus that you've ever done?</t>
        </is>
      </c>
      <c r="C5354" t="inlineStr">
        <is>
          <t>Mine was 16 units for half a pizza.</t>
        </is>
      </c>
      <c r="D5354" t="n">
        <v>6</v>
      </c>
      <c r="E5354" t="n">
        <v>24</v>
      </c>
      <c r="F5354">
        <f>HYPERLINK("https://www.reddit.com/r/diabetes/comments/9hretm/whats_the_largest_bolus_that_youve_ever_done/")</f>
        <v/>
      </c>
      <c r="G5354" t="inlineStr">
        <is>
          <t>2018-09-21 09:08:20</t>
        </is>
      </c>
      <c r="H5354" t="inlineStr">
        <is>
          <t>Type 1</t>
        </is>
      </c>
    </row>
    <row r="5355">
      <c r="A5355" t="inlineStr">
        <is>
          <t>9hsi41</t>
        </is>
      </c>
      <c r="B5355" t="inlineStr">
        <is>
          <t>Want to lose weight. Had an odd conversation with Endo.</t>
        </is>
      </c>
      <c r="C5355" t="inlineStr">
        <is>
          <t>Hello All, As mentioned above I want to lost a little weight. I'm not overweight by any means, but have a belly going on, and could stand to shed 20 lbs. For a normal person to lose weight they need to diet an exercise, But what about a diabetic? I realize I need to reduce my calorie and carb intake, and henceforth my insulin intake. But it feels like I am missing something? If I exercise I ultimately have to do it under a canopy of carbohydrates right? Which means that my body is burning the carbs I just ate and NOT my fat. So how do I get my body burning fat, without having to treat a low BG? 
I brought up my concern with my Endo, and he immediately suggested a medication... I was taken aback enough that I didn't ask what it was, how it worked, or even agree to it. Does anybody know what he might have been suggesting? Anybody have some tips? Thanks in advance.</t>
        </is>
      </c>
      <c r="D5355" t="n">
        <v>1</v>
      </c>
      <c r="E5355" t="n">
        <v>11</v>
      </c>
      <c r="F5355">
        <f>HYPERLINK("https://www.reddit.com/r/diabetes/comments/9hsi41/want_to_lose_weight_had_an_odd_conversation_with/")</f>
        <v/>
      </c>
      <c r="G5355" t="inlineStr">
        <is>
          <t>2018-09-21 11:02:51</t>
        </is>
      </c>
      <c r="H5355" t="inlineStr">
        <is>
          <t>Type 1</t>
        </is>
      </c>
    </row>
    <row r="5356">
      <c r="A5356" t="inlineStr">
        <is>
          <t>9htqo5</t>
        </is>
      </c>
      <c r="B5356" t="inlineStr">
        <is>
          <t>Intermittent Fasting Help Please</t>
        </is>
      </c>
      <c r="C5356" t="inlineStr">
        <is>
          <t>Hello, I'm a Type 2 Diabetic. 31 year old male. 
&amp;amp;#x200B;
I was taken off short acting and long acting insulin. Now I am only taking One sometimes Half a  Metformin 500mg  tablet a day. I started doing the Power 90 exercise program 22 days ago for weight loss. Started at 205 lbs. I'm now at 194 lbs.
&amp;amp;#x200B;
My question is.... Is it okay for me to do intermittent fasting for faster weight loss progress?</t>
        </is>
      </c>
      <c r="D5356" t="n">
        <v>2</v>
      </c>
      <c r="E5356" t="n">
        <v>8</v>
      </c>
      <c r="F5356">
        <f>HYPERLINK("https://www.reddit.com/r/diabetes/comments/9htqo5/intermittent_fasting_help_please/")</f>
        <v/>
      </c>
      <c r="G5356" t="inlineStr">
        <is>
          <t>2018-09-21 13:29:17</t>
        </is>
      </c>
      <c r="H5356" t="inlineStr">
        <is>
          <t>Type 2</t>
        </is>
      </c>
    </row>
    <row r="5357">
      <c r="A5357" t="inlineStr">
        <is>
          <t>9htufq</t>
        </is>
      </c>
      <c r="B5357" t="inlineStr">
        <is>
          <t>Lucked out with Type 1</t>
        </is>
      </c>
      <c r="C5357" t="inlineStr">
        <is>
          <t>I am a 25-year-old army officer diagnosed with T1D about two months ago. I lost thirty pounds before I decided to get help and figure out what was wrong with me. All things considered, I'm extremely lucky that I got it now, rather than six months down the road when I would've been out of the army and on some crappy insurance in grad school, since I am otherwise healthy.  Finally, big shout out to my employer for forcing me to go to roughly 20 appointments for this over the past two months; they're throwing wads of cash at me (when I leave early next year) and VA care to deal with our ridiculously shitty and overpriced healthcare system.  The army: simultaneously the worst mental health decision and best financial decision I've ever made. Rant complete.
&amp;amp;#x200B;
Enough about me, I discovered this subreddit today and the memes all hit close to home and were hilarious. Keep being awesome, r/diabetes.</t>
        </is>
      </c>
      <c r="D5357" t="n">
        <v>13</v>
      </c>
      <c r="E5357" t="n">
        <v>31</v>
      </c>
      <c r="F5357">
        <f>HYPERLINK("https://www.reddit.com/r/diabetes/comments/9htufq/lucked_out_with_type_1/")</f>
        <v/>
      </c>
      <c r="G5357" t="inlineStr">
        <is>
          <t>2018-09-21 13:42:23</t>
        </is>
      </c>
      <c r="H5357" t="inlineStr">
        <is>
          <t>Type 1</t>
        </is>
      </c>
    </row>
    <row r="5358">
      <c r="A5358" t="inlineStr">
        <is>
          <t>9hztz9</t>
        </is>
      </c>
      <c r="B5358" t="inlineStr">
        <is>
          <t>I'm here if anyone has questions or wants to vent</t>
        </is>
      </c>
      <c r="C5358" t="inlineStr">
        <is>
          <t xml:space="preserve">I've been type one diabetic since I was 8. I am not almost 24. I've been through multiple surgeries, have multiple other diagnosis (including PCOS, bipolar and carpel tunnel). I'm on disability and have fought insurance companies my whole life. If anyone is afraid, is newly diagnosed, or even related to someone with this disease and wants to talk, I'm here for you. I know it's scary. I know its hard. I've been through a bunch of weird and crazy scenarios with it, and I feel like I should offer a hand to those also in this journey. I'm here. </t>
        </is>
      </c>
      <c r="D5358" t="n">
        <v>36</v>
      </c>
      <c r="E5358" t="n">
        <v>29</v>
      </c>
      <c r="F5358">
        <f>HYPERLINK("https://www.reddit.com/r/diabetes/comments/9hztz9/im_here_if_anyone_has_questions_or_wants_to_vent/")</f>
        <v/>
      </c>
      <c r="G5358" t="inlineStr">
        <is>
          <t>2018-09-22 06:54:32</t>
        </is>
      </c>
      <c r="H5358" t="inlineStr">
        <is>
          <t>Type 1</t>
        </is>
      </c>
    </row>
    <row r="5359">
      <c r="A5359" t="inlineStr">
        <is>
          <t>9i09d0</t>
        </is>
      </c>
      <c r="B5359" t="inlineStr">
        <is>
          <t>How do you guys handle your diabetic needs in public settings?</t>
        </is>
      </c>
      <c r="C5359" t="inlineStr">
        <is>
          <t>I’ve been a diabetic for going on 9 years now. (I’m 19M) And i just don’t care if others see me do it. Example I’m in college now and during one of my class i just took my kit out and checked my levels and saw that i was high so i took my correction right there in my arm. One of my classmates said to me “your not gonna go to the bathroom?” I told her “no we all grown here it’s just a needle”.  How do you guys handle it? Do you just do it where you are at or do you guys go somewhere with more privacy?</t>
        </is>
      </c>
      <c r="D5359" t="n">
        <v>64</v>
      </c>
      <c r="E5359" t="n">
        <v>70</v>
      </c>
      <c r="F5359">
        <f>HYPERLINK("https://www.reddit.com/r/diabetes/comments/9i09d0/how_do_you_guys_handle_your_diabetic_needs_in/")</f>
        <v/>
      </c>
      <c r="G5359" t="inlineStr">
        <is>
          <t>2018-09-22 07:55:21</t>
        </is>
      </c>
      <c r="H5359" t="inlineStr">
        <is>
          <t>Type 1</t>
        </is>
      </c>
    </row>
    <row r="5360">
      <c r="A5360" t="inlineStr">
        <is>
          <t>9i1c96</t>
        </is>
      </c>
      <c r="B5360" t="inlineStr">
        <is>
          <t>Diabetes Management and Interactions with Health Care Providers Quick Survey</t>
        </is>
      </c>
      <c r="C5360" t="inlineStr">
        <is>
          <t xml:space="preserve"> Do you have Type 1 or Type 2 Diabetes? Please consider participation in research designed to examine patient and provider factors of health management within various chronic diseases. Information gained from this study will help healthcare providers increase understanding of the dynamics that influence the management of health, which is valuable for preventative care to improve individual and economic outcomes associated with chronic diseases such as diabetes. To be eligible, participants must be diagnosed with a chronic disease, defined as a persistent health condition with a prolonged course of illness, and currently be prescribed medication for this chronic disease. Participants diagnosed with Type 1 or Type 2 diabetes will provide responses based on experiences with such condition. Participants must be at least 18 years of age. Participants who complete the survey have the opportunity to be entered to win a $50 Visa gift card. Time to complete the study is approximately 10-15 minutes. Thank you!
Use this link r/https://www.questionpro.com/t/ANBaOZY9WP to access the survey. 
The current research was approved by the Human Subjects Institutional Review Board at Spalding University in Louisville, Kentucky (502-383-4217).</t>
        </is>
      </c>
      <c r="D5360" t="n">
        <v>1</v>
      </c>
      <c r="E5360" t="n">
        <v>3</v>
      </c>
      <c r="F5360">
        <f>HYPERLINK("https://www.reddit.com/r/diabetes/comments/9i1c96/diabetes_management_and_interactions_with_health/")</f>
        <v/>
      </c>
      <c r="G5360" t="inlineStr">
        <is>
          <t>2018-09-22 10:17:10</t>
        </is>
      </c>
      <c r="H5360" t="inlineStr">
        <is>
          <t>Type 2</t>
        </is>
      </c>
    </row>
    <row r="5361">
      <c r="A5361" t="inlineStr">
        <is>
          <t>9i2p22</t>
        </is>
      </c>
      <c r="B5361" t="inlineStr">
        <is>
          <t>Dexcom G6 and Apple Watch</t>
        </is>
      </c>
      <c r="C5361" t="inlineStr">
        <is>
          <t xml:space="preserve">Hi I recently got a watch and want to see my Dexcom on it. Is it just the G6 app or do I have to use share? </t>
        </is>
      </c>
      <c r="D5361" t="n">
        <v>2</v>
      </c>
      <c r="E5361" t="n">
        <v>3</v>
      </c>
      <c r="F5361">
        <f>HYPERLINK("https://www.reddit.com/r/diabetes/comments/9i2p22/dexcom_g6_and_apple_watch/")</f>
        <v/>
      </c>
      <c r="G5361" t="inlineStr">
        <is>
          <t>2018-09-22 13:13:59</t>
        </is>
      </c>
      <c r="H5361" t="inlineStr">
        <is>
          <t>Type 1</t>
        </is>
      </c>
    </row>
    <row r="5362">
      <c r="A5362" t="inlineStr">
        <is>
          <t>9i470v</t>
        </is>
      </c>
      <c r="B5362" t="inlineStr">
        <is>
          <t>Dexcom G6 + New iPhone = ?</t>
        </is>
      </c>
      <c r="C5362" t="inlineStr">
        <is>
          <t>What's the process for moving to a new iPhone with the Dexcom G6? I found a help article for the G5 that said to just stop the sensor session on the old phone and re-start it on the new phone. But since the G6 doesn't normally let you restart sensor sessions, I'm a little bit nervous about doing that and having it not work. 
Yes I realize we can call tech support and ask this, but we had to call them for something else earlier this week and ended up sitting on hold for nearly an hour, so I'm being lazy and hoping someone else has already gone through this to save me the call......</t>
        </is>
      </c>
      <c r="D5362" t="n">
        <v>3</v>
      </c>
      <c r="E5362" t="n">
        <v>18</v>
      </c>
      <c r="F5362">
        <f>HYPERLINK("https://www.reddit.com/r/diabetes/comments/9i470v/dexcom_g6_new_iphone/")</f>
        <v/>
      </c>
      <c r="G5362" t="inlineStr">
        <is>
          <t>2018-09-22 16:49:10</t>
        </is>
      </c>
      <c r="H5362" t="inlineStr">
        <is>
          <t>Type 1</t>
        </is>
      </c>
    </row>
    <row r="5363">
      <c r="A5363" t="inlineStr">
        <is>
          <t>9i80zc</t>
        </is>
      </c>
      <c r="B5363" t="inlineStr">
        <is>
          <t>Big improvements and some troubling new side effects (Type 2)</t>
        </is>
      </c>
      <c r="C5363" t="inlineStr">
        <is>
          <t>Alright, so I was diagnosed during a random workplace health assessment thing back in early May.  My fasting glucose was 271 and my A1C was a whopping 13. Things needed to change.  So I started militantly logging every bite I ate and checking my glucose obsessively.  I ended up losing like 30+ pounds. I just had my second endo appointment and the lab results are in!  My A1C is down from 13 to 6.2 (apparently putting me in the "pre-diabetic" A1C range) and my fasting glucose is down from 270 to 121. 
&amp;amp;#x200B;
Big improvements, right?  
Well, yesterday I started getting severe burning pain in my lower back/upper glutes that made it almost impossible to get comfortable in bed/sleep/sit down/stand but it could be controlled with your average over the counter painkiller (in my case, Tylenol) -- but it's extended into today and my thighs/quads feel like I've done a rigorous leg day at the gym, and I can assure you...I have \*not\*, Also I'm feeling numbness and the "asleep" pins and needles feeling in my hands and feet along with a sort of faint itchiness all over my body and even some light numbness and tingling in my face.
&amp;amp;#x200B;
Also, the burning in my lower back/upper butt area is still intermittently making things really uncomfortable.  I sent a message to my endocrinologist but of course it's the weekend.  I \*have\* been getting more lax about checking my sugar and logging my food and sometimes just eat whatever  because it seems like my blood sugar is almost always in the 120'ish range. I'm gonna use this as fuel to just start obsessing and making sure my calories and blood sugar are dead on....but I also want to know if anyone else has had very similar symptoms to this and maybe what worked (or didn't work) for you to help to treat this miserable feeling.     
Currently any water that hits my hands feels like it is FREEZING, and I  mean so cold it's painful. I don't know that if I felt like this forever and this was the only way I'd ever feel if I could do it.    
Any advice/help/suggestions are wildly encouraged.  Thanks!</t>
        </is>
      </c>
      <c r="D5363" t="n">
        <v>21</v>
      </c>
      <c r="E5363" t="n">
        <v>20</v>
      </c>
      <c r="F5363">
        <f>HYPERLINK("https://www.reddit.com/r/diabetes/comments/9i80zc/big_improvements_and_some_troubling_new_side/")</f>
        <v/>
      </c>
      <c r="G5363" t="inlineStr">
        <is>
          <t>2018-09-23 05:30:37</t>
        </is>
      </c>
      <c r="H5363" t="inlineStr">
        <is>
          <t>Type 2</t>
        </is>
      </c>
    </row>
    <row r="5364">
      <c r="A5364" t="inlineStr">
        <is>
          <t>9i87xt</t>
        </is>
      </c>
      <c r="B5364" t="inlineStr">
        <is>
          <t>Dexcom G6 transmitter failed before I even had a chance to use it</t>
        </is>
      </c>
      <c r="C5364" t="inlineStr">
        <is>
          <t>So my last G5 sensor got ripped off unexpectedly, and I was forced to start using the G6 sooner than I expected. I used to be really excited about the G6, but then I read stories on here of how inconsistent and easily prone to failure both the sensor and transmitter are. You guys were right!
I inserted the G6 sensor, put on the transmitter (this is all out of the box), started the warmup, and then fell asleep (this was at like 3am because that’s when my G5 got ripped off). I woke up, and the transmitter had failed—either before or after the 2-hour warmup had been completed.
What do I do? I don’t want to use the other transmitter if there’s a way to fix what’s going on with this one. I tried forgetting the transmitter in my phone’s Bluetooth, but when it re-paired it immediately told me to replace the transmitter.
I haven’t even had a chance to *use* the G6, and I’m already disappointed. I’m also at college out of state, so I’m not sure what to do.</t>
        </is>
      </c>
      <c r="D5364" t="n">
        <v>5</v>
      </c>
      <c r="E5364" t="n">
        <v>12</v>
      </c>
      <c r="F5364">
        <f>HYPERLINK("https://www.reddit.com/r/diabetes/comments/9i87xt/dexcom_g6_transmitter_failed_before_i_even_had_a/")</f>
        <v/>
      </c>
      <c r="G5364" t="inlineStr">
        <is>
          <t>2018-09-23 06:05:51</t>
        </is>
      </c>
      <c r="H5364" t="inlineStr">
        <is>
          <t>Type 1</t>
        </is>
      </c>
    </row>
    <row r="5365">
      <c r="A5365" t="inlineStr">
        <is>
          <t>9i9ty8</t>
        </is>
      </c>
      <c r="B5365" t="inlineStr">
        <is>
          <t>I am destined to be insulin dependent?</t>
        </is>
      </c>
      <c r="C5365" t="inlineStr">
        <is>
          <t>Hi, 
I'm a type 2. My A1C has been steadily rising even though I eat low carb, maintain a BMI of 21, exercise regularly and am on metformin, a sulfonylurea, and basal insulin. My doctor wants me to start using meal time insulin. I was tested for type 1/LADA, but it came back negative. For type 2s, can you pancreas just deteriorate that you become dependent on insulin like a type 1? I'm a healthy weight, work out regularly, and eat low carb so I don't what else I can do lifestyle wise. Should I still be taking a sulfonylurea or that killing my pancreas faster?</t>
        </is>
      </c>
      <c r="D5365" t="n">
        <v>4</v>
      </c>
      <c r="E5365" t="n">
        <v>13</v>
      </c>
      <c r="F5365">
        <f>HYPERLINK("https://www.reddit.com/r/diabetes/comments/9i9ty8/i_am_destined_to_be_insulin_dependent/")</f>
        <v/>
      </c>
      <c r="G5365" t="inlineStr">
        <is>
          <t>2018-09-23 09:50:42</t>
        </is>
      </c>
      <c r="H5365" t="inlineStr">
        <is>
          <t>Type 2</t>
        </is>
      </c>
    </row>
    <row r="5366">
      <c r="A5366" t="inlineStr">
        <is>
          <t>9ibtc8</t>
        </is>
      </c>
      <c r="B5366" t="inlineStr">
        <is>
          <t>What to do about dog bite?</t>
        </is>
      </c>
      <c r="C5366" t="inlineStr">
        <is>
          <t xml:space="preserve">I was bitten by my dog while trying to save him from another dog (betrayal!) should I be worried about it? Actually it didn't perforated the skin, but I have little scratches in my hand and a swollen finger. I cleaned all with warm water and neutral soap. Should I see a GP? Thanks! </t>
        </is>
      </c>
      <c r="D5366" t="n">
        <v>4</v>
      </c>
      <c r="E5366" t="n">
        <v>8</v>
      </c>
      <c r="F5366">
        <f>HYPERLINK("https://www.reddit.com/r/diabetes/comments/9ibtc8/what_to_do_about_dog_bite/")</f>
        <v/>
      </c>
      <c r="G5366" t="inlineStr">
        <is>
          <t>2018-09-23 13:50:38</t>
        </is>
      </c>
      <c r="H5366" t="inlineStr">
        <is>
          <t>Type 1</t>
        </is>
      </c>
    </row>
    <row r="5367">
      <c r="A5367" t="inlineStr">
        <is>
          <t>9ic83c</t>
        </is>
      </c>
      <c r="B5367" t="inlineStr">
        <is>
          <t>Type 1- Do you count for carbs if you still have active insulin ?</t>
        </is>
      </c>
      <c r="C5367" t="inlineStr">
        <is>
          <t xml:space="preserve">Type1 diabetic here .Say you eat and bolus for 10 units and your sugar is 115 . An hour later I test and I am 85 and want to was 5 more units of carbs but I still have 5 units of active insulin . Should I bolus for all 5 units ? I’m afraid I will go low and have too much insulin going in . Thanks </t>
        </is>
      </c>
      <c r="D5367" t="n">
        <v>3</v>
      </c>
      <c r="E5367" t="n">
        <v>13</v>
      </c>
      <c r="F5367">
        <f>HYPERLINK("https://www.reddit.com/r/diabetes/comments/9ic83c/type_1_do_you_count_for_carbs_if_you_still_have/")</f>
        <v/>
      </c>
      <c r="G5367" t="inlineStr">
        <is>
          <t>2018-09-23 14:42:24</t>
        </is>
      </c>
      <c r="H5367" t="inlineStr">
        <is>
          <t>Type 1</t>
        </is>
      </c>
    </row>
    <row r="5368">
      <c r="A5368" t="inlineStr">
        <is>
          <t>9idgi6</t>
        </is>
      </c>
      <c r="B5368" t="inlineStr">
        <is>
          <t>Sleeping high</t>
        </is>
      </c>
      <c r="C5368" t="inlineStr">
        <is>
          <t xml:space="preserve">Does anyone else find it awfully difficult to fall asleep when you have high bg? </t>
        </is>
      </c>
      <c r="D5368" t="n">
        <v>2</v>
      </c>
      <c r="E5368" t="n">
        <v>4</v>
      </c>
      <c r="F5368">
        <f>HYPERLINK("https://www.reddit.com/r/diabetes/comments/9idgi6/sleeping_high/")</f>
        <v/>
      </c>
      <c r="G5368" t="inlineStr">
        <is>
          <t>2018-09-23 17:31:18</t>
        </is>
      </c>
      <c r="H5368" t="inlineStr">
        <is>
          <t>Type 1</t>
        </is>
      </c>
    </row>
    <row r="5369">
      <c r="A5369" t="inlineStr">
        <is>
          <t>9ie23v</t>
        </is>
      </c>
      <c r="B5369" t="inlineStr">
        <is>
          <t>c-peptide and low blood sugar question</t>
        </is>
      </c>
      <c r="C5369" t="inlineStr">
        <is>
          <t>So after unhelpful conversations with my previous endo, I asked my current doctor if I could get a c-peptide and antibodies test. Going through my lab results, I see that the C-peptide results are back, not the antibodies. The c-peptide was recorded as being &amp;lt;0.1 ng/mL. So I am officially type one. However, I wanted to ask if you guys know if low blood sugar due to too much insulin could artificially lower these results? My blood sugar at the time was 38... (I know, dangerously low. Surprised I made it out without an ambulance). I'm just curious if the results might have been different if i wasn't about to pass out from insulin OD.</t>
        </is>
      </c>
      <c r="D5369" t="n">
        <v>7</v>
      </c>
      <c r="E5369" t="n">
        <v>4</v>
      </c>
      <c r="F5369">
        <f>HYPERLINK("https://www.reddit.com/r/diabetes/comments/9ie23v/cpeptide_and_low_blood_sugar_question/")</f>
        <v/>
      </c>
      <c r="G5369" t="inlineStr">
        <is>
          <t>2018-09-23 18:57:55</t>
        </is>
      </c>
      <c r="H5369" t="inlineStr">
        <is>
          <t>Type 1</t>
        </is>
      </c>
    </row>
    <row r="5370">
      <c r="A5370" t="inlineStr">
        <is>
          <t>9ifjeq</t>
        </is>
      </c>
      <c r="B5370" t="inlineStr">
        <is>
          <t>How do you restart G6 sensor if you use Tandem pump and Xdrip?</t>
        </is>
      </c>
      <c r="C5370" t="inlineStr">
        <is>
          <t xml:space="preserve">Does anyone know how to do this?  Everything I saw online refers to separating the sensor and receiver, but in this case the receiver is the pump.  </t>
        </is>
      </c>
      <c r="D5370" t="n">
        <v>3</v>
      </c>
      <c r="E5370" t="n">
        <v>10</v>
      </c>
      <c r="F5370">
        <f>HYPERLINK("https://www.reddit.com/r/diabetes/comments/9ifjeq/how_do_you_restart_g6_sensor_if_you_use_tandem/")</f>
        <v/>
      </c>
      <c r="G5370" t="inlineStr">
        <is>
          <t>2018-09-23 23:04:13</t>
        </is>
      </c>
      <c r="H5370" t="inlineStr">
        <is>
          <t>Type 1</t>
        </is>
      </c>
    </row>
    <row r="5371">
      <c r="A5371" t="inlineStr">
        <is>
          <t>9ij9s4</t>
        </is>
      </c>
      <c r="B5371" t="inlineStr">
        <is>
          <t>Anyone else suffer from a “recovery spike” right after falling asleep? Ways to reduce it?</t>
        </is>
      </c>
      <c r="C5371" t="inlineStr">
        <is>
          <t>Hey, within 15 min of falling asleep my body goes through a recovery mode. I can go from a BG of 5.5 to 11.9 in under an hour. I generally try to set a higher basal rate depending on what my day was like. It’s challenging because sometimes I under or over correct. I was wondering if anyone had any suggestions to reduce the spike.</t>
        </is>
      </c>
      <c r="D5371" t="n">
        <v>31</v>
      </c>
      <c r="E5371" t="n">
        <v>13</v>
      </c>
      <c r="F5371">
        <f>HYPERLINK("https://www.reddit.com/r/diabetes/comments/9ij9s4/anyone_else_suffer_from_a_recovery_spike_right/")</f>
        <v/>
      </c>
      <c r="G5371" t="inlineStr">
        <is>
          <t>2018-09-24 09:13:20</t>
        </is>
      </c>
      <c r="H5371" t="inlineStr">
        <is>
          <t>Type 1</t>
        </is>
      </c>
    </row>
    <row r="5372">
      <c r="A5372" t="inlineStr">
        <is>
          <t>9imhw3</t>
        </is>
      </c>
      <c r="B5372" t="inlineStr">
        <is>
          <t>How diabetics can become highly likable personalities?</t>
        </is>
      </c>
      <c r="C5372" t="inlineStr">
        <is>
          <t xml:space="preserve">By making healthy and amazing food! Whether you want to have a new partner or want to put scrumptious smile on your current partner. I think with diabetes you have been forced by nature to own and hone this gift. Be the best, Gordon Ramsay or Jamie Oliver or whoever you like that you can be. I would love to know your super powers that you have developed? </t>
        </is>
      </c>
      <c r="D5372" t="n">
        <v>0</v>
      </c>
      <c r="E5372" t="n">
        <v>2</v>
      </c>
      <c r="F5372">
        <f>HYPERLINK("https://www.reddit.com/r/diabetes/comments/9imhw3/how_diabetics_can_become_highly_likable/")</f>
        <v/>
      </c>
      <c r="G5372" t="inlineStr">
        <is>
          <t>2018-09-24 15:24:06</t>
        </is>
      </c>
      <c r="H5372" t="inlineStr">
        <is>
          <t>Type 2</t>
        </is>
      </c>
    </row>
    <row r="5373">
      <c r="A5373" t="inlineStr">
        <is>
          <t>9iuf6s</t>
        </is>
      </c>
      <c r="B5373" t="inlineStr">
        <is>
          <t>Was just told I have type 2 and I need help ):</t>
        </is>
      </c>
      <c r="C5373" t="inlineStr">
        <is>
          <t>I’m supposed to have bariatric surgery in January, so part of having it, I had to get a blood test. I got the results back but the PA was pretty vague. She said my numbers for my thyroid were off and results also show I have diabetes. She didn’t give me any info, and wasn’t able to fax the results to me yet so I don’t know how severe it is. I have to see an Endocrinologist to get cleared for surgery but I can’t get an appointment until Nov 1st. I don’t know what I should do .. I don’t know much about this disease that I apparently now have. Should I buy an over the counter glucose meter? I’m just so scared 😔</t>
        </is>
      </c>
      <c r="D5373" t="n">
        <v>3</v>
      </c>
      <c r="E5373" t="n">
        <v>15</v>
      </c>
      <c r="F5373">
        <f>HYPERLINK("https://www.reddit.com/r/diabetes/comments/9iuf6s/was_just_told_i_have_type_2_and_i_need_help/")</f>
        <v/>
      </c>
      <c r="G5373" t="inlineStr">
        <is>
          <t>2018-09-25 10:54:36</t>
        </is>
      </c>
      <c r="H5373" t="inlineStr">
        <is>
          <t>Type 2</t>
        </is>
      </c>
    </row>
    <row r="5374">
      <c r="A5374" t="inlineStr">
        <is>
          <t>9ivis0</t>
        </is>
      </c>
      <c r="B5374" t="inlineStr">
        <is>
          <t>Just wanted to drop by and thank everyone on the Diabetes thread</t>
        </is>
      </c>
      <c r="C5374" t="inlineStr">
        <is>
          <t>This has been a very helpful thread for me. I was diagnosed Type 2 -3 months ago and went from a 12.7 A1c to 5.6. today. Still got a ways to go with weight loss and really figuring things out to keep my A1c low, but today was a win and I'll take it.
Thanks everyone.</t>
        </is>
      </c>
      <c r="D5374" t="n">
        <v>52</v>
      </c>
      <c r="E5374" t="n">
        <v>29</v>
      </c>
      <c r="F5374">
        <f>HYPERLINK("https://www.reddit.com/r/diabetes/comments/9ivis0/just_wanted_to_drop_by_and_thank_everyone_on_the/")</f>
        <v/>
      </c>
      <c r="G5374" t="inlineStr">
        <is>
          <t>2018-09-25 12:59:07</t>
        </is>
      </c>
      <c r="H5374" t="inlineStr">
        <is>
          <t>Type 2</t>
        </is>
      </c>
    </row>
    <row r="5375">
      <c r="A5375" t="inlineStr">
        <is>
          <t>9ixcse</t>
        </is>
      </c>
      <c r="B5375" t="inlineStr">
        <is>
          <t>Diagnosted Type1 Diabetes because of urinary infections?</t>
        </is>
      </c>
      <c r="C5375" t="inlineStr">
        <is>
          <t>An acquaintance (woman in her 60's) used to be overweight in her 40's and 50's. Trough some blood exams requested by her gynecologist (from all her life) she found out she had Type2 Diabetes. So she lost a lot of weight through dieting and was controlled (as fas as she knows).
&amp;amp;#x200B;
Now I talk to her after a long time, and she tells me that she started having vaginal discomfort (itching). So, antibiotics for her. Every now and then, the doctor would ask for a urine sample. No symptons felt, but too many bacteria in the urine, so ABs again... This happened like 7 times until another doctor (seeked to put a final stop to this) told her that she was afraid that it could be indicative of Diab2 progressing to Diab1 (can that happen? Maybe she or I misunderstood). So INSULIN every day. I understand that kidney suffer a lot in Diab2, but she was very asymptomatic regarding the infections.
&amp;amp;#x200B;
Is this ok? Should she have more exams made to see if she is efectively a Type1 now? \*\*If she is not\*\*, could she eventually stop taking Insulin?
&amp;amp;#x200B;
Thanks for reading and sorry for the lenghty post.</t>
        </is>
      </c>
      <c r="D5375" t="n">
        <v>1</v>
      </c>
      <c r="E5375" t="n">
        <v>9</v>
      </c>
      <c r="F5375">
        <f>HYPERLINK("https://www.reddit.com/r/diabetes/comments/9ixcse/diagnosted_type1_diabetes_because_of_urinary/")</f>
        <v/>
      </c>
      <c r="G5375" t="inlineStr">
        <is>
          <t>2018-09-25 16:46:06</t>
        </is>
      </c>
      <c r="H5375" t="inlineStr">
        <is>
          <t>Type 1</t>
        </is>
      </c>
    </row>
    <row r="5376">
      <c r="A5376" t="inlineStr">
        <is>
          <t>9j0j6q</t>
        </is>
      </c>
      <c r="B5376" t="inlineStr">
        <is>
          <t>Do you ever have extreme insulin sensitivity in the morning if you don't sleep at night?</t>
        </is>
      </c>
      <c r="C5376" t="inlineStr">
        <is>
          <t>I wonder what's the mechanism for it and if I could account for that somehow.   
If I miss a night's sleep, my insulin sensitivity will increase 5-10x. Seriously, I've just corrected a previously overcorrected hypo. 1 unit dropped my BG by 180mg/dl right into another hypo, whereas my TDD is 88-95u.   
This is ridiculous and yet I can't find anything on the web. Everyone is talking about **decreased insulin sensitivity** after sleep loss. My doctor has been informed and she doesn't know anything about this. It's not the first time. Maybe someone here has experienced something similar.</t>
        </is>
      </c>
      <c r="D5376" t="n">
        <v>2</v>
      </c>
      <c r="E5376" t="n">
        <v>1</v>
      </c>
      <c r="F5376">
        <f>HYPERLINK("https://www.reddit.com/r/diabetes/comments/9j0j6q/do_you_ever_have_extreme_insulin_sensitivity_in/")</f>
        <v/>
      </c>
      <c r="G5376" t="inlineStr">
        <is>
          <t>2018-09-26 01:01:20</t>
        </is>
      </c>
      <c r="H5376" t="inlineStr">
        <is>
          <t>Type 1</t>
        </is>
      </c>
    </row>
    <row r="5377">
      <c r="A5377" t="inlineStr">
        <is>
          <t>9j36ua</t>
        </is>
      </c>
      <c r="B5377" t="inlineStr">
        <is>
          <t>Low carb meal plans</t>
        </is>
      </c>
      <c r="C5377" t="inlineStr">
        <is>
          <t>Hey guys looking for sources to low carb meal plans.
Thanks in advance.</t>
        </is>
      </c>
      <c r="D5377" t="n">
        <v>2</v>
      </c>
      <c r="E5377" t="n">
        <v>9</v>
      </c>
      <c r="F5377">
        <f>HYPERLINK("https://www.reddit.com/r/diabetes/comments/9j36ua/low_carb_meal_plans/")</f>
        <v/>
      </c>
      <c r="G5377" t="inlineStr">
        <is>
          <t>2018-09-26 07:53:23</t>
        </is>
      </c>
      <c r="H5377" t="inlineStr">
        <is>
          <t>Type 1</t>
        </is>
      </c>
    </row>
    <row r="5378">
      <c r="A5378" t="inlineStr">
        <is>
          <t>9j5715</t>
        </is>
      </c>
      <c r="B5378" t="inlineStr">
        <is>
          <t>The worst part about Type 1 Diabetes</t>
        </is>
      </c>
      <c r="C5378" t="inlineStr">
        <is>
          <t>To me, the worst part of Type 1 Diabetes isn't the finger-sticking, or the several injections a day, or the carb calculations at every meal, or the constant paranoia of going too low, or the anxiety of what will happen long-term to my eyes, limbs, etc.
The worst part, as an American, is the COST of insulin.  If you are not one of the lucky ones with a good job that offers benefits (which are becoming fewer and harder to come by), then you either go bankrupt trying to afford your life-saving medication, or you die. Even those with insurance still pay out the a$$. I envy all of you in Canada, the U.K., and, well, most of the rest of the world. I hope we one day have a leader who understands that we shouldn't have to go broke to stay alive for a disease that isn't our fault.</t>
        </is>
      </c>
      <c r="D5378" t="n">
        <v>1</v>
      </c>
      <c r="E5378" t="n">
        <v>0</v>
      </c>
      <c r="F5378">
        <f>HYPERLINK("https://www.reddit.com/r/diabetes/comments/9j5715/the_worst_part_about_type_1_diabetes/")</f>
        <v/>
      </c>
      <c r="G5378" t="inlineStr">
        <is>
          <t>2018-09-26 11:34:03</t>
        </is>
      </c>
      <c r="H5378" t="inlineStr">
        <is>
          <t>Type 1</t>
        </is>
      </c>
    </row>
    <row r="5379">
      <c r="A5379" t="inlineStr">
        <is>
          <t>9j9n9o</t>
        </is>
      </c>
      <c r="B5379" t="inlineStr">
        <is>
          <t>How often do diabetics drink?</t>
        </is>
      </c>
      <c r="C5379" t="inlineStr">
        <is>
          <t>So I was just diagnosed with type 1, and I was just curious how often most diabetics drink? I know obviously I should not drink too much as it will probably cause my blood sugar to skyrocket cause of all the carbs, but I was just curious of often and how much most diabetics drink alcohol. Weather it be beer or wine, or liquor? I'm not an alcoholic, just a guy looking for an answer</t>
        </is>
      </c>
      <c r="D5379" t="n">
        <v>2</v>
      </c>
      <c r="E5379" t="n">
        <v>20</v>
      </c>
      <c r="F5379">
        <f>HYPERLINK("https://www.reddit.com/r/diabetes/comments/9j9n9o/how_often_do_diabetics_drink/")</f>
        <v/>
      </c>
      <c r="G5379" t="inlineStr">
        <is>
          <t>2018-09-26 21:06:32</t>
        </is>
      </c>
      <c r="H5379" t="inlineStr">
        <is>
          <t>Type 1</t>
        </is>
      </c>
    </row>
    <row r="5380">
      <c r="A5380" t="inlineStr">
        <is>
          <t>9jhc0t</t>
        </is>
      </c>
      <c r="B5380" t="inlineStr">
        <is>
          <t>Any disgusting carb sources you know of?</t>
        </is>
      </c>
      <c r="C5380" t="inlineStr">
        <is>
          <t>Been Type 1 for almost 2 years now and regularly have hypos, especially at work. I realise I'm meant to carry around emergency carbs for such situations. The problem is that if I carry around a banana, up&amp;amp;go, muslei bar, you name it, I'll just have it without a hypo because it's yum and I have no self control :) I carry around those sugar sachets you get with coffee at a cafe and I never have that problem, because they're friggin yuck. Being basic sugar though, they don't last long before the old sugar's low again. Can anyone think of a high carb, non-perishable, compact food I could carry that's pretty disgusting, meaning I won't be tempted to eat it?
&amp;amp;#x200B;
Cheers</t>
        </is>
      </c>
      <c r="D5380" t="n">
        <v>15</v>
      </c>
      <c r="E5380" t="n">
        <v>19</v>
      </c>
      <c r="F5380">
        <f>HYPERLINK("https://www.reddit.com/r/diabetes/comments/9jhc0t/any_disgusting_carb_sources_you_know_of/")</f>
        <v/>
      </c>
      <c r="G5380" t="inlineStr">
        <is>
          <t>2018-09-27 15:21:05</t>
        </is>
      </c>
      <c r="H5380" t="inlineStr">
        <is>
          <t>Type 1</t>
        </is>
      </c>
    </row>
    <row r="5381">
      <c r="A5381" t="inlineStr">
        <is>
          <t>9jhn15</t>
        </is>
      </c>
      <c r="B5381" t="inlineStr">
        <is>
          <t>Thankful for a high</t>
        </is>
      </c>
      <c r="C5381" t="inlineStr">
        <is>
          <t>Im actually thankful for a high.  I recently got out of rehab from surgery. Before leaving rehab i didnt feel right for some reason. 24  hours after i got home I went to the ER with a high. Turns out !I actually had MRSA.</t>
        </is>
      </c>
      <c r="D5381" t="n">
        <v>21</v>
      </c>
      <c r="E5381" t="n">
        <v>1</v>
      </c>
      <c r="F5381">
        <f>HYPERLINK("https://www.reddit.com/r/diabetes/comments/9jhn15/thankful_for_a_high/")</f>
        <v/>
      </c>
      <c r="G5381" t="inlineStr">
        <is>
          <t>2018-09-27 16:01:04</t>
        </is>
      </c>
      <c r="H5381" t="inlineStr">
        <is>
          <t>Type 2</t>
        </is>
      </c>
    </row>
    <row r="5382">
      <c r="A5382" t="inlineStr">
        <is>
          <t>9jhtzq</t>
        </is>
      </c>
      <c r="B5382" t="inlineStr">
        <is>
          <t>Best lines said to a Type 1 Diabetic: HIT ME WITH YOUR BEST SHOT</t>
        </is>
      </c>
      <c r="C5382" t="inlineStr">
        <is>
          <t>I walk into work about a month after I'm diagnosed to my coworker asking how my "new diet" is going. Boss goes: WHAT DIABETES. 
&amp;amp;#x200B;
Yeah guys. My new diets going just splendid...</t>
        </is>
      </c>
      <c r="D5382" t="n">
        <v>22</v>
      </c>
      <c r="E5382" t="n">
        <v>50</v>
      </c>
      <c r="F5382">
        <f>HYPERLINK("https://www.reddit.com/r/diabetes/comments/9jhtzq/best_lines_said_to_a_type_1_diabetic_hit_me_with/")</f>
        <v/>
      </c>
      <c r="G5382" t="inlineStr">
        <is>
          <t>2018-09-27 16:25:50</t>
        </is>
      </c>
      <c r="H5382" t="inlineStr">
        <is>
          <t>Type 1</t>
        </is>
      </c>
    </row>
    <row r="5383">
      <c r="A5383" t="inlineStr">
        <is>
          <t>9jilcc</t>
        </is>
      </c>
      <c r="B5383" t="inlineStr">
        <is>
          <t>How to lower my A1c from 6.1 to even lower while I am already taking 500 mg of metformin daily twice?</t>
        </is>
      </c>
      <c r="C5383" t="inlineStr">
        <is>
          <t xml:space="preserve">I’m thin, and I’m feeling the kick of metformin right now which I might to need to discuss with my doc. 
My A1c went down from 12% to 6.1% (early May to late September). Cholesterol went dangerous up. Specialist wants to start me on meds. 
What diet or routine you recommend that’ll reduce my medicine? 
</t>
        </is>
      </c>
      <c r="D5383" t="n">
        <v>6</v>
      </c>
      <c r="E5383" t="n">
        <v>7</v>
      </c>
      <c r="F5383">
        <f>HYPERLINK("https://www.reddit.com/r/diabetes/comments/9jilcc/how_to_lower_my_a1c_from_61_to_even_lower_while_i/")</f>
        <v/>
      </c>
      <c r="G5383" t="inlineStr">
        <is>
          <t>2018-09-27 18:11:10</t>
        </is>
      </c>
      <c r="H5383" t="inlineStr">
        <is>
          <t>Type 2</t>
        </is>
      </c>
    </row>
    <row r="5384">
      <c r="A5384" t="inlineStr">
        <is>
          <t>9jkwid</t>
        </is>
      </c>
      <c r="B5384" t="inlineStr">
        <is>
          <t>Switched from an Omnipod to the new t:slim X2 and insulin requirements went way up</t>
        </is>
      </c>
      <c r="C5384" t="inlineStr">
        <is>
          <t>Is this normal? My general basal rate was quite low with the Omnipod and it kept me stable but after switching to the t:slim yesterday I’ve been running really high despite lots of correction blouses that aren’t doing much at all. All my presets are the same as they were with the Omnipod but it almost seems like I’m not getting enough insulin all of a sudden with this new pump. I’m not sure what to do.</t>
        </is>
      </c>
      <c r="D5384" t="n">
        <v>2</v>
      </c>
      <c r="E5384" t="n">
        <v>10</v>
      </c>
      <c r="F5384">
        <f>HYPERLINK("https://www.reddit.com/r/diabetes/comments/9jkwid/switched_from_an_omnipod_to_the_new_tslim_x2_and/")</f>
        <v/>
      </c>
      <c r="G5384" t="inlineStr">
        <is>
          <t>2018-09-28 00:26:06</t>
        </is>
      </c>
      <c r="H5384" t="inlineStr">
        <is>
          <t>Type 1</t>
        </is>
      </c>
    </row>
    <row r="5385">
      <c r="A5385" t="inlineStr">
        <is>
          <t>9jl44r</t>
        </is>
      </c>
      <c r="B5385" t="inlineStr">
        <is>
          <t>Living a long and healthy life with T1D??</t>
        </is>
      </c>
      <c r="C5385" t="inlineStr">
        <is>
          <t>Hi all,
I was diagnosed a year ago and I feel like I’ll never really be completely ok with having type 1 diabetes. I was diagnosed in college and my life changed completely. I was diagnosed in my last year in college and it sucked to be around all my friends eating whatever they wanted, while I had to watch every single thing I was eating. The worst part for me is that I’m terrified about having complications in the future. :( Is it possible to have a normal life in the future without complications or because I have T1D no matter what I do I’ll for sure have complications? What’s a good A1C?? I keep seeing “good A1C” for diabetics, but I don’t wanna have a good “diabetic A1C”, what’s the actual A1C we should strive for in order to avoid complications (if that’s even possible). I know I’m stuck with this crap for life, but reading online that we have a shorter life expectancy than the average person no matter what we do makes me feel completely hopeless and depressed..
Thanks a lot for any helpful advice!</t>
        </is>
      </c>
      <c r="D5385" t="n">
        <v>2</v>
      </c>
      <c r="E5385" t="n">
        <v>9</v>
      </c>
      <c r="F5385">
        <f>HYPERLINK("https://www.reddit.com/r/diabetes/comments/9jl44r/living_a_long_and_healthy_life_with_t1d/")</f>
        <v/>
      </c>
      <c r="G5385" t="inlineStr">
        <is>
          <t>2018-09-28 01:10:05</t>
        </is>
      </c>
      <c r="H5385" t="inlineStr">
        <is>
          <t>Type 1</t>
        </is>
      </c>
    </row>
    <row r="5386">
      <c r="A5386" t="inlineStr">
        <is>
          <t>9jm5bn</t>
        </is>
      </c>
      <c r="B5386" t="inlineStr">
        <is>
          <t>New to here, just introducing myself</t>
        </is>
      </c>
      <c r="C5386" t="inlineStr">
        <is>
          <t>Hi, I'm a type 1 from the UK. I've been diabetic almost 9 1/2 years now, diagnosed when I was 19.
I'm on MDI using Levemir split 20u morning 20u evening. for meals I'm on Novorapid with ratios of 1/10 for breakfast, 1/9 for lunch and 1/7 for dinner with a 1u/2mmol/L correction.
I'm an Architectural Technologist whose main hobby is enduro mountain biking,
&amp;amp;#x200B;
Just introducing myself, but feel free to ask me questions or just have a chat.</t>
        </is>
      </c>
      <c r="D5386" t="n">
        <v>0</v>
      </c>
      <c r="E5386" t="n">
        <v>6</v>
      </c>
      <c r="F5386">
        <f>HYPERLINK("https://www.reddit.com/r/diabetes/comments/9jm5bn/new_to_here_just_introducing_myself/")</f>
        <v/>
      </c>
      <c r="G5386" t="inlineStr">
        <is>
          <t>2018-09-28 04:28:22</t>
        </is>
      </c>
      <c r="H5386" t="inlineStr">
        <is>
          <t>Type 1</t>
        </is>
      </c>
    </row>
    <row r="5387">
      <c r="A5387" t="inlineStr">
        <is>
          <t>9jpmxz</t>
        </is>
      </c>
      <c r="B5387" t="inlineStr">
        <is>
          <t>Glucerna shakes?</t>
        </is>
      </c>
      <c r="C5387" t="inlineStr">
        <is>
          <t xml:space="preserve">Hi everyone, do Glucerna shakes work well for Type 2 diabetes? Does anyone here use them? Do they taste good? </t>
        </is>
      </c>
      <c r="D5387" t="n">
        <v>1</v>
      </c>
      <c r="E5387" t="n">
        <v>9</v>
      </c>
      <c r="F5387">
        <f>HYPERLINK("https://www.reddit.com/r/diabetes/comments/9jpmxz/glucerna_shakes/")</f>
        <v/>
      </c>
      <c r="G5387" t="inlineStr">
        <is>
          <t>2018-09-28 11:46:08</t>
        </is>
      </c>
      <c r="H5387" t="inlineStr">
        <is>
          <t>Type 2</t>
        </is>
      </c>
    </row>
    <row r="5388">
      <c r="A5388" t="inlineStr">
        <is>
          <t>9jtumi</t>
        </is>
      </c>
      <c r="B5388" t="inlineStr">
        <is>
          <t>ALL THE ENDO PROBLEMS (type 2 diabetes and post-op graves disease)</t>
        </is>
      </c>
      <c r="C5388" t="inlineStr">
        <is>
          <t xml:space="preserve">Hi all, I'm new to this reddit. I am a 30 year old overweight female that has had her thyroid "removed" by radioactive iodine ablation, due to out of control and non-medication responsive Graves Disease aka Hyperthyroidism, as well as type 2 diabetes.
&amp;amp;#x200B;
I think when endocrine stats were being given out at the beginning of this campaign I decided to use that as my dump stat. 
&amp;amp;#x200B;
My doctor just put me on Victoza 1.2 dosage, and I am feeling wrung out. I am constantly having diarrhea, can't stray from a bathroom for long, and my stomach is bloated and gurgly. Like my stomach can literally be heard from 3 feet away. Do the side effects ever stop? Is there something other than Victoza I can take to manage my diabetes? 
&amp;amp;#x200B;
I just got my 12 hour fast A1C back and I managed to get it down from 8.7 to 8.3 in the last 4 months, and that was without taking Victoza. I am also on Glimiperide (sp?) and of course thyroid replacement hormones. I can't seem to lose weight, even though I'm going to the gym 3 times a week, and am doing fatburning cardio for 30 minutes or more. Help. </t>
        </is>
      </c>
      <c r="D5388" t="n">
        <v>2</v>
      </c>
      <c r="E5388" t="n">
        <v>7</v>
      </c>
      <c r="F5388">
        <f>HYPERLINK("https://www.reddit.com/r/diabetes/comments/9jtumi/all_the_endo_problems_type_2_diabetes_and_postop/")</f>
        <v/>
      </c>
      <c r="G5388" t="inlineStr">
        <is>
          <t>2018-09-28 21:35:11</t>
        </is>
      </c>
      <c r="H5388" t="inlineStr">
        <is>
          <t>Type 2</t>
        </is>
      </c>
    </row>
    <row r="5389">
      <c r="A5389" t="inlineStr">
        <is>
          <t>9jxmon</t>
        </is>
      </c>
      <c r="B5389" t="inlineStr">
        <is>
          <t>Foods to gain weight?</t>
        </is>
      </c>
      <c r="C5389" t="inlineStr">
        <is>
          <t>My Mom has T2 Diabetes and she’s currently underweight at 160cm and 46kg. Any recommendations for her to gain weight without significantly affecting her blood sugar levels?</t>
        </is>
      </c>
      <c r="D5389" t="n">
        <v>2</v>
      </c>
      <c r="E5389" t="n">
        <v>9</v>
      </c>
      <c r="F5389">
        <f>HYPERLINK("https://www.reddit.com/r/diabetes/comments/9jxmon/foods_to_gain_weight/")</f>
        <v/>
      </c>
      <c r="G5389" t="inlineStr">
        <is>
          <t>2018-09-29 08:13:12</t>
        </is>
      </c>
      <c r="H5389" t="inlineStr">
        <is>
          <t>Type 2</t>
        </is>
      </c>
    </row>
    <row r="5390">
      <c r="A5390" t="inlineStr">
        <is>
          <t>9k223k</t>
        </is>
      </c>
      <c r="B5390" t="inlineStr">
        <is>
          <t>Meters and strips, help with which is best to use?</t>
        </is>
      </c>
      <c r="C5390" t="inlineStr">
        <is>
          <t xml:space="preserve">Hey all, while I'm not new to being diagnosed (diagnosis in May of 2016) I am trying to really get myself back on track with testing. I basically haven't been testing at all for the last 4 months, and obviously need to. I have type 2 diabetes, and I have Regence insurance. Does anyone have any advice on the best meter and strips to use? my experience so far is that strips are insanely expensive and very proprietary. </t>
        </is>
      </c>
      <c r="D5390" t="n">
        <v>7</v>
      </c>
      <c r="E5390" t="n">
        <v>26</v>
      </c>
      <c r="F5390">
        <f>HYPERLINK("https://www.reddit.com/r/diabetes/comments/9k223k/meters_and_strips_help_with_which_is_best_to_use/")</f>
        <v/>
      </c>
      <c r="G5390" t="inlineStr">
        <is>
          <t>2018-09-29 17:46:17</t>
        </is>
      </c>
      <c r="H5390" t="inlineStr">
        <is>
          <t>Type 2</t>
        </is>
      </c>
    </row>
    <row r="5391">
      <c r="A5391" t="inlineStr">
        <is>
          <t>9k32l2</t>
        </is>
      </c>
      <c r="B5391" t="inlineStr">
        <is>
          <t>T-Slim not showing the correct Dexcom G6 readings</t>
        </is>
      </c>
      <c r="C5391" t="inlineStr">
        <is>
          <t>I just got the T Slim insulin pump last week, but I have noticed that it constantly lags behind the Dexcom G6 readings that are sent to my phone. Sometimes it doesn't show any readings at all while my G6 is doing just fine. Am I doing something wrong?</t>
        </is>
      </c>
      <c r="D5391" t="n">
        <v>2</v>
      </c>
      <c r="E5391" t="n">
        <v>6</v>
      </c>
      <c r="F5391">
        <f>HYPERLINK("https://www.reddit.com/r/diabetes/comments/9k32l2/tslim_not_showing_the_correct_dexcom_g6_readings/")</f>
        <v/>
      </c>
      <c r="G5391" t="inlineStr">
        <is>
          <t>2018-09-29 20:29:14</t>
        </is>
      </c>
      <c r="H5391" t="inlineStr">
        <is>
          <t>Type 1</t>
        </is>
      </c>
    </row>
    <row r="5392">
      <c r="A5392" t="inlineStr">
        <is>
          <t>9k4i5x</t>
        </is>
      </c>
      <c r="B5392" t="inlineStr">
        <is>
          <t>How do you describe your discomfort when your blood is way high?</t>
        </is>
      </c>
      <c r="C5392" t="inlineStr">
        <is>
          <t>I say my blood hurts btw</t>
        </is>
      </c>
      <c r="D5392" t="n">
        <v>8</v>
      </c>
      <c r="E5392" t="n">
        <v>12</v>
      </c>
      <c r="F5392">
        <f>HYPERLINK("https://www.reddit.com/r/diabetes/comments/9k4i5x/how_do_you_describe_your_discomfort_when_your/")</f>
        <v/>
      </c>
      <c r="G5392" t="inlineStr">
        <is>
          <t>2018-09-30 00:33:47</t>
        </is>
      </c>
      <c r="H5392" t="inlineStr">
        <is>
          <t>Type 1</t>
        </is>
      </c>
    </row>
    <row r="5393">
      <c r="A5393" t="inlineStr">
        <is>
          <t>9k75yc</t>
        </is>
      </c>
      <c r="B5393" t="inlineStr">
        <is>
          <t>May to Sep: A1c 12% to 5.8%, how should I maintain my A1c level?</t>
        </is>
      </c>
      <c r="C5393" t="inlineStr">
        <is>
          <t xml:space="preserve">I’m on metformin twice daily 500 mg. </t>
        </is>
      </c>
      <c r="D5393" t="n">
        <v>2</v>
      </c>
      <c r="E5393" t="n">
        <v>3</v>
      </c>
      <c r="F5393">
        <f>HYPERLINK("https://www.reddit.com/r/diabetes/comments/9k75yc/may_to_sep_a1c_12_to_58_how_should_i_maintain_my/")</f>
        <v/>
      </c>
      <c r="G5393" t="inlineStr">
        <is>
          <t>2018-09-30 08:26:11</t>
        </is>
      </c>
      <c r="H5393" t="inlineStr">
        <is>
          <t>Type 2</t>
        </is>
      </c>
    </row>
    <row r="5394">
      <c r="A5394" t="inlineStr">
        <is>
          <t>9k8bpy</t>
        </is>
      </c>
      <c r="B5394" t="inlineStr">
        <is>
          <t>Use sugarmate to track medication?</t>
        </is>
      </c>
      <c r="C5394" t="inlineStr">
        <is>
          <t xml:space="preserve">I just setup sugarmate on my iPhone (and watch) to work with my G6. I see that you can track food, exercise, and insulin. Luckily my T2D is well controlled so I don't need insulin, but I wanted to know if anyone uses sugarmate to also track medications? I am using OneDrop for that but the UI is a bit clunky for searching for previous doses with all the BG data that is synced from HealthData. </t>
        </is>
      </c>
      <c r="D5394" t="n">
        <v>2</v>
      </c>
      <c r="E5394" t="n">
        <v>0</v>
      </c>
      <c r="F5394">
        <f>HYPERLINK("https://www.reddit.com/r/diabetes/comments/9k8bpy/use_sugarmate_to_track_medication/")</f>
        <v/>
      </c>
      <c r="G5394" t="inlineStr">
        <is>
          <t>2018-09-30 10:46:00</t>
        </is>
      </c>
      <c r="H5394" t="inlineStr">
        <is>
          <t>Type 2</t>
        </is>
      </c>
    </row>
    <row r="5395">
      <c r="A5395" t="inlineStr">
        <is>
          <t>9k9g26</t>
        </is>
      </c>
      <c r="B5395" t="inlineStr">
        <is>
          <t>[Help] Type 1 Diabetic having issues losing weight</t>
        </is>
      </c>
      <c r="C5395" t="inlineStr">
        <is>
          <t xml:space="preserve">Hey everyone. I’m a type one diabetic who has been trying to lose weight. I’ve been struggling for the last year with my weight. 
My diet is, for the most part, low carb. I still have to inject so much insulin just to keep my blood sugars in range. Even when I eat very few carbs, I need a whole lot of insulin. Does anyone else have this problem?
I’m sorry if this question has already been asked. New to the sub. </t>
        </is>
      </c>
      <c r="D5395" t="n">
        <v>1</v>
      </c>
      <c r="E5395" t="n">
        <v>0</v>
      </c>
      <c r="F5395">
        <f>HYPERLINK("https://www.reddit.com/r/diabetes/comments/9k9g26/help_type_1_diabetic_having_issues_losing_weight/")</f>
        <v/>
      </c>
      <c r="G5395" t="inlineStr">
        <is>
          <t>2018-09-30 12:58:59</t>
        </is>
      </c>
      <c r="H5395" t="inlineStr">
        <is>
          <t>Type 1</t>
        </is>
      </c>
    </row>
    <row r="5396">
      <c r="A5396" t="inlineStr">
        <is>
          <t>9kb88p</t>
        </is>
      </c>
      <c r="B5396" t="inlineStr">
        <is>
          <t>Currently on G6, would love closed loop but terrible luck with Minimed CGM</t>
        </is>
      </c>
      <c r="C5396" t="inlineStr">
        <is>
          <t xml:space="preserve">Hey all, my minimed pump just hit it's 4th birthday and is now out of warranty.  Time to upgrade!  
&amp;amp;#x200B;
That said, I don't love any of my options I've seen so far.  I LOVE my Dexcom G6, it's (in my mind) the perfect solution for blood sugar monitoring and management.  I'm also terrible at the pump management aspect so I'd LOVE  closed loop system that works with the G6.  I've used the minimed CGM a few times over the years and have hated it every time but it looks like it's the only closed loop CGM currently available, does anyone know of any other options? 
&amp;amp;#x200B;
Has anyone successfully used the G6 for blood sugar management and used the G6 readings to calibrate the Minimed system?  That is feeling like my best option for now but I don't want to put myself into another 4 years of Minimed garbage CGM if Dexcom has a better option. 
&amp;amp;#x200B;
Sorry for all the words, I look forward to everyones thoughts on the matter. </t>
        </is>
      </c>
      <c r="D5396" t="n">
        <v>5</v>
      </c>
      <c r="E5396" t="n">
        <v>11</v>
      </c>
      <c r="F5396">
        <f>HYPERLINK("https://www.reddit.com/r/diabetes/comments/9kb88p/currently_on_g6_would_love_closed_loop_but/")</f>
        <v/>
      </c>
      <c r="G5396" t="inlineStr">
        <is>
          <t>2018-09-30 16:44:39</t>
        </is>
      </c>
      <c r="H5396" t="inlineStr">
        <is>
          <t>Type 1</t>
        </is>
      </c>
    </row>
    <row r="5397">
      <c r="A5397" t="inlineStr">
        <is>
          <t>9kfxwj</t>
        </is>
      </c>
      <c r="B5397" t="inlineStr">
        <is>
          <t>T1 - On injections, is there a cheap(ish) sensor I can use?</t>
        </is>
      </c>
      <c r="C5397" t="inlineStr">
        <is>
          <t>Hey guys,
I'm currently using A (G5 or G4? Mum put it on so not too sure what it is to be honest) which is hooked up to the pump I had for like 10 years. Not using the pump, just using it for the sensor as my control has been terrible recently. It's been really really helpful and I kinda want to consider investing in a sensor to help me get back into my blood sugar and injection routines. Obviously, my current sensor will run out in a week or two and I'm only a student. I've heard most sensors go for about £50p/week or 2 weeks, can anyone give me some pump-less suggestions?</t>
        </is>
      </c>
      <c r="D5397" t="n">
        <v>1</v>
      </c>
      <c r="E5397" t="n">
        <v>9</v>
      </c>
      <c r="F5397">
        <f>HYPERLINK("https://www.reddit.com/r/diabetes/comments/9kfxwj/t1_on_injections_is_there_a_cheapish_sensor_i_can/")</f>
        <v/>
      </c>
      <c r="G5397" t="inlineStr">
        <is>
          <t>2018-10-01 05:37:14</t>
        </is>
      </c>
      <c r="H5397" t="inlineStr">
        <is>
          <t>Type 1</t>
        </is>
      </c>
    </row>
    <row r="5398">
      <c r="A5398" t="inlineStr">
        <is>
          <t>9khb4e</t>
        </is>
      </c>
      <c r="B5398" t="inlineStr">
        <is>
          <t>Accu-Check Guide battery issues, constantly. Anyone else?</t>
        </is>
      </c>
      <c r="C5398" t="inlineStr">
        <is>
          <t xml:space="preserve">I recently switched to to Accu-Check Guide and am on my third meter in about 2 1/2 weeks.  The batteries just die within a few days.  I reset the meter as instructed get a few hours out of them and they die again.  They send me a new meter each time I call support  but that really isn’t helpful or safe given that I work from home, have wild blood sugar swings and frequently don’t have the car.  Never in my life have I needed to keep spare batteries on hand for a meter... honestly I’ve never had one long enough to need to replace it.  With this one I’m getting less than 30 tests before a meter dies.
Anyone else have this issue?  Bad batch maybe?  </t>
        </is>
      </c>
      <c r="D5398" t="n">
        <v>1</v>
      </c>
      <c r="E5398" t="n">
        <v>7</v>
      </c>
      <c r="F5398">
        <f>HYPERLINK("https://www.reddit.com/r/diabetes/comments/9khb4e/accucheck_guide_battery_issues_constantly_anyone/")</f>
        <v/>
      </c>
      <c r="G5398" t="inlineStr">
        <is>
          <t>2018-10-01 08:27:19</t>
        </is>
      </c>
      <c r="H5398" t="inlineStr">
        <is>
          <t>Type 2</t>
        </is>
      </c>
    </row>
    <row r="5399">
      <c r="A5399" t="inlineStr">
        <is>
          <t>9khv3l</t>
        </is>
      </c>
      <c r="B5399" t="inlineStr">
        <is>
          <t>My Diabetes Diagnosis – A Personal Account</t>
        </is>
      </c>
      <c r="C5399" t="inlineStr">
        <is>
          <t xml:space="preserve"> It is a strange feeling. Being suddenly unhealthy. Being sick.
# Diagnosis
I have just left my Doctor’s office, the time was 8 pm and I was the last patient at the clinic. It was dark and quite abandoned outside and you can hear the wind blowing through the trees. Of course, I heard about diabetes before and its spreading as a modern epidemic but I never had any interest to really understand it. It has nothing to do with me. I was healthy and I had many more important things to do.
At first, I did not really get it and it seemed like the doctor had just told me that I had the flu. No problems – I will rest for a few days, eat well for a week or two, take some medications and I will be fixed. He even suggested some physical activity… Ok, I will do some evening walks. Give me 2-3 weeks and everything will go back to where it was before. After all, I was healthy.
...
&amp;amp;#x200B;
Hi, 
My name is Jonathan. I am a physicist. I have diabetes.
Above I have shared the first 2 paragraphs of a recent post I have written describing my diabetes diagnosis. This is part of my first ever blog. I have started the blog to share my personal experience as well as to give scientific commentary about current research and other health related information on diabetes, exercise and everything in between.
I am new to diabetes (1 year old...) and new to the blogging practice so my blog is only in its initial phase (got only 4 posts at the moment). Since the blog is new and probably way down on the google search list right now my wife is the only one who reads it...(she must...). So - I would love to hear other people thoughts about my writings, my experience and hopefully some comments, tips and suggestions how to develop my new blog.
&amp;amp;#x200B;
If you find it interesting - you can read the entire post (and others as well) at:
[https://thehealthyphysicist.com/my-diabetes-diagnosis-a-personal-account/](https://thehealthyphysicist.com/my-diabetes-diagnosis-a-personal-account/)
(I read the Reddit rules and if I understood correctly then posting links to my blog is ok...).
&amp;amp;#x200B;
All the Best,
Jonathan.
&amp;amp;#x200B;</t>
        </is>
      </c>
      <c r="D5399" t="n">
        <v>1</v>
      </c>
      <c r="E5399" t="n">
        <v>0</v>
      </c>
      <c r="F5399">
        <f>HYPERLINK("https://www.reddit.com/r/diabetes/comments/9khv3l/my_diabetes_diagnosis_a_personal_account/")</f>
        <v/>
      </c>
      <c r="G5399" t="inlineStr">
        <is>
          <t>2018-10-01 09:30:01</t>
        </is>
      </c>
      <c r="H5399" t="inlineStr">
        <is>
          <t>Type 2</t>
        </is>
      </c>
    </row>
    <row r="5400">
      <c r="A5400" t="inlineStr">
        <is>
          <t>9kmp85</t>
        </is>
      </c>
      <c r="B5400" t="inlineStr">
        <is>
          <t>T1 Diabetes Questions</t>
        </is>
      </c>
      <c r="C5400" t="inlineStr">
        <is>
          <t>Hi all, I'm a university student who is working on a project about Type 1 diabetes. If you have Type 1 diabetes, I'm interested to learn about the experiences you had as a kid with diabetes (up until 18 yrs old).
The questions are as follows:
1. What are all the accessories (insulin pump, glucose monitor, brands, etc.) you used to treat your diabetes as a child. Please be as specific as possible and note any switches in therapy. 
2. How independent were you in treating your diabetes &amp;amp; how much involvement did your parents have? (did you do your own injections, change your own site? What age?)
3. What were some of the greatest difficulties you faced in treating your diabetes as a child? (i.e. emotional, mental, physical, etc.)
Thank you so much for your time, it is much appreciated! Feel free to send me a PM if you are more comfortable answering the questions that way.</t>
        </is>
      </c>
      <c r="D5400" t="n">
        <v>1</v>
      </c>
      <c r="E5400" t="n">
        <v>8</v>
      </c>
      <c r="F5400">
        <f>HYPERLINK("https://www.reddit.com/r/diabetes/comments/9kmp85/t1_diabetes_questions/")</f>
        <v/>
      </c>
      <c r="G5400" t="inlineStr">
        <is>
          <t>2018-10-01 19:05:43</t>
        </is>
      </c>
      <c r="H5400" t="inlineStr">
        <is>
          <t>Type 1</t>
        </is>
      </c>
    </row>
    <row r="5401">
      <c r="A5401" t="inlineStr">
        <is>
          <t>9ko2u4</t>
        </is>
      </c>
      <c r="B5401" t="inlineStr">
        <is>
          <t>t:slim pump/Dexcom G6 vs Medtronic 670g/Guardian 3</t>
        </is>
      </c>
      <c r="C5401" t="inlineStr">
        <is>
          <t>I am thinking of switching to t:slim with dexcom G6.  I was wondering if someone had experience with the t:slim/G6 or at least would tell me how they enjoy their t:slim with the G6?</t>
        </is>
      </c>
      <c r="D5401" t="n">
        <v>1</v>
      </c>
      <c r="E5401" t="n">
        <v>9</v>
      </c>
      <c r="F5401">
        <f>HYPERLINK("https://www.reddit.com/r/diabetes/comments/9ko2u4/tslim_pumpdexcom_g6_vs_medtronic_670gguardian_3/")</f>
        <v/>
      </c>
      <c r="G5401" t="inlineStr">
        <is>
          <t>2018-10-01 22:40:04</t>
        </is>
      </c>
      <c r="H5401" t="inlineStr">
        <is>
          <t>Type 1</t>
        </is>
      </c>
    </row>
    <row r="5402">
      <c r="A5402" t="inlineStr">
        <is>
          <t>9kp0os</t>
        </is>
      </c>
      <c r="B5402" t="inlineStr">
        <is>
          <t>Is it too late?</t>
        </is>
      </c>
      <c r="C5402" t="inlineStr">
        <is>
          <t>Hey, I'm a 20 year old guy living in the UK and for the past year I've had serious problems controlling my Diabetes. I had a seizure about 3-4 years ago as a result of many low blood sugars, and it's just sorta gone downhill since then. I was back on track for about a year, and then I started having highs. Then I started not doing my bolusing on my pump, and just letting the basal do it's work. This obviously caused me to have constant high blood sugars and long story short, my pump was taken off of me at the beginning of last year. 
&amp;amp;#x200B;
I'm now on injections and, for the past year, things are looking up now! It's been really hard getting through this burnout but I'm starting to get through it alas. I've met someone who I seriously love, and this person constantly checks on me and hell, even keeps herself awake sometimes just to make sure I've done levemir or something like that. She's amazing, and I finally have a reason to keep going. Unfortunately, I'm kinda down over the fact I think it might be too late. Halfway through this year I'd start getting horrible pains in my legs that'd last for about 2-3 minutes (I think) when I was having a period of high blood sugars. This has continued and it has got worse and worse throughout the year- however it only really happens when I've had a week or two of uncontrolled, high blood sugars. Most reading this probably picked up that it's Neuropathy, and I haven't had the chance to tell my doctors yet. I also have minor, background retinopathy apparently. No side-effects of eye-problems yet, however I know that if I don't look after it I'll probably end up blind. I don't want that.
&amp;amp;#x200B;
Few questions here - I know Neuropathy is irreversible. But if my sugars are under control, will it stop the pain from happening?
&amp;amp;#x200B;
Should I tell my Doctor about it, and if so... Why? I sorta don't want to because they're likely to just give me a sob story / scare tactic which... Honestly don't really faze me. I kinda just sit there nodding my head. I understand the long-term impacts now, and I'm getting back on track. It's just going to hurt my feelings if they start telling me I'm not looking after it properly, because right now I really am. And it's been bloody hard to get there.
&amp;amp;#x200B;
I'm just super worried about everything. I don't want to lose my legs. But I don't want a yes-man to just tell me that everything's going to be okay, if it's not.</t>
        </is>
      </c>
      <c r="D5402" t="n">
        <v>1</v>
      </c>
      <c r="E5402" t="n">
        <v>6</v>
      </c>
      <c r="F5402">
        <f>HYPERLINK("https://www.reddit.com/r/diabetes/comments/9kp0os/is_it_too_late/")</f>
        <v/>
      </c>
      <c r="G5402" t="inlineStr">
        <is>
          <t>2018-10-02 01:59:19</t>
        </is>
      </c>
      <c r="H5402" t="inlineStr">
        <is>
          <t>Type 1</t>
        </is>
      </c>
    </row>
    <row r="5403">
      <c r="A5403" t="inlineStr">
        <is>
          <t>9kryot</t>
        </is>
      </c>
      <c r="B5403" t="inlineStr">
        <is>
          <t>Medtronic 670G vs Dexcom G6 + Tandem X2 T:Slim?</t>
        </is>
      </c>
      <c r="C5403" t="inlineStr">
        <is>
          <t>I'm currently using the Dexcom G5 and doing manual injections.  My BG control has been overall good; most recent A1C 5.9.  I would like to switch to a pump though for convenience and like the idea of these auto closed loop systems.  
&amp;amp;#x200B;
I'm also at that stage where my insurance will cover an upgrade so I'm trying to decide between Medtronic 670G or the Descom G6 + Tandem X2 T:Slim.  It seems like the Medtronic is good to go for the closed loop "auto" dosing now, but I've seen some people complain about it quite a bit.  I do love the size of Dexcom G5 sensor being so small and it's very accurate.  I also like that it just works on my phone instead of needing an additional thing to carry around.
&amp;amp;#x200B;
I know the Tandem X2 does not do auto mode right now, but it sounds like it is capable and just waiting for FDA approval likely next year?  I could see this being ok since I'm already doing a decent job with BG control I can keep things up for a bit.  
&amp;amp;#x200B;
Any advice on which is a better option and your reasons why?
&amp;amp;#x200B;
Thanks! 
&amp;amp;#x200B;
&amp;amp;#x200B;</t>
        </is>
      </c>
      <c r="D5403" t="n">
        <v>1</v>
      </c>
      <c r="E5403" t="n">
        <v>6</v>
      </c>
      <c r="F5403">
        <f>HYPERLINK("https://www.reddit.com/r/diabetes/comments/9kryot/medtronic_670g_vs_dexcom_g6_tandem_x2_tslim/")</f>
        <v/>
      </c>
      <c r="G5403" t="inlineStr">
        <is>
          <t>2018-10-02 09:09:49</t>
        </is>
      </c>
      <c r="H5403" t="inlineStr">
        <is>
          <t>Type 1</t>
        </is>
      </c>
    </row>
    <row r="5404">
      <c r="A5404" t="inlineStr">
        <is>
          <t>9ks01w</t>
        </is>
      </c>
      <c r="B5404" t="inlineStr">
        <is>
          <t>Trying to cope with Diabetes Burnout</t>
        </is>
      </c>
      <c r="C5404" t="inlineStr">
        <is>
          <t xml:space="preserve">I’ve been T1 for 15 years, and still I get this overwhelming feeling that I’m destined to be continuously defeated by my diabetes. 
I’m forever worrying about not taking enough care of myself, that it causes me to become so unmotivated because I’ve completely lost hope. It’s like I feel as though nothing I do for my condition will ever be right/good enough. 
I’ve asked my consultant if there’s a possibility that I am eligible for a CGM on the NHS, but the district I live in, you basically have to be close to death’s door before you can even be considered anything that’ll help you improve your management. Well, that’s how it feels anyway. 
Fuck, I just feel so down about this shitty disease. I’m sorry for being such a crybaby, I just needed to vent.  Usually I just get on with it and that’s that, but these past few months have been so difficult. 
</t>
        </is>
      </c>
      <c r="D5404" t="n">
        <v>1</v>
      </c>
      <c r="E5404" t="n">
        <v>6</v>
      </c>
      <c r="F5404">
        <f>HYPERLINK("https://www.reddit.com/r/diabetes/comments/9ks01w/trying_to_cope_with_diabetes_burnout/")</f>
        <v/>
      </c>
      <c r="G5404" t="inlineStr">
        <is>
          <t>2018-10-02 09:13:54</t>
        </is>
      </c>
      <c r="H5404" t="inlineStr">
        <is>
          <t>Type 1</t>
        </is>
      </c>
    </row>
    <row r="5405">
      <c r="A5405" t="inlineStr">
        <is>
          <t>9ku5vb</t>
        </is>
      </c>
      <c r="B5405" t="inlineStr">
        <is>
          <t>Long Distance Runners - Need Advise for Pre-Race Meal</t>
        </is>
      </c>
      <c r="C5405" t="inlineStr">
        <is>
          <t>Looking for an answer about pre-race fueling. I will be running the Chicago Marathon on Sunday and am trying to figure out what to eat the day before the marathon. I know what to eat during to keep me fueled and for breakfast in the morning, but have no idea what to do the night before. Also Type 1 here. 
During training I really have been eating whatever, but try to steer clear of really greasy/fatty/heavy foods (i.e. burrito or cheeseburgers). 
I will be attending a pasta party with the gf the night before, but I am worried about eating too much pasta and having to take a whole bunch of insulin the night before a big race. Any advice?</t>
        </is>
      </c>
      <c r="D5405" t="n">
        <v>1</v>
      </c>
      <c r="E5405" t="n">
        <v>3</v>
      </c>
      <c r="F5405">
        <f>HYPERLINK("https://www.reddit.com/r/diabetes/comments/9ku5vb/long_distance_runners_need_advise_for_prerace_meal/")</f>
        <v/>
      </c>
      <c r="G5405" t="inlineStr">
        <is>
          <t>2018-10-02 13:12:31</t>
        </is>
      </c>
      <c r="H5405" t="inlineStr">
        <is>
          <t>Type 1</t>
        </is>
      </c>
    </row>
    <row r="5406">
      <c r="A5406" t="inlineStr">
        <is>
          <t>9kwhpu</t>
        </is>
      </c>
      <c r="B5406" t="inlineStr">
        <is>
          <t>A1C down to 5.7 from 12 in May!!!</t>
        </is>
      </c>
      <c r="C5406" t="inlineStr">
        <is>
          <t xml:space="preserve">Thank you r/diabetes! The more type 2’s I see in the wild, the more I appreciate the posters here - most of you are truly the 1% club of the type 2 diabetes community.  
Now, to celebrate I will continue to exercise 15 times per week and avoid carbs like they’re going to kill me until the day I die. 
</t>
        </is>
      </c>
      <c r="D5406" t="n">
        <v>1</v>
      </c>
      <c r="E5406" t="n">
        <v>10</v>
      </c>
      <c r="F5406">
        <f>HYPERLINK("https://www.reddit.com/r/diabetes/comments/9kwhpu/a1c_down_to_57_from_12_in_may/")</f>
        <v/>
      </c>
      <c r="G5406" t="inlineStr">
        <is>
          <t>2018-10-02 18:00:51</t>
        </is>
      </c>
      <c r="H5406" t="inlineStr">
        <is>
          <t>Type 2</t>
        </is>
      </c>
    </row>
    <row r="5407">
      <c r="A5407" t="inlineStr">
        <is>
          <t>9kxcf5</t>
        </is>
      </c>
      <c r="B5407" t="inlineStr">
        <is>
          <t>Looking for volunteer to interview about their disease for a design class</t>
        </is>
      </c>
      <c r="C5407" t="inlineStr">
        <is>
          <t>Hi everyone, 
My name is Jessie and I study at Northeastern University. I am taking an interaction design class this term and I am designing a project to help diabetics. 
I am looking for volunteers who have been diagnosed as diabetics to interview. The interview is anonymous and we can talk through Reddit's chat. That would takes about 20-30 mins to finish. 
If you have any questions or concerns, feel free to ask me.
If you are interested, please let me know! I will really appreciated for your help! 
&amp;amp;#x200B;</t>
        </is>
      </c>
      <c r="D5407" t="n">
        <v>1</v>
      </c>
      <c r="E5407" t="n">
        <v>1</v>
      </c>
      <c r="F5407">
        <f>HYPERLINK("https://www.reddit.com/r/diabetes/comments/9kxcf5/looking_for_volunteer_to_interview_about_their/")</f>
        <v/>
      </c>
      <c r="G5407" t="inlineStr">
        <is>
          <t>2018-10-02 19:55:30</t>
        </is>
      </c>
      <c r="H5407" t="inlineStr">
        <is>
          <t>Type 2</t>
        </is>
      </c>
    </row>
    <row r="5408">
      <c r="A5408" t="inlineStr">
        <is>
          <t>9l2858</t>
        </is>
      </c>
      <c r="B5408" t="inlineStr">
        <is>
          <t>Januvia vs. Jardiance and A1C vs. readings</t>
        </is>
      </c>
      <c r="C5408" t="inlineStr">
        <is>
          <t>Hey everyone! My A1C crept up to 7.0 so my doctor put me on Metformin and it's gone down to 6.2. But my readings don't seem to match up with my A1C - I rarely test under 8 mmol/L and 2 hours postprandial I can be anywhere from 9-12 mmol/L. A diabetes educator suggested I speak with my doctor about adding another pill like Januvia or Jardiance. I don't really trust to my doctor to know anything beyond a flowchart of 'try this, then that' for diabetes management. Has anyone combo'ed those with Metformin? I'm not prone to UTIs so Jardiance is looking like it might be a good option?</t>
        </is>
      </c>
      <c r="D5408" t="n">
        <v>1</v>
      </c>
      <c r="E5408" t="n">
        <v>4</v>
      </c>
      <c r="F5408">
        <f>HYPERLINK("https://www.reddit.com/r/diabetes/comments/9l2858/januvia_vs_jardiance_and_a1c_vs_readings/")</f>
        <v/>
      </c>
      <c r="G5408" t="inlineStr">
        <is>
          <t>2018-10-03 08:33:59</t>
        </is>
      </c>
      <c r="H5408" t="inlineStr">
        <is>
          <t>Type 2</t>
        </is>
      </c>
    </row>
    <row r="5409">
      <c r="A5409" t="inlineStr">
        <is>
          <t>9l2dgu</t>
        </is>
      </c>
      <c r="B5409" t="inlineStr">
        <is>
          <t>An online forum experiment - just need 5 sec of your time and two simple numbers. I promise interesting results</t>
        </is>
      </c>
      <c r="C5409" t="inlineStr">
        <is>
          <t xml:space="preserve">Hi all  
I am trying to do an online experiment - I will be glad if you participate. The more participation we have, the more interesting the results going to be.  
There is a well-established correlation between A1c and AVERAGED blood glucose level (all day average). [You can read the paper here](https://www.diabetesdaily.com/forum/redirect-to/?redirect=http%3A%2F%2Fcare.diabetesjournals.org%2Fcontent%2Fearly%2F2008%2F06%2F07%2Fdc08-0545.short). The correlation is A1c=(avgBG+46.7)/28.7, of course with some variance. This correlation measures BG in \[mg/dl\] and A1c in %.  
If everyone can respond with his or her latest A1c and **morning** fasting glucose at the same day - we can try to come up with on online correlation between A1c and morning glucose level - if there is a one. A nice online experiment. If anyone wants to share its BMI or diabetes type - it would be great too.  
We will need at least 50 responses to get nice results - I will publish it here after analyzing the data.  
Should be a nice experiment.
You can post your numbers in any units.
Best,  
Jonathan </t>
        </is>
      </c>
      <c r="D5409" t="n">
        <v>1</v>
      </c>
      <c r="E5409" t="n">
        <v>1</v>
      </c>
      <c r="F5409">
        <f>HYPERLINK("https://www.reddit.com/r/diabetes/comments/9l2dgu/an_online_forum_experiment_just_need_5_sec_of/")</f>
        <v/>
      </c>
      <c r="G5409" t="inlineStr">
        <is>
          <t>2018-10-03 08:50:13</t>
        </is>
      </c>
      <c r="H5409" t="inlineStr">
        <is>
          <t>Type 2</t>
        </is>
      </c>
    </row>
    <row r="5410">
      <c r="A5410" t="inlineStr">
        <is>
          <t>9l2ozq</t>
        </is>
      </c>
      <c r="B5410" t="inlineStr">
        <is>
          <t>Is it time for a pump?</t>
        </is>
      </c>
      <c r="C5410" t="inlineStr">
        <is>
          <t xml:space="preserve">I found out I was type 1 at age 34 and when I did I hit the ground running. I had my A1C at 4.7 for 2 years and now for some reason I just don’t have the energy to maintain that control on my sugar. 
My vampire is asking me to consider a pump and CGM to take over. I don’t like things on my body. And I struggle with adhesive allergies. Once I go on the pump my insurance isn’t goin to let me go back to my pens. (VA Health care) 
I’m feeling like crap but I can only motivate myself for a few days before I fall off the wagon again and start baking cookies. 
Anyone else struggling like this. Anyone else find relief in a pump? I could use some stories here to help me figure this out. </t>
        </is>
      </c>
      <c r="D5410" t="n">
        <v>1</v>
      </c>
      <c r="E5410" t="n">
        <v>6</v>
      </c>
      <c r="F5410">
        <f>HYPERLINK("https://www.reddit.com/r/diabetes/comments/9l2ozq/is_it_time_for_a_pump/")</f>
        <v/>
      </c>
      <c r="G5410" t="inlineStr">
        <is>
          <t>2018-10-03 09:25:09</t>
        </is>
      </c>
      <c r="H5410" t="inlineStr">
        <is>
          <t>Type 1</t>
        </is>
      </c>
    </row>
    <row r="5411">
      <c r="A5411" t="inlineStr">
        <is>
          <t>9l47jl</t>
        </is>
      </c>
      <c r="B5411" t="inlineStr">
        <is>
          <t>The Failing Diabetic</t>
        </is>
      </c>
      <c r="C5411" t="inlineStr">
        <is>
          <t xml:space="preserve">For posterity.
YEAR -   A1C
---      ---
2012 -   Type 2 - Diagnosed 12.8
2013 -    ?
11/14 -  10
2/15  -  8.6
10/15  - 10.5
12/15  -  7.8
4/16   -  9.1
7/16   -  8.3
3/17   -  9.4
8/17   -  7.4
8/18   -  8.9 &amp;lt;- This about the average over the last 5 years. Turned 50 in March/18.
I think these numbers are normal for those who will suffer complications. I don't know how many others have done this and turned it around. So, of course this is my own personal experience any my very own physiology.
I know exactly where I am now. If I have had any good fortune it is soon to run out. I expect that these are the types of numbers that lead to complications. It's a failure of will power driven by mental issues. I believe it's the same problem experienced by people suffering from extreme obesity.
I have had no issues, no heart disease, no nephropathy and no kidney or pancreas issues. But there is no doubt in my mind that I am on the cusp of a major problem if I do not change NOW and change for good. I am not certain that getting a low A1C in 45 days is enough. Certainly I must have a low A1C but I think I need a revolution in my life (Jordan Peterson style). Or maybe, it's as simple as resetting that goal every 90 days. I'd rather be 40 but I am glad I am only 50 and not 60. 
On track for 6.5.
</t>
        </is>
      </c>
      <c r="D5411" t="n">
        <v>1</v>
      </c>
      <c r="E5411" t="n">
        <v>6</v>
      </c>
      <c r="F5411">
        <f>HYPERLINK("https://www.reddit.com/r/diabetes/comments/9l47jl/the_failing_diabetic/")</f>
        <v/>
      </c>
      <c r="G5411" t="inlineStr">
        <is>
          <t>2018-10-03 12:02:04</t>
        </is>
      </c>
      <c r="H5411" t="inlineStr">
        <is>
          <t>Type 2</t>
        </is>
      </c>
    </row>
    <row r="5412">
      <c r="A5412" t="inlineStr">
        <is>
          <t>9l5mab</t>
        </is>
      </c>
      <c r="B5412" t="inlineStr">
        <is>
          <t>Vinyl stickers for OmniPod</t>
        </is>
      </c>
      <c r="C5412" t="inlineStr">
        <is>
          <t>I have seen tons of online stickers for the Insulet OmniPod, they run about $3 a piece, which isn't bad but I don't like any of the designs I see and want to do a printable vinyl with personal drawings(from the kids) to make it a little more personal. Can anyone suggest a good printable vinyl for this application??? 
for reference [pictures of OmniPod stickers](https://www.google.com/search?q=omnipod+vinyl&amp;amp;source=lnms&amp;amp;tbm=isch&amp;amp;sa=X&amp;amp;ved=0ahUKEwii5I3chuvdAhUSVK0KHUqzD1UQ_AUIDygC&amp;amp;biw=1387&amp;amp;bih=804#imgrc=IXfu7oBSnMPSCM:)</t>
        </is>
      </c>
      <c r="D5412" t="n">
        <v>1</v>
      </c>
      <c r="E5412" t="n">
        <v>17</v>
      </c>
      <c r="F5412">
        <f>HYPERLINK("https://www.reddit.com/r/diabetes/comments/9l5mab/vinyl_stickers_for_omnipod/")</f>
        <v/>
      </c>
      <c r="G5412" t="inlineStr">
        <is>
          <t>2018-10-03 14:36:29</t>
        </is>
      </c>
      <c r="H5412" t="inlineStr">
        <is>
          <t>Type 1</t>
        </is>
      </c>
    </row>
    <row r="5413">
      <c r="A5413" t="inlineStr">
        <is>
          <t>9l5uqt</t>
        </is>
      </c>
      <c r="B5413" t="inlineStr">
        <is>
          <t>Last-minute donations for tomorrow's Type 1 Diabetes Fundraise and Ride (JDRF 2018)</t>
        </is>
      </c>
      <c r="C5413" t="inlineStr">
        <is>
          <t>Hi /r/diabetes
I wanted to ask for your help with raising **$55.00 CAD** for tomorrow's **[2018 JDRF Fundraise and Ride](https://www.jdrfrevolution.ca/?utm_source=jdrfcawebsite&amp;amp;utm_medium=banner&amp;amp;utm_campaign=RIDE2018)**.
The funds will go towards discovery, development, and delivery of advances that cure, better treat, and prevent Type 1 Diabetes.
If you wish to donate, please follow my [**personalized donation link**](https://jdrf.akaraisin.com/Common/Participant/Sponsor.aspx?seid=15060&amp;amp;mid=22&amp;amp;pid=4578018).
Any donations -- big or small -- are greatly appreciated. Additionally, donations of $20.00 CAD or more will get you a tax receipt.
Thank you all for your help - as a very last-minute addition to the team, I figured I would turn to 
kind Redditors who may be willing to help out :)
Cheers!</t>
        </is>
      </c>
      <c r="D5413" t="n">
        <v>1</v>
      </c>
      <c r="E5413" t="n">
        <v>0</v>
      </c>
      <c r="F5413">
        <f>HYPERLINK("https://www.reddit.com/r/diabetes/comments/9l5uqt/lastminute_donations_for_tomorrows_type_1/")</f>
        <v/>
      </c>
      <c r="G5413" t="inlineStr">
        <is>
          <t>2018-10-03 15:04:25</t>
        </is>
      </c>
      <c r="H5413" t="inlineStr">
        <is>
          <t>Type 1</t>
        </is>
      </c>
    </row>
    <row r="5414">
      <c r="A5414" t="inlineStr">
        <is>
          <t>9lasok</t>
        </is>
      </c>
      <c r="B5414" t="inlineStr">
        <is>
          <t>It feels like I take a lot of insulin even though I eat low carb</t>
        </is>
      </c>
      <c r="C5414" t="inlineStr">
        <is>
          <t>I see this most clearly when eating my snack in between meals. I eat Cottage Cheese 150-200g(1.7g carb every 100g), a small spoon of peanutbutter(12g carb every 100g), and i take around 3-4 units of insulin for that, 4 if my glucose is a bit higher than normal. For some reason the snack is the worst when it comes to insulin sensitivity. I should have to take like 1 maybe 2 IMO but apparently not.
&amp;amp;#x200B;
My breakfast is homemade musli(hazelnuts, almonds, pumpkin seeds, sunflower seeds, and a tiny bit sesame), greek yoghurt, 2 sandwiches(almond flour, coconut flour, pumkin seeds, almonds, hazelnuts, sunflower seeds, and sourmilk), and an egg. For breakfast I've recently needed to go from 3 to 4 units after being sick. That is not too bad but I think its kinda low carb, sure the nuts is a bit in but 4 units feels like a lot.
&amp;amp;#x200B;
For lunch i always take 3, but I dont wanna get into detail on what I eat since its always different. Am I wrong with feeling like this is a lot of units? I've just had diabetes for 4 months and even though it feels like I understand most of it this my insulin intake feels so wierd. I also take 8 units of longtime insulin.</t>
        </is>
      </c>
      <c r="D5414" t="n">
        <v>1</v>
      </c>
      <c r="E5414" t="n">
        <v>21</v>
      </c>
      <c r="F5414">
        <f>HYPERLINK("https://www.reddit.com/r/diabetes/comments/9lasok/it_feels_like_i_take_a_lot_of_insulin_even_though/")</f>
        <v/>
      </c>
      <c r="G5414" t="inlineStr">
        <is>
          <t>2018-10-04 03:52:04</t>
        </is>
      </c>
      <c r="H5414" t="inlineStr">
        <is>
          <t>Type 1</t>
        </is>
      </c>
    </row>
    <row r="5415">
      <c r="A5415" t="inlineStr">
        <is>
          <t>9lbks5</t>
        </is>
      </c>
      <c r="B5415" t="inlineStr">
        <is>
          <t>T1D and puberty</t>
        </is>
      </c>
      <c r="C5415" t="inlineStr">
        <is>
          <t>Hey everyone. I am a male, I've had Type 1 Diabetes since the age of 13 and I am approaching 17 now. I have noticed over the course of the past year that my insulin needs have continuously increased and that I am experiencing quite severe insulin resistance. For example, my I:C ratio in the morning used to be 1:5 but now it is 1:2.5. All my I:C ratios have increased over time. It seems to me like I need insulin even for food that does not contain carbs. For example, I recently had to bolus for eating only a chicken leg and salad. In addition, I am experiencing a very strong and unpredictable dawn phenomenon. Sometimes, I wake with a blood sugar of &amp;gt;9.0 (162) and on other mornings I wake up in the region of 6.0 (108).  Does anyone know whether my increased insulin resistance and unpredictable dawn phenomenon is linked to puberty and how I can get my blood sugars back on track? I already eat somewhat low-carb, but I am prepared to eat less carbs if necessary. Thank you in advance :).</t>
        </is>
      </c>
      <c r="D5415" t="n">
        <v>1</v>
      </c>
      <c r="E5415" t="n">
        <v>22</v>
      </c>
      <c r="F5415">
        <f>HYPERLINK("https://www.reddit.com/r/diabetes/comments/9lbks5/t1d_and_puberty/")</f>
        <v/>
      </c>
      <c r="G5415" t="inlineStr">
        <is>
          <t>2018-10-04 05:47:42</t>
        </is>
      </c>
      <c r="H5415" t="inlineStr">
        <is>
          <t>Type 1</t>
        </is>
      </c>
    </row>
    <row r="5416">
      <c r="A5416" t="inlineStr">
        <is>
          <t>9lca4m</t>
        </is>
      </c>
      <c r="B5416" t="inlineStr">
        <is>
          <t>Diabetic Alert Dogs</t>
        </is>
      </c>
      <c r="C5416" t="inlineStr">
        <is>
          <t>Does anyone in this sub have a diabetic alert dog? 
&amp;amp;#x200B;
I've had type 1 since I was 12 (now 21), and I have fairly good control of my numbers. My a1c has gone up a bit since entering college and I was wondering if any of you had any thoughts about the potential benefits of getting an alert dog. I grew up around dogs and love them, but have never been around a service dog for an extended amount of time. Any differences in an alert dog and a normal pet besides the better training and ability to alert you of lows and highs?</t>
        </is>
      </c>
      <c r="D5416" t="n">
        <v>1</v>
      </c>
      <c r="E5416" t="n">
        <v>11</v>
      </c>
      <c r="F5416">
        <f>HYPERLINK("https://www.reddit.com/r/diabetes/comments/9lca4m/diabetic_alert_dogs/")</f>
        <v/>
      </c>
      <c r="G5416" t="inlineStr">
        <is>
          <t>2018-10-04 07:16:19</t>
        </is>
      </c>
      <c r="H5416" t="inlineStr">
        <is>
          <t>Type 1</t>
        </is>
      </c>
    </row>
    <row r="5417">
      <c r="A5417" t="inlineStr">
        <is>
          <t>9lfd6e</t>
        </is>
      </c>
      <c r="B5417" t="inlineStr">
        <is>
          <t>Advice on getting new pump?</t>
        </is>
      </c>
      <c r="C5417" t="inlineStr">
        <is>
          <t>My warranty on my old pump just expired and I am looking at getting a new one.  Currently I have a Medtronic, and I want to switch to Tandem. In the past insurance has denied a new pump even if it is out of warranty because the pump was still functioning.  I don't want to wait for this pump to die, because in that scenario, Medtronic next day airs you a new one, and you are pretty much locked into Medtronic, because at that point they start processing paperwork through insurance while you use a loaner, and I am not sure they let you use the loaner if you aren't planning on getting a new medtronic pump.  I am also getting new insurance here in a month or so, and I am going to try and get the new pump covered with them.  But reading their coverage documents it says out of warranty isn't a valid reason for a new pump. New insurance is Anthem btw.  
&amp;amp;#x200B;
Any advice on getting an insurance company to give you a new pump even if the old one technically works?</t>
        </is>
      </c>
      <c r="D5417" t="n">
        <v>1</v>
      </c>
      <c r="E5417" t="n">
        <v>11</v>
      </c>
      <c r="F5417">
        <f>HYPERLINK("https://www.reddit.com/r/diabetes/comments/9lfd6e/advice_on_getting_new_pump/")</f>
        <v/>
      </c>
      <c r="G5417" t="inlineStr">
        <is>
          <t>2018-10-04 13:02:55</t>
        </is>
      </c>
      <c r="H5417" t="inlineStr">
        <is>
          <t>Type 1</t>
        </is>
      </c>
    </row>
    <row r="5418">
      <c r="A5418" t="inlineStr">
        <is>
          <t>9lfja2</t>
        </is>
      </c>
      <c r="B5418" t="inlineStr">
        <is>
          <t>CGM and Wear OS Watch</t>
        </is>
      </c>
      <c r="C5418" t="inlineStr">
        <is>
          <t>HI!  I just got a Gen 4 Wear OS watch that I want to show my CGM on.  I have a DexCom G6 and I got the app onto my watch, but the watchface just says check phone for blood sugar or something like that.  Is this because the operating system is too new?  If so is there a way to downgrade?  Thanks for any suggestions!</t>
        </is>
      </c>
      <c r="D5418" t="n">
        <v>1</v>
      </c>
      <c r="E5418" t="n">
        <v>4</v>
      </c>
      <c r="F5418">
        <f>HYPERLINK("https://www.reddit.com/r/diabetes/comments/9lfja2/cgm_and_wear_os_watch/")</f>
        <v/>
      </c>
      <c r="G5418" t="inlineStr">
        <is>
          <t>2018-10-04 13:22:04</t>
        </is>
      </c>
      <c r="H5418" t="inlineStr">
        <is>
          <t>Type 1</t>
        </is>
      </c>
    </row>
    <row r="5419">
      <c r="A5419" t="inlineStr">
        <is>
          <t>9librx</t>
        </is>
      </c>
      <c r="B5419" t="inlineStr">
        <is>
          <t>All pump suppliers/Medtronic</t>
        </is>
      </c>
      <c r="C5419" t="inlineStr">
        <is>
          <t xml:space="preserve">Hi diabetic people I never really done this before but I have read some of your comments and they help I have an animas pump right now but animas left the USA so now I need to pick a new pump supplier I heard a lot about Medtronic but what heard I wonder if it’s actually true so that’s why I’m here I have been on animas for 11 years since I became a diabetic what I heard about Medtronic is that you have to calibrate it a hole lot like even in the middle of the night I do have a cgm and to what I have been told Medtronic and the cgm are connected or something listen I’m open ears to all suppliers just tell me a little about who’s your suppliers and how they work with a cgm just course on what else is out there. </t>
        </is>
      </c>
      <c r="D5419" t="n">
        <v>1</v>
      </c>
      <c r="E5419" t="n">
        <v>8</v>
      </c>
      <c r="F5419">
        <f>HYPERLINK("https://www.reddit.com/r/diabetes/comments/9librx/all_pump_suppliersmedtronic/")</f>
        <v/>
      </c>
      <c r="G5419" t="inlineStr">
        <is>
          <t>2018-10-04 19:20:07</t>
        </is>
      </c>
      <c r="H5419" t="inlineStr">
        <is>
          <t>Type 1</t>
        </is>
      </c>
    </row>
    <row r="5420">
      <c r="A5420" t="inlineStr">
        <is>
          <t>9ljvxn</t>
        </is>
      </c>
      <c r="B5420" t="inlineStr">
        <is>
          <t>Ran out of Dexcom insertion sites and need to get Lantus: Don't know how much to take</t>
        </is>
      </c>
      <c r="C5420" t="inlineStr">
        <is>
          <t>Hello!
I am a T1 who has been using a pump for about a year now. I goofed and ran out of insertion sets so I need to go and get a prescription for pen cartridges first thing tomorrow but I don't know how much long lasting (Lantus) to give myself. On the pump I only use Humalog and I think when I used pens I used around 18-20 of Lantus but I'm really not sure and my doctor really doesn't understand Diabetes and I can't go to the Diabetes health center.
&amp;amp;#x200B;
Is there a way to figure out how much Lantus to take or should I just take 17-18 and hope for the best until I can get more insertion sets.
Thanks in advance</t>
        </is>
      </c>
      <c r="D5420" t="n">
        <v>1</v>
      </c>
      <c r="E5420" t="n">
        <v>3</v>
      </c>
      <c r="F5420">
        <f>HYPERLINK("https://www.reddit.com/r/diabetes/comments/9ljvxn/ran_out_of_dexcom_insertion_sites_and_need_to_get/")</f>
        <v/>
      </c>
      <c r="G5420" t="inlineStr">
        <is>
          <t>2018-10-04 23:32:19</t>
        </is>
      </c>
      <c r="H5420" t="inlineStr">
        <is>
          <t>Type 1</t>
        </is>
      </c>
    </row>
    <row r="5421">
      <c r="A5421" t="inlineStr">
        <is>
          <t>9lk6ls</t>
        </is>
      </c>
      <c r="B5421" t="inlineStr">
        <is>
          <t>looking for minimed mios or quicksets</t>
        </is>
      </c>
      <c r="C5421" t="inlineStr">
        <is>
          <t xml:space="preserve">hey guys, i’m in need of infusion sets that work with my 530g. reasonable pricing, please. i am low income. i can pay shopping as well. </t>
        </is>
      </c>
      <c r="D5421" t="n">
        <v>1</v>
      </c>
      <c r="E5421" t="n">
        <v>1</v>
      </c>
      <c r="F5421">
        <f>HYPERLINK("https://www.reddit.com/r/diabetes/comments/9lk6ls/looking_for_minimed_mios_or_quicksets/")</f>
        <v/>
      </c>
      <c r="G5421" t="inlineStr">
        <is>
          <t>2018-10-05 00:29:02</t>
        </is>
      </c>
      <c r="H5421" t="inlineStr">
        <is>
          <t>Type 1</t>
        </is>
      </c>
    </row>
    <row r="5422">
      <c r="A5422" t="inlineStr">
        <is>
          <t>9lktnm</t>
        </is>
      </c>
      <c r="B5422" t="inlineStr">
        <is>
          <t>Summary of scientific studies on the cause of type 2 diabetes (hint: it's not sugar/glucose/carbs)</t>
        </is>
      </c>
      <c r="C5422" t="inlineStr">
        <is>
          <t>[https://nutritionfacts.org/video/what-causes-insulin-resistance/](https://nutritionfacts.org/video/what-causes-insulin-resistance/)</t>
        </is>
      </c>
      <c r="D5422" t="n">
        <v>1</v>
      </c>
      <c r="E5422" t="n">
        <v>20</v>
      </c>
      <c r="F5422">
        <f>HYPERLINK("https://www.reddit.com/r/diabetes/comments/9lktnm/summary_of_scientific_studies_on_the_cause_of/")</f>
        <v/>
      </c>
      <c r="G5422" t="inlineStr">
        <is>
          <t>2018-10-05 02:40:33</t>
        </is>
      </c>
      <c r="H5422" t="inlineStr">
        <is>
          <t>Type 2</t>
        </is>
      </c>
    </row>
    <row r="5423">
      <c r="A5423" t="inlineStr">
        <is>
          <t>9llzok</t>
        </is>
      </c>
      <c r="B5423" t="inlineStr">
        <is>
          <t>Goals</t>
        </is>
      </c>
      <c r="C5423" t="inlineStr">
        <is>
          <t>Hey guys! Type 1 diabetic here! I was diagnosed about 7 years ago.
 While talking to other diabetics I've noticed that the goals set for our treatment diverge  little, even more so when we are being treated in different countries, so I would be interested in knowing
Which country do you guys get your tratment in?
What is the range you are aiming for?
What kind of insulin do you use?
How many units of each kind a day?
&amp;amp;#x200B;
My own answers would be:
Belgium
I aim at remaining in between (70g/dL - 130g/dL)
I use fast insulin before each meal (Novorapid) and slow insulin before going to sleep (Lantus)
I get 3 IU before breakfast, 4 IU before lunch and 6 IU before dinner.
Bonus answer, I aim at having a higher than 90% in my proper range (the one mentioned before), but Im currently at 74% (measuring myself with tha FreestyleLibre checker).
Bonus Bonus, I'm a Spaniard (from the Mediterranean basin), I've noticed that most other people getting treated here in Belgium are Mediterraneans aswell (Portuguese, Moroccan, Turkish, Greeks, Italians, etc.), have you guys ever read anything about genetic predisposition depending on ancestry? Thanks there, thumbs up to the community</t>
        </is>
      </c>
      <c r="D5423" t="n">
        <v>1</v>
      </c>
      <c r="E5423" t="n">
        <v>30</v>
      </c>
      <c r="F5423">
        <f>HYPERLINK("https://www.reddit.com/r/diabetes/comments/9llzok/goals/")</f>
        <v/>
      </c>
      <c r="G5423" t="inlineStr">
        <is>
          <t>2018-10-05 05:51:03</t>
        </is>
      </c>
      <c r="H5423" t="inlineStr">
        <is>
          <t>Type 1</t>
        </is>
      </c>
    </row>
    <row r="5424">
      <c r="A5424" t="inlineStr">
        <is>
          <t>9lmc6k</t>
        </is>
      </c>
      <c r="B5424" t="inlineStr">
        <is>
          <t>I almost died!</t>
        </is>
      </c>
      <c r="C5424" t="inlineStr">
        <is>
          <t>So as the title says, this happened a week ago. I was really tired from work and feeling overworked in general which is usually when an intense urge to binge comes at me. I had been eating really healthy the whole week so I kinda felt like I deserved it. It started off with one Lara bar. The problem is that I had seven Lara bars in my kitchen, so I ended up eating all of them. One bar every 5 minutes or so. Now, usually 3 units of Novorapid will do for one of these delicious bars, so I just kept injecting 3 every time. Here's the thing, it seems like once you start getting to the 20s or so when injecting, shit always gets out of hand for me. 3 units for one Lara bar works perfect. But 30 units for 10 Lara bars would probably kill me. I completely forgot about this and probably ended up injecting around 21 units for the 7 Lara bars I ate. This was my mistake.
&amp;amp;#x200B;
I ate all these bars late at night and went to bed about half an hour later, feeling incredibly full and regretful. When I go to bed full I usually get nightmares. This time was by far the worst nightmare I've ever had. I dreamt that these demons where surrounding me and moving towards me to do God knows what. And they never really got to me, but the walking towards me lasted for a really long time. It felt never ending, and the worst part is always the fear in anticipation. It felt like the feeling you get when you're falling off a cliff but in a more murderous tone. Anyways, it was horrible and I woke up about an hour later.. 
&amp;amp;#x200B;
And the nightmare was still going even after I woke up! I could almost see the demons. And I was really really full and felt horrible in my stomach. I didn't even think to check my levels for 10 minutes. And when I do I'm at 24. I'm like HOLY FUCK I'M GOING TO DIE. I run to the fridge and start chugging on this 2 litre bottle of apple juice but I'm so full that I might throw it back up and if I throw it back up then my levels won't go back to normal and they'll keep plummeting and I'll die. I GOTTA CALL AN AMBULANCE. No! I don't want to wake up the neighbours for no good reason. (These are the kind of dumb thoughts that arise in your mind when I'm low. I'm always so indecisive.) I live by myself in an apartment. So what do I do, I DRIVE TO THE FUCKING HOSPITAL WHILE AT 20-24 BSL. 
&amp;amp;#x200B;
Thankfully it's only a 6 minute drive. I keep trying to chug on the apple juice but I'm so full and when I get to the hospital the nurse immediately gives me these dextrose tablets and hooks me up to an IV and they lie me down and just monitor the shit out of my levels. After a couple hours I'm back to normal and I just chill in the hospital until 3 AM. At one point they said I needed protein to level everything out so they give me a yogurt and some milk and a muffin. I eat it all voraciously and of course my levels shoot back up to like 200, but I was so terrified of my insulin pen at that point that I went to bed with BSLs high as a kite. 
&amp;amp;#x200B;
Better high than low.</t>
        </is>
      </c>
      <c r="D5424" t="n">
        <v>1</v>
      </c>
      <c r="E5424" t="n">
        <v>5</v>
      </c>
      <c r="F5424">
        <f>HYPERLINK("https://www.reddit.com/r/diabetes/comments/9lmc6k/i_almost_died/")</f>
        <v/>
      </c>
      <c r="G5424" t="inlineStr">
        <is>
          <t>2018-10-05 06:36:19</t>
        </is>
      </c>
      <c r="H5424" t="inlineStr">
        <is>
          <t>Type 1</t>
        </is>
      </c>
    </row>
    <row r="5425">
      <c r="A5425" t="inlineStr">
        <is>
          <t>9lmx63</t>
        </is>
      </c>
      <c r="B5425" t="inlineStr">
        <is>
          <t>Freestyle Neo</t>
        </is>
      </c>
      <c r="C5425" t="inlineStr">
        <is>
          <t xml:space="preserve">So for the past 8 or so years I’ve been using the Freestyle Optimum, and I figured perhaps the Neo I forgot I even had may be slightly more accurate, just tested and on the Neo my Glucose reading is at 5.2, but on my old Optimum it’s reading 4.8. 
Which should I go by? Should I use both monitors for a week or so and see the differences? </t>
        </is>
      </c>
      <c r="D5425" t="n">
        <v>1</v>
      </c>
      <c r="E5425" t="n">
        <v>1</v>
      </c>
      <c r="F5425">
        <f>HYPERLINK("https://www.reddit.com/r/diabetes/comments/9lmx63/freestyle_neo/")</f>
        <v/>
      </c>
      <c r="G5425" t="inlineStr">
        <is>
          <t>2018-10-05 07:48:19</t>
        </is>
      </c>
      <c r="H5425" t="inlineStr">
        <is>
          <t>Type 1</t>
        </is>
      </c>
    </row>
    <row r="5426">
      <c r="A5426" t="inlineStr">
        <is>
          <t>9lqsfy</t>
        </is>
      </c>
      <c r="B5426" t="inlineStr">
        <is>
          <t>Strange Wim Hof Method</t>
        </is>
      </c>
      <c r="C5426" t="inlineStr">
        <is>
          <t>Started doing the Wim Hof Method (WHM) purely out of curiosity, but theres nothing on it from the perspective of someone with type 1 diabetes so I proceeded cautiously.
Me: 20yrs old, I take lantus every night, and nova rapids after every meal. My A1c is on avg hovers slightly above 7.0 For the process of this experiment I am going to be routinely checking my blood sugar levels every hour to track the effect 
Day 2
I fell ill with a fever, perhaps because I might of over stayed in the cold shower. 
Day 3 
Feeling so sick I didn't even want to sit up on my bed much less continue the breathing exercise. However, I miraculously got better immediately after completing the routine breathing exercise in the morning (Not just "better" but felt as if I was back at perfect health, before falling ill the day before).
Day 4 
I had my first low blood sugar level reading this week. The strange thing about this was that I don't recall feeling the low (no hypoglycemic symptoms: no shakes, sweats, or dizziness). Furthermore, whether or not the WHM was the directly cause, I couldn't say for sure. I want to test the extent of just how incapable I was of detecting the low, but at the time I instinctively drank my juice and didn't think about the correlation. 
Day 5
Another low, this low however was intentional for experimental purposes. The rate  which I set it up to be -0.2 every 30 minutes by adjusting my lantus . I didnt eat or do any physical activity till my blood sugar hit 3.7. From then I tried my hardest to find something to consider a symptom. Physical/mental inefficiencies or just anything that would tell me when my sugar was low. By complete chance I finally found a "symptom". My reaction time was significantly slower than before. Similar to when my reaction time is dramatically enhanced when it is between 10 and 11, I could noticeably tell the difference in my blood sugar levels just by observing my reaction time.
Day 6 
Stopped the breathing exercise. 
Day 7
The fever came back. This made me think that maybe the WHM was just blocking me from feeling sick, assuming symptoms of hypoglycemia is considered a sickening feeling. Can't say for sure but maybe during the summer break I'll try it again.</t>
        </is>
      </c>
      <c r="D5426" t="n">
        <v>1</v>
      </c>
      <c r="E5426" t="n">
        <v>7</v>
      </c>
      <c r="F5426">
        <f>HYPERLINK("https://www.reddit.com/r/diabetes/comments/9lqsfy/strange_wim_hof_method/")</f>
        <v/>
      </c>
      <c r="G5426" t="inlineStr">
        <is>
          <t>2018-10-05 15:06:59</t>
        </is>
      </c>
      <c r="H5426" t="inlineStr">
        <is>
          <t>Type 1</t>
        </is>
      </c>
    </row>
    <row r="5427">
      <c r="A5427" t="inlineStr">
        <is>
          <t>9lswn8</t>
        </is>
      </c>
      <c r="B5427" t="inlineStr">
        <is>
          <t>No good title. Let’s go with “unwind, rant, and thanks”.</t>
        </is>
      </c>
      <c r="C5427" t="inlineStr">
        <is>
          <t xml:space="preserve">The Taste of Bourbon
Hello bourbon my old friend
I’ve come to drink with you again
I’ve had so much my pores are seeping
But you keep sugars from creeping
And the liver, it’s glucose such a pain
Still remains
I had a pour, of bourbon
I do not like to drink alone
But when there’s no one home
Sittin by the fake fire lamp
And it’s getting damn cold and damp
When my eyes were shown a way in the iPad light
A Reddit sight
I had a pour, of bourbon
And in the Reddit light I saw
Few thousand people maybe more
‘Bedic friends were speaking
‘Bedic friends were not judging
‘Bedics sharing their joys and also their pains
And no one claims
To hold all, the answers
Doctors told me I do not know
Sugars will cause my life to blow
Hear my words that I might teach you
Take our thoughts so we might reach you
Don’t let other’s words, put you into hell
And echo in the walls of guidance
While some people bow and pray
To each their own, you’ll find a way
And while the docs flash a warning
A movement we are all forming
My A1C sign said, the words of daily ‘bedics are a witness to us all
Stumble but don’t fall
So have a pour, of bourbon.
———-
This is what happens when after a long week I unwind a bit. In all seriousness these last few days have not been my best eating or having all my gear work well. It happens, but one or two days does not my life make.
Find your safe outlet. Unwind and know that tomorrow is another day. I’ve been both encouraged by this community and yet at the same time frustrated by the seemingly poor education our medical professionals dole out. Whether it’s your first day, decade, or more with this, I thank you for sharing your experiences. 
Good and bad we are all stronger. I’ve learned as much from those struggling as those with excellent control.  It’s beyond frustrating that there’s just no one way this works for everyone. 
Communities like this give me hope that I can never repay beyond saying that I will keep you in my prayers. </t>
        </is>
      </c>
      <c r="D5427" t="n">
        <v>1</v>
      </c>
      <c r="E5427" t="n">
        <v>1</v>
      </c>
      <c r="F5427">
        <f>HYPERLINK("https://www.reddit.com/r/diabetes/comments/9lswn8/no_good_title_lets_go_with_unwind_rant_and_thanks/")</f>
        <v/>
      </c>
      <c r="G5427" t="inlineStr">
        <is>
          <t>2018-10-05 20:25:20</t>
        </is>
      </c>
      <c r="H5427" t="inlineStr">
        <is>
          <t>Type 1</t>
        </is>
      </c>
    </row>
    <row r="5428">
      <c r="A5428" t="inlineStr">
        <is>
          <t>9lvio0</t>
        </is>
      </c>
      <c r="B5428" t="inlineStr">
        <is>
          <t>Shared Initiative :: The Open Global Diabetes T1 Database</t>
        </is>
      </c>
      <c r="C5428" t="inlineStr">
        <is>
          <t xml:space="preserve">Hi everyone, 
Do anyone know about a database for T1 diabetes globally with stored datasets of per individual that contains blood results of an expanded blood test (with potential datasets from CGM as well)? 
Writing this as a Computer Science student wanting to contribute to the community. </t>
        </is>
      </c>
      <c r="D5428" t="n">
        <v>1</v>
      </c>
      <c r="E5428" t="n">
        <v>4</v>
      </c>
      <c r="F5428">
        <f>HYPERLINK("https://www.reddit.com/r/diabetes/comments/9lvio0/shared_initiative_the_open_global_diabetes_t1/")</f>
        <v/>
      </c>
      <c r="G5428" t="inlineStr">
        <is>
          <t>2018-10-06 05:18:43</t>
        </is>
      </c>
      <c r="H5428" t="inlineStr">
        <is>
          <t>Type 1</t>
        </is>
      </c>
    </row>
    <row r="5429">
      <c r="A5429" t="inlineStr">
        <is>
          <t>9lwxk4</t>
        </is>
      </c>
      <c r="B5429" t="inlineStr">
        <is>
          <t>Diabetes, DKA, and Survival Situations</t>
        </is>
      </c>
      <c r="C5429" t="inlineStr">
        <is>
          <t>Suppose you are stranded in a plane crash an a desert Island or some other remote place. You've heard the stories of people surviving such situations. But...is it possible for someone who has diabetes to survive? Even if there is some food and water, how could you survive with a limited supply of insulin and no knowledge of when you might be found?
&amp;amp;#x200B;
What made me think of this was the fact that I recently just got out of the hospital for DKA a day ago. I was in there from Wednesday to  Friday. I originally ran out of insulin on Saturday night. But Sunday and Monday? My levels were...actually just fine. I normally only use fast acting. My numbers were between 60 and 140 up and down for two whole days.  Doctor said that's very unusual as most people would be a lot worse off. I didn't eat \*anything\* except perhaps 10g of beer which would make it rise by about 40 points over 6 to 8 hours. Things didn't get out of control until Tuesday when I caved in and actually ate a little fried chicken and had it go up to 320. I tried to flush out my system chugging powerade zero but it didn't work.
&amp;amp;#x200B;
I had squirreled away 15 units for just such an occasion and used them. I went from 360 down to 160 and I thought "Ah good. Maybe things will be ok" but after going to sleep it doubled overnight and then Wednsday morning I became very physically ill.</t>
        </is>
      </c>
      <c r="D5429" t="n">
        <v>1</v>
      </c>
      <c r="E5429" t="n">
        <v>24</v>
      </c>
      <c r="F5429">
        <f>HYPERLINK("https://www.reddit.com/r/diabetes/comments/9lwxk4/diabetes_dka_and_survival_situations/")</f>
        <v/>
      </c>
      <c r="G5429" t="inlineStr">
        <is>
          <t>2018-10-06 08:49:26</t>
        </is>
      </c>
      <c r="H5429" t="inlineStr">
        <is>
          <t>Type 1</t>
        </is>
      </c>
    </row>
    <row r="5430">
      <c r="A5430" t="inlineStr">
        <is>
          <t>9lyydy</t>
        </is>
      </c>
      <c r="B5430" t="inlineStr">
        <is>
          <t>Need Medtronic Infusion Sets in a pinch</t>
        </is>
      </c>
      <c r="C5430" t="inlineStr">
        <is>
          <t>Hi guys, 
I’ve severely miscalculated my monthly supplies/had a few to many set issues over the last 3 months, and am running critically low on Medtronic Infusion sets. Does anyone have any advice on how I could get my hands on some before my next order comes in?
TIA!</t>
        </is>
      </c>
      <c r="D5430" t="n">
        <v>1</v>
      </c>
      <c r="E5430" t="n">
        <v>9</v>
      </c>
      <c r="F5430">
        <f>HYPERLINK("https://www.reddit.com/r/diabetes/comments/9lyydy/need_medtronic_infusion_sets_in_a_pinch/")</f>
        <v/>
      </c>
      <c r="G5430" t="inlineStr">
        <is>
          <t>2018-10-06 12:54:02</t>
        </is>
      </c>
      <c r="H5430" t="inlineStr">
        <is>
          <t>Type 1</t>
        </is>
      </c>
    </row>
    <row r="5431">
      <c r="A5431" t="inlineStr">
        <is>
          <t>9lzaxz</t>
        </is>
      </c>
      <c r="B5431" t="inlineStr">
        <is>
          <t>Do I already have neuropathy???</t>
        </is>
      </c>
      <c r="C5431" t="inlineStr">
        <is>
          <t>So I’ve been type 1 for 13 years now, I am 26 currently. My sugars honestly have not been very well controlled over the last year or two due to a lot of things but honestly I’ve become lazy about managing this disease. Anyways, over the last few months, I feel like my toes feel...different... I’m not really sure if I would consider it “nerve pain” but it is a little tingly. Does this mean I could already be developing neuropathy?? I’m going to my first endo appointment in over a year at the end of the month, so I’ll obviously bring it up then, but have any of you experienced something similar?</t>
        </is>
      </c>
      <c r="D5431" t="n">
        <v>1</v>
      </c>
      <c r="E5431" t="n">
        <v>5</v>
      </c>
      <c r="F5431">
        <f>HYPERLINK("https://www.reddit.com/r/diabetes/comments/9lzaxz/do_i_already_have_neuropathy/")</f>
        <v/>
      </c>
      <c r="G5431" t="inlineStr">
        <is>
          <t>2018-10-06 13:35:25</t>
        </is>
      </c>
      <c r="H5431" t="inlineStr">
        <is>
          <t>Type 1</t>
        </is>
      </c>
    </row>
    <row r="5432">
      <c r="A5432" t="inlineStr">
        <is>
          <t>9lzw63</t>
        </is>
      </c>
      <c r="B5432" t="inlineStr">
        <is>
          <t>T2 diabetic - tried Bydureon and the Ozempic and cannot tolerate them</t>
        </is>
      </c>
      <c r="C5432" t="inlineStr">
        <is>
          <t>Diabetes is damn annoying.  I had taken Byetta, then later Bydureon several years ago and lost weight and lowered my A1C,  Ny A1C was creeping up over 7 and my doctor had me try Bydureon, but I had post-meal indigestion.  I then tried Ozempic and had the same problem on the lowest dose.  After the 2 months of trying these medications I got an A1C of 5.9  - the lowest in many years.  My doctor says that she thinks I can control my A1C with diet and Metformin.  I can do it, but a super low carb diet (60 grams a day) is really hard to maintain indefinitely.  My only idea now is to do the low carb diet and hope for a new or better medication to come along.  Thanks for listening to my venting.</t>
        </is>
      </c>
      <c r="D5432" t="n">
        <v>1</v>
      </c>
      <c r="E5432" t="n">
        <v>4</v>
      </c>
      <c r="F5432">
        <f>HYPERLINK("https://www.reddit.com/r/diabetes/comments/9lzw63/t2_diabetic_tried_bydureon_and_the_ozempic_and/")</f>
        <v/>
      </c>
      <c r="G5432" t="inlineStr">
        <is>
          <t>2018-10-06 14:49:05</t>
        </is>
      </c>
      <c r="H5432" t="inlineStr">
        <is>
          <t>Type 2</t>
        </is>
      </c>
    </row>
    <row r="5433">
      <c r="A5433" t="inlineStr">
        <is>
          <t>9lzzs3</t>
        </is>
      </c>
      <c r="B5433" t="inlineStr">
        <is>
          <t>Bernstein diabetes: Using novolog AND regular in combination?</t>
        </is>
      </c>
      <c r="C5433" t="inlineStr">
        <is>
          <t>Hello!
I've been a type 1 for almost 10 years now, and I recently dove in head first to the Bernstein method. Figuring out my basal rate was easier than I thought it would be, but I'm still struggling with how to cover meals. A few questions: 
1. I've heard of people using novolog AND regular insulin to cover a single meal. Does anyone here do this? If so, can you tell me exactly how? 
2. Bernstein suggests dosing in terms of ounces of protein, but I need to know in terms of grams. Any advice here? 
&amp;amp;#x200B;
Any advice would be appreciated!</t>
        </is>
      </c>
      <c r="D5433" t="n">
        <v>1</v>
      </c>
      <c r="E5433" t="n">
        <v>7</v>
      </c>
      <c r="F5433">
        <f>HYPERLINK("https://www.reddit.com/r/diabetes/comments/9lzzs3/bernstein_diabetes_using_novolog_and_regular_in/")</f>
        <v/>
      </c>
      <c r="G5433" t="inlineStr">
        <is>
          <t>2018-10-06 15:02:15</t>
        </is>
      </c>
      <c r="H5433" t="inlineStr">
        <is>
          <t>Type 1</t>
        </is>
      </c>
    </row>
    <row r="5434">
      <c r="A5434" t="inlineStr">
        <is>
          <t>9m056u</t>
        </is>
      </c>
      <c r="B5434" t="inlineStr">
        <is>
          <t>Freestyle libre accuracy vs Contour and OneTouch?</t>
        </is>
      </c>
      <c r="C5434" t="inlineStr">
        <is>
          <t>I recently picked up the Freestyle Libre - it is currently showing me of having a 68 blood sugar and Glimp is showing a 69.  Finger pricks show a 72 on a Freestyle Freedom Lite, but my contour next one shows a 92 and I have a one touch verio that shows a 96.  I don't feel light headed at all but this is kind of hurting my confidence in my Libre.  Has anyone else had similar results? Is there something I can do to calibrate any of the devices?  I know that there is always variation between brands and that I am more concerned about trends, but if I am showing 72 now, does that mean my 156 earlier today was really a 176?  I am not on insulin, only metformin .</t>
        </is>
      </c>
      <c r="D5434" t="n">
        <v>1</v>
      </c>
      <c r="E5434" t="n">
        <v>10</v>
      </c>
      <c r="F5434">
        <f>HYPERLINK("https://www.reddit.com/r/diabetes/comments/9m056u/freestyle_libre_accuracy_vs_contour_and_onetouch/")</f>
        <v/>
      </c>
      <c r="G5434" t="inlineStr">
        <is>
          <t>2018-10-06 15:21:56</t>
        </is>
      </c>
      <c r="H5434" t="inlineStr">
        <is>
          <t>Type 2</t>
        </is>
      </c>
    </row>
    <row r="5435">
      <c r="A5435" t="inlineStr">
        <is>
          <t>9m50px</t>
        </is>
      </c>
      <c r="B5435" t="inlineStr">
        <is>
          <t>Early stage type 1 diabetes or something else?</t>
        </is>
      </c>
      <c r="C5435" t="inlineStr">
        <is>
          <t>Hi everyone, I am new to this forum. I need some help and I hope someone can help me out. Here is my story, some 5 months back I went for some medical tests due to my job. I was surprised to find out that my fasting blood glucose was 100. I came again next day after fasting for 11 hours and this time my fasting blood glucose was normal at 90 mg/dl. Apart from that my A1C was 5.3% and 2 hr post prandial blood glucose was 109, both of which seem to be in the normal range. I was worried about the high fasting value because I remember, last time (6 months before that), my fasting value was 71. However, this was the first time I checked my post prandial and a1c levels. 2 months after getting that elevated fasting value, I went again for checking my fasting values, and this time it was in prediabetic range of 105. I subsequently did two more fasting tests and both were in 100-110 range. I got really worried and asked again for an A1c test which came back fairly normal at 5.2%. I got myself a glucometer then and started monitoring my post meal blood sugars. To my surprise, my post meal values are always below 140 no matter what I eat, in fact most of the times it is below 120 two hours post eating, even one hour values are between 120-130 on consumption of normal amount of carbs. I tried to consume 350g of carbs in one sitting through pizzas, mcd and coke and two hours later, my blood glucose was 130, and after few hours it was back to 100-110 mark. So the only problem I seemed to have is impaired fasting glucose. I really don't know why it's happening. Let me tell you a bit about my lifestyle, I am 22, 1.7m tall male and weight close to 58 kg. I am a very active gym going person with decent amount of muscle mass. Diabetes (both type 2 and type 1) doesn't run in my family. I spoke to my doctor and he wasn't concerned and sent me back.
Few things which I can make out from this:
1) I started doing very low carb diet as I started working out in gym. There is some theory called physiological insulin resistance and gluconeogenesis which can cause elevated fasting blood glucose, but I really don't know if it holds in my case.
2) Since I am very fit, type 2 is unlikely, could it be some very early stage of type 1?
3) Dawn phenomenon, does it really affect non diabetics which my doctor labelled me even after elevated fasting?
Since I am posting this long after my blood works, I did few blood works in between using my glucometer, I started consuming high amounts of carbs as I believed that physiological insulin resistance and gluconeogenesis were to blame, I only checked my fasting glucose twice a month back before my glucometer got destroyed after falling into the water. My fasting value this time was 92 and 95 on two consecutive days, but it was still not in 70s, which I had when I was leading a sedentary lifestyle with high carb intake. 
So here are my questions,
1) How type 1 diabetes progresses? Can I be completely fine a week before with very normal values and then very suddenly get diagnosed with DKA?
2) Can anyone explain are my values really normal or something has started to go wrong? I can't explain the rise in fasting values from 71 to 90s, 100s. 
Thank you for taking time in reading my question. I hope I can find something conclusive. Currently I don't have any diabetes symptoms , just a little bit of stress because a type 1 diagnosis will cost me my job (military) and I will be in huge debt.
&amp;amp;#x200B;</t>
        </is>
      </c>
      <c r="D5435" t="n">
        <v>1</v>
      </c>
      <c r="E5435" t="n">
        <v>21</v>
      </c>
      <c r="F5435">
        <f>HYPERLINK("https://www.reddit.com/r/diabetes/comments/9m50px/early_stage_type_1_diabetes_or_something_else/")</f>
        <v/>
      </c>
      <c r="G5435" t="inlineStr">
        <is>
          <t>2018-10-07 06:26:24</t>
        </is>
      </c>
      <c r="H5435" t="inlineStr">
        <is>
          <t>Type 1</t>
        </is>
      </c>
    </row>
    <row r="5436">
      <c r="A5436" t="inlineStr">
        <is>
          <t>9m81nk</t>
        </is>
      </c>
      <c r="B5436" t="inlineStr">
        <is>
          <t>Can't feel lows</t>
        </is>
      </c>
      <c r="C5436" t="inlineStr">
        <is>
          <t>Sometimes I instantly feel it when I'm under 70 mg/dl, sometimes can't even feel when I'm in 50s. What can I do if I can't always feel lows and can't afford a CGM either? I've had 50 twice today and I know it's causing harm. Plus there's a chance of going into coma and all of it really stresses me out. Any suggestions? Been type 1 for 3 months.</t>
        </is>
      </c>
      <c r="D5436" t="n">
        <v>1</v>
      </c>
      <c r="E5436" t="n">
        <v>8</v>
      </c>
      <c r="F5436">
        <f>HYPERLINK("https://www.reddit.com/r/diabetes/comments/9m81nk/cant_feel_lows/")</f>
        <v/>
      </c>
      <c r="G5436" t="inlineStr">
        <is>
          <t>2018-10-07 12:40:13</t>
        </is>
      </c>
      <c r="H5436" t="inlineStr">
        <is>
          <t>Type 1</t>
        </is>
      </c>
    </row>
    <row r="5437">
      <c r="A5437" t="inlineStr">
        <is>
          <t>9m9aeo</t>
        </is>
      </c>
      <c r="B5437" t="inlineStr">
        <is>
          <t>How can I get the MiniMed 670G insulin pump system in Canada?</t>
        </is>
      </c>
      <c r="C5437" t="inlineStr">
        <is>
          <t>I am from Canada and am currently on the Medtronic Minimed 630G insulin pump system. The Minimed 670G is not available in Canada and I was wondering if anyone knew how to get it here without paying full price. Would love to finally get on a hybrid closed loop system.</t>
        </is>
      </c>
      <c r="D5437" t="n">
        <v>1</v>
      </c>
      <c r="E5437" t="n">
        <v>16</v>
      </c>
      <c r="F5437">
        <f>HYPERLINK("https://www.reddit.com/r/diabetes/comments/9m9aeo/how_can_i_get_the_minimed_670g_insulin_pump/")</f>
        <v/>
      </c>
      <c r="G5437" t="inlineStr">
        <is>
          <t>2018-10-07 15:17:09</t>
        </is>
      </c>
      <c r="H5437" t="inlineStr">
        <is>
          <t>Type 1</t>
        </is>
      </c>
    </row>
    <row r="5438">
      <c r="A5438" t="inlineStr">
        <is>
          <t>9md0d2</t>
        </is>
      </c>
      <c r="B5438" t="inlineStr">
        <is>
          <t>Is it bad to take long-acting and short-acting insulin within 20 minutes of each other?</t>
        </is>
      </c>
      <c r="C5438" t="inlineStr">
        <is>
          <t xml:space="preserve">I take my long-acting in the morning. I wake up starving, and need short-acting to cover my breakfast carbs. Does taking them both within a short time of each other have any sort of cancellation effect? </t>
        </is>
      </c>
      <c r="D5438" t="n">
        <v>1</v>
      </c>
      <c r="E5438" t="n">
        <v>9</v>
      </c>
      <c r="F5438">
        <f>HYPERLINK("https://www.reddit.com/r/diabetes/comments/9md0d2/is_it_bad_to_take_longacting_and_shortacting/")</f>
        <v/>
      </c>
      <c r="G5438" t="inlineStr">
        <is>
          <t>2018-10-08 01:11:21</t>
        </is>
      </c>
      <c r="H5438" t="inlineStr">
        <is>
          <t>Type 1</t>
        </is>
      </c>
    </row>
    <row r="5439">
      <c r="A5439" t="inlineStr">
        <is>
          <t>9mdh0z</t>
        </is>
      </c>
      <c r="B5439" t="inlineStr">
        <is>
          <t>Is it possible to increase my A1C by 0.3 points over 2 days?</t>
        </is>
      </c>
      <c r="C5439" t="inlineStr">
        <is>
          <t xml:space="preserve">Right now my A1C is 6.0, I am currently enrolled in the army and can avoid it because I'm a Type 1 Diabetic. Sadly I have been controlling my diabetes for a year now thus my A1C result is 6.0, however the army needs it to be atleast 6.2 or higher to release me of enrollment. Is there anyway possible to get it from 6.0 to 6.3 within 2 days? I will do whatever it takes to make ot higher since I need to continue my studies. </t>
        </is>
      </c>
      <c r="D5439" t="n">
        <v>1</v>
      </c>
      <c r="E5439" t="n">
        <v>9</v>
      </c>
      <c r="F5439">
        <f>HYPERLINK("https://www.reddit.com/r/diabetes/comments/9mdh0z/is_it_possible_to_increase_my_a1c_by_03_points/")</f>
        <v/>
      </c>
      <c r="G5439" t="inlineStr">
        <is>
          <t>2018-10-08 02:46:55</t>
        </is>
      </c>
      <c r="H5439" t="inlineStr">
        <is>
          <t>Type 1</t>
        </is>
      </c>
    </row>
    <row r="5440">
      <c r="A5440" t="inlineStr">
        <is>
          <t>9mdobu</t>
        </is>
      </c>
      <c r="B5440" t="inlineStr">
        <is>
          <t>Requirements for a pump?</t>
        </is>
      </c>
      <c r="C5440" t="inlineStr">
        <is>
          <t>Hey - I got over a diabetic burnout recently. Should say, still in the process of getting over it but I'm liking where I'm going. I realise that I really took the pump I had a while ago for granted and want to consider working towards getting another one sometime. Does anyone know the requirements NHS typically ask for you to be put on an insulin pump? I know you've gotta have good control but, to what level? I imagine it's a-lot to do with your HBA1C.</t>
        </is>
      </c>
      <c r="D5440" t="n">
        <v>1</v>
      </c>
      <c r="E5440" t="n">
        <v>2</v>
      </c>
      <c r="F5440">
        <f>HYPERLINK("https://www.reddit.com/r/diabetes/comments/9mdobu/requirements_for_a_pump/")</f>
        <v/>
      </c>
      <c r="G5440" t="inlineStr">
        <is>
          <t>2018-10-08 03:24:10</t>
        </is>
      </c>
      <c r="H5440" t="inlineStr">
        <is>
          <t>Type 1</t>
        </is>
      </c>
    </row>
    <row r="5441">
      <c r="A5441" t="inlineStr">
        <is>
          <t>9me11g</t>
        </is>
      </c>
      <c r="B5441" t="inlineStr">
        <is>
          <t>Tired of being diabetic</t>
        </is>
      </c>
      <c r="C5441" t="inlineStr">
        <is>
          <t>I'm a type 1 and just the whole ordeal of having to think twice before eating anything, the quantity and having to check my BG at least 3 times a day is making me sick and tired.  It is 7+ years since I've been living like this and off late I've been on the verge of mental breakdown very often.  How do I get through this?  
&amp;amp;#x200B;
I know I'm not the only one feeling this way and I'm sure there are people who've overcome such phases.  I'm looking for help.  Anything that can make me feel better.</t>
        </is>
      </c>
      <c r="D5441" t="n">
        <v>1</v>
      </c>
      <c r="E5441" t="n">
        <v>87</v>
      </c>
      <c r="F5441">
        <f>HYPERLINK("https://www.reddit.com/r/diabetes/comments/9me11g/tired_of_being_diabetic/")</f>
        <v/>
      </c>
      <c r="G5441" t="inlineStr">
        <is>
          <t>2018-10-08 04:27:27</t>
        </is>
      </c>
      <c r="H5441" t="inlineStr">
        <is>
          <t>Type 1</t>
        </is>
      </c>
    </row>
    <row r="5442">
      <c r="A5442" t="inlineStr">
        <is>
          <t>9meqtv</t>
        </is>
      </c>
      <c r="B5442" t="inlineStr">
        <is>
          <t>I’m really tired of this</t>
        </is>
      </c>
      <c r="C5442" t="inlineStr">
        <is>
          <t xml:space="preserve">i guess this is just a little rant but After spending all after noon yesterday in the mid 300s and not wanting to drop even tho i barely ate and taking the proper amount of correction. I wake up at 1am shaking and sweating with a blood sugar of 58 so i eat some candy and yogurt and wake up normally at fucking 445. One extreme to the next. Fuck. This. </t>
        </is>
      </c>
      <c r="D5442" t="n">
        <v>1</v>
      </c>
      <c r="E5442" t="n">
        <v>3</v>
      </c>
      <c r="F5442">
        <f>HYPERLINK("https://www.reddit.com/r/diabetes/comments/9meqtv/im_really_tired_of_this/")</f>
        <v/>
      </c>
      <c r="G5442" t="inlineStr">
        <is>
          <t>2018-10-08 06:14:29</t>
        </is>
      </c>
      <c r="H5442" t="inlineStr">
        <is>
          <t>Type 1</t>
        </is>
      </c>
    </row>
    <row r="5443">
      <c r="A5443" t="inlineStr">
        <is>
          <t>9mkhpl</t>
        </is>
      </c>
      <c r="B5443" t="inlineStr">
        <is>
          <t>Insulin does not seem to be working at all for my dad anymore. (over 400bg)</t>
        </is>
      </c>
      <c r="C5443" t="inlineStr">
        <is>
          <t>I have been managing my elderly fathers diabetes for about a year now.  I have him on a low carb diet, but every now and again I will take him out.  Today he requested McDonalds, so I obliged and picked him up a medium fries and double cheeseburger.  There are about 80 carbs in the fries he ate, and another 20 for the burger.
So, I gave him 10 units of Novalog about 20 minutes before eating.  His glucose at this point was 130.  Fastforward two hours, and I find him asleep on the couch.  I check his glucose and its 388!  I just gave him ANOTHER 10 units as a corrective dose (which should actually be even more but I don't want to overdo it)
This is the second time this happened. Last time he had half a bowl of popcorn.  Dosed him 6 units based on the carbs he was ingesting, and two hours later his glucose is at 330.  
What am I doing wrong?  He is 76, and has been diabetic for a long time.  He is also on 30 units of Levimere (slow acting) at night which is supposed to work for 24 hours.  I feel like I am screwing something up, or he just cannot eat any carbohydrates ever again.  
When he does not eat carbs, his sugar is normal all day.  One mild to moderate dose of carbs and his glucose shoots through the roof, he falls asleep, and the insulin seems to do nothing at all to remedy the situation. 
I injected the insulin into his tricep area, second dose I injected into his stomach just about 15 minutes ago.  
&amp;amp;#x200B;</t>
        </is>
      </c>
      <c r="D5443" t="n">
        <v>1</v>
      </c>
      <c r="E5443" t="n">
        <v>27</v>
      </c>
      <c r="F5443">
        <f>HYPERLINK("https://www.reddit.com/r/diabetes/comments/9mkhpl/insulin_does_not_seem_to_be_working_at_all_for_my/")</f>
        <v/>
      </c>
      <c r="G5443" t="inlineStr">
        <is>
          <t>2018-10-08 17:36:06</t>
        </is>
      </c>
      <c r="H5443" t="inlineStr">
        <is>
          <t>Type 2</t>
        </is>
      </c>
    </row>
    <row r="5444">
      <c r="A5444" t="inlineStr">
        <is>
          <t>9mkq52</t>
        </is>
      </c>
      <c r="B5444" t="inlineStr">
        <is>
          <t>Human Trafficking?</t>
        </is>
      </c>
      <c r="C5444" t="inlineStr">
        <is>
          <t>Occasionally, we have the zombie apocalypse situation come up with T1D.  IF there was one, we'd be toast.  But I have a fear of sex trafficking or human trafficking in general.  What would happen to someone in this scenario?
&amp;amp;#x200B;
I'd imagine they would release me because my insulin costs more than what I'm worth on the black market, or they'd just use me until I'd die.  Or they'd pick up some crap from Walmart to keep me alive.  Thoughts?</t>
        </is>
      </c>
      <c r="D5444" t="n">
        <v>1</v>
      </c>
      <c r="E5444" t="n">
        <v>9</v>
      </c>
      <c r="F5444">
        <f>HYPERLINK("https://www.reddit.com/r/diabetes/comments/9mkq52/human_trafficking/")</f>
        <v/>
      </c>
      <c r="G5444" t="inlineStr">
        <is>
          <t>2018-10-08 18:07:47</t>
        </is>
      </c>
      <c r="H5444" t="inlineStr">
        <is>
          <t>Type 1</t>
        </is>
      </c>
    </row>
    <row r="5445">
      <c r="A5445" t="inlineStr">
        <is>
          <t>9ml5ly</t>
        </is>
      </c>
      <c r="B5445" t="inlineStr">
        <is>
          <t>What’s your A1C?</t>
        </is>
      </c>
      <c r="C5445" t="inlineStr">
        <is>
          <t>What would/can you do to improve that number? If your levels are ideal, how’d you get to where you are today?</t>
        </is>
      </c>
      <c r="D5445" t="n">
        <v>1</v>
      </c>
      <c r="E5445" t="n">
        <v>25</v>
      </c>
      <c r="F5445">
        <f>HYPERLINK("https://www.reddit.com/r/diabetes/comments/9ml5ly/whats_your_a1c/")</f>
        <v/>
      </c>
      <c r="G5445" t="inlineStr">
        <is>
          <t>2018-10-08 19:05:51</t>
        </is>
      </c>
      <c r="H5445" t="inlineStr">
        <is>
          <t>Type 1</t>
        </is>
      </c>
    </row>
    <row r="5446">
      <c r="A5446" t="inlineStr">
        <is>
          <t>9mmg8h</t>
        </is>
      </c>
      <c r="B5446" t="inlineStr">
        <is>
          <t>Diabetes survey (Please help!)</t>
        </is>
      </c>
      <c r="C5446" t="inlineStr">
        <is>
          <t>Hi guys, we are a team of ex-medics and technologists building a tool for people with diabetes (Type 2) to understand, treat, reverse and track their condition using AI. 
Please help us to make this tool as best we can by completing our survey: [http://www.parkerassistant.com/](http://www.parkerassistant.com/)
It's four quick Yes/No questions. 
Thank you!
&amp;amp;#x200B;</t>
        </is>
      </c>
      <c r="D5446" t="n">
        <v>1</v>
      </c>
      <c r="E5446" t="n">
        <v>4</v>
      </c>
      <c r="F5446">
        <f>HYPERLINK("https://www.reddit.com/r/diabetes/comments/9mmg8h/diabetes_survey_please_help/")</f>
        <v/>
      </c>
      <c r="G5446" t="inlineStr">
        <is>
          <t>2018-10-08 22:24:05</t>
        </is>
      </c>
      <c r="H5446" t="inlineStr">
        <is>
          <t>Type 2</t>
        </is>
      </c>
    </row>
    <row r="5447">
      <c r="A5447" t="inlineStr">
        <is>
          <t>9mqhd5</t>
        </is>
      </c>
      <c r="B5447" t="inlineStr">
        <is>
          <t>Type 2 here</t>
        </is>
      </c>
      <c r="C5447" t="inlineStr">
        <is>
          <t>Howdy, about four or five months ago I was diagnosed with type two diabetes. Then I weighed 265 according to my doctor. Now according to my scale at home it says I'm floating around 205 and 210. I did this by cutting out all carbs except ones found in fruit, veggies, meats ect. Basically my diet is fruits, nuts, veggies, and meat. With you know sauces and dressings and stuff. (ranch, ceasar, sour cream, cheeses and stuff like that) I take janumet now but I'm switching to regular old metformin. I test my blood sugar once a week on Saturday before I start "cheat day" I'm usually 95 to 100 on blood sugar levels every Saturday morning after I wake up (fasting for eight hours before hand) I checked last week on Sunday after cheat day and was 130 not too bad considering what I ate the day before. I honestly have no idea how I'm doing. I would think we'll cause I've lost about 50 pounds in five or six months. And my blood sugar usually stays around 95 to 100 when I check it once a week on Saturday. I also don't exercise at all. Other than going up stairs and down stairs and sexual encounters with my girlfriend whom I live with.  Any tips? Or suggestions? Questions?</t>
        </is>
      </c>
      <c r="D5447" t="n">
        <v>1</v>
      </c>
      <c r="E5447" t="n">
        <v>34</v>
      </c>
      <c r="F5447">
        <f>HYPERLINK("https://www.reddit.com/r/diabetes/comments/9mqhd5/type_2_here/")</f>
        <v/>
      </c>
      <c r="G5447" t="inlineStr">
        <is>
          <t>2018-10-09 09:08:52</t>
        </is>
      </c>
      <c r="H5447" t="inlineStr">
        <is>
          <t>Type 2</t>
        </is>
      </c>
    </row>
    <row r="5448">
      <c r="A5448" t="inlineStr">
        <is>
          <t>9ms7qc</t>
        </is>
      </c>
      <c r="B5448" t="inlineStr">
        <is>
          <t>Recently diagnosed; Started with A1C of 11.8</t>
        </is>
      </c>
      <c r="C5448" t="inlineStr">
        <is>
          <t>Hello, I'm Michelle. I'm new. Figured I would reach out to a community since this has kind of been a one person battle for me and I've definitely struggled along the way but this is my story I suppose. I thought about reaching out sooner.. but I was a bit defeated with how my own family remembers responded to my diagnosis.. The only person I've had supporting me is my boyfriend. I've used information I have found online and with a little bit of help from a diabetes specialist.  
So.. I was recently diagnosed with Type 2. Exactly 2 months ago, my A1C was 11.8 with estimated average glucose of 292. With the initial shock of how severe my results were, I was immediately put on insulin injections as of August 13th (which I struggled with daily and often ended up crying.) I have a huge phobia of needles and it was a personal battle to overcome and inject myself every night. Sometimes I was able to do it in 5 minutes and often, I struggled to inject myself for at least 30 minutes. After exactly a week of injections and bringing my blood sugar down, I was prescribed metformin. I was able to lower my blood sugar and as of September 10th, I was able to stop the insulin injections and just take my 500mg metformin, 2 tablets after dinner, which I still take today.
Honestly, my diet before.. was junk. I ate tons of rice, noodles, pasta, and bread. Very little vegetables. It wasn't until I went in to see a doctor for an unrelated matter that they found high presence of sugar in my urine that prompted the blood test. I was drinking liquid death (soda pop) 1 can a day, sometimes even more. One can of arizona tea every other day or so with fruit juices such as orange juice and apple juice. On top of that, I would drink about 2-3 liters of water a day and never really exercised. That should have been a red flag for me; however, being uneducated in the matter, I never really looked into the chances of being diabetic primarily because I regularly went to the doctor and have had blood tests and not once was I notified of diabetes being a possibility. Upon finding out my diagnosis, I completely changed my diet and exercise.
**Drinks.** I haven't had a single can of soda, arizona tea, or fruit juices in exactly 2 months, beginning August 8th, 2018. (Except for that small bottle of Simply Orange Juice August 10th). The only liquids I've consumed have been unsweetened lipton tea that I've been brewing (vs buying premade tea) and water. I also don't drink nearly as much water.. I went from at least 100 oz of only water a day to just 40-60.. I'm sure that isn't good either.
**Food.** I cut my carb intake severely. I used to eat rice once a meal nearly everyday. If it wasn't rice, it would be pasta or rice noodles, something full of carbs. Not only that, gigantic portions of it as well. Now, I've limited rice to once a week, and maybe 1/3rd of the portion I used to eat. Pasta, I don't consume nearly every other day but maybe once every week or two. Bread.. something I have not been able to cut out but I've reduced intake of. I have switched bread to 100% whole wheat and for maybe the first month of being diabetic, I ate a single slice of toast with a fried egg for breakfast. Also designated one lunch meal a week to a sandwich. Typical wheat bread, turkey, cheddar cheese, light mayo, lettuce, tomato, cucumbers from local sandwich spot. I've learned to successfully meal prep my food for lunch. When I work I'm more inclined to go locally to fast food, but the last two months, I've been eating baked chicken with broccoli, zucchini, with a small salad at least two work meals a week. One meal is my sandwich with a side salad. One to two meals, generally chipotle salad (who would have thought?!) consisting of just salad, meat, cheese, mild salsa on the side with extra chopped lettuce. On Saturdays, my company usually has lunch for the employees. It varies from sandwiches, to catered tacos (I only eat the meat, little bit of beans, skip the tortilla and rice, minimal salsa while chomping on fruit on the side), or a food chain called Boston Market. I usually skip the mashed potatoes and potatoes itself while loading up on green beans (which I do not enjoy) and steamed carrots, broccoli, and zucchini, with a piece of chicken.
**Exercise.** I spent $135 on a fitbit charge 2 to help motivate me because I could see numbers, little did I know, I ended up using it to also monitor how long I go for walks or do a workout, as well as log what I eat and drink. I go for 10-15 minute walks in the morning (if I can find parking before work), 20-30 minute walks during my lunch break (I've forced myself to cut my eating to no more than 30 minutes out of a 60 minute lunch break), and usually a 20-30 minute walk or 20 minute cardio (youtube videos!) after I eat dinner. On my days off, I usually start with a 30 minute walk in the morning, some random exercising throughout the day and a cardio workout later on in the day and ends with usually a 20 minute walk at night (walking in circles in my backyard because... yeah it's not safe out there in the dark lol)  
I will be periodically reading this entire category on and off over the next few weeks and look forward to reading about your stories and struggles and what changes and progress has been made to hopefully get more motivation. Also, just did my blood test yesterday and got the results back today. Currently at 7.4 with estimated average glucose level of 166. It's still pretty high but better than how I started I suppose.</t>
        </is>
      </c>
      <c r="D5448" t="n">
        <v>1</v>
      </c>
      <c r="E5448" t="n">
        <v>29</v>
      </c>
      <c r="F5448">
        <f>HYPERLINK("https://www.reddit.com/r/diabetes/comments/9ms7qc/recently_diagnosed_started_with_a1c_of_118/")</f>
        <v/>
      </c>
      <c r="G5448" t="inlineStr">
        <is>
          <t>2018-10-09 12:27:52</t>
        </is>
      </c>
      <c r="H5448" t="inlineStr">
        <is>
          <t>Type 2</t>
        </is>
      </c>
    </row>
    <row r="5449">
      <c r="A5449" t="inlineStr">
        <is>
          <t>9mt2um</t>
        </is>
      </c>
      <c r="B5449" t="inlineStr">
        <is>
          <t>Running a marathon with 670g auto-mode</t>
        </is>
      </c>
      <c r="C5449" t="inlineStr">
        <is>
          <t>I ran my first marathon last week (Twin Cities Medtronic).  I finished.  I was pretty consistant up to around mile 22, when I slowed down.  I finished in 4:43
&amp;amp;#x200B;
I beat Captain America and Thor.
&amp;amp;#x200B;
But more importantly to this sub, I'm T1, I've got a 670g and I've been training for this thing using auto mode.  I downloaded the data I could, so I can show you guys.  It worked pretty well on the whole, I had a couple of places where I dipped hard.  As you can probably see on the graphs, there are two distinct spikes and drops in my blood sugar, and it looks like the pump was overcorrecting for it.  Or maybe I should have told it I ate a bunch of carbs and to leave me alone, but the idea of trying to fumble with my pump while running, eating, adjusting my gear, stopping for water, avoiding potholes and other runners was a bit much, so I kinda left it.
&amp;amp;#x200B;
On the whole?  It did pretty well.  I think the highest I saw during the run was 170, the lowest around 73.  I only heard the low alarm go off once, and that was my hint to eat a few Cliff shot blocks instead of my normal pace of 1 every 1.5 miles that I'd established in training.  I felt pretty good the whole way, and while I'm a little worried now about the discrepancy at the end between where the CGM thought I was (120?) and the 80 when I actually tested, it could have just been lag between the CGM and my real blood sugar.  My last fuel/water was going to be at mile 25, and I just skipped it and went for the finish instead.
&amp;amp;#x200B;
I enjoyed some finish-line chocolate milk and potato chips, which I didn't bolus for because I was wrapped up in a thermal blanket, and the finish line was around 55 degrees (12.7 C).  My hands were occupied with the food and blanket, and my shoulders hurt due to rubbing in my armpit and keeping them tensed for several hours.  I had to get my medal, shirt and the sweats I'd dropped off at the beginning of the race.  Blood sugar would be going up from the food, I'd worry about that later.
&amp;amp;#x200B;
Later was back in the hotel, and I was 183, which since the 670 balked at the 80 from before and wanted more data was just fine.  It took over, slowly dropped me back down and I was OK.  Lunch was noodles and curry because I told my wife I wanted noodles and broth, and that's what she came back with.  It was good.
&amp;amp;#x200B;
In short: I recommend the running, it helped my control, weight, mood, etc.  But have a goal, even if it sounds stupid.  I set this one in December, and having the deadline there and the money spent made a difference.  It's much more motivating than saying "I have to spend 20 minutes at the gym today", which I got burned out on.</t>
        </is>
      </c>
      <c r="D5449" t="n">
        <v>1</v>
      </c>
      <c r="E5449" t="n">
        <v>4</v>
      </c>
      <c r="F5449">
        <f>HYPERLINK("https://www.reddit.com/r/diabetes/comments/9mt2um/running_a_marathon_with_670g_automode/")</f>
        <v/>
      </c>
      <c r="G5449" t="inlineStr">
        <is>
          <t>2018-10-09 14:07:06</t>
        </is>
      </c>
      <c r="H5449" t="inlineStr">
        <is>
          <t>Type 1</t>
        </is>
      </c>
    </row>
    <row r="5450">
      <c r="A5450" t="inlineStr">
        <is>
          <t>9muykv</t>
        </is>
      </c>
      <c r="B5450" t="inlineStr">
        <is>
          <t>freestyle libre sensor placement</t>
        </is>
      </c>
      <c r="C5450" t="inlineStr">
        <is>
          <t>Lost two on the arm, have placed this one on my upper stomach, have two on right now and both read within 10 points</t>
        </is>
      </c>
      <c r="D5450" t="n">
        <v>1</v>
      </c>
      <c r="E5450" t="n">
        <v>10</v>
      </c>
      <c r="F5450">
        <f>HYPERLINK("https://www.reddit.com/r/diabetes/comments/9muykv/freestyle_libre_sensor_placement/")</f>
        <v/>
      </c>
      <c r="G5450" t="inlineStr">
        <is>
          <t>2018-10-09 18:06:21</t>
        </is>
      </c>
      <c r="H5450" t="inlineStr">
        <is>
          <t>Type 2</t>
        </is>
      </c>
    </row>
    <row r="5451">
      <c r="A5451" t="inlineStr">
        <is>
          <t>9my3p4</t>
        </is>
      </c>
      <c r="B5451" t="inlineStr">
        <is>
          <t>Lypo?</t>
        </is>
      </c>
      <c r="C5451" t="inlineStr">
        <is>
          <t>On injections here. Does anyone else get like really short lypo at some of their injection sites? I was told / read that lypo is meant to last a very long time but these little lumps I get after injecting only usually last for a few hours. Can feel it under the skin too, definitely feels like lypo just... Not how it was taught to me. I was taught it was gigantic horrible lumps that make you feel sick and whatnot. They're gone by the end of the day, and I of course don't use the injection site until it's clear. It's really uncomfortable though. And yes, I do inject in a cycle and don't use the same spots in a day. It always seems to happen in my stomach.
&amp;amp;#x200B;
It happened a minute ago in my stomach for the first time in a few months and I can already feel it healing.</t>
        </is>
      </c>
      <c r="D5451" t="n">
        <v>1</v>
      </c>
      <c r="E5451" t="n">
        <v>3</v>
      </c>
      <c r="F5451">
        <f>HYPERLINK("https://www.reddit.com/r/diabetes/comments/9my3p4/lypo/")</f>
        <v/>
      </c>
      <c r="G5451" t="inlineStr">
        <is>
          <t>2018-10-10 03:01:19</t>
        </is>
      </c>
      <c r="H5451" t="inlineStr">
        <is>
          <t>Type 1</t>
        </is>
      </c>
    </row>
    <row r="5452">
      <c r="A5452" t="inlineStr">
        <is>
          <t>9n0ipp</t>
        </is>
      </c>
      <c r="B5452" t="inlineStr">
        <is>
          <t>Reversing Type 2 Diabetes with a low carb diet - Review</t>
        </is>
      </c>
      <c r="C5452" t="inlineStr">
        <is>
          <t>I created a response to the recent What I Learned video on reversing type 2 diabetes. 
[https://www.youtube.com/watch?v=ruz8uvasBiU](https://www.youtube.com/watch?v=ruz8uvasBiU)
&amp;amp;#x200B;
WIL Vidoes:
What I Learned - Curing Diabetes: [https://youtu.be/hpOP\_HKeazU](https://www.youtube.com/watch?v=hpOP_HKeazU) 
What I Learned - The Overflow Phenomenon: [https://youtu.be/xlfZvnV4v50](https://www.youtube.com/watch?v=xlfZvnV4v50) 
&amp;amp;#x200B;
First and foremost, there is some excellent information in these videos. Give them a watch if you haven't seen them. 
I created this response because I felt the conclusions WIL makes are incomplete due to his biases towards a low carb / ketogenic diet. 
There's a bunch of new studies that are linking intramyocellular lipids to insulin resistance. This is a game changer since it's becoming more clear that insulin resistance is caused by BOTH carbs and fat being consumed rather than just carbs. 
This opens up a whole new range of possible diets to reverse T2DM. Carbs should still be counted and insulin tracked, but the idea that T2DM can be reversed using a high carb diet was fascinating to me. 
Dr. Neal Barnard has already had success with his clients who were told only to avoid animal products and vegetable oils. 
[https://youtu.be/ktQzM2IA-qU](https://www.youtube.com/watch?v=ktQzM2IA-qU) 
Essentially it comes down to calorie intake and what works best for you to maintain your diet. Low carb may work for some people but for those who are looking for other options, low fat has also proved successful. 
&amp;amp;#x200B;
&amp;amp;#x200B;</t>
        </is>
      </c>
      <c r="D5452" t="n">
        <v>1</v>
      </c>
      <c r="E5452" t="n">
        <v>0</v>
      </c>
      <c r="F5452">
        <f>HYPERLINK("https://www.reddit.com/r/diabetes/comments/9n0ipp/reversing_type_2_diabetes_with_a_low_carb_diet/")</f>
        <v/>
      </c>
      <c r="G5452" t="inlineStr">
        <is>
          <t>2018-10-10 08:34:35</t>
        </is>
      </c>
      <c r="H5452" t="inlineStr">
        <is>
          <t>Type 2</t>
        </is>
      </c>
    </row>
    <row r="5453">
      <c r="A5453" t="inlineStr">
        <is>
          <t>9n4vue</t>
        </is>
      </c>
      <c r="B5453" t="inlineStr">
        <is>
          <t>Best ways to get rid of red spots from pump inserts</t>
        </is>
      </c>
      <c r="C5453" t="inlineStr">
        <is>
          <t>Does anyone know what is the best way to treat and get rid of the red spots that are left after one is done with a insert site from a pump? mine take months to go away.</t>
        </is>
      </c>
      <c r="D5453" t="n">
        <v>1</v>
      </c>
      <c r="E5453" t="n">
        <v>6</v>
      </c>
      <c r="F5453">
        <f>HYPERLINK("https://www.reddit.com/r/diabetes/comments/9n4vue/best_ways_to_get_rid_of_red_spots_from_pump/")</f>
        <v/>
      </c>
      <c r="G5453" t="inlineStr">
        <is>
          <t>2018-10-10 16:56:57</t>
        </is>
      </c>
      <c r="H5453" t="inlineStr">
        <is>
          <t>Type 1</t>
        </is>
      </c>
    </row>
    <row r="5454">
      <c r="A5454" t="inlineStr">
        <is>
          <t>9n7k7w</t>
        </is>
      </c>
      <c r="B5454" t="inlineStr">
        <is>
          <t>Unexpected and difficult to correct lows</t>
        </is>
      </c>
      <c r="C5454" t="inlineStr">
        <is>
          <t>Have had two days in a row now of going very low off a fairly normal dose of insulin considering what I ate - 10 units for about 100g of white rice on day one (yesterday), followed by 8 units for maybe 80g of noodles on the 2nd (today) has left me chugging cola and sweets trying to keep above 3.5. Finally in the evening yesterday I did start to go very high, as expected, but I don't fully understand what might be causing it.</t>
        </is>
      </c>
      <c r="D5454" t="n">
        <v>1</v>
      </c>
      <c r="E5454" t="n">
        <v>4</v>
      </c>
      <c r="F5454">
        <f>HYPERLINK("https://www.reddit.com/r/diabetes/comments/9n7k7w/unexpected_and_difficult_to_correct_lows/")</f>
        <v/>
      </c>
      <c r="G5454" t="inlineStr">
        <is>
          <t>2018-10-10 23:44:11</t>
        </is>
      </c>
      <c r="H5454" t="inlineStr">
        <is>
          <t>Type 1.5/LADA</t>
        </is>
      </c>
    </row>
    <row r="5455">
      <c r="A5455" t="inlineStr">
        <is>
          <t>9nczmc</t>
        </is>
      </c>
      <c r="B5455" t="inlineStr">
        <is>
          <t>Higher blood sugar when I added Humalog?</t>
        </is>
      </c>
      <c r="C5455" t="inlineStr">
        <is>
          <t>tl;dr Is it normal to get higher blood sugar after beginning Humalog?  
I just started Humalog 2 weeks ago, and for the year before my blood sugar has never been above 300 and my A1C was never over 7. In the mornings, I would mostly be in range by taking AM Lantus, metformin and glyburide. My blood sugar was almost always on target (fasting)  and even a little low sometimes. However, now, I added Humalog (15 minutes before meals, 1u for every 50 over 100 blood sugar, with 1u for every 15 carbs), and my blood sugar has never been this bad. I gave it two weeks to see if there was an adjustment period, but it seems to me to not be working. In the morning, my blood sugar has been 170 at lowest, and usually above 200, and fasting blood sugars were 300+ 4 hours after eating a 55 carb bagel with 6 units Humalog (something that never happened without Humalog - in fact, I'd actually be in the 70s  by evening).   
I'm really confused, and my dr says this is "normal." I'm not sure how having consistently high BG levels is "normal" when having a target A1C and good blood sugars, albeit with some lows and highs here and there, was not. If anyone has any feedback on this, or tips on how to use this insulin, please let me know. Thanks so much!</t>
        </is>
      </c>
      <c r="D5455" t="n">
        <v>1</v>
      </c>
      <c r="E5455" t="n">
        <v>5</v>
      </c>
      <c r="F5455">
        <f>HYPERLINK("https://www.reddit.com/r/diabetes/comments/9nczmc/higher_blood_sugar_when_i_added_humalog/")</f>
        <v/>
      </c>
      <c r="G5455" t="inlineStr">
        <is>
          <t>2018-10-11 12:18:44</t>
        </is>
      </c>
      <c r="H5455" t="inlineStr">
        <is>
          <t>Type 1.5/LADA</t>
        </is>
      </c>
    </row>
    <row r="5456">
      <c r="A5456" t="inlineStr">
        <is>
          <t>9nf3ap</t>
        </is>
      </c>
      <c r="B5456" t="inlineStr">
        <is>
          <t>First attempt at Keto - missed my carb goal, but still trying.</t>
        </is>
      </c>
      <c r="C5456" t="inlineStr">
        <is>
          <t>Hey all, thanks to the help of @howlrose I took a look at Keto, subscribed to the r/keto thread and did a little shopping. While I missed my goal for carbs today, I think I made a big improvement. I had 110 grams of carbs, 88 grams of fat and 110 grams of protein. My goal was 43 grams of carbs, 123 grams of fat and 106 grams of protein...so at least I hit one of those?</t>
        </is>
      </c>
      <c r="D5456" t="n">
        <v>1</v>
      </c>
      <c r="E5456" t="n">
        <v>19</v>
      </c>
      <c r="F5456">
        <f>HYPERLINK("https://www.reddit.com/r/diabetes/comments/9nf3ap/first_attempt_at_keto_missed_my_carb_goal_but/")</f>
        <v/>
      </c>
      <c r="G5456" t="inlineStr">
        <is>
          <t>2018-10-11 16:28:56</t>
        </is>
      </c>
      <c r="H5456" t="inlineStr">
        <is>
          <t>Type 2</t>
        </is>
      </c>
    </row>
    <row r="5457">
      <c r="A5457" t="inlineStr">
        <is>
          <t>9nhrmt</t>
        </is>
      </c>
      <c r="B5457" t="inlineStr">
        <is>
          <t>Insulin pump... worth it?</t>
        </is>
      </c>
      <c r="C5457" t="inlineStr">
        <is>
          <t xml:space="preserve">Hey everyone! 
I’m a guy at the age of 17 who’s spent his last 2.5 years living with diabetes type 1. Up until now I’ve always used pens without much consideration for getting an insulin pump as I imagined it would be big, uncomfortable and clunky. Recently I was introduced to some variants at my local hospital however and they really don’t seem so bad, but I’m still unsure if the benefits outweigh the (seemingly) minor negatives. 
Does anyone have experience using an insulin pump and if so what do/did you think about it? 
I’m grateful for all answers and thanks in advance :) 
(Also note that I’m from Sweden and here we call it insulin pump. I’m not sure if there’s another more commonly used word in English. If so, sorry for the confusion) </t>
        </is>
      </c>
      <c r="D5457" t="n">
        <v>1</v>
      </c>
      <c r="E5457" t="n">
        <v>17</v>
      </c>
      <c r="F5457">
        <f>HYPERLINK("https://www.reddit.com/r/diabetes/comments/9nhrmt/insulin_pump_worth_it/")</f>
        <v/>
      </c>
      <c r="G5457" t="inlineStr">
        <is>
          <t>2018-10-11 23:04:52</t>
        </is>
      </c>
      <c r="H5457" t="inlineStr">
        <is>
          <t>Type 1</t>
        </is>
      </c>
    </row>
    <row r="5458">
      <c r="A5458" t="inlineStr">
        <is>
          <t>9nkwic</t>
        </is>
      </c>
      <c r="B5458" t="inlineStr">
        <is>
          <t>Type 1 Diabetes and Dating</t>
        </is>
      </c>
      <c r="C5458" t="inlineStr">
        <is>
          <t>I was in a relationship for 2 years and my girlfriend was always super understanding about my Diabetes.
She would remind me to check my glucose, stop and sit down with me if I felt low whilst we were out, and never minded seeing my pump infusion.
Recently, I’ve thought a lot about dating again, but I’m really nervous worried about my Diabetes being an issue. I wear a Freestyle Libre now, which means I have two devices connected to me 24/7, and I’m worried I might look strange to someone who isn’t used to this.
On top of that, I follow a Ketogenic diet which means even by dietary standards, I can’t have the ‘romantic’ takeaway pizza dates, or even share a tub of ice-cream (although I suppose I could purchase Halo-Top etc...)
Has anyone got any advice on getting past this fear?</t>
        </is>
      </c>
      <c r="D5458" t="n">
        <v>1</v>
      </c>
      <c r="E5458" t="n">
        <v>21</v>
      </c>
      <c r="F5458">
        <f>HYPERLINK("https://www.reddit.com/r/diabetes/comments/9nkwic/type_1_diabetes_and_dating/")</f>
        <v/>
      </c>
      <c r="G5458" t="inlineStr">
        <is>
          <t>2018-10-12 07:49:24</t>
        </is>
      </c>
      <c r="H5458" t="inlineStr">
        <is>
          <t>Type 1</t>
        </is>
      </c>
    </row>
    <row r="5459">
      <c r="A5459" t="inlineStr">
        <is>
          <t>9nleem</t>
        </is>
      </c>
      <c r="B5459" t="inlineStr">
        <is>
          <t>Time for a pump upgrade, thoughts and experiences?</t>
        </is>
      </c>
      <c r="C5459" t="inlineStr">
        <is>
          <t>It's been 4ish years since i first got a pump, it was a tandem t-slim when they were first starting out. It's served me well even though it had to be replaced once, but now it's starting to wear out and I'm eligible for an upgrade. 
As my A1C levels haven't been the greatest, and from the my doctor's advice i would like to get a cgm along with a new pump. Just wanted to hear other people's experiences with their own respective pumps before I make such a big decision, currently leaning towards the the t:slim x2 with dexcom. Thoughts?</t>
        </is>
      </c>
      <c r="D5459" t="n">
        <v>1</v>
      </c>
      <c r="E5459" t="n">
        <v>37</v>
      </c>
      <c r="F5459">
        <f>HYPERLINK("https://www.reddit.com/r/diabetes/comments/9nleem/time_for_a_pump_upgrade_thoughts_and_experiences/")</f>
        <v/>
      </c>
      <c r="G5459" t="inlineStr">
        <is>
          <t>2018-10-12 08:48:04</t>
        </is>
      </c>
      <c r="H5459" t="inlineStr">
        <is>
          <t>Type 1</t>
        </is>
      </c>
    </row>
    <row r="5460">
      <c r="A5460" t="inlineStr">
        <is>
          <t>9nsl6n</t>
        </is>
      </c>
      <c r="B5460" t="inlineStr">
        <is>
          <t>Floaters, spider web in eyes</t>
        </is>
      </c>
      <c r="C5460" t="inlineStr">
        <is>
          <t xml:space="preserve">Hi Guys im 30 and had type 1 D since I was ten I have had one DKA due to a bad neuro virus and had loads of argon laser treatments, today I woke up and could see a small disc of white light in my eye top left of my left eye, it then appears to bleed out a black spiders web across the top left anyone else had or seen this before?, will it fade or go away? </t>
        </is>
      </c>
      <c r="D5460" t="n">
        <v>1</v>
      </c>
      <c r="E5460" t="n">
        <v>8</v>
      </c>
      <c r="F5460">
        <f>HYPERLINK("https://www.reddit.com/r/diabetes/comments/9nsl6n/floaters_spider_web_in_eyes/")</f>
        <v/>
      </c>
      <c r="G5460" t="inlineStr">
        <is>
          <t>2018-10-13 02:37:44</t>
        </is>
      </c>
      <c r="H5460" t="inlineStr">
        <is>
          <t>Type 1</t>
        </is>
      </c>
    </row>
    <row r="5461">
      <c r="A5461" t="inlineStr">
        <is>
          <t>9nuo96</t>
        </is>
      </c>
      <c r="B5461" t="inlineStr">
        <is>
          <t>Hope for the hopeless [personal]</t>
        </is>
      </c>
      <c r="C5461" t="inlineStr">
        <is>
          <t>Hey friend-os, I’ve popped in and out here over the years, usually only to brag when I’m doing well, and that’s not awesome.  
I’m here to share a bit about my life. The past year has been one of the worst years in my life- for a variety of reasons. Mental health, job stuff, and my diabetes took back seat- like open bed of a pickup truck with no seatbelt- back seat.  
September of last year my HBA1C was 13.3 and I really didn’t have the resources to do much about it. I knew I needed to cut the carbs and be more vigilant about testing, and my depression was so bad I didn’t care to do it.  Most days I barely struggled to get out of bed, and then usually got right back in.
At the beginning of 2018 I was hospitalized with ketoacidosis and I started to get my act together. I got a Dexcom and was eating better (still eating too many junk carbs, but at least trying to count and treat properly). Then I lost my health insurance, the thing I have feared since I was diagnosed nearly 21 years ago. But because of the kindness of many of you here, I kept going. My progress slid, but I didn’t die instantly like I always feared I would.  
At the beginning of September this year I moved states back to a state that offers Medicaid- which I qualify for now. Things are slow going, but despite all the stress and anxiety and general misery in my life- my diabetes is on the uptick. I have people who support me in eating low carb, and somehow my HBA1C is down to 8.1. It’s got room to go- and I still need to get a steady handle on supplies and such- but there’s hope. There’s hope that I can really buckle down and do better.  
I just want to thank this community for being here- and all the hope and help you’ve given me so far. I’m gonna pay it forward, as soon as I can. I have hope about this one gosh darn thing, and it helps.</t>
        </is>
      </c>
      <c r="D5461" t="n">
        <v>1</v>
      </c>
      <c r="E5461" t="n">
        <v>4</v>
      </c>
      <c r="F5461">
        <f>HYPERLINK("https://www.reddit.com/r/diabetes/comments/9nuo96/hope_for_the_hopeless_personal/")</f>
        <v/>
      </c>
      <c r="G5461" t="inlineStr">
        <is>
          <t>2018-10-13 08:42:46</t>
        </is>
      </c>
      <c r="H5461" t="inlineStr">
        <is>
          <t>Type 1</t>
        </is>
      </c>
    </row>
    <row r="5462">
      <c r="A5462" t="inlineStr">
        <is>
          <t>9nw8p7</t>
        </is>
      </c>
      <c r="B5462" t="inlineStr">
        <is>
          <t>Feeling defeated and not sure what's next</t>
        </is>
      </c>
      <c r="C5462" t="inlineStr">
        <is>
          <t>Now sure where to begin with this, and could really use some insight or advice...  
For years in my teens and early 20s my a1c was not good, I was juggled from provider to provider until finally getting on a pump, which seemed to begin turning things around for me.  Still my a1c hasn't been great (low 9s) for years.  I have horrible anxiety, always worried about other family members first (Large family history of heart problems, and multiple family members have had surgical interventions during this time along with myself included) I've recently begun coming to terms with the anxiety, and hoping future a1c's are trending into the low 8s or 7s.  My ultimate goal would be in the 6s.  I'm due for a pump replacement in the coming months, and am looking at both the 670g and the X2 now that they're expecting short term release of their own "closed loop"  
That being said, I have had a history of retinopathy, one eye required a single injection, as well as focal to clear things up,  I've been seeing my retinal specialist religiously since, and finally the last 2 years made it out to every 4 month follow ups because things were "stable with little to no change" for a couple years, and had returned to 20/20 in both eyes.  
Recently, I had a large floater in my eye form, along with additional specks of junk so I made an appointment to see my specialist earlier than scheduled, and I'm now told I have neovascularization in both eyes, requiring pan retinal photocoagulation.  Although he stated it works 60% of the time, he felt mine was early enough caught that I should fall within the 60% of successful treatments and at the very beginning of this stage(he also said aggressive injections could be tried after, as well as a vitrectomy should things not clear so there were choices, ranging from not so invasive to very invasive) I'm trying to remain optimistic.  
Needless to say, I feel like it's doomsday,  from my understanding peripheral vision is lost, and I don't know how much...that is one concern, another concern is the long term outcomes for me.  I know there is nothing I can do about the past, and I am determined to make the future the best it can be for me, and my outcomes, but this is a very big blow to me, mentally and physically.  
I'm only 31, have a long life ahead of me, and lead a very active lifestyle.  Just when I seem to start seeing things go in the right direction I get kicked hard and am feeling very alone in this.  Any advice anyone has would be greatly appreciated, any experiences would be appreciated.  I realize mileage varies from person to person, just like this affliction...  
I'm just looking for hope...</t>
        </is>
      </c>
      <c r="D5462" t="n">
        <v>1</v>
      </c>
      <c r="E5462" t="n">
        <v>9</v>
      </c>
      <c r="F5462">
        <f>HYPERLINK("https://www.reddit.com/r/diabetes/comments/9nw8p7/feeling_defeated_and_not_sure_whats_next/")</f>
        <v/>
      </c>
      <c r="G5462" t="inlineStr">
        <is>
          <t>2018-10-13 11:55:34</t>
        </is>
      </c>
      <c r="H5462" t="inlineStr">
        <is>
          <t>Type 1</t>
        </is>
      </c>
    </row>
    <row r="5463">
      <c r="A5463" t="inlineStr">
        <is>
          <t>9nx5a4</t>
        </is>
      </c>
      <c r="B5463" t="inlineStr">
        <is>
          <t>Type 1 diabetic for nearly ten years, just ran my second ever 10k race and am feeling great</t>
        </is>
      </c>
      <c r="C5463" t="inlineStr">
        <is>
          <t>Just wanted to share this to remind everyone not to let diabetes keep you down, sometimes you have to go outside of your comfort zone to know how strong you really are, just make sure your doing it safely.</t>
        </is>
      </c>
      <c r="D5463" t="n">
        <v>1</v>
      </c>
      <c r="E5463" t="n">
        <v>7</v>
      </c>
      <c r="F5463">
        <f>HYPERLINK("https://www.reddit.com/r/diabetes/comments/9nx5a4/type_1_diabetic_for_nearly_ten_years_just_ran_my/")</f>
        <v/>
      </c>
      <c r="G5463" t="inlineStr">
        <is>
          <t>2018-10-13 13:51:30</t>
        </is>
      </c>
      <c r="H5463" t="inlineStr">
        <is>
          <t>Type 1</t>
        </is>
      </c>
    </row>
    <row r="5464">
      <c r="A5464" t="inlineStr">
        <is>
          <t>9nxajp</t>
        </is>
      </c>
      <c r="B5464" t="inlineStr">
        <is>
          <t>Borderline T1D - Anyone had Success Raising Insulin Output?</t>
        </is>
      </c>
      <c r="C5464" t="inlineStr">
        <is>
          <t>A1C: 4.6
12-hour Fasting Blood Glucose: 86
C-Peptide: .8
&amp;amp;#x200B;
My A1C/FBG levels are ideal, but that C-peptide was at the very bottom of the "normal" range. I'm worried. I'm very lean, lift 4 times a week, never had health issues, but I have been experimenting with some extreme diets the past year and I think this is what's causing my problems. I've also been noticing some mild blood sugar symptoms lately, specially a few weeks ago, I had a hamburger and some dried mangos and it suddenly felt like someone was shocking my pancreas with a stun gun.
I'm wondering if any of you T1D's have had success is raising your insulin output. Conventional medicine says it's impossible, but there's some recent mice-testing from Dr. Valter Longo in which he was able to regenerate pancreatic beta cells through fasting. 
&amp;amp;#x200B;
Shit is really depressing. I've been active and healthy all my life, 33 years old and never any major health issues or conditions, I haven't even been on anti-biotics in over ten years. Type 2 is a brutal disease as well, but at least those inflicted can reverse it. Just looking for some hope</t>
        </is>
      </c>
      <c r="D5464" t="n">
        <v>1</v>
      </c>
      <c r="E5464" t="n">
        <v>10</v>
      </c>
      <c r="F5464">
        <f>HYPERLINK("https://www.reddit.com/r/diabetes/comments/9nxajp/borderline_t1d_anyone_had_success_raising_insulin/")</f>
        <v/>
      </c>
      <c r="G5464" t="inlineStr">
        <is>
          <t>2018-10-13 14:10:49</t>
        </is>
      </c>
      <c r="H5464" t="inlineStr">
        <is>
          <t>Type 1</t>
        </is>
      </c>
    </row>
    <row r="5465">
      <c r="A5465" t="inlineStr">
        <is>
          <t>9o3ffx</t>
        </is>
      </c>
      <c r="B5465" t="inlineStr">
        <is>
          <t>CGM question</t>
        </is>
      </c>
      <c r="C5465" t="inlineStr">
        <is>
          <t>Basically my only question is: are CGMs only reccomended for type one diabetes? Or would it benefit a type two such as myself?
What kind of CGMs should I look I to getting?</t>
        </is>
      </c>
      <c r="D5465" t="n">
        <v>1</v>
      </c>
      <c r="E5465" t="n">
        <v>9</v>
      </c>
      <c r="F5465">
        <f>HYPERLINK("https://www.reddit.com/r/diabetes/comments/9o3ffx/cgm_question/")</f>
        <v/>
      </c>
      <c r="G5465" t="inlineStr">
        <is>
          <t>2018-10-14 08:11:31</t>
        </is>
      </c>
      <c r="H5465" t="inlineStr">
        <is>
          <t>Type 2</t>
        </is>
      </c>
    </row>
    <row r="5466">
      <c r="A5466" t="inlineStr">
        <is>
          <t>9o3fyh</t>
        </is>
      </c>
      <c r="B5466" t="inlineStr">
        <is>
          <t>Pub's</t>
        </is>
      </c>
      <c r="C5466" t="inlineStr">
        <is>
          <t>Just wondering what people tend to lean towards drinks wise in a pub, im happy not drinking alcohol but usually if i wasnt i'd go soda or a fizzy drink which i want to start avoiding - so what else do people go for ?</t>
        </is>
      </c>
      <c r="D5466" t="n">
        <v>1</v>
      </c>
      <c r="E5466" t="n">
        <v>8</v>
      </c>
      <c r="F5466">
        <f>HYPERLINK("https://www.reddit.com/r/diabetes/comments/9o3fyh/pubs/")</f>
        <v/>
      </c>
      <c r="G5466" t="inlineStr">
        <is>
          <t>2018-10-14 08:13:18</t>
        </is>
      </c>
      <c r="H5466" t="inlineStr">
        <is>
          <t>Type 2</t>
        </is>
      </c>
    </row>
    <row r="5467">
      <c r="A5467" t="inlineStr">
        <is>
          <t>9o3pjm</t>
        </is>
      </c>
      <c r="B5467" t="inlineStr">
        <is>
          <t>Just diagnosed</t>
        </is>
      </c>
      <c r="C5467" t="inlineStr">
        <is>
          <t>I'm a 17 year old male and was just diagnosed with type 1 this weekend, any tips from guys (or gals) that have been dealing with this?</t>
        </is>
      </c>
      <c r="D5467" t="n">
        <v>1</v>
      </c>
      <c r="E5467" t="n">
        <v>17</v>
      </c>
      <c r="F5467">
        <f>HYPERLINK("https://www.reddit.com/r/diabetes/comments/9o3pjm/just_diagnosed/")</f>
        <v/>
      </c>
      <c r="G5467" t="inlineStr">
        <is>
          <t>2018-10-14 08:47:46</t>
        </is>
      </c>
      <c r="H5467" t="inlineStr">
        <is>
          <t>Type 1</t>
        </is>
      </c>
    </row>
    <row r="5468">
      <c r="A5468" t="inlineStr">
        <is>
          <t>9o4dff</t>
        </is>
      </c>
      <c r="B5468" t="inlineStr">
        <is>
          <t>Drinking and Type One Diabetes</t>
        </is>
      </c>
      <c r="C5468" t="inlineStr">
        <is>
          <t>Hey, 
for context - i'm a sixteen year old type one diabetic - i got diagnosed when I was 9 and i've generally taken care of my type one diabetes pretty well (my last a1c was 5.8)
&amp;amp;#x200B;
This year when school started I made a bunch of new friends at my school and a lot of them were popular. For the first time I got invited to a Halloween party and I know that theres going to be a lot of a lot of alcohol there and everyone will be drinking there but i haven't even drunken alcohol yet. I tried researching about drinking and type one diabetes but it didn't really make sense to me (some said that it will make your blood sugar higher and some said it could actually cause a low). So I figured the best people to ask about the side effects of drinking with t1d are other type one diabetics. I know its kind of like giving in to peer pressure but i don't want to look like a loser in front of my new friends. So my questions are about how you generally deal with drinking and type one diabetes</t>
        </is>
      </c>
      <c r="D5468" t="n">
        <v>1</v>
      </c>
      <c r="E5468" t="n">
        <v>16</v>
      </c>
      <c r="F5468">
        <f>HYPERLINK("https://www.reddit.com/r/diabetes/comments/9o4dff/drinking_and_type_one_diabetes/")</f>
        <v/>
      </c>
      <c r="G5468" t="inlineStr">
        <is>
          <t>2018-10-14 10:05:36</t>
        </is>
      </c>
      <c r="H5468" t="inlineStr">
        <is>
          <t>Type 1</t>
        </is>
      </c>
    </row>
    <row r="5469">
      <c r="A5469" t="inlineStr">
        <is>
          <t>9o8os8</t>
        </is>
      </c>
      <c r="B5469" t="inlineStr">
        <is>
          <t>T2 Diabetics here - Continuous Glucose Monitor or not?</t>
        </is>
      </c>
      <c r="C5469" t="inlineStr">
        <is>
          <t>Hi! I'm working on a new kind of physician office with a newly minted doctor. We would like to take care of both the medical and the non-medical piece so as to treat the entire individual. We are really interested in improving diabetes care, especially for patients with type 2 diabetes who find it difficult to control their a1c.
&amp;amp;#x200B;
If you find it difficult to manage your T2 diabetes, question - how frequently do you measure your blood sugar? Have you tried / are using a continuous glucose monitor? Does your insurance cover it?</t>
        </is>
      </c>
      <c r="D5469" t="n">
        <v>1</v>
      </c>
      <c r="E5469" t="n">
        <v>5</v>
      </c>
      <c r="F5469">
        <f>HYPERLINK("https://www.reddit.com/r/diabetes/comments/9o8os8/t2_diabetics_here_continuous_glucose_monitor_or/")</f>
        <v/>
      </c>
      <c r="G5469" t="inlineStr">
        <is>
          <t>2018-10-14 19:22:08</t>
        </is>
      </c>
      <c r="H5469" t="inlineStr">
        <is>
          <t>Type 2</t>
        </is>
      </c>
    </row>
    <row r="5470">
      <c r="A5470" t="inlineStr">
        <is>
          <t>9o8pr5</t>
        </is>
      </c>
      <c r="B5470" t="inlineStr">
        <is>
          <t>Never consistent</t>
        </is>
      </c>
      <c r="C5470" t="inlineStr">
        <is>
          <t>T2, use metformin and glipizide. I have recently tried going low carb so I am adjusting my evening glipizide based on my dinner carbs. Because of this I am often having morning hypos. Usually I start feeling anxious at about 70, shaky and hot in the low 60s and sweating by the time I get in the 50s. This morning my fasting CBG was 38 and I was totally asymptomatic ! I rechecked and checked again on my gym monitor, all readings were consistent. 
Anyone know why I  would be so low and asymptomatic?</t>
        </is>
      </c>
      <c r="D5470" t="n">
        <v>1</v>
      </c>
      <c r="E5470" t="n">
        <v>3</v>
      </c>
      <c r="F5470">
        <f>HYPERLINK("https://www.reddit.com/r/diabetes/comments/9o8pr5/never_consistent/")</f>
        <v/>
      </c>
      <c r="G5470" t="inlineStr">
        <is>
          <t>2018-10-14 19:26:06</t>
        </is>
      </c>
      <c r="H5470" t="inlineStr">
        <is>
          <t>Type 2</t>
        </is>
      </c>
    </row>
    <row r="5471">
      <c r="A5471" t="inlineStr">
        <is>
          <t>9o8x26</t>
        </is>
      </c>
      <c r="B5471" t="inlineStr">
        <is>
          <t>Considering a pump for the first time. Will a pump give insulin when my insulin spikes? If not, what are the main advantages over a traditional pen?</t>
        </is>
      </c>
      <c r="C5471" t="inlineStr">
        <is>
          <t xml:space="preserve">Absolute pump noob here, so excuse my possibly obvious questions.  
I know I get some pumps have the basal feature where it stops giving you any if your sugar is dropping and starts again if you rise. 
What other main advantages does a pump give you? I still have to tell it to how many carbs I eat, right? 
I already have a Dexcom. Was thinking of a tslim. 
Please share your knowledge and experience. 
Thank you! </t>
        </is>
      </c>
      <c r="D5471" t="n">
        <v>1</v>
      </c>
      <c r="E5471" t="n">
        <v>12</v>
      </c>
      <c r="F5471">
        <f>HYPERLINK("https://www.reddit.com/r/diabetes/comments/9o8x26/considering_a_pump_for_the_first_time_will_a_pump/")</f>
        <v/>
      </c>
      <c r="G5471" t="inlineStr">
        <is>
          <t>2018-10-14 19:54:34</t>
        </is>
      </c>
      <c r="H5471" t="inlineStr">
        <is>
          <t>Type 1</t>
        </is>
      </c>
    </row>
    <row r="5472">
      <c r="A5472" t="inlineStr">
        <is>
          <t>9ocyjp</t>
        </is>
      </c>
      <c r="B5472" t="inlineStr">
        <is>
          <t>How do you manage shift work and diabetes? Any problems?</t>
        </is>
      </c>
      <c r="C5472" t="inlineStr">
        <is>
          <t>Type 1 diabetic for 13 years here. 25 years old. Im starting an education and the work includes morning,evening and night shifts. I have only experience from normal day shifts. Im curious what effects does it have and any tips and experience is appreciated.</t>
        </is>
      </c>
      <c r="D5472" t="n">
        <v>1</v>
      </c>
      <c r="E5472" t="n">
        <v>26</v>
      </c>
      <c r="F5472">
        <f>HYPERLINK("https://www.reddit.com/r/diabetes/comments/9ocyjp/how_do_you_manage_shift_work_and_diabetes_any/")</f>
        <v/>
      </c>
      <c r="G5472" t="inlineStr">
        <is>
          <t>2018-10-15 07:05:12</t>
        </is>
      </c>
      <c r="H5472" t="inlineStr">
        <is>
          <t>Type 1</t>
        </is>
      </c>
    </row>
    <row r="5473">
      <c r="A5473" t="inlineStr">
        <is>
          <t>9ohwqs</t>
        </is>
      </c>
      <c r="B5473" t="inlineStr">
        <is>
          <t>Diabetes kinda sucks for the environment</t>
        </is>
      </c>
      <c r="C5473" t="inlineStr">
        <is>
          <t xml:space="preserve">I'm a little bit of a tree hugger and I've been thinking. I really do use a ton of plastic. Like way more than average people but there's really nothing I can do about it. I guess maybe pens instead of a pump? Who knows. Thanks T1D. </t>
        </is>
      </c>
      <c r="D5473" t="n">
        <v>1</v>
      </c>
      <c r="E5473" t="n">
        <v>18</v>
      </c>
      <c r="F5473">
        <f>HYPERLINK("https://www.reddit.com/r/diabetes/comments/9ohwqs/diabetes_kinda_sucks_for_the_environment/")</f>
        <v/>
      </c>
      <c r="G5473" t="inlineStr">
        <is>
          <t>2018-10-15 16:09:05</t>
        </is>
      </c>
      <c r="H5473" t="inlineStr">
        <is>
          <t>Type 1</t>
        </is>
      </c>
    </row>
    <row r="5474">
      <c r="A5474" t="inlineStr">
        <is>
          <t>9oi541</t>
        </is>
      </c>
      <c r="B5474" t="inlineStr">
        <is>
          <t>Diasend and Freestyle Libre??</t>
        </is>
      </c>
      <c r="C5474" t="inlineStr">
        <is>
          <t xml:space="preserve">Hi everyone,
I've uploaded my Libre to Diasend however, it is only showing me the AGP graph as my CGM data and the daily graphs. It won't show the individual tests (like, each time it's been scanned) on the "Logbook" page so it's saying I haven't tested my blood sugar... at all. 
My diabetes educator argues that it is possible to get this to show up and I have an appointment with her on Wednesday and I'm trying desperately to get it to work. I tried uninstalling the Libre software to see if that was interfering, and it still isn't working. 
Please help!! :( </t>
        </is>
      </c>
      <c r="D5474" t="n">
        <v>1</v>
      </c>
      <c r="E5474" t="n">
        <v>7</v>
      </c>
      <c r="F5474">
        <f>HYPERLINK("https://www.reddit.com/r/diabetes/comments/9oi541/diasend_and_freestyle_libre/")</f>
        <v/>
      </c>
      <c r="G5474" t="inlineStr">
        <is>
          <t>2018-10-15 16:38:19</t>
        </is>
      </c>
      <c r="H5474" t="inlineStr">
        <is>
          <t>Type 1</t>
        </is>
      </c>
    </row>
    <row r="5475">
      <c r="A5475" t="inlineStr">
        <is>
          <t>9ojlgj</t>
        </is>
      </c>
      <c r="B5475" t="inlineStr">
        <is>
          <t>First day Dexcom G6 accuracy</t>
        </is>
      </c>
      <c r="C5475" t="inlineStr">
        <is>
          <t xml:space="preserve">I’ve always had terrible accuracy for the first day of a new G5 sensor. Like 4 or 5 calibrations in first 24 hours. Then it’s smooth sailing for upwards of 14 days. 
I’m going to be moving to the G6 soon and just curious if anyone had the same experience with the G5 and if the transition to the G6 made this better/worse/no different. 
Thanks friends. </t>
        </is>
      </c>
      <c r="D5475" t="n">
        <v>1</v>
      </c>
      <c r="E5475" t="n">
        <v>3</v>
      </c>
      <c r="F5475">
        <f>HYPERLINK("https://www.reddit.com/r/diabetes/comments/9ojlgj/first_day_dexcom_g6_accuracy/")</f>
        <v/>
      </c>
      <c r="G5475" t="inlineStr">
        <is>
          <t>2018-10-15 19:46:54</t>
        </is>
      </c>
      <c r="H5475" t="inlineStr">
        <is>
          <t>Type 1</t>
        </is>
      </c>
    </row>
    <row r="5476">
      <c r="A5476" t="inlineStr">
        <is>
          <t>9okrae</t>
        </is>
      </c>
      <c r="B5476" t="inlineStr">
        <is>
          <t>Beware sexual content/rant!</t>
        </is>
      </c>
      <c r="C5476" t="inlineStr">
        <is>
          <t xml:space="preserve">I’m just going to put this out there...
2nd night in a row, right in the middle of my wife’s organism, ready to enter the barn doors and boom!  My blood sugar drops like a rock!  We haven’t even got to the core of intercourse yet!  
So tonight when my hypo hit I had 4 gummy worms at the ready (32g carbohydrate) and waited for my sugar to rise enough to get the job done, waited by going down on my wife.  Nothing hard core, so I thought!
45 minutes later and my wife having her 2nd orgasm, I was still feeling hypo.  Got up and tested only to find my bs went from 77mg/dL (4.2-ish mmol/l)to 74 within 45 minutes.  
Tired, disappointed and a bit mad, now find myself suffering from the worst case of “blue balls” in my life!!  At least my wife is sleeping well! 
Before we started my CGM read 145mg/dl.  It’s days like these when I really hate my diabetes! </t>
        </is>
      </c>
      <c r="D5476" t="n">
        <v>1</v>
      </c>
      <c r="E5476" t="n">
        <v>17</v>
      </c>
      <c r="F5476">
        <f>HYPERLINK("https://www.reddit.com/r/diabetes/comments/9okrae/beware_sexual_contentrant/")</f>
        <v/>
      </c>
      <c r="G5476" t="inlineStr">
        <is>
          <t>2018-10-15 22:43:20</t>
        </is>
      </c>
      <c r="H5476" t="inlineStr">
        <is>
          <t>Type 1</t>
        </is>
      </c>
    </row>
    <row r="5477">
      <c r="A5477" t="inlineStr">
        <is>
          <t>9opbej</t>
        </is>
      </c>
      <c r="B5477" t="inlineStr">
        <is>
          <t>Type 1s: Your carbs &amp;amp; your A1c?</t>
        </is>
      </c>
      <c r="C5477" t="inlineStr">
        <is>
          <t>Hello, all! Type 1 here. 
I have noticed that some of us eat fairly low carb and some of us eat moderate/unrestricted carbs - ***I am wondering what everyone's A1c is like and how it responds to their carb intake levels!***
Dropping my carb intake to below 100g a day took me from 6.7 to 6.3 A1c. However it seems my carb sensitivity has changed as I spike quite high these days from just a few carbs and struggle to bring it back down!
To those who eat lots of carbs but have a low A1c - what's your secret?
Thank you :) **All answers are welcome no matter what your A1c is!**</t>
        </is>
      </c>
      <c r="D5477" t="n">
        <v>1</v>
      </c>
      <c r="E5477" t="n">
        <v>36</v>
      </c>
      <c r="F5477">
        <f>HYPERLINK("https://www.reddit.com/r/diabetes/comments/9opbej/type_1s_your_carbs_your_a1c/")</f>
        <v/>
      </c>
      <c r="G5477" t="inlineStr">
        <is>
          <t>2018-10-16 09:38:05</t>
        </is>
      </c>
      <c r="H5477" t="inlineStr">
        <is>
          <t>Type 1</t>
        </is>
      </c>
    </row>
    <row r="5478">
      <c r="A5478" t="inlineStr">
        <is>
          <t>9opcws</t>
        </is>
      </c>
      <c r="B5478" t="inlineStr">
        <is>
          <t>Looping feels soo good ^^</t>
        </is>
      </c>
      <c r="C5478" t="inlineStr">
        <is>
          <t xml:space="preserve"> Today I did a presentation for my Diabetologist + Diabetologist Nurse + "stranger doctor", regarding my Eversense XL CGM + Accu-Chek Combo + AndroidAPS + Nightscout.
While the "stranger doctor" inspected my blood sugar results, she asked me:
Doctor: "Are you a type 1 diabetic?"   
Me: "Yes, I am. Can I ask why do you ask it?"  
Doctor: "Because your blood sugars are too good compared to a T1D"
&amp;amp;#x200B;
I'm only looping for 2 weeks but I already love it \^\^. Can't wait to have my HBa1C after looping for 3 months.</t>
        </is>
      </c>
      <c r="D5478" t="n">
        <v>1</v>
      </c>
      <c r="E5478" t="n">
        <v>24</v>
      </c>
      <c r="F5478">
        <f>HYPERLINK("https://www.reddit.com/r/diabetes/comments/9opcws/looping_feels_soo_good/")</f>
        <v/>
      </c>
      <c r="G5478" t="inlineStr">
        <is>
          <t>2018-10-16 09:42:34</t>
        </is>
      </c>
      <c r="H5478" t="inlineStr">
        <is>
          <t>Type 1</t>
        </is>
      </c>
    </row>
    <row r="5479">
      <c r="A5479" t="inlineStr">
        <is>
          <t>9oq668</t>
        </is>
      </c>
      <c r="B5479" t="inlineStr">
        <is>
          <t>First day on Omnipod- crazy lows last night and today</t>
        </is>
      </c>
      <c r="C5479" t="inlineStr">
        <is>
          <t>I started the OmniPod yesterday around 10am, since then I have had about 4 lows, two in the night(I did a temp basal and decreased the basal by 75% to keep it in range overnight), one yesterday and one this morning.....looking at the basal programs: is it a better to create a basal that includes walking etc if you do it every day (I walk about .5 miles to class then .5 miles back from class every day at roughly the same time) the time that it takes to walk is like 15 minutes but it is typically before I get any food or drink in my system. The alternative would be setting a temp basal? but only for a half hour right?
&amp;amp;#x200B;
sorry if this is super stupid simple.... getting the dr to answer via email will take a day or two so hoping this will be quicker :)</t>
        </is>
      </c>
      <c r="D5479" t="n">
        <v>1</v>
      </c>
      <c r="E5479" t="n">
        <v>2</v>
      </c>
      <c r="F5479">
        <f>HYPERLINK("https://www.reddit.com/r/diabetes/comments/9oq668/first_day_on_omnipod_crazy_lows_last_night_and/")</f>
        <v/>
      </c>
      <c r="G5479" t="inlineStr">
        <is>
          <t>2018-10-16 11:08:59</t>
        </is>
      </c>
      <c r="H5479" t="inlineStr">
        <is>
          <t>Type 1</t>
        </is>
      </c>
    </row>
    <row r="5480">
      <c r="A5480" t="inlineStr">
        <is>
          <t>9or7h3</t>
        </is>
      </c>
      <c r="B5480" t="inlineStr">
        <is>
          <t>Moving From Pens to Tandem Advice</t>
        </is>
      </c>
      <c r="C5480" t="inlineStr">
        <is>
          <t>I have been on pens (Tresiba and Novalog) for years. My last A1C was 7.0. although I am fairly satisfied with the 7.0, due to an increase in complications, I am going to try a pump. Since I am already on the Dexcom G6, and after reading opinions here, I have decided on the Tandem x2.
I am looking for advice on making this move. What to look out for? I am most concerned about sleeping with the pump, as I am not the best sleeper. I am also not looking forward to carrying another device, especially   after only carrying a smartphone for a year or 2.
Any advice is much appreciated.</t>
        </is>
      </c>
      <c r="D5480" t="n">
        <v>1</v>
      </c>
      <c r="E5480" t="n">
        <v>5</v>
      </c>
      <c r="F5480">
        <f>HYPERLINK("https://www.reddit.com/r/diabetes/comments/9or7h3/moving_from_pens_to_tandem_advice/")</f>
        <v/>
      </c>
      <c r="G5480" t="inlineStr">
        <is>
          <t>2018-10-16 13:00:38</t>
        </is>
      </c>
      <c r="H5480" t="inlineStr">
        <is>
          <t>Type 1</t>
        </is>
      </c>
    </row>
    <row r="5481">
      <c r="A5481" t="inlineStr">
        <is>
          <t>9oscw0</t>
        </is>
      </c>
      <c r="B5481" t="inlineStr">
        <is>
          <t>Tandem t:slim X2 Basal-IQ users: Can you restart a G6 sensor?</t>
        </is>
      </c>
      <c r="C5481" t="inlineStr">
        <is>
          <t>Hi r/diabetes!
I did a quick search but haven't been able to see if anyone already addressed this. I'm getting ready to upgrade to the G6 so I can use Basal-IQ on my pump (already did the training and upgraded the software on my pump, just waiting for my Dexcom shipment to arrive) and I was wondering if anyone has experience with restarting the G6 sensors if you're using Basal-IQ. Thanks!</t>
        </is>
      </c>
      <c r="D5481" t="n">
        <v>1</v>
      </c>
      <c r="E5481" t="n">
        <v>6</v>
      </c>
      <c r="F5481">
        <f>HYPERLINK("https://www.reddit.com/r/diabetes/comments/9oscw0/tandem_tslim_x2_basaliq_users_can_you_restart_a/")</f>
        <v/>
      </c>
      <c r="G5481" t="inlineStr">
        <is>
          <t>2018-10-16 15:11:25</t>
        </is>
      </c>
      <c r="H5481" t="inlineStr">
        <is>
          <t>Type 1</t>
        </is>
      </c>
    </row>
    <row r="5482">
      <c r="A5482" t="inlineStr">
        <is>
          <t>9ov9vz</t>
        </is>
      </c>
      <c r="B5482" t="inlineStr">
        <is>
          <t>I am not waking up from Lows anymore, is there anything I can do?</t>
        </is>
      </c>
      <c r="C5482" t="inlineStr">
        <is>
          <t>Hi everyone,
I am a High School Senior with T1D currently on the 670G. I have had Diabetes since I was 9 and in that time I always woken up when my BG has dropped passed 60 at night. I know the 670G should help with lows, but to be honest I have been having a pretty bad experience with it (but that is a whole other issue). Recently I have not been feeling my lows as much and I haven’t been waking up from them. Last night I dropped very low and my Pump was setting off all sorts of alarms but I didn’t wake up. Luckily my parents heard it and tested me, and I was 25!!!! I had no idea this even happened until this morning, and I have been freaking out ever since. Knowing that I will be off at college soon and on my own, I am highly concerned about this and I’m even kinda scared to go to sleep at a normal BG like 120. In the past I could just fall asleep in this range and feel confident that my pump would take care of it or that I would wake up in an emergency, but I guess this isn’t the case anymore. It freaks me out to think about what might have happened last night if my parents didn’t check me. Is there anything I can do about this other than setting alarms at intervals over night so that I get up and test (and that is hoping that I wake up to them)? I know that I’ll be tired from that but it seems better than just continuing in blind faith every night. 
Sorry for the only essay btw, I’m just really nervous.</t>
        </is>
      </c>
      <c r="D5482" t="n">
        <v>1</v>
      </c>
      <c r="E5482" t="n">
        <v>7</v>
      </c>
      <c r="F5482">
        <f>HYPERLINK("https://www.reddit.com/r/diabetes/comments/9ov9vz/i_am_not_waking_up_from_lows_anymore_is_there/")</f>
        <v/>
      </c>
      <c r="G5482" t="inlineStr">
        <is>
          <t>2018-10-16 21:14:18</t>
        </is>
      </c>
      <c r="H5482" t="inlineStr">
        <is>
          <t>Type 1</t>
        </is>
      </c>
    </row>
    <row r="5483">
      <c r="A5483" t="inlineStr">
        <is>
          <t>9oy95i</t>
        </is>
      </c>
      <c r="B5483" t="inlineStr">
        <is>
          <t>A1c result of 5.4, but EAG listed as 94.</t>
        </is>
      </c>
      <c r="C5483" t="inlineStr">
        <is>
          <t xml:space="preserve">Since I come from a long illustrious line of T2 diabetics, I was recently screened for diabetes. The A1c came back at 5.4 with an EAG of 94. But when I looked at charts online, it indicates 5.4 corresponds to an EAG of 108. 
Does A1c testing method influence the EAG or did the lab make a mistake? </t>
        </is>
      </c>
      <c r="D5483" t="n">
        <v>1</v>
      </c>
      <c r="E5483" t="n">
        <v>3</v>
      </c>
      <c r="F5483">
        <f>HYPERLINK("https://www.reddit.com/r/diabetes/comments/9oy95i/a1c_result_of_54_but_eag_listed_as_94/")</f>
        <v/>
      </c>
      <c r="G5483" t="inlineStr">
        <is>
          <t>2018-10-17 05:35:24</t>
        </is>
      </c>
      <c r="H5483" t="inlineStr">
        <is>
          <t>Type 2</t>
        </is>
      </c>
    </row>
    <row r="5484">
      <c r="A5484" t="inlineStr">
        <is>
          <t>9oyfh6</t>
        </is>
      </c>
      <c r="B5484" t="inlineStr">
        <is>
          <t>Metformin &amp;amp; Type 1</t>
        </is>
      </c>
      <c r="C5484" t="inlineStr">
        <is>
          <t>I am a 30 year T1d.  I was just curious for those T1d folks not honeymooning.  What was your experience with taking Metformin did it help your insulin sensitivity?  Other side affects? Hidden benefits? I am going to start taking 500mg tabs twice a day.  I'll be curious to hear others experiences.  Thanks!!</t>
        </is>
      </c>
      <c r="D5484" t="n">
        <v>1</v>
      </c>
      <c r="E5484" t="n">
        <v>20</v>
      </c>
      <c r="F5484">
        <f>HYPERLINK("https://www.reddit.com/r/diabetes/comments/9oyfh6/metformin_type_1/")</f>
        <v/>
      </c>
      <c r="G5484" t="inlineStr">
        <is>
          <t>2018-10-17 05:58:47</t>
        </is>
      </c>
      <c r="H5484" t="inlineStr">
        <is>
          <t>Type 1</t>
        </is>
      </c>
    </row>
    <row r="5485">
      <c r="A5485" t="inlineStr">
        <is>
          <t>9p0jzl</t>
        </is>
      </c>
      <c r="B5485" t="inlineStr">
        <is>
          <t>xdrip+ and the new Galaxy watch</t>
        </is>
      </c>
      <c r="C5485" t="inlineStr">
        <is>
          <t xml:space="preserve"> does anyone have this setup yet? Cant seem to find anything online. I see that in previous versions of Tizen you had the options for non proprietary apps and could get a wearable widget but i think thats not available with the new Galaxy watch. Any insight would be great, even if if, 'ya thats a no-go' so i dont keep looking.</t>
        </is>
      </c>
      <c r="D5485" t="n">
        <v>1</v>
      </c>
      <c r="E5485" t="n">
        <v>1</v>
      </c>
      <c r="F5485">
        <f>HYPERLINK("https://www.reddit.com/r/diabetes/comments/9p0jzl/xdrip_and_the_new_galaxy_watch/")</f>
        <v/>
      </c>
      <c r="G5485" t="inlineStr">
        <is>
          <t>2018-10-17 10:07:38</t>
        </is>
      </c>
      <c r="H5485" t="inlineStr">
        <is>
          <t>Type 1</t>
        </is>
      </c>
    </row>
    <row r="5486">
      <c r="A5486" t="inlineStr">
        <is>
          <t>9p3p41</t>
        </is>
      </c>
      <c r="B5486" t="inlineStr">
        <is>
          <t>Yippe.........I aced the blood test.</t>
        </is>
      </c>
      <c r="C5486" t="inlineStr">
        <is>
          <t xml:space="preserve">I got a 4.9 A1c result today it was worth the pain I went through with the Phlebotomist trying to get blood from me. </t>
        </is>
      </c>
      <c r="D5486" t="n">
        <v>1</v>
      </c>
      <c r="E5486" t="n">
        <v>13</v>
      </c>
      <c r="F5486">
        <f>HYPERLINK("https://www.reddit.com/r/diabetes/comments/9p3p41/yippei_aced_the_blood_test/")</f>
        <v/>
      </c>
      <c r="G5486" t="inlineStr">
        <is>
          <t>2018-10-17 16:15:37</t>
        </is>
      </c>
      <c r="H5486" t="inlineStr">
        <is>
          <t>Type 2</t>
        </is>
      </c>
    </row>
    <row r="5487">
      <c r="A5487" t="inlineStr">
        <is>
          <t>9pe9vv</t>
        </is>
      </c>
      <c r="B5487" t="inlineStr">
        <is>
          <t>My A1C progress with diet, exercise, glipizide, and jardiance</t>
        </is>
      </c>
      <c r="C5487" t="inlineStr">
        <is>
          <t>Woohoo!!!!!
Hopefully I can cut out the meds when I go see my doctor next week. Also lost 20 lbs. No longer obese per my BMI. No complications have manifested. Do I have unrealistic expectations?  
&amp;amp;#x200B;
[https://imgur.com/a/3G6oEIh](https://imgur.com/a/3G6oEIh)</t>
        </is>
      </c>
      <c r="D5487" t="n">
        <v>1</v>
      </c>
      <c r="E5487" t="n">
        <v>0</v>
      </c>
      <c r="F5487">
        <f>HYPERLINK("https://www.reddit.com/r/diabetes/comments/9pe9vv/my_a1c_progress_with_diet_exercise_glipizide_and/")</f>
        <v/>
      </c>
      <c r="G5487" t="inlineStr">
        <is>
          <t>2018-10-18 16:08:45</t>
        </is>
      </c>
      <c r="H5487" t="inlineStr">
        <is>
          <t>Type 2</t>
        </is>
      </c>
    </row>
    <row r="5488">
      <c r="A5488" t="inlineStr">
        <is>
          <t>9pgy86</t>
        </is>
      </c>
      <c r="B5488" t="inlineStr">
        <is>
          <t>Just need some help</t>
        </is>
      </c>
      <c r="C5488" t="inlineStr">
        <is>
          <t>I’ve been type one diabetic since I was 6 years old. I didn’t make much of it back then and quickly got used to my routine and the finger pricks. My endo said I took care of my diabetes much better than the other kids my age.
Now I’ve kinda realized how upsetting it all is. I’ve started thinking more and more about how life is horrible to me and I’ve been thrown everything at me. It seems weird after all this time only now I take time to think about it.
Any tips to help cope?</t>
        </is>
      </c>
      <c r="D5488" t="n">
        <v>1</v>
      </c>
      <c r="E5488" t="n">
        <v>9</v>
      </c>
      <c r="F5488">
        <f>HYPERLINK("https://www.reddit.com/r/diabetes/comments/9pgy86/just_need_some_help/")</f>
        <v/>
      </c>
      <c r="G5488" t="inlineStr">
        <is>
          <t>2018-10-18 22:38:31</t>
        </is>
      </c>
      <c r="H5488" t="inlineStr">
        <is>
          <t>Type 1</t>
        </is>
      </c>
    </row>
    <row r="5489">
      <c r="A5489" t="inlineStr">
        <is>
          <t>9piuqo</t>
        </is>
      </c>
      <c r="B5489" t="inlineStr">
        <is>
          <t>Trying to pair my Tandem X:Slim 2 and Dexcom G6</t>
        </is>
      </c>
      <c r="C5489" t="inlineStr">
        <is>
          <t>So, my pump is updated and ready to go. I go into the CGM settings, enter the Transmitter ID and my pump is saying it's an invalid ID. My Dexcom is connected to my phone and I use the app so I know it's the right ID. Is it because I was already using the sensor before I got my pump and I have to enter the Trasnmitter ID into my pump on the day of sensor insertion? Help!</t>
        </is>
      </c>
      <c r="D5489" t="n">
        <v>1</v>
      </c>
      <c r="E5489" t="n">
        <v>2</v>
      </c>
      <c r="F5489">
        <f>HYPERLINK("https://www.reddit.com/r/diabetes/comments/9piuqo/trying_to_pair_my_tandem_xslim_2_and_dexcom_g6/")</f>
        <v/>
      </c>
      <c r="G5489" t="inlineStr">
        <is>
          <t>2018-10-19 04:15:59</t>
        </is>
      </c>
      <c r="H5489" t="inlineStr">
        <is>
          <t>Type 1</t>
        </is>
      </c>
    </row>
    <row r="5490">
      <c r="A5490" t="inlineStr">
        <is>
          <t>9pnabt</t>
        </is>
      </c>
      <c r="B5490" t="inlineStr">
        <is>
          <t>Any Irish t1 diabetics have the Dexcom?</t>
        </is>
      </c>
      <c r="C5490" t="inlineStr">
        <is>
          <t xml:space="preserve">Hey there, I've been dying to get my hands on a Dexcom G6 but I don't know what my chances are like here in Ireland. I'm a student and wouldn't be able to self fund but wondering if anyone has managed to get it covered by their long-term illness card? </t>
        </is>
      </c>
      <c r="D5490" t="n">
        <v>1</v>
      </c>
      <c r="E5490" t="n">
        <v>5</v>
      </c>
      <c r="F5490">
        <f>HYPERLINK("https://www.reddit.com/r/diabetes/comments/9pnabt/any_irish_t1_diabetics_have_the_dexcom/")</f>
        <v/>
      </c>
      <c r="G5490" t="inlineStr">
        <is>
          <t>2018-10-19 12:50:33</t>
        </is>
      </c>
      <c r="H5490" t="inlineStr">
        <is>
          <t>Type 1</t>
        </is>
      </c>
    </row>
    <row r="5491">
      <c r="A5491" t="inlineStr">
        <is>
          <t>9ppyqq</t>
        </is>
      </c>
      <c r="B5491" t="inlineStr">
        <is>
          <t>College Diabetics?</t>
        </is>
      </c>
      <c r="C5491" t="inlineStr">
        <is>
          <t xml:space="preserve">Hi. Im currently a hs senior applying to colleges. My mom and i keep talking about college and how to prep for it. Last night i had an almost ER worthy hypoglycemic episode and stuff like that brings me on edge considering college. For any diabetics currently in or have been in university, any advice?
Class wise? Party wise? Food? Etc?
</t>
        </is>
      </c>
      <c r="D5491" t="n">
        <v>1</v>
      </c>
      <c r="E5491" t="n">
        <v>8</v>
      </c>
      <c r="F5491">
        <f>HYPERLINK("https://www.reddit.com/r/diabetes/comments/9ppyqq/college_diabetics/")</f>
        <v/>
      </c>
      <c r="G5491" t="inlineStr">
        <is>
          <t>2018-10-19 18:22:48</t>
        </is>
      </c>
      <c r="H5491" t="inlineStr">
        <is>
          <t>Type 1</t>
        </is>
      </c>
    </row>
    <row r="5492">
      <c r="A5492" t="inlineStr">
        <is>
          <t>9pvwql</t>
        </is>
      </c>
      <c r="B5492" t="inlineStr">
        <is>
          <t>Love Letter or Breakup Letter to your Monitor/Pump</t>
        </is>
      </c>
      <c r="C5492" t="inlineStr">
        <is>
          <t xml:space="preserve">If you had to write a love letter or breakup letter to your glucose monitor or insulin pump, what would you write to them? </t>
        </is>
      </c>
      <c r="D5492" t="n">
        <v>1</v>
      </c>
      <c r="E5492" t="n">
        <v>4</v>
      </c>
      <c r="F5492">
        <f>HYPERLINK("https://www.reddit.com/r/diabetes/comments/9pvwql/love_letter_or_breakup_letter_to_your_monitorpump/")</f>
        <v/>
      </c>
      <c r="G5492" t="inlineStr">
        <is>
          <t>2018-10-20 10:21:30</t>
        </is>
      </c>
      <c r="H5492" t="inlineStr">
        <is>
          <t>Type 1</t>
        </is>
      </c>
    </row>
    <row r="5493">
      <c r="A5493" t="inlineStr">
        <is>
          <t>9pw1su</t>
        </is>
      </c>
      <c r="B5493" t="inlineStr">
        <is>
          <t>So I’m guessing us UK diabetics are going to die?</t>
        </is>
      </c>
      <c r="C5493" t="inlineStr">
        <is>
          <t xml:space="preserve">So Brexit has to be completed by January next year and I’ve heard nothing about medicine. So I’m guessing we’re all just screwed. Don’t mean to bring Brexit up but it’s terrifying. </t>
        </is>
      </c>
      <c r="D5493" t="n">
        <v>1</v>
      </c>
      <c r="E5493" t="n">
        <v>27</v>
      </c>
      <c r="F5493">
        <f>HYPERLINK("https://www.reddit.com/r/diabetes/comments/9pw1su/so_im_guessing_us_uk_diabetics_are_going_to_die/")</f>
        <v/>
      </c>
      <c r="G5493" t="inlineStr">
        <is>
          <t>2018-10-20 10:39:00</t>
        </is>
      </c>
      <c r="H5493" t="inlineStr">
        <is>
          <t>Type 1</t>
        </is>
      </c>
    </row>
    <row r="5494">
      <c r="A5494" t="inlineStr">
        <is>
          <t>9pyy1u</t>
        </is>
      </c>
      <c r="B5494" t="inlineStr">
        <is>
          <t>So I think I had a seizure</t>
        </is>
      </c>
      <c r="C5494" t="inlineStr">
        <is>
          <t>So I had been out at a party and had been checking my blood sugar the whole time, I had been fine, I even had a snack before I finally went to bed due to the blood sugar drops I often experience after alcohol. Then I wake up and my legs are shaking back and fourth like I’m kicking and I fade in and out of couciousness until I eventually wake up feeling very low. I was. So I dealt with it and moved on.
But now looking back on it I think I might have had a hypoglycaemic seizure. Should I be worried?</t>
        </is>
      </c>
      <c r="D5494" t="n">
        <v>1</v>
      </c>
      <c r="E5494" t="n">
        <v>4</v>
      </c>
      <c r="F5494">
        <f>HYPERLINK("https://www.reddit.com/r/diabetes/comments/9pyy1u/so_i_think_i_had_a_seizure/")</f>
        <v/>
      </c>
      <c r="G5494" t="inlineStr">
        <is>
          <t>2018-10-20 16:39:22</t>
        </is>
      </c>
      <c r="H5494" t="inlineStr">
        <is>
          <t>Type 1</t>
        </is>
      </c>
    </row>
    <row r="5495">
      <c r="A5495" t="inlineStr">
        <is>
          <t>9q3lly</t>
        </is>
      </c>
      <c r="B5495" t="inlineStr">
        <is>
          <t>Is eczema diabetes related?</t>
        </is>
      </c>
      <c r="C5495" t="inlineStr">
        <is>
          <t>I recently noticed a nasty looking red rash that had spread over my lower legs, so I made an appointment with the doctor.  I have a past history of cellulitis so I wanted to avoid that again if possible.  The doctor seems to feel it is eczema that is showing itself because I have diabetes.  Is it because my glucose control is in need of improvement or does it just happen anyway?</t>
        </is>
      </c>
      <c r="D5495" t="n">
        <v>1</v>
      </c>
      <c r="E5495" t="n">
        <v>3</v>
      </c>
      <c r="F5495">
        <f>HYPERLINK("https://www.reddit.com/r/diabetes/comments/9q3lly/is_eczema_diabetes_related/")</f>
        <v/>
      </c>
      <c r="G5495" t="inlineStr">
        <is>
          <t>2018-10-21 06:43:58</t>
        </is>
      </c>
      <c r="H5495" t="inlineStr">
        <is>
          <t>Type 1</t>
        </is>
      </c>
    </row>
    <row r="5496">
      <c r="A5496" t="inlineStr">
        <is>
          <t>9q6esh</t>
        </is>
      </c>
      <c r="B5496" t="inlineStr">
        <is>
          <t>Just got diagnosed with diabetes</t>
        </is>
      </c>
      <c r="C5496" t="inlineStr">
        <is>
          <t>I’m a type two diabetic.  I’m taking metformin 500 mg. How should I expect to feel each day? How will the medicine make me feel? I’m losing weight already since Thursday cause my diet is completely different and not eating bread unless it’s 100 whole grain and no junk food. How do you feel daily having diabetes? Should I expect it to interfere with teaching? I’m going to be working full time as a teacher in August. Also how does it affect travel, if I fly places, as I have a trip planned since before my diagnosis? Thanks and please let me know what y’all think. This is day four of the rest of my life and don’t know if feeling tired is part of it as I’m exhausted the past few days.</t>
        </is>
      </c>
      <c r="D5496" t="n">
        <v>1</v>
      </c>
      <c r="E5496" t="n">
        <v>28</v>
      </c>
      <c r="F5496">
        <f>HYPERLINK("https://www.reddit.com/r/diabetes/comments/9q6esh/just_got_diagnosed_with_diabetes/")</f>
        <v/>
      </c>
      <c r="G5496" t="inlineStr">
        <is>
          <t>2018-10-21 12:35:32</t>
        </is>
      </c>
      <c r="H5496" t="inlineStr">
        <is>
          <t>Type 2</t>
        </is>
      </c>
    </row>
    <row r="5497">
      <c r="A5497" t="inlineStr">
        <is>
          <t>9q8ecw</t>
        </is>
      </c>
      <c r="B5497" t="inlineStr">
        <is>
          <t>Guardian Sensor Problem</t>
        </is>
      </c>
      <c r="C5497" t="inlineStr">
        <is>
          <t>Hey everyone! I have a minimed 630g with the Guardian sensor. Today I put in a new sensor. But every time I take it out of the charger and see it blink a few times, then put it into my site and see it blink a few more times, my pump says it can't find a signal. I've tried this multiple times. And I even followed the instructions to stay away from electronics and have my pump close to my receiver. Can anyone help? Thanks.</t>
        </is>
      </c>
      <c r="D5497" t="n">
        <v>1</v>
      </c>
      <c r="E5497" t="n">
        <v>5</v>
      </c>
      <c r="F5497">
        <f>HYPERLINK("https://www.reddit.com/r/diabetes/comments/9q8ecw/guardian_sensor_problem/")</f>
        <v/>
      </c>
      <c r="G5497" t="inlineStr">
        <is>
          <t>2018-10-21 16:45:40</t>
        </is>
      </c>
      <c r="H5497" t="inlineStr">
        <is>
          <t>Type 1</t>
        </is>
      </c>
    </row>
    <row r="5498">
      <c r="A5498" t="inlineStr">
        <is>
          <t>9qgwie</t>
        </is>
      </c>
      <c r="B5498" t="inlineStr">
        <is>
          <t>Type 2 weak wrists and leg rught above feet.</t>
        </is>
      </c>
      <c r="C5498" t="inlineStr">
        <is>
          <t xml:space="preserve">So basically halfway through the day at work I usually get weak feeling(ish?) Wrists and legs. Only right above my feet. When I fast for 8 hours I'm usually at 90 so I don't think I'm low by any means at work cause I had breakfast, took my metformin pill, then ate lunch. Only carbs I get from both meals is usually an orange or apples or some berries. Is this the diabetes or something else? I'm not sure. I'm not tired or anything. Just a "weakness" in those spots. </t>
        </is>
      </c>
      <c r="D5498" t="n">
        <v>1</v>
      </c>
      <c r="E5498" t="n">
        <v>11</v>
      </c>
      <c r="F5498">
        <f>HYPERLINK("https://www.reddit.com/r/diabetes/comments/9qgwie/type_2_weak_wrists_and_leg_rught_above_feet/")</f>
        <v/>
      </c>
      <c r="G5498" t="inlineStr">
        <is>
          <t>2018-10-22 12:05:53</t>
        </is>
      </c>
      <c r="H5498" t="inlineStr">
        <is>
          <t>Type 2</t>
        </is>
      </c>
    </row>
    <row r="5499">
      <c r="A5499" t="inlineStr">
        <is>
          <t>9qqcc6</t>
        </is>
      </c>
      <c r="B5499" t="inlineStr">
        <is>
          <t>Im A Diabetic but Somehow im still here?</t>
        </is>
      </c>
      <c r="C5499" t="inlineStr">
        <is>
          <t>Yes interesting title i know
but i've been a diabetic (Type 1) since 2012 and i've always struggled to maintain my bloods weather that be Checking my blood levels or Taking insulin, I have been in icu 3 times in 2 years diagnosed witH DKA and been in critical condition 2/3 times and i hate putting my parents through it as only i can do what need's to be done but there feels like there is a slight stigma from checking bloods and always needing to take out a needle? 
If anyone has ever felt the same way about this type of thing ? how did you surpass it?</t>
        </is>
      </c>
      <c r="D5499" t="n">
        <v>1</v>
      </c>
      <c r="E5499" t="n">
        <v>17</v>
      </c>
      <c r="F5499">
        <f>HYPERLINK("https://www.reddit.com/r/diabetes/comments/9qqcc6/im_a_diabetic_but_somehow_im_still_here/")</f>
        <v/>
      </c>
      <c r="G5499" t="inlineStr">
        <is>
          <t>2018-10-23 09:01:41</t>
        </is>
      </c>
      <c r="H5499" t="inlineStr">
        <is>
          <t>Type 1</t>
        </is>
      </c>
    </row>
    <row r="5500">
      <c r="A5500" t="inlineStr">
        <is>
          <t>9qrh9e</t>
        </is>
      </c>
      <c r="B5500" t="inlineStr">
        <is>
          <t>Best way to support a parent of a child with Type 1</t>
        </is>
      </c>
      <c r="C5500" t="inlineStr">
        <is>
          <t>My nephew, Kevin, got diagnosed with Type 1 diabetes 3 months ago. He is five. My sister/his mom has been struggling to say the least. She has taken his treatment/management upon herself entirely and while her husband is involved and helps, it's not as much as my sister. They have another toddler as well so my guess is that her husband helps more out with him while my sister takes on the responsibility of Kevin along with managing the household. They have been having a lot of disagreements amongst themselves lately in regards to his lack of helping out around the household. On top of everything, her father-in-law lives with them and he is elderly/sick so they both have to take care of him. Anyways, it's just a stressful situation and I can't imagine what it has been like for her -- it's tough to see my nephew take shots and have to manage everything, but I know he is strong and I know as he gets older, he will be able to take care of himself. 
&amp;amp;#x200B;
I guess I am posting because I don't know how to help my sister. She lives 45 minutes/no traffic and 70-80 minutes/with traffic away from me so it's not like I can go there all the time. I do reach out to her as much as I can, but all she talks about is the diabetes. If I see her in person, she talks about diabetes. Sometimes, I just want to ask her how SHE is doing or just any other topic to take her mind off of it, but somehow, she ties everything into the diabetes. I know it's a huge life change for her and her family so I know it's a priority for her, but sometimes I feel that it's becoming an obsession and that she feels like it's her responsibility to find a cure. She is constantly reading about diabetes, going to all kinds of conferences, and she lives, eats, breathes conversations about diabetes. Sometimes, I just don't know what to say because she is freaking out over the highs or lows and I don't know what advice or support I can offer her at that time. Is this how most parents deal with it? I don't know as I have nothing to compare it to.
&amp;amp;#x200B;
I also feel kind of helpless so I can't imagine how she feels. I've offered to babysit 1 or both of the kids so that she can have time to herself or have some 1-on-1 time with her husband, but she declines it and says she doesn't want to. She also is very protective of Kevin right now, so she doesn't feel comfortable leaving him with anyone in the family. I've asked her to show me how to administer insulin shots and all that so that Kevin is able to stay with me for a few hours or so, but that hasn't happened yet. There have been times when she wants me to meditate issues between her and her husband so I have tried, but I also don't want to be in the middle of their marriage - that's more of a job for a therapist. I've offered to buy (and did buy) low carb snacks and help out in whatever way she wants, but my nephew didn't like the snacks I bought (of course, they are healthy!) and the only way she had explicitly wanted is for me to come hang out with the kids at her house (so I try and do that when I can). I've talked to my other siblings about this and everyone agrees that my sister is taking on so much and bringing her anxiety levels to a 10 by not taking a single second to do anything for herself. We have suggested watching the kids so she can have a spa day or take a yoga class, but my sister is too anxious to do anything and we are fearing that she may burn herself out. Some days it feels that my nephew is taking it better than her to be honest.
&amp;amp;#x200B;
She seems really down and sad these days and while I've asked her to look into a therapist, she says she doesn't have time for XYZ reasons. Not to mention that in my family, we do have a history of depression, so I am worried.
&amp;amp;#x200B;
My questions are: 
Is this behavior normal for new parents who have kids with diabetes? Does it get better?
How can I help her focus some attention on herself? 
Are there any coping mechanisms I can help her with?
Is she still in the grieving process and what ways will help her accept how things are?
Is there hope for a cure?
Any advice or help or stories would be appreciated - thank you.
&amp;amp;#x200B;</t>
        </is>
      </c>
      <c r="D5500" t="n">
        <v>1</v>
      </c>
      <c r="E5500" t="n">
        <v>5</v>
      </c>
      <c r="F5500">
        <f>HYPERLINK("https://www.reddit.com/r/diabetes/comments/9qrh9e/best_way_to_support_a_parent_of_a_child_with_type/")</f>
        <v/>
      </c>
      <c r="G5500" t="inlineStr">
        <is>
          <t>2018-10-23 11:02:43</t>
        </is>
      </c>
      <c r="H5500" t="inlineStr">
        <is>
          <t>Type 1</t>
        </is>
      </c>
    </row>
    <row r="5501">
      <c r="A5501" t="inlineStr">
        <is>
          <t>9qrpda</t>
        </is>
      </c>
      <c r="B5501" t="inlineStr">
        <is>
          <t>It never stops</t>
        </is>
      </c>
      <c r="C5501" t="inlineStr">
        <is>
          <t>The worst thing about this disease is that it never, ever gives you a break. Recently my spouse and I have been having some problems and work has been extremely stressful. All I want is to be able to focus on those issues, instead I am battling a cold and my ever changing blood sugar. It is just exhausting. 
&amp;amp;#x200B;
I feel like I can barely put one foot in front of the other right now and I could really use a break from checking blood sugar, worrying about carbs and injecting insulin. I really have no idea how I am supposed to keep this up the next 40 odd years.
&amp;amp;#x200B;
Anyway just wanted to vent somewhere that people might understand.</t>
        </is>
      </c>
      <c r="D5501" t="n">
        <v>1</v>
      </c>
      <c r="E5501" t="n">
        <v>3</v>
      </c>
      <c r="F5501">
        <f>HYPERLINK("https://www.reddit.com/r/diabetes/comments/9qrpda/it_never_stops/")</f>
        <v/>
      </c>
      <c r="G5501" t="inlineStr">
        <is>
          <t>2018-10-23 11:27:26</t>
        </is>
      </c>
      <c r="H5501" t="inlineStr">
        <is>
          <t>Type 1</t>
        </is>
      </c>
    </row>
    <row r="5502">
      <c r="A5502" t="inlineStr">
        <is>
          <t>9qshcs</t>
        </is>
      </c>
      <c r="B5502" t="inlineStr">
        <is>
          <t>Waiting on Antibodies Test Results / CPeptide Was Normal</t>
        </is>
      </c>
      <c r="C5502" t="inlineStr">
        <is>
          <t>I'm still waiting on my antibodies test results, it's been over a week.  Does anyone know how long that usually takes?
&amp;amp;#x200B;
My C-peptide result was 2.7.
&amp;amp;#x200B;
I've cut my intake down to 1800 calories per day (instead of 2200) so I can shed the 10-12 pounds I've gained since they put me on insulin, but I'm just barely over on the BMI.
&amp;amp;#x200B;
What are the chances at this point that I'm Type 1.5?</t>
        </is>
      </c>
      <c r="D5502" t="n">
        <v>1</v>
      </c>
      <c r="E5502" t="n">
        <v>11</v>
      </c>
      <c r="F5502">
        <f>HYPERLINK("https://www.reddit.com/r/diabetes/comments/9qshcs/waiting_on_antibodies_test_results_cpeptide_was/")</f>
        <v/>
      </c>
      <c r="G5502" t="inlineStr">
        <is>
          <t>2018-10-23 12:54:54</t>
        </is>
      </c>
      <c r="H5502" t="inlineStr">
        <is>
          <t>Type 1.5/LADA</t>
        </is>
      </c>
    </row>
    <row r="5503">
      <c r="A5503" t="inlineStr">
        <is>
          <t>9qutqe</t>
        </is>
      </c>
      <c r="B5503" t="inlineStr">
        <is>
          <t>Type 1 and Gastroparesis?</t>
        </is>
      </c>
      <c r="C5503" t="inlineStr">
        <is>
          <t xml:space="preserve">Just had my 3 month check in today with my Endocrinologist, this will be a first full month with having a Dexcom G6 and I’ve only been diagnosed for just under 11 months. 
 We were going over patterns that I’ve been having with lows after dinner and night time highs following after only having a packet of fruit snacks to treat the low. My doctor is sending off a request for me to be tested for Gastroparesis soon to see if this is contributing to the delayed reaction I have to eating dinner and the indigestion and acid reflux I get from higher fat meals. 
Anybody else here that has been diagnosed or tested for this? It just feel a little defeated after finding out my A1C is still 7.2 and that’s exactly what it was 3 months ago. </t>
        </is>
      </c>
      <c r="D5503" t="n">
        <v>1</v>
      </c>
      <c r="E5503" t="n">
        <v>8</v>
      </c>
      <c r="F5503">
        <f>HYPERLINK("https://www.reddit.com/r/diabetes/comments/9qutqe/type_1_and_gastroparesis/")</f>
        <v/>
      </c>
      <c r="G5503" t="inlineStr">
        <is>
          <t>2018-10-23 17:31:43</t>
        </is>
      </c>
      <c r="H5503" t="inlineStr">
        <is>
          <t>Type 1</t>
        </is>
      </c>
    </row>
    <row r="5504">
      <c r="A5504" t="inlineStr">
        <is>
          <t>9qwv3c</t>
        </is>
      </c>
      <c r="B5504" t="inlineStr">
        <is>
          <t>Best hypo remedies?</t>
        </is>
      </c>
      <c r="C5504" t="inlineStr">
        <is>
          <t>I've had type 1 diabetes for around 20 years. My favorite remedy for low BG, is: EAT EVERY !@#$ING SWEET THING IN THE FRIDGE.  Then I get HUGE spike and panic then correct with the pump - and this repeats for too long.
I was wondering what would be the best way to come out of hypo without over boosting it</t>
        </is>
      </c>
      <c r="D5504" t="n">
        <v>1</v>
      </c>
      <c r="E5504" t="n">
        <v>9</v>
      </c>
      <c r="F5504">
        <f>HYPERLINK("https://www.reddit.com/r/diabetes/comments/9qwv3c/best_hypo_remedies/")</f>
        <v/>
      </c>
      <c r="G5504" t="inlineStr">
        <is>
          <t>2018-10-23 22:15:57</t>
        </is>
      </c>
      <c r="H5504" t="inlineStr">
        <is>
          <t>Type 1</t>
        </is>
      </c>
    </row>
    <row r="5505">
      <c r="A5505" t="inlineStr">
        <is>
          <t>9qyl2b</t>
        </is>
      </c>
      <c r="B5505" t="inlineStr">
        <is>
          <t>Could the common cold have killed off my honeymoon?</t>
        </is>
      </c>
      <c r="C5505" t="inlineStr">
        <is>
          <t>Dx'd in February, still fairly low insulin requirements (\~35 units total per day). Towards the end of last week I developed the common cold, and my insulin requirements shot up (as I expected), but have not come down even though my cold symptoms are pretty much gone by now (still a little lingering nasal congestion). For example, I had been taking 16 units of Lantus every night, and was consistently waking up in the high 80's or 90's. For the past week, I've been taking 20-22 units every night and waking up in the 110's-120's. My bolus dosing has seen a more dramatic increase, with my I:C ratio going from 1:12 to 1:6. In addition to having to in most cases double my boluses, I've also had a lot of "creeping highs", where I'll see on my Dexcom my numbers steadily increasing by 1 or 2mg/dL every 5 minutes after eating, for what seems like forever. 
&amp;amp;#x200B;
Does this sound like my insulin resistance is still high from the cold, or is it likely that the cold virus killed whatever was left of my pancreas? I know the numbers I listed aren't *horrible*, but it definitely feels like things have gotten a lot harder to control very suddenly.</t>
        </is>
      </c>
      <c r="D5505" t="n">
        <v>1</v>
      </c>
      <c r="E5505" t="n">
        <v>2</v>
      </c>
      <c r="F5505">
        <f>HYPERLINK("https://www.reddit.com/r/diabetes/comments/9qyl2b/could_the_common_cold_have_killed_off_my_honeymoon/")</f>
        <v/>
      </c>
      <c r="G5505" t="inlineStr">
        <is>
          <t>2018-10-24 03:57:16</t>
        </is>
      </c>
      <c r="H5505" t="inlineStr">
        <is>
          <t>Type 1</t>
        </is>
      </c>
    </row>
    <row r="5506">
      <c r="A5506" t="inlineStr">
        <is>
          <t>9qz711</t>
        </is>
      </c>
      <c r="B5506" t="inlineStr">
        <is>
          <t>Diet advice</t>
        </is>
      </c>
      <c r="C5506" t="inlineStr">
        <is>
          <t>I have been a type II diabetic for 11 years.  Used to control it with diet alone.  I'm now on 1000mg of metformin twice a day.  Fasting blood sugar is 200 these days.  Thinking of trying a different diet. Keto or vegan?  Any suggestions?</t>
        </is>
      </c>
      <c r="D5506" t="n">
        <v>1</v>
      </c>
      <c r="E5506" t="n">
        <v>12</v>
      </c>
      <c r="F5506">
        <f>HYPERLINK("https://www.reddit.com/r/diabetes/comments/9qz711/diet_advice/")</f>
        <v/>
      </c>
      <c r="G5506" t="inlineStr">
        <is>
          <t>2018-10-24 05:29:08</t>
        </is>
      </c>
      <c r="H5506" t="inlineStr">
        <is>
          <t>Type 2</t>
        </is>
      </c>
    </row>
    <row r="5507">
      <c r="A5507" t="inlineStr">
        <is>
          <t>9r31pq</t>
        </is>
      </c>
      <c r="B5507" t="inlineStr">
        <is>
          <t>Omnipod Recycling?</t>
        </is>
      </c>
      <c r="C5507" t="inlineStr">
        <is>
          <t>Thanks in advance for help here:
&amp;amp;#x200B;
I just got off of the phone with Insulet to get a replacement PDM (RIP current PDM) and asked the representative helping me if I could get a few pod recycling bags sent out as well. She let me know that the pod recycling program has been discontinued at Insulet due to low engagement so they're no longer distributing recycling bags (they will still recycle any full bags that people have left over). Super bummed that this is the case but wondering what everyone else is doing to recycle their pods now that Insulet has ended the recycling program? Do you take them apart and sort the recyclable bits on your own? If yes, do you have a tutorial you can share? 
&amp;amp;#x200B;</t>
        </is>
      </c>
      <c r="D5507" t="n">
        <v>1</v>
      </c>
      <c r="E5507" t="n">
        <v>0</v>
      </c>
      <c r="F5507">
        <f>HYPERLINK("https://www.reddit.com/r/diabetes/comments/9r31pq/omnipod_recycling/")</f>
        <v/>
      </c>
      <c r="G5507" t="inlineStr">
        <is>
          <t>2018-10-24 12:50:30</t>
        </is>
      </c>
      <c r="H5507" t="inlineStr">
        <is>
          <t>Type 1</t>
        </is>
      </c>
    </row>
    <row r="5508">
      <c r="A5508" t="inlineStr">
        <is>
          <t>9r3vop</t>
        </is>
      </c>
      <c r="B5508" t="inlineStr">
        <is>
          <t>T2D - Reached normal A1C after 7 yrs and came off of a med!</t>
        </is>
      </c>
      <c r="C5508" t="inlineStr">
        <is>
          <t xml:space="preserve">For the past 5 months I have been working really hard on my diet and fitness level where i've pretty much got it in lock down. I've integrated healthy eating and going into the gym in a very sustainable way where it's a part of me now. It is kind of surreal to think now there were days on end I would wake up with a fasting BSG level above 10 mmol/L and I was still on 20 units of insulin. However, I really credit the mental change I had within myself to finally realize this is some serious shit. 
Current A1C is 5.3% now. Current weight is 254 lbs. Current insulin intake is 20 units.   
Current fasting avg BSG: 5.5 mmol/L. Current post meal avg: 6.5 mmol
Highest BSG level: 24 mmol/L  
Highest A1C: 10.6%  
Highest weight: 320 lbs (fitness journey started at 285)  
Highest amount of insulin (slow acting): 60 units
I came off of Victoza/Liraglutide (today).  I was surprised my doctor told me I can stop with the Victoza now. It's a medication that was really a sore point in this whole journey. It was my MOST expensive but it was the most helpful and felt kinda dependent on it's appetite suppressing properties.I feel a sense of indifference though I feel like I should be really really really happy and proud but I don't. 
I've had many cathartic moments in this journey of improving my physical and mental health. I had expected when this moment would come it would be a really big deal for me. Maybe it's because I know I still have work to do? But that's okay, I'm glad I'm still hungry for reaching a new level. Also, I'm grateful and fortunate to be in a position where I can support this expensive journey of health and wellness because I know for many it's really hard or not feasible for them.
While I am genetic predisposed by both of my parents, I realized it was my own damn fault that I let manifest get really bad with years of neglect towards my health
HOWEVER, I will say this lame and cliche saying: If I can do it, so can you!   
</t>
        </is>
      </c>
      <c r="D5508" t="n">
        <v>1</v>
      </c>
      <c r="E5508" t="n">
        <v>5</v>
      </c>
      <c r="F5508">
        <f>HYPERLINK("https://www.reddit.com/r/diabetes/comments/9r3vop/t2d_reached_normal_a1c_after_7_yrs_and_came_off/")</f>
        <v/>
      </c>
      <c r="G5508" t="inlineStr">
        <is>
          <t>2018-10-24 14:24:37</t>
        </is>
      </c>
      <c r="H5508" t="inlineStr">
        <is>
          <t>Type 2</t>
        </is>
      </c>
    </row>
    <row r="5509">
      <c r="A5509" t="inlineStr">
        <is>
          <t>9r59vp</t>
        </is>
      </c>
      <c r="B5509" t="inlineStr">
        <is>
          <t>Confirmed MODY 3 here, looking for others of my kind!</t>
        </is>
      </c>
      <c r="C5509" t="inlineStr">
        <is>
          <t xml:space="preserve">Hi!
Recently diagnosed MODY 3 and was looking to touch base with fellow MODY 3's to see what type of glucose control they are able to maintain, medication they use, how they incorporate alcohol, diet etc! I have some theories and questions that I can't seem to find online anywhere that I want to bounce around. :) </t>
        </is>
      </c>
      <c r="D5509" t="n">
        <v>1</v>
      </c>
      <c r="E5509" t="n">
        <v>10</v>
      </c>
      <c r="F5509">
        <f>HYPERLINK("https://www.reddit.com/r/diabetes/comments/9r59vp/confirmed_mody_3_here_looking_for_others_of_my/")</f>
        <v/>
      </c>
      <c r="G5509" t="inlineStr">
        <is>
          <t>2018-10-24 17:17:53</t>
        </is>
      </c>
      <c r="H5509" t="inlineStr">
        <is>
          <t>Type 1.5/LADA</t>
        </is>
      </c>
    </row>
    <row r="5510">
      <c r="A5510" t="inlineStr">
        <is>
          <t>9r5brv</t>
        </is>
      </c>
      <c r="B5510" t="inlineStr">
        <is>
          <t>High School Student Survey</t>
        </is>
      </c>
      <c r="C5510" t="inlineStr">
        <is>
          <t>Hi everyone. My name is Javier Hernandez and I am conducting a survey study for the Science Research program at the high school I attend. Please consider taking the survey. That would be greatly appreciated!
Please make sure to share with family and friends. All of the information is on the survey page. Please click on the link to get directed to the survey.
[https://goo.gl/forms/BEmuOVdHcPZwEXQO2](https://goo.gl/forms/BEmuOVdHcPZwEXQO2)</t>
        </is>
      </c>
      <c r="D5510" t="n">
        <v>1</v>
      </c>
      <c r="E5510" t="n">
        <v>1</v>
      </c>
      <c r="F5510">
        <f>HYPERLINK("https://www.reddit.com/r/diabetes/comments/9r5brv/high_school_student_survey/")</f>
        <v/>
      </c>
      <c r="G5510" t="inlineStr">
        <is>
          <t>2018-10-24 17:25:00</t>
        </is>
      </c>
      <c r="H5510" t="inlineStr">
        <is>
          <t>Type 2</t>
        </is>
      </c>
    </row>
    <row r="5511">
      <c r="A5511" t="inlineStr">
        <is>
          <t>9r5eys</t>
        </is>
      </c>
      <c r="B5511" t="inlineStr">
        <is>
          <t>High School Student Survey</t>
        </is>
      </c>
      <c r="C5511" t="inlineStr">
        <is>
          <t>Hi everyone. My name is Javier Hernandez and I am conducting a survey study for the Science Research program at the high school I attend. Please consider taking the survey. That would be greatly appreciated!
Please make sure to share with family and friends. All of the information is on the survey page. Please click on the link to get directed to the survey.
[https://docs.google.com/forms/d/e/1FAIpQLSdcJmCcm0QTXFhMdv-8yo5jJT9LHV-o8hSBiPnrhKihAb5vJA/viewform?usp=sf\_link](https://docs.google.com/forms/d/e/1FAIpQLSdcJmCcm0QTXFhMdv-8yo5jJT9LHV-o8hSBiPnrhKihAb5vJA/viewform?usp=sf_link)</t>
        </is>
      </c>
      <c r="D5511" t="n">
        <v>1</v>
      </c>
      <c r="E5511" t="n">
        <v>1</v>
      </c>
      <c r="F5511">
        <f>HYPERLINK("https://www.reddit.com/r/diabetes/comments/9r5eys/high_school_student_survey/")</f>
        <v/>
      </c>
      <c r="G5511" t="inlineStr">
        <is>
          <t>2018-10-24 17:36:47</t>
        </is>
      </c>
      <c r="H5511" t="inlineStr">
        <is>
          <t>Type 2</t>
        </is>
      </c>
    </row>
    <row r="5512">
      <c r="A5512" t="inlineStr">
        <is>
          <t>9r61io</t>
        </is>
      </c>
      <c r="B5512" t="inlineStr">
        <is>
          <t>Diet and Exercise Type 2</t>
        </is>
      </c>
      <c r="C5512" t="inlineStr">
        <is>
          <t xml:space="preserve">&amp;amp;#x200B;
Brief history of me:
I know medication is not the enemy and can be essential to maintaining good blood glucose levels. I was on it for a while and it was super helpful! The purpose of this post is not to argue that point. 
 I am 22 and was diagnosed with diabetes, Type 2, last December with an A1C of 8.6. Since then I've had A1c's of 5.3, 5.6, and 6.0. 5.3 and 5.6 were on 1000mg of Metform XR a day. 6.0 was the first A1c since getting off the medication. I've done both the Keto and the Low Fat Whole Food Plant Based (the vegan one but done the way its supposed to be for T2, its very easy to elevate your blood sugar by incorrectly following this diet) diet and both had great effects on my numbers, but in different ways. WFPB dropped my fastings WAY down (like 80 every morning) versus Keto which had me more at 100-105 in the mornings. but LFWFPB seemed to roller coaster my numbers a little more than Keto did but thats just my experience! I honestly think individuals should do whichever one works better for them. I do more of a Mediterranean Diet now and absolutely love it and maintain very good numbers so long as I make sure I'm watching my carbs. More just stating this to say "Hey! I've tried both and have found the middle-ground that works for me and I'm not looking to get into a huge debate for diets." 
&amp;amp;#x200B;
Before diagnosis I had a very poor lifestyle in terms of diet and exercise, and weighed about 290 lbs. I'm pretty sure I have family history of the disease, however no one in my immediate family. (several cousins who are pre-diabetic for sure and I think i just beat them to the punch in getting type 2). Since then, I have made major changes in my life and am in the best shape i've been in years! 235lbs (almost down 60 lbs!!) yesterday at the doctor and cholesterol came back with great HDL and triglycerides numbers and my LDL just barely being over normal, which I was happy with as it was pretty elevated when I was diagnosed and I have been able to bring it way down just through diet and exercise. Starting to think maybe I'll see those elusive abs after all these years! 
&amp;amp;#x200B;
My doctor took me off of medication about 3 months ago because my numbers had been excellent. A1c since then was 6.0 (below the recommended ranges for type 2, but hey I like to be under 5.7 if I can do it). It's definitely been harder because there is much less wiggle room for error. However, my fitness is better than it has been in years and I'm confident I can bring that A1c down even lower while still maintaining a diet I love. I have no major qualms about taking medication, but hey if I can avoid taking it because I truly don't need it yet, fine by me! I am also very active now, it's really been a joy to see how I can push my body in terms of endurance because now I'm doing things I never though would be possible (I ran five miles today! I've struggled my whole life to even run 1).
&amp;amp;#x200B;
Any Type 2 diabetics out there managing through diet and exercise? If so, how long were you able/ have you been able to maintain that lifestyle without taking meds? 
&amp;amp;#x200B;
Slightly unrelated, how long have you guys been Type 2 and at what age were you diagnosed? I've got serious health goals now which definitely has given me some optimism for the future and I would love to hear from people who have had the condition for awhile. Lookin forward to the next 60 years (hopefully!) and would love some tips from the vets out there! </t>
        </is>
      </c>
      <c r="D5512" t="n">
        <v>1</v>
      </c>
      <c r="E5512" t="n">
        <v>5</v>
      </c>
      <c r="F5512">
        <f>HYPERLINK("https://www.reddit.com/r/diabetes/comments/9r61io/diet_and_exercise_type_2/")</f>
        <v/>
      </c>
      <c r="G5512" t="inlineStr">
        <is>
          <t>2018-10-24 18:59:45</t>
        </is>
      </c>
      <c r="H5512" t="inlineStr">
        <is>
          <t>Type 2</t>
        </is>
      </c>
    </row>
    <row r="5513">
      <c r="A5513" t="inlineStr">
        <is>
          <t>9rbe0j</t>
        </is>
      </c>
      <c r="B5513" t="inlineStr">
        <is>
          <t>Can illness boost the honeymoon phase somehow?</t>
        </is>
      </c>
      <c r="C5513" t="inlineStr">
        <is>
          <t>I caught a cold on Sunday. Up until Tuesday morning, I had slightly elevated BG values.
But then, on Tuesday at about noon, my BG suddenly dropped after I bolused for 20g of carbs. I had to correct with about 10g of carbs because I was approaching 64 mg/dL. My initial thought was that perhaps I'm a little more sensitive today.
Later, I was at 72 mg/dL, stable though. So I decided to eat a few grams to lift it a little. But, much to my surprise, the BG rapidly dropped after being elevated at ~98 mg/dL. The rapid decline then abruptly stopped at about 75 mg/dL. So, I drank a cup of coffee with milk, which contains about 6 grams of carbs. BG was slightly elevated, then suddenly dropped sharply again, and again the drop stopped at 75 mg/dL. I repeated this with a second cup, same outcome.
I cannot explain this other than perhaps the insulin response is suddenly working again. I've read that stuff like this can happen in the honeymoon phase. Unfortunately, this isn't exactly good news, since it is unreliable, in that it may be gone again at any moment, so I still have to bolus - but that same bolus may net me a hypo.
How do you handle this? And can a mild illness like a cold sort of "kickstart" or "boost" the honeymoon period? I am wondering if perhaps the immune system is currently "distracted" by the virus and cannot resume its attacks on the beta cells. Any thoughts?</t>
        </is>
      </c>
      <c r="D5513" t="n">
        <v>1</v>
      </c>
      <c r="E5513" t="n">
        <v>2</v>
      </c>
      <c r="F5513">
        <f>HYPERLINK("https://www.reddit.com/r/diabetes/comments/9rbe0j/can_illness_boost_the_honeymoon_phase_somehow/")</f>
        <v/>
      </c>
      <c r="G5513" t="inlineStr">
        <is>
          <t>2018-10-25 08:36:48</t>
        </is>
      </c>
      <c r="H5513" t="inlineStr">
        <is>
          <t>Type 1</t>
        </is>
      </c>
    </row>
    <row r="5514">
      <c r="A5514" t="inlineStr">
        <is>
          <t>9rbrvr</t>
        </is>
      </c>
      <c r="B5514" t="inlineStr">
        <is>
          <t>25 Years</t>
        </is>
      </c>
      <c r="C5514" t="inlineStr">
        <is>
          <t xml:space="preserve">I will hit 25 years in a couple months. I don't remember my dx date, just know it was a few weeks before Christmas break because the children's hospital was giving a way a lot of donated gifts. I was in 8th grade and almost 14. Anyway, I feel like I should do something about it. Celebrate somehow. Still hate it, but I am still here and life is good. Any ideas? </t>
        </is>
      </c>
      <c r="D5514" t="n">
        <v>1</v>
      </c>
      <c r="E5514" t="n">
        <v>9</v>
      </c>
      <c r="F5514">
        <f>HYPERLINK("https://www.reddit.com/r/diabetes/comments/9rbrvr/25_years/")</f>
        <v/>
      </c>
      <c r="G5514" t="inlineStr">
        <is>
          <t>2018-10-25 09:19:50</t>
        </is>
      </c>
      <c r="H5514" t="inlineStr">
        <is>
          <t>Type 1</t>
        </is>
      </c>
    </row>
    <row r="5515">
      <c r="A5515" t="inlineStr">
        <is>
          <t>9rbsgc</t>
        </is>
      </c>
      <c r="B5515" t="inlineStr">
        <is>
          <t>First Year College Student Seeking Advice for Type 1</t>
        </is>
      </c>
      <c r="C5515" t="inlineStr">
        <is>
          <t xml:space="preserve">Hi all, I'm an 18 year old first time college student, and I've had T1 for 6 years now. I wear a Medtronic 670G paired with a Guardian sensor, and in my time with diabetes, my sugar levels have been pretty well controlled. After moving away from home for college however, I've found that I run into problems much more frequently. Whether it's back to back lows, or seemingly un-correctable highs, I run into some fairly drastic situations at least a few times per week. After a particularly dreadful day yesterday, wherein my levels ranged from 301 when I woke up to 47 in the middle of the night and everywhere in between throughout the day, I've decided to seek out advice from those who have been living with diabetes much longer than I have. I don't like to admit this, but even though I've always handled my diabetes largely on my own since I was around 13/14, moving out and being on my own has made it vastly more difficult at times, and I often wonder if there are certain changes I need to make or things I'm doing wrong that contribute to this. My A1C has remained low (below 6% for the past year), but the day to day of managing by diabetes seems to have gotten worse. Any advice for someone living newly on their own with T1 would be greatly appreciated  </t>
        </is>
      </c>
      <c r="D5515" t="n">
        <v>1</v>
      </c>
      <c r="E5515" t="n">
        <v>21</v>
      </c>
      <c r="F5515">
        <f>HYPERLINK("https://www.reddit.com/r/diabetes/comments/9rbsgc/first_year_college_student_seeking_advice_for/")</f>
        <v/>
      </c>
      <c r="G5515" t="inlineStr">
        <is>
          <t>2018-10-25 09:21:43</t>
        </is>
      </c>
      <c r="H5515" t="inlineStr">
        <is>
          <t>Type 1</t>
        </is>
      </c>
    </row>
    <row r="5516">
      <c r="A5516" t="inlineStr">
        <is>
          <t>9rbxw8</t>
        </is>
      </c>
      <c r="B5516" t="inlineStr">
        <is>
          <t>My doctor is very liberal and says 140-150 is ok for a 25 year old with diabetes, and my A1C is ok... but....</t>
        </is>
      </c>
      <c r="C5516" t="inlineStr">
        <is>
          <t xml:space="preserve">But I think my eyesight is deterring. And I don't know what to do. Can A1C be erroneous? </t>
        </is>
      </c>
      <c r="D5516" t="n">
        <v>1</v>
      </c>
      <c r="E5516" t="n">
        <v>38</v>
      </c>
      <c r="F5516">
        <f>HYPERLINK("https://www.reddit.com/r/diabetes/comments/9rbxw8/my_doctor_is_very_liberal_and_says_140150_is_ok/")</f>
        <v/>
      </c>
      <c r="G5516" t="inlineStr">
        <is>
          <t>2018-10-25 09:38:32</t>
        </is>
      </c>
      <c r="H5516" t="inlineStr">
        <is>
          <t>Type 1</t>
        </is>
      </c>
    </row>
    <row r="5517">
      <c r="A5517" t="inlineStr">
        <is>
          <t>9relmd</t>
        </is>
      </c>
      <c r="B5517" t="inlineStr">
        <is>
          <t>High School Student Survey</t>
        </is>
      </c>
      <c r="C5517" t="inlineStr">
        <is>
          <t>Hi everyone. My name is Javier Hernandez and I am conducting a survey study for the Science Research program at the high school I attend. Please consider taking the survey. That would be greatly appreciated!
Please make sure to share with family and friends. All of the information is on the survey page. Please click on the link to get directed to the survey.
[https://docs.google.com/forms/d/e/1FAIpQLSdcJmCcm0QTXFhMdv-8yo5jJT9LHV-o8hSBiPnrhKihAb5vJA/viewform?usp=sf\_link](https://docs.google.com/forms/d/e/1FAIpQLSdcJmCcm0QTXFhMdv-8yo5jJT9LHV-o8hSBiPnrhKihAb5vJA/viewform?usp=sf_link)
Please note: The survey has been approved by the IRB. Contact information is available on the survey page.</t>
        </is>
      </c>
      <c r="D5517" t="n">
        <v>1</v>
      </c>
      <c r="E5517" t="n">
        <v>1</v>
      </c>
      <c r="F5517">
        <f>HYPERLINK("https://www.reddit.com/r/diabetes/comments/9relmd/high_school_student_survey/")</f>
        <v/>
      </c>
      <c r="G5517" t="inlineStr">
        <is>
          <t>2018-10-25 14:38:16</t>
        </is>
      </c>
      <c r="H5517" t="inlineStr">
        <is>
          <t>Type 2</t>
        </is>
      </c>
    </row>
    <row r="5518">
      <c r="A5518" t="inlineStr">
        <is>
          <t>9rew6b</t>
        </is>
      </c>
      <c r="B5518" t="inlineStr">
        <is>
          <t>Stress</t>
        </is>
      </c>
      <c r="C5518" t="inlineStr">
        <is>
          <t xml:space="preserve">How do you deal with stress?  Anyone familiar with all Anon? </t>
        </is>
      </c>
      <c r="D5518" t="n">
        <v>1</v>
      </c>
      <c r="E5518" t="n">
        <v>3</v>
      </c>
      <c r="F5518">
        <f>HYPERLINK("https://www.reddit.com/r/diabetes/comments/9rew6b/stress/")</f>
        <v/>
      </c>
      <c r="G5518" t="inlineStr">
        <is>
          <t>2018-10-25 15:12:33</t>
        </is>
      </c>
      <c r="H5518" t="inlineStr">
        <is>
          <t>Type 2</t>
        </is>
      </c>
    </row>
    <row r="5519">
      <c r="A5519" t="inlineStr">
        <is>
          <t>9rfuf2</t>
        </is>
      </c>
      <c r="B5519" t="inlineStr">
        <is>
          <t>Insulin and Airplane travel</t>
        </is>
      </c>
      <c r="C5519" t="inlineStr">
        <is>
          <t xml:space="preserve">I'm going to be traveling by plane for the first time since I was diagnosed. I'm only going to be out of town for 5 nights, so was going to bring my short term and long term pens and a backup of each just in case. Once a pen reaches room temp it's pretty much only good for another month or so right? Don't want to waste the backup pens if I don't have to. What's the best way to keep them cold on the plane before I get to my airbnb and stick them in the fridge?
Also, any other good travel/plane tips for diabetes? Already made sure I have copies of prescriptions. Wearing a dexcom and plan to ask for a pat down. </t>
        </is>
      </c>
      <c r="D5519" t="n">
        <v>1</v>
      </c>
      <c r="E5519" t="n">
        <v>9</v>
      </c>
      <c r="F5519">
        <f>HYPERLINK("https://www.reddit.com/r/diabetes/comments/9rfuf2/insulin_and_airplane_travel/")</f>
        <v/>
      </c>
      <c r="G5519" t="inlineStr">
        <is>
          <t>2018-10-25 17:18:05</t>
        </is>
      </c>
      <c r="H5519" t="inlineStr">
        <is>
          <t>Type 1</t>
        </is>
      </c>
    </row>
    <row r="5520">
      <c r="A5520" t="inlineStr">
        <is>
          <t>9rhsju</t>
        </is>
      </c>
      <c r="B5520" t="inlineStr">
        <is>
          <t>Birth control and blood sugars (possible NSFW?)</t>
        </is>
      </c>
      <c r="C5520" t="inlineStr">
        <is>
          <t>Question for those of you on birth control.
I'm currently on the pill. The pill hasn't really done anything to affect my blood sugars, which is FANTASTIC, but I'm thinking about switching to the little nexplanon arm bar implant. Do any of you have it, and if you do, does the hormonal implant affect blood sugars any? Even with alarms I have a hard time remembering my pill due to varying work schedules and as a result sleep schedules, and so I'm considering other options because it's starting to give me anxiety constantly worrying about if my timing is messing up the efficacy. 
Thanks in advance.</t>
        </is>
      </c>
      <c r="D5520" t="n">
        <v>1</v>
      </c>
      <c r="E5520" t="n">
        <v>2</v>
      </c>
      <c r="F5520">
        <f>HYPERLINK("https://www.reddit.com/r/diabetes/comments/9rhsju/birth_control_and_blood_sugars_possible_nsfw/")</f>
        <v/>
      </c>
      <c r="G5520" t="inlineStr">
        <is>
          <t>2018-10-25 21:59:07</t>
        </is>
      </c>
      <c r="H5520" t="inlineStr">
        <is>
          <t>Type 1</t>
        </is>
      </c>
    </row>
    <row r="5521">
      <c r="A5521" t="inlineStr">
        <is>
          <t>9rj6qq</t>
        </is>
      </c>
      <c r="B5521" t="inlineStr">
        <is>
          <t>Diabetes frustration.....HELP!</t>
        </is>
      </c>
      <c r="C5521" t="inlineStr">
        <is>
          <t>I am so sick of this bullshit. I was perfectly healthy until I was 21. I did a lot of sports, exercised a lot, ate healthy and generally kept in pretty good shape. And then BAM!! Type 1 diabetes. Nobody in my family has it, and nothing I did caused it to my knowledge. I just won the shittiest lottery in the world. It was fairly easy to control the first few years, but now it's about as easy as trying to baptize a cat.  So here I am 8 years later trying to wrestle this demon. It's incredibly frustrating. Some months will go by and my sugars will be great with little to no effort. And then some months I can take enough insulin and metaformin to put down a woolly mammoth and it barely makes any difference. It goes through these weird cycles like this and I don't know what is causing it. I admit my diet isn't perfect, but I don't eat processed or fast foods much at all, I cook for myself often, and I try to walk a mile or 2 everyday. Although I'll admit I am quite the beer enthusiast. It's really frustrating when I go onto support group forums and see people bitching about their sugar being "so high at 150'. Bitch, I'm lucky to have my sugars hang out around there. I hate going to the doctor because I feel like they just judge me for not being a "perfect diabetic". It's humiliating.  I just don't know what to do.  I'm a school teacher, so it's not like I can spend every second of every day trying to micromanage a function my body should be able to do by itself. I just want to live my life and not have to worry about this shit.  Can anybody help me???...please!!!</t>
        </is>
      </c>
      <c r="D5521" t="n">
        <v>1</v>
      </c>
      <c r="E5521" t="n">
        <v>23</v>
      </c>
      <c r="F5521">
        <f>HYPERLINK("https://www.reddit.com/r/diabetes/comments/9rj6qq/diabetes_frustrationhelp/")</f>
        <v/>
      </c>
      <c r="G5521" t="inlineStr">
        <is>
          <t>2018-10-26 02:21:42</t>
        </is>
      </c>
      <c r="H5521" t="inlineStr">
        <is>
          <t>Type 1</t>
        </is>
      </c>
    </row>
    <row r="5522">
      <c r="A5522" t="inlineStr">
        <is>
          <t>9rmy1b</t>
        </is>
      </c>
      <c r="B5522" t="inlineStr">
        <is>
          <t>Suppose you have a group of 5000 obese children between 14-18 years old. Statistically, how many of those children would have type 2 diabetes?</t>
        </is>
      </c>
      <c r="C5522" t="inlineStr">
        <is>
          <t>Doing this for class research.</t>
        </is>
      </c>
      <c r="D5522" t="n">
        <v>1</v>
      </c>
      <c r="E5522" t="n">
        <v>13</v>
      </c>
      <c r="F5522">
        <f>HYPERLINK("https://www.reddit.com/r/diabetes/comments/9rmy1b/suppose_you_have_a_group_of_5000_obese_children/")</f>
        <v/>
      </c>
      <c r="G5522" t="inlineStr">
        <is>
          <t>2018-10-26 10:45:54</t>
        </is>
      </c>
      <c r="H5522" t="inlineStr">
        <is>
          <t>Type 2</t>
        </is>
      </c>
    </row>
    <row r="5523">
      <c r="A5523" t="inlineStr">
        <is>
          <t>9rvx6v</t>
        </is>
      </c>
      <c r="B5523" t="inlineStr">
        <is>
          <t>I need help using Rock tape - please.</t>
        </is>
      </c>
      <c r="C5523" t="inlineStr">
        <is>
          <t>I recently ordered a roll of rock tape to use for securing my Dexcom G5 sensors.  I also ordered the EK tag punch and to be honest, I am embarrassed to admit I cannot make the tag punch operate correctly.  The tag punch did not want to cut the rock tape, so I tried it on a sheet of computer paper.  It didn't even want to cut that paper clean and neat.  I don't want to waste the rock tape, so I am wondering if I misunderstood the post where I read that someone had used it successfully.  Thank you for your time in reading my post.</t>
        </is>
      </c>
      <c r="D5523" t="n">
        <v>1</v>
      </c>
      <c r="E5523" t="n">
        <v>0</v>
      </c>
      <c r="F5523">
        <f>HYPERLINK("https://www.reddit.com/r/diabetes/comments/9rvx6v/i_need_help_using_rock_tape_please/")</f>
        <v/>
      </c>
      <c r="G5523" t="inlineStr">
        <is>
          <t>2018-10-27 10:13:26</t>
        </is>
      </c>
      <c r="H5523" t="inlineStr">
        <is>
          <t>Type 1</t>
        </is>
      </c>
    </row>
    <row r="5524">
      <c r="A5524" t="inlineStr">
        <is>
          <t>9rw04d</t>
        </is>
      </c>
      <c r="B5524" t="inlineStr">
        <is>
          <t>Ketosis &amp;amp; Ketoacidosis and Ketones in Urine</t>
        </is>
      </c>
      <c r="C5524" t="inlineStr">
        <is>
          <t>Some vidoes I've seen suggested  to check urine for ketones to see if you're in Ketosis.
Now, my experience with ketones is that they are a sign of ketoacidosis.
I'm confused now. Does ketones in urine means I'm in ketosis or ketoacidosis? 
How can I tell if perhaps my pump isn't working and I'm not getting any insulin?</t>
        </is>
      </c>
      <c r="D5524" t="n">
        <v>1</v>
      </c>
      <c r="E5524" t="n">
        <v>7</v>
      </c>
      <c r="F5524">
        <f>HYPERLINK("https://www.reddit.com/r/diabetes/comments/9rw04d/ketosis_ketoacidosis_and_ketones_in_urine/")</f>
        <v/>
      </c>
      <c r="G5524" t="inlineStr">
        <is>
          <t>2018-10-27 10:22:50</t>
        </is>
      </c>
      <c r="H5524" t="inlineStr">
        <is>
          <t>Type 1</t>
        </is>
      </c>
    </row>
    <row r="5525">
      <c r="A5525" t="inlineStr">
        <is>
          <t>9rzgw2</t>
        </is>
      </c>
      <c r="B5525" t="inlineStr">
        <is>
          <t>Does punking affect glucose?</t>
        </is>
      </c>
      <c r="C5525" t="inlineStr">
        <is>
          <t>It might be a weird question, but its midnight and I just dumped my entire stomache content into the toilet. Will my glucose drop fast because of that? I feel like anything that I eat right now will come out the same way as it went in within a few minutes. Thanks in advance.</t>
        </is>
      </c>
      <c r="D5525" t="n">
        <v>1</v>
      </c>
      <c r="E5525" t="n">
        <v>5</v>
      </c>
      <c r="F5525">
        <f>HYPERLINK("https://www.reddit.com/r/diabetes/comments/9rzgw2/does_punking_affect_glucose/")</f>
        <v/>
      </c>
      <c r="G5525" t="inlineStr">
        <is>
          <t>2018-10-27 18:10:49</t>
        </is>
      </c>
      <c r="H5525" t="inlineStr">
        <is>
          <t>Type 1</t>
        </is>
      </c>
    </row>
    <row r="5526">
      <c r="A5526" t="inlineStr">
        <is>
          <t>9s8gg9</t>
        </is>
      </c>
      <c r="B5526" t="inlineStr">
        <is>
          <t>'Spectacular' diabetes treatment could end daily insulin injections</t>
        </is>
      </c>
      <c r="C5526" t="inlineStr">
        <is>
          <t>[Article](https://www.theguardian.com/society/2018/oct/24/spectacular-diabetes-treatment-could-end-daily-insulin-injections), and the [most likely paper article is referring to](https://www.gastrojournal.org/article/S0016-5085(18)30167-7/fulltext). Microbiome linkage is alluded to, which may reinforce fecal transplantation/bacteriotherapy findings, and help those of us who are doing N=1 experimentation of management protocols upon ourselves.</t>
        </is>
      </c>
      <c r="D5526" t="n">
        <v>1</v>
      </c>
      <c r="E5526" t="n">
        <v>1</v>
      </c>
      <c r="F5526">
        <f>HYPERLINK("https://www.reddit.com/r/diabetes/comments/9s8gg9/spectacular_diabetes_treatment_could_end_daily/")</f>
        <v/>
      </c>
      <c r="G5526" t="inlineStr">
        <is>
          <t>2018-10-28 17:43:23</t>
        </is>
      </c>
      <c r="H5526" t="inlineStr">
        <is>
          <t>Type 2</t>
        </is>
      </c>
    </row>
    <row r="5527">
      <c r="A5527" t="inlineStr">
        <is>
          <t>9s9bou</t>
        </is>
      </c>
      <c r="B5527" t="inlineStr">
        <is>
          <t>[Guidance needed] MDI vs Pump Feedback - $25 gift card will be provided from random draw!</t>
        </is>
      </c>
      <c r="C5527" t="inlineStr">
        <is>
          <t>Hello, I'm a Master's student at the University of Toronto and was wondering if I could seek some guidance on a research project on T1 diabetes. Currently, my team and I are assessing the barriers to pump transition for T1 diabetic patients, and was wondering if MDI users could shed some light.
Pump users can also respond, but some of the solutions listed are targeted at MDI users only.
Please feel free to leave feedbacks regarding the survey in the thread as well. Much appreciate the help.
Here's the link:
[https://www.surveymonkey.com/r/DJVPZNB](https://www.surveymonkey.com/r/DJVPZNB)
**\[Also amongst the survey participants, we will randomly draw one winner and send you a $25 Amazon gift card for your gracious support and insights!\]**</t>
        </is>
      </c>
      <c r="D5527" t="n">
        <v>1</v>
      </c>
      <c r="E5527" t="n">
        <v>1</v>
      </c>
      <c r="F5527">
        <f>HYPERLINK("https://www.reddit.com/r/diabetes/comments/9s9bou/guidance_needed_mdi_vs_pump_feedback_25_gift_card/")</f>
        <v/>
      </c>
      <c r="G5527" t="inlineStr">
        <is>
          <t>2018-10-28 19:44:10</t>
        </is>
      </c>
      <c r="H5527" t="inlineStr">
        <is>
          <t>Type 1</t>
        </is>
      </c>
    </row>
    <row r="5528">
      <c r="A5528" t="inlineStr">
        <is>
          <t>9s9whx</t>
        </is>
      </c>
      <c r="B5528" t="inlineStr">
        <is>
          <t>Diabetics that are on a super low carb diet</t>
        </is>
      </c>
      <c r="C5528" t="inlineStr">
        <is>
          <t xml:space="preserve">What do you eat when you are feeling snackish? Do you constantly bring your own snacks? As finding low carb snacks out and about can be a bit tricky? And is your diet 24/7 or do you have a higher carb day every once in a while? </t>
        </is>
      </c>
      <c r="D5528" t="n">
        <v>1</v>
      </c>
      <c r="E5528" t="n">
        <v>10</v>
      </c>
      <c r="F5528">
        <f>HYPERLINK("https://www.reddit.com/r/diabetes/comments/9s9whx/diabetics_that_are_on_a_super_low_carb_diet/")</f>
        <v/>
      </c>
      <c r="G5528" t="inlineStr">
        <is>
          <t>2018-10-28 21:08:06</t>
        </is>
      </c>
      <c r="H5528" t="inlineStr">
        <is>
          <t>Type 1</t>
        </is>
      </c>
    </row>
    <row r="5529">
      <c r="A5529" t="inlineStr">
        <is>
          <t>9scjxo</t>
        </is>
      </c>
      <c r="B5529" t="inlineStr">
        <is>
          <t>New insurance taking away Humalog and Lantus</t>
        </is>
      </c>
      <c r="C5529" t="inlineStr">
        <is>
          <t>My company is switching prescription providers next year to CVS Caremark. I just found out they don’t cover Lantus or Humalog. 
Is there anyone here who can tell me how they feel about whatever Caremark has forced you into? I imagine the other brands are about the same,
My biggest concern is will they cover pens. I do not use a pump, have always stuck with MDI. Am I still going to be able to get pens, or am I going to have to carry a vial and syringes in my pocket.
PLEASE READ THIS: Please, if you have unrelated horror stories about Caremark, I DO NOT WANT TO HEAR THEM. I’ve got a 10 hr. Work day ahead of me, and I’m barely holding it together as it is. 
Thanks.</t>
        </is>
      </c>
      <c r="D5529" t="n">
        <v>1</v>
      </c>
      <c r="E5529" t="n">
        <v>12</v>
      </c>
      <c r="F5529">
        <f>HYPERLINK("https://www.reddit.com/r/diabetes/comments/9scjxo/new_insurance_taking_away_humalog_and_lantus/")</f>
        <v/>
      </c>
      <c r="G5529" t="inlineStr">
        <is>
          <t>2018-10-29 05:17:23</t>
        </is>
      </c>
      <c r="H5529" t="inlineStr">
        <is>
          <t>Type 1</t>
        </is>
      </c>
    </row>
    <row r="5530">
      <c r="A5530" t="inlineStr">
        <is>
          <t>9sdqkk</t>
        </is>
      </c>
      <c r="B5530" t="inlineStr">
        <is>
          <t>I just ran my first 10K and here is the Video to prove it!</t>
        </is>
      </c>
      <c r="C5530" t="inlineStr">
        <is>
          <t>I am a 30 year old T1D. I was diagnosed 8 years ago during my second year at University. I struggled a lot with exhaustion and fatigue during that time. Two years ago I made a new years resolution that I would start eating healthier, start doing sports and quit smoking. I have done all three. I now go Scuba Diving and on Alpine hikes; have been to the bottom of the seas and on top of the Swiss alps. Now, two years later I have finally managed to bring everything together and run a 10K distance and stopping to use my T1D as an excuse, now I will let it become my strength! 
[https://youtu.be/\_N1qte1hGSg](https://youtu.be/_N1qte1hGSg) 
I want to share this with all of you to let you know that you can do it too! T1D does not stop you from achieving what you wish to achieve - you just have to believe #AthleticDiabetic
&amp;amp;#x200B;</t>
        </is>
      </c>
      <c r="D5530" t="n">
        <v>1</v>
      </c>
      <c r="E5530" t="n">
        <v>34</v>
      </c>
      <c r="F5530">
        <f>HYPERLINK("https://www.reddit.com/r/diabetes/comments/9sdqkk/i_just_ran_my_first_10k_and_here_is_the_video_to/")</f>
        <v/>
      </c>
      <c r="G5530" t="inlineStr">
        <is>
          <t>2018-10-29 07:49:27</t>
        </is>
      </c>
      <c r="H5530" t="inlineStr">
        <is>
          <t>Type 1</t>
        </is>
      </c>
    </row>
    <row r="5531">
      <c r="A5531" t="inlineStr">
        <is>
          <t>9sezu8</t>
        </is>
      </c>
      <c r="B5531" t="inlineStr">
        <is>
          <t>Blood sugar check</t>
        </is>
      </c>
      <c r="C5531" t="inlineStr">
        <is>
          <t xml:space="preserve">How many times a day should I check my blood sugar? Thanks </t>
        </is>
      </c>
      <c r="D5531" t="n">
        <v>1</v>
      </c>
      <c r="E5531" t="n">
        <v>3</v>
      </c>
      <c r="F5531">
        <f>HYPERLINK("https://www.reddit.com/r/diabetes/comments/9sezu8/blood_sugar_check/")</f>
        <v/>
      </c>
      <c r="G5531" t="inlineStr">
        <is>
          <t>2018-10-29 10:07:07</t>
        </is>
      </c>
      <c r="H5531" t="inlineStr">
        <is>
          <t>Type 2</t>
        </is>
      </c>
    </row>
    <row r="5532">
      <c r="A5532" t="inlineStr">
        <is>
          <t>9sft5u</t>
        </is>
      </c>
      <c r="B5532" t="inlineStr">
        <is>
          <t>First 3 month A1C after diagnosis</t>
        </is>
      </c>
      <c r="C5532" t="inlineStr">
        <is>
          <t>Hey everyone,
I've been creeping this subreddit, waiting for a post one day for a cure since I was diagnosed in July this year at age 25.
Well since that isn't happening anytime soon, wanted to post about my first actual a1c after starting insulin. Everybody in the community is awesome and so supportive! With keeping that positive attitude in mind, I went from an a1c of 12.7 to 5.7 in three months.
Mainly accomplished by being low carb-ish and going to the gym 6 days a week (mainly weightlifting followed by cardio)
Thanks to you all for being so positive and kind!
Best,
G</t>
        </is>
      </c>
      <c r="D5532" t="n">
        <v>1</v>
      </c>
      <c r="E5532" t="n">
        <v>16</v>
      </c>
      <c r="F5532">
        <f>HYPERLINK("https://www.reddit.com/r/diabetes/comments/9sft5u/first_3_month_a1c_after_diagnosis/")</f>
        <v/>
      </c>
      <c r="G5532" t="inlineStr">
        <is>
          <t>2018-10-29 11:28:54</t>
        </is>
      </c>
      <c r="H5532" t="inlineStr">
        <is>
          <t>Type 1.5/LADA</t>
        </is>
      </c>
    </row>
    <row r="5533">
      <c r="A5533" t="inlineStr">
        <is>
          <t>9sglwx</t>
        </is>
      </c>
      <c r="B5533" t="inlineStr">
        <is>
          <t>Low blood sugar</t>
        </is>
      </c>
      <c r="C5533" t="inlineStr">
        <is>
          <t xml:space="preserve">My blood sugar was only 64 about 90 minutes after a meal. I feel awful and could tell it was low. How much food or drink should I intake to higher it to normal? Thanks </t>
        </is>
      </c>
      <c r="D5533" t="n">
        <v>1</v>
      </c>
      <c r="E5533" t="n">
        <v>6</v>
      </c>
      <c r="F5533">
        <f>HYPERLINK("https://www.reddit.com/r/diabetes/comments/9sglwx/low_blood_sugar/")</f>
        <v/>
      </c>
      <c r="G5533" t="inlineStr">
        <is>
          <t>2018-10-29 12:55:12</t>
        </is>
      </c>
      <c r="H5533" t="inlineStr">
        <is>
          <t>Type 2</t>
        </is>
      </c>
    </row>
    <row r="5534">
      <c r="A5534" t="inlineStr">
        <is>
          <t>9shym9</t>
        </is>
      </c>
      <c r="B5534" t="inlineStr">
        <is>
          <t>Rising blood sugar after workout?</t>
        </is>
      </c>
      <c r="C5534" t="inlineStr">
        <is>
          <t>I had high BG due to it being my day off so I wasn’t moving around much. So I decided to work out to help lower my BG since it was high. It was 205 when I got back from my work out and I waited thirty minutes thinking it might be like a delayed reaction or something (New to diabetes). I checked again and it was 235 and I checked again an hour later and it went up 255. Does this happen to anybody else??? I thought cardio was supposed to help do the opposite:/ I’ve been scared to work out again and have my number climb instead of it helping me bring them down</t>
        </is>
      </c>
      <c r="D5534" t="n">
        <v>1</v>
      </c>
      <c r="E5534" t="n">
        <v>10</v>
      </c>
      <c r="F5534">
        <f>HYPERLINK("https://www.reddit.com/r/diabetes/comments/9shym9/rising_blood_sugar_after_workout/")</f>
        <v/>
      </c>
      <c r="G5534" t="inlineStr">
        <is>
          <t>2018-10-29 15:27:12</t>
        </is>
      </c>
      <c r="H5534" t="inlineStr">
        <is>
          <t>Type 2</t>
        </is>
      </c>
    </row>
    <row r="5535">
      <c r="A5535" t="inlineStr">
        <is>
          <t>9skngq</t>
        </is>
      </c>
      <c r="B5535" t="inlineStr">
        <is>
          <t>School Project on Insulin Pumps</t>
        </is>
      </c>
      <c r="C5535" t="inlineStr">
        <is>
          <t xml:space="preserve">Hi all, I am working on a project for school. Though Insulin pumps have for many provided a great benefit, we feel that they could be better. Please take a few minutes to visit our survey and give your input. Questions relate to why you, might not use a pump, what would make insulin pumps better, and inconveniences of using insulin pumps. Thank you for the help. </t>
        </is>
      </c>
      <c r="D5535" t="n">
        <v>1</v>
      </c>
      <c r="E5535" t="n">
        <v>1</v>
      </c>
      <c r="F5535">
        <f>HYPERLINK("https://www.reddit.com/r/diabetes/comments/9skngq/school_project_on_insulin_pumps/")</f>
        <v/>
      </c>
      <c r="G5535" t="inlineStr">
        <is>
          <t>2018-10-29 21:18:24</t>
        </is>
      </c>
      <c r="H5535" t="inlineStr">
        <is>
          <t>Type 2</t>
        </is>
      </c>
    </row>
    <row r="5536">
      <c r="A5536" t="inlineStr">
        <is>
          <t>9skvgz</t>
        </is>
      </c>
      <c r="B5536" t="inlineStr">
        <is>
          <t>Favorite Diabetes related Instagram accounts?</t>
        </is>
      </c>
      <c r="C5536" t="inlineStr">
        <is>
          <t xml:space="preserve">What are some of your favorite type 1 related Instagram accounts? I’m looking for more diabetic accounts to follow! </t>
        </is>
      </c>
      <c r="D5536" t="n">
        <v>1</v>
      </c>
      <c r="E5536" t="n">
        <v>5</v>
      </c>
      <c r="F5536">
        <f>HYPERLINK("https://www.reddit.com/r/diabetes/comments/9skvgz/favorite_diabetes_related_instagram_accounts/")</f>
        <v/>
      </c>
      <c r="G5536" t="inlineStr">
        <is>
          <t>2018-10-29 21:53:43</t>
        </is>
      </c>
      <c r="H5536" t="inlineStr">
        <is>
          <t>Type 1</t>
        </is>
      </c>
    </row>
    <row r="5537">
      <c r="A5537" t="inlineStr">
        <is>
          <t>9slv6d</t>
        </is>
      </c>
      <c r="B5537" t="inlineStr">
        <is>
          <t>Feet and ankle swelling REALLY BAD for two days</t>
        </is>
      </c>
      <c r="C5537" t="inlineStr">
        <is>
          <t>I dont know if Im just freaking out because I am scared but my feet and ankles are VERY SWOLLEN like its never been this bad and I have had type 1 diabetes for the last 14 years. I get swollen ankles every now and again but never with swollen feet and NEVER THIS BAD. Ive tried everything like soaking in epsom salt, compression socks, elevation and nothing is working.  when  and if should I see medical advice ?
I have beginning stages of diabetes neuropathy. Im in a lot of pain please any suggestions would help thank you in advanced</t>
        </is>
      </c>
      <c r="D5537" t="n">
        <v>1</v>
      </c>
      <c r="E5537" t="n">
        <v>6</v>
      </c>
      <c r="F5537">
        <f>HYPERLINK("https://www.reddit.com/r/diabetes/comments/9slv6d/feet_and_ankle_swelling_really_bad_for_two_days/")</f>
        <v/>
      </c>
      <c r="G5537" t="inlineStr">
        <is>
          <t>2018-10-30 01:06:24</t>
        </is>
      </c>
      <c r="H5537" t="inlineStr">
        <is>
          <t>Type 1</t>
        </is>
      </c>
    </row>
    <row r="5538">
      <c r="A5538" t="inlineStr">
        <is>
          <t>9spnml</t>
        </is>
      </c>
      <c r="B5538" t="inlineStr">
        <is>
          <t>how many diabetes patients have you randomly met ?</t>
        </is>
      </c>
      <c r="C5538" t="inlineStr">
        <is>
          <t xml:space="preserve">personally :
&amp;amp;#x200B;
i only know one other student in school 
&amp;amp;#x200B;
i spotted him while he was a using a freestyle libre he's 14 and judging by the fact that i never saw him check before means he probably got diabets recently 
&amp;amp;#x200B;
why don't i introduce myself to him ?
&amp;amp;#x200B;
well it's because of that  S O C I A L  A N X I T Y i have !
&amp;amp;#x200B;
but i don't wanna talk about that here
how many people did you randomly stumble upon in your life with this same condition ?  
</t>
        </is>
      </c>
      <c r="D5538" t="n">
        <v>1</v>
      </c>
      <c r="E5538" t="n">
        <v>19</v>
      </c>
      <c r="F5538">
        <f>HYPERLINK("https://www.reddit.com/r/diabetes/comments/9spnml/how_many_diabetes_patients_have_you_randomly_met/")</f>
        <v/>
      </c>
      <c r="G5538" t="inlineStr">
        <is>
          <t>2018-10-30 09:43:00</t>
        </is>
      </c>
      <c r="H5538" t="inlineStr">
        <is>
          <t>Type 1</t>
        </is>
      </c>
    </row>
    <row r="5539">
      <c r="A5539" t="inlineStr">
        <is>
          <t>9sw7e0</t>
        </is>
      </c>
      <c r="B5539" t="inlineStr">
        <is>
          <t>Toujeo is AWESOME!</t>
        </is>
      </c>
      <c r="C5539" t="inlineStr">
        <is>
          <t xml:space="preserve">Type 1 diagnosed at age 33. Its been up and down for me but something never felt right with my insulin dosing. 
My endo gave me a sample pen of Toujeo and I’m not kidding my line is straight as an arrow! My novalog reacts better I feel better..it’s crazy. 
Now if I can just get my hands on a new 14 day libre! 
</t>
        </is>
      </c>
      <c r="D5539" t="n">
        <v>1</v>
      </c>
      <c r="E5539" t="n">
        <v>5</v>
      </c>
      <c r="F5539">
        <f>HYPERLINK("https://www.reddit.com/r/diabetes/comments/9sw7e0/toujeo_is_awesome/")</f>
        <v/>
      </c>
      <c r="G5539" t="inlineStr">
        <is>
          <t>2018-10-30 23:16:39</t>
        </is>
      </c>
      <c r="H5539" t="inlineStr">
        <is>
          <t>Type 1</t>
        </is>
      </c>
    </row>
    <row r="5540">
      <c r="A5540" t="inlineStr">
        <is>
          <t>9sxt0o</t>
        </is>
      </c>
      <c r="B5540" t="inlineStr">
        <is>
          <t>Freestyle Libre inaccurate</t>
        </is>
      </c>
      <c r="C5540" t="inlineStr">
        <is>
          <t>I just got a freestyle libre and it has finished calibrating, but it is 50+/- points inaccurate. For example, my libre just said I was 75, but my meter read 120. Any idea what's going on?</t>
        </is>
      </c>
      <c r="D5540" t="n">
        <v>1</v>
      </c>
      <c r="E5540" t="n">
        <v>17</v>
      </c>
      <c r="F5540">
        <f>HYPERLINK("https://www.reddit.com/r/diabetes/comments/9sxt0o/freestyle_libre_inaccurate/")</f>
        <v/>
      </c>
      <c r="G5540" t="inlineStr">
        <is>
          <t>2018-10-31 04:23:52</t>
        </is>
      </c>
      <c r="H5540" t="inlineStr">
        <is>
          <t>Type 1</t>
        </is>
      </c>
    </row>
    <row r="5541">
      <c r="A5541" t="inlineStr">
        <is>
          <t>9t03a9</t>
        </is>
      </c>
      <c r="B5541" t="inlineStr">
        <is>
          <t>Free Humalog, Lantus, or Basaglar; just pay shipping!</t>
        </is>
      </c>
      <c r="C5541" t="inlineStr">
        <is>
          <t>I’m a type 1 diabetic and I recently switched to an insulin pump. I’ve still got about 50 pens of insulin that i’m not using. If anyone is interested pm me and I can send it to someone who can use it. :)</t>
        </is>
      </c>
      <c r="D5541" t="n">
        <v>1</v>
      </c>
      <c r="E5541" t="n">
        <v>5</v>
      </c>
      <c r="F5541">
        <f>HYPERLINK("https://www.reddit.com/r/diabetes/comments/9t03a9/free_humalog_lantus_or_basaglar_just_pay_shipping/")</f>
        <v/>
      </c>
      <c r="G5541" t="inlineStr">
        <is>
          <t>2018-10-31 09:01:13</t>
        </is>
      </c>
      <c r="H5541" t="inlineStr">
        <is>
          <t>Type 1</t>
        </is>
      </c>
    </row>
    <row r="5542">
      <c r="A5542" t="inlineStr">
        <is>
          <t>9t4wxb</t>
        </is>
      </c>
      <c r="B5542" t="inlineStr">
        <is>
          <t>Tresiba weight gain</t>
        </is>
      </c>
      <c r="C5542" t="inlineStr">
        <is>
          <t>I used to be on levemir and was on it for years. My doctor suggested I switch to Tresiba. Although I do find it more convenient, I think I may have gained 10 pounds on it. It's possible my weight gain is due to other factors. Has anyone here gained weight on it? What about on levemir?</t>
        </is>
      </c>
      <c r="D5542" t="n">
        <v>1</v>
      </c>
      <c r="E5542" t="n">
        <v>2</v>
      </c>
      <c r="F5542">
        <f>HYPERLINK("https://www.reddit.com/r/diabetes/comments/9t4wxb/tresiba_weight_gain/")</f>
        <v/>
      </c>
      <c r="G5542" t="inlineStr">
        <is>
          <t>2018-10-31 18:02:28</t>
        </is>
      </c>
      <c r="H5542" t="inlineStr">
        <is>
          <t>Type 1</t>
        </is>
      </c>
    </row>
    <row r="5543">
      <c r="A5543" t="inlineStr">
        <is>
          <t>9t5tu4</t>
        </is>
      </c>
      <c r="B5543" t="inlineStr">
        <is>
          <t>Obese type 1 looking for help</t>
        </is>
      </c>
      <c r="C5543" t="inlineStr">
        <is>
          <t xml:space="preserve">INCOMING LONG PAGE OF TEXT:  
Hi, Ive been a type one diabetic for almost my entire life(diagnosed at age 7, currently 27). My last visit with my endo was at the end of August and I weighed in at 340 pounds,ive been fat my entire life but something clicked in my brain and made me want to change. Im currently down to 310 pounds as of today but I still have a long way to go. Ive always had decent control of my sugars with my a1cs being in the 6.5-6.2 range for years(last one was 6.2). I currently take lantus and humalog but dont really know my base lantus level, I currently take around 60 units or so at night and that seems to keep things pretty steady. I take humalog at breakfast and at dinner but I dont have an insulin to carb ratio I just kind of know what I need to take to keep my sugar from going high.  
Lately with losing weight by eating healthy and walking everyday(want to lose a bit more weight before I start weight lifting). I really want to dial in and get on top of my blood sugar control. So I have a couple of questions id like to have answered if possible, Ive asked my endo some of these and ive told her how much insulin ive been taking, shes looked at my sugars and said that they are pretty good and with me losing weight it may be hard to find an insulin to carb ratio since it will keep changing as I lose more weight. So I thought I would post some questions here to get some guidance/input from the community.  
1)How can I find my base lantus dose for night time? Then is there a way for me to find my carb to insulin ratio for humalog? Even if its just a rough guess, being able to find these will help greatly.  
2)I start my new job in two weeks so ive been going to sleep quite late(2-3am)and waking up at 11am. I eat breakfast when I wake up and give myself humalog, ill tend to wait an hour or two then do an hour of cardio. I noticed that this tends to put me near being low or lowish(3.5-3.9 area) even if my sugar was 10-12ish before starting. Then Ill try and have something small for lunch to bring my sugar back up but sometimes it will spike it to the 10-11 range depending on what I have. Followed by dinner at around 5:30. Should I be trying to fix my schedule so Im waking up at 8 or 9 having breakfast then that way I am having lunch a couple hours later instead of so close together the way I currently am?  
3)Should I be giving myself humalog when I eat lunch as well?  
4)When I give my lantus at night I normally have some kind of snack, as it helps me get my required calories for the day, should I also give some humalog then to combat the carbs of my snack?  
I appreciate any help for those that took the time to read my post. </t>
        </is>
      </c>
      <c r="D5543" t="n">
        <v>1</v>
      </c>
      <c r="E5543" t="n">
        <v>22</v>
      </c>
      <c r="F5543">
        <f>HYPERLINK("https://www.reddit.com/r/diabetes/comments/9t5tu4/obese_type_1_looking_for_help/")</f>
        <v/>
      </c>
      <c r="G5543" t="inlineStr">
        <is>
          <t>2018-10-31 20:02:30</t>
        </is>
      </c>
      <c r="H5543" t="inlineStr">
        <is>
          <t>Type 1</t>
        </is>
      </c>
    </row>
    <row r="5544">
      <c r="A5544" t="inlineStr">
        <is>
          <t>9t9rlb</t>
        </is>
      </c>
      <c r="B5544" t="inlineStr">
        <is>
          <t>Laser Hair Removal</t>
        </is>
      </c>
      <c r="C5544" t="inlineStr">
        <is>
          <t>Hi guys, 
I want to get laser hair removal however after contacting a clinic they told me that it is unsuitable for Type 1 diabetics.
Has anyone on the sub had laser hair removal? Or know why T1 means I can’t have it? 
I’m assuming it has to do with the clinic wanting to cover themselves incase I am poorly controlled and have neuropathy? 
I’ve had T1 19 years and it is well controlled, my HbA1c is 49 and have no side effects (thankfully!). 
I’m thinking I might just do back and not tell them I’m T1 seeing how I’m well controlled and have no neuropathy, any reason not to? 
Thanks for your help :)</t>
        </is>
      </c>
      <c r="D5544" t="n">
        <v>1</v>
      </c>
      <c r="E5544" t="n">
        <v>4</v>
      </c>
      <c r="F5544">
        <f>HYPERLINK("https://www.reddit.com/r/diabetes/comments/9t9rlb/laser_hair_removal/")</f>
        <v/>
      </c>
      <c r="G5544" t="inlineStr">
        <is>
          <t>2018-11-01 07:13:14</t>
        </is>
      </c>
      <c r="H5544" t="inlineStr">
        <is>
          <t>Type 1</t>
        </is>
      </c>
    </row>
    <row r="5545">
      <c r="A5545" t="inlineStr">
        <is>
          <t>9tabro</t>
        </is>
      </c>
      <c r="B5545" t="inlineStr">
        <is>
          <t>Cold weather causing low blood sugar readings?</t>
        </is>
      </c>
      <c r="C5545" t="inlineStr">
        <is>
          <t>I've asked my doctor about this a few times and they seem to have no idea. I live in upstate ny and when it starts to get cold I notice my bg reads lower when coming out of the cold and I'm presenting the symptoms of a low but after a few minutes it normally stabilizes.   
For example, I have a 10 minute walk from my office to my car, I have left my office at 400 mg/dl with no active insulin and by time I get to my car and check, it's reading 90 mg/dl. From my understanding of diabetes this makes absolutely no sense at all, i shouldn't drop 300 points by walking just 10 minutes. Other than diabetes I'm a fairly healthy 19 year old.   
Any ideas what could be causing this? I'm fairly certain it's just a false reading but seeing drops like that scares the shit out of me because it's not only a number, I feel as if I'm actually low.</t>
        </is>
      </c>
      <c r="D5545" t="n">
        <v>1</v>
      </c>
      <c r="E5545" t="n">
        <v>4</v>
      </c>
      <c r="F5545">
        <f>HYPERLINK("https://www.reddit.com/r/diabetes/comments/9tabro/cold_weather_causing_low_blood_sugar_readings/")</f>
        <v/>
      </c>
      <c r="G5545" t="inlineStr">
        <is>
          <t>2018-11-01 08:17:37</t>
        </is>
      </c>
      <c r="H5545" t="inlineStr">
        <is>
          <t>Type 1</t>
        </is>
      </c>
    </row>
    <row r="5546">
      <c r="A5546" t="inlineStr">
        <is>
          <t>9tb7k9</t>
        </is>
      </c>
      <c r="B5546" t="inlineStr">
        <is>
          <t>Cinnamon 1000mg pills</t>
        </is>
      </c>
      <c r="C5546" t="inlineStr">
        <is>
          <t>Hi,
I was diagnosed with type 2 diabetes about 15 days ago. Ever since then I've looked for ways to lower my blood sugar, and came across cinnamon. I was reading up on it and there seems to be mixed opinions and research about it, but ever since I've taken the pill form (1000mg for 2 pills) my blood sugar lowered by 20-30 points. I'm a bit skeptical of how fast it worked for me (in a matter of just a day) so I was wondering if anyone else has had this effect for those who've taken cinnamon?
&amp;amp;#x200B;
Thanks!</t>
        </is>
      </c>
      <c r="D5546" t="n">
        <v>1</v>
      </c>
      <c r="E5546" t="n">
        <v>27</v>
      </c>
      <c r="F5546">
        <f>HYPERLINK("https://www.reddit.com/r/diabetes/comments/9tb7k9/cinnamon_1000mg_pills/")</f>
        <v/>
      </c>
      <c r="G5546" t="inlineStr">
        <is>
          <t>2018-11-01 09:55:04</t>
        </is>
      </c>
      <c r="H5546" t="inlineStr">
        <is>
          <t>Type 2</t>
        </is>
      </c>
    </row>
    <row r="5547">
      <c r="A5547" t="inlineStr">
        <is>
          <t>9tc5i7</t>
        </is>
      </c>
      <c r="B5547" t="inlineStr">
        <is>
          <t>Schedule A?</t>
        </is>
      </c>
      <c r="C5547" t="inlineStr">
        <is>
          <t xml:space="preserve">Does anyone know if type one qualifies you for schedule A within the u.s. government? Lots of federal jobs are posted with preference given to schedule A.  Anyone ever navigated this before? </t>
        </is>
      </c>
      <c r="D5547" t="n">
        <v>1</v>
      </c>
      <c r="E5547" t="n">
        <v>2</v>
      </c>
      <c r="F5547">
        <f>HYPERLINK("https://www.reddit.com/r/diabetes/comments/9tc5i7/schedule_a/")</f>
        <v/>
      </c>
      <c r="G5547" t="inlineStr">
        <is>
          <t>2018-11-01 11:37:35</t>
        </is>
      </c>
      <c r="H5547" t="inlineStr">
        <is>
          <t>Type 1</t>
        </is>
      </c>
    </row>
    <row r="5548">
      <c r="A5548" t="inlineStr">
        <is>
          <t>9thi39</t>
        </is>
      </c>
      <c r="B5548" t="inlineStr">
        <is>
          <t>Currently in the ER unsure if Diabetes related.</t>
        </is>
      </c>
      <c r="C5548" t="inlineStr">
        <is>
          <t>Been a type 1 for two years. Tonight I am in the ER for as of now an unknown reason. Layed down around 9 PM, and instantly started feeling fuzzy in a few of my limbs and neck. Also felt tense. Could feel my heartbeat and just felt really uncomfortable. It comes and goes in waves. My BG was 222 which while being unhealthy is not a number that changes my feelings.
Just sorta scared on whats going on inside of me.</t>
        </is>
      </c>
      <c r="D5548" t="n">
        <v>1</v>
      </c>
      <c r="E5548" t="n">
        <v>5</v>
      </c>
      <c r="F5548">
        <f>HYPERLINK("https://www.reddit.com/r/diabetes/comments/9thi39/currently_in_the_er_unsure_if_diabetes_related/")</f>
        <v/>
      </c>
      <c r="G5548" t="inlineStr">
        <is>
          <t>2018-11-01 23:02:59</t>
        </is>
      </c>
      <c r="H5548" t="inlineStr">
        <is>
          <t>Type 1</t>
        </is>
      </c>
    </row>
    <row r="5549">
      <c r="A5549" t="inlineStr">
        <is>
          <t>9thphn</t>
        </is>
      </c>
      <c r="B5549" t="inlineStr">
        <is>
          <t>Juice doesn't really help my hypos - anyone else?</t>
        </is>
      </c>
      <c r="C5549" t="inlineStr">
        <is>
          <t xml:space="preserve">Just wondering if this is common, because I see juice mentioned all the time. I bought some months ago and put some by my bed and loaded up the fridge, excited not to eat glucose tabs but... they BARELY help my hypos and it's confusing! I have tried apple juice, juice boxes (minute made type), and other various brands, and also Gatorade. It seems like I would need to drink an entire jug, or several boxes/bottles to have a desired effect which is insane since a serving size has 30-40-50+g of carbs. I will bump up around 10 points with juice. If I wake up in hypo, at around 50, a juice will not allow me to go back to sleep - I'll stay at 60-65ish until I go get something else. Usually it has to be something along the lines of cereal + milk, or a pastry of some sort. Glucose tabs will stabilize me in the throes of a hypo but won't bring me out of it really, and I'll likely start dropping again if I don't find something else with them a few hours later. </t>
        </is>
      </c>
      <c r="D5549" t="n">
        <v>1</v>
      </c>
      <c r="E5549" t="n">
        <v>8</v>
      </c>
      <c r="F5549">
        <f>HYPERLINK("https://www.reddit.com/r/diabetes/comments/9thphn/juice_doesnt_really_help_my_hypos_anyone_else/")</f>
        <v/>
      </c>
      <c r="G5549" t="inlineStr">
        <is>
          <t>2018-11-01 23:44:38</t>
        </is>
      </c>
      <c r="H5549" t="inlineStr">
        <is>
          <t>Type 1</t>
        </is>
      </c>
    </row>
    <row r="5550">
      <c r="A5550" t="inlineStr">
        <is>
          <t>9tklod</t>
        </is>
      </c>
      <c r="B5550" t="inlineStr">
        <is>
          <t>Post-meal spikes</t>
        </is>
      </c>
      <c r="C5550" t="inlineStr">
        <is>
          <t xml:space="preserve">What's happening guys? Just a quick one. After a meal of say, 40 or 50 carbs, what's the highest spike you usually get post meal (about 1 or 2hours afterwards). Even after I've eaten a small amount of carbs I seem to spike by about 7 or 8.0 / 160? My sugars end up coming back down but no matter whether it's low or high GI foods I can't stop the spike.
Also, I know low carb is the way forward, I'm moving out soon so gonna start on it once I have the independence to do so!
Thanks guys! </t>
        </is>
      </c>
      <c r="D5550" t="n">
        <v>1</v>
      </c>
      <c r="E5550" t="n">
        <v>6</v>
      </c>
      <c r="F5550">
        <f>HYPERLINK("https://www.reddit.com/r/diabetes/comments/9tklod/postmeal_spikes/")</f>
        <v/>
      </c>
      <c r="G5550" t="inlineStr">
        <is>
          <t>2018-11-02 07:31:27</t>
        </is>
      </c>
      <c r="H5550" t="inlineStr">
        <is>
          <t>Type 1</t>
        </is>
      </c>
    </row>
    <row r="5551">
      <c r="A5551" t="inlineStr">
        <is>
          <t>9tlhi5</t>
        </is>
      </c>
      <c r="B5551" t="inlineStr">
        <is>
          <t>Interview for a Type 1 Diabetic</t>
        </is>
      </c>
      <c r="C5551" t="inlineStr">
        <is>
          <t>Can someone please tell me what its is like living as a Type 1 Diabetic? It is for a school project.</t>
        </is>
      </c>
      <c r="D5551" t="n">
        <v>1</v>
      </c>
      <c r="E5551" t="n">
        <v>3</v>
      </c>
      <c r="F5551">
        <f>HYPERLINK("https://www.reddit.com/r/diabetes/comments/9tlhi5/interview_for_a_type_1_diabetic/")</f>
        <v/>
      </c>
      <c r="G5551" t="inlineStr">
        <is>
          <t>2018-11-02 09:11:37</t>
        </is>
      </c>
      <c r="H5551" t="inlineStr">
        <is>
          <t>Type 1</t>
        </is>
      </c>
    </row>
    <row r="5552">
      <c r="A5552" t="inlineStr">
        <is>
          <t>9tpqb2</t>
        </is>
      </c>
      <c r="B5552" t="inlineStr">
        <is>
          <t>How long before bed do you quit eating and drinking</t>
        </is>
      </c>
      <c r="C5552" t="inlineStr">
        <is>
          <t xml:space="preserve">Want to make sure my blood sugar is in a good range between bedtime and the fasting (sleeping) during the night til I wake up in the a.m. and thanks </t>
        </is>
      </c>
      <c r="D5552" t="n">
        <v>1</v>
      </c>
      <c r="E5552" t="n">
        <v>6</v>
      </c>
      <c r="F5552">
        <f>HYPERLINK("https://www.reddit.com/r/diabetes/comments/9tpqb2/how_long_before_bed_do_you_quit_eating_and/")</f>
        <v/>
      </c>
      <c r="G5552" t="inlineStr">
        <is>
          <t>2018-11-02 17:27:39</t>
        </is>
      </c>
      <c r="H5552" t="inlineStr">
        <is>
          <t>Type 2</t>
        </is>
      </c>
    </row>
    <row r="5553">
      <c r="A5553" t="inlineStr">
        <is>
          <t>9tqi32</t>
        </is>
      </c>
      <c r="B5553" t="inlineStr">
        <is>
          <t>Librelink Approved in US by FDA</t>
        </is>
      </c>
      <c r="C5553" t="inlineStr">
        <is>
          <t>Sorry if this is a duplicate, did a search and didn't see this posted yet, but Abbott has the librelink app approved by the FDA yesterday!  Not in the app store yet, but hope soon.
&amp;amp;#x200B;
[http://www.abbott.com/corpnewsroom/product-and-innovation/freestyle-librelink.html](http://www.abbott.com/corpnewsroom/product-and-innovation/freestyle-librelink.html)
&amp;amp;#x200B;</t>
        </is>
      </c>
      <c r="D5553" t="n">
        <v>1</v>
      </c>
      <c r="E5553" t="n">
        <v>13</v>
      </c>
      <c r="F5553">
        <f>HYPERLINK("https://www.reddit.com/r/diabetes/comments/9tqi32/librelink_approved_in_us_by_fda/")</f>
        <v/>
      </c>
      <c r="G5553" t="inlineStr">
        <is>
          <t>2018-11-02 19:14:41</t>
        </is>
      </c>
      <c r="H5553" t="inlineStr">
        <is>
          <t>Type 1.5/LADA</t>
        </is>
      </c>
    </row>
    <row r="5554">
      <c r="A5554" t="inlineStr">
        <is>
          <t>9tr3xp</t>
        </is>
      </c>
      <c r="B5554" t="inlineStr">
        <is>
          <t>Type 1 Diabetes Survey</t>
        </is>
      </c>
      <c r="C5554" t="inlineStr">
        <is>
          <t xml:space="preserve">Hello everyone!
&amp;amp;#x200B;
I am currently a junior in college taking a technical writing course. For my final project, I have chosen a topic relating to type 1 diabetes because I have T1D and am very interested in researching this topic.
&amp;amp;#x200B;
If you or your child has type 1 diabetes, please consider taking my anonymous survey. It will take less than 5 minutes and would be greatly appreciated! 
&amp;amp;#x200B;
[https://goo.gl/forms/XIYKv90kKOXhTESy1](https://goo.gl/forms/XIYKv90kKOXhTESy1) </t>
        </is>
      </c>
      <c r="D5554" t="n">
        <v>1</v>
      </c>
      <c r="E5554" t="n">
        <v>1</v>
      </c>
      <c r="F5554">
        <f>HYPERLINK("https://www.reddit.com/r/diabetes/comments/9tr3xp/type_1_diabetes_survey/")</f>
        <v/>
      </c>
      <c r="G5554" t="inlineStr">
        <is>
          <t>2018-11-02 20:46:27</t>
        </is>
      </c>
      <c r="H5554" t="inlineStr">
        <is>
          <t>Type 1</t>
        </is>
      </c>
    </row>
    <row r="5555">
      <c r="A5555" t="inlineStr">
        <is>
          <t>9tr5x8</t>
        </is>
      </c>
      <c r="B5555" t="inlineStr">
        <is>
          <t>This scared me</t>
        </is>
      </c>
      <c r="C5555" t="inlineStr">
        <is>
          <t xml:space="preserve">At 11:11 pm my blood sugar was 137. Now at 11:52 only 41 minutes later it’s 87. How and why would my blood sugar drop 50 points that quick? It really scared me and I started sweating and feel weak. I drank a little Gatorade to try to level it off and a little while before the 137 I ate some almonds and a sip of Gatorade and half a bottle of water. How and why would it drop so quickly only two hours after I ate? I’m really scared right now </t>
        </is>
      </c>
      <c r="D5555" t="n">
        <v>1</v>
      </c>
      <c r="E5555" t="n">
        <v>18</v>
      </c>
      <c r="F5555">
        <f>HYPERLINK("https://www.reddit.com/r/diabetes/comments/9tr5x8/this_scared_me/")</f>
        <v/>
      </c>
      <c r="G5555" t="inlineStr">
        <is>
          <t>2018-11-02 20:55:33</t>
        </is>
      </c>
      <c r="H5555" t="inlineStr">
        <is>
          <t>Type 2</t>
        </is>
      </c>
    </row>
    <row r="5556">
      <c r="A5556" t="inlineStr">
        <is>
          <t>9trkn4</t>
        </is>
      </c>
      <c r="B5556" t="inlineStr">
        <is>
          <t>Newly Type 1 and feeling down</t>
        </is>
      </c>
      <c r="C5556" t="inlineStr">
        <is>
          <t xml:space="preserve">It’s been a little over a month since I got out of the hospital. I’d been losing weight for a while, experiencing tingling and numbness in my feet, all that fun stuff. I started feeling like I had the flu on a Friday. I was feeling tired, dizzy, stomach pain, dizziness, no appetite, and by Sunday my breathing was labored and ragged. After that, my fiancé wanted me to go to the ER, but I was afraid it would be a waste of time and money – even though I had a suspicion of what was wrong. On Monday I realized there was no way I was going to make it to school, and the vision of going into a coma while my fiancé was at work pushed me to go to the ER (someone else drove me). 
I was finally convinced that I had been in danger when the ER staff immediately hurried me to a room and started hooking me up to EKGs and IVs. Several hours of tests later, they knew what was wrong with me, and that night I got moved to the ICU with a diagnosis of DKA and some form of Diabetes. Three days later I was released with a newfound insulin dependence and a tentative type 2 diagnosis. I was told I’d need to do some tests to see if it was 1 or 2 because of the DKA, but since there was family history of T2 and I'm 26, it was probably that. 
Nope. About 9 days ago I got a call telling me that I had type 1 – congratulations! So that’s a thing in my life now. All in all, I think I’m adjusting fairly well? I got used to stabbing myself so quickly it scared me. I had an A1c of 11.9 and an average BS of 300, but since the hospital I’ve gotten my 30-day average down to 185. I changed literally everything I ate overnight and started going to the gym every other day. I’m very lucky to have the ability to do so, and I worry about a time when I can’t devote as much time to getting better. Anyway, I’m still extremely new to everything, but I’m feeling very sink or swim about this disease, and I’m trying to swim – which is why I’m here. I guess this is mostly just a vent/intro post than anything, but I just needed to write it all out.  
If you read this whole thing, thank you, and if you didn’t, that’s okay, I understand completely. </t>
        </is>
      </c>
      <c r="D5556" t="n">
        <v>2</v>
      </c>
      <c r="E5556" t="n">
        <v>11</v>
      </c>
      <c r="F5556">
        <f>HYPERLINK("https://www.reddit.com/r/diabetes/comments/9trkn4/newly_type_1_and_feeling_down/")</f>
        <v/>
      </c>
      <c r="G5556" t="inlineStr">
        <is>
          <t>2018-11-02 22:04:48</t>
        </is>
      </c>
      <c r="H5556" t="inlineStr">
        <is>
          <t>Type 1</t>
        </is>
      </c>
    </row>
    <row r="5557">
      <c r="A5557" t="inlineStr">
        <is>
          <t>9tsipk</t>
        </is>
      </c>
      <c r="B5557" t="inlineStr">
        <is>
          <t>Stupid (not serious/yet curious) questions we pose at 1:25 a.m. (apple juice injection instead of glucagon as a last resort)</t>
        </is>
      </c>
      <c r="C5557" t="inlineStr">
        <is>
          <t xml:space="preserve">During a severe hypoglicemic episode, can one inject apple juice if no glucagon is available.  This of course being as a last resort (kiddo is unconscious or seizing,  juice is not being drank, 911 already informed, etc.).  This of course, the stupidest question coming from me, a curious and sleepless T1D dad.  
Disclaimer...NO, I'm not going to be substituting my kiddos glucagon with said apple juice injections. </t>
        </is>
      </c>
      <c r="D5557" t="n">
        <v>1</v>
      </c>
      <c r="E5557" t="n">
        <v>4</v>
      </c>
      <c r="F5557">
        <f>HYPERLINK("https://www.reddit.com/r/diabetes/comments/9tsipk/stupid_not_seriousyet_curious_questions_we_pose/")</f>
        <v/>
      </c>
      <c r="G5557" t="inlineStr">
        <is>
          <t>2018-11-03 01:26:36</t>
        </is>
      </c>
      <c r="H5557" t="inlineStr">
        <is>
          <t>Type 1</t>
        </is>
      </c>
    </row>
    <row r="5558">
      <c r="A5558" t="inlineStr">
        <is>
          <t>9tvgk1</t>
        </is>
      </c>
      <c r="B5558" t="inlineStr">
        <is>
          <t>Traveling with my stuff</t>
        </is>
      </c>
      <c r="C5558" t="inlineStr">
        <is>
          <t xml:space="preserve">Hey all. I'm flying from Dallas to Seattle on Monday and I plan on bringing my pump, 15 days worth of pump supplies, about 10 needles, test strips, and of course my insulin. 
I have current prescription labels for everything except the pump supplies. I plan on taking them in my checked bag, all in a large ziploc bag in one central location with the prescription labels there too.
Is there anything else I need to worry about? Never flown with any of this before. </t>
        </is>
      </c>
      <c r="D5558" t="n">
        <v>1</v>
      </c>
      <c r="E5558" t="n">
        <v>7</v>
      </c>
      <c r="F5558">
        <f>HYPERLINK("https://www.reddit.com/r/diabetes/comments/9tvgk1/traveling_with_my_stuff/")</f>
        <v/>
      </c>
      <c r="G5558" t="inlineStr">
        <is>
          <t>2018-11-03 09:29:51</t>
        </is>
      </c>
      <c r="H5558" t="inlineStr">
        <is>
          <t>Type 1</t>
        </is>
      </c>
    </row>
    <row r="5559">
      <c r="A5559" t="inlineStr">
        <is>
          <t>9txxun</t>
        </is>
      </c>
      <c r="B5559" t="inlineStr">
        <is>
          <t>Type 1 diabetic</t>
        </is>
      </c>
      <c r="C5559" t="inlineStr">
        <is>
          <t>Hey, everyone just looking for some advice. I recently got diagnosed with type 1 diabetes and I have been noticing I have been losing alot of hair in the shower( alot more than I usually would, my face gets hair all over it and even some gets into my mouth during a shower). I have also notice excessive hair fall when putting oil in my hair. Other than that, i seem to be able to pull out a strand of my hair if i pull on it for a couple seconds. I talked to a doctor and he said he doesnt see anything to worry about atm and that i should talk to my endocronologist about it but the next appt with him is quite far. Should i be worried in the meantime?</t>
        </is>
      </c>
      <c r="D5559" t="n">
        <v>1</v>
      </c>
      <c r="E5559" t="n">
        <v>10</v>
      </c>
      <c r="F5559">
        <f>HYPERLINK("https://www.reddit.com/r/diabetes/comments/9txxun/type_1_diabetic/")</f>
        <v/>
      </c>
      <c r="G5559" t="inlineStr">
        <is>
          <t>2018-11-03 14:36:59</t>
        </is>
      </c>
      <c r="H5559" t="inlineStr">
        <is>
          <t>Type 1</t>
        </is>
      </c>
    </row>
    <row r="5560">
      <c r="A5560" t="inlineStr">
        <is>
          <t>9u0st3</t>
        </is>
      </c>
      <c r="B5560" t="inlineStr">
        <is>
          <t>With the way things are going I doubt I'll stay alive much longer ;__;</t>
        </is>
      </c>
      <c r="C5560" t="inlineStr">
        <is>
          <t xml:space="preserve">Firstly, I have bipolarity so I take shitloads of psych pills. Respridone, Sodium, Lithium, Depakot, you name it. Secondly, I'm addicted to Methadone so my kidneys are bye-bye. Thirdly, I have Juvenile Diabetes and my BS is 227 atm, after eating three doughnuts and a jug of Orange Fanta.
&amp;amp;#x200B;
It's just not working. I'm dying. I don't wanna die, but I can't live like a diabetes dork, weighing what I eat, not drinking soda... Just kill me with a gun and get over with it. Please.... pretty please. </t>
        </is>
      </c>
      <c r="D5560" t="n">
        <v>1</v>
      </c>
      <c r="E5560" t="n">
        <v>5</v>
      </c>
      <c r="F5560">
        <f>HYPERLINK("https://www.reddit.com/r/diabetes/comments/9u0st3/with_the_way_things_are_going_i_doubt_ill_stay/")</f>
        <v/>
      </c>
      <c r="G5560" t="inlineStr">
        <is>
          <t>2018-11-03 21:19:50</t>
        </is>
      </c>
      <c r="H5560" t="inlineStr">
        <is>
          <t>Type 1</t>
        </is>
      </c>
    </row>
    <row r="5561">
      <c r="A5561" t="inlineStr">
        <is>
          <t>9u1qwr</t>
        </is>
      </c>
      <c r="B5561" t="inlineStr">
        <is>
          <t>Type 1 Diabetes</t>
        </is>
      </c>
      <c r="C5561" t="inlineStr">
        <is>
          <t xml:space="preserve">This could be completely off topic but I'm going to start here before anywhere else. 
My girlfriend of 7 months was diagnosed with Type 1 diabetes when she was in grade school. It's not my place to just talk about her health and life, but I'm 23 and she's around my age. She gets scared if her future a lot and worries about it; not living a very long life and growing old, passing away in her sleep, getting worried about her health if she has stomach or heart pains, etc. I haven't dealt with a chronic illness before or had anyone near me with one. I don't know what to do to help her or comfort her, and I know everyone is different but I feel as if people with type 1 might be able to relate easier with these worries. 
What would you want to hear from your significant other? Idk what I'm really asking, I'm just lost because relating to people on an emotional level is usually easier for me, so anything at all should help. </t>
        </is>
      </c>
      <c r="D5561" t="n">
        <v>1</v>
      </c>
      <c r="E5561" t="n">
        <v>4</v>
      </c>
      <c r="F5561">
        <f>HYPERLINK("https://www.reddit.com/r/diabetes/comments/9u1qwr/type_1_diabetes/")</f>
        <v/>
      </c>
      <c r="G5561" t="inlineStr">
        <is>
          <t>2018-11-04 00:40:04</t>
        </is>
      </c>
      <c r="H5561" t="inlineStr">
        <is>
          <t>Type 1</t>
        </is>
      </c>
    </row>
    <row r="5562">
      <c r="A5562" t="inlineStr">
        <is>
          <t>9u2tkp</t>
        </is>
      </c>
      <c r="B5562" t="inlineStr">
        <is>
          <t>Extending the life of Dexcom G6 sensor</t>
        </is>
      </c>
      <c r="C5562" t="inlineStr">
        <is>
          <t xml:space="preserve">I've tried the usual methods online (ex. Putting my phone in the microwave to induce signal loss) but it never ends up working. How can I get another round out of a G6 sensor? I'm using my phone (not the receiver) and a tslim x2 pump. </t>
        </is>
      </c>
      <c r="D5562" t="n">
        <v>1</v>
      </c>
      <c r="E5562" t="n">
        <v>17</v>
      </c>
      <c r="F5562">
        <f>HYPERLINK("https://www.reddit.com/r/diabetes/comments/9u2tkp/extending_the_life_of_dexcom_g6_sensor/")</f>
        <v/>
      </c>
      <c r="G5562" t="inlineStr">
        <is>
          <t>2018-11-04 04:02:21</t>
        </is>
      </c>
      <c r="H5562" t="inlineStr">
        <is>
          <t>Type 1</t>
        </is>
      </c>
    </row>
    <row r="5563">
      <c r="A5563" t="inlineStr">
        <is>
          <t>9u3wil</t>
        </is>
      </c>
      <c r="B5563" t="inlineStr">
        <is>
          <t>Do people use both pen and pump?</t>
        </is>
      </c>
      <c r="C5563" t="inlineStr">
        <is>
          <t>Does anyone here switch between using a pump and a pen on a regular basis?  When do you decide to take break from the pump and for how long?  Do you carry your pen around with you when you go out?</t>
        </is>
      </c>
      <c r="D5563" t="n">
        <v>1</v>
      </c>
      <c r="E5563" t="n">
        <v>5</v>
      </c>
      <c r="F5563">
        <f>HYPERLINK("https://www.reddit.com/r/diabetes/comments/9u3wil/do_people_use_both_pen_and_pump/")</f>
        <v/>
      </c>
      <c r="G5563" t="inlineStr">
        <is>
          <t>2018-11-04 06:54:02</t>
        </is>
      </c>
      <c r="H5563" t="inlineStr">
        <is>
          <t>Type 1</t>
        </is>
      </c>
    </row>
    <row r="5564">
      <c r="A5564" t="inlineStr">
        <is>
          <t>9u4q8o</t>
        </is>
      </c>
      <c r="B5564" t="inlineStr">
        <is>
          <t>My 17 year old brother just got diagnosed with Type 1 diabetes</t>
        </is>
      </c>
      <c r="C5564" t="inlineStr">
        <is>
          <t xml:space="preserve">My brother just got diagnosed with type 1 and he’s really scared. He wants to go to college next year but his doctor indicated it might take longer than that to get this under control. He’s scared about his health and how it will effect his future. How can I support him and help him through this? </t>
        </is>
      </c>
      <c r="D5564" t="n">
        <v>1</v>
      </c>
      <c r="E5564" t="n">
        <v>26</v>
      </c>
      <c r="F5564">
        <f>HYPERLINK("https://www.reddit.com/r/diabetes/comments/9u4q8o/my_17_year_old_brother_just_got_diagnosed_with/")</f>
        <v/>
      </c>
      <c r="G5564" t="inlineStr">
        <is>
          <t>2018-11-04 08:36:50</t>
        </is>
      </c>
      <c r="H5564" t="inlineStr">
        <is>
          <t>Type 1</t>
        </is>
      </c>
    </row>
    <row r="5565">
      <c r="A5565" t="inlineStr">
        <is>
          <t>9u5mww</t>
        </is>
      </c>
      <c r="B5565" t="inlineStr">
        <is>
          <t>XDrip+ with Dexcom G6a and Tandem t:slim X2</t>
        </is>
      </c>
      <c r="C5565" t="inlineStr">
        <is>
          <t>Currently have a G6 and works great with my Android phone. I am getting a t:slim X2. Will XDrip+ work with this new scenario? Ifs there any benefit over using the stock Dexcom app?</t>
        </is>
      </c>
      <c r="D5565" t="n">
        <v>1</v>
      </c>
      <c r="E5565" t="n">
        <v>3</v>
      </c>
      <c r="F5565">
        <f>HYPERLINK("https://www.reddit.com/r/diabetes/comments/9u5mww/xdrip_with_dexcom_g6a_and_tandem_tslim_x2/")</f>
        <v/>
      </c>
      <c r="G5565" t="inlineStr">
        <is>
          <t>2018-11-04 10:18:14</t>
        </is>
      </c>
      <c r="H5565" t="inlineStr">
        <is>
          <t>Type 1</t>
        </is>
      </c>
    </row>
    <row r="5566">
      <c r="A5566" t="inlineStr">
        <is>
          <t>9u7014</t>
        </is>
      </c>
      <c r="B5566" t="inlineStr">
        <is>
          <t>Looking for Medtronic Pump 522/722 523/723 554/754 with Firmware 2.4 or lower</t>
        </is>
      </c>
      <c r="C5566" t="inlineStr">
        <is>
          <t>Hello! I am a T1D and am looking to build a closed loop system using LoopKit. If anyone is willing to part with one, I would be forever grateful (and am also willing to pay for it)! Thanks in advance!</t>
        </is>
      </c>
      <c r="D5566" t="n">
        <v>1</v>
      </c>
      <c r="E5566" t="n">
        <v>13</v>
      </c>
      <c r="F5566">
        <f>HYPERLINK("https://www.reddit.com/r/diabetes/comments/9u7014/looking_for_medtronic_pump_522722_523723_554754/")</f>
        <v/>
      </c>
      <c r="G5566" t="inlineStr">
        <is>
          <t>2018-11-04 12:53:01</t>
        </is>
      </c>
      <c r="H5566" t="inlineStr">
        <is>
          <t>Type 1</t>
        </is>
      </c>
    </row>
    <row r="5567">
      <c r="A5567" t="inlineStr">
        <is>
          <t>9u762l</t>
        </is>
      </c>
      <c r="B5567" t="inlineStr">
        <is>
          <t>help deciding between libre &amp;amp; dexcom</t>
        </is>
      </c>
      <c r="C5567" t="inlineStr">
        <is>
          <t>I'm trying to decide between the libre and dexcom.  I've tried to read a bit but maybe there is information overload or its too much info to hunt through.  I currently have an omnipod right now...
&amp;amp;#x200B;
Things I don't care about:  A) sharing my reading with others B) alarms for alerting going low/high
1.  \#1 most important thing to me is how discrete it is.   I don't like things sticking out because frankly it gets annoying having to answer questions about this stuff all the time.  Am I correct that the libre is a bit smaller and flatter?  
2. \#2 is how 'sticky' it is and resistant to falling off.  As far as my Omnipods - I can only wear them on the side of my stomach or else they fall off.    I lift weights  3 out of every 4 days and am fairly muscular &amp;amp; lean.  I don't have a bunch of fat on my arms or legs to easily stick something to.  That said, I know or think both of these are smaller than omnipod as well as flatter, so maybe this isn't an issue?
3. Can only the Dexcom sync with iPhone or apple watch?  I saw something that the libre can do something like this but the app is only in Europe?  I think I saw that this is done with the NFC chip?  I believe apple watches have this as well so will I be able to 'wand' with either my iPhone or the Watch?
4. When is this app coming to the USA?  I checked on my iphone and i don't see it.
5. I read that there is either a 10 day or 14 day freestyle libre patch option?  Do these have a 'hard' stop after that time?  For instance Omnipod will last another 8 hours than squeal.
6. Do either the Dexcom or Libre scream or squeal or make any noise at all?  Nothing is worse than being in a room and people hear you beeping and then you have to explain.
7. Do the sensors 'expire' quickly?  For example maybe I'd want to switch on and off between test strips and one of these.  I don't want to go to my closet and try and use one of these only to realize it won't work anymore.  Omnipod is like this, but it seems their pods will work for about 12 months after expiration.</t>
        </is>
      </c>
      <c r="D5567" t="n">
        <v>1</v>
      </c>
      <c r="E5567" t="n">
        <v>3</v>
      </c>
      <c r="F5567">
        <f>HYPERLINK("https://www.reddit.com/r/diabetes/comments/9u762l/help_deciding_between_libre_dexcom/")</f>
        <v/>
      </c>
      <c r="G5567" t="inlineStr">
        <is>
          <t>2018-11-04 13:12:00</t>
        </is>
      </c>
      <c r="H5567" t="inlineStr">
        <is>
          <t>Type 1</t>
        </is>
      </c>
    </row>
    <row r="5568">
      <c r="A5568" t="inlineStr">
        <is>
          <t>9u81py</t>
        </is>
      </c>
      <c r="B5568" t="inlineStr">
        <is>
          <t>Can You Reverse Diabetes</t>
        </is>
      </c>
      <c r="C5568" t="inlineStr">
        <is>
          <t>My A1C has been 5.3-5.5 for at least three years. I have also lost 50 lbs. I asked my doctor if I had reversed my diabetes. He said the only way to know is if I go back to my old eating habits and get diabetes again. Is this right?</t>
        </is>
      </c>
      <c r="D5568" t="n">
        <v>1</v>
      </c>
      <c r="E5568" t="n">
        <v>2</v>
      </c>
      <c r="F5568">
        <f>HYPERLINK("https://www.reddit.com/r/diabetes/comments/9u81py/can_you_reverse_diabetes/")</f>
        <v/>
      </c>
      <c r="G5568" t="inlineStr">
        <is>
          <t>2018-11-04 14:57:12</t>
        </is>
      </c>
      <c r="H5568" t="inlineStr">
        <is>
          <t>Type 2</t>
        </is>
      </c>
    </row>
    <row r="5569">
      <c r="A5569" t="inlineStr">
        <is>
          <t>9uam3q</t>
        </is>
      </c>
      <c r="B5569" t="inlineStr">
        <is>
          <t>Onset of T1D?</t>
        </is>
      </c>
      <c r="C5569" t="inlineStr">
        <is>
          <t xml:space="preserve">Something going on with my 6yr old daughter. Her A1C is high (6.4) it was 5.3 about year ago. Antibodies screening came back as negative. Her OGTT scores are higher than normal. We are monitoring her urine and blood. Her blood touches 210+ often and urine multisymptom strips show glucose,leucocytes,ph and bilrubin high. No ketones. I'm so confused if this is onset of T1D or something else. Did anyone came along same path? If this is T1D onset, possible to push that little with diet or exercise? Her cholesterol levels are normal. </t>
        </is>
      </c>
      <c r="D5569" t="n">
        <v>1</v>
      </c>
      <c r="E5569" t="n">
        <v>14</v>
      </c>
      <c r="F5569">
        <f>HYPERLINK("https://www.reddit.com/r/diabetes/comments/9uam3q/onset_of_t1d/")</f>
        <v/>
      </c>
      <c r="G5569" t="inlineStr">
        <is>
          <t>2018-11-04 20:43:03</t>
        </is>
      </c>
      <c r="H5569" t="inlineStr">
        <is>
          <t>Type 1</t>
        </is>
      </c>
    </row>
    <row r="5570">
      <c r="A5570" t="inlineStr">
        <is>
          <t>9ugenl</t>
        </is>
      </c>
      <c r="B5570" t="inlineStr">
        <is>
          <t>Insurance no longer covers Bydureon when it renews in January - are these alternatives any good?</t>
        </is>
      </c>
      <c r="C5570" t="inlineStr">
        <is>
          <t xml:space="preserve">Hey everyone. I've been on Bydureon for a year, and have seen great success with it. My last measured A1C was 6.2. I also take two Metformin a day in addition to Metoprolol. Now that I've had to re-enroll for insurance for Marketplace coverage, it looks like my insurance will no longer cover it. It's going to be massively expensive otherwise. It looks like Ozempic, Trulicity, and Victoza are all covered, though. Has anyone had any experience switching from Bydureon to one of these medicines? I'm going to see my doctor in January for a check-up, but am concerned about having to change. </t>
        </is>
      </c>
      <c r="D5570" t="n">
        <v>1</v>
      </c>
      <c r="E5570" t="n">
        <v>3</v>
      </c>
      <c r="F5570">
        <f>HYPERLINK("https://www.reddit.com/r/diabetes/comments/9ugenl/insurance_no_longer_covers_bydureon_when_it/")</f>
        <v/>
      </c>
      <c r="G5570" t="inlineStr">
        <is>
          <t>2018-11-05 10:58:34</t>
        </is>
      </c>
      <c r="H5570" t="inlineStr">
        <is>
          <t>Type 2</t>
        </is>
      </c>
    </row>
    <row r="5571">
      <c r="A5571" t="inlineStr">
        <is>
          <t>9uhmdx</t>
        </is>
      </c>
      <c r="B5571" t="inlineStr">
        <is>
          <t>How can I lower blood sugar quickly without insulin?</t>
        </is>
      </c>
      <c r="C5571" t="inlineStr">
        <is>
          <t>Hey I have type two and I don’t have any access to insulin right now and I’m starting to feel pretty sick. Is there any way to lower blood sugar quickly without insulin? I can’t really afford to go to the hospital right now...</t>
        </is>
      </c>
      <c r="D5571" t="n">
        <v>1</v>
      </c>
      <c r="E5571" t="n">
        <v>15</v>
      </c>
      <c r="F5571">
        <f>HYPERLINK("https://www.reddit.com/r/diabetes/comments/9uhmdx/how_can_i_lower_blood_sugar_quickly_without/")</f>
        <v/>
      </c>
      <c r="G5571" t="inlineStr">
        <is>
          <t>2018-11-05 13:06:30</t>
        </is>
      </c>
      <c r="H5571" t="inlineStr">
        <is>
          <t>Type 2</t>
        </is>
      </c>
    </row>
    <row r="5572">
      <c r="A5572" t="inlineStr">
        <is>
          <t>9uj019</t>
        </is>
      </c>
      <c r="B5572" t="inlineStr">
        <is>
          <t>Trouble losing weight</t>
        </is>
      </c>
      <c r="C5572" t="inlineStr">
        <is>
          <t>I'm 17 and I've got diabetes for about 8 years. Since I stabilized it I put a little on weight, I'd like to lose it, but I can't? I was dieting for about three months and exercising for two, AND NOTHING LITERALLY HAPPENED. I lost two pounds, I think, I don't remember now. Am I doing something wrong?</t>
        </is>
      </c>
      <c r="D5572" t="n">
        <v>1</v>
      </c>
      <c r="E5572" t="n">
        <v>6</v>
      </c>
      <c r="F5572">
        <f>HYPERLINK("https://www.reddit.com/r/diabetes/comments/9uj019/trouble_losing_weight/")</f>
        <v/>
      </c>
      <c r="G5572" t="inlineStr">
        <is>
          <t>2018-11-05 15:44:26</t>
        </is>
      </c>
      <c r="H5572" t="inlineStr">
        <is>
          <t>Type 1</t>
        </is>
      </c>
    </row>
    <row r="5573">
      <c r="A5573" t="inlineStr">
        <is>
          <t>9ukwgp</t>
        </is>
      </c>
      <c r="B5573" t="inlineStr">
        <is>
          <t>The not-so-blind beautician (updates)</t>
        </is>
      </c>
      <c r="C5573" t="inlineStr">
        <is>
          <t xml:space="preserve">Almost 3 months ago, I posted about my ~adventures~ in diabetic retinopathy. Just wanted to share that 1 month ago, I got cleared to drive and I now have a job! I am having vitrectomy in a few months because there's a blob that won't clear in the top corner of one of my eyes.
I do also wanna say thank you to everyone who left the judgment behind, shared love and light, and sent encouragement to me. It means everything. ❤️ Here's to bigger, better, and literally brighter days. </t>
        </is>
      </c>
      <c r="D5573" t="n">
        <v>1</v>
      </c>
      <c r="E5573" t="n">
        <v>2</v>
      </c>
      <c r="F5573">
        <f>HYPERLINK("https://www.reddit.com/r/diabetes/comments/9ukwgp/the_notsoblind_beautician_updates/")</f>
        <v/>
      </c>
      <c r="G5573" t="inlineStr">
        <is>
          <t>2018-11-05 19:39:14</t>
        </is>
      </c>
      <c r="H5573" t="inlineStr">
        <is>
          <t>Type 1</t>
        </is>
      </c>
    </row>
    <row r="5574">
      <c r="A5574" t="inlineStr">
        <is>
          <t>9ungmd</t>
        </is>
      </c>
      <c r="B5574" t="inlineStr">
        <is>
          <t>Why does hyperglycemia increase insulin resistance?</t>
        </is>
      </c>
      <c r="C5574" t="inlineStr">
        <is>
          <t>Title</t>
        </is>
      </c>
      <c r="D5574" t="n">
        <v>1</v>
      </c>
      <c r="E5574" t="n">
        <v>3</v>
      </c>
      <c r="F5574">
        <f>HYPERLINK("https://www.reddit.com/r/diabetes/comments/9ungmd/why_does_hyperglycemia_increase_insulin_resistance/")</f>
        <v/>
      </c>
      <c r="G5574" t="inlineStr">
        <is>
          <t>2018-11-06 03:12:44</t>
        </is>
      </c>
      <c r="H5574" t="inlineStr">
        <is>
          <t>Type 1</t>
        </is>
      </c>
    </row>
    <row r="5575">
      <c r="A5575" t="inlineStr">
        <is>
          <t>9upitv</t>
        </is>
      </c>
      <c r="B5575" t="inlineStr">
        <is>
          <t>Oatmeal</t>
        </is>
      </c>
      <c r="C5575" t="inlineStr">
        <is>
          <t xml:space="preserve">Every time I eat oatmeal I then take appropriate bolus via pump. AND then bam I get a hypoglycemic reading. Today it was 67. Wondering specifically what oatmeal does to cause this? </t>
        </is>
      </c>
      <c r="D5575" t="n">
        <v>1</v>
      </c>
      <c r="E5575" t="n">
        <v>4</v>
      </c>
      <c r="F5575">
        <f>HYPERLINK("https://www.reddit.com/r/diabetes/comments/9upitv/oatmeal/")</f>
        <v/>
      </c>
      <c r="G5575" t="inlineStr">
        <is>
          <t>2018-11-06 07:59:05</t>
        </is>
      </c>
      <c r="H5575" t="inlineStr">
        <is>
          <t>Type 1</t>
        </is>
      </c>
    </row>
    <row r="5576">
      <c r="A5576" t="inlineStr">
        <is>
          <t>9upzgv</t>
        </is>
      </c>
      <c r="B5576" t="inlineStr">
        <is>
          <t>Frequent signal loss on the G6</t>
        </is>
      </c>
      <c r="C5576" t="inlineStr">
        <is>
          <t>Hi all!
Just wanted to see if anyone else experienced frequent signal loss on the G6 app. Seems like every couple of hours it cuts out on my phone. My receiver works but one of the big reasons I got the G6 was for the app.</t>
        </is>
      </c>
      <c r="D5576" t="n">
        <v>1</v>
      </c>
      <c r="E5576" t="n">
        <v>9</v>
      </c>
      <c r="F5576">
        <f>HYPERLINK("https://www.reddit.com/r/diabetes/comments/9upzgv/frequent_signal_loss_on_the_g6/")</f>
        <v/>
      </c>
      <c r="G5576" t="inlineStr">
        <is>
          <t>2018-11-06 08:49:30</t>
        </is>
      </c>
      <c r="H5576" t="inlineStr">
        <is>
          <t>Type 1</t>
        </is>
      </c>
    </row>
    <row r="5577">
      <c r="A5577" t="inlineStr">
        <is>
          <t>9uq3q2</t>
        </is>
      </c>
      <c r="B5577" t="inlineStr">
        <is>
          <t>App that does everything???</t>
        </is>
      </c>
      <c r="C5577" t="inlineStr">
        <is>
          <t>I am HORRIBLE about remembering to interact with my phone for anything diabetes related, since getting the Dexcom, it's better but I am still struggling to find an app that can take my BG, my food , my activity  and just all work together...
I've tried glooko- great except it  doesnt integrate with anything (unless I'm blind and just not seeing the way to get xdrip and google fit/samsung health to integrate) 
myfitnesspal has an awesome food library but the app annoys me when I just want to look up carbs in something and doesnt track glucose 
mynetdiary is the same as fitness pal but has a pay option for the useful stuff lmao
 Does anyone use anything that's more of a jack of all trades app? I dont mind paying 10 bucks for an app if it can do a good majority.</t>
        </is>
      </c>
      <c r="D5577" t="n">
        <v>1</v>
      </c>
      <c r="E5577" t="n">
        <v>11</v>
      </c>
      <c r="F5577">
        <f>HYPERLINK("https://www.reddit.com/r/diabetes/comments/9uq3q2/app_that_does_everything/")</f>
        <v/>
      </c>
      <c r="G5577" t="inlineStr">
        <is>
          <t>2018-11-06 09:02:06</t>
        </is>
      </c>
      <c r="H5577" t="inlineStr">
        <is>
          <t>Type 1</t>
        </is>
      </c>
    </row>
    <row r="5578">
      <c r="A5578" t="inlineStr">
        <is>
          <t>9ur1vk</t>
        </is>
      </c>
      <c r="B5578" t="inlineStr">
        <is>
          <t>High morning blood sugars- what do</t>
        </is>
      </c>
      <c r="C5578" t="inlineStr">
        <is>
          <t xml:space="preserve">I've just been diagnosed with type 2 diabetes last week. I'm 5' and 100lbs if that matters, my goal is 30-45g of carbs per meal.
My blood sugar is high (10-13mmol/L) between 9:45-10:45 AM, about 2 hrs after I eat breakfast. This morning consisted of a whole wheat English muffin, avocado, spinach, mozzarella cheese and a fried egg. For meds: I take 2 metformin after breakfast and 1 gliclazide. 
I'm just curious about what I'm doing wrong, is there anything I can do to ensure a better BS reading? I'm so nervous about what I'm eating, this is all so new to me and I'm scared of fucking up. 
Any advice is appreciated! :) </t>
        </is>
      </c>
      <c r="D5578" t="n">
        <v>1</v>
      </c>
      <c r="E5578" t="n">
        <v>12</v>
      </c>
      <c r="F5578">
        <f>HYPERLINK("https://www.reddit.com/r/diabetes/comments/9ur1vk/high_morning_blood_sugars_what_do/")</f>
        <v/>
      </c>
      <c r="G5578" t="inlineStr">
        <is>
          <t>2018-11-06 10:41:45</t>
        </is>
      </c>
      <c r="H5578" t="inlineStr">
        <is>
          <t>Type 2</t>
        </is>
      </c>
    </row>
    <row r="5579">
      <c r="A5579" t="inlineStr">
        <is>
          <t>9urpe6</t>
        </is>
      </c>
      <c r="B5579" t="inlineStr">
        <is>
          <t>Librelink IOS app available in US app store!</t>
        </is>
      </c>
      <c r="C5579" t="inlineStr">
        <is>
          <t>Librelink now available for IOS in the US!  Sucks I just paid for the 14 day reader a few days ago...</t>
        </is>
      </c>
      <c r="D5579" t="n">
        <v>1</v>
      </c>
      <c r="E5579" t="n">
        <v>1</v>
      </c>
      <c r="F5579">
        <f>HYPERLINK("https://www.reddit.com/r/diabetes/comments/9urpe6/librelink_ios_app_available_in_us_app_store/")</f>
        <v/>
      </c>
      <c r="G5579" t="inlineStr">
        <is>
          <t>2018-11-06 11:51:39</t>
        </is>
      </c>
      <c r="H5579" t="inlineStr">
        <is>
          <t>Type 1.5/LADA</t>
        </is>
      </c>
    </row>
    <row r="5580">
      <c r="A5580" t="inlineStr">
        <is>
          <t>9uuqyc</t>
        </is>
      </c>
      <c r="B5580" t="inlineStr">
        <is>
          <t>Need some advice/help. Type 2/Gestational and asthma</t>
        </is>
      </c>
      <c r="C5580" t="inlineStr">
        <is>
          <t xml:space="preserve">I'm 19 weeks pregnant. At 8 weeks my blood draw showed my A1C was 5.6, which my doctors consider prediabetic. (This would show my prior blood sugar not effected by the pregnancy)
At 12 weeks I was given a monitor and diet plan and my dietitian said she'd, "treat me like a type 2". I don't actually know what I have been formally diagnosed with.
So far I think my numbers have been fine.
I also have asthma. The past month it has not been well controlled. I used my rescue inhaler 138 times in a WEEK. I got into a doctor asap.
Went yesterday and got put on two meds. Insurance won't cover one, so today I got a call saying which one I can have and they'll send it to the pharmacy. 
I looked it up, its flovent, which is a glucocorticoid. Considering the word "gluco" in that I looked that up too. 
Some studies show it to spike sugars. A lot more personally testimony says it does too. So far I've been diet controlled and I really don't want to go on insulin. 
Has anyone else taken Flovent, Qvar, or Plumicort? What does it do to your blood sugar?
I see my dietitian on the 16th, should I test it out and see what it does to my blood sugar or ask her first? All doctors offices are closed, should I call tomorrow and ask them or wait?
Guess I'm just trying to see if any of you guys have taken these meds and their effects on you. Or any advice really. I feel like my doctors and my dietitian have sort of thrown me to the wind with a, "good luck!". 
</t>
        </is>
      </c>
      <c r="D5580" t="n">
        <v>1</v>
      </c>
      <c r="E5580" t="n">
        <v>10</v>
      </c>
      <c r="F5580">
        <f>HYPERLINK("https://www.reddit.com/r/diabetes/comments/9uuqyc/need_some_advicehelp_type_2gestational_and_asthma/")</f>
        <v/>
      </c>
      <c r="G5580" t="inlineStr">
        <is>
          <t>2018-11-06 17:34:57</t>
        </is>
      </c>
      <c r="H5580" t="inlineStr">
        <is>
          <t>Type 2</t>
        </is>
      </c>
    </row>
    <row r="5581">
      <c r="A5581" t="inlineStr">
        <is>
          <t>9uwtjs</t>
        </is>
      </c>
      <c r="B5581" t="inlineStr">
        <is>
          <t>All symptoms pointing to T1. Dr appointment booked already but I'm scared and nervous.</t>
        </is>
      </c>
      <c r="C5581" t="inlineStr">
        <is>
          <t xml:space="preserve">I'm a 21 yr old female. 3/4 of my grandparents, my father, and a handful of aunts and uncles have diabetes, so I know I'm not just scaring myself for nothing. For the past few months I've developed an insatiable thirst. I'm drinking almost a gallon of water daily but my mouth is still constantly dry. I have the urge to urinate at least twice in an hour, minimum once per hour even when I'm not drinking any water. I've also been dealing with extreme fatigue and feeling faint randomly. Given my intensive family background of diabetics, I understand that a diagnosis is very likely.
&amp;amp;#x200B;
I will be seeing a doctor shortly but I guess I'm just looking for some encouragement and advice. How did you first find out? Did you have the same symptoms as me? How did you deal with the diagnosis and how did you break the news to your loved ones? I might be thinking too far ahead but I'm just trying to prepare myself for the worst. </t>
        </is>
      </c>
      <c r="D5581" t="n">
        <v>1</v>
      </c>
      <c r="E5581" t="n">
        <v>20</v>
      </c>
      <c r="F5581">
        <f>HYPERLINK("https://www.reddit.com/r/diabetes/comments/9uwtjs/all_symptoms_pointing_to_t1_dr_appointment_booked/")</f>
        <v/>
      </c>
      <c r="G5581" t="inlineStr">
        <is>
          <t>2018-11-06 21:59:28</t>
        </is>
      </c>
      <c r="H5581" t="inlineStr">
        <is>
          <t>Type 1</t>
        </is>
      </c>
    </row>
    <row r="5582">
      <c r="A5582" t="inlineStr">
        <is>
          <t>9uxou4</t>
        </is>
      </c>
      <c r="B5582" t="inlineStr">
        <is>
          <t>The Probability of having Diabetes mellitus in Tuberculosis in patients: A descriptive analysis</t>
        </is>
      </c>
      <c r="C5582" t="inlineStr">
        <is>
          <t xml:space="preserve"> The risk of TB amongst DM patients is three times higher than those without. The estimated national prevalence of DM is 7.3% in India. Despite the growing burden of DM, there are limited studies describing the prevalence of TB-DM in India. 
 A total of 728 TB patients met the eligibility criteria, 517 (71%) were male, 210 (29%) female, 406 (56%) had PTB and 322 (44%) had EPTB. Amongst those with a nutritional status, 36 (30%) patients were underweight (BMI &amp;lt;18.4 kg/m2), 73 (40%) had a normal BMI (18.5kg/m2–24.9 kg/m2), 15 (8%) were overweight (BMI 25.0 kg/m2–29.9 kg/m2) and 9 (5%) were obese (BMI &amp;gt;30.0 kg/m2). A total of 720 (98.9%) of TB patients had at least one blood sugar test result. The overall prevalence of **DM (n = 184) amongst TB patients was 25.3% (95% CI 22.2%, 28.6%).** When stratified, it was **35.0% (30.4%, 39.9%) and 13.0% (9.7%, 17.3%) amongst PTB and EPTB patients respectively**. **TB patients aged 41–60 years had 3.51 times higher odds (aOR 3.51 (2.08, 6.07)) of having DM than patients 40 years or younger**. Patients aged 60 years or older had 2.49 times higher odds (aOR 2.49 (1.28, 4.85)) of having DM than younger patients (&amp;lt;40 years). Females had lower odds (aOR 0.80 (0.46, 1.37)) of developing DM than male TB patients and patients with a history of TB had lower odds (aOR 0.73 (0.39, 1.32)) than newly diagnosed TB patients. Additionally, EPTB patients had significantly lower odds (aOR 0.26 (0.15, 0.43)) compared to PTB patients. Underweight patients also had significantly lower odds (aOR 0.25 (0.14, 0.42)) of having DM than normal weight patients. </t>
        </is>
      </c>
      <c r="D5582" t="n">
        <v>1</v>
      </c>
      <c r="E5582" t="n">
        <v>1</v>
      </c>
      <c r="F5582">
        <f>HYPERLINK("https://www.reddit.com/r/diabetes/comments/9uxou4/the_probability_of_having_diabetes_mellitus_in/")</f>
        <v/>
      </c>
      <c r="G5582" t="inlineStr">
        <is>
          <t>2018-11-07 00:26:03</t>
        </is>
      </c>
      <c r="H5582" t="inlineStr">
        <is>
          <t>Type 2</t>
        </is>
      </c>
    </row>
    <row r="5583">
      <c r="A5583" t="inlineStr">
        <is>
          <t>9v2spl</t>
        </is>
      </c>
      <c r="B5583" t="inlineStr">
        <is>
          <t>Just a quick question,</t>
        </is>
      </c>
      <c r="C5583" t="inlineStr">
        <is>
          <t>When you are in the state of hyperglycemia, does your body tend to break down muscle or fat for energy? (Assuming that the reason you are in hyperglycemia is due to eating carbs)</t>
        </is>
      </c>
      <c r="D5583" t="n">
        <v>1</v>
      </c>
      <c r="E5583" t="n">
        <v>7</v>
      </c>
      <c r="F5583">
        <f>HYPERLINK("https://www.reddit.com/r/diabetes/comments/9v2spl/just_a_quick_question/")</f>
        <v/>
      </c>
      <c r="G5583" t="inlineStr">
        <is>
          <t>2018-11-07 12:01:20</t>
        </is>
      </c>
      <c r="H5583" t="inlineStr">
        <is>
          <t>Type 1</t>
        </is>
      </c>
    </row>
    <row r="5584">
      <c r="A5584" t="inlineStr">
        <is>
          <t>9v3p4k</t>
        </is>
      </c>
      <c r="B5584" t="inlineStr">
        <is>
          <t>Any T1D people looked into pancreatic stem cell treatments?</t>
        </is>
      </c>
      <c r="C5584" t="inlineStr">
        <is>
          <t xml:space="preserve">Plenty of studies saying that stem cell transplants have shown promise, but there are no clinics or doctors who administer the treatment. Thoughts?
&amp;amp;#x200B;
Also, what are you thoughts on Dr. Longo's work out of USC? Using 6-7 cycles of fasting/refeeding - 5 days fasting, 10 days refeeding, then 5 days fasting again, he was able to regenerate insulin-producing beta cells in mice, as well as in isolated human pancreas cells. He's currently working on human clinical trials, but his results so far are exciting. </t>
        </is>
      </c>
      <c r="D5584" t="n">
        <v>1</v>
      </c>
      <c r="E5584" t="n">
        <v>8</v>
      </c>
      <c r="F5584">
        <f>HYPERLINK("https://www.reddit.com/r/diabetes/comments/9v3p4k/any_t1d_people_looked_into_pancreatic_stem_cell/")</f>
        <v/>
      </c>
      <c r="G5584" t="inlineStr">
        <is>
          <t>2018-11-07 13:40:02</t>
        </is>
      </c>
      <c r="H5584" t="inlineStr">
        <is>
          <t>Type 1</t>
        </is>
      </c>
    </row>
    <row r="5585">
      <c r="A5585" t="inlineStr">
        <is>
          <t>9v452r</t>
        </is>
      </c>
      <c r="B5585" t="inlineStr">
        <is>
          <t>What's the best idea of a trail mix for a T1 Juvenile Diabetic?</t>
        </is>
      </c>
      <c r="C5585" t="inlineStr">
        <is>
          <t xml:space="preserve">If you don't know what are the best ingredients, at least tell me what to avoid. Do cashews have glucose? I'm clueless. Thanks. </t>
        </is>
      </c>
      <c r="D5585" t="n">
        <v>1</v>
      </c>
      <c r="E5585" t="n">
        <v>21</v>
      </c>
      <c r="F5585">
        <f>HYPERLINK("https://www.reddit.com/r/diabetes/comments/9v452r/whats_the_best_idea_of_a_trail_mix_for_a_t1/")</f>
        <v/>
      </c>
      <c r="G5585" t="inlineStr">
        <is>
          <t>2018-11-07 14:29:59</t>
        </is>
      </c>
      <c r="H5585" t="inlineStr">
        <is>
          <t>Type 1</t>
        </is>
      </c>
    </row>
    <row r="5586">
      <c r="A5586" t="inlineStr">
        <is>
          <t>9v4a7d</t>
        </is>
      </c>
      <c r="B5586" t="inlineStr">
        <is>
          <t>Time To Boast</t>
        </is>
      </c>
      <c r="C5586" t="inlineStr">
        <is>
          <t xml:space="preserve">Got my A1C back today..... 5.5!!  i am still new to all of this stuff, 7 months in, and I really had no idea how I was doing or how the A1C really worked until today. My endo gave me a big congratulatory pat on the back. It feels like a big weight has been lifted off my shoulders. </t>
        </is>
      </c>
      <c r="D5586" t="n">
        <v>1</v>
      </c>
      <c r="E5586" t="n">
        <v>4</v>
      </c>
      <c r="F5586">
        <f>HYPERLINK("https://www.reddit.com/r/diabetes/comments/9v4a7d/time_to_boast/")</f>
        <v/>
      </c>
      <c r="G5586" t="inlineStr">
        <is>
          <t>2018-11-07 14:46:20</t>
        </is>
      </c>
      <c r="H5586" t="inlineStr">
        <is>
          <t>Type 1</t>
        </is>
      </c>
    </row>
    <row r="5587">
      <c r="A5587" t="inlineStr">
        <is>
          <t>9v4qhr</t>
        </is>
      </c>
      <c r="B5587" t="inlineStr">
        <is>
          <t>Questions about the Omnipod and about infusion sites in general.</t>
        </is>
      </c>
      <c r="C5587" t="inlineStr">
        <is>
          <t>I have been using pens since my diagnosis early this year, and have been managing really well. However, sometimes my basal needs fluctuate, due to sports, or just because I need a little less or a little more insulin on some days (basal needs always fluctuate in humans from day to day). Also, a square wave or extended bolus for higher carb higher fat meals would have saved me from getting some serious hypos in the past. I could split the pen bolus, but anything more than 3 shots quickly becomes tedious and causes me to rotate injection sites too quickly.
So, I am probably going for the Omnipod. I very much like the tubeless design, but I do have concerns:
1. The pump is fairly small, but it is still a big area of skin that gets adhesive slapped on top. I am worried that this might provoke some allergic or even autoimmune reaction to the adhesive, and in the worst case, cause reactions to the Libre's adhesive as well. And I do not want to lose the Libre! Do you know of any such cases? Or did you develop skin problems from the Omnipod's adhesive?
2. What about the adhesive of pumps in general? Are adhesives of "traditional" tubed pumps less likely to cause skin reactions due to the size of the infusion site?
3. Omnipod failures. I run a very very tight ship when it comes to the BG. A failed pod causing my BG to skyrocket sounds like a nightmare to me, especially since it probably takes hours and hours to bring it back down. How likely is a pod going to fail, how often has one failed you?
4. How often has the PDM failed, and if so, what did you do with regards to the pod? Leave it running?
5. How many of you change the infusion site every 2 days instead of 3? A good friend who uses an Accu-Check Combo changes his infusions every 2 days instead of 3, because he is worried he'd develop absorption problems after 10 years or so. Infusion sets are cheaper than Omnipods, so it is unlikely that the insurance would cover more pods so that I can wear them for 2 days. What do you think?
6. Any reasons why you'd recommend to *not* get an Omnipod? If so, what pump would you recommend instead? (Be aware that my options are: Omnipod, Ypsopump, Accu-Check Insight, Medtronic 640G)
7. Any reasons why I absolutely *should* get an Omnipod?
8. Failure alert. Is there any known way to get a silent alert? Imagine you are sitting in the subway for example and the pod fails. It would be good to not have a loud beep coming out of the pod in that situation, right?
9. Any other suggestions, tips, or other things I should be aware of regarding the Omnipod?</t>
        </is>
      </c>
      <c r="D5587" t="n">
        <v>1</v>
      </c>
      <c r="E5587" t="n">
        <v>6</v>
      </c>
      <c r="F5587">
        <f>HYPERLINK("https://www.reddit.com/r/diabetes/comments/9v4qhr/questions_about_the_omnipod_and_about_infusion/")</f>
        <v/>
      </c>
      <c r="G5587" t="inlineStr">
        <is>
          <t>2018-11-07 15:39:59</t>
        </is>
      </c>
      <c r="H5587" t="inlineStr">
        <is>
          <t>Type 1</t>
        </is>
      </c>
    </row>
    <row r="5588">
      <c r="A5588" t="inlineStr">
        <is>
          <t>9v8vsn</t>
        </is>
      </c>
      <c r="B5588" t="inlineStr">
        <is>
          <t>Tslim x2 pump - cancel a bolus?</t>
        </is>
      </c>
      <c r="C5588" t="inlineStr">
        <is>
          <t>Trying to figure out how to stop the pump from delivering the rest of a bolus (stopping the insulin on board). The user manual says to press the red X next to "bolus" but that only appears if you don't have a CGM. I don't have a red X on my screen. Help! 
I don't want to just "stop insulin" because it will give an annoying alarm after awhile.</t>
        </is>
      </c>
      <c r="D5588" t="n">
        <v>1</v>
      </c>
      <c r="E5588" t="n">
        <v>3</v>
      </c>
      <c r="F5588">
        <f>HYPERLINK("https://www.reddit.com/r/diabetes/comments/9v8vsn/tslim_x2_pump_cancel_a_bolus/")</f>
        <v/>
      </c>
      <c r="G5588" t="inlineStr">
        <is>
          <t>2018-11-08 02:26:35</t>
        </is>
      </c>
      <c r="H5588" t="inlineStr">
        <is>
          <t>Type 1</t>
        </is>
      </c>
    </row>
    <row r="5589">
      <c r="A5589" t="inlineStr">
        <is>
          <t>9v9t5z</t>
        </is>
      </c>
      <c r="B5589" t="inlineStr">
        <is>
          <t>False hypoglycemia with every injection after switching from Humalog to Fiasp</t>
        </is>
      </c>
      <c r="C5589" t="inlineStr">
        <is>
          <t>I recently switched from Humalog to Fiasp insulin. My levels are okay and about the same as before. However, after every injection I get a sense of false hypoglycemia (all the symptoms but levels are actually fine) that begins 15 min. after injection and lasts for 90 minutes.
Have anyone experienced the same effect? I know Fiasp is supposed to be faster acting than Humalog, and my levels aren't dropping super-fast or anything else that sometimes can account for false hypoglycemia.</t>
        </is>
      </c>
      <c r="D5589" t="n">
        <v>1</v>
      </c>
      <c r="E5589" t="n">
        <v>2</v>
      </c>
      <c r="F5589">
        <f>HYPERLINK("https://www.reddit.com/r/diabetes/comments/9v9t5z/false_hypoglycemia_with_every_injection_after/")</f>
        <v/>
      </c>
      <c r="G5589" t="inlineStr">
        <is>
          <t>2018-11-08 05:05:29</t>
        </is>
      </c>
      <c r="H5589" t="inlineStr">
        <is>
          <t>Type 1</t>
        </is>
      </c>
    </row>
    <row r="5590">
      <c r="A5590" t="inlineStr">
        <is>
          <t>9v9vj8</t>
        </is>
      </c>
      <c r="B5590" t="inlineStr">
        <is>
          <t>Any other Type 1 have trouble loosing weight?</t>
        </is>
      </c>
      <c r="C5590" t="inlineStr">
        <is>
          <t>I’m a 19yr old male type 1, and for me loosing weight is possible it’s just a long process. Been working out since about February 3-5 times a week. But since then, in May and in August i had to stop for a few weeks cause i got sick and got a new tattoo. So far I’ve lost 21 pounds(from 260lbs-239lbs) . I use intermediate fasting from 8pm-12pm and eat from 12pm-8pm. I try to keep my calories per day around 2,000 but i usually still don’t even eat that much. My routine is around 45 mins of weights (usually full body, but sometimes I’ll focus on certain body parts) and 15 mins cardio. Sometimes i feel like i should have made more progress in the amount of time I’ve been going to the gym. I have lost a fair amount of fat, but my goal weight is 190-200. Just wondering if anyone has any tips or advice off of what I’ve said or if anyone else feels like they are struggling to loose weight?</t>
        </is>
      </c>
      <c r="D5590" t="n">
        <v>1</v>
      </c>
      <c r="E5590" t="n">
        <v>10</v>
      </c>
      <c r="F5590">
        <f>HYPERLINK("https://www.reddit.com/r/diabetes/comments/9v9vj8/any_other_type_1_have_trouble_loosing_weight/")</f>
        <v/>
      </c>
      <c r="G5590" t="inlineStr">
        <is>
          <t>2018-11-08 05:14:39</t>
        </is>
      </c>
      <c r="H5590" t="inlineStr">
        <is>
          <t>Type 1</t>
        </is>
      </c>
    </row>
    <row r="5591">
      <c r="A5591" t="inlineStr">
        <is>
          <t>9va0ae</t>
        </is>
      </c>
      <c r="B5591" t="inlineStr">
        <is>
          <t>Dexcom G6 companion app</t>
        </is>
      </c>
      <c r="C5591" t="inlineStr">
        <is>
          <t>Hello,
my daughter (&amp;lt;1 year) was diagnosed with type 1 diabetes a few weeks ago. Our curves are between 45mg/dl and 350mg/dl and only 25% in range.
We want to get our head around the causes and connections to the basal and bolus and carbs.
Now my wife and me are looking for an app to insert the basal, bolus and carbs and which syncs with the CGM. So we get a line graph with all the informations.
Can you recommend some apps? iOS preferred.</t>
        </is>
      </c>
      <c r="D5591" t="n">
        <v>1</v>
      </c>
      <c r="E5591" t="n">
        <v>8</v>
      </c>
      <c r="F5591">
        <f>HYPERLINK("https://www.reddit.com/r/diabetes/comments/9va0ae/dexcom_g6_companion_app/")</f>
        <v/>
      </c>
      <c r="G5591" t="inlineStr">
        <is>
          <t>2018-11-08 05:33:30</t>
        </is>
      </c>
      <c r="H5591" t="inlineStr">
        <is>
          <t>Type 1</t>
        </is>
      </c>
    </row>
    <row r="5592">
      <c r="A5592" t="inlineStr">
        <is>
          <t>9vah3w</t>
        </is>
      </c>
      <c r="B5592" t="inlineStr">
        <is>
          <t>Dexcom G6 xDrip Questions</t>
        </is>
      </c>
      <c r="C5592" t="inlineStr">
        <is>
          <t>Hi All,
Just wanted to ask a few questions about this combo - I got the google pixel 3 xl and it seems the standard G6 app isn't compatible with it (great!). I was wondering if I downloaded xDrip:
1. Would I be able to start the sensor from the xDrip app?
2. Would I be able to use xDrip to sync the data?
3. Would I be able to sync the data to my Android Wear watch?
Thanks in advance for any help anyone can give me.</t>
        </is>
      </c>
      <c r="D5592" t="n">
        <v>1</v>
      </c>
      <c r="E5592" t="n">
        <v>23</v>
      </c>
      <c r="F5592">
        <f>HYPERLINK("https://www.reddit.com/r/diabetes/comments/9vah3w/dexcom_g6_xdrip_questions/")</f>
        <v/>
      </c>
      <c r="G5592" t="inlineStr">
        <is>
          <t>2018-11-08 06:33:01</t>
        </is>
      </c>
      <c r="H5592" t="inlineStr">
        <is>
          <t>Type 1</t>
        </is>
      </c>
    </row>
    <row r="5593">
      <c r="A5593" t="inlineStr">
        <is>
          <t>9vd98j</t>
        </is>
      </c>
      <c r="B5593" t="inlineStr">
        <is>
          <t>Nightscout on wearables/ watches</t>
        </is>
      </c>
      <c r="C5593" t="inlineStr">
        <is>
          <t>I am looking for a wearable to view my blood sugar levels on. I previously had a Pebble Time and loved it but due to Fitbit eating them up I no longer have it. I am using the Medtronic 640g, connected to a contour next link to upload my levels. 
I have a OnePlus 6 (android phone), so, unfortunately, the apple watch is off bounds to me despite it looking like the best all-around option.  I am also interested in the Samsung gear/galaxy line of watches but am aware they run Tizen OS and may not be compatible with nights out widgets or watch faces. 
What smartwatches do you use for checking your levels and are you happy with them?  Moreover, I would like it to be good at other things like fitness tracking and have decent battery life etc... Thanks!</t>
        </is>
      </c>
      <c r="D5593" t="n">
        <v>1</v>
      </c>
      <c r="E5593" t="n">
        <v>10</v>
      </c>
      <c r="F5593">
        <f>HYPERLINK("https://www.reddit.com/r/diabetes/comments/9vd98j/nightscout_on_wearables_watches/")</f>
        <v/>
      </c>
      <c r="G5593" t="inlineStr">
        <is>
          <t>2018-11-08 11:48:14</t>
        </is>
      </c>
      <c r="H5593" t="inlineStr">
        <is>
          <t>Type 1</t>
        </is>
      </c>
    </row>
    <row r="5594">
      <c r="A5594" t="inlineStr">
        <is>
          <t>9vdhgx</t>
        </is>
      </c>
      <c r="B5594" t="inlineStr">
        <is>
          <t>How Soon does the Nerve Pain Set-in?</t>
        </is>
      </c>
      <c r="C5594" t="inlineStr">
        <is>
          <t>I believe I have type 1.5, heading towards full blown type 1. 
&amp;amp;#x200B;
I got my blood work done in early September. My fasting BS was 86, A1C was 4.7, but my C-Peptide was .08 - the very bottom of the normal range. I was already feeling some high BS symptoms at that time, and they've only gotten worse. Now, when I eat any fruit, I get bad nerve pain and thirst, urges to urinate, etc. 
&amp;amp;#x200B;
My main question is, is it natural for me to be experiencing nerve pain from high BS this early on? From what I've read, it takes diabetics years and years of high BS to develop Diabetic Neuropathy. 
&amp;amp;#x200B;
Also, generally speaking, do these symptoms sound like the ones you all are/were experiencing when you started developing T1.5D? I posted about my test results a few months back when they came back. Many on this board said I don't have diabetes because my BS and A1C are strong, but doesn't a low C-Pep indicate a case of Type 1.5?</t>
        </is>
      </c>
      <c r="D5594" t="n">
        <v>1</v>
      </c>
      <c r="E5594" t="n">
        <v>25</v>
      </c>
      <c r="F5594">
        <f>HYPERLINK("https://www.reddit.com/r/diabetes/comments/9vdhgx/how_soon_does_the_nerve_pain_setin/")</f>
        <v/>
      </c>
      <c r="G5594" t="inlineStr">
        <is>
          <t>2018-11-08 12:13:22</t>
        </is>
      </c>
      <c r="H5594" t="inlineStr">
        <is>
          <t>Type 1.5/LADA</t>
        </is>
      </c>
    </row>
    <row r="5595">
      <c r="A5595" t="inlineStr">
        <is>
          <t>9veei6</t>
        </is>
      </c>
      <c r="B5595" t="inlineStr">
        <is>
          <t>Anyone here got coeliac disease after being diagnosed with type 1?</t>
        </is>
      </c>
      <c r="C5595" t="inlineStr">
        <is>
          <t xml:space="preserve">I've been diagnosed with type 1 for 18 months now and over the past few weeks I've felt a bit off and all of my symptoms seem to be matching those of coeliac disease, what was your experience like? </t>
        </is>
      </c>
      <c r="D5595" t="n">
        <v>1</v>
      </c>
      <c r="E5595" t="n">
        <v>2</v>
      </c>
      <c r="F5595">
        <f>HYPERLINK("https://www.reddit.com/r/diabetes/comments/9veei6/anyone_here_got_coeliac_disease_after_being/")</f>
        <v/>
      </c>
      <c r="G5595" t="inlineStr">
        <is>
          <t>2018-11-08 13:57:45</t>
        </is>
      </c>
      <c r="H5595" t="inlineStr">
        <is>
          <t>Type 1</t>
        </is>
      </c>
    </row>
    <row r="5596">
      <c r="A5596" t="inlineStr">
        <is>
          <t>9vhzgk</t>
        </is>
      </c>
      <c r="B5596" t="inlineStr">
        <is>
          <t>Feedback for new diabetes app idea?</t>
        </is>
      </c>
      <c r="C5596" t="inlineStr">
        <is>
          <t xml:space="preserve"> Hello everyone! I'm a design student doing research on potential improvements to diabetes apps and wanted to share an idea and ask for feedback!
The concept is called Compass and is an app tied to a pump system. I talked to people with diabetes and I often heard how they hated being reduced to numbers and that they're either 'compliant' or 'not compliant'. Compass is an idea inspired by the people I've spoken to focused on reducing the annoying alarms/alerts that constantly remind people of their diabetes while acknowledging all the positive actions people take to manage their diabetes! (such as inputting carb information, calibrating CGM, hitting a new all-time high for time in range, etc.)
https://i.redd.it/2rthmylnw8x11.png
Would LOVE any feedback or reactions you might have!!! :)</t>
        </is>
      </c>
      <c r="D5596" t="n">
        <v>1</v>
      </c>
      <c r="E5596" t="n">
        <v>8</v>
      </c>
      <c r="F5596">
        <f>HYPERLINK("https://www.reddit.com/r/diabetes/comments/9vhzgk/feedback_for_new_diabetes_app_idea/")</f>
        <v/>
      </c>
      <c r="G5596" t="inlineStr">
        <is>
          <t>2018-11-08 22:00:49</t>
        </is>
      </c>
      <c r="H5596" t="inlineStr">
        <is>
          <t>Type 1</t>
        </is>
      </c>
    </row>
    <row r="5597">
      <c r="A5597" t="inlineStr">
        <is>
          <t>9vigtd</t>
        </is>
      </c>
      <c r="B5597" t="inlineStr">
        <is>
          <t>I don’t know what to do, my amazing son is missing his childhood. Help from T1 parents!</t>
        </is>
      </c>
      <c r="C5597" t="inlineStr">
        <is>
          <t xml:space="preserve">My son diagnosed at 18 months and now currently in his second year of school. They refuse to change pods, administer glucagon or keep low snacks in his classroom because the teacher “has 27 kids that would all want a juice box too”.  They make him leave class to check blood glucose, leave for low snacks, leave for insulin, etc. 
THEN, at conferences tonight, the teacher has the gall to tell my wife that if we did a better job of managing his diabetes at night, maybe he wouldn’t need treatment during the day. 
For reference; both of my siblings are T1 too. I grew up treating and understanding. We are highly involved and very diligent in helping our special little bro with his condition. 
I’m at my wits end. I travel to natural disasters as a relief worker and my wife is spread thin with our other kiddo and having to drive to the school 3 times a day because they are terrified of diabetes. I’m about to flip. Any advice is welcome. </t>
        </is>
      </c>
      <c r="D5597" t="n">
        <v>1</v>
      </c>
      <c r="E5597" t="n">
        <v>105</v>
      </c>
      <c r="F5597">
        <f>HYPERLINK("https://www.reddit.com/r/diabetes/comments/9vigtd/i_dont_know_what_to_do_my_amazing_son_is_missing/")</f>
        <v/>
      </c>
      <c r="G5597" t="inlineStr">
        <is>
          <t>2018-11-08 23:26:09</t>
        </is>
      </c>
      <c r="H5597" t="inlineStr">
        <is>
          <t>Type 1</t>
        </is>
      </c>
    </row>
    <row r="5598">
      <c r="A5598" t="inlineStr">
        <is>
          <t>9viwl3</t>
        </is>
      </c>
      <c r="B5598" t="inlineStr">
        <is>
          <t>I feel so stupid</t>
        </is>
      </c>
      <c r="C5598" t="inlineStr">
        <is>
          <t xml:space="preserve">I had a big dinner and I grabbed my PDM and I thought I put in insulin for it. I never did. I wake up thirsty and nauseous with my blood sugar over 500. I’m waiting to see if it goes down. If not, I’m going to the emergency room. I feel like such a failure. 
First, I find out that I can pass on my diabetes on to my future children then this happens. It just reminds me of how much I hate living with this. Sometimes I just wonder how it’s even fair. </t>
        </is>
      </c>
      <c r="D5598" t="n">
        <v>1</v>
      </c>
      <c r="E5598" t="n">
        <v>21</v>
      </c>
      <c r="F5598">
        <f>HYPERLINK("https://www.reddit.com/r/diabetes/comments/9viwl3/i_feel_so_stupid/")</f>
        <v/>
      </c>
      <c r="G5598" t="inlineStr">
        <is>
          <t>2018-11-09 00:54:13</t>
        </is>
      </c>
      <c r="H5598" t="inlineStr">
        <is>
          <t>Type 1</t>
        </is>
      </c>
    </row>
    <row r="5599">
      <c r="A5599" t="inlineStr">
        <is>
          <t>9vojn2</t>
        </is>
      </c>
      <c r="B5599" t="inlineStr">
        <is>
          <t>Is Dr. Fung's Diabetes Code a scam?</t>
        </is>
      </c>
      <c r="C5599" t="inlineStr">
        <is>
          <t xml:space="preserve">Has anybody tried the method recommended by Dr Fung in his book to lower their insulin/blood sugar levels?
The book basically suggests a low carb, high fat diet and to have three 24 hour fasts a week and claims to eliminate diabetes.
I'm on my 2nd week and have lost 10 pounds. My sugar level in the morning was 15 (I'm Canadian so not sure what that translates to). Now in the morning its down to 8-10. It usually stays that way even after eating! unless I have carbs or sugar.
Just wondering if anybody else tried this method? Did you find success?
My big question is what happens if (assuming this method works) your blood sugar levels are normal consistently and you eat carbs/sugars? Will your body act like someone who doesn't have diabetes would or would it skyrocket?
I'm pretty enthused with how low my blood sugar level has gone after just 2 weeks. The weight loss is pretty nice too. I fit into all of my clothes almost. 
This post pertains more to Type 2 diabetics.  
</t>
        </is>
      </c>
      <c r="D5599" t="n">
        <v>1</v>
      </c>
      <c r="E5599" t="n">
        <v>6</v>
      </c>
      <c r="F5599">
        <f>HYPERLINK("https://www.reddit.com/r/diabetes/comments/9vojn2/is_dr_fungs_diabetes_code_a_scam/")</f>
        <v/>
      </c>
      <c r="G5599" t="inlineStr">
        <is>
          <t>2018-11-09 13:36:57</t>
        </is>
      </c>
      <c r="H5599" t="inlineStr">
        <is>
          <t>Type 2</t>
        </is>
      </c>
    </row>
    <row r="5600">
      <c r="A5600" t="inlineStr">
        <is>
          <t>9vpjcc</t>
        </is>
      </c>
      <c r="B5600" t="inlineStr">
        <is>
          <t>First day on pump, BG won't drop, what am I doing wrong?</t>
        </is>
      </c>
      <c r="C5600" t="inlineStr">
        <is>
          <t>My first day on pump ever (Dana R), I filled the reservoir with insulin, connected tubing, primed it until insulin was dripping from the needle, stopped the priming and inserted needle. I'm right now using the steel sets, first 7mm one on abdomen to the side of the muscles close to the ribs. So, inserted, bolused, ate lunch - and I've been high ever since. Bolused again, no change. After a couple of hours I checked, there were no leaks I could find along tubing, so I replaced the infusion set (just the end bit) with a 4.5mm one (I'm quite skinny), navel level on the other side. Primed before applying, bolused... And still no BG drop. I don't think that's an issue with absorption as such, since I was taking injections in this spot and they worked fine. I can hear the pump working when I tell it to bolus, and it did prime the set, so it is working.
I'm not too worried yet, since I'm still covered by the long acting insulin, but right now it seems like the pump is not doing anything, any hints what am I doing wrong?</t>
        </is>
      </c>
      <c r="D5600" t="n">
        <v>1</v>
      </c>
      <c r="E5600" t="n">
        <v>20</v>
      </c>
      <c r="F5600">
        <f>HYPERLINK("https://www.reddit.com/r/diabetes/comments/9vpjcc/first_day_on_pump_bg_wont_drop_what_am_i_doing/")</f>
        <v/>
      </c>
      <c r="G5600" t="inlineStr">
        <is>
          <t>2018-11-09 15:40:33</t>
        </is>
      </c>
      <c r="H5600" t="inlineStr">
        <is>
          <t>Type 1</t>
        </is>
      </c>
    </row>
    <row r="5601">
      <c r="A5601" t="inlineStr">
        <is>
          <t>9vq7kv</t>
        </is>
      </c>
      <c r="B5601" t="inlineStr">
        <is>
          <t>I have stopped checking insulin because it is too expensive for me to afford checking my insulin, has anyone gone through the same thing?</t>
        </is>
      </c>
      <c r="C5601" t="inlineStr">
        <is>
          <t>I live in Canada, but I still can’t afford the strips. I was diagnosed in May went from 12.7% to 5.8% (May to August) with 1000 mg metformin everyday. 
I decided to read books and all that but I didn’t do much. 
I lost my teaching job in June, and it got really tough to have a constant supply of strips. I did buy it for couple of months but then I couldn’t afford it. 
If I don’t get a stable job, then I doubt I’ll be able to afford good food, rent, or strips. But till then I am going to try! 
Why would I post here? I’m not sure, maybe it’s just an outlet of my pain and diabetes like other diseases is a fucker! My mom has it and boy oh boy, I have seen her go through hell everyday and it breaks my heart. And I’ve not told her that I’m diabetic too, because she went through a heart surgery and I just can’t do it. I want her to be happy!</t>
        </is>
      </c>
      <c r="D5601" t="n">
        <v>1</v>
      </c>
      <c r="E5601" t="n">
        <v>15</v>
      </c>
      <c r="F5601">
        <f>HYPERLINK("https://www.reddit.com/r/diabetes/comments/9vq7kv/i_have_stopped_checking_insulin_because_it_is_too/")</f>
        <v/>
      </c>
      <c r="G5601" t="inlineStr">
        <is>
          <t>2018-11-09 17:13:39</t>
        </is>
      </c>
      <c r="H5601" t="inlineStr">
        <is>
          <t>Type 2</t>
        </is>
      </c>
    </row>
    <row r="5602">
      <c r="A5602" t="inlineStr">
        <is>
          <t>9vqlek</t>
        </is>
      </c>
      <c r="B5602" t="inlineStr">
        <is>
          <t>What about just eating greens?</t>
        </is>
      </c>
      <c r="C5602" t="inlineStr">
        <is>
          <t xml:space="preserve">Are you guys trying to eat keto, or just eating normal? 
&amp;amp;#x200B;
Doctors recommend low carb/keto diets, but everyone I know who has diabetes who's doing keto is feeling miserable. 
&amp;amp;#x200B;
What about an all greens diet? Theoretically, it makes sense
&amp;amp;#x200B;
We don't produce sufficient insulin, but over 80% of T1D patients produce \*some\* insulin. Well, what if, instead of taking synthetic insulin, we just lowered the amount of glucose in our diets to such a low level that our natural insulin production can regain the upper hand?
&amp;amp;#x200B;
I'm "type 1.5" sliding towards LADA. I'm desperate to avoid needles, or at least stave them off as long as possible. I'm going to try this diet. </t>
        </is>
      </c>
      <c r="D5602" t="n">
        <v>1</v>
      </c>
      <c r="E5602" t="n">
        <v>5</v>
      </c>
      <c r="F5602">
        <f>HYPERLINK("https://www.reddit.com/r/diabetes/comments/9vqlek/what_about_just_eating_greens/")</f>
        <v/>
      </c>
      <c r="G5602" t="inlineStr">
        <is>
          <t>2018-11-09 18:08:06</t>
        </is>
      </c>
      <c r="H5602" t="inlineStr">
        <is>
          <t>Type 1</t>
        </is>
      </c>
    </row>
    <row r="5603">
      <c r="A5603" t="inlineStr">
        <is>
          <t>9vsdh4</t>
        </is>
      </c>
      <c r="B5603" t="inlineStr">
        <is>
          <t>Bad hypo, freaking out. Can it cause bran damage?</t>
        </is>
      </c>
      <c r="C5603" t="inlineStr">
        <is>
          <t xml:space="preserve">Question
I went to bed and was super tired as I hadn't slept at all the night before. I had no carbs with dinner and so no insulin. At 2M my sugars were 5.2 (94). I put on an 80% temp in fo a few hours and slept really deeply. At 7:30am my sugars were 2.2 (39). I felt fine. Not sweaty, no fast heart, walking fine. I had juice and within 10 minutes my sugars were 5.8 (105). Its been 30 mins now and I feel shaky and scared. Everything is blurry and I look awful in the mirror. 
Could this cause brain damage? I imagine I went low really slowly, gradually and had no carbs to pull me out. So I imagine I was low for maybe 4 hours. Is that like being deprived of oxygen for 4 hours? 
I'm really scared. I stayed up the night before at a party and got back at 6am so that's why I was so tired last night. All night my muscles hurt a lot as if I'd been  to the gym but the last time I did exercise was Monday, although it was intense. Is there anyway the 2. 2 could be a glass reading? I must have been low because all the sugar only raised me to 100 but I barely felt it. I'm freaking out a bit. </t>
        </is>
      </c>
      <c r="D5603" t="n">
        <v>1</v>
      </c>
      <c r="E5603" t="n">
        <v>21</v>
      </c>
      <c r="F5603">
        <f>HYPERLINK("https://www.reddit.com/r/diabetes/comments/9vsdh4/bad_hypo_freaking_out_can_it_cause_bran_damage/")</f>
        <v/>
      </c>
      <c r="G5603" t="inlineStr">
        <is>
          <t>2018-11-09 23:00:47</t>
        </is>
      </c>
      <c r="H5603" t="inlineStr">
        <is>
          <t>Type 1</t>
        </is>
      </c>
    </row>
    <row r="5604">
      <c r="A5604" t="inlineStr">
        <is>
          <t>9vvuyn</t>
        </is>
      </c>
      <c r="B5604" t="inlineStr">
        <is>
          <t>Lag in insurance coverage until December 15....crap!</t>
        </is>
      </c>
      <c r="C5604" t="inlineStr">
        <is>
          <t>My husband has changed jobs and his new insurance won't kick in until December 15.  My endo is based in California and comes to Montana and stays with his parents in order to see his Montana patients.  Can I still ask him for insulin samples to last until December 15? I have plenty of pump supplies, just not enough insulin.  I use Humalog. Thanks for helping me out!</t>
        </is>
      </c>
      <c r="D5604" t="n">
        <v>1</v>
      </c>
      <c r="E5604" t="n">
        <v>8</v>
      </c>
      <c r="F5604">
        <f>HYPERLINK("https://www.reddit.com/r/diabetes/comments/9vvuyn/lag_in_insurance_coverage_until_december_15crap/")</f>
        <v/>
      </c>
      <c r="G5604" t="inlineStr">
        <is>
          <t>2018-11-10 09:00:01</t>
        </is>
      </c>
      <c r="H5604" t="inlineStr">
        <is>
          <t>Type 1</t>
        </is>
      </c>
    </row>
    <row r="5605">
      <c r="A5605" t="inlineStr">
        <is>
          <t>9vx619</t>
        </is>
      </c>
      <c r="B5605" t="inlineStr">
        <is>
          <t>Reversing type 2 diabetes: One Size Does Not Fit All</t>
        </is>
      </c>
      <c r="C5605" t="inlineStr">
        <is>
          <t>Interesting read I stumbled upon here: [https://www.nickswellnessreport.com/blog/reverse-type-2-diabetes-one-size-does-not-fit-all](https://www.nickswellnessreport.com/blog/reverse-type-2-diabetes-one-size-does-not-fit-all)
&amp;amp;#x200B;
&amp;amp;#x200B;</t>
        </is>
      </c>
      <c r="D5605" t="n">
        <v>1</v>
      </c>
      <c r="E5605" t="n">
        <v>1</v>
      </c>
      <c r="F5605">
        <f>HYPERLINK("https://www.reddit.com/r/diabetes/comments/9vx619/reversing_type_2_diabetes_one_size_does_not_fit/")</f>
        <v/>
      </c>
      <c r="G5605" t="inlineStr">
        <is>
          <t>2018-11-10 11:37:52</t>
        </is>
      </c>
      <c r="H5605" t="inlineStr">
        <is>
          <t>Type 2</t>
        </is>
      </c>
    </row>
    <row r="5606">
      <c r="A5606" t="inlineStr">
        <is>
          <t>9vyucn</t>
        </is>
      </c>
      <c r="B5606" t="inlineStr">
        <is>
          <t>Eating and bolusing for carbs late at night right before sleep ... any adverse side effects (other than potential hypos)?</t>
        </is>
      </c>
      <c r="C5606" t="inlineStr">
        <is>
          <t>On some occasions, I was hungry at night before going to sleep. Usually I can help myself with some salads to shut up the hunger. But is there anything bad that could happen if I for example eat bread at midnight (bolusing for it of course) and then going to sleep? Other than a potential hypo due to overbolusing I mean. Could the dawn phenomenon be kicked into overdrive? Does carb digestion slow down during sleep? Is eating substantial amounts of carbs before going to bed a bad idea?</t>
        </is>
      </c>
      <c r="D5606" t="n">
        <v>1</v>
      </c>
      <c r="E5606" t="n">
        <v>7</v>
      </c>
      <c r="F5606">
        <f>HYPERLINK("https://www.reddit.com/r/diabetes/comments/9vyucn/eating_and_bolusing_for_carbs_late_at_night_right/")</f>
        <v/>
      </c>
      <c r="G5606" t="inlineStr">
        <is>
          <t>2018-11-10 15:10:29</t>
        </is>
      </c>
      <c r="H5606" t="inlineStr">
        <is>
          <t>Type 1</t>
        </is>
      </c>
    </row>
    <row r="5607">
      <c r="A5607" t="inlineStr">
        <is>
          <t>9w03w6</t>
        </is>
      </c>
      <c r="B5607" t="inlineStr">
        <is>
          <t>Health Insurance doesn't kick-in until Jan 1st. Need help now</t>
        </is>
      </c>
      <c r="C5607" t="inlineStr">
        <is>
          <t>I've posted a lot here lately. Not officially diagnosed yet, but test a low C-peptide in early September, symptoms have gotten worse since then. Had some green juice Thursday night (stupid mistake). High blood sugar ever since along with some kidney discomfort. Decided to water fast. The symptoms have calmed down, but I just peed and it smelled sugary. Kidneys still don't feel 100%. 
&amp;amp;#x200B;
What can I do? I feel like I need some full-blown type 1 treatments - insulin. But I don't have insurance until the beginning of the year. I can go to the ER now, but what am I gonna do for the next six weeks? I'm just brand new to all this, I thought I was fully healthy and normal a few months ago, just having a lot of trouble mentally/emotionally adjusting to all this</t>
        </is>
      </c>
      <c r="D5607" t="n">
        <v>1</v>
      </c>
      <c r="E5607" t="n">
        <v>13</v>
      </c>
      <c r="F5607">
        <f>HYPERLINK("https://www.reddit.com/r/diabetes/comments/9w03w6/health_insurance_doesnt_kickin_until_jan_1st_need/")</f>
        <v/>
      </c>
      <c r="G5607" t="inlineStr">
        <is>
          <t>2018-11-10 18:05:50</t>
        </is>
      </c>
      <c r="H5607" t="inlineStr">
        <is>
          <t>Type 1</t>
        </is>
      </c>
    </row>
    <row r="5608">
      <c r="A5608" t="inlineStr">
        <is>
          <t>9w3x5e</t>
        </is>
      </c>
      <c r="B5608" t="inlineStr">
        <is>
          <t>My personal opinion about being T1D</t>
        </is>
      </c>
      <c r="C5608" t="inlineStr">
        <is>
          <t>Hi Everyone,
It's interesting for me to see people's complaints about their diabetes. It sucks to have diabetes (trust me, I have it for 19 years and now I'm 27), but personally, I've learnt so many things from being diabetic and I believe it made me a better person. If I were "healthy" (not diabetic), most probably, I'd be still smoking tobacco, would be drinking alcohol, wouldn't do exercise regularly (I cycle minimum an hour every day and I do an hour yoga) and also I would eat so many junk food. The fact that I always need to look after myself, made me capable to push myself 200% and I believe as I'm constantly looking after my health, I may have a better life expectancy than a healthy person.
It makes me laugh when I see that "healthy" people can't keep up with me when I walk or cycle as I am capable to run a marathon or cycle 160 km.
Guys, be the change you seek and be strong and never let yourself down. I know that sometimes it's hard, but everything is a matter of perspective!  
&amp;amp;#x200B;
&amp;amp;#x200B;
&amp;amp;#x200B;</t>
        </is>
      </c>
      <c r="D5608" t="n">
        <v>1</v>
      </c>
      <c r="E5608" t="n">
        <v>89</v>
      </c>
      <c r="F5608">
        <f>HYPERLINK("https://www.reddit.com/r/diabetes/comments/9w3x5e/my_personal_opinion_about_being_t1d/")</f>
        <v/>
      </c>
      <c r="G5608" t="inlineStr">
        <is>
          <t>2018-11-11 05:52:21</t>
        </is>
      </c>
      <c r="H5608" t="inlineStr">
        <is>
          <t>Type 1</t>
        </is>
      </c>
    </row>
    <row r="5609">
      <c r="A5609" t="inlineStr">
        <is>
          <t>9w5ir2</t>
        </is>
      </c>
      <c r="B5609" t="inlineStr">
        <is>
          <t>Basal rate issues</t>
        </is>
      </c>
      <c r="C5609" t="inlineStr">
        <is>
          <t>So I've been on the pump for around 3 months now and I cannot get my basal rate right. I am doing what my doctor told me and upping it by 10% every week or so, and I have different rates for different times of day because of dawn phenomenon. On MDI I was on around 22 units of basal with a 1:16 ratio. When I got on the pump my endo did the math and it dropped a lot due to not using long acting anymore (which I understand is the norm.) I'm up to 16 on my basal and a 1:14 ratio for carbs on the pump. My estimated A1C on Xdrip has gone WAY up from my last one and I really want to get this under control. I have my endo appointment this month so I will address it then, but I'm wondering if I should try something different than the 10% titrations because it doesn't seem to be enough. Another thing to consider is I'm pretty sure I'm at the end of my honeymoon. I've seen some numbers recently that I didn't even see at diagnosis ):</t>
        </is>
      </c>
      <c r="D5609" t="n">
        <v>1</v>
      </c>
      <c r="E5609" t="n">
        <v>2</v>
      </c>
      <c r="F5609">
        <f>HYPERLINK("https://www.reddit.com/r/diabetes/comments/9w5ir2/basal_rate_issues/")</f>
        <v/>
      </c>
      <c r="G5609" t="inlineStr">
        <is>
          <t>2018-11-11 09:18:56</t>
        </is>
      </c>
      <c r="H5609" t="inlineStr">
        <is>
          <t>Type 1</t>
        </is>
      </c>
    </row>
    <row r="5610">
      <c r="A5610" t="inlineStr">
        <is>
          <t>9w7fqn</t>
        </is>
      </c>
      <c r="B5610" t="inlineStr">
        <is>
          <t>Hi!</t>
        </is>
      </c>
      <c r="C5610" t="inlineStr">
        <is>
          <t>Nope... I don't think I've posted on Reddit before, so, maybe I am breaking a rule, or being improper, but honestly, I am just looking for some decent help. I am creating a youtube channel for an awesome family who has a four-year-old that was diagnosed with diabetes a year ago. The people on this channel know the challenges that can create. Her friends and I convinced them to create a youtube channel to help them connect and reach out. She essentially quit her job to take care of her son and who knows, maybe someday the channel can actually monetize and help them out as well. In the meantime, I would just love to see the subscriber number grow. She has one video up, that was basically created for one of their new friends. But, content will grow and maybe someone here has a similar channel etc etc.. that can help create a community as well. Once again...  just asking for help. Hope this is okay.. here is the link...  Thanks!  Appreciated [https://www.youtube.com/channel/UCY68LFIdDeZ3KujPZaibLYQ/featured?view\_as=subscriber](https://www.youtube.com/channel/UCY68LFIdDeZ3KujPZaibLYQ/featured?view_as=subscriber)</t>
        </is>
      </c>
      <c r="D5610" t="n">
        <v>1</v>
      </c>
      <c r="E5610" t="n">
        <v>1</v>
      </c>
      <c r="F5610">
        <f>HYPERLINK("https://www.reddit.com/r/diabetes/comments/9w7fqn/hi/")</f>
        <v/>
      </c>
      <c r="G5610" t="inlineStr">
        <is>
          <t>2018-11-11 13:01:59</t>
        </is>
      </c>
      <c r="H5610" t="inlineStr">
        <is>
          <t>Type 1</t>
        </is>
      </c>
    </row>
    <row r="5611">
      <c r="A5611" t="inlineStr">
        <is>
          <t>9w8e1n</t>
        </is>
      </c>
      <c r="B5611" t="inlineStr">
        <is>
          <t>So, about the G6 ...</t>
        </is>
      </c>
      <c r="C5611" t="inlineStr">
        <is>
          <t>I am conflicted now. Initially I heard a lot of good things about the G6. And I keep hearing a lot of good things about it. Very accurate, good readings from day one, officially deemed usable for looping etc.
But then there are posts [like this one](https://www.reddit.com/r/diabetes_t1/comments/9w5gjl/so_insert_expletive_done_dexcom_andor_just_all_of/). Now all of a sudden I hear that there are a lot of problems with the G6? Did I miss anything?
I ask because in addition to a pump, I might also consider changing to the G6 in the future, since apparently Abbott is locking down the Libre 2, meaning that the Miaomiao, xDrip etc. won't work with it (at least not for a while, until it is cracked), and this is a showstopper for me.</t>
        </is>
      </c>
      <c r="D5611" t="n">
        <v>1</v>
      </c>
      <c r="E5611" t="n">
        <v>18</v>
      </c>
      <c r="F5611">
        <f>HYPERLINK("https://www.reddit.com/r/diabetes/comments/9w8e1n/so_about_the_g6/")</f>
        <v/>
      </c>
      <c r="G5611" t="inlineStr">
        <is>
          <t>2018-11-11 14:57:46</t>
        </is>
      </c>
      <c r="H5611" t="inlineStr">
        <is>
          <t>Type 1</t>
        </is>
      </c>
    </row>
    <row r="5612">
      <c r="A5612" t="inlineStr">
        <is>
          <t>9w9e2j</t>
        </is>
      </c>
      <c r="B5612" t="inlineStr">
        <is>
          <t>Target BG Levels for Type 2</t>
        </is>
      </c>
      <c r="C5612" t="inlineStr">
        <is>
          <t>Hi all..  I'm a Type 2 diabetic.  I had an A1C of 12.9 and a fasting BG of 365 at the end of September.  I'm currently taking 60 units of Tresiba and Ozempic and am down to an average around 120\~130 (I'm about to start tapering down on my basal since I'm getting close to my goal level and I'm dropping to the low 70's after my running workouts)
&amp;amp;#x200B;
My doctor told me that my goal is that 2 hours after my first bite that my insulin should be 180 or less and that my average should be between 90 &amp;amp;120.  
&amp;amp;#x200B;
My question is - does it matter how high I go to before the two hour mark?  I got a Freestyle Libre (not from my doctor, but I have given her a PDF of the results) so I can see when and what my actual peaks are and I'm usually much lower at 2 hours than otherwise.  I kinda remember seeing people here say that we shouldn't get over 180 at all, but I don't know if that is realistic?  
Also it's weird that some foods (mostly protein) have no affect on my sugars.  
Also, if I go to bed at 110, I'll drop to about 90 about 2 or 3 hours later, but then go up to 140 and 160.  This is too early for dawn phenomenon so is that my body burning glycogen from the liver?
&amp;amp;#x200B;
Thanks.  
&amp;amp;#x200B;</t>
        </is>
      </c>
      <c r="D5612" t="n">
        <v>1</v>
      </c>
      <c r="E5612" t="n">
        <v>16</v>
      </c>
      <c r="F5612">
        <f>HYPERLINK("https://www.reddit.com/r/diabetes/comments/9w9e2j/target_bg_levels_for_type_2/")</f>
        <v/>
      </c>
      <c r="G5612" t="inlineStr">
        <is>
          <t>2018-11-11 17:09:52</t>
        </is>
      </c>
      <c r="H5612" t="inlineStr">
        <is>
          <t>Type 2</t>
        </is>
      </c>
    </row>
    <row r="5613">
      <c r="A5613" t="inlineStr">
        <is>
          <t>9wbta6</t>
        </is>
      </c>
      <c r="B5613" t="inlineStr">
        <is>
          <t>Had a bad low in front of my friends, and now I'm really embarrassed</t>
        </is>
      </c>
      <c r="C5613" t="inlineStr">
        <is>
          <t xml:space="preserve">As a T2 I usually only get lows once per month, and even then it's like... 65 or something not too bad. Every now and then I'll get a really bad one like 40 or 50, but that has always been as a result of messing up with meds or serious physical activity. Last night I had one of the rare, bad lows with no apparent relation to physical activity or pills. 
I was at a friend's house for a birthday party. Usually I limit my evening carb intake to less than 30 grams, but since it was a party I had half a slice of pizza and a quarter of a brownie. The rest of my meal was carrot sticks and broccoli, and a quick google search suggests the whole thing was maybe 45 gms of carbohydrate. This should have been an acceptable indulgence since I kept my carb intake low that day in anticipation of birthday goodies. Everything was going great and we ended up staying up quite late to watch a movie. About half way through I started feeling bad, but I assumed it was due to being 1 AM. 
When the movie was over, I tried to get up from the floor and realized I could not. I had the dizziness, the cold sweating, the shaking, everything. My friends got sort of frantic dashing around for sugar and my meter. For some reason it took me 30 full minutes to recover from this one, and someone drove me home because I was still sort of wobbly. Other than eating way more refined carbs than normal, there was *nothing* different about my routine that night, so I have no clue why it happened. 
I feel like my reaction to everything was so over dramatic. Lows tend to make me super emotional and it took all my willpower not to cry even though there was literally no reason to do so. I laid face down on the floor for almost 20 minutes while my friends were clearly distressed and unsure how to help. Lows really aren't a big deal for me because 1) they're so rare and 2) the fix is so easy and almost immediate--normally. From the T1 people I've met, I feel like I hardly have anything to complain about with T2 and I'm so embarrassed my medical condition became the center of attention. I already apologized to and thanked the people who helped me, but I really wish it hadn't happened. </t>
        </is>
      </c>
      <c r="D5613" t="n">
        <v>1</v>
      </c>
      <c r="E5613" t="n">
        <v>20</v>
      </c>
      <c r="F5613">
        <f>HYPERLINK("https://www.reddit.com/r/diabetes/comments/9wbta6/had_a_bad_low_in_front_of_my_friends_and_now_im/")</f>
        <v/>
      </c>
      <c r="G5613" t="inlineStr">
        <is>
          <t>2018-11-11 23:04:59</t>
        </is>
      </c>
      <c r="H5613" t="inlineStr">
        <is>
          <t>Type 2</t>
        </is>
      </c>
    </row>
    <row r="5614">
      <c r="A5614" t="inlineStr">
        <is>
          <t>9whvy1</t>
        </is>
      </c>
      <c r="B5614" t="inlineStr">
        <is>
          <t>Infusion sets keep leaking?</t>
        </is>
      </c>
      <c r="C5614" t="inlineStr">
        <is>
          <t>So I'v been diabetic for 11 years now and I've never had an issue with this. However, recently, I've had many instances where I have bolused and then noticed that a spot on my shirt was wet. The insulin usually soaks into the adhesive around the infusion set and some of it gets onto my shirt. This often occurs only a day or two after inserting the set, which shouldn't be the case seeing as the infusion sets should last at least 3 days.
 I use the Minimed Mio infusion set, so if anyone who has ever used this or switched off of it has any advice that would be greatly appreciated.</t>
        </is>
      </c>
      <c r="D5614" t="n">
        <v>2</v>
      </c>
      <c r="E5614" t="n">
        <v>4</v>
      </c>
      <c r="F5614">
        <f>HYPERLINK("https://www.reddit.com/r/diabetes/comments/9whvy1/infusion_sets_keep_leaking/")</f>
        <v/>
      </c>
      <c r="G5614" t="inlineStr">
        <is>
          <t>2018-11-12 12:39:40</t>
        </is>
      </c>
      <c r="H5614" t="inlineStr">
        <is>
          <t>Type 1</t>
        </is>
      </c>
    </row>
    <row r="5615">
      <c r="A5615" t="inlineStr">
        <is>
          <t>9win8a</t>
        </is>
      </c>
      <c r="B5615" t="inlineStr">
        <is>
          <t>Anyone else had pancreas injuries as a child?</t>
        </is>
      </c>
      <c r="C5615" t="inlineStr">
        <is>
          <t>Hey everyone,
&amp;amp;#x200B;
Around 1994, I was 8 years old, and experienced some pretty acute abdominal pain that had me vomiting every single thing I ate. So I was admitted to the hospital for a couple of weeks, and when the doctors examined my pancreas, they could a bump. The bump eventually disappeared, my health returned to normal, and I was allowed to go home.
&amp;amp;#x200B;
Fast forward to 2017, the year I was diagnosed as diabetic. I didn't have a family doctor for about a decade so naturally, my wife insisted I check sign up again. She did a routine blood test, and was shocked to discover that my fasting blood sugar was over 13 mmol/L!  I was immediately put on metformin and lipitor, and I also started the keto diet. As of today, my fasting blood sugar is around 4.5-5.5 mmol/L, and my A1C was 5.5.
&amp;amp;#x200B;
My doctor has been trying to figure out if I was a type 1 or 2 for a while now, and today, he said I was closer to a type 1, then type 2. His theory is that my injury as a child might have caused my pancreas stop stop producing as much insulin as my body needed. He tested me for antibodies, and they came back negative. I also didn't appear to be insulin-resistent. Also, I've never had a problem with lows, and the metformin seems to be pretty effective. 
&amp;amp;#x200B;
I was wondering if anyone else is in the same boat? I'm not sure if I'm a type 1.5 diabetic or not. According to what I've been reading, people with LADA have insulin resistance, which I do not have.
&amp;amp;#x200B;
Thoughts?
&amp;amp;#x200B;
&amp;amp;#x200B;</t>
        </is>
      </c>
      <c r="D5615" t="n">
        <v>1</v>
      </c>
      <c r="E5615" t="n">
        <v>3</v>
      </c>
      <c r="F5615">
        <f>HYPERLINK("https://www.reddit.com/r/diabetes/comments/9win8a/anyone_else_had_pancreas_injuries_as_a_child/")</f>
        <v/>
      </c>
      <c r="G5615" t="inlineStr">
        <is>
          <t>2018-11-12 13:59:28</t>
        </is>
      </c>
      <c r="H5615" t="inlineStr">
        <is>
          <t>Type 1.5/LADA</t>
        </is>
      </c>
    </row>
    <row r="5616">
      <c r="A5616" t="inlineStr">
        <is>
          <t>9wioqs</t>
        </is>
      </c>
      <c r="B5616" t="inlineStr">
        <is>
          <t>consequences of frequent hypoglycemia?</t>
        </is>
      </c>
      <c r="C5616" t="inlineStr">
        <is>
          <t xml:space="preserve">can anyone explain the consequences of frequent hypoglycemia and also the opposite the consequence of hyperglycemia? just wanted to explain it to someone but my brain kinda pooped itself. </t>
        </is>
      </c>
      <c r="D5616" t="n">
        <v>1</v>
      </c>
      <c r="E5616" t="n">
        <v>2</v>
      </c>
      <c r="F5616">
        <f>HYPERLINK("https://www.reddit.com/r/diabetes/comments/9wioqs/consequences_of_frequent_hypoglycemia/")</f>
        <v/>
      </c>
      <c r="G5616" t="inlineStr">
        <is>
          <t>2018-11-12 14:03:46</t>
        </is>
      </c>
      <c r="H5616" t="inlineStr">
        <is>
          <t>Type 1</t>
        </is>
      </c>
    </row>
    <row r="5617">
      <c r="A5617" t="inlineStr">
        <is>
          <t>9wjjcl</t>
        </is>
      </c>
      <c r="B5617" t="inlineStr">
        <is>
          <t>Dexcom G6 now available at Costco</t>
        </is>
      </c>
      <c r="C5617" t="inlineStr">
        <is>
          <t>Hey, so awesome news, you can now go to Costco to get your Dexcom &amp;amp; supplies if you haven't already. At least it's true in PA, not sure about other states yet, but the site does list it as being available. Definitely gonna be sending patients to get it there too if they can. They also stock the Freestyle Libre if anyone uses that.
For me it's just convenient because I already get all my other stuff from there and now I'll be able to get my transmitter + sensors every 3 months from there too, on top of the insulin. 
If you have problems with your insurance not covering stuff or not covering enough, you can also use your Costco membership (if you have one) to get it cheaper than if you would otherwise. I swear I'm not a Costco employee, but Costco is literally the greatest! That is all.</t>
        </is>
      </c>
      <c r="D5617" t="n">
        <v>1</v>
      </c>
      <c r="E5617" t="n">
        <v>7</v>
      </c>
      <c r="F5617">
        <f>HYPERLINK("https://www.reddit.com/r/diabetes/comments/9wjjcl/dexcom_g6_now_available_at_costco/")</f>
        <v/>
      </c>
      <c r="G5617" t="inlineStr">
        <is>
          <t>2018-11-12 15:40:51</t>
        </is>
      </c>
      <c r="H5617" t="inlineStr">
        <is>
          <t>Type 1</t>
        </is>
      </c>
    </row>
    <row r="5618">
      <c r="A5618" t="inlineStr">
        <is>
          <t>9wjl5z</t>
        </is>
      </c>
      <c r="B5618" t="inlineStr">
        <is>
          <t>How do you keep your Dexcom on?</t>
        </is>
      </c>
      <c r="C5618" t="inlineStr">
        <is>
          <t>Been having a problem with keeping my Dexcom on my body. Around day 6ish it starts to peel real bad and is there any thing I can apply to help it stay on the rest of its cycle? I have used skin-tac prep wipes before but those irritate my skin badly and was wondering if there was a better alternative out there.</t>
        </is>
      </c>
      <c r="D5618" t="n">
        <v>1</v>
      </c>
      <c r="E5618" t="n">
        <v>14</v>
      </c>
      <c r="F5618">
        <f>HYPERLINK("https://www.reddit.com/r/diabetes/comments/9wjl5z/how_do_you_keep_your_dexcom_on/")</f>
        <v/>
      </c>
      <c r="G5618" t="inlineStr">
        <is>
          <t>2018-11-12 15:46:47</t>
        </is>
      </c>
      <c r="H5618" t="inlineStr">
        <is>
          <t>Type 1</t>
        </is>
      </c>
    </row>
    <row r="5619">
      <c r="A5619" t="inlineStr">
        <is>
          <t>9wkfs8</t>
        </is>
      </c>
      <c r="B5619" t="inlineStr">
        <is>
          <t>Xultophy</t>
        </is>
      </c>
      <c r="C5619" t="inlineStr">
        <is>
          <t xml:space="preserve">Anyone else on this one? 
I take 45 units every morning and humalog as needed for correction purposes, but I'm nauseous all the time and feel like horse shit. My numbers are good though, just now, 119 
I haven't been eating a lot, I have always watched what I eat though. 
Today I had Quaker oatmeal with apples and cranberries, 2 oz. Ham, 1 cup green beans, a glazed donut and 3 cups hot tea. 64 oz water so far. 
</t>
        </is>
      </c>
      <c r="D5619" t="n">
        <v>1</v>
      </c>
      <c r="E5619" t="n">
        <v>6</v>
      </c>
      <c r="F5619">
        <f>HYPERLINK("https://www.reddit.com/r/diabetes/comments/9wkfs8/xultophy/")</f>
        <v/>
      </c>
      <c r="G5619" t="inlineStr">
        <is>
          <t>2018-11-12 17:28:45</t>
        </is>
      </c>
      <c r="H5619" t="inlineStr">
        <is>
          <t>Type 2</t>
        </is>
      </c>
    </row>
    <row r="5620">
      <c r="A5620" t="inlineStr">
        <is>
          <t>9wlxq1</t>
        </is>
      </c>
      <c r="B5620" t="inlineStr">
        <is>
          <t>I met another pumper in the wild!</t>
        </is>
      </c>
      <c r="C5620" t="inlineStr">
        <is>
          <t xml:space="preserve">I was at work and a guest came down to the front desk and saw my bracelet - not unusual. She asked type 1? And when I said yes, she proceeded to show me her insulin pump. Never met another pumper out and about before! </t>
        </is>
      </c>
      <c r="D5620" t="n">
        <v>1</v>
      </c>
      <c r="E5620" t="n">
        <v>6</v>
      </c>
      <c r="F5620">
        <f>HYPERLINK("https://www.reddit.com/r/diabetes/comments/9wlxq1/i_met_another_pumper_in_the_wild/")</f>
        <v/>
      </c>
      <c r="G5620" t="inlineStr">
        <is>
          <t>2018-11-12 20:46:48</t>
        </is>
      </c>
      <c r="H5620" t="inlineStr">
        <is>
          <t>Type 1</t>
        </is>
      </c>
    </row>
    <row r="5621">
      <c r="A5621" t="inlineStr">
        <is>
          <t>9wpvmb</t>
        </is>
      </c>
      <c r="B5621" t="inlineStr">
        <is>
          <t>After coming clean here about my bad pump habits, I called my insurance company</t>
        </is>
      </c>
      <c r="C5621" t="inlineStr">
        <is>
          <t>And they are going to cover a new pump so I can upgrade from my Medtronic Paradigm Revel.  I've been doing a little research online, but figured I'd reach out to the diabetic world(well reddit) at large and ask the pump users a couple of questions.
&amp;amp;#x200B;
What pump do you use?  Do you have any issues with it?  If there is something that you love about this particular pump, what?
&amp;amp;#x200B;
I was looking into the Tslim/flex, omnipod, or the Minimed 690g(which is what my current company has been hard selling me for the last couple months).
&amp;amp;#x200B;
I have been using a pump for almost 20 years, but it has always been either deistronic or medtronic...  and they have all looked just like this paradigm, so... whatever system I end up with will be quite different.  
&amp;amp;#x200B;
And on CGM, I see people on here rave about the Dexacom system, any experience with the Medtronic Guardian system?</t>
        </is>
      </c>
      <c r="D5621" t="n">
        <v>1</v>
      </c>
      <c r="E5621" t="n">
        <v>17</v>
      </c>
      <c r="F5621">
        <f>HYPERLINK("https://www.reddit.com/r/diabetes/comments/9wpvmb/after_coming_clean_here_about_my_bad_pump_habits/")</f>
        <v/>
      </c>
      <c r="G5621" t="inlineStr">
        <is>
          <t>2018-11-13 07:14:11</t>
        </is>
      </c>
      <c r="H5621" t="inlineStr">
        <is>
          <t>Type 1</t>
        </is>
      </c>
    </row>
    <row r="5622">
      <c r="A5622" t="inlineStr">
        <is>
          <t>9wqyg1</t>
        </is>
      </c>
      <c r="B5622" t="inlineStr">
        <is>
          <t>General 670g Auto Mode Questions</t>
        </is>
      </c>
      <c r="C5622" t="inlineStr">
        <is>
          <t>Hey Everyone,
&amp;amp;#x200B;
Been on the 670g pump for about 6 months, but I am somewhat newer to Auto Mode (somewhat used over the past couple of months). Would really appreicate some answers to these questions from those who are more seasoned with Auto Mode:
&amp;amp;#x200B;
1. Does turning off Auto Mode only during night have any change on the effectiveness of it operating?
* My manual basal rate for night usually keeps me near flat in terms of BG around 100-115. In Auto Mode for some reason I tend to run higher most of the night (140s). Will doing Auto Mode during the day/Manual at night decrease Auto Mode's effectiveness?
2. Has the Auto Mode caused your Carb Ratios/Active Insulin times to be readjusted?
* Given that Auto Mode cuts off the micro bolusing temporarily after a carb bolus, has this required you to decrease/increase your carb ratio, as well as active insulin time? My thoughts given how Auto Mode works would be that you would inherently need to decrease both carb/active insulin given this case.
&amp;amp;#x200B;
Thanks!</t>
        </is>
      </c>
      <c r="D5622" t="n">
        <v>1</v>
      </c>
      <c r="E5622" t="n">
        <v>2</v>
      </c>
      <c r="F5622">
        <f>HYPERLINK("https://www.reddit.com/r/diabetes/comments/9wqyg1/general_670g_auto_mode_questions/")</f>
        <v/>
      </c>
      <c r="G5622" t="inlineStr">
        <is>
          <t>2018-11-13 09:15:10</t>
        </is>
      </c>
      <c r="H5622" t="inlineStr">
        <is>
          <t>Type 1</t>
        </is>
      </c>
    </row>
    <row r="5623">
      <c r="A5623" t="inlineStr">
        <is>
          <t>9wr0gv</t>
        </is>
      </c>
      <c r="B5623" t="inlineStr">
        <is>
          <t>Does anyone need Enlite Sensors, Boston area</t>
        </is>
      </c>
      <c r="C5623" t="inlineStr">
        <is>
          <t xml:space="preserve">I just switched to the g6 and have about 3 boxes worth of Minimed Enlite sensors I no longer need. I am in Boston, please reach out if you need them. </t>
        </is>
      </c>
      <c r="D5623" t="n">
        <v>1</v>
      </c>
      <c r="E5623" t="n">
        <v>0</v>
      </c>
      <c r="F5623">
        <f>HYPERLINK("https://www.reddit.com/r/diabetes/comments/9wr0gv/does_anyone_need_enlite_sensors_boston_area/")</f>
        <v/>
      </c>
      <c r="G5623" t="inlineStr">
        <is>
          <t>2018-11-13 09:21:11</t>
        </is>
      </c>
      <c r="H5623" t="inlineStr">
        <is>
          <t>Type 1</t>
        </is>
      </c>
    </row>
    <row r="5624">
      <c r="A5624" t="inlineStr">
        <is>
          <t>9wrebb</t>
        </is>
      </c>
      <c r="B5624" t="inlineStr">
        <is>
          <t>How many carbs do you guys have per day?</t>
        </is>
      </c>
      <c r="C5624" t="inlineStr">
        <is>
          <t xml:space="preserve">A friend (and also type 1) and I were talking about how much we eat in a day and I said I had about \~80 carbs per day and he almost had a heart attack. He was freaking out saying I should only be eating around 45-50 per day as he was. Were both 20 and fairly active. Is 80 a lot? how many carbs do you guys eat in the average day? </t>
        </is>
      </c>
      <c r="D5624" t="n">
        <v>1</v>
      </c>
      <c r="E5624" t="n">
        <v>30</v>
      </c>
      <c r="F5624">
        <f>HYPERLINK("https://www.reddit.com/r/diabetes/comments/9wrebb/how_many_carbs_do_you_guys_have_per_day/")</f>
        <v/>
      </c>
      <c r="G5624" t="inlineStr">
        <is>
          <t>2018-11-13 10:02:01</t>
        </is>
      </c>
      <c r="H5624" t="inlineStr">
        <is>
          <t>Type 1</t>
        </is>
      </c>
    </row>
    <row r="5625">
      <c r="A5625" t="inlineStr">
        <is>
          <t>9wvbpn</t>
        </is>
      </c>
      <c r="B5625" t="inlineStr">
        <is>
          <t>Medtronic problem</t>
        </is>
      </c>
      <c r="C5625" t="inlineStr">
        <is>
          <t>In  October 30, 2018 I posted on Medtronic Facebook page hoping to get help from  Medtronic. They requested my sons information but unfortunately they did  not provide any help and/or information. 
 My problem is that in 2015 I returned my MiniMed 530G because of the  multiple problems with the pump. Now Medtronic is punishing me, they  refuse to release a pump because according to them I have a pump under  warranty (something that is not correct the pump was sent back to their  supplier after Medtronic approve the return of the Pump.)
I  have spoken with their customer service reps in Atlanta and in San  Antonio, TX, but they all take the information with the intention to  help, but no one ever gets back with me. This game between Medtronic and  I started this year in February and as for today I am still without the  pump for my son and his sugar is completely out of control, just today  above 400.
Last  week I decided to stop begging to Medtronic and search for a different  alternative for my son. I found the TSlimX2 that works together with the  DexCom G6.
The  TSlimX2 reads the data from the DexCom and controls the insulin output.  If the sugar drops below the threshold the insulin pump will shut down  and reset once the sugar is back to a normal reading.
 The TSlimX2 is projecting to take over that part of the market that  Medtronic has abandoned  especially for those people that Medtronic  customer service is failing to attend.
If  you are looking for an insulin pump before you fell for the fancy  promotion and the millions of dollars Medtronic is putting in fancy  advertisement i suggest you to look into the TSlimX2 and the DexCom. 
Medtronic: 2/10
[https://www.tandemdiabetes.com/products/t-slim-x2-landing-page-g6?gclid=EAIaIQobChMI9buJ8cPS3gIV1LfACh3xBA5\_EAAYASAAEgJz6\_D\_BwE](https://www.tandemdiabetes.com/products/t-slim-x2-landing-page-g6?gclid=EAIaIQobChMI9buJ8cPS3gIV1LfACh3xBA5_EAAYASAAEgJz6_D_BwE)</t>
        </is>
      </c>
      <c r="D5625" t="n">
        <v>1</v>
      </c>
      <c r="E5625" t="n">
        <v>8</v>
      </c>
      <c r="F5625">
        <f>HYPERLINK("https://www.reddit.com/r/diabetes/comments/9wvbpn/medtronic_problem/")</f>
        <v/>
      </c>
      <c r="G5625" t="inlineStr">
        <is>
          <t>2018-11-13 17:23:38</t>
        </is>
      </c>
      <c r="H5625" t="inlineStr">
        <is>
          <t>Type 1</t>
        </is>
      </c>
    </row>
    <row r="5626">
      <c r="A5626" t="inlineStr">
        <is>
          <t>9wwg5u</t>
        </is>
      </c>
      <c r="B5626" t="inlineStr">
        <is>
          <t>First insulin injection—odd sensation—normal?</t>
        </is>
      </c>
      <c r="C5626" t="inlineStr">
        <is>
          <t>I just injected 13 units of Levemir. My BC was about 212 when I injected. Shortly after I injected I felt a weird wave sensation. I now have a sensation in my kidney areas. I’m not sure if this is a normal reaction or me just being squeamish. I feel actually better otherwise—more alert. Is this normal?</t>
        </is>
      </c>
      <c r="D5626" t="n">
        <v>1</v>
      </c>
      <c r="E5626" t="n">
        <v>2</v>
      </c>
      <c r="F5626">
        <f>HYPERLINK("https://www.reddit.com/r/diabetes/comments/9wwg5u/first_insulin_injectionodd_sensationnormal/")</f>
        <v/>
      </c>
      <c r="G5626" t="inlineStr">
        <is>
          <t>2018-11-13 19:47:13</t>
        </is>
      </c>
      <c r="H5626" t="inlineStr">
        <is>
          <t>Type 2</t>
        </is>
      </c>
    </row>
    <row r="5627">
      <c r="A5627" t="inlineStr">
        <is>
          <t>9wwk8c</t>
        </is>
      </c>
      <c r="B5627" t="inlineStr">
        <is>
          <t>Cold/Sickness: How bad and How Long?</t>
        </is>
      </c>
      <c r="C5627" t="inlineStr">
        <is>
          <t xml:space="preserve">Hi Everyone!
I was diagnosed with Type 1 earlier this year (January)  and the Endo said I was still in my honeymoon phase, I've been keeping physically fit and eating healthy and my A1c is 5.4 and avg BG is 110-135. I've been hitting higher BG levels lately after regular balanced meals from 250 to even 316 last night so I'm afraid that honeymoon phase is over. (On a ratio of 15Carbs:1unit before meals)
I have a head cold right now and a sinus infection and I was wondering if it will last longer (usually sinus infections last about a week and a half for me with medication) considering I'm probably exiting the honeymoon stage. </t>
        </is>
      </c>
      <c r="D5627" t="n">
        <v>1</v>
      </c>
      <c r="E5627" t="n">
        <v>2</v>
      </c>
      <c r="F5627">
        <f>HYPERLINK("https://www.reddit.com/r/diabetes/comments/9wwk8c/coldsickness_how_bad_and_how_long/")</f>
        <v/>
      </c>
      <c r="G5627" t="inlineStr">
        <is>
          <t>2018-11-13 20:02:39</t>
        </is>
      </c>
      <c r="H5627" t="inlineStr">
        <is>
          <t>Type 1</t>
        </is>
      </c>
    </row>
    <row r="5628">
      <c r="A5628" t="inlineStr">
        <is>
          <t>9x0e20</t>
        </is>
      </c>
      <c r="B5628" t="inlineStr">
        <is>
          <t>What are some of the symptoms of high blood sugar when are Type 2, recently diagnosed?</t>
        </is>
      </c>
      <c r="C5628" t="inlineStr">
        <is>
          <t xml:space="preserve">I’m trying to develop my spidey senses (RIP Stan Lee) to avoid trigger highs. </t>
        </is>
      </c>
      <c r="D5628" t="n">
        <v>1</v>
      </c>
      <c r="E5628" t="n">
        <v>9</v>
      </c>
      <c r="F5628">
        <f>HYPERLINK("https://www.reddit.com/r/diabetes/comments/9x0e20/what_are_some_of_the_symptoms_of_high_blood_sugar/")</f>
        <v/>
      </c>
      <c r="G5628" t="inlineStr">
        <is>
          <t>2018-11-14 06:07:09</t>
        </is>
      </c>
      <c r="H5628" t="inlineStr">
        <is>
          <t>Type 2</t>
        </is>
      </c>
    </row>
    <row r="5629">
      <c r="A5629" t="inlineStr">
        <is>
          <t>9x1ihj</t>
        </is>
      </c>
      <c r="B5629" t="inlineStr">
        <is>
          <t>How do I properly use insulin?</t>
        </is>
      </c>
      <c r="C5629" t="inlineStr">
        <is>
          <t>I am a 55 year old male fat guy (packed on a million pounds when I quit smoking five years ago).  I was diagnosed with type 2 diabetes about two years ago.  I used Metformin and Lantus to control it (1500 mg / 40 units/day).  About six months ago I eliminated almost ALL sugars from my diet and was able to kick the meds altogether.  No pasta, bread, fruits etc...
&amp;amp;#x200B;
My blood sugar numbers are good and healthy now.  
&amp;amp;#x200B;
The problem is that I LOVE pasta, and potatoes.  I want to be able to have a pasta meal or a side of potatoes once in a while (I am talking about maybe once every two months or so) without putting myself at risk.  Is it safe to eat a high carb meal every once in a while and follow it with a dose of metformin and/or insulin?
&amp;amp;#x200B;
TIA for the help!</t>
        </is>
      </c>
      <c r="D5629" t="n">
        <v>1</v>
      </c>
      <c r="E5629" t="n">
        <v>8</v>
      </c>
      <c r="F5629">
        <f>HYPERLINK("https://www.reddit.com/r/diabetes/comments/9x1ihj/how_do_i_properly_use_insulin/")</f>
        <v/>
      </c>
      <c r="G5629" t="inlineStr">
        <is>
          <t>2018-11-14 08:19:19</t>
        </is>
      </c>
      <c r="H5629" t="inlineStr">
        <is>
          <t>Type 2</t>
        </is>
      </c>
    </row>
    <row r="5630">
      <c r="A5630" t="inlineStr">
        <is>
          <t>9x1mho</t>
        </is>
      </c>
      <c r="B5630" t="inlineStr">
        <is>
          <t>Dexcom sent me a G6 Sensor by mistake. They said I can keep it.</t>
        </is>
      </c>
      <c r="C5630" t="inlineStr">
        <is>
          <t>Is there a place to donate these so someone who needs it can get it? Our insurance won't let us switch to G6 for a while so I don't think there is any point in me hanging onto it. I know having extra supplies can be nice so I'd love to give it to someone.</t>
        </is>
      </c>
      <c r="D5630" t="n">
        <v>1</v>
      </c>
      <c r="E5630" t="n">
        <v>2</v>
      </c>
      <c r="F5630">
        <f>HYPERLINK("https://www.reddit.com/r/diabetes/comments/9x1mho/dexcom_sent_me_a_g6_sensor_by_mistake_they_said_i/")</f>
        <v/>
      </c>
      <c r="G5630" t="inlineStr">
        <is>
          <t>2018-11-14 08:31:57</t>
        </is>
      </c>
      <c r="H5630" t="inlineStr">
        <is>
          <t>Type 1</t>
        </is>
      </c>
    </row>
    <row r="5631">
      <c r="A5631" t="inlineStr">
        <is>
          <t>9x29ef</t>
        </is>
      </c>
      <c r="B5631" t="inlineStr">
        <is>
          <t>Yesterday I was in the hospital, Today is World Diabetes Day. I think I needed to write this.</t>
        </is>
      </c>
      <c r="C5631" t="inlineStr">
        <is>
          <t>Hey /r/diabetes!
&amp;amp;#x200B;
My name is Tim McGee, and I am a Type 1 Diabetic. On February 14, 1997, I was diagnosed with Type 1 Diabetes after a misdiagnosis of having pneumonia by my pediatrician. While there's no way to tell now that it was a 100% misdiagnosis as my older brother had pneumonia only a few days prior, I did end up in the emergency room a short while later. When I was 8 years old, I almost went into a coma.
&amp;amp;#x200B;
&amp;amp;#x200B;
Luckily my ever vigilant mother caught that it was more than just pneumonia, and got another appointment with my pediatrician who took one look at me and stated that I have to go to the hospital immediately, and that he'd call an ambulance. My mom elected to drive instead. When I got to the ER the nurse taking my information asked my mom how long has it been since I last took my insulin, to which she replied, "He isn't a diabetic." The nurse informed her differently and I was rushed into triage to get hooked up to all types of tubes, catheters, and machinery.
&amp;amp;#x200B;
&amp;amp;#x200B;
That was 1997.
&amp;amp;#x200B;
&amp;amp;#x200B;
In 2014, I had a series of run-ins with Diabetic Ketoacidosis - or DKA. Prior to this, I've had a few lows that landed me in the hospital, but never have I had DKA since diagnosis. The series happened that once a month for 3 months, I would get hit with DKA as if I were just randomly hit by a truck. No real warnings. I could be fine one hour, and the next I would be in full-blown DKA: shortness of breath; acidic smell; vomiting; ect... Then it just stopped. Almost a year later it happened again, just this time it proceeded to last a bit longer. Then in June 2015, it stopped. My (now retired) Endocrinologist wasn't exactly sure what was causing it. I brought it my glucometer, which showed that I was testing my blood. My A1C wasn't perfect, but wasn't indicative of frequent hospital visits for DKA. It was just there. Then it stopped.
&amp;amp;#x200B;
&amp;amp;#x200B;
Fast forward to this past Saturday. I've switched jobs - I'm now a Licensed Massage Therapist - and I lead a healthy life. I check my sugars, take my insulin, and exercise daily. Then it happened again. I got hit with DKA. Now let me give you an idea of the events that lead up to this particular incident. I worked a 56 hour work week between two massage therapy jobs, plus I was watching two separate houses due to family members going on vacation at the same time. Quite clearly my body was stressed. Once I got sick, it was only a short amount of time until I ended up in the hospital. Here's the big issue that I had though... it could have all been prevented.
&amp;amp;#x200B;
&amp;amp;#x200B;
Anytime I get sick, I follow the same protocols I've been told years ago (like diagnosis years ago): Do not take your long acting insulin as you shouldn't take it in the presence of ketones; Drink plenty of fluids; Test your blood sugar every hour; Take your short acting every two hours; Check your ketones every time you urinate. It's been the same protocol since I was a kid. Here's the issue. I'm not taking the same medications I once took as a child. When I was a kid I was on a regiment of pork based insulins R and N. Now I'm on synthetic insulins Levemir and Novolog. Even the way of taking my insulin has changed from syringe to insulin pens. But my education never updated. I never knew about air pumping (priming) my pens. I was never told to make sure to take the Levemir every day, even IF I'm sick. If I knew all this, I could have avoided the hospital.
&amp;amp;#x200B;
&amp;amp;#x200B;
Here's the moral I'm trying to teach: Try to find new education all the time when you have this disease. New medication, get educated. Ask if there are any special protocols to follow when you're sick. Ask your endocrinologist if there is a diabetes team that you can get paired with so that you have a constant point of contact if you need help. There is always help available. Since it is World Diabetes Day, reach out to your endocrinologist, or your diabetes team and see if there's anything else you should know about your medications, any new advancements you might be qualified for... simple education may save your life.
&amp;amp;#x200B;
&amp;amp;#x200B;
TL;DR: I ended up with DKA over the weekend that could have been avoided if I received updated education on my medication and delivery system.</t>
        </is>
      </c>
      <c r="D5631" t="n">
        <v>1</v>
      </c>
      <c r="E5631" t="n">
        <v>2</v>
      </c>
      <c r="F5631">
        <f>HYPERLINK("https://www.reddit.com/r/diabetes/comments/9x29ef/yesterday_i_was_in_the_hospital_today_is_world/")</f>
        <v/>
      </c>
      <c r="G5631" t="inlineStr">
        <is>
          <t>2018-11-14 09:41:15</t>
        </is>
      </c>
      <c r="H5631" t="inlineStr">
        <is>
          <t>Type 1</t>
        </is>
      </c>
    </row>
    <row r="5632">
      <c r="A5632" t="inlineStr">
        <is>
          <t>9x3634</t>
        </is>
      </c>
      <c r="B5632" t="inlineStr">
        <is>
          <t>It's my first diaversary!</t>
        </is>
      </c>
      <c r="C5632" t="inlineStr">
        <is>
          <t>I realize the irony now that I was diagnosed on World Diabetes Day...But seriously, this past year has been a roller coaster as I learn how to live with this disease and take care of myself. There have been days where I just don't want to do it anymore, and days where it just is what it is. I have learned more about my body and how to treat it then I ever knew before. I know I'm stuck with this forever, and while that sucks, it's become a part of who I am and I will not let it stop me from the things I want to do. My heart goes out to those of you who have lived with this for most of their lives. You guys are my heroes. Here's to the next year and many more! &amp;lt;3</t>
        </is>
      </c>
      <c r="D5632" t="n">
        <v>1</v>
      </c>
      <c r="E5632" t="n">
        <v>2</v>
      </c>
      <c r="F5632">
        <f>HYPERLINK("https://www.reddit.com/r/diabetes/comments/9x3634/its_my_first_diaversary/")</f>
        <v/>
      </c>
      <c r="G5632" t="inlineStr">
        <is>
          <t>2018-11-14 11:20:31</t>
        </is>
      </c>
      <c r="H5632" t="inlineStr">
        <is>
          <t>Type 1</t>
        </is>
      </c>
    </row>
    <row r="5633">
      <c r="A5633" t="inlineStr">
        <is>
          <t>9x52xn</t>
        </is>
      </c>
      <c r="B5633" t="inlineStr">
        <is>
          <t>T1 for 17 years, ordered my first insulin pump today</t>
        </is>
      </c>
      <c r="C5633" t="inlineStr">
        <is>
          <t>First off, Happy World Diabetes Days, apparently! Literally had no clue that was today while I was finalizing my order for a Tandem T:slim x2 this morning. 
&amp;amp;#x200B;
I've been a T1 since I was 16 (I'm 33 now) and this has year has been the first time that I've had to really confront the fact that my diabetic control has become... let's say crummy at best. I received my worst A1C ever, an 8.3, earlier this summer. After more than a decade and a half of low to mid 7's and this was a real wake up call that I'm on a bad trajectory if I don't get it together. 
&amp;amp;#x200B;
So I've opted to get the pump, understanding that it won't suddenly solve the root issues of any poor control. I need to build in more discipline in general, a real exercise routine and force myself to make responsible eating decisions every day and not just when it's convenient. In short, I need to make sweeping changes right now, and I despite sometimes feeling like I want to just ignore the fact that I'm a diabetic, I am truly optimistic that I can make that happen. 
&amp;amp;#x200B;
With all that in mind, I'd love to hear any pump tips for a first-timer like me. My brilliant endo really sold me on the T:slim being the best available tech and I'd be grateful for any insights, specific or general. Thanks in advance :-)</t>
        </is>
      </c>
      <c r="D5633" t="n">
        <v>1</v>
      </c>
      <c r="E5633" t="n">
        <v>5</v>
      </c>
      <c r="F5633">
        <f>HYPERLINK("https://www.reddit.com/r/diabetes/comments/9x52xn/t1_for_17_years_ordered_my_first_insulin_pump/")</f>
        <v/>
      </c>
      <c r="G5633" t="inlineStr">
        <is>
          <t>2018-11-14 14:46:45</t>
        </is>
      </c>
      <c r="H5633" t="inlineStr">
        <is>
          <t>Type 1</t>
        </is>
      </c>
    </row>
    <row r="5634">
      <c r="A5634" t="inlineStr">
        <is>
          <t>9x7cmq</t>
        </is>
      </c>
      <c r="B5634" t="inlineStr">
        <is>
          <t>Windows Software for Dexcom G6?</t>
        </is>
      </c>
      <c r="C5634" t="inlineStr">
        <is>
          <t>Hi All - I just got a Dexcom G6 and would like to know if there is software that will run on a Windows 7 or 10 computer that will download data from the receiver WITHOUT also uploading it to some internet Web Site.  I want software that lets ME control access to my personal health data.  If the only way to get usable software is for me to be forced to provide my personally identifiable medical information to some nameless (or named) corporate 3rd party, then that is basically extortion, and a massive violation of my privacy, and it is wrong, wrong wrong on so many levels!  I would be fine paying for the software if it exists - it doesn't have to be free, as long as it doesn't upload my data to "the cloud" or anywhere else for that matter.  Is there anything opensource out there?  So far I know that Glooko and Dexcom Clarity both have auto upload features that can't be turned off, so I am not interested in them unless someone knows a way to hack the software to keep it from uploading my data automatically.  Thanks in advance.
&amp;amp;#x200B;
&amp;amp;#x200B;</t>
        </is>
      </c>
      <c r="D5634" t="n">
        <v>1</v>
      </c>
      <c r="E5634" t="n">
        <v>8</v>
      </c>
      <c r="F5634">
        <f>HYPERLINK("https://www.reddit.com/r/diabetes/comments/9x7cmq/windows_software_for_dexcom_g6/")</f>
        <v/>
      </c>
      <c r="G5634" t="inlineStr">
        <is>
          <t>2018-11-14 19:25:49</t>
        </is>
      </c>
      <c r="H5634" t="inlineStr">
        <is>
          <t>Type 1.5/LADA</t>
        </is>
      </c>
    </row>
    <row r="5635">
      <c r="A5635" t="inlineStr">
        <is>
          <t>9xbcx1</t>
        </is>
      </c>
      <c r="B5635" t="inlineStr">
        <is>
          <t>Airport security and child with T1D</t>
        </is>
      </c>
      <c r="C5635" t="inlineStr">
        <is>
          <t>Our family is looking to fly domestically in the United States and have some concerns about our son going through security with his pump.  Most threads I've read are in regards to adults going through.  I am interested in any info from parents who travel with their children with T1D and any tips to make the process go smoothly.
&amp;amp;#x200B;
We have requested a doctor's note already, have the TSA Notification Card, will have all medication and pump supplies in its own separate plastic bag. 
Also, can spare batteries be brought in carry-on?</t>
        </is>
      </c>
      <c r="D5635" t="n">
        <v>1</v>
      </c>
      <c r="E5635" t="n">
        <v>26</v>
      </c>
      <c r="F5635">
        <f>HYPERLINK("https://www.reddit.com/r/diabetes/comments/9xbcx1/airport_security_and_child_with_t1d/")</f>
        <v/>
      </c>
      <c r="G5635" t="inlineStr">
        <is>
          <t>2018-11-15 05:54:30</t>
        </is>
      </c>
      <c r="H5635" t="inlineStr">
        <is>
          <t>Type 1</t>
        </is>
      </c>
    </row>
    <row r="5636">
      <c r="A5636" t="inlineStr">
        <is>
          <t>9xc9as</t>
        </is>
      </c>
      <c r="B5636" t="inlineStr">
        <is>
          <t>Newly diagnosed, trying to understand BG readings</t>
        </is>
      </c>
      <c r="C5636" t="inlineStr">
        <is>
          <t>Over the past year, my doc has been warning me about elevated A1C and BG levels. At my last visit about 4 months ago he had me get a meter (OneTouch) and explained how/when to use it. It seemed pretty overwhelming to me so I didn't use it. I had another visit coming up this week so I thought I'd finally give it a try. I have access to my past test results so I had something to compare to. The morning that I was to go to the lab for blood work, I tried the meter for the first time. I stumbled and bumbled through it and got a reading of 240. I had fasted for 12+ hours for the lab work. I freaked and put everything away, thinking I was definitely doing something wrong. I went to the lab and a day or so later got the results via email. It was 133. The amount of time between me testing myself and getting the blood drawn at the lab was much less than an hour. I went to the doc yesterday and told him this. I brought my meter so they could show me the right way to do things. He suggested having the nurse test me, then have me test myself, to compare results. She tested me and the result was 138. I had fasted again (except for my morning coffee - 2 mugs with light cream). I did my own test and it was 144. This was around 9 AM.
He gave me the long speech again and this time prescribed metformin (which is why I say newly diagnosed, as he had warned me that 1 more high reading and he was going to put me on meds). I had a sausage patty with cheese and a fried egg on an English muffin then took the pill. Today I thought I would give it another try. My last meal ended around 8:30 pm (salad with grilled chicken and plain oil/vinegar dressing with bleu cheese crumbles) and 1 beer. This morning at 7 am I tested myself and it was 148. I feel like that's night right but I have gone on ahead with my day. I had a car appointment that I nearly forgot about and did not return until 10 AM when I made breakfast, 1 fried egg with a slice of cheese and sausage links (no bread this time), then I took my pill. I will test at noon.
Any info to help me understand what's happening will be appreciated. TY!</t>
        </is>
      </c>
      <c r="D5636" t="n">
        <v>1</v>
      </c>
      <c r="E5636" t="n">
        <v>3</v>
      </c>
      <c r="F5636">
        <f>HYPERLINK("https://www.reddit.com/r/diabetes/comments/9xc9as/newly_diagnosed_trying_to_understand_bg_readings/")</f>
        <v/>
      </c>
      <c r="G5636" t="inlineStr">
        <is>
          <t>2018-11-15 07:41:39</t>
        </is>
      </c>
      <c r="H5636" t="inlineStr">
        <is>
          <t>Type 2</t>
        </is>
      </c>
    </row>
    <row r="5637">
      <c r="A5637" t="inlineStr">
        <is>
          <t>9xg39s</t>
        </is>
      </c>
      <c r="B5637" t="inlineStr">
        <is>
          <t>Circulation in feet</t>
        </is>
      </c>
      <c r="C5637" t="inlineStr">
        <is>
          <t xml:space="preserve">Finally in South Carolina we are having some cold weather. Although I love the cold weather, my circulation in my feet doesn’t seem as good as when it was hot. This is my first winter as a diabetic. When I drive and it’s cold my foot seems to also fall asleep. What are your tips on handling the cold and to promote circulation in my feet, hands, etc? I want to make sure my blood flow is good  year round and not take a chance of ever losing a limb. </t>
        </is>
      </c>
      <c r="D5637" t="n">
        <v>1</v>
      </c>
      <c r="E5637" t="n">
        <v>4</v>
      </c>
      <c r="F5637">
        <f>HYPERLINK("https://www.reddit.com/r/diabetes/comments/9xg39s/circulation_in_feet/")</f>
        <v/>
      </c>
      <c r="G5637" t="inlineStr">
        <is>
          <t>2018-11-15 14:36:44</t>
        </is>
      </c>
      <c r="H5637" t="inlineStr">
        <is>
          <t>Type 2</t>
        </is>
      </c>
    </row>
    <row r="5638">
      <c r="A5638" t="inlineStr">
        <is>
          <t>9xha91</t>
        </is>
      </c>
      <c r="B5638" t="inlineStr">
        <is>
          <t>"Normal" a1c, but diabetic complications?</t>
        </is>
      </c>
      <c r="C5638" t="inlineStr">
        <is>
          <t>I'm being tested to see if my stomach is experiencing the effects of neuropathy (I have a lot of gastro issues), but my a1c has been 5.2 for the longest time &amp;amp; I don't understand what's going on? Does anyone have insight on how or why this could be? Reading materials? 
I'm fairly young &amp;amp; active. I was diagnosed with type 2 diabetes in 2015 when my a1c was at a 7. I quickly brought it down with lifestyle modifications and Metformin.
I'm just really confused right now &amp;amp; I don't get why I'm experiencing such "complications," if I'm watching my carb intake &amp;amp; I have a good a1c consistently. My daily meter readings match the range of my a1c too, so I know the a1c isn't off.</t>
        </is>
      </c>
      <c r="D5638" t="n">
        <v>1</v>
      </c>
      <c r="E5638" t="n">
        <v>11</v>
      </c>
      <c r="F5638">
        <f>HYPERLINK("https://www.reddit.com/r/diabetes/comments/9xha91/normal_a1c_but_diabetic_complications/")</f>
        <v/>
      </c>
      <c r="G5638" t="inlineStr">
        <is>
          <t>2018-11-15 17:01:36</t>
        </is>
      </c>
      <c r="H5638" t="inlineStr">
        <is>
          <t>Type 2</t>
        </is>
      </c>
    </row>
    <row r="5639">
      <c r="A5639" t="inlineStr">
        <is>
          <t>9ximod</t>
        </is>
      </c>
      <c r="B5639" t="inlineStr">
        <is>
          <t>Type 1 Diabetic - BG changing week to week!</t>
        </is>
      </c>
      <c r="C5639" t="inlineStr">
        <is>
          <t xml:space="preserve">Hi all!
&amp;amp;#x200B;
For the last few months I have been at a complete and utter loss with my BG levels. I was diagnosed about 4 years ago now and I think that I had a decently long honeymoon period. So I initially adjusted pretty quickly. Good control etc etc. In the last few months I just CAN'T seem to get it right. One week I'm going low ALL the time like 3 and under. I work at a school and I can't concentrate at all....I drink juice constantly throughout the day hoping to get it high enough so I can think straight. Then the next week I'm riding high ....as high as 14-17 after EVERY meal.  I just don't get what to do!! I have been tampering with my lantus a little bit. Like adjusting it  up and down by 1-2 units to cope with the highs and lows. But diet doesn't change much either, I pretty much eat the same few meals over and over again. But still I cant get it right and I constantly feel guilty because I feel like I'm losing control of body and health. So this is me venting. But also asking if anyone has suggestions or has anyone gone through anything similar? </t>
        </is>
      </c>
      <c r="D5639" t="n">
        <v>1</v>
      </c>
      <c r="E5639" t="n">
        <v>7</v>
      </c>
      <c r="F5639">
        <f>HYPERLINK("https://www.reddit.com/r/diabetes/comments/9ximod/type_1_diabetic_bg_changing_week_to_week/")</f>
        <v/>
      </c>
      <c r="G5639" t="inlineStr">
        <is>
          <t>2018-11-15 19:57:46</t>
        </is>
      </c>
      <c r="H5639" t="inlineStr">
        <is>
          <t>Type 1</t>
        </is>
      </c>
    </row>
    <row r="5640">
      <c r="A5640" t="inlineStr">
        <is>
          <t>9xkry6</t>
        </is>
      </c>
      <c r="B5640" t="inlineStr">
        <is>
          <t>No Longer Diabetic (Success Story)!</t>
        </is>
      </c>
      <c r="C5640" t="inlineStr">
        <is>
          <t>About 17 months ago, I was diagnosed with Type 2 after my check up, Type 2 runs within my family and college+stress+eating unhealthy didn’t exactly help a lot of how I treated my body; fast forward present day,  visited my doctor, got my blood work done and checked my results, and I am NO LONGER DIABETIC! I am not in a 5.7 range or even a 6.5! I am now in a 5.4! 😭😭😭 I never thought this was possible!</t>
        </is>
      </c>
      <c r="D5640" t="n">
        <v>1</v>
      </c>
      <c r="E5640" t="n">
        <v>10</v>
      </c>
      <c r="F5640">
        <f>HYPERLINK("https://www.reddit.com/r/diabetes/comments/9xkry6/no_longer_diabetic_success_story/")</f>
        <v/>
      </c>
      <c r="G5640" t="inlineStr">
        <is>
          <t>2018-11-16 01:41:51</t>
        </is>
      </c>
      <c r="H5640" t="inlineStr">
        <is>
          <t>Type 2</t>
        </is>
      </c>
    </row>
    <row r="5641">
      <c r="A5641" t="inlineStr">
        <is>
          <t>9xlb6u</t>
        </is>
      </c>
      <c r="B5641" t="inlineStr">
        <is>
          <t>Diagnosed 3 Years Ago Today.</t>
        </is>
      </c>
      <c r="C5641" t="inlineStr">
        <is>
          <t>I was diagnosed 3 years ago today and I always find this time of the year to be the hardest, normally I am able to live with it no problem but the days leading upto and past are a struggle,  Ihave managed to get my a1c to 5.7 from 18.5 when I was first diagnosed and losst over 1/4 of my body weight but I am still finding it hard.</t>
        </is>
      </c>
      <c r="D5641" t="n">
        <v>1</v>
      </c>
      <c r="E5641" t="n">
        <v>3</v>
      </c>
      <c r="F5641">
        <f>HYPERLINK("https://www.reddit.com/r/diabetes/comments/9xlb6u/diagnosed_3_years_ago_today/")</f>
        <v/>
      </c>
      <c r="G5641" t="inlineStr">
        <is>
          <t>2018-11-16 03:17:37</t>
        </is>
      </c>
      <c r="H5641" t="inlineStr">
        <is>
          <t>Type 2</t>
        </is>
      </c>
    </row>
    <row r="5642">
      <c r="A5642" t="inlineStr">
        <is>
          <t>9xn9lt</t>
        </is>
      </c>
      <c r="B5642" t="inlineStr">
        <is>
          <t>Last night I had a dream I ate a huge donut...</t>
        </is>
      </c>
      <c r="C5642" t="inlineStr">
        <is>
          <t xml:space="preserve">And then my brain woke itself up to make sure I was gonna take insulin for it. Sigh. ¯\_(ツ)_/¯  </t>
        </is>
      </c>
      <c r="D5642" t="n">
        <v>1</v>
      </c>
      <c r="E5642" t="n">
        <v>4</v>
      </c>
      <c r="F5642">
        <f>HYPERLINK("https://www.reddit.com/r/diabetes/comments/9xn9lt/last_night_i_had_a_dream_i_ate_a_huge_donut/")</f>
        <v/>
      </c>
      <c r="G5642" t="inlineStr">
        <is>
          <t>2018-11-16 07:44:55</t>
        </is>
      </c>
      <c r="H5642" t="inlineStr">
        <is>
          <t>Type 1</t>
        </is>
      </c>
    </row>
    <row r="5643">
      <c r="A5643" t="inlineStr">
        <is>
          <t>9xnaya</t>
        </is>
      </c>
      <c r="B5643" t="inlineStr">
        <is>
          <t>Newly diagnosed and looking for hacks</t>
        </is>
      </c>
      <c r="C5643" t="inlineStr">
        <is>
          <t>We are recently diagnosed (3 year old son =\_=) I just got a dexcom g6, we had a loaner g5 for a while. The phone i'm using for my little guy is older and won't work with the g6 app. Is there a way to spoof this? I am using clarity  to send stuff to the doctor. any help would be appreciated.</t>
        </is>
      </c>
      <c r="D5643" t="n">
        <v>1</v>
      </c>
      <c r="E5643" t="n">
        <v>11</v>
      </c>
      <c r="F5643">
        <f>HYPERLINK("https://www.reddit.com/r/diabetes/comments/9xnaya/newly_diagnosed_and_looking_for_hacks/")</f>
        <v/>
      </c>
      <c r="G5643" t="inlineStr">
        <is>
          <t>2018-11-16 07:48:54</t>
        </is>
      </c>
      <c r="H5643" t="inlineStr">
        <is>
          <t>Type 1</t>
        </is>
      </c>
    </row>
    <row r="5644">
      <c r="A5644" t="inlineStr">
        <is>
          <t>9xnf4s</t>
        </is>
      </c>
      <c r="B5644" t="inlineStr">
        <is>
          <t>Hmmmmm....140 kind of fasting</t>
        </is>
      </c>
      <c r="C5644" t="inlineStr">
        <is>
          <t xml:space="preserve">Here's the situation, curious what you fine folks think of it:
&amp;amp;#x200B;
Took my 20 month old kid's blood glucose level at midnight last night when he woke up.
&amp;amp;#x200B;
It was 140.
&amp;amp;#x200B;
For dinner at 6 pm he had a slice of pizza, turkey, green beans, a pop tart and kit kat from Halloween as well.  (Awesome dinner, I know).
&amp;amp;#x200B;
At 6 am took his bg again it was 93.  He had some momma milk at midnight when he woke up.
&amp;amp;#x200B;
Last july he had blood drawn and there was an elevated white blood cell count but normal bg (93) and a1c (5.3 i think).  Possibly had viral meningitis in the spring.  Not sure as we didn't do a spinal tap.  But, there was a virus in his school that caused hand, foot, mouth disease and that's the same virus that causes viral meningitis.  
&amp;amp;#x200B;
My guess is it's the early stages of T1d and the pancreas is in the process of being shut down which is evidenced from the white blood cell count in july and the viral meningitis (likely) was the trigger to this all.   
&amp;amp;#x200B;
Anyway, long story short, going to the doc to get more blood drawn to check gada and cpep as well as A1c, but what do you all think?  T1d or nah?  </t>
        </is>
      </c>
      <c r="D5644" t="n">
        <v>1</v>
      </c>
      <c r="E5644" t="n">
        <v>6</v>
      </c>
      <c r="F5644">
        <f>HYPERLINK("https://www.reddit.com/r/diabetes/comments/9xnf4s/hmmmmm140_kind_of_fasting/")</f>
        <v/>
      </c>
      <c r="G5644" t="inlineStr">
        <is>
          <t>2018-11-16 08:01:50</t>
        </is>
      </c>
      <c r="H5644" t="inlineStr">
        <is>
          <t>Type 1</t>
        </is>
      </c>
    </row>
    <row r="5645">
      <c r="A5645" t="inlineStr">
        <is>
          <t>9xnlmr</t>
        </is>
      </c>
      <c r="B5645" t="inlineStr">
        <is>
          <t>Blood Glucose Test Container Survey (T1,T2)</t>
        </is>
      </c>
      <c r="C5645" t="inlineStr">
        <is>
          <t>&amp;amp;#x200B;
Hi! I am a Type 1 Diabetic student from Worthington Kilbourne High School doing research for a re-design of the blood glucose test strip containers. This is to help benefit issues around opening up test strip container when you experience symptoms correlating to hypoglycemia (shaking, dizziness, etc..) and hyperglycemia (nausea, frustration, etc..) resulting in the spillage of test strips and delay of crucial time in checking blood sugar. I would highly appreciate the filling out of this survey to help aid my data collection, I have about a week window for the obtainment of this data. If you have any questions or concerns you contact me at mddmullen@gmail or my advisor at [tkarns@wscloud.org](mailto:tkarns@wscloud.org).
Thanks!
Link to Survey: [https://docs.google.com/forms/d/e/1FAIpQLScgU\_SqwSDNyM02JZVWXkK91Ux-jHfJNNDHcsmInuI6cCdetA/viewform?usp=sf\_link](https://docs.google.com/forms/d/e/1FAIpQLScgU_SqwSDNyM02JZVWXkK91Ux-jHfJNNDHcsmInuI6cCdetA/viewform?usp=sf_link)</t>
        </is>
      </c>
      <c r="D5645" t="n">
        <v>1</v>
      </c>
      <c r="E5645" t="n">
        <v>10</v>
      </c>
      <c r="F5645">
        <f>HYPERLINK("https://www.reddit.com/r/diabetes/comments/9xnlmr/blood_glucose_test_container_survey_t1t2/")</f>
        <v/>
      </c>
      <c r="G5645" t="inlineStr">
        <is>
          <t>2018-11-16 08:21:21</t>
        </is>
      </c>
      <c r="H5645" t="inlineStr">
        <is>
          <t>Type 1</t>
        </is>
      </c>
    </row>
    <row r="5646">
      <c r="A5646" t="inlineStr">
        <is>
          <t>9xpw7w</t>
        </is>
      </c>
      <c r="B5646" t="inlineStr">
        <is>
          <t>Unable to feel lows?</t>
        </is>
      </c>
      <c r="C5646" t="inlineStr">
        <is>
          <t>Hey i was recently diagnosed with t1 and have been able to feel when i'm low alle the time, however recently i have had some episodes where i could not tell when my BS was 65\~ (3,5). i have never been lower then that. 
I have noticed that what the episodes have in common is that i am somewhat active (walking etc) and also freezing a bit. Do you have certain times when you know that something could be in the way of your ability to feel a low coming?
Or is it common for you to just sometimes not notice?</t>
        </is>
      </c>
      <c r="D5646" t="n">
        <v>1</v>
      </c>
      <c r="E5646" t="n">
        <v>10</v>
      </c>
      <c r="F5646">
        <f>HYPERLINK("https://www.reddit.com/r/diabetes/comments/9xpw7w/unable_to_feel_lows/")</f>
        <v/>
      </c>
      <c r="G5646" t="inlineStr">
        <is>
          <t>2018-11-16 12:31:02</t>
        </is>
      </c>
      <c r="H5646" t="inlineStr">
        <is>
          <t>Type 1</t>
        </is>
      </c>
    </row>
    <row r="5647">
      <c r="A5647" t="inlineStr">
        <is>
          <t>9xud4k</t>
        </is>
      </c>
      <c r="B5647" t="inlineStr">
        <is>
          <t>Sugar drops at night when sick?</t>
        </is>
      </c>
      <c r="C5647" t="inlineStr">
        <is>
          <t xml:space="preserve">I don’t get sick that often, I guess I’m lucky with my immune system, but right now I’ve got a little head cold and it’s been a real pain.
During the day, my sugars have ranged 350+ to perfectly normal 100s because of being sick. But at night, once my face hits the pillow and I start counting sheep, my sugar decides to hit the boost buttons downwards. I just woke up a few minutes ago to fix a low 30 and last night was the same in the 40s and the night before in the 40s too.
I haven’t had this problem before and I was wondering if anyone can know what causes it. I’m guessing it is probably something with stress and that you might absorb insulin better while relaxed in sleep but that’s just my speculation. </t>
        </is>
      </c>
      <c r="D5647" t="n">
        <v>1</v>
      </c>
      <c r="E5647" t="n">
        <v>1</v>
      </c>
      <c r="F5647">
        <f>HYPERLINK("https://www.reddit.com/r/diabetes/comments/9xud4k/sugar_drops_at_night_when_sick/")</f>
        <v/>
      </c>
      <c r="G5647" t="inlineStr">
        <is>
          <t>2018-11-16 22:51:14</t>
        </is>
      </c>
      <c r="H5647" t="inlineStr">
        <is>
          <t>Type 1</t>
        </is>
      </c>
    </row>
    <row r="5648">
      <c r="A5648" t="inlineStr">
        <is>
          <t>9xydhp</t>
        </is>
      </c>
      <c r="B5648" t="inlineStr">
        <is>
          <t>Comfortable Pump Advice?</t>
        </is>
      </c>
      <c r="C5648" t="inlineStr">
        <is>
          <t>Hi guys. So ive had T1D since i was 11 (am now 18) and during the night time i put my tandem pump in those period pad cases that girls used to get from the nurse. Its like a cotton pouch that you can zip and i put my pump in there. That way, during the night time I dont feel the big lump of my pump as i sleep. However, the case is getting quite old and i only have one of them. Ive been looking everywhere for them and cant find them. Do you guys put your pump anywhere when you sleep? Like in a pouch or something? Any thing i can go out and buy in store or online? I need to sleep with my pump on but would like some advice on how to sleep with it more comfortably. Thank you</t>
        </is>
      </c>
      <c r="D5648" t="n">
        <v>1</v>
      </c>
      <c r="E5648" t="n">
        <v>13</v>
      </c>
      <c r="F5648">
        <f>HYPERLINK("https://www.reddit.com/r/diabetes/comments/9xydhp/comfortable_pump_advice/")</f>
        <v/>
      </c>
      <c r="G5648" t="inlineStr">
        <is>
          <t>2018-11-17 09:51:57</t>
        </is>
      </c>
      <c r="H5648" t="inlineStr">
        <is>
          <t>Type 1</t>
        </is>
      </c>
    </row>
    <row r="5649">
      <c r="A5649" t="inlineStr">
        <is>
          <t>9y2gvs</t>
        </is>
      </c>
      <c r="B5649" t="inlineStr">
        <is>
          <t>My 28th Diaversary is next week. Here’s my story(it’s long, I understand if no one reads it)</t>
        </is>
      </c>
      <c r="C5649" t="inlineStr">
        <is>
          <t>I was diagnosed the last week of November 1990.  I was 6 years old.  I had been sick for a couple of weeks.  Nauseous, fatigued, headaches.  My parents took me in to the pediatrician.  The first thing the doctor did was check my blood sugar, it was over 700.  My parents had been treating my symptoms, since I had no fever, with the usual home remedies for a stomach bug; flavored ice and ginger ale(Vernors for my fellow Michiganders).
I was immediately sent to the hospital, where I spent the next four weeks.  I was on an IV drip, I named my IV stand Fred.  I was probably the worst patient the pediatric floor had that year.  It took four nurses to change my IV, or draw my blood.  One would hold my legs, one my off arm, one to hold to arm they were working on, and one to insert the IV or draw blood.  This may be why I have such a hatred of needles.
I was released on Christmas Eve, 1990.  I was still 6 years old.  Being diagnosed and released so young was probably a bad thing for me.  I was released to my parents without learning how to do my own injections because I was so young.  My mom, a dental assistant, was to administer my insulin until I was of an age I could do my own injections.  This inability to do my own injections would(and continues to a lesser extent) to haunt my life as a diabetic.  
I made my mom’s life hell.  Every time it was time for insulin, twice a day, I would hide.  I would kick and scream and cry.  I know it destroyed my mom inside now...  I feel horrible.  
My pediatric endocrinologist was...  lacking.  No matter what I ate, the prescription was  3 units of insulin.  2 Long Acting and 1 Regular.  He rarely checked my A1C, maybe once every 18 months.  What he did have though, was a Super Nintendo with [Captain Novolin](https://en.m.wikipedia.org/wiki/Captain_Novolin) , it was awesome.
I had my first and only severe hypo on Christmas Day, 1996; I was 12 years old.  My family had a tradition, probably a poor one for a family with a T1 diabetic, that we had chocolate chip pancakes every Christmas morning.  We woke up and opened presents.  Then my mom gave me my insulin(because I still couldn’t) and my dad was going to make the pancakes.  Except I got a dart board, and I wanted to play.  So, my dad and I went up to my room to play darts and I lost consciousness.  Next thing I remember is waking up surrounded by paramedics, my blood sugar was now 22.  I felt like shit all day. 
I got my first insulin pump in April of 1997, I was still 12(almost 13).  It was manual infusion only, desitronic.  I still couldn’t do it myself.  I was now on Novolin, but still just 3 units whether spaghetti or salad.  
In May of 2007 i got married and bought a house.  I had a full time job.  However my (now ex)wife had to change my infusion sites.  Over the next 8 years I pushed my infusion changes longer and longer.  Reaching a max wear of 5 weeks at one point.  
On December 26, 2015 I filed for divorce after discovering my ex wife’s infidelity.  But this is my diabetic story, so the main take here is that I now had to learn to do my own infusions.  
You would think it would be easy.  I had(and still have) the Medtronic Paradigm Revel.  It had a Quickserter.  All I had to do was push two buttons.  It took me 4 hours on January 18th 2016...  but I did it For the first time in my life.  I was 31 years old.  
Over the next two years I had gotten better, changing my pump in as little as 20 minutes.  I still hated every second and I was still averaging a month for changing sites.
In September 2017 I did what I swore I wouldn’t do again, I got married again.  I showed my wife how I change my site.  I even had her do it twice in case I was ever in a position where I couldn’t for some reason, but I did not fall into the trap of having her do it every time; it was my burden to bear, not hers.  
In August of 2018 I found out I was going to be a father.  Originally to triplets, though we lost one...  now twins(boys).  This was what started me looking to better myself as a diabetic.  I need to be healthy and alive to see Alex and Ben grow up.  So, I’ve started reeling in my infusion site change time to be closer to what it should be, with a goal of being on time by New Year’s Day.  I am inquiring with insurance about covering a CGM.  
In the end, diabetes sucks; but it could be worse.  At least there is medicine and technology to treat this disease; and I can live an almost normal life.  
Sorry this is so long...  just figured I’d type out my journey.  Didn’t realize it’d be this long originally.</t>
        </is>
      </c>
      <c r="D5649" t="n">
        <v>1</v>
      </c>
      <c r="E5649" t="n">
        <v>9</v>
      </c>
      <c r="F5649">
        <f>HYPERLINK("https://www.reddit.com/r/diabetes/comments/9y2gvs/my_28th_diaversary_is_next_week_heres_my_storyits/")</f>
        <v/>
      </c>
      <c r="G5649" t="inlineStr">
        <is>
          <t>2018-11-17 18:37:37</t>
        </is>
      </c>
      <c r="H5649" t="inlineStr">
        <is>
          <t>Type 1</t>
        </is>
      </c>
    </row>
    <row r="5650">
      <c r="A5650" t="inlineStr">
        <is>
          <t>9y32hx</t>
        </is>
      </c>
      <c r="B5650" t="inlineStr">
        <is>
          <t>What number is too low after a meal</t>
        </is>
      </c>
      <c r="C5650" t="inlineStr">
        <is>
          <t xml:space="preserve">One to two hours after a meal is too low? I’m at 91 after a meal and usually have been around that eating my final meal, which is cereal with high fiber. Is this too low? I know it says for a diabetic 180 or below after a meal is ideal and even for a non diabetic is 140 or below. Just wanting to see if it should be a little higher after a meal or is this good? Thanks </t>
        </is>
      </c>
      <c r="D5650" t="n">
        <v>1</v>
      </c>
      <c r="E5650" t="n">
        <v>9</v>
      </c>
      <c r="F5650">
        <f>HYPERLINK("https://www.reddit.com/r/diabetes/comments/9y32hx/what_number_is_too_low_after_a_meal/")</f>
        <v/>
      </c>
      <c r="G5650" t="inlineStr">
        <is>
          <t>2018-11-17 20:11:26</t>
        </is>
      </c>
      <c r="H5650" t="inlineStr">
        <is>
          <t>Type 2</t>
        </is>
      </c>
    </row>
    <row r="5651">
      <c r="A5651" t="inlineStr">
        <is>
          <t>9y9fco</t>
        </is>
      </c>
      <c r="B5651" t="inlineStr">
        <is>
          <t>How do you treat 'insulin resistance' when your blood sugars are high?</t>
        </is>
      </c>
      <c r="C5651" t="inlineStr">
        <is>
          <t>I have been on insulin for just over 13 yrs and I've never been able to say I have a good plan for handling insulin resistance.  I use an insulin pump plus a Dexcom G5.  It isn't like I plan deliberately for my blood sugar to go high, but sometimes it does in spite of my best efforts.  I obviously take a correction or two or however many it takes to bring my blood sugar back into range.  Does anyone have a rule of thumb for adding extra insulin to compensate for insulin resistance?  I recently switched from Novolog to Humalog and I find it hard to believe that the switch of insulins might be responsible for my erratic numbers.  My next A1C is going to be awful and I don't look forward to it.</t>
        </is>
      </c>
      <c r="D5651" t="n">
        <v>1</v>
      </c>
      <c r="E5651" t="n">
        <v>12</v>
      </c>
      <c r="F5651">
        <f>HYPERLINK("https://www.reddit.com/r/diabetes/comments/9y9fco/how_do_you_treat_insulin_resistance_when_your/")</f>
        <v/>
      </c>
      <c r="G5651" t="inlineStr">
        <is>
          <t>2018-11-18 12:25:15</t>
        </is>
      </c>
      <c r="H5651" t="inlineStr">
        <is>
          <t>Type 1.5/LADA</t>
        </is>
      </c>
    </row>
    <row r="5652">
      <c r="A5652" t="inlineStr">
        <is>
          <t>9yb9uj</t>
        </is>
      </c>
      <c r="B5652" t="inlineStr">
        <is>
          <t>BG in the 300’s after workout</t>
        </is>
      </c>
      <c r="C5652" t="inlineStr">
        <is>
          <t xml:space="preserve">Why would I be so high after workout? I had a great 2 weeks where my BG was a straight line. Suddenly, BAM! I started getting high for no reason. 
I bet it’s because I don’t bolus enough or often enough. I’m working on that now. 
I wanna hear from everyone, maybe I’m confused or something. </t>
        </is>
      </c>
      <c r="D5652" t="n">
        <v>1</v>
      </c>
      <c r="E5652" t="n">
        <v>4</v>
      </c>
      <c r="F5652">
        <f>HYPERLINK("https://www.reddit.com/r/diabetes/comments/9yb9uj/bg_in_the_300s_after_workout/")</f>
        <v/>
      </c>
      <c r="G5652" t="inlineStr">
        <is>
          <t>2018-11-18 15:58:41</t>
        </is>
      </c>
      <c r="H5652" t="inlineStr">
        <is>
          <t>Type 1</t>
        </is>
      </c>
    </row>
    <row r="5653">
      <c r="A5653" t="inlineStr">
        <is>
          <t>9ycb0r</t>
        </is>
      </c>
      <c r="B5653" t="inlineStr">
        <is>
          <t>Guardian Sensor Needle wouldn't pull out!</t>
        </is>
      </c>
      <c r="C5653" t="inlineStr">
        <is>
          <t>I have had nothing but problems with the Medtronic Guardian 3 transmitter and sensors.
&amp;amp;#x200B;
Tonight's issue:  After inserting the sensor, the spring-loaded needle WOULD NOT pull out.
I could pull it up about a centimeter, but that's as far as I could get it to go. As soon as I would let go to get a better grip, it would shoot right back down. I did manage to finally pull it out, but it took a LOT of force. Unfortunately I cannot look at the needle to see if there was something wrong with it, because the spring sucks it safely inside the plastic housing. Now the sensor on top of my skin is filling with blood, which has happened before. I imagine the blood is because I inserted the needle like twelve times while trying to get the damn thing to release!
&amp;amp;#x200B;
..And now I wait for Warmup to see if this sensor/transmitter will even connect. Ugh.</t>
        </is>
      </c>
      <c r="D5653" t="n">
        <v>1</v>
      </c>
      <c r="E5653" t="n">
        <v>5</v>
      </c>
      <c r="F5653">
        <f>HYPERLINK("https://www.reddit.com/r/diabetes/comments/9ycb0r/guardian_sensor_needle_wouldnt_pull_out/")</f>
        <v/>
      </c>
      <c r="G5653" t="inlineStr">
        <is>
          <t>2018-11-18 18:07:47</t>
        </is>
      </c>
      <c r="H5653" t="inlineStr">
        <is>
          <t>Type 1</t>
        </is>
      </c>
    </row>
    <row r="5654">
      <c r="A5654" t="inlineStr">
        <is>
          <t>9ycy7c</t>
        </is>
      </c>
      <c r="B5654" t="inlineStr">
        <is>
          <t>Help with Tslim X2 update</t>
        </is>
      </c>
      <c r="C5654" t="inlineStr">
        <is>
          <t xml:space="preserve">Sorry if this is the wrong subreddit to post to.. (Also on mobile so sorry for any bad formatting) Anyways after months of waiting (someone accidentally threw out my Dexcom sensor) I finally receive the new G6 transmitters and sensors. Super hyped, I hop on the computer to update the software. It requires a micro USB cable so I grab the OEM cable included and plug it in. The pump charges but the computer and software doesn't recognize a plugged in pump. I've tried different ports, towers, laptops and thousands of micro USB cables. Stumped, I call the customer support and after 2 hours of waiting I get someone and they're sending me a new cable. I try to argue that this won't work seeing as the cable won't matter in this case. Anyways I have to wait for the cable to come, call customer support again and then have them send me a new pump. So with Thanksgiving right around the corner, I'm looking at another week or two to get the G6 running again. Was just wondering anyone else had this problem and if there are any fixes. Tslim problems are impossible to find fourms or discussion boards online so I figured here would be my best option. Also I was able to upload my pumps records via USB a few months back, so I know it previously worked.
TL;DR Tslim X2 pump wont be recognized on the Tandem updater 
Thanks for any help </t>
        </is>
      </c>
      <c r="D5654" t="n">
        <v>1</v>
      </c>
      <c r="E5654" t="n">
        <v>13</v>
      </c>
      <c r="F5654">
        <f>HYPERLINK("https://www.reddit.com/r/diabetes/comments/9ycy7c/help_with_tslim_x2_update/")</f>
        <v/>
      </c>
      <c r="G5654" t="inlineStr">
        <is>
          <t>2018-11-18 19:30:16</t>
        </is>
      </c>
      <c r="H5654" t="inlineStr">
        <is>
          <t>Type 1</t>
        </is>
      </c>
    </row>
    <row r="5655">
      <c r="A5655" t="inlineStr">
        <is>
          <t>9yh44n</t>
        </is>
      </c>
      <c r="B5655" t="inlineStr">
        <is>
          <t>A Diabetic Black Friday worth the Stampede... you know... because life!</t>
        </is>
      </c>
      <c r="C5655" t="inlineStr">
        <is>
          <t>ATTENTION ALL DIABETES PRODUCT MANUFACTURERS... Imagine if just one day out of the year you put your profits secondary to human life. Perhaps some unfortunate diabetic or their family could afford your life-saving medications and supplies long enough to at least survive through another Christmas with their loved ones.
How many people on this thread would take advantage of finally being able to afford an insulin pump, or be able to stock up on enough insulin to make it through the year and still have something left over to buy presents for the people that mean most in your life. Seeing that Black Friday is almost upon us, and knowing there are people who will literally trample all over each other to get a new TV or the latest toy for their children (while I always just catch the headlines on the news from the safety of my home). I often wondered if there would ever be anything that would make me brave the crowds and risk that kind of experience. Then it occurred to me -- oh my God! -- if there was a Black Friday sale on my insulin pump supplies, I would totally spend the night in a parking lot! My life would LITERALLY depend on it!</t>
        </is>
      </c>
      <c r="D5655" t="n">
        <v>1</v>
      </c>
      <c r="E5655" t="n">
        <v>4</v>
      </c>
      <c r="F5655">
        <f>HYPERLINK("https://www.reddit.com/r/diabetes/comments/9yh44n/a_diabetic_black_friday_worth_the_stampede_you/")</f>
        <v/>
      </c>
      <c r="G5655" t="inlineStr">
        <is>
          <t>2018-11-19 06:15:28</t>
        </is>
      </c>
      <c r="H5655" t="inlineStr">
        <is>
          <t>Type 1</t>
        </is>
      </c>
    </row>
    <row r="5656">
      <c r="A5656" t="inlineStr">
        <is>
          <t>9yitkb</t>
        </is>
      </c>
      <c r="B5656" t="inlineStr">
        <is>
          <t>OneDrop iOS app readings 30 minutes in the future, for weeks now!</t>
        </is>
      </c>
      <c r="C5656" t="inlineStr">
        <is>
          <t>Just wondering if anyone else is seeing this issue; when I take a reading with with OneDrop Chrome meter, the time is correct. When it syncs to the app via bluetooth, the reading is 30 minutes in the future. I have had to manually edit every reading in the app for weeks to adjust the time. I've had an open support case with them since Sept. 23 and it still isn't resolved. I've uninstalled the app to no avail. The readings are correctly timed on the Chrome meter.
Anyone else using the OneDrop iOS app with a OneDrop Chrome meter and seeing this?</t>
        </is>
      </c>
      <c r="D5656" t="n">
        <v>1</v>
      </c>
      <c r="E5656" t="n">
        <v>3</v>
      </c>
      <c r="F5656">
        <f>HYPERLINK("https://www.reddit.com/r/diabetes/comments/9yitkb/onedrop_ios_app_readings_30_minutes_in_the_future/")</f>
        <v/>
      </c>
      <c r="G5656" t="inlineStr">
        <is>
          <t>2018-11-19 09:25:44</t>
        </is>
      </c>
      <c r="H5656" t="inlineStr">
        <is>
          <t>Type 2</t>
        </is>
      </c>
    </row>
    <row r="5657">
      <c r="A5657" t="inlineStr">
        <is>
          <t>9yj6b4</t>
        </is>
      </c>
      <c r="B5657" t="inlineStr">
        <is>
          <t>Medtronic Guardian Sensor 3 Inaccurate?</t>
        </is>
      </c>
      <c r="C5657" t="inlineStr">
        <is>
          <t>I just started using my sensor for the first time yesterday, it's my first time using a CGM ever. I inserted it last night and all was well at first but then I had a reading of 80 and checked my blood sugar to calibrate it and my meter read that I was 280.  I couldn't calibrate my sensor because of this and so it asked me to change my sensor, which I did. But then the same problem happened with the new site. Is there something I could be doing wrong to make this happen? Or is it more likely a problem with the sensor?</t>
        </is>
      </c>
      <c r="D5657" t="n">
        <v>1</v>
      </c>
      <c r="E5657" t="n">
        <v>8</v>
      </c>
      <c r="F5657">
        <f>HYPERLINK("https://www.reddit.com/r/diabetes/comments/9yj6b4/medtronic_guardian_sensor_3_inaccurate/")</f>
        <v/>
      </c>
      <c r="G5657" t="inlineStr">
        <is>
          <t>2018-11-19 10:02:41</t>
        </is>
      </c>
      <c r="H5657" t="inlineStr">
        <is>
          <t>Type 1</t>
        </is>
      </c>
    </row>
    <row r="5658">
      <c r="A5658" t="inlineStr">
        <is>
          <t>9yjsef</t>
        </is>
      </c>
      <c r="B5658" t="inlineStr">
        <is>
          <t>Amazing new sweetener! (maybe)</t>
        </is>
      </c>
      <c r="C5658" t="inlineStr">
        <is>
          <t xml:space="preserve">I was shopping at whole foods and saw something I'd never seen before, a sweetener called Swerve. It was advertised as not raising blood sugar and good for diabetics. So, I'm wondering is that true? Have any of you tried it, and are the claims false? 
Further info: Erythritol and oligosaccharides, made from fermented glucose. </t>
        </is>
      </c>
      <c r="D5658" t="n">
        <v>1</v>
      </c>
      <c r="E5658" t="n">
        <v>8</v>
      </c>
      <c r="F5658">
        <f>HYPERLINK("https://www.reddit.com/r/diabetes/comments/9yjsef/amazing_new_sweetener_maybe/")</f>
        <v/>
      </c>
      <c r="G5658" t="inlineStr">
        <is>
          <t>2018-11-19 11:05:02</t>
        </is>
      </c>
      <c r="H5658" t="inlineStr">
        <is>
          <t>Type 2</t>
        </is>
      </c>
    </row>
    <row r="5659">
      <c r="A5659" t="inlineStr">
        <is>
          <t>9ykjg7</t>
        </is>
      </c>
      <c r="B5659" t="inlineStr">
        <is>
          <t>My SO just got the Tandem TSlim x2. What do you wish you knew about it earlier?</t>
        </is>
      </c>
      <c r="C5659" t="inlineStr">
        <is>
          <t>My SO is lucky enough to be upgrading from an older Medtronic to the new Tandem TSlim x2. What do you wish you knew about it earlier? Any experiences you can share?
She has been on the Dexcom G6 for a few months now, so we are very excited about the integration.</t>
        </is>
      </c>
      <c r="D5659" t="n">
        <v>1</v>
      </c>
      <c r="E5659" t="n">
        <v>19</v>
      </c>
      <c r="F5659">
        <f>HYPERLINK("https://www.reddit.com/r/diabetes/comments/9ykjg7/my_so_just_got_the_tandem_tslim_x2_what_do_you/")</f>
        <v/>
      </c>
      <c r="G5659" t="inlineStr">
        <is>
          <t>2018-11-19 12:22:26</t>
        </is>
      </c>
      <c r="H5659" t="inlineStr">
        <is>
          <t>Type 1</t>
        </is>
      </c>
    </row>
    <row r="5660">
      <c r="A5660" t="inlineStr">
        <is>
          <t>9ykrky</t>
        </is>
      </c>
      <c r="B5660" t="inlineStr">
        <is>
          <t>I had to replace my sodas with buttermilk yak</t>
        </is>
      </c>
      <c r="C5660" t="inlineStr">
        <is>
          <t xml:space="preserve">My endocrinologist increased my insulin and said no more soda ;\_\_\_; and he said drink buttermilk instead. Dammit, I loved my sodas. I'll still drink a glass with my meals. Screw the doctor he's a human as well. </t>
        </is>
      </c>
      <c r="D5660" t="n">
        <v>1</v>
      </c>
      <c r="E5660" t="n">
        <v>22</v>
      </c>
      <c r="F5660">
        <f>HYPERLINK("https://www.reddit.com/r/diabetes/comments/9ykrky/i_had_to_replace_my_sodas_with_buttermilk_yak/")</f>
        <v/>
      </c>
      <c r="G5660" t="inlineStr">
        <is>
          <t>2018-11-19 12:45:48</t>
        </is>
      </c>
      <c r="H5660" t="inlineStr">
        <is>
          <t>Type 1</t>
        </is>
      </c>
    </row>
    <row r="5661">
      <c r="A5661" t="inlineStr">
        <is>
          <t>9ylmn5</t>
        </is>
      </c>
      <c r="B5661" t="inlineStr">
        <is>
          <t>My neuropathist told me his girlfriend died of low sugar in her sleep</t>
        </is>
      </c>
      <c r="C5661" t="inlineStr">
        <is>
          <t xml:space="preserve">I saw a neuropathist for the first time to find out I have much older nerves than I should do and that I have some neuropathy.
He was asking me about lows and I said I don't feel them. He asked me the lowest if gone in the last 2 weeks and I said 2.2 (39) in the night.
He then looked me firmly in the eyes and very solemnly said that his girlfriend had died at 25 (im 25 years old) from low sugar. She went to sleep and never woke up. He was very serious and looked quite emotional. He then asked me lots of questions about if I lived alone, if my Mum could call me and wake me at night or something. He said because of the neuropathy I needed lower sugars but not if my levels were going low so much.
I guess this happened a while ago (he looks about 40) and maybe I reminded him of his girlfriend but it really upset me. I didn't know how to respond and it shook me up a lot. He really made it sound very serious, which I know already. I set 2 or 3 alarms each night throughout but tend to sleep through them all. I'm terrified of dying in my sleep, or waking up with major lows that have been going on for hors.
My insurance told me today that they might not approve a dexcom for me. When I asked when I would get the dexcom the woman laughed in my face and said "you mean IF we let you have it. Ha! As if you'd get one" and was really rude. This was after I told her I'd just spent a week in hospital for diabetes. She got really angry when I asked for a rough time line of when they could make their decision and just snapped that she didn't know and couldn't say.
I'm totally failing my course because I can't concentrate for shit and I've missed so many classes for appointments, bad sugars or the hospital. I'm so tired all the time because I keep having to wake up and check my levels in the night, I'm on my 3rd or 4th low today and yesterday was high all day despite numerous corrections. My canualla kinked on Friday giving me high sugars and high ketones so I had to miss a class on Saturday and basically spend Sunday in bed recovering and cancel all my weekend plans.
I also just found a letter saying my insurance might take away my pump. 
I just feel like shit.
Does anyone else get this? I feel like everyone keeps telling me the cgms are a luxury, that I should be grateful for having a pump , that everyone else manages without them fine. No one else ends up missing classes, not concentrating, struggling to do sport or drink or keep having to go to hospitsl. That I'm technology dependant because I never used to use a pump or dexcom but now I can't see to go a week without without going to A&amp;amp;E. Even though my control was not good before I got them, but I guess I coped better.
Sorry for the rant but it's been a rubbish day. </t>
        </is>
      </c>
      <c r="D5661" t="n">
        <v>1</v>
      </c>
      <c r="E5661" t="n">
        <v>121</v>
      </c>
      <c r="F5661">
        <f>HYPERLINK("https://www.reddit.com/r/diabetes/comments/9ylmn5/my_neuropathist_told_me_his_girlfriend_died_of/")</f>
        <v/>
      </c>
      <c r="G5661" t="inlineStr">
        <is>
          <t>2018-11-19 14:16:00</t>
        </is>
      </c>
      <c r="H5661" t="inlineStr">
        <is>
          <t>Type 1</t>
        </is>
      </c>
    </row>
    <row r="5662">
      <c r="A5662" t="inlineStr">
        <is>
          <t>9yrki1</t>
        </is>
      </c>
      <c r="B5662" t="inlineStr">
        <is>
          <t>Why are you hungry all the time, when have diabetes?</t>
        </is>
      </c>
      <c r="C5662" t="inlineStr">
        <is>
          <t xml:space="preserve">I wanna try IF but how when I’m always hungry. </t>
        </is>
      </c>
      <c r="D5662" t="n">
        <v>1</v>
      </c>
      <c r="E5662" t="n">
        <v>7</v>
      </c>
      <c r="F5662">
        <f>HYPERLINK("https://www.reddit.com/r/diabetes/comments/9yrki1/why_are_you_hungry_all_the_time_when_have_diabetes/")</f>
        <v/>
      </c>
      <c r="G5662" t="inlineStr">
        <is>
          <t>2018-11-20 04:03:47</t>
        </is>
      </c>
      <c r="H5662" t="inlineStr">
        <is>
          <t>Type 2</t>
        </is>
      </c>
    </row>
    <row r="5663">
      <c r="A5663" t="inlineStr">
        <is>
          <t>9yt4sc</t>
        </is>
      </c>
      <c r="B5663" t="inlineStr">
        <is>
          <t>Question on setting up medtronic pump.</t>
        </is>
      </c>
      <c r="C5663" t="inlineStr">
        <is>
          <t>Hi all!   I am currently setting up my medtronic pump and the rep is not responding at all.  I did meet with her yesterday.
&amp;amp;#x200B;
So after entering all the boluses and my basels. I noticed that the correction insulin is off, I have my target rate the same on both pumps. When i enter 135 on my animas is states i should have 0.70 and it has worked for me for years.  The medtronic says 0.35. Am i missing a set up option?</t>
        </is>
      </c>
      <c r="D5663" t="n">
        <v>1</v>
      </c>
      <c r="E5663" t="n">
        <v>1</v>
      </c>
      <c r="F5663">
        <f>HYPERLINK("https://www.reddit.com/r/diabetes/comments/9yt4sc/question_on_setting_up_medtronic_pump/")</f>
        <v/>
      </c>
      <c r="G5663" t="inlineStr">
        <is>
          <t>2018-11-20 07:28:22</t>
        </is>
      </c>
      <c r="H5663" t="inlineStr">
        <is>
          <t>Type 1</t>
        </is>
      </c>
    </row>
    <row r="5664">
      <c r="A5664" t="inlineStr">
        <is>
          <t>9ytf1g</t>
        </is>
      </c>
      <c r="B5664" t="inlineStr">
        <is>
          <t>Pregnancy Advice for Type 1</t>
        </is>
      </c>
      <c r="C5664" t="inlineStr">
        <is>
          <t>Hello! I am Type 1, and have been since 1996. I currently use Insulin shots and the Dexcom G6 sensor. I used the pump for about 18 years but had to discontinue due to the scar tissue it left all over my body. After many visits to the cardiologist, endo &amp;amp; others, I have been cleared to conceive with the hopes of a healthy pregnancy &amp;amp; baby! My AIC has been in the range of 5.6-6.0 for the past 18 months or so. I have found many blogs online from Type 1 mothers who successfully had a healthy child, but figured I would come here as well. Any advice would be greatly appreciated! Thank you!</t>
        </is>
      </c>
      <c r="D5664" t="n">
        <v>1</v>
      </c>
      <c r="E5664" t="n">
        <v>18</v>
      </c>
      <c r="F5664">
        <f>HYPERLINK("https://www.reddit.com/r/diabetes/comments/9ytf1g/pregnancy_advice_for_type_1/")</f>
        <v/>
      </c>
      <c r="G5664" t="inlineStr">
        <is>
          <t>2018-11-20 08:00:33</t>
        </is>
      </c>
      <c r="H5664" t="inlineStr">
        <is>
          <t>Type 1</t>
        </is>
      </c>
    </row>
    <row r="5665">
      <c r="A5665" t="inlineStr">
        <is>
          <t>9ytqi2</t>
        </is>
      </c>
      <c r="B5665" t="inlineStr">
        <is>
          <t>Benefits of Diabetes!</t>
        </is>
      </c>
      <c r="C5665" t="inlineStr">
        <is>
          <t xml:space="preserve">There's enough negativity around us, so how about a discussion revolving around the benefits of diabetes? It's not all bad when you think about it. I've had diabetes for 17 years now and I can truly say the following in my case:
**- I know my own body a lot better than most people**
**- My understanding of macro nutrients is spot on**
**- I'm always very aware of my body's condition, thanks to medical visits** </t>
        </is>
      </c>
      <c r="D5665" t="n">
        <v>1</v>
      </c>
      <c r="E5665" t="n">
        <v>54</v>
      </c>
      <c r="F5665">
        <f>HYPERLINK("https://www.reddit.com/r/diabetes/comments/9ytqi2/benefits_of_diabetes/")</f>
        <v/>
      </c>
      <c r="G5665" t="inlineStr">
        <is>
          <t>2018-11-20 08:34:30</t>
        </is>
      </c>
      <c r="H5665" t="inlineStr">
        <is>
          <t>Type 1</t>
        </is>
      </c>
    </row>
    <row r="5666">
      <c r="A5666" t="inlineStr">
        <is>
          <t>9yu4vc</t>
        </is>
      </c>
      <c r="B5666" t="inlineStr">
        <is>
          <t>Less awareness to lows after eating?</t>
        </is>
      </c>
      <c r="C5666" t="inlineStr">
        <is>
          <t>So you bolus, eat and for whatever reason you go low after eating. How do you find your perception to that low vs other lows?</t>
        </is>
      </c>
      <c r="D5666" t="n">
        <v>1</v>
      </c>
      <c r="E5666" t="n">
        <v>2</v>
      </c>
      <c r="F5666">
        <f>HYPERLINK("https://www.reddit.com/r/diabetes/comments/9yu4vc/less_awareness_to_lows_after_eating/")</f>
        <v/>
      </c>
      <c r="G5666" t="inlineStr">
        <is>
          <t>2018-11-20 09:16:17</t>
        </is>
      </c>
      <c r="H5666" t="inlineStr">
        <is>
          <t>Type 1</t>
        </is>
      </c>
    </row>
    <row r="5667">
      <c r="A5667" t="inlineStr">
        <is>
          <t>9yuufx</t>
        </is>
      </c>
      <c r="B5667" t="inlineStr">
        <is>
          <t>Dexcom G6 Question</t>
        </is>
      </c>
      <c r="C5667" t="inlineStr">
        <is>
          <t>Hey everyone! I'm getting a Dexcom G6 and was thinking about getting an Apple Watch to work with it as well. My question is, if I get the cellular Apple Watch can I see my Dexcom info on my Apple Watch without having my phone; or does the Dexcom need your phone no matter what to communicate with the Apple Watch?</t>
        </is>
      </c>
      <c r="D5667" t="n">
        <v>1</v>
      </c>
      <c r="E5667" t="n">
        <v>9</v>
      </c>
      <c r="F5667">
        <f>HYPERLINK("https://www.reddit.com/r/diabetes/comments/9yuufx/dexcom_g6_question/")</f>
        <v/>
      </c>
      <c r="G5667" t="inlineStr">
        <is>
          <t>2018-11-20 10:30:10</t>
        </is>
      </c>
      <c r="H5667" t="inlineStr">
        <is>
          <t>Type 1</t>
        </is>
      </c>
    </row>
    <row r="5668">
      <c r="A5668" t="inlineStr">
        <is>
          <t>9yv2py</t>
        </is>
      </c>
      <c r="B5668" t="inlineStr">
        <is>
          <t>Why does this diagnosis make me feel so awful about myself?</t>
        </is>
      </c>
      <c r="C5668" t="inlineStr">
        <is>
          <t>Today I got the word, I’m officially diabetic. I’ve been pre diabetic for a long time and dealing with sleep apnea, liver tumors, and depression on top of it. I just didn’t have it in me to lose the 60lbs I need to lose. My mental and physical health have improved a lot lately! I’ve been more active and eating vegetables at every meal. 
Somehow it feels like all of the improvements mean nothing now. It just makes me feel terrible about myself. Did anyone else feel this way when diagnosed? How did you cope and move forward? I want to get healthier and not hate myself over something genetic.</t>
        </is>
      </c>
      <c r="D5668" t="n">
        <v>1</v>
      </c>
      <c r="E5668" t="n">
        <v>4</v>
      </c>
      <c r="F5668">
        <f>HYPERLINK("https://www.reddit.com/r/diabetes/comments/9yv2py/why_does_this_diagnosis_make_me_feel_so_awful/")</f>
        <v/>
      </c>
      <c r="G5668" t="inlineStr">
        <is>
          <t>2018-11-20 10:54:11</t>
        </is>
      </c>
      <c r="H5668" t="inlineStr">
        <is>
          <t>Type 2</t>
        </is>
      </c>
    </row>
    <row r="5669">
      <c r="A5669" t="inlineStr">
        <is>
          <t>9yvh4i</t>
        </is>
      </c>
      <c r="B5669" t="inlineStr">
        <is>
          <t>I'm getting tired of it.</t>
        </is>
      </c>
      <c r="C5669" t="inlineStr">
        <is>
          <t xml:space="preserve">The pain. I've been dealing with frozen shoulder consistently over the past 5 years now. It's taken away my ability to do the things I loved doing (surfing, basketball). I am just getting over my right shoulder being in pain and now I can feel the left shoulder starting to flare up. I'm fed up with this crap. All the shots, all of the highs and lows, all of the pain and sleepless nights. I don't want to go through that again. </t>
        </is>
      </c>
      <c r="D5669" t="n">
        <v>1</v>
      </c>
      <c r="E5669" t="n">
        <v>4</v>
      </c>
      <c r="F5669">
        <f>HYPERLINK("https://www.reddit.com/r/diabetes/comments/9yvh4i/im_getting_tired_of_it/")</f>
        <v/>
      </c>
      <c r="G5669" t="inlineStr">
        <is>
          <t>2018-11-20 11:35:26</t>
        </is>
      </c>
      <c r="H5669" t="inlineStr">
        <is>
          <t>Type 2</t>
        </is>
      </c>
    </row>
    <row r="5670">
      <c r="A5670" t="inlineStr">
        <is>
          <t>9yx1qg</t>
        </is>
      </c>
      <c r="B5670" t="inlineStr">
        <is>
          <t>Is it possible to buy a Dana RS pump in the us?</t>
        </is>
      </c>
      <c r="C5670" t="inlineStr">
        <is>
          <t>Title
Does anyone here have a Dana rs pump? Looking into getting one and I'm curious about how exactly I would acquire one in the us, as well as supplies for it</t>
        </is>
      </c>
      <c r="D5670" t="n">
        <v>1</v>
      </c>
      <c r="E5670" t="n">
        <v>1</v>
      </c>
      <c r="F5670">
        <f>HYPERLINK("https://www.reddit.com/r/diabetes/comments/9yx1qg/is_it_possible_to_buy_a_dana_rs_pump_in_the_us/")</f>
        <v/>
      </c>
      <c r="G5670" t="inlineStr">
        <is>
          <t>2018-11-20 14:21:22</t>
        </is>
      </c>
      <c r="H5670" t="inlineStr">
        <is>
          <t>Type 1</t>
        </is>
      </c>
    </row>
    <row r="5671">
      <c r="A5671" t="inlineStr">
        <is>
          <t>9yz37e</t>
        </is>
      </c>
      <c r="B5671" t="inlineStr">
        <is>
          <t>New CGM Arrived Today! Now What?</t>
        </is>
      </c>
      <c r="C5671" t="inlineStr">
        <is>
          <t>Hi Everybody! 
My 13yr old daughter was diagnosed with T1D about a year ago. I've been lurking in the various diabetes subreddits since diagnosis and I thank all of you for the info, perspective, and comfort you have all unknowingly provided me and my family as we adjust to our "New Normal". She's been doing great since her initial Severe DKA event. It's been tough, but through a lot of hard work on her part and dedicated support form mom and dad we've kept her AIC in what I understand to be a decent range (5.8 - 6.1-ish) We've been using the AccuCheck Guide Meter and lots of finger pokes (typically 8-10 per day) to keep track of things and while the AccuCheck software isn't without it's quirks, Mom and I like having it text us the readings so we can double check our daughters math and advise on corrections throughout the day. 
It took a little convincing for our daughter to be willing to try a CGM. (She had grave concerns about becoming a cyborg and initiating the start of skynet and dooming humanity. ;-) )  We were able to have her Dr. place a sensor on her arm at an appointment so she could "Experience" what it felt like to apply a sensor and that dispelled much of her outward concerns and she latter conceded to being willing to give it a try. She doesn't mind the finger pokes, and it's a routine she has gotten accustomed to. Today we received our first CGM a Dexcom G6. It is my expectation that she will want to continue to finger poking for a while before trusting it and in the end we may switch back and forth between test strips and the CGM depending on how much of a hassle it proves to be and how comfortable she is wearing it. With the expectation that both will need to coexist, what iPhone software is best for these two specific devices that supports notifications for Mom and Dad to follow along while we give her all the independence she deserves. How do you manage the data from multiple systems? Whats best for the G6? What advice would you give someone new to a CGM? I think this should make Thanksgiving feasting pretty interesting. I look forward to any suggestions you may have.
Thanks,
\_T1D-Dad
&amp;amp;#x200B;
TL/DR - New Dexcom G6 Arrived today! What do we need to know? What iPhone software with family notification options is best for it to coexist with an AccuCheck Guide?
&amp;amp;#x200B;
&amp;amp;#x200B;</t>
        </is>
      </c>
      <c r="D5671" t="n">
        <v>1</v>
      </c>
      <c r="E5671" t="n">
        <v>25</v>
      </c>
      <c r="F5671">
        <f>HYPERLINK("https://www.reddit.com/r/diabetes/comments/9yz37e/new_cgm_arrived_today_now_what/")</f>
        <v/>
      </c>
      <c r="G5671" t="inlineStr">
        <is>
          <t>2018-11-20 18:38:31</t>
        </is>
      </c>
      <c r="H5671" t="inlineStr">
        <is>
          <t>Type 1</t>
        </is>
      </c>
    </row>
    <row r="5672">
      <c r="A5672" t="inlineStr">
        <is>
          <t>9z018t</t>
        </is>
      </c>
      <c r="B5672" t="inlineStr">
        <is>
          <t>Highest glucose?</t>
        </is>
      </c>
      <c r="C5672" t="inlineStr">
        <is>
          <t xml:space="preserve">What was your highest blood sugar level? When I was diagnosed, I was well over 700 mg/dL (40+ mmol/L) and I never knew what my actual levels were because the monitors in the hospital I was in didn’t go that high. </t>
        </is>
      </c>
      <c r="D5672" t="n">
        <v>1</v>
      </c>
      <c r="E5672" t="n">
        <v>12</v>
      </c>
      <c r="F5672">
        <f>HYPERLINK("https://www.reddit.com/r/diabetes/comments/9z018t/highest_glucose/")</f>
        <v/>
      </c>
      <c r="G5672" t="inlineStr">
        <is>
          <t>2018-11-20 20:52:51</t>
        </is>
      </c>
      <c r="H5672" t="inlineStr">
        <is>
          <t>Type 1</t>
        </is>
      </c>
    </row>
    <row r="5673">
      <c r="A5673" t="inlineStr">
        <is>
          <t>9z01nx</t>
        </is>
      </c>
      <c r="B5673" t="inlineStr">
        <is>
          <t>How can we allow and normalize such foods that is killing us?</t>
        </is>
      </c>
      <c r="C5673" t="inlineStr">
        <is>
          <t>Tell me if I'm wrong, but it's common knowledge that McDonald's is very unhealthy and has chemicals that cause cancer as well. 
&amp;amp;#x200B;
Yet, for some damn reason, we allow this addictive unhealthy food flow into our nation. Why is it necessary to continue this trend? It should be illegal and immoral to sell unhealthy food to the public, especially  for the poor who may have no choice but to eat it. 
&amp;amp;#x200B;
Shouldn't our tax dollars go to farmers who should be paid extra on properly raising animals instead of cramping them together? Shouldn't it be illegal to add preservatives that can make the food addictive? 
&amp;amp;#x200B;
Like for example what I saw near Harris Ranch on the way to Bakersfield. Tons of cows cramped together and nowhere close to being grass fed. 
&amp;amp;#x200B;
It's sickening to see that children and teenagers are getting TYPE 2 diabetes. There should be absolutely no excuse on why these children are getting it. 
&amp;amp;#x200B;
For older adults who get type 2 diabetes, they take the blame. Parents should also take blame on giving their children type 2 diabetes. But we need to also blame the food industries and put a stop into this immoral production. 
&amp;amp;#x200B;</t>
        </is>
      </c>
      <c r="D5673" t="n">
        <v>1</v>
      </c>
      <c r="E5673" t="n">
        <v>13</v>
      </c>
      <c r="F5673">
        <f>HYPERLINK("https://www.reddit.com/r/diabetes/comments/9z01nx/how_can_we_allow_and_normalize_such_foods_that_is/")</f>
        <v/>
      </c>
      <c r="G5673" t="inlineStr">
        <is>
          <t>2018-11-20 20:54:36</t>
        </is>
      </c>
      <c r="H5673" t="inlineStr">
        <is>
          <t>Type 2</t>
        </is>
      </c>
    </row>
    <row r="5674">
      <c r="A5674" t="inlineStr">
        <is>
          <t>9z11cb</t>
        </is>
      </c>
      <c r="B5674" t="inlineStr">
        <is>
          <t>Anybody had good experience with a particular diet to lose weight ?</t>
        </is>
      </c>
      <c r="C5674" t="inlineStr">
        <is>
          <t xml:space="preserve">I was wondering if any of my type 1 peeps were successful in losing weight with a particular diet that didn't completely messed up with their g levels. </t>
        </is>
      </c>
      <c r="D5674" t="n">
        <v>1</v>
      </c>
      <c r="E5674" t="n">
        <v>30</v>
      </c>
      <c r="F5674">
        <f>HYPERLINK("https://www.reddit.com/r/diabetes/comments/9z11cb/anybody_had_good_experience_with_a_particular/")</f>
        <v/>
      </c>
      <c r="G5674" t="inlineStr">
        <is>
          <t>2018-11-20 23:22:22</t>
        </is>
      </c>
      <c r="H5674" t="inlineStr">
        <is>
          <t>Type 1</t>
        </is>
      </c>
    </row>
    <row r="5675">
      <c r="A5675" t="inlineStr">
        <is>
          <t>9z5d5y</t>
        </is>
      </c>
      <c r="B5675" t="inlineStr">
        <is>
          <t>CGMC - Continous Glucose Monitoring Confessions</t>
        </is>
      </c>
      <c r="C5675" t="inlineStr">
        <is>
          <t xml:space="preserve">Forgive me endo, for I have sinned:
I lie to my CGM at least 2-3 times a day when it asks for a calibration. 
Don't let the beetus beat us!
[www.whattaprick.com](https://www.whattaprick.com) </t>
        </is>
      </c>
      <c r="D5675" t="n">
        <v>1</v>
      </c>
      <c r="E5675" t="n">
        <v>4</v>
      </c>
      <c r="F5675">
        <f>HYPERLINK("https://www.reddit.com/r/diabetes/comments/9z5d5y/cgmc_continous_glucose_monitoring_confessions/")</f>
        <v/>
      </c>
      <c r="G5675" t="inlineStr">
        <is>
          <t>2018-11-21 09:38:08</t>
        </is>
      </c>
      <c r="H5675" t="inlineStr">
        <is>
          <t>Type 1</t>
        </is>
      </c>
    </row>
    <row r="5676">
      <c r="A5676" t="inlineStr">
        <is>
          <t>9zc1r3</t>
        </is>
      </c>
      <c r="B5676" t="inlineStr">
        <is>
          <t>Libre questions</t>
        </is>
      </c>
      <c r="C5676" t="inlineStr">
        <is>
          <t xml:space="preserve">Questions about Freestyle Libre. 
1.	  How do I export the data ?
2.	  is there a recommended tape to help secure it ?
3.	there is absolutely no way this thing makes noises?  I don’t want any surprises 
4.	anyway to make it automatically scan without having to hit the “scan” button every time?  Wish if I had the app open that would be good enough...  </t>
        </is>
      </c>
      <c r="D5676" t="n">
        <v>1</v>
      </c>
      <c r="E5676" t="n">
        <v>7</v>
      </c>
      <c r="F5676">
        <f>HYPERLINK("https://www.reddit.com/r/diabetes/comments/9zc1r3/libre_questions/")</f>
        <v/>
      </c>
      <c r="G5676" t="inlineStr">
        <is>
          <t>2018-11-21 23:39:33</t>
        </is>
      </c>
      <c r="H5676" t="inlineStr">
        <is>
          <t>Type 1</t>
        </is>
      </c>
    </row>
    <row r="5677">
      <c r="A5677" t="inlineStr">
        <is>
          <t>9zc1tb</t>
        </is>
      </c>
      <c r="B5677" t="inlineStr">
        <is>
          <t>How to treat neuropathy pain without prescription meds?</t>
        </is>
      </c>
      <c r="C5677" t="inlineStr">
        <is>
          <t xml:space="preserve">Hey I’m dealing with some pain on my foot. Does neuropathy act up in colder weather? And how can I relieve it when I have no access to prescription medication? </t>
        </is>
      </c>
      <c r="D5677" t="n">
        <v>1</v>
      </c>
      <c r="E5677" t="n">
        <v>7</v>
      </c>
      <c r="F5677">
        <f>HYPERLINK("https://www.reddit.com/r/diabetes/comments/9zc1tb/how_to_treat_neuropathy_pain_without_prescription/")</f>
        <v/>
      </c>
      <c r="G5677" t="inlineStr">
        <is>
          <t>2018-11-21 23:39:51</t>
        </is>
      </c>
      <c r="H5677" t="inlineStr">
        <is>
          <t>Type 2</t>
        </is>
      </c>
    </row>
    <row r="5678">
      <c r="A5678" t="inlineStr">
        <is>
          <t>9zeii8</t>
        </is>
      </c>
      <c r="B5678" t="inlineStr">
        <is>
          <t>Indulgence on Thanksgiving</t>
        </is>
      </c>
      <c r="C5678" t="inlineStr">
        <is>
          <t xml:space="preserve">I was diagnosed as a 7 year old on Thanksgiving night back in '76.   
All those carbs, all those innocent, delightful, harmless carbs.   
Then the water. Then the peeing.   
Then the urine test that turned orange when it looked like it was going to stay blue.   
I wouldn't wish diabetes on anybody, but 42 years so far and still going strong, knock on pump.   
***Don't let anyone tell you that you can't eat that today****:* You're celebrating Shockmaindave's Life, the Universe, and Everything anniversary, so dig in! Count your carbs, eat like a slob, cheers, and here's to normoglycemia, gluttony, and having something to be thankful for. 
And remember, if you sprinkle cinnamon on it, the cure will be just around the corner. 
Thanks to u/musquirt for posting that carb chart that's the well-deserved top post. May it serve you well today. </t>
        </is>
      </c>
      <c r="D5678" t="n">
        <v>1</v>
      </c>
      <c r="E5678" t="n">
        <v>9</v>
      </c>
      <c r="F5678">
        <f>HYPERLINK("https://www.reddit.com/r/diabetes/comments/9zeii8/indulgence_on_thanksgiving/")</f>
        <v/>
      </c>
      <c r="G5678" t="inlineStr">
        <is>
          <t>2018-11-22 06:26:45</t>
        </is>
      </c>
      <c r="H5678" t="inlineStr">
        <is>
          <t>Type 1</t>
        </is>
      </c>
    </row>
    <row r="5679">
      <c r="A5679" t="inlineStr">
        <is>
          <t>9zfses</t>
        </is>
      </c>
      <c r="B5679" t="inlineStr">
        <is>
          <t>Recently diagnosed with LADA (Latent Autoimmune Diabetes of Adults). What can I expect as a type 1 diabetic?</t>
        </is>
      </c>
      <c r="C5679" t="inlineStr">
        <is>
          <t>Hey everyone, first post on Reddit. I decided to make it important. I need more information on type 1 diabetes, as I was originally diagnosed with type 2 and I am currently in the "honeymoon stage" (as my endocrinologist so eloquently put) for about a year now, and I am not currently using a pump, although I was informed that I would eventually need one. I am 18 years old, if that helps, and I am researching different insulin pumps, CGM's, insulin pens, etc. What type of equipment is good for me to use? What are some tips for managing my type 1 diabetes? Note: I am taking insulin once a day, until I will need an insulin pump, as well as Metformin to help with my glucose.</t>
        </is>
      </c>
      <c r="D5679" t="n">
        <v>1</v>
      </c>
      <c r="E5679" t="n">
        <v>4</v>
      </c>
      <c r="F5679">
        <f>HYPERLINK("https://www.reddit.com/r/diabetes/comments/9zfses/recently_diagnosed_with_lada_latent_autoimmune/")</f>
        <v/>
      </c>
      <c r="G5679" t="inlineStr">
        <is>
          <t>2018-11-22 09:00:12</t>
        </is>
      </c>
      <c r="H5679" t="inlineStr">
        <is>
          <t>Type 1.5/LADA</t>
        </is>
      </c>
    </row>
    <row r="5680">
      <c r="A5680" t="inlineStr">
        <is>
          <t>9zgvqq</t>
        </is>
      </c>
      <c r="B5680" t="inlineStr">
        <is>
          <t>Mac users: View your Nightscout data on your menu bar</t>
        </is>
      </c>
      <c r="C5680" t="inlineStr">
        <is>
          <t>So I made a cool thing that some of you might like.
&amp;amp;#x200B;
There's a super cool tool for Mac called BitBar ([https://getbitbar.com/](https://getbitbar.com/)). It will take the console output from any script and display it on your menu bar. I use it for work to display multiple timezones ([https://getbitbar.com/plugins/Time/worldclock.1s.sh](https://getbitbar.com/plugins/Time/worldclock.1s.sh)) and to give me a random XKCD comic ([https://getbitbar.com/plugins/Web/xkcd.1h.sh](https://getbitbar.com/plugins/Web/xkcd.1h.sh)).
&amp;amp;#x200B;
More relevant to this crowd, I've made my own plugin which will read nightscout data and display it every minute.
&amp;amp;#x200B;
https://i.redd.it/e5q6fp8lexz11.png
Installation is very easy. Just follow the steps here to instal BitBar
[https://github.com/matryer/bitbar/blob/master/README.md](https://github.com/matryer/bitbar/blob/master/README.md)
&amp;amp;#x200B;
To install my plugin, copy the link below into a browser (I am waiting for approval to get added to their repository so for now you can get the plugin directly from me)  and you should be prompted to download and install the script.
&amp;amp;#x200B;
`bitbar://openPlugin?title=Nightscout%20Reader&amp;amp;src=https://raw.githubusercontent.com/badgerpapa/NightscoutBitBar/master/nightscout.1m.sh`
&amp;amp;#x200B;
or you can download the file [nightscout.1m.sh](https://nightscout.1m.sh) from my github and place it in your Plugins folder:
[https://github.com/badgerpapa/NightscoutBitBar](https://github.com/badgerpapa/NightscoutBitBar)
&amp;amp;#x200B;
Then, find the folder you setup as your plugins folder for BitBar. Edit the file [nightscout.1m.sh](https://nightscout.1m.sh) and set your nightscout URL as well as your units preference.
&amp;amp;#x200B;
Enjoy yet another way to view your nightscout data.
If you try it out, please let me know what you think.
&amp;amp;#x200B;
&amp;amp;#x200B;</t>
        </is>
      </c>
      <c r="D5680" t="n">
        <v>1</v>
      </c>
      <c r="E5680" t="n">
        <v>7</v>
      </c>
      <c r="F5680">
        <f>HYPERLINK("https://www.reddit.com/r/diabetes/comments/9zgvqq/mac_users_view_your_nightscout_data_on_your_menu/")</f>
        <v/>
      </c>
      <c r="G5680" t="inlineStr">
        <is>
          <t>2018-11-22 11:03:44</t>
        </is>
      </c>
      <c r="H5680" t="inlineStr">
        <is>
          <t>Type 1</t>
        </is>
      </c>
    </row>
    <row r="5681">
      <c r="A5681" t="inlineStr">
        <is>
          <t>9zkhzf</t>
        </is>
      </c>
      <c r="B5681" t="inlineStr">
        <is>
          <t>Turkey day update</t>
        </is>
      </c>
      <c r="C5681" t="inlineStr">
        <is>
          <t xml:space="preserve">3 slices of honey ham, three big scoops of mashed potatoes, some chips and dip, pumpkin pie, and stuffing. Two hours later I'm at 136. I feel as if this isn't normal. Good thing do t get me wrong. But not normal lol. </t>
        </is>
      </c>
      <c r="D5681" t="n">
        <v>1</v>
      </c>
      <c r="E5681" t="n">
        <v>3</v>
      </c>
      <c r="F5681">
        <f>HYPERLINK("https://www.reddit.com/r/diabetes/comments/9zkhzf/turkey_day_update/")</f>
        <v/>
      </c>
      <c r="G5681" t="inlineStr">
        <is>
          <t>2018-11-22 19:02:22</t>
        </is>
      </c>
      <c r="H5681" t="inlineStr">
        <is>
          <t>Type 2</t>
        </is>
      </c>
    </row>
    <row r="5682">
      <c r="A5682" t="inlineStr">
        <is>
          <t>9zlc9l</t>
        </is>
      </c>
      <c r="B5682" t="inlineStr">
        <is>
          <t>Thank you.</t>
        </is>
      </c>
      <c r="C5682" t="inlineStr">
        <is>
          <t xml:space="preserve">I’m not gonna post how awesome my numbers are or aren’t over Thanksgiving.  There’s so many that have done that and it’s great for sure. Way to go. I just want to let those know who maybe didn’t have as great a thanksgiving, numbers wise or whatever else, you’re doing good too. 
One day doesn’t make you skinny and one day doesn’t make you fat. One day of good or bad numbers doesn’t define you. 
If you had a great day. Sweet. Enjoy it. Keep it up. 
If you didn’t. It’s okay. Learn from it and make tomorrow better.  Nothing in this stupid ass disease can be ignored. On the days that aren’t good, I’m trying to find how to be better, or at least learn something new.  I don’t beat myself up. If I did, I’d be pretty bruised. 
I’m thankful for this community and the support  it has brought me on this journey.  Good or bad, spikes or smooth trends, I hope you all had a relaxing thanksgiving and I wish you nothing but the best as we head into the gauntlet of winter and Christmas. 
Peace be with you all. </t>
        </is>
      </c>
      <c r="D5682" t="n">
        <v>1</v>
      </c>
      <c r="E5682" t="n">
        <v>0</v>
      </c>
      <c r="F5682">
        <f>HYPERLINK("https://www.reddit.com/r/diabetes/comments/9zlc9l/thank_you/")</f>
        <v/>
      </c>
      <c r="G5682" t="inlineStr">
        <is>
          <t>2018-11-22 21:09:13</t>
        </is>
      </c>
      <c r="H5682" t="inlineStr">
        <is>
          <t>Type 1</t>
        </is>
      </c>
    </row>
    <row r="5683">
      <c r="A5683" t="inlineStr">
        <is>
          <t>9zq80y</t>
        </is>
      </c>
      <c r="B5683" t="inlineStr">
        <is>
          <t>Diabetes tattoos!</t>
        </is>
      </c>
      <c r="C5683" t="inlineStr">
        <is>
          <t>I'll start off by introducing myself; I'm Ole, 16 years of age and have had diabetes type one since i was 9 years. I have a brother that has diabetes as well (type one) and he got a "T1" tattooed on his finger, and i want something similar when i turn 18, but i don't like the idea of directly copying his tattoo; any of you have any ideas or pictures of your own tattoos you'd like to share? :)</t>
        </is>
      </c>
      <c r="D5683" t="n">
        <v>1</v>
      </c>
      <c r="E5683" t="n">
        <v>7</v>
      </c>
      <c r="F5683">
        <f>HYPERLINK("https://www.reddit.com/r/diabetes/comments/9zq80y/diabetes_tattoos/")</f>
        <v/>
      </c>
      <c r="G5683" t="inlineStr">
        <is>
          <t>2018-11-23 09:34:32</t>
        </is>
      </c>
      <c r="H5683" t="inlineStr">
        <is>
          <t>Type 1</t>
        </is>
      </c>
    </row>
    <row r="5684">
      <c r="A5684" t="inlineStr">
        <is>
          <t>9zrxie</t>
        </is>
      </c>
      <c r="B5684" t="inlineStr">
        <is>
          <t>Thanksgiving</t>
        </is>
      </c>
      <c r="C5684" t="inlineStr">
        <is>
          <t>After thanksgiving dinner I was at 456 but I honestly didn’t care because I had a good ass meal and gave a correction before I went to bed. 10/10 thanksgiving though</t>
        </is>
      </c>
      <c r="D5684" t="n">
        <v>1</v>
      </c>
      <c r="E5684" t="n">
        <v>1</v>
      </c>
      <c r="F5684">
        <f>HYPERLINK("https://www.reddit.com/r/diabetes/comments/9zrxie/thanksgiving/")</f>
        <v/>
      </c>
      <c r="G5684" t="inlineStr">
        <is>
          <t>2018-11-23 12:48:53</t>
        </is>
      </c>
      <c r="H5684" t="inlineStr">
        <is>
          <t>Type 1</t>
        </is>
      </c>
    </row>
    <row r="5685">
      <c r="A5685" t="inlineStr">
        <is>
          <t>a01fu2</t>
        </is>
      </c>
      <c r="B5685" t="inlineStr">
        <is>
          <t>Greetings!</t>
        </is>
      </c>
      <c r="C5685" t="inlineStr">
        <is>
          <t>Just found this sub and subscribed. Thought I would reach out and introduce myself. 
I was diagnosed as a T2 20 years ago. I was and am tall and lean.  The reaction I get is that people don't understand how I could have T2.  My doc says I am now T1.5. I am not producing insulin and am somewhat insulin resistant. My gl is under control and I suffer no major negative effects of this disease.  I have been on a keto diet for about 10 years and am a fan of it for gl management and weight maintenance. Started with the Dexom G6 CGM yesterday. Wow. I see great potential in GL management. Also am investigating tslim pump to interface with G6. 
While diabetes is a scary disease, and not minimizing its' impact on anyone, I have found that it has had a significant hidden benefit for me. It has focused my attention on health, nutrition, and exercise in a way that, I am pretty sure, I would not have without diabetes. In this weird way I beleive I am healthier because of it.
Anyway, best to all! Looking forward to partaking in your valuable insights and opinions.</t>
        </is>
      </c>
      <c r="D5685" t="n">
        <v>1</v>
      </c>
      <c r="E5685" t="n">
        <v>7</v>
      </c>
      <c r="F5685">
        <f>HYPERLINK("https://www.reddit.com/r/diabetes/comments/a01fu2/greetings/")</f>
        <v/>
      </c>
      <c r="G5685" t="inlineStr">
        <is>
          <t>2018-11-24 11:35:30</t>
        </is>
      </c>
      <c r="H5685" t="inlineStr">
        <is>
          <t>Type 1.5/LADA</t>
        </is>
      </c>
    </row>
    <row r="5686">
      <c r="A5686" t="inlineStr">
        <is>
          <t>a01rew</t>
        </is>
      </c>
      <c r="B5686" t="inlineStr">
        <is>
          <t>Pre-Bolusing Help</t>
        </is>
      </c>
      <c r="C5686" t="inlineStr">
        <is>
          <t xml:space="preserve">Hi everyone! So I’ve recently started using a CGM (about three months now, the Guardian Link 3) and am fascinated by finally seeing my trends on the graph. That being said, I really see the importance of pre-bolusing now. My question is, when’s the best time to bolus before actually eating? Should it be 100% of the bolus? How does it differ between meal size/type? Any and all advice would be awesome, I’m just trying to mitigate my spikes after meals! </t>
        </is>
      </c>
      <c r="D5686" t="n">
        <v>1</v>
      </c>
      <c r="E5686" t="n">
        <v>16</v>
      </c>
      <c r="F5686">
        <f>HYPERLINK("https://www.reddit.com/r/diabetes/comments/a01rew/prebolusing_help/")</f>
        <v/>
      </c>
      <c r="G5686" t="inlineStr">
        <is>
          <t>2018-11-24 12:10:09</t>
        </is>
      </c>
      <c r="H5686" t="inlineStr">
        <is>
          <t>Type 1</t>
        </is>
      </c>
    </row>
    <row r="5687">
      <c r="A5687" t="inlineStr">
        <is>
          <t>a02vv1</t>
        </is>
      </c>
      <c r="B5687" t="inlineStr">
        <is>
          <t>G6 questions</t>
        </is>
      </c>
      <c r="C5687" t="inlineStr">
        <is>
          <t xml:space="preserve">hey guys! I have a question about my g6 I just started using. The first two sensors were spot on, never needed calibration, perfect. The third one was pretty off and pinged me to calibrate it constantly. This one was really off (on thanksgiving, awesome) but didn’t ask me to calibrate it, and it’s off this morning just not as badly...basically I’ve heard that calibrating it too much can screw it up so what do I do or what is causing this?? </t>
        </is>
      </c>
      <c r="D5687" t="n">
        <v>1</v>
      </c>
      <c r="E5687" t="n">
        <v>3</v>
      </c>
      <c r="F5687">
        <f>HYPERLINK("https://www.reddit.com/r/diabetes/comments/a02vv1/g6_questions/")</f>
        <v/>
      </c>
      <c r="G5687" t="inlineStr">
        <is>
          <t>2018-11-24 14:22:29</t>
        </is>
      </c>
      <c r="H5687" t="inlineStr">
        <is>
          <t>Type 1</t>
        </is>
      </c>
    </row>
    <row r="5688">
      <c r="A5688" t="inlineStr">
        <is>
          <t>a0499w</t>
        </is>
      </c>
      <c r="B5688" t="inlineStr">
        <is>
          <t>Metformin issues</t>
        </is>
      </c>
      <c r="C5688" t="inlineStr">
        <is>
          <t xml:space="preserve">hi all, I’ve been lurking and everyone seems super chill, I was diagnosed with type 2 in Oct, and have been on Metformin since then, I have noticed that... in the last week... I’ve been in soo much pain (stomach) it feels like i’m constipated (have no shame..) it feels like i’m hungry but i’m not, so annoying my stomach is killing me, I’ve been told to take an entire pill, at breakfast then dinner.. before I was just taking half of one in the morning then night.. Omg the stomach pain is killing me... no nausea... just feels super bloated/gas pain. Any suggestions? Has anyone else had this problem? please! help! my dose is 250mg but with the 2 whole pills it’s 500mg. </t>
        </is>
      </c>
      <c r="D5688" t="n">
        <v>1</v>
      </c>
      <c r="E5688" t="n">
        <v>12</v>
      </c>
      <c r="F5688">
        <f>HYPERLINK("https://www.reddit.com/r/diabetes/comments/a0499w/metformin_issues/")</f>
        <v/>
      </c>
      <c r="G5688" t="inlineStr">
        <is>
          <t>2018-11-24 17:17:06</t>
        </is>
      </c>
      <c r="H5688" t="inlineStr">
        <is>
          <t>Type 2</t>
        </is>
      </c>
    </row>
    <row r="5689">
      <c r="A5689" t="inlineStr">
        <is>
          <t>a04xxh</t>
        </is>
      </c>
      <c r="B5689" t="inlineStr">
        <is>
          <t>Lowest Type 1 A1C?</t>
        </is>
      </c>
      <c r="C5689" t="inlineStr">
        <is>
          <t>All type one's, I am curious to know your lowest a1c level that you have ever gotten (sorry type 2s but idc, its much different for yall :/). My pesonal best was 5.7, and my doctor told me that out of the thousands of a1c's he'd seen in his life, that there were only about half a dozen in that ballpark. can anyone beat my high score (or i guess you could call it low score)?</t>
        </is>
      </c>
      <c r="D5689" t="n">
        <v>1</v>
      </c>
      <c r="E5689" t="n">
        <v>38</v>
      </c>
      <c r="F5689">
        <f>HYPERLINK("https://www.reddit.com/r/diabetes/comments/a04xxh/lowest_type_1_a1c/")</f>
        <v/>
      </c>
      <c r="G5689" t="inlineStr">
        <is>
          <t>2018-11-24 18:53:03</t>
        </is>
      </c>
      <c r="H5689" t="inlineStr">
        <is>
          <t>Type 1</t>
        </is>
      </c>
    </row>
    <row r="5690">
      <c r="A5690" t="inlineStr">
        <is>
          <t>a05fml</t>
        </is>
      </c>
      <c r="B5690" t="inlineStr">
        <is>
          <t>Support groups for adults with T1? (Boston area)</t>
        </is>
      </c>
      <c r="C5690" t="inlineStr">
        <is>
          <t>I’m looking in the Boston area but also curious in general - are there many adult support groups out there?  Most seem geared more to kids and parents, I wish there were as many options for adults going through the daily struggle.
I’ve had diabetes for 15 years and in all that time I’ve only met other t1 diabetics in passing. I can’t say that I’ve ever had a serious conversation about my disease with another person who also has it (outside of forums like this, for which I’m grateful). Friends and family try to understand, but lately I’ve been feeling the need to just commiserate with someone else who truly gets it.  
Does anyone know of any groups like this in the Boston area I might’ve missed online? Or would anyone be interested in putting one together with me?</t>
        </is>
      </c>
      <c r="D5690" t="n">
        <v>1</v>
      </c>
      <c r="E5690" t="n">
        <v>5</v>
      </c>
      <c r="F5690">
        <f>HYPERLINK("https://www.reddit.com/r/diabetes/comments/a05fml/support_groups_for_adults_with_t1_boston_area/")</f>
        <v/>
      </c>
      <c r="G5690" t="inlineStr">
        <is>
          <t>2018-11-24 20:04:36</t>
        </is>
      </c>
      <c r="H5690" t="inlineStr">
        <is>
          <t>Type 1</t>
        </is>
      </c>
    </row>
    <row r="5691">
      <c r="A5691" t="inlineStr">
        <is>
          <t>a0f1ix</t>
        </is>
      </c>
      <c r="B5691" t="inlineStr">
        <is>
          <t>Spiking after breakfast?</t>
        </is>
      </c>
      <c r="C5691" t="inlineStr">
        <is>
          <t>Hi everyone, I was diagnosed with type one this past summer (legit two days before school) (7th grd) I was in the hospital for several days, my three siblings (one older two younger) came to visit, I'm now homeschooled to help control bg lvls, overall I'm doing pretty well, it's been about three months, but I have noticed j Spike too two or three hundred after eating breakfast, is this normal for some people? Or should I ask my doctor's about it? Thank you!</t>
        </is>
      </c>
      <c r="D5691" t="n">
        <v>1</v>
      </c>
      <c r="E5691" t="n">
        <v>9</v>
      </c>
      <c r="F5691">
        <f>HYPERLINK("https://www.reddit.com/r/diabetes/comments/a0f1ix/spiking_after_breakfast/")</f>
        <v/>
      </c>
      <c r="G5691" t="inlineStr">
        <is>
          <t>2018-11-25 18:17:36</t>
        </is>
      </c>
      <c r="H5691" t="inlineStr">
        <is>
          <t>Type 1</t>
        </is>
      </c>
    </row>
    <row r="5692">
      <c r="A5692" t="inlineStr">
        <is>
          <t>a0fr4j</t>
        </is>
      </c>
      <c r="B5692" t="inlineStr">
        <is>
          <t>Keto diet</t>
        </is>
      </c>
      <c r="C5692" t="inlineStr">
        <is>
          <t>Is the keto diet safe for type 1 diabetics? I've been pretty interested in it and I havent found useful information about it and I'm just pretty lazy to go schedual an appointment with a dietitian.</t>
        </is>
      </c>
      <c r="D5692" t="n">
        <v>1</v>
      </c>
      <c r="E5692" t="n">
        <v>11</v>
      </c>
      <c r="F5692">
        <f>HYPERLINK("https://www.reddit.com/r/diabetes/comments/a0fr4j/keto_diet/")</f>
        <v/>
      </c>
      <c r="G5692" t="inlineStr">
        <is>
          <t>2018-11-25 19:50:02</t>
        </is>
      </c>
      <c r="H5692" t="inlineStr">
        <is>
          <t>Type 1</t>
        </is>
      </c>
    </row>
    <row r="5693">
      <c r="A5693" t="inlineStr">
        <is>
          <t>a0fsjx</t>
        </is>
      </c>
      <c r="B5693" t="inlineStr">
        <is>
          <t>Can I workout before a postprandial glucose test?</t>
        </is>
      </c>
      <c r="C5693" t="inlineStr">
        <is>
          <t>I will go and have my blood tested tomorrow morning. Among other tests I'm getting fasting a postprandial glucose tests. The lab happens to be 5 minutes away from my gym and I am wondering if it would be a good idea to go a workout between the fasting blood test and the postprandial one. Normally they would have me wait for around 2 hours before the second blood sample, so I could workout for at least an hour.
I normally go to the gym in the morning after breakfast anyways, but I'm not sure if doing this will cause inaccurate test results. I will try to talk to my doctor tomorrow morning and ask, but wanted to ask here in case I can't get ahold with my physician.</t>
        </is>
      </c>
      <c r="D5693" t="n">
        <v>1</v>
      </c>
      <c r="E5693" t="n">
        <v>12</v>
      </c>
      <c r="F5693">
        <f>HYPERLINK("https://www.reddit.com/r/diabetes/comments/a0fsjx/can_i_workout_before_a_postprandial_glucose_test/")</f>
        <v/>
      </c>
      <c r="G5693" t="inlineStr">
        <is>
          <t>2018-11-25 19:55:18</t>
        </is>
      </c>
      <c r="H5693" t="inlineStr">
        <is>
          <t>Type 2</t>
        </is>
      </c>
    </row>
    <row r="5694">
      <c r="A5694" t="inlineStr">
        <is>
          <t>a0g8zc</t>
        </is>
      </c>
      <c r="B5694" t="inlineStr">
        <is>
          <t>Libre inaccurate?</t>
        </is>
      </c>
      <c r="C5694" t="inlineStr">
        <is>
          <t xml:space="preserve">Does anyone else have this problem? My libre is like 50-80 mg/dl above a finger prick tester. </t>
        </is>
      </c>
      <c r="D5694" t="n">
        <v>1</v>
      </c>
      <c r="E5694" t="n">
        <v>11</v>
      </c>
      <c r="F5694">
        <f>HYPERLINK("https://www.reddit.com/r/diabetes/comments/a0g8zc/libre_inaccurate/")</f>
        <v/>
      </c>
      <c r="G5694" t="inlineStr">
        <is>
          <t>2018-11-25 20:57:59</t>
        </is>
      </c>
      <c r="H5694" t="inlineStr">
        <is>
          <t>Type 1</t>
        </is>
      </c>
    </row>
    <row r="5695">
      <c r="A5695" t="inlineStr">
        <is>
          <t>a0hiuj</t>
        </is>
      </c>
      <c r="B5695" t="inlineStr">
        <is>
          <t>Dad in hospital, not waking up yet</t>
        </is>
      </c>
      <c r="C5695" t="inlineStr">
        <is>
          <t>My dad was on the floor, having a seizure when i got home from school, my mum was already there and called an ambulance. They arrived and attached an IV drip to bring him back up. He is now in hospital, but is not waking up. We have no idea how long he was on the floor. What can i do?</t>
        </is>
      </c>
      <c r="D5695" t="n">
        <v>1</v>
      </c>
      <c r="E5695" t="n">
        <v>1</v>
      </c>
      <c r="F5695">
        <f>HYPERLINK("https://www.reddit.com/r/diabetes/comments/a0hiuj/dad_in_hospital_not_waking_up_yet/")</f>
        <v/>
      </c>
      <c r="G5695" t="inlineStr">
        <is>
          <t>2018-11-26 00:12:46</t>
        </is>
      </c>
      <c r="H5695" t="inlineStr">
        <is>
          <t>Type 2</t>
        </is>
      </c>
    </row>
    <row r="5696">
      <c r="A5696" t="inlineStr">
        <is>
          <t>a0jolt</t>
        </is>
      </c>
      <c r="B5696" t="inlineStr">
        <is>
          <t>Diabetes and its effects on mental health</t>
        </is>
      </c>
      <c r="C5696" t="inlineStr">
        <is>
          <t>I have some questions for a school project about how diabetes can relate to mental health issues.</t>
        </is>
      </c>
      <c r="D5696" t="n">
        <v>1</v>
      </c>
      <c r="E5696" t="n">
        <v>5</v>
      </c>
      <c r="F5696">
        <f>HYPERLINK("https://www.reddit.com/r/diabetes/comments/a0jolt/diabetes_and_its_effects_on_mental_health/")</f>
        <v/>
      </c>
      <c r="G5696" t="inlineStr">
        <is>
          <t>2018-11-26 06:15:36</t>
        </is>
      </c>
      <c r="H5696" t="inlineStr">
        <is>
          <t>Type 2</t>
        </is>
      </c>
    </row>
    <row r="5697">
      <c r="A5697" t="inlineStr">
        <is>
          <t>a0kw9y</t>
        </is>
      </c>
      <c r="B5697" t="inlineStr">
        <is>
          <t>Am I a bad Diabetic?</t>
        </is>
      </c>
      <c r="C5697" t="inlineStr">
        <is>
          <t xml:space="preserve">Sometimes I just don't insulin or check my blood at all for days at a time, is there a way to better plan and get used to the routine? </t>
        </is>
      </c>
      <c r="D5697" t="n">
        <v>1</v>
      </c>
      <c r="E5697" t="n">
        <v>6</v>
      </c>
      <c r="F5697">
        <f>HYPERLINK("https://www.reddit.com/r/diabetes/comments/a0kw9y/am_i_a_bad_diabetic/")</f>
        <v/>
      </c>
      <c r="G5697" t="inlineStr">
        <is>
          <t>2018-11-26 08:36:26</t>
        </is>
      </c>
      <c r="H5697" t="inlineStr">
        <is>
          <t>Type 1</t>
        </is>
      </c>
    </row>
    <row r="5698">
      <c r="A5698" t="inlineStr">
        <is>
          <t>a0l3dg</t>
        </is>
      </c>
      <c r="B5698" t="inlineStr">
        <is>
          <t>I missed out on free gifts and money at work due to a hypoglycemic episode</t>
        </is>
      </c>
      <c r="C5698" t="inlineStr">
        <is>
          <t>I work at a car dealership as a salesperson, started back in August this year, and have just recently been getting the hang of it. It's been a dream of mine to get into car sales as I am a petrolhead through and through. A few weeks ago my insurance stopped paying for my omnipod supplies after using them for more than a dozen years....
Since my supplies ran out I've had to resume Lantus injections and my doctor's office failed to provide me an adequate prescription, as it was Thanksgiving week and doc was out, so I have been using a three year old vial I had as an emergency backup. The diabetes educator called me and left a message with vague instructions on how to dose... And they have not turned out well for me.
I've missed 8 out of the last 10 days of work.
It's a very important time of the year for sales, and we had a celebration for the holiday season and the sales going on this morning. All I had to do was show up for work at 8 AM and they'd be handing out expensive gifts, cash, and other rewards for those that participated in the fun activities meant to get everyone excited for the holiday season. The money was going to help me out immensely because I've missed so much and have not made much comission to pay for rent, or presents for friends and family, or even groceries. Point being, I prepared for work all day yesterday so that I only had to wake up and put clothes on and drive to work so as to not be late.
I slept through every single one of my different alarms, placed in different areas of my room and bathroom, and woke up at 8:04 to a call from my friend asking me where I was. I checked my glucose and it was 54 mg/dl.
I'm so unbelievably stressed right now from the low, from missing so much work, from the pain of the constant injections, the neuropathy symptoms of having uncontrolled levels for the last week and a half, and from still being in bed right now recovering from my symptoms.
I want to cry but I just can't. I'm overwhelmed. I missed out on so much today... and my job has been on the line. I guess I just needed to vent and I didn't know who else to go to. I can't keep complaining to all of my work friends, as they don't really understand the difficulty in managing. And my family is disappointed in me. And I'm disappointed in myself.
I hope all of you are doing fabulously. And to those who aren't... I hope we can get through it together.</t>
        </is>
      </c>
      <c r="D5698" t="n">
        <v>1</v>
      </c>
      <c r="E5698" t="n">
        <v>3</v>
      </c>
      <c r="F5698">
        <f>HYPERLINK("https://www.reddit.com/r/diabetes/comments/a0l3dg/i_missed_out_on_free_gifts_and_money_at_work_due/")</f>
        <v/>
      </c>
      <c r="G5698" t="inlineStr">
        <is>
          <t>2018-11-26 08:57:48</t>
        </is>
      </c>
      <c r="H5698" t="inlineStr">
        <is>
          <t>Type 1</t>
        </is>
      </c>
    </row>
    <row r="5699">
      <c r="A5699" t="inlineStr">
        <is>
          <t>a0p6g8</t>
        </is>
      </c>
      <c r="B5699" t="inlineStr">
        <is>
          <t>Hypoglycemic unawareness</t>
        </is>
      </c>
      <c r="C5699" t="inlineStr">
        <is>
          <t>About two months ago my dad has passed out due to low glucose level and he told me that he didn't feel like his glucose level was getting down. I have done some research and I think he might have hypoglycemic unawareness. Can that be a one time thing because this week he told me that he had hypoglycemia and this time he actually felt like his glucose level was going down? Please help me if you can and also excuse my English. Thank you</t>
        </is>
      </c>
      <c r="D5699" t="n">
        <v>1</v>
      </c>
      <c r="E5699" t="n">
        <v>9</v>
      </c>
      <c r="F5699">
        <f>HYPERLINK("https://www.reddit.com/r/diabetes/comments/a0p6g8/hypoglycemic_unawareness/")</f>
        <v/>
      </c>
      <c r="G5699" t="inlineStr">
        <is>
          <t>2018-11-26 16:03:56</t>
        </is>
      </c>
      <c r="H5699" t="inlineStr">
        <is>
          <t>Type 1</t>
        </is>
      </c>
    </row>
    <row r="5700">
      <c r="A5700" t="inlineStr">
        <is>
          <t>a0rp4t</t>
        </is>
      </c>
      <c r="B5700" t="inlineStr">
        <is>
          <t>Need help finding an alternative supplier for Medtronic Insulin Pump Equipment</t>
        </is>
      </c>
      <c r="C5700" t="inlineStr">
        <is>
          <t>Hey everyone, dealing with a bit of an issue with Better Living Now and need help finding an alternative supplier for Insulin Pump, preferably Medtronic friendly.
&amp;amp;#x200B;
BACKSTORY:
I'm a former Anthem Blue Cross member who had to switch to Oscar for financial reasons. At the start of 2018, I called Medtronic to update them on my insurance change, but it wasn't until 3 months ago that I learned they took me off their prescription line because they weren't covered through Oscar (they failed to notify me of this when I called).
&amp;amp;#x200B;
They then pointed me to Better Living Now, that supplies Medtronic equipment and accepts Oscar Insurance.
&amp;amp;#x200B;
So I fill out the profile, give them all my information. A few weeks go by, and a find that my endocrinologist was somehow changed to some Doctor in New York I never met (I live in California). I changed it, and remade the order for my pump supplies. I get a call from endocrinologist's office saying they still haven't received the paper work for my prescription requests. Turns out that the doctor on my BLN profile was SWITCHED BACK to that doctor in New York! So I call BLN and give them my real endocrinologist's name and fax number. A week goes by, I get a call from BLN to confirm my order, but there's one problem:
&amp;amp;#x200B;
The endocrinologist they see on my profile says they never had me as a patient. I check, AND IT'S BACK TO THAT UNKNOWN DOCTOR IN NEW YORK. I am beyond livid, trying to calm myself as I talk to this BLN Rep, and give them my real Endocrinologist's name and I wait to confirm that they see her profile on my site. At that point, I thought it was finally solved.
&amp;amp;#x200B;
Until I checked my BLN profile a few minutes ago. Yep. Unknown New York endocrinologist.
&amp;amp;#x200B;
I'm stressed beyond belief. I still have a few supplies to last me possibly over a month but I have no idea what else I can do. PLEASE HELP!!!
&amp;amp;#x200B;
Thanks....</t>
        </is>
      </c>
      <c r="D5700" t="n">
        <v>1</v>
      </c>
      <c r="E5700" t="n">
        <v>1</v>
      </c>
      <c r="F5700">
        <f>HYPERLINK("https://www.reddit.com/r/diabetes/comments/a0rp4t/need_help_finding_an_alternative_supplier_for/")</f>
        <v/>
      </c>
      <c r="G5700" t="inlineStr">
        <is>
          <t>2018-11-26 21:11:55</t>
        </is>
      </c>
      <c r="H5700" t="inlineStr">
        <is>
          <t>Type 1</t>
        </is>
      </c>
    </row>
    <row r="5701">
      <c r="A5701" t="inlineStr">
        <is>
          <t>a0tpo3</t>
        </is>
      </c>
      <c r="B5701" t="inlineStr">
        <is>
          <t>How real is my fear?</t>
        </is>
      </c>
      <c r="C5701" t="inlineStr">
        <is>
          <t>Hey guys! I have this fear that is annoying me about type 1. I fear that I will take insulin for my meal and then throwing up my meal. My fear is that my BS will go too far down for me to catch it with sugary drinks etc... how real is my fear?? :(</t>
        </is>
      </c>
      <c r="D5701" t="n">
        <v>1</v>
      </c>
      <c r="E5701" t="n">
        <v>10</v>
      </c>
      <c r="F5701">
        <f>HYPERLINK("https://www.reddit.com/r/diabetes/comments/a0tpo3/how_real_is_my_fear/")</f>
        <v/>
      </c>
      <c r="G5701" t="inlineStr">
        <is>
          <t>2018-11-27 02:35:54</t>
        </is>
      </c>
      <c r="H5701" t="inlineStr">
        <is>
          <t>Type 1</t>
        </is>
      </c>
    </row>
    <row r="5702">
      <c r="A5702" t="inlineStr">
        <is>
          <t>a0uj7w</t>
        </is>
      </c>
      <c r="B5702" t="inlineStr">
        <is>
          <t>Insulin pumps linked to more reports of injury and death than any other medical device, records show</t>
        </is>
      </c>
      <c r="C5702" t="inlineStr">
        <is>
          <t xml:space="preserve">https://www.cbc.ca/news/health/implant-files-insulin-pumps-1.4915491
</t>
        </is>
      </c>
      <c r="D5702" t="n">
        <v>1</v>
      </c>
      <c r="E5702" t="n">
        <v>19</v>
      </c>
      <c r="F5702">
        <f>HYPERLINK("https://www.reddit.com/r/diabetes/comments/a0uj7w/insulin_pumps_linked_to_more_reports_of_injury/")</f>
        <v/>
      </c>
      <c r="G5702" t="inlineStr">
        <is>
          <t>2018-11-27 04:47:41</t>
        </is>
      </c>
      <c r="H5702" t="inlineStr">
        <is>
          <t>Type 1</t>
        </is>
      </c>
    </row>
    <row r="5703">
      <c r="A5703" t="inlineStr">
        <is>
          <t>a0uj98</t>
        </is>
      </c>
      <c r="B5703" t="inlineStr">
        <is>
          <t>Insulin pumps linked to more reports of injury and death than any other medical device, records show</t>
        </is>
      </c>
      <c r="C5703" t="inlineStr">
        <is>
          <t xml:space="preserve">https://www.cbc.ca/news/health/implant-files-insulin-pumps-1.4915491
</t>
        </is>
      </c>
      <c r="D5703" t="n">
        <v>1</v>
      </c>
      <c r="E5703" t="n">
        <v>0</v>
      </c>
      <c r="F5703">
        <f>HYPERLINK("https://www.reddit.com/r/diabetes/comments/a0uj98/insulin_pumps_linked_to_more_reports_of_injury/")</f>
        <v/>
      </c>
      <c r="G5703" t="inlineStr">
        <is>
          <t>2018-11-27 04:47:50</t>
        </is>
      </c>
      <c r="H5703" t="inlineStr">
        <is>
          <t>Type 1</t>
        </is>
      </c>
    </row>
    <row r="5704">
      <c r="A5704" t="inlineStr">
        <is>
          <t>a0ujai</t>
        </is>
      </c>
      <c r="B5704" t="inlineStr">
        <is>
          <t>Insulin pumps linked to more reports of injury and death than any other medical device, records show</t>
        </is>
      </c>
      <c r="C5704" t="inlineStr">
        <is>
          <t xml:space="preserve">https://www.cbc.ca/news/health/implant-files-insulin-pumps-1.4915491
</t>
        </is>
      </c>
      <c r="D5704" t="n">
        <v>1</v>
      </c>
      <c r="E5704" t="n">
        <v>0</v>
      </c>
      <c r="F5704">
        <f>HYPERLINK("https://www.reddit.com/r/diabetes/comments/a0ujai/insulin_pumps_linked_to_more_reports_of_injury/")</f>
        <v/>
      </c>
      <c r="G5704" t="inlineStr">
        <is>
          <t>2018-11-27 04:47:58</t>
        </is>
      </c>
      <c r="H5704" t="inlineStr">
        <is>
          <t>Type 1</t>
        </is>
      </c>
    </row>
    <row r="5705">
      <c r="A5705" t="inlineStr">
        <is>
          <t>a0vzhb</t>
        </is>
      </c>
      <c r="B5705" t="inlineStr">
        <is>
          <t>Test Strip Container Survey [T1, T2]</t>
        </is>
      </c>
      <c r="C5705" t="inlineStr">
        <is>
          <t>Hey Guys! I still some more replies. So please share with every diabetic you know, thank you so much! Very open to any comments on improvement.
Hi! I am a Type 1 Diabetic student from Worthington Kilbourne High School doing research for a re-design of the blood glucose test strip containers. This is to help benefit issues around opening up test strip container when you experience symptoms correlating to hypoglycemia (shaking, dizziness, etc..) and hyperglycemia (nausea, frustration, etc..) resulting in the spillage of test strips and delay of crucial time in checking blood sugar. I would highly appreciate the filling out of this survey to help aid my data collection, I have about a week window for the obtainment of this data. If you have any questions or concerns you contact me at mddmullen@gmail or my advisor at [tkarns@wscloud.org](mailto:tkarns@wscloud.org).
Thanks!
Link to Survey: [https://docs.google.com/forms/d/e/1FAIpQLScgU\_SqwSDNyM02JZVWXkK91Ux-jHfJNNDHcsmInuI6cCdetA/viewform?usp=sf\_link](https://docs.google.com/forms/d/e/1FAIpQLScgU_SqwSDNyM02JZVWXkK91Ux-jHfJNNDHcsmInuI6cCdetA/viewform?usp=sf_link)</t>
        </is>
      </c>
      <c r="D5705" t="n">
        <v>1</v>
      </c>
      <c r="E5705" t="n">
        <v>5</v>
      </c>
      <c r="F5705">
        <f>HYPERLINK("https://www.reddit.com/r/diabetes/comments/a0vzhb/test_strip_container_survey_t1_t2/")</f>
        <v/>
      </c>
      <c r="G5705" t="inlineStr">
        <is>
          <t>2018-11-27 07:44:46</t>
        </is>
      </c>
      <c r="H5705" t="inlineStr">
        <is>
          <t>Type 2</t>
        </is>
      </c>
    </row>
    <row r="5706">
      <c r="A5706" t="inlineStr">
        <is>
          <t>a0xees</t>
        </is>
      </c>
      <c r="B5706" t="inlineStr">
        <is>
          <t>Shameless test score bragging</t>
        </is>
      </c>
      <c r="C5706" t="inlineStr">
        <is>
          <t xml:space="preserve">Ok hi, I was diagnosed with type one three months ago, TWO DAYS BEFORE SCHOOL STARTED. I was in the hospital about 3 or 4 days into the school year, and until I started getting used to everything I wasn't allowed to go to school (my doctor's are very sweet and wanted to make sure I was comfortable).
About two weeks into the school year I was able to start, I was so left behind. My teachers were supper supportive, but I just couldn't keep up (btw I'm 7th grd) I was constantly in the nurse's office along with another newly diagnosed 6th grader. I was still new to it so of course I couldn't control my blood sugar that well.
I talked to my parents and told them about this, I had only been in school for about ten weeks by then, they talked to my guidance counselor who was super supportive, and I started my school's Cyber Academy. I'm loving it, but ever since I started almost two months ago I was still catching up, I was failing at first, but as it got easier, and I got used to t1d, today I'm in a super good mood bc I just got a 90% and a 98% on math &amp;amp; science tests!
Btw I'm sorry this is so badly written, it was pretty rushed
</t>
        </is>
      </c>
      <c r="D5706" t="n">
        <v>1</v>
      </c>
      <c r="E5706" t="n">
        <v>7</v>
      </c>
      <c r="F5706">
        <f>HYPERLINK("https://www.reddit.com/r/diabetes/comments/a0xees/shameless_test_score_bragging/")</f>
        <v/>
      </c>
      <c r="G5706" t="inlineStr">
        <is>
          <t>2018-11-27 10:12:57</t>
        </is>
      </c>
      <c r="H5706" t="inlineStr">
        <is>
          <t>Type 1</t>
        </is>
      </c>
    </row>
    <row r="5707">
      <c r="A5707" t="inlineStr">
        <is>
          <t>a0ylij</t>
        </is>
      </c>
      <c r="B5707" t="inlineStr">
        <is>
          <t>Adopting as a T1D Parent?</t>
        </is>
      </c>
      <c r="C5707" t="inlineStr">
        <is>
          <t xml:space="preserve">I'm curious if anyone has run into issues with fostering/adopting children because of you or your partner's T1D? We're just starting to look into adoption and have read some discouraging info about applications being denied due to chronic illnesses. That won't stop us from trying, of course, but we're curious if anyone has experience with this. </t>
        </is>
      </c>
      <c r="D5707" t="n">
        <v>1</v>
      </c>
      <c r="E5707" t="n">
        <v>2</v>
      </c>
      <c r="F5707">
        <f>HYPERLINK("https://www.reddit.com/r/diabetes/comments/a0ylij/adopting_as_a_t1d_parent/")</f>
        <v/>
      </c>
      <c r="G5707" t="inlineStr">
        <is>
          <t>2018-11-27 12:20:14</t>
        </is>
      </c>
      <c r="H5707" t="inlineStr">
        <is>
          <t>Type 1</t>
        </is>
      </c>
    </row>
    <row r="5708">
      <c r="A5708" t="inlineStr">
        <is>
          <t>a0zywd</t>
        </is>
      </c>
      <c r="B5708" t="inlineStr">
        <is>
          <t>PCP recommendations - Atlanta</t>
        </is>
      </c>
      <c r="C5708" t="inlineStr">
        <is>
          <t>Hey all. I'm a long time T1 now living in Atlanta and looking for PCP recommendations. I eat low carb to get my blood sugars as near to non-diabetic as I can, so want a doctor who's going to understand that. First foray into the US Healthcare system and I'm already confused. If anyone has any help or advice I'm all ears (well, eyes...)
Thanks!</t>
        </is>
      </c>
      <c r="D5708" t="n">
        <v>1</v>
      </c>
      <c r="E5708" t="n">
        <v>3</v>
      </c>
      <c r="F5708">
        <f>HYPERLINK("https://www.reddit.com/r/diabetes/comments/a0zywd/pcp_recommendations_atlanta/")</f>
        <v/>
      </c>
      <c r="G5708" t="inlineStr">
        <is>
          <t>2018-11-27 14:46:45</t>
        </is>
      </c>
      <c r="H5708" t="inlineStr">
        <is>
          <t>Type 1</t>
        </is>
      </c>
    </row>
    <row r="5709">
      <c r="A5709" t="inlineStr">
        <is>
          <t>a102eu</t>
        </is>
      </c>
      <c r="B5709" t="inlineStr">
        <is>
          <t>Diabetic Friendly Meal Replacement Smoothie - Help</t>
        </is>
      </c>
      <c r="C5709" t="inlineStr">
        <is>
          <t xml:space="preserve">Hi everyone, 
After moving out from home in 2008 and living on my own I had probably one of the worst diets on the planet. I got diagnosed with type 2 diabetes in 2016 with an A1C of 11.4. After 3 months I had my A1C lowered to 6.4 where it has pretty much remained since then. 
I’ve been able to cut carbs and sugar to help keep my A1C down but I still didn’t feel like I was being very healthy. I’m a very picky eater and really don’t like veggies, fruits aren’t my favorite either but some are tolerable. I was keeping my A1C low on pretty much a meat and cheese diet which I know will cause other problems if I continue.
About 3 months ago I decided to finally start eating fruits and veggies but it was awful, I hated it. I decided to try doing smoothies because when blended together the fruit hides the veggie taste, and slurping down 4-5 servings of fruits and veggies in about 5 minutes appealed to me more than crunching on them for 30 min. 
So far it has actually worked out very well, I’ve replaced my dinner with a smoothie and that’s the last thing I eat at night. I feel better probably because I’m getting more nutrients. I still don’t enjoy them and they don’t taste good at all but I’m getting used to it. 
I’m to the point now that I’m thinking about replacing 2 meals out of the day with a smoothie, but I want to make sure I’m making a decent smoothie before I switch to a mostly liquid diet. I’ve always heard that you should ‘eat the rainbow’ so I’ve tried to incorporate that into a smoothie while avoiding very sweet fruits.
Here is my current meal replacement smoothie:
3 cups of power greens (Kale,Spinach,Chard)
4 mini carrots
1 baby radish
1/2 a small banana 
1/4 of a Granny Smith green Apple (tart not sweet)
1 strawberry
8ish blueberries
8ish cranberries
1 small avocado slice
1 thin slice of an orange 
1 thin slice of a lemon
1 scoop of plain Greek yogurt
Water added as needed to help blend into a drinkable liquid
This recipe fills a 24oz glass. I wear a CGM and it raises my mg/dL about 20 points. Not too bad I think. 
 I know there are a lot of people in this sub who are very knowledgeable when it comes to nutrition while having diabetes. Is there anything I should add or subtract? (Taste does not matter since it already tastes awful, just looking to make it as nutritious as possible so I could replace 2 or possible all my meals in the future.)
 </t>
        </is>
      </c>
      <c r="D5709" t="n">
        <v>1</v>
      </c>
      <c r="E5709" t="n">
        <v>0</v>
      </c>
      <c r="F5709">
        <f>HYPERLINK("https://www.reddit.com/r/diabetes/comments/a102eu/diabetic_friendly_meal_replacement_smoothie_help/")</f>
        <v/>
      </c>
      <c r="G5709" t="inlineStr">
        <is>
          <t>2018-11-27 14:57:49</t>
        </is>
      </c>
      <c r="H5709" t="inlineStr">
        <is>
          <t>Type 2</t>
        </is>
      </c>
    </row>
    <row r="5710">
      <c r="A5710" t="inlineStr">
        <is>
          <t>a136un</t>
        </is>
      </c>
      <c r="B5710" t="inlineStr">
        <is>
          <t>[NSFW] dehydration affects more than you think</t>
        </is>
      </c>
      <c r="C5710" t="inlineStr">
        <is>
          <t xml:space="preserve">I’ve [23F, T1 for 12 years] noticed that when I try to get ~busy~ with my SO after a couple drinks and I’m a little dehydrated I can’t complete the deed. Does anyone else have this problem? It’s not even a binge session or coming home at 2 am plastered. It seems like a glass or two of wine will just make it impossible. </t>
        </is>
      </c>
      <c r="D5710" t="n">
        <v>1</v>
      </c>
      <c r="E5710" t="n">
        <v>5</v>
      </c>
      <c r="F5710">
        <f>HYPERLINK("https://www.reddit.com/r/diabetes/comments/a136un/nsfw_dehydration_affects_more_than_you_think/")</f>
        <v/>
      </c>
      <c r="G5710" t="inlineStr">
        <is>
          <t>2018-11-27 21:20:56</t>
        </is>
      </c>
      <c r="H5710" t="inlineStr">
        <is>
          <t>Type 1</t>
        </is>
      </c>
    </row>
    <row r="5711">
      <c r="A5711" t="inlineStr">
        <is>
          <t>a137v9</t>
        </is>
      </c>
      <c r="B5711" t="inlineStr">
        <is>
          <t>Is it too early for neuropathy?</t>
        </is>
      </c>
      <c r="C5711" t="inlineStr">
        <is>
          <t xml:space="preserve">I’ve been t1 for three years now and oftentimes I get tingly feelings in my feet, but also sometimes burning sensations for no reason. And today, one of my feet turned blue. Is it possible for there already to be neuropathy after only three years?
Brittle veins run in the family, but I didn’t think it would be that bad. </t>
        </is>
      </c>
      <c r="D5711" t="n">
        <v>1</v>
      </c>
      <c r="E5711" t="n">
        <v>7</v>
      </c>
      <c r="F5711">
        <f>HYPERLINK("https://www.reddit.com/r/diabetes/comments/a137v9/is_it_too_early_for_neuropathy/")</f>
        <v/>
      </c>
      <c r="G5711" t="inlineStr">
        <is>
          <t>2018-11-27 21:25:09</t>
        </is>
      </c>
      <c r="H5711" t="inlineStr">
        <is>
          <t>Type 1</t>
        </is>
      </c>
    </row>
    <row r="5712">
      <c r="A5712" t="inlineStr">
        <is>
          <t>a16ln1</t>
        </is>
      </c>
      <c r="B5712" t="inlineStr">
        <is>
          <t>Ideas for brekfast for type 2?</t>
        </is>
      </c>
      <c r="C5712" t="inlineStr">
        <is>
          <t xml:space="preserve">Really looking for low/no carb breakfasts. Trying to avoid the obvious "just eggs" or "just bacon/sausage" looking for both easy and creative. </t>
        </is>
      </c>
      <c r="D5712" t="n">
        <v>1</v>
      </c>
      <c r="E5712" t="n">
        <v>29</v>
      </c>
      <c r="F5712">
        <f>HYPERLINK("https://www.reddit.com/r/diabetes/comments/a16ln1/ideas_for_brekfast_for_type_2/")</f>
        <v/>
      </c>
      <c r="G5712" t="inlineStr">
        <is>
          <t>2018-11-28 06:20:08</t>
        </is>
      </c>
      <c r="H5712" t="inlineStr">
        <is>
          <t>Type 2</t>
        </is>
      </c>
    </row>
    <row r="5713">
      <c r="A5713" t="inlineStr">
        <is>
          <t>a17iw1</t>
        </is>
      </c>
      <c r="B5713" t="inlineStr">
        <is>
          <t>For Sale : Dexcom Reciever and Animas Pump supplies</t>
        </is>
      </c>
      <c r="C5713" t="inlineStr">
        <is>
          <t xml:space="preserve"> Animas Pump Supplies, I switched to a Medtronic and no longer need these. I have 5 boxes of each (pictured) $30 a box. 
&amp;amp;#x200B;
Dexcom g5/g6 receiver, currently set up for g5 but can be updated for g6. I used it for 2 months only, comes with usb charging cable and original box. Switched to medtronic so don't need it anymore. $100 
&amp;amp;#x200B;
I accept Paypal and will ship tracked, (free shipping to US mainlands)
&amp;amp;#x200B;
Pics
[https://i.imgur.com/CegR4ww.jpg](https://i.imgur.com/CegR4ww.jpg)
[https://i.imgur.com/wXcVd4S.jpg](https://i.imgur.com/wXcVd4S.jpg)
[https://i.imgur.com/h6ywGf3.jpg](https://i.imgur.com/h6ywGf3.jpg)
[https://i.imgur.com/d4zHxuK.jpg](https://i.imgur.com/d4zHxuK.jpg)</t>
        </is>
      </c>
      <c r="D5713" t="n">
        <v>1</v>
      </c>
      <c r="E5713" t="n">
        <v>1</v>
      </c>
      <c r="F5713">
        <f>HYPERLINK("https://www.reddit.com/r/diabetes/comments/a17iw1/for_sale_dexcom_reciever_and_animas_pump_supplies/")</f>
        <v/>
      </c>
      <c r="G5713" t="inlineStr">
        <is>
          <t>2018-11-28 08:06:12</t>
        </is>
      </c>
      <c r="H5713" t="inlineStr">
        <is>
          <t>Type 1</t>
        </is>
      </c>
    </row>
    <row r="5714">
      <c r="A5714" t="inlineStr">
        <is>
          <t>a17piv</t>
        </is>
      </c>
      <c r="B5714" t="inlineStr">
        <is>
          <t>Just a little game</t>
        </is>
      </c>
      <c r="C5714" t="inlineStr">
        <is>
          <t>what was your lowest and highest blood sugar level ever?
my lowest was 25 and the highest was 600+
&amp;amp;#x200B;</t>
        </is>
      </c>
      <c r="D5714" t="n">
        <v>1</v>
      </c>
      <c r="E5714" t="n">
        <v>20</v>
      </c>
      <c r="F5714">
        <f>HYPERLINK("https://www.reddit.com/r/diabetes/comments/a17piv/just_a_little_game/")</f>
        <v/>
      </c>
      <c r="G5714" t="inlineStr">
        <is>
          <t>2018-11-28 08:26:09</t>
        </is>
      </c>
      <c r="H5714" t="inlineStr">
        <is>
          <t>Type 1</t>
        </is>
      </c>
    </row>
    <row r="5715">
      <c r="A5715" t="inlineStr">
        <is>
          <t>a17s6o</t>
        </is>
      </c>
      <c r="B5715" t="inlineStr">
        <is>
          <t>My daughter has T1D and I’m exhausted</t>
        </is>
      </c>
      <c r="C5715" t="inlineStr">
        <is>
          <t xml:space="preserve">I’m just reaching out in solidarity with all of you. My daughter was diagnosed three years ago and my wife and I are completely exhausted, overwhelmed, and filled with constant worry. It never gets better.
I hate this disease so much. We have a family of five and it feels like each of us has a 50 lb weight on our backs. It doesn’t stop us from doing anything. But it makes everything suck more than it would with a healthy pancreas. And as difficult as it is to be the parent of a kid with T1D, I can’t ever let myself feel that too much because I’m always reminded that this is the rest of my daughter’s life. That both terrifies and saddens me. And it’s frustrating because guilt won’t allow me to feel my own feelings too much. 
I’m in constant admiration of all of you. The rest of the world doesn’t understand how much more difficult it is for diabetics to do normal things like go to school and have a job. I wish I could snap my finger Thanos style and make diabetes go away for my kid and for all of you. I know you do too. 
I have only one request. If you were diagnosed as a kid and became frustrated with your parents’ holding you too close or constantly monitoring you, please forgive them. This is the hardest thing we’ll ever have to deal with. And we can’t protect you or make you better, no matter how much our instincts as parents tell us that’s what we should be doing. 
Thanks for reading. I hope this doesn’t bring anyone down. Not my intent. Be well. </t>
        </is>
      </c>
      <c r="D5715" t="n">
        <v>1</v>
      </c>
      <c r="E5715" t="n">
        <v>104</v>
      </c>
      <c r="F5715">
        <f>HYPERLINK("https://www.reddit.com/r/diabetes/comments/a17s6o/my_daughter_has_t1d_and_im_exhausted/")</f>
        <v/>
      </c>
      <c r="G5715" t="inlineStr">
        <is>
          <t>2018-11-28 08:34:00</t>
        </is>
      </c>
      <c r="H5715" t="inlineStr">
        <is>
          <t>Type 1</t>
        </is>
      </c>
    </row>
    <row r="5716">
      <c r="A5716" t="inlineStr">
        <is>
          <t>a1a7zg</t>
        </is>
      </c>
      <c r="B5716" t="inlineStr">
        <is>
          <t>My blood sugar refuses to lower like it used to. Endocrinologist was no help.</t>
        </is>
      </c>
      <c r="C5716" t="inlineStr">
        <is>
          <t xml:space="preserve">I'm not sure what is going on here but my blood sugar just won't drop like it used to. I can't tell if it's a scar tissue issue(Which seems likely given how insulin just spits out of my abdomen when i try to inject myself sometimes) or bad insulin or what. I'll give myself insulin and it'll take hours, sometimes 3 or 4, for my sugar to lower. It's ruining my life and my endocrinologist was basically useless. Said she didn't understand, ran some labs and then didn't offer me anything else afterward. I'm looking for a new one but I need help now. </t>
        </is>
      </c>
      <c r="D5716" t="n">
        <v>1</v>
      </c>
      <c r="E5716" t="n">
        <v>6</v>
      </c>
      <c r="F5716">
        <f>HYPERLINK("https://www.reddit.com/r/diabetes/comments/a1a7zg/my_blood_sugar_refuses_to_lower_like_it_used_to/")</f>
        <v/>
      </c>
      <c r="G5716" t="inlineStr">
        <is>
          <t>2018-11-28 12:52:35</t>
        </is>
      </c>
      <c r="H5716" t="inlineStr">
        <is>
          <t>Type 1</t>
        </is>
      </c>
    </row>
    <row r="5717">
      <c r="A5717" t="inlineStr">
        <is>
          <t>a1bdza</t>
        </is>
      </c>
      <c r="B5717" t="inlineStr">
        <is>
          <t>How would you describe the feeling of a high blood sugar?</t>
        </is>
      </c>
      <c r="C5717" t="inlineStr">
        <is>
          <t>Someone recently asked me, "What does it feel like when you have a high blood sugar?" My response was, "Like my muscles are literally full of sugar and I can feel each grain"
What is your best description of a high blood sugar?</t>
        </is>
      </c>
      <c r="D5717" t="n">
        <v>1</v>
      </c>
      <c r="E5717" t="n">
        <v>29</v>
      </c>
      <c r="F5717">
        <f>HYPERLINK("https://www.reddit.com/r/diabetes/comments/a1bdza/how_would_you_describe_the_feeling_of_a_high/")</f>
        <v/>
      </c>
      <c r="G5717" t="inlineStr">
        <is>
          <t>2018-11-28 14:56:12</t>
        </is>
      </c>
      <c r="H5717" t="inlineStr">
        <is>
          <t>Type 1</t>
        </is>
      </c>
    </row>
    <row r="5718">
      <c r="A5718" t="inlineStr">
        <is>
          <t>a1gm4d</t>
        </is>
      </c>
      <c r="B5718" t="inlineStr">
        <is>
          <t>An ode to Metformin.</t>
        </is>
      </c>
      <c r="C5718" t="inlineStr">
        <is>
          <t xml:space="preserve">Do not overdose on Metformin. You will only feel sick and end up ‘passing’ them whole. 
</t>
        </is>
      </c>
      <c r="D5718" t="n">
        <v>1</v>
      </c>
      <c r="E5718" t="n">
        <v>10</v>
      </c>
      <c r="F5718">
        <f>HYPERLINK("https://www.reddit.com/r/diabetes/comments/a1gm4d/an_ode_to_metformin/")</f>
        <v/>
      </c>
      <c r="G5718" t="inlineStr">
        <is>
          <t>2018-11-29 03:40:20</t>
        </is>
      </c>
      <c r="H5718" t="inlineStr">
        <is>
          <t>Type 2</t>
        </is>
      </c>
    </row>
    <row r="5719">
      <c r="A5719" t="inlineStr">
        <is>
          <t>a1iwvw</t>
        </is>
      </c>
      <c r="B5719" t="inlineStr">
        <is>
          <t>How to avoid blood glucose fluctuations ?</t>
        </is>
      </c>
      <c r="C5719" t="inlineStr">
        <is>
          <t>Hello,
&amp;amp;#x200B;
 I have recently started using CGM, because with miaomaio and libre it is now affordable for me.  I have diabetes for 22 years since I was 3 year old. I am on Medtronic pump (but new one, that does not allow closed/open loop) and my daily basal is 38 units of Humalog and total bolus is usually 21-28 units depends on food. 
  Since I started using CGM I have noticed that my blood sugar is fluctuating a lot or out of nowhere it is low or high. Recently I was also diagnosed with IBS (which can be caused by diabetic neuropathy, but I have not had any health difficulties connected with diabetes yet) . Anyway I am still waiting for colonoscopy to confirm this, but low crab and high fat diet is impossible for me, because you have to avoid fats when you have IBS. This was also while I decided to invest into CGM. 
&amp;amp;#x200B;
I have job with not very stable work hours, so sometimes I work at night, sometimes in evening...  so its little bit harder to  maintain same daily routine. 
&amp;amp;#x200B;
Here is what I mean by fluctuation or sudden lows or highs. 
I usually have alarms enabled so when it starts going up I am notified and apply some additional bolus, but as you can see on graph there is almost no response on this bolus for few hours and only after that my blood sugar starts to rapidly down and this is most likely causing this fluctation. 
https://i.redd.it/pd7qg4rora121.png
&amp;amp;#x200B;
https://i.redd.it/h09s8kpcsa121.png
&amp;amp;#x200B;
https://i.redd.it/933lbrhfsa121.png
&amp;amp;#x200B;
How do I avoid it? What is the best thing to do?</t>
        </is>
      </c>
      <c r="D5719" t="n">
        <v>1</v>
      </c>
      <c r="E5719" t="n">
        <v>5</v>
      </c>
      <c r="F5719">
        <f>HYPERLINK("https://www.reddit.com/r/diabetes/comments/a1iwvw/how_to_avoid_blood_glucose_fluctuations/")</f>
        <v/>
      </c>
      <c r="G5719" t="inlineStr">
        <is>
          <t>2018-11-29 08:37:32</t>
        </is>
      </c>
      <c r="H5719" t="inlineStr">
        <is>
          <t>Type 1</t>
        </is>
      </c>
    </row>
    <row r="5720">
      <c r="A5720" t="inlineStr">
        <is>
          <t>a1koaa</t>
        </is>
      </c>
      <c r="B5720" t="inlineStr">
        <is>
          <t>To pump or not to pump...</t>
        </is>
      </c>
      <c r="C5720" t="inlineStr">
        <is>
          <t>I am a type 2 and have been on Insulin for close to 6 years.  During that time I had a long bout of depression and let things go.  I'm back on top of my BG and being careful with insulin, carb counting, and testing.  I've lost weight and my numbers are better than they have been for years. 
Anyway, my Endo suggested that since I am doing well, but have had a couple of night time BG lows, that it was time to consider a Tandem t:slim and a G6 CGM.  I've checked insurance and it looks like it is covered.  What do I need to consider other than the pros of a lot less needle/lance sticks and likely no more overnight shaky sweaty lows?</t>
        </is>
      </c>
      <c r="D5720" t="n">
        <v>1</v>
      </c>
      <c r="E5720" t="n">
        <v>9</v>
      </c>
      <c r="F5720">
        <f>HYPERLINK("https://www.reddit.com/r/diabetes/comments/a1koaa/to_pump_or_not_to_pump/")</f>
        <v/>
      </c>
      <c r="G5720" t="inlineStr">
        <is>
          <t>2018-11-29 11:47:50</t>
        </is>
      </c>
      <c r="H5720" t="inlineStr">
        <is>
          <t>Type 2</t>
        </is>
      </c>
    </row>
    <row r="5721">
      <c r="A5721" t="inlineStr">
        <is>
          <t>a1kpj1</t>
        </is>
      </c>
      <c r="B5721" t="inlineStr">
        <is>
          <t>Possible to test at home with my mothers kit?</t>
        </is>
      </c>
      <c r="C5721" t="inlineStr">
        <is>
          <t>My mothers side has a history of type II diabetes. I have had symptoms of excessive thirst and frequent peeing for about 4 years now. It have never thought to look up these symptoms, but having had this for 4 years scares the shit out of me if it truly is diabetes. My mom has the blood drawing poking thing at home (I don't know the official name) I want to check before dinner because its occupying my mind. Is it possible to check it before dinner? or only in the morning? Thank you to anyone who answers</t>
        </is>
      </c>
      <c r="D5721" t="n">
        <v>1</v>
      </c>
      <c r="E5721" t="n">
        <v>4</v>
      </c>
      <c r="F5721">
        <f>HYPERLINK("https://www.reddit.com/r/diabetes/comments/a1kpj1/possible_to_test_at_home_with_my_mothers_kit/")</f>
        <v/>
      </c>
      <c r="G5721" t="inlineStr">
        <is>
          <t>2018-11-29 11:51:22</t>
        </is>
      </c>
      <c r="H5721" t="inlineStr">
        <is>
          <t>Type 2</t>
        </is>
      </c>
    </row>
    <row r="5722">
      <c r="A5722" t="inlineStr">
        <is>
          <t>a1m95u</t>
        </is>
      </c>
      <c r="B5722" t="inlineStr">
        <is>
          <t>Pregnancy--sudden jumps in insulin requirements?</t>
        </is>
      </c>
      <c r="C5722" t="inlineStr">
        <is>
          <t xml:space="preserve">Type 2 but on insulin for pregnancy. Have any of you ladies seen big, sudden jumps in your insulin needs during pregnancy? My nurse just changed my ratio from 1:5 to 1:4 last week to take better care of spikes, and it's worked great. But the last couple of days when I made the same breakfast tacos (with carb balance tortillas, not subtracting fiber) that I've been doing well on all along, I got sudden spikes in BG as though I hadn't taken enough insulin. Really don't want to go to 1:3 so soon. Will further reduce carbs in the meantime, but any insights? I was expecting increases, but not so suddenly. </t>
        </is>
      </c>
      <c r="D5722" t="n">
        <v>1</v>
      </c>
      <c r="E5722" t="n">
        <v>3</v>
      </c>
      <c r="F5722">
        <f>HYPERLINK("https://www.reddit.com/r/diabetes/comments/a1m95u/pregnancysudden_jumps_in_insulin_requirements/")</f>
        <v/>
      </c>
      <c r="G5722" t="inlineStr">
        <is>
          <t>2018-11-29 14:36:17</t>
        </is>
      </c>
      <c r="H5722" t="inlineStr">
        <is>
          <t>Type 1</t>
        </is>
      </c>
    </row>
    <row r="5723">
      <c r="A5723" t="inlineStr">
        <is>
          <t>a1nmth</t>
        </is>
      </c>
      <c r="B5723" t="inlineStr">
        <is>
          <t>FreeStyle Libre - Really Low Numbers?</t>
        </is>
      </c>
      <c r="C5723" t="inlineStr">
        <is>
          <t>Hi All! I just got the FreeStyle Libre 14 Day Sensor and Reader today and I have a question. It started reading 1 hour after I put it on. My question is this...does it take awhile for it to start reporting accurate numbers? I've googled and have seen that it is supposed to start immediately; however all day my numbers have been twice as high on my One Touch Ultra 2 monitor with finger pricks. I'm not sure if I have a defective sensor or if I should give it more time. For example, the Libre showed me at 60 mg/dl and my One Touch showed me at 123 mg/dl. Now the Libre is showing me at 137 mg/dl and my One Touch is at 291 mg/dl.  (Shouldn't have eaten those gummy bears!) TIA!</t>
        </is>
      </c>
      <c r="D5723" t="n">
        <v>1</v>
      </c>
      <c r="E5723" t="n">
        <v>4</v>
      </c>
      <c r="F5723">
        <f>HYPERLINK("https://www.reddit.com/r/diabetes/comments/a1nmth/freestyle_libre_really_low_numbers/")</f>
        <v/>
      </c>
      <c r="G5723" t="inlineStr">
        <is>
          <t>2018-11-29 17:17:39</t>
        </is>
      </c>
      <c r="H5723" t="inlineStr">
        <is>
          <t>Type 2</t>
        </is>
      </c>
    </row>
    <row r="5724">
      <c r="A5724" t="inlineStr">
        <is>
          <t>a1o4s9</t>
        </is>
      </c>
      <c r="B5724" t="inlineStr">
        <is>
          <t>Medtronic MiniMed Closed Loop System Help</t>
        </is>
      </c>
      <c r="C5724" t="inlineStr">
        <is>
          <t>Hello friends! I switched to the Medtronic MiniMed closed loop system about a year ago. Recently, the CGM (Guardian Sensor 3) has been consistently 40 mg/dl below what my blood sugar actually is. Because of Auto-Mode, the CGM is keeping me at about 140, which is actually 180 and it does not feel great. Has anybody else experienced this? How can I address it? (I have tried changing locations and it did not work). Thank you!</t>
        </is>
      </c>
      <c r="D5724" t="n">
        <v>1</v>
      </c>
      <c r="E5724" t="n">
        <v>1</v>
      </c>
      <c r="F5724">
        <f>HYPERLINK("https://www.reddit.com/r/diabetes/comments/a1o4s9/medtronic_minimed_closed_loop_system_help/")</f>
        <v/>
      </c>
      <c r="G5724" t="inlineStr">
        <is>
          <t>2018-11-29 18:19:40</t>
        </is>
      </c>
      <c r="H5724" t="inlineStr">
        <is>
          <t>Type 1</t>
        </is>
      </c>
    </row>
    <row r="5725">
      <c r="A5725" t="inlineStr">
        <is>
          <t>a1tl93</t>
        </is>
      </c>
      <c r="B5725" t="inlineStr">
        <is>
          <t>Feet on the Floor and 670g Auto Mode</t>
        </is>
      </c>
      <c r="C5725" t="inlineStr">
        <is>
          <t>Hi All,
&amp;amp;#x200B;
The past few days I've been having a real problem with Feet on the Floor syndrome where i wake up at about 120 and within 30 to 45 mins my BG is up to about 180. What I would usually do in the morning is after testing, giving a small bolus to reduce the FOF effect, but now I'm currently on auto mode with the 670g so that's no longer an option.
&amp;amp;#x200B;
Trying to see if others with similar experiences have been able to manage FOF with auto mode better. I usually enter my breakfast carb bolus right around where FOF is really peaking, so maybe entering the carb bolus right when i wake might be better?
&amp;amp;#x200B;
Thanks!</t>
        </is>
      </c>
      <c r="D5725" t="n">
        <v>1</v>
      </c>
      <c r="E5725" t="n">
        <v>6</v>
      </c>
      <c r="F5725">
        <f>HYPERLINK("https://www.reddit.com/r/diabetes/comments/a1tl93/feet_on_the_floor_and_670g_auto_mode/")</f>
        <v/>
      </c>
      <c r="G5725" t="inlineStr">
        <is>
          <t>2018-11-30 07:51:50</t>
        </is>
      </c>
      <c r="H5725" t="inlineStr">
        <is>
          <t>Type 1</t>
        </is>
      </c>
    </row>
    <row r="5726">
      <c r="A5726" t="inlineStr">
        <is>
          <t>a1tlkk</t>
        </is>
      </c>
      <c r="B5726" t="inlineStr">
        <is>
          <t>Does anyone need a scary bed time story?</t>
        </is>
      </c>
      <c r="C5726" t="inlineStr">
        <is>
          <t xml:space="preserve">
Is the world heading for an insulin shortage? - http://www.bbc.co.uk/news/world-asia-india-46354989</t>
        </is>
      </c>
      <c r="D5726" t="n">
        <v>1</v>
      </c>
      <c r="E5726" t="n">
        <v>2</v>
      </c>
      <c r="F5726">
        <f>HYPERLINK("https://www.reddit.com/r/diabetes/comments/a1tlkk/does_anyone_need_a_scary_bed_time_story/")</f>
        <v/>
      </c>
      <c r="G5726" t="inlineStr">
        <is>
          <t>2018-11-30 07:52:51</t>
        </is>
      </c>
      <c r="H5726" t="inlineStr">
        <is>
          <t>Type 1</t>
        </is>
      </c>
    </row>
    <row r="5727">
      <c r="A5727" t="inlineStr">
        <is>
          <t>a1ve10</t>
        </is>
      </c>
      <c r="B5727" t="inlineStr">
        <is>
          <t>Insulin shortage?</t>
        </is>
      </c>
      <c r="C5727" t="inlineStr">
        <is>
          <t>Hi all, I've seen alot of posts saying in the next decade or so many diabetics won't have access to the insulin they need, however i wasn't able to find anything about this problem being solved, can anyone with knowledge on tell me solutions people are finding?</t>
        </is>
      </c>
      <c r="D5727" t="n">
        <v>1</v>
      </c>
      <c r="E5727" t="n">
        <v>12</v>
      </c>
      <c r="F5727">
        <f>HYPERLINK("https://www.reddit.com/r/diabetes/comments/a1ve10/insulin_shortage/")</f>
        <v/>
      </c>
      <c r="G5727" t="inlineStr">
        <is>
          <t>2018-11-30 11:05:53</t>
        </is>
      </c>
      <c r="H5727" t="inlineStr">
        <is>
          <t>Type 1</t>
        </is>
      </c>
    </row>
    <row r="5728">
      <c r="A5728" t="inlineStr">
        <is>
          <t>a1vx66</t>
        </is>
      </c>
      <c r="B5728" t="inlineStr">
        <is>
          <t>anyone taking Januvia for type II</t>
        </is>
      </c>
      <c r="C5728" t="inlineStr">
        <is>
          <t>Just got prescribed Januvia.  I'm already taking metformin but my sugar is still high.  Wondering if Januvia will help get it under control.</t>
        </is>
      </c>
      <c r="D5728" t="n">
        <v>1</v>
      </c>
      <c r="E5728" t="n">
        <v>12</v>
      </c>
      <c r="F5728">
        <f>HYPERLINK("https://www.reddit.com/r/diabetes/comments/a1vx66/anyone_taking_januvia_for_type_ii/")</f>
        <v/>
      </c>
      <c r="G5728" t="inlineStr">
        <is>
          <t>2018-11-30 12:05:03</t>
        </is>
      </c>
      <c r="H5728" t="inlineStr">
        <is>
          <t>Type 2</t>
        </is>
      </c>
    </row>
    <row r="5729">
      <c r="A5729" t="inlineStr">
        <is>
          <t>a1zc3e</t>
        </is>
      </c>
      <c r="B5729" t="inlineStr">
        <is>
          <t>Just need to vent</t>
        </is>
      </c>
      <c r="C5729" t="inlineStr">
        <is>
          <t>Currently on my second week of a viral infection, sore throat and the works. Everything with my body is out of sync. My blood sugars are wildly out of control, my cheek has swollen to the size of a baseball because of a sudden tooth/gum infection, and I’m constantly coughing/ vomiting. I’ve been to the doctor and in touch with my endo throughout this whole endeavor but Christ does this suck. I feel as if I’m completely failing with my diabetes. I had just recently gotten my A1c to 8.0 (my lowest since being diagnosed) and this B.S. comes along. Sometimes it just feels as if the world is against me trying to get this horrid disease under control. 
End rant.</t>
        </is>
      </c>
      <c r="D5729" t="n">
        <v>1</v>
      </c>
      <c r="E5729" t="n">
        <v>6</v>
      </c>
      <c r="F5729">
        <f>HYPERLINK("https://www.reddit.com/r/diabetes/comments/a1zc3e/just_need_to_vent/")</f>
        <v/>
      </c>
      <c r="G5729" t="inlineStr">
        <is>
          <t>2018-11-30 19:04:59</t>
        </is>
      </c>
      <c r="H5729" t="inlineStr">
        <is>
          <t>Type 1</t>
        </is>
      </c>
    </row>
    <row r="5730">
      <c r="A5730" t="inlineStr">
        <is>
          <t>a211p1</t>
        </is>
      </c>
      <c r="B5730" t="inlineStr">
        <is>
          <t>Injury/Illness Before T1 Diagnosis?</t>
        </is>
      </c>
      <c r="C5730" t="inlineStr">
        <is>
          <t xml:space="preserve">I’ve been curious about this for a long time. My daughter fell off a high bar on a playground and ended up in the ER with a hurt neck. That happened in August, and by October she had diabetes. My grandparents always talked about my T1 aunt, who fell hard off some stairs onto concrete when she was 2 (in the 40s) and a few weeks later was diagnosed. It seems like a strange coincidence. Do any of you have a “coincidence” with some sort of physical trauma or injury that happened before your diagnosis? </t>
        </is>
      </c>
      <c r="D5730" t="n">
        <v>1</v>
      </c>
      <c r="E5730" t="n">
        <v>17</v>
      </c>
      <c r="F5730">
        <f>HYPERLINK("https://www.reddit.com/r/diabetes/comments/a211p1/injuryillness_before_t1_diagnosis/")</f>
        <v/>
      </c>
      <c r="G5730" t="inlineStr">
        <is>
          <t>2018-11-30 23:21:03</t>
        </is>
      </c>
      <c r="H5730" t="inlineStr">
        <is>
          <t>Type 1</t>
        </is>
      </c>
    </row>
    <row r="5731">
      <c r="A5731" t="inlineStr">
        <is>
          <t>a27lio</t>
        </is>
      </c>
      <c r="B5731" t="inlineStr">
        <is>
          <t>Type 1: 80% will eventually die of clots?!?!</t>
        </is>
      </c>
      <c r="C5731" t="inlineStr">
        <is>
          <t xml:space="preserve">I was reading this  [website ](http://www.grmedcenter.com/the-relationship-between-diabetes-and-blood-clots/) 
It says this:
“Nearly 80 percent of people who have diabetes will eventually die of clot-related causes.”
Is this true? My husband just got told he had a blood clot in the brain. 
I have never heard this before. </t>
        </is>
      </c>
      <c r="D5731" t="n">
        <v>1</v>
      </c>
      <c r="E5731" t="n">
        <v>8</v>
      </c>
      <c r="F5731">
        <f>HYPERLINK("https://www.reddit.com/r/diabetes/comments/a27lio/type_1_80_will_eventually_die_of_clots/")</f>
        <v/>
      </c>
      <c r="G5731" t="inlineStr">
        <is>
          <t>2018-12-01 14:34:16</t>
        </is>
      </c>
      <c r="H5731" t="inlineStr">
        <is>
          <t>Type 1</t>
        </is>
      </c>
    </row>
    <row r="5732">
      <c r="A5732" t="inlineStr">
        <is>
          <t>a2ak37</t>
        </is>
      </c>
      <c r="B5732" t="inlineStr">
        <is>
          <t>can I set up my new minimed 670g without seeing my diabetic educator?</t>
        </is>
      </c>
      <c r="C5732" t="inlineStr">
        <is>
          <t>I got my 670g in the mail this week, I tried setting up an appointment with my diabetic educator but their office is moving so they're closed for the next week. After that my schedule is pretty full with the holidays and the doctor's office is in a different city and I'm unable to drive. I set up my dexcom by myself, as well as the cgm that came with this pump. 
I'd like to set up the pump but I'd like to hear your guys' opinions on how doable that is. I've read through most of the user manuals, I work in tech. This is my first pump though, and I don't want to make my diabetic educator mad. My plan was to set up the pump in manual mode and save the auto mode for when I can get an appointment, I have lots of room mates that are educated about my diabetes and could help me out if something went wrong. 
I'd love to hear your thoughts and advice! Thanks!</t>
        </is>
      </c>
      <c r="D5732" t="n">
        <v>1</v>
      </c>
      <c r="E5732" t="n">
        <v>7</v>
      </c>
      <c r="F5732">
        <f>HYPERLINK("https://www.reddit.com/r/diabetes/comments/a2ak37/can_i_set_up_my_new_minimed_670g_without_seeing/")</f>
        <v/>
      </c>
      <c r="G5732" t="inlineStr">
        <is>
          <t>2018-12-01 21:06:01</t>
        </is>
      </c>
      <c r="H5732" t="inlineStr">
        <is>
          <t>Type 1</t>
        </is>
      </c>
    </row>
    <row r="5733">
      <c r="A5733" t="inlineStr">
        <is>
          <t>a2i5so</t>
        </is>
      </c>
      <c r="B5733" t="inlineStr">
        <is>
          <t>Guardian Sensor 3 Problems</t>
        </is>
      </c>
      <c r="C5733" t="inlineStr">
        <is>
          <t xml:space="preserve">I've been using the 670G system for a year and a week now, and the past month has been hell trying to get my sensors to actually work. I've never had this many problems trying to get an accurate reading or getting into auto mode. Last night around 6pm I started getting "sensor updating" notifications, which usually lead to a change sensor notification after three failed updates. Lo and behold, I needed to change my sensor. Changed it when I got home, around 11:30pm. Calibrated at 3am-ish. Went to bed, got up to calibrate during the night, wasn't too bothered by it. But around 9:30 this morning, it started saying my SG was dangerously low (specifically in the 40s, and dropping apparently). I panicked, checked, was 125. Hm, okay. I ended up stupidly calibrating when I wasn't supposed to, it rejected the calibration (which is dumb, in my opinion. If the machine isn't reading the right SG I should be able to calibrate it whenever so it actually IS reading the right SG, but that's my opinion I guess) and then told me my barely 12 hour old sensor needed to be changed. Long sigh. 
&amp;amp;#x200B;
Called medtronic, got the typical "you need to make sure you're putting in sites correctly" (I am), "you need to make sure it's taped down correctly" (it is), "you need to make sure not to calibrate it when it isn't reading within the same range of bg and sg" (which is dumb because that's what a calibration is supposed to do, is correct it), "you need to make sure you're giving it enough time between calibrations and not over calibrating" (I'm not, I promise) spiel as they usually do. They're sending replacements because I've also been having sensors that don't last as long as they should, 3-4 days instead of the 6-7 like they're supposed to. They mostly always give me grief at the beginning of a new sensor and at the end of one, whenever that happens to be. In the middle is fine, for the most part. It's just getting it to actually take a calibration and decide it wants to do its job that's giving me problems. That, and getting it into auto mode. For the life of me it won't accept any blood sugar I give it, even if it's well in the range it's supposed to be in. 
&amp;amp;#x200B;
But I guess my biggest question is: does anybody else have the problem where they'll put a new sensor on and then in the middle of the night their sensor says they plummet into the lowest bloodsugars, or is that just me. Honestly it's getting kind of annoying at this point. I'm on sensor 3 in less than 24 hours but hoping to have saved this one by just...resetting the sensor/charging the transmitter for a few minutes and then putting it back on the same "broken" sensor that I've had on since 10am after I called the Medtronic helpline. If you have any tips/tricks to saving sensors I would love to hear them. PLEASE don't say to switch to a different pumping system, cause that's just unhelpful and I get it, people have their opinions about which CGMs work best but I cannot afford to switch to a different pump so please, respectfully, keep that to yourself. 
&amp;amp;#x200B;
&amp;amp;#x200B;
&amp;amp;#x200B;
TLDR; Guardian 3 sensors are giving me a lot of trouble and I want to know what other people have had to do to get them working because I've gone through 3 sensors in less than 24 hours and it wants me to change to another one and I am THIS close to crying about it. </t>
        </is>
      </c>
      <c r="D5733" t="n">
        <v>1</v>
      </c>
      <c r="E5733" t="n">
        <v>6</v>
      </c>
      <c r="F5733">
        <f>HYPERLINK("https://www.reddit.com/r/diabetes/comments/a2i5so/guardian_sensor_3_problems/")</f>
        <v/>
      </c>
      <c r="G5733" t="inlineStr">
        <is>
          <t>2018-12-02 14:36:05</t>
        </is>
      </c>
      <c r="H5733" t="inlineStr">
        <is>
          <t>Type 1</t>
        </is>
      </c>
    </row>
    <row r="5734">
      <c r="A5734" t="inlineStr">
        <is>
          <t>a2l8i3</t>
        </is>
      </c>
      <c r="B5734" t="inlineStr">
        <is>
          <t>Cortisone Injection Reaction</t>
        </is>
      </c>
      <c r="C5734" t="inlineStr">
        <is>
          <t xml:space="preserve">I had two cortisone reactions to try to help me heal from a TFCC tear I have been living with for the last four months.  The nurse warned me to check my sugar levels more often as cortisone is known to throw off sugar levels. I figured I would just watch my carbs and I would be fine. 
Boy was I wrong. I ate a dinner with not many carbs at all (~30 carbs) and two hours later my sugar is 313 (17.39 mmol)!!! 
Looks like I get to run to Walmart for some OTC generic fast acting insulin tomorrow. I was finally down to a single shot of basal insulin daily. Now it’s back to sliding scale like when I was first diagnosed. 
I am so disheartened. These injections may be a part of my life from this point on. I really don’t want to go back to a life of multiple injections and always needing to remember to being my insulin when I leave the house. </t>
        </is>
      </c>
      <c r="D5734" t="n">
        <v>1</v>
      </c>
      <c r="E5734" t="n">
        <v>8</v>
      </c>
      <c r="F5734">
        <f>HYPERLINK("https://www.reddit.com/r/diabetes/comments/a2l8i3/cortisone_injection_reaction/")</f>
        <v/>
      </c>
      <c r="G5734" t="inlineStr">
        <is>
          <t>2018-12-02 20:41:28</t>
        </is>
      </c>
      <c r="H5734" t="inlineStr">
        <is>
          <t>Type 2</t>
        </is>
      </c>
    </row>
    <row r="5735">
      <c r="A5735" t="inlineStr">
        <is>
          <t>a2r68j</t>
        </is>
      </c>
      <c r="B5735" t="inlineStr">
        <is>
          <t>Carb to insulin ratio?</t>
        </is>
      </c>
      <c r="C5735" t="inlineStr">
        <is>
          <t xml:space="preserve">I am just about at 1:1 ratio insulin to carbs.    Anybody else at that level?    
I am a guy 5-11 and 200 lbs.    I use Humalog at meals and Tresiba and Metformin.     Going to add victoza too.   Going the Dr.  this week but I have been this insulin resistant for a while now.   I normally exercise 30 mins a day and trying to up that.  </t>
        </is>
      </c>
      <c r="D5735" t="n">
        <v>1</v>
      </c>
      <c r="E5735" t="n">
        <v>14</v>
      </c>
      <c r="F5735">
        <f>HYPERLINK("https://www.reddit.com/r/diabetes/comments/a2r68j/carb_to_insulin_ratio/")</f>
        <v/>
      </c>
      <c r="G5735" t="inlineStr">
        <is>
          <t>2018-12-03 10:04:35</t>
        </is>
      </c>
      <c r="H5735" t="inlineStr">
        <is>
          <t>Type 1</t>
        </is>
      </c>
    </row>
    <row r="5736">
      <c r="A5736" t="inlineStr">
        <is>
          <t>a2rctq</t>
        </is>
      </c>
      <c r="B5736" t="inlineStr">
        <is>
          <t>Insulin Resistance</t>
        </is>
      </c>
      <c r="C5736" t="inlineStr">
        <is>
          <t>Hey all,
&amp;amp;#x200B;
So I have posted a couple times on here now. I have been going through a rough patch with my BG for the last couple of months. I just cant get them to a controlled level.
&amp;amp;#x200B;
**Backstory:** I was diagnosed 4 years ago at 24 years old. I was on 12 units of basal and 1:10 carb ratio. Activity level - on and off exercise. I am 5'9'' and weighed 115lbs at the time of diagnosis (very underweight for me). 
**Currently:** 28 years old. Basal has increased from 14 units to 20 units in 3 months. Carb ratio is either 1:6, 1:7, 1:8. (compared to 1:10 a couple months ago).  I have been constantly fiddling with all of these units for the last 2 months. Activity level - inactive for a year now (maybe occasional walks and house cleaning daily is the extent of it). I now weigh 140lbs. This is pretty standard and what I weighed post-diagnosis.  My father passed away a month ago. In August 2018, I moved from Canada to the US, got married, and started a new job. So all this sounds stressful, yes--- but I do not feel stressed at all. As a result,  I feel like that cannot be affecting my BG. 
&amp;amp;#x200B;
I think I had a decently long honeymoon phase and I am now coming out of it. I try my best to be carb conscious and pick lower carb options when I can. Since my BG is starting to spike sooo often (usually 14-17 after meals) when I am eating the same meals daily and giving myself the same amount of insulin, I am starting to fear that I am becoming insulin resistant. Is it possible for that occur so quickly?? I have only had Type for 4ish years. I am not overweight. I don't exercise- yes. But I would classify my diet as healthy. 
&amp;amp;#x200B;
Anyone have any advice or thoughts?? How can avoid insulin resistance and/or increase my carb ratio. It's depressing to constantly be increasing my units daily-- I feel like I am failing myself and my body</t>
        </is>
      </c>
      <c r="D5736" t="n">
        <v>1</v>
      </c>
      <c r="E5736" t="n">
        <v>9</v>
      </c>
      <c r="F5736">
        <f>HYPERLINK("https://www.reddit.com/r/diabetes/comments/a2rctq/insulin_resistance/")</f>
        <v/>
      </c>
      <c r="G5736" t="inlineStr">
        <is>
          <t>2018-12-03 10:23:00</t>
        </is>
      </c>
      <c r="H5736" t="inlineStr">
        <is>
          <t>Type 1</t>
        </is>
      </c>
    </row>
    <row r="5737">
      <c r="A5737" t="inlineStr">
        <is>
          <t>a2u2m9</t>
        </is>
      </c>
      <c r="B5737" t="inlineStr">
        <is>
          <t>New car / Insurance questions</t>
        </is>
      </c>
      <c r="C5737" t="inlineStr">
        <is>
          <t>Hey,
\-FYI living in the UK-
&amp;amp;#x200B;
I'm a recent 20 year old and with the New Year, I'm liable to have done my driving test by about February/March (possibly April worst case) and I've been looking into cars and insurance. I've been told that car insurance often is more expensive for Type 1 Diabetics and was wondering if anyone could shed some light on this and possible give me some advice going forward. I've never really got into cars and never looked into insurance like this before, so any advice would be appreciated.
&amp;amp;#x200B;
Thanks :)</t>
        </is>
      </c>
      <c r="D5737" t="n">
        <v>1</v>
      </c>
      <c r="E5737" t="n">
        <v>5</v>
      </c>
      <c r="F5737">
        <f>HYPERLINK("https://www.reddit.com/r/diabetes/comments/a2u2m9/new_car_insurance_questions/")</f>
        <v/>
      </c>
      <c r="G5737" t="inlineStr">
        <is>
          <t>2018-12-03 14:43:51</t>
        </is>
      </c>
      <c r="H5737" t="inlineStr">
        <is>
          <t>Type 1</t>
        </is>
      </c>
    </row>
    <row r="5738">
      <c r="A5738" t="inlineStr">
        <is>
          <t>a2y69f</t>
        </is>
      </c>
      <c r="B5738" t="inlineStr">
        <is>
          <t>CONSTANT Guardian sensor requests for BG?</t>
        </is>
      </c>
      <c r="C5738" t="inlineStr">
        <is>
          <t>I have the Guardian sensor, and for the most part I love it. But I’ve noticed that often after I’ve put in a new sensor (like I did this morning), the pump will repeatedly give me the BG required message for Auto Mode - like, sensor is calibrated, it requested a BG to go into auto mode, I just entered a BG, it says “processing BG”, and then says it needs a new BG again! Three or four times in a row! Sometimes it then tells me calibration is required too, even if the sensor is fully calibrated, before entering auto mode.
Do other people experience this? Has anyone found a way to make it stop? Or is this a bug that needs Medtronic’s involvement?</t>
        </is>
      </c>
      <c r="D5738" t="n">
        <v>1</v>
      </c>
      <c r="E5738" t="n">
        <v>4</v>
      </c>
      <c r="F5738">
        <f>HYPERLINK("https://www.reddit.com/r/diabetes/comments/a2y69f/constant_guardian_sensor_requests_for_bg/")</f>
        <v/>
      </c>
      <c r="G5738" t="inlineStr">
        <is>
          <t>2018-12-03 22:40:26</t>
        </is>
      </c>
      <c r="H5738" t="inlineStr">
        <is>
          <t>Type 1</t>
        </is>
      </c>
    </row>
    <row r="5739">
      <c r="A5739" t="inlineStr">
        <is>
          <t>a30tbi</t>
        </is>
      </c>
      <c r="B5739" t="inlineStr">
        <is>
          <t>Partying with Type 1</t>
        </is>
      </c>
      <c r="C5739" t="inlineStr">
        <is>
          <t>Ive been diabetic for a little over half my life, diagnosed back in 2009 and Im soon to be 19. When it comes to parties throughout high school my friends and I tended to smoke weed over drinking but from experience I can tell you being high around a bunch of drunk people is nearly as bad as being sober. Now in college I dont go out to often because unlike back home where I had my friends looking out for me because they knew I couldnt drink. I didnt mention but my diabetic clinic had said beer is a dangerous game due to the insulin your liver can produce. Idk what im trying to ask, I guess what I want to know is is there a safe way to enjoy myself at parties?</t>
        </is>
      </c>
      <c r="D5739" t="n">
        <v>1</v>
      </c>
      <c r="E5739" t="n">
        <v>34</v>
      </c>
      <c r="F5739">
        <f>HYPERLINK("https://www.reddit.com/r/diabetes/comments/a30tbi/partying_with_type_1/")</f>
        <v/>
      </c>
      <c r="G5739" t="inlineStr">
        <is>
          <t>2018-12-04 05:48:03</t>
        </is>
      </c>
      <c r="H5739" t="inlineStr">
        <is>
          <t>Type 1</t>
        </is>
      </c>
    </row>
    <row r="5740">
      <c r="A5740" t="inlineStr">
        <is>
          <t>a322pu</t>
        </is>
      </c>
      <c r="B5740" t="inlineStr">
        <is>
          <t>Do type 2 have any issues of putting on muscle?</t>
        </is>
      </c>
      <c r="C5740" t="inlineStr">
        <is>
          <t xml:space="preserve">Hi 
Some background:
I got dxed in may This year and since then lost 88 pounds (still have alot to lose) and my latest a1c came back at 5,4% which is nice. I have been hitting the gym 2-4 Times a week and recently started to add some cardio in the form of light running and biking, considering to start swimming. I have developed an interest in fitness and in my own health, however looking to the future when I reach my goal weight and want to start add some muscle Will my diabetes make it harder? Since type 2 are insulin resistant and insulin (from what I’ve read is important for muscle building) Have any type 2 diabetics that are currently into fitness/body building had any problems because of this disease? </t>
        </is>
      </c>
      <c r="D5740" t="n">
        <v>1</v>
      </c>
      <c r="E5740" t="n">
        <v>3</v>
      </c>
      <c r="F5740">
        <f>HYPERLINK("https://www.reddit.com/r/diabetes/comments/a322pu/do_type_2_have_any_issues_of_putting_on_muscle/")</f>
        <v/>
      </c>
      <c r="G5740" t="inlineStr">
        <is>
          <t>2018-12-04 08:15:32</t>
        </is>
      </c>
      <c r="H5740" t="inlineStr">
        <is>
          <t>Type 2</t>
        </is>
      </c>
    </row>
    <row r="5741">
      <c r="A5741" t="inlineStr">
        <is>
          <t>a33oqd</t>
        </is>
      </c>
      <c r="B5741" t="inlineStr">
        <is>
          <t>any advice on how to make injections easier when you have shaky hands?</t>
        </is>
      </c>
      <c r="C5741" t="inlineStr">
        <is>
          <t>Hey y'all,
&amp;amp;#x200B;
I'm back on injections after a long time on the pump. I'm much happier and generally more responsible on injections so it's a good thing for me personally! However, I almost always have shaky hands. It sometimes is hard to do my injections because of this. Any advice? I use pens if that information helps. &amp;lt;3</t>
        </is>
      </c>
      <c r="D5741" t="n">
        <v>1</v>
      </c>
      <c r="E5741" t="n">
        <v>5</v>
      </c>
      <c r="F5741">
        <f>HYPERLINK("https://www.reddit.com/r/diabetes/comments/a33oqd/any_advice_on_how_to_make_injections_easier_when/")</f>
        <v/>
      </c>
      <c r="G5741" t="inlineStr">
        <is>
          <t>2018-12-04 11:03:30</t>
        </is>
      </c>
      <c r="H5741" t="inlineStr">
        <is>
          <t>Type 1</t>
        </is>
      </c>
    </row>
    <row r="5742">
      <c r="A5742" t="inlineStr">
        <is>
          <t>a33x1j</t>
        </is>
      </c>
      <c r="B5742" t="inlineStr">
        <is>
          <t>Dexcom G6 Clarity gaps</t>
        </is>
      </c>
      <c r="C5742" t="inlineStr">
        <is>
          <t>I  recently switched to the G6. Ever since, I get odd 1 hour long gaps in  the clarity report. The data is there in the app, so it's not a signal  loss. It happens both when I am on cell signal and wifi. Oddly, exactly  twice a day, always almost exactly one hour is missing. Any ideas?
&amp;amp;#x200B;
&amp;amp;#x200B;
https://i.redd.it/7nj484vcbb221.png</t>
        </is>
      </c>
      <c r="D5742" t="n">
        <v>1</v>
      </c>
      <c r="E5742" t="n">
        <v>5</v>
      </c>
      <c r="F5742">
        <f>HYPERLINK("https://www.reddit.com/r/diabetes/comments/a33x1j/dexcom_g6_clarity_gaps/")</f>
        <v/>
      </c>
      <c r="G5742" t="inlineStr">
        <is>
          <t>2018-12-04 11:27:26</t>
        </is>
      </c>
      <c r="H5742" t="inlineStr">
        <is>
          <t>Type 1</t>
        </is>
      </c>
    </row>
    <row r="5743">
      <c r="A5743" t="inlineStr">
        <is>
          <t>a35e9z</t>
        </is>
      </c>
      <c r="B5743" t="inlineStr">
        <is>
          <t>Should I just say f*ck it and order a coke then?</t>
        </is>
      </c>
      <c r="C5743" t="inlineStr">
        <is>
          <t>So I just had an appointment to discuss blood sugar management with my diabetes nurse, my previous a1c was 8.5% and the one before that was around 10%, and my nurse was telling me if I kept this up all of the complications it would come with, okay wake up call, I started managing better. So today, (8 mouths after 8.5% a1c) I go in for my appointment and when she has a glance at my logs she says “isn’t it stressful keeping this tight control? You are young you should be having fun” a1c was 7.4 not even that great...
Am I being unreasonable thinking this is ridiculous? Finally I am having some success with management and you immediately tell me this is too stressful? Of course it’s stressful but if this is what I have to do to stay healthy well... I have to do it! Maybe i’m just frustrated with having this disease for 15 years and never getting a break. She also didn’t give me any helpful advice, she just wrote down my pump settings and confirmed what I already knew. This makes me not want to go to these appointments anymore. Sorry for the rant, hope someone can relate.</t>
        </is>
      </c>
      <c r="D5743" t="n">
        <v>1</v>
      </c>
      <c r="E5743" t="n">
        <v>3</v>
      </c>
      <c r="F5743">
        <f>HYPERLINK("https://www.reddit.com/r/diabetes/comments/a35e9z/should_i_just_say_fck_it_and_order_a_coke_then/")</f>
        <v/>
      </c>
      <c r="G5743" t="inlineStr">
        <is>
          <t>2018-12-04 13:58:34</t>
        </is>
      </c>
      <c r="H5743" t="inlineStr">
        <is>
          <t>Type 1</t>
        </is>
      </c>
    </row>
    <row r="5744">
      <c r="A5744" t="inlineStr">
        <is>
          <t>a37g7z</t>
        </is>
      </c>
      <c r="B5744" t="inlineStr">
        <is>
          <t>It’s my first diabirthday!</t>
        </is>
      </c>
      <c r="C5744" t="inlineStr">
        <is>
          <t xml:space="preserve">A year ago today, I got diagnosed with type 1 diabetes. Kinda crazy looking back on it all. After feeling sick for a few weeks, I went to see a doctor, and they pretty much diagnosed me on the spot. After being in pretty good health for 18 years, this was a huge shock. Having to prick my finger constantly and being completely dependent on insulin injections multiple times a day was very stressful. Anyone who knows me, knows that I like to joke about it, but this was the hardest time of my life. I was not equipped to handle such a burden, but with such pain comes growth. In the past year, I have learned so much about myself and how to better look inwards. This journey hasn’t been one I’ve been on alone; my friends and family have been a rock for me when I needed the support. I haven’t conquered it yet, but I finally feel like my disability isn’t disabling me from living my life to the fullest, and that’s a good feeling. </t>
        </is>
      </c>
      <c r="D5744" t="n">
        <v>1</v>
      </c>
      <c r="E5744" t="n">
        <v>3</v>
      </c>
      <c r="F5744">
        <f>HYPERLINK("https://www.reddit.com/r/diabetes/comments/a37g7z/its_my_first_diabirthday/")</f>
        <v/>
      </c>
      <c r="G5744" t="inlineStr">
        <is>
          <t>2018-12-04 17:46:51</t>
        </is>
      </c>
      <c r="H5744" t="inlineStr">
        <is>
          <t>Type 1</t>
        </is>
      </c>
    </row>
    <row r="5745">
      <c r="A5745" t="inlineStr">
        <is>
          <t>a37vr1</t>
        </is>
      </c>
      <c r="B5745" t="inlineStr">
        <is>
          <t>Diabetes cure in the near future?</t>
        </is>
      </c>
      <c r="C5745" t="inlineStr">
        <is>
          <t>Are we anywhere near (within 5-10 years) a cure for Type 1 diabetes? If not a cure then at least something that makes it something of a non-issue to deal with? I keep hearing about how there a re a lot of breakthroughs in diabetes therapy (Faustman Lab, bionic pancreas, etc) but when we actually be able to get our hands on something like this? Sick of this fucking bullshit disease and all that goes with it.</t>
        </is>
      </c>
      <c r="D5745" t="n">
        <v>1</v>
      </c>
      <c r="E5745" t="n">
        <v>21</v>
      </c>
      <c r="F5745">
        <f>HYPERLINK("https://www.reddit.com/r/diabetes/comments/a37vr1/diabetes_cure_in_the_near_future/")</f>
        <v/>
      </c>
      <c r="G5745" t="inlineStr">
        <is>
          <t>2018-12-04 18:37:46</t>
        </is>
      </c>
      <c r="H5745" t="inlineStr">
        <is>
          <t>Type 1</t>
        </is>
      </c>
    </row>
    <row r="5746">
      <c r="A5746" t="inlineStr">
        <is>
          <t>a397dr</t>
        </is>
      </c>
      <c r="B5746" t="inlineStr">
        <is>
          <t>working full-time with t1 diabetes</t>
        </is>
      </c>
      <c r="C5746" t="inlineStr">
        <is>
          <t>i have my first full-time job and in the midst of it, i have trouble taking care of my diabetes. i'm really busy and sometimes taking the time to care about it slips away. has anybody went through the same thing? can someone offer advice for this? how do you guys manage your care with work on top of it?</t>
        </is>
      </c>
      <c r="D5746" t="n">
        <v>1</v>
      </c>
      <c r="E5746" t="n">
        <v>7</v>
      </c>
      <c r="F5746">
        <f>HYPERLINK("https://www.reddit.com/r/diabetes/comments/a397dr/working_fulltime_with_t1_diabetes/")</f>
        <v/>
      </c>
      <c r="G5746" t="inlineStr">
        <is>
          <t>2018-12-04 21:22:28</t>
        </is>
      </c>
      <c r="H5746" t="inlineStr">
        <is>
          <t>Type 1</t>
        </is>
      </c>
    </row>
    <row r="5747">
      <c r="A5747" t="inlineStr">
        <is>
          <t>a3a4ft</t>
        </is>
      </c>
      <c r="B5747" t="inlineStr">
        <is>
          <t>Diabetes and the Microbiome</t>
        </is>
      </c>
      <c r="C5747" t="inlineStr">
        <is>
          <t>Has anyone here done testing on their micro biome and gut health to help them treat their diabetes or find foods that work best for them? If so what was your experience, which tests did you do, and do you feel like it has given you helpful information or better health? I've been reading up on it a bit and it seems like gut health is such an important part of overall well-being that seems to get overlooked in diabetic treatment. At least in terms of digestion and aiding metabolic processes.</t>
        </is>
      </c>
      <c r="D5747" t="n">
        <v>1</v>
      </c>
      <c r="E5747" t="n">
        <v>5</v>
      </c>
      <c r="F5747">
        <f>HYPERLINK("https://www.reddit.com/r/diabetes/comments/a3a4ft/diabetes_and_the_microbiome/")</f>
        <v/>
      </c>
      <c r="G5747" t="inlineStr">
        <is>
          <t>2018-12-04 23:34:58</t>
        </is>
      </c>
      <c r="H5747" t="inlineStr">
        <is>
          <t>Type 2</t>
        </is>
      </c>
    </row>
    <row r="5748">
      <c r="A5748" t="inlineStr">
        <is>
          <t>a3igyb</t>
        </is>
      </c>
      <c r="B5748" t="inlineStr">
        <is>
          <t>Ozempic feels like a kick in the gut by a kangaroo wearing steel-toe boots</t>
        </is>
      </c>
      <c r="C5748" t="inlineStr">
        <is>
          <t xml:space="preserve">I just started Ozempic (I'm on my second week now), and I swear to God it feels like I've been kicked in the stomach repeatedly. Going on metformin messed my stomach up, but this is like the diabetes devil is ripping apart my entire digestive tract and eating my liver. 
On the plus side, I've lost 12lbs and my blood sugar is 20ish points less each fasting. </t>
        </is>
      </c>
      <c r="D5748" t="n">
        <v>1</v>
      </c>
      <c r="E5748" t="n">
        <v>8</v>
      </c>
      <c r="F5748">
        <f>HYPERLINK("https://www.reddit.com/r/diabetes/comments/a3igyb/ozempic_feels_like_a_kick_in_the_gut_by_a/")</f>
        <v/>
      </c>
      <c r="G5748" t="inlineStr">
        <is>
          <t>2018-12-05 16:23:13</t>
        </is>
      </c>
      <c r="H5748" t="inlineStr">
        <is>
          <t>Type 2</t>
        </is>
      </c>
    </row>
    <row r="5749">
      <c r="A5749" t="inlineStr">
        <is>
          <t>a3juvs</t>
        </is>
      </c>
      <c r="B5749" t="inlineStr">
        <is>
          <t>Avoided my endo for years, going to get my A1C read this weekend</t>
        </is>
      </c>
      <c r="C5749" t="inlineStr">
        <is>
          <t>Last time it was checked, about 2 years ago it was around 13. 
Complications with my eye, and a shopping list if incidents and illnesses and a hospital stay later, I'm hoping it's not too late!!!</t>
        </is>
      </c>
      <c r="D5749" t="n">
        <v>1</v>
      </c>
      <c r="E5749" t="n">
        <v>4</v>
      </c>
      <c r="F5749">
        <f>HYPERLINK("https://www.reddit.com/r/diabetes/comments/a3juvs/avoided_my_endo_for_years_going_to_get_my_a1c/")</f>
        <v/>
      </c>
      <c r="G5749" t="inlineStr">
        <is>
          <t>2018-12-05 19:05:50</t>
        </is>
      </c>
      <c r="H5749" t="inlineStr">
        <is>
          <t>Type 1</t>
        </is>
      </c>
    </row>
    <row r="5750">
      <c r="A5750" t="inlineStr">
        <is>
          <t>a3olbj</t>
        </is>
      </c>
      <c r="B5750" t="inlineStr">
        <is>
          <t>Dexcom G6 and Apple Watch</t>
        </is>
      </c>
      <c r="C5750" t="inlineStr">
        <is>
          <t>I'm thinking about getting my teenage daughter an Apple watch because I think it may help her become more engaged in her glucose readings.  She's had the Dexcom G6 for about 3 months now and it's been fantastic for her and I.  At home she's generally pretty good about keeping an eye on things and the alarms help if she's going too high or low.  However, at school she seems to not be as proactive and I think it's tied to the fact that some teachers don't want the kids using their phones.  My thought is that having her glucose reading on the watch face that can be discretely views may help her is she's missed a bolus or needs to correct.  
I do have a few questions and would appreciate feedback from others that use an Apple watch.
1. Can the watch be set to vibrate if the glucose reading is above or below certain values?
2. Are there a variety of watch faces to choose from?
3. Has anyone experienced any problems with a series 4 watch that they did not have with series 3?
Thanks for any helpful input.</t>
        </is>
      </c>
      <c r="D5750" t="n">
        <v>1</v>
      </c>
      <c r="E5750" t="n">
        <v>7</v>
      </c>
      <c r="F5750">
        <f>HYPERLINK("https://www.reddit.com/r/diabetes/comments/a3olbj/dexcom_g6_and_apple_watch/")</f>
        <v/>
      </c>
      <c r="G5750" t="inlineStr">
        <is>
          <t>2018-12-06 06:54:38</t>
        </is>
      </c>
      <c r="H5750" t="inlineStr">
        <is>
          <t>Type 1</t>
        </is>
      </c>
    </row>
    <row r="5751">
      <c r="A5751" t="inlineStr">
        <is>
          <t>a3pdo9</t>
        </is>
      </c>
      <c r="B5751" t="inlineStr">
        <is>
          <t>Sugar crazy when sick</t>
        </is>
      </c>
      <c r="C5751" t="inlineStr">
        <is>
          <t>The past few days I’ve had a really nasty winter cold.  It’s the first real illness I’ve had since I was diagnosed and started checking my glucose levels.  I can’t seem to get below about 130 except right after a dose of glipizide, but then it shoots right back up.  
Normal for being sick?</t>
        </is>
      </c>
      <c r="D5751" t="n">
        <v>1</v>
      </c>
      <c r="E5751" t="n">
        <v>3</v>
      </c>
      <c r="F5751">
        <f>HYPERLINK("https://www.reddit.com/r/diabetes/comments/a3pdo9/sugar_crazy_when_sick/")</f>
        <v/>
      </c>
      <c r="G5751" t="inlineStr">
        <is>
          <t>2018-12-06 08:19:15</t>
        </is>
      </c>
      <c r="H5751" t="inlineStr">
        <is>
          <t>Type 2</t>
        </is>
      </c>
    </row>
    <row r="5752">
      <c r="A5752" t="inlineStr">
        <is>
          <t>a3puny</t>
        </is>
      </c>
      <c r="B5752" t="inlineStr">
        <is>
          <t>Concerned my Endo is ignoring my syptoms</t>
        </is>
      </c>
      <c r="C5752" t="inlineStr">
        <is>
          <t>First off, this is not a "do i have diabetes" post lol, I've had it since i was 13 months old--now 23y/o. 
&amp;amp;#x200B;
However, when I was first diagnosed, my pediatrician ignored my blatant symptoms of T1 diabetes. My mom's side of the family has a history of T1, so she brought me in to the doctor for him to test for it. He said "its probably just a cold..." However, when i didn't get better over the next couple days, she brought me back and forced him to test for diabetes--he reluctantly complied. He came back, opened the file, turned white as a sheet, my mom then took me out saying "expect a request for his medical records to another doctor in the next couple hours" and left. 
&amp;amp;#x200B;
Hence why i'm a bit concerned about my recent symptoms and visit to my endo. I have had rather SEVERE insulin resistance over the past month and a half--its been taking a crazy amount of insulin to get my highs down, but remain fairly steady once they do come back into range (usually DOUBLING whatever my pump tells me to take). I've moved where my infusion sets have been, even giving myself a good ol' fashioned injection, but still no luck.  I've been extremely thirsty lately, even when bgs are normal, gained quite a bit of weight since end of October, and been pretty lethargic--all of which points to Thyroid problems. I've already told her about my Hashimoto's Thyroiditis. But her response to me telling her all of this was "maybe you had a kink in your infusion set". Im sorry, what??? You think that a kink is causing all of this?? what about the regular injection i took? She then put me on an off-label prescription for Jardiance....for some reason.... (i know that jardiance is supposed to remove sugars from the blood, by my normal BGs are fine...its just the highs that are an issue....)
&amp;amp;#x200B;
Has anyone experienced any symptoms like this? (I know this isn't a forum full of doctors) Should I seek a second opinion? HELP!!!!
&amp;amp;#x200B;</t>
        </is>
      </c>
      <c r="D5752" t="n">
        <v>1</v>
      </c>
      <c r="E5752" t="n">
        <v>14</v>
      </c>
      <c r="F5752">
        <f>HYPERLINK("https://www.reddit.com/r/diabetes/comments/a3puny/concerned_my_endo_is_ignoring_my_syptoms/")</f>
        <v/>
      </c>
      <c r="G5752" t="inlineStr">
        <is>
          <t>2018-12-06 09:05:38</t>
        </is>
      </c>
      <c r="H5752" t="inlineStr">
        <is>
          <t>Type 1</t>
        </is>
      </c>
    </row>
    <row r="5753">
      <c r="A5753" t="inlineStr">
        <is>
          <t>a3qd0b</t>
        </is>
      </c>
      <c r="B5753" t="inlineStr">
        <is>
          <t>What’s the deal with sugar alcohols?</t>
        </is>
      </c>
      <c r="C5753" t="inlineStr">
        <is>
          <t>How are they different from sugars and added sugars? Sometimes I think they make my sugar go crazy but sometimes they don’t, so I’m not sure if it’s them doing it or just something else. Idk tell me what you know about them</t>
        </is>
      </c>
      <c r="D5753" t="n">
        <v>1</v>
      </c>
      <c r="E5753" t="n">
        <v>5</v>
      </c>
      <c r="F5753">
        <f>HYPERLINK("https://www.reddit.com/r/diabetes/comments/a3qd0b/whats_the_deal_with_sugar_alcohols/")</f>
        <v/>
      </c>
      <c r="G5753" t="inlineStr">
        <is>
          <t>2018-12-06 09:56:33</t>
        </is>
      </c>
      <c r="H5753" t="inlineStr">
        <is>
          <t>Type 1</t>
        </is>
      </c>
    </row>
    <row r="5754">
      <c r="A5754" t="inlineStr">
        <is>
          <t>a3ruo6</t>
        </is>
      </c>
      <c r="B5754" t="inlineStr">
        <is>
          <t>Dear Metformin</t>
        </is>
      </c>
      <c r="C5754" t="inlineStr">
        <is>
          <t>Like a bad ex, we're back together. My insurance doesn't make your chicer, more media-savvy cousins affordable anymore.
I have one thing to say to you: my ass has nothing more to give to you today. I feel raw, afraid the slightest Gary is going to lead to an explosion. Please, for the love of God, stop making me shit 4x in an hour. There simply nothing left to give you.</t>
        </is>
      </c>
      <c r="D5754" t="n">
        <v>1</v>
      </c>
      <c r="E5754" t="n">
        <v>10</v>
      </c>
      <c r="F5754">
        <f>HYPERLINK("https://www.reddit.com/r/diabetes/comments/a3ruo6/dear_metformin/")</f>
        <v/>
      </c>
      <c r="G5754" t="inlineStr">
        <is>
          <t>2018-12-06 12:21:08</t>
        </is>
      </c>
      <c r="H5754" t="inlineStr">
        <is>
          <t>Type 2</t>
        </is>
      </c>
    </row>
    <row r="5755">
      <c r="A5755" t="inlineStr">
        <is>
          <t>a3ryz2</t>
        </is>
      </c>
      <c r="B5755" t="inlineStr">
        <is>
          <t>Whole 30 with type 1?</t>
        </is>
      </c>
      <c r="C5755" t="inlineStr">
        <is>
          <t>My friend wants to try it in January. Has anyone done it before or have any suggestions for trying it out (with the obvious exceptions for lows)?</t>
        </is>
      </c>
      <c r="D5755" t="n">
        <v>1</v>
      </c>
      <c r="E5755" t="n">
        <v>1</v>
      </c>
      <c r="F5755">
        <f>HYPERLINK("https://www.reddit.com/r/diabetes/comments/a3ryz2/whole_30_with_type_1/")</f>
        <v/>
      </c>
      <c r="G5755" t="inlineStr">
        <is>
          <t>2018-12-06 12:33:04</t>
        </is>
      </c>
      <c r="H5755" t="inlineStr">
        <is>
          <t>Type 1</t>
        </is>
      </c>
    </row>
    <row r="5756">
      <c r="A5756" t="inlineStr">
        <is>
          <t>a3sbxt</t>
        </is>
      </c>
      <c r="B5756" t="inlineStr">
        <is>
          <t>How should i help my 12 type 1 diabetic</t>
        </is>
      </c>
      <c r="C5756" t="inlineStr">
        <is>
          <t>Hey so I just got notified by my family my sister has type 1 diabetes I'm kind of freaking out about it and want to help her as much as I can</t>
        </is>
      </c>
      <c r="D5756" t="n">
        <v>1</v>
      </c>
      <c r="E5756" t="n">
        <v>0</v>
      </c>
      <c r="F5756">
        <f>HYPERLINK("https://www.reddit.com/r/diabetes/comments/a3sbxt/how_should_i_help_my_12_type_1_diabetic/")</f>
        <v/>
      </c>
      <c r="G5756" t="inlineStr">
        <is>
          <t>2018-12-06 13:08:56</t>
        </is>
      </c>
      <c r="H5756" t="inlineStr">
        <is>
          <t>Type 1</t>
        </is>
      </c>
    </row>
    <row r="5757">
      <c r="A5757" t="inlineStr">
        <is>
          <t>a3sg7y</t>
        </is>
      </c>
      <c r="B5757" t="inlineStr">
        <is>
          <t>How should i help my 12 year old diabetic sister</t>
        </is>
      </c>
      <c r="C5757" t="inlineStr">
        <is>
          <t>Hey so my sister has type 1 diabetes, I'm kind of freaking out about it and want to help her as much as I can I do not know much about diabetes. Would love your help thanks!</t>
        </is>
      </c>
      <c r="D5757" t="n">
        <v>1</v>
      </c>
      <c r="E5757" t="n">
        <v>10</v>
      </c>
      <c r="F5757">
        <f>HYPERLINK("https://www.reddit.com/r/diabetes/comments/a3sg7y/how_should_i_help_my_12_year_old_diabetic_sister/")</f>
        <v/>
      </c>
      <c r="G5757" t="inlineStr">
        <is>
          <t>2018-12-06 13:20:36</t>
        </is>
      </c>
      <c r="H5757" t="inlineStr">
        <is>
          <t>Type 1</t>
        </is>
      </c>
    </row>
    <row r="5758">
      <c r="A5758" t="inlineStr">
        <is>
          <t>a3sqh6</t>
        </is>
      </c>
      <c r="B5758" t="inlineStr">
        <is>
          <t>Getting Started with Dexcom G6?</t>
        </is>
      </c>
      <c r="C5758" t="inlineStr">
        <is>
          <t>Hi everybody. I’ll be getting my Dexcom G6 in January (finally!). Does anyone have any useful tips? I’ve seen threads mentioning things like the adhesive not sticking for the entire 10 days, etc., so whatever info or useful tips anybody has would definitely help.
Thanks!</t>
        </is>
      </c>
      <c r="D5758" t="n">
        <v>1</v>
      </c>
      <c r="E5758" t="n">
        <v>2</v>
      </c>
      <c r="F5758">
        <f>HYPERLINK("https://www.reddit.com/r/diabetes/comments/a3sqh6/getting_started_with_dexcom_g6/")</f>
        <v/>
      </c>
      <c r="G5758" t="inlineStr">
        <is>
          <t>2018-12-06 13:47:32</t>
        </is>
      </c>
      <c r="H5758" t="inlineStr">
        <is>
          <t>Type 1</t>
        </is>
      </c>
    </row>
    <row r="5759">
      <c r="A5759" t="inlineStr">
        <is>
          <t>a3tcuz</t>
        </is>
      </c>
      <c r="B5759" t="inlineStr">
        <is>
          <t>OpenAPS - operational cost</t>
        </is>
      </c>
      <c r="C5759" t="inlineStr">
        <is>
          <t>I am new to OpenAPS am very excited to get involved as a fellow T1 diabetic and programmer. The OpenAPS driving principles with respect to the technology and the people it is trying to help is incredible and something which the market has clearly failed to address.
&amp;amp;#x200B;
But one of the barriers of entry to such a project is the cost. In particular, it is well known that setup and hardware costs will be around $150 mark and in practice one may expect a little more. But what would the operational cost be in terms of sensors and accidents? Do we need an $50 sensor every week? Do we need a specific brand of insulin? Maybe I have missed some article in my research, but I cannot find any articles reviewing this perspective anywhere - and it is definitely crucial in adopting the system.</t>
        </is>
      </c>
      <c r="D5759" t="n">
        <v>1</v>
      </c>
      <c r="E5759" t="n">
        <v>3</v>
      </c>
      <c r="F5759">
        <f>HYPERLINK("https://www.reddit.com/r/diabetes/comments/a3tcuz/openaps_operational_cost/")</f>
        <v/>
      </c>
      <c r="G5759" t="inlineStr">
        <is>
          <t>2018-12-06 14:47:54</t>
        </is>
      </c>
      <c r="H5759" t="inlineStr">
        <is>
          <t>Type 1</t>
        </is>
      </c>
    </row>
    <row r="5760">
      <c r="A5760" t="inlineStr">
        <is>
          <t>a3u58r</t>
        </is>
      </c>
      <c r="B5760" t="inlineStr">
        <is>
          <t>Advice on switching from the pump to syringes</t>
        </is>
      </c>
      <c r="C5760" t="inlineStr">
        <is>
          <t>My pump crapped out today and I'll have to use syringes until I get a replacement. I haven't used syringes for an extended period of time for over 15 years, so I'm looking for advice on how to compensate for lack of basal.</t>
        </is>
      </c>
      <c r="D5760" t="n">
        <v>1</v>
      </c>
      <c r="E5760" t="n">
        <v>3</v>
      </c>
      <c r="F5760">
        <f>HYPERLINK("https://www.reddit.com/r/diabetes/comments/a3u58r/advice_on_switching_from_the_pump_to_syringes/")</f>
        <v/>
      </c>
      <c r="G5760" t="inlineStr">
        <is>
          <t>2018-12-06 16:11:50</t>
        </is>
      </c>
      <c r="H5760" t="inlineStr">
        <is>
          <t>Type 1</t>
        </is>
      </c>
    </row>
    <row r="5761">
      <c r="A5761" t="inlineStr">
        <is>
          <t>a3zelr</t>
        </is>
      </c>
      <c r="B5761" t="inlineStr">
        <is>
          <t>Meter Question</t>
        </is>
      </c>
      <c r="C5761" t="inlineStr">
        <is>
          <t xml:space="preserve">Hi! First time here. I was diagnosed T2 in April, 2018. My October A1c was 5.4, down from 11.5 at diagnosis. 
So my question:
Why does my blood glucose monitor give a 20 point swing from one finger to another? Should I get a different one? I tried changing the battery but it still seems to read different glucose levels from prick to prick. (I've run the test serum, am pricking and beading as taught, etc.) 
And related: My GP has me keeping a journal of glucose readings. Should I fish around for the lowest or just take whatever random number the meter generates for me? Because I'm pretty sure her treatment strategy is based on my A1c, not my daily readings.
Thank you for your help! </t>
        </is>
      </c>
      <c r="D5761" t="n">
        <v>1</v>
      </c>
      <c r="E5761" t="n">
        <v>4</v>
      </c>
      <c r="F5761">
        <f>HYPERLINK("https://www.reddit.com/r/diabetes/comments/a3zelr/meter_question/")</f>
        <v/>
      </c>
      <c r="G5761" t="inlineStr">
        <is>
          <t>2018-12-07 04:25:41</t>
        </is>
      </c>
      <c r="H5761" t="inlineStr">
        <is>
          <t>Type 2</t>
        </is>
      </c>
    </row>
    <row r="5762">
      <c r="A5762" t="inlineStr">
        <is>
          <t>a3zg53</t>
        </is>
      </c>
      <c r="B5762" t="inlineStr">
        <is>
          <t>Burnt beyond belief</t>
        </is>
      </c>
      <c r="C5762" t="inlineStr">
        <is>
          <t xml:space="preserve">Hi y’all. Desperately need to vent. I was diagnosed with T1 this Feb and it’s been a helluva year. You guys get it. 
Anyways, I’m just feeling really fried. I know I’ve only been at it for just a few months, but I want to check out so bad. While this year has had some amazing highs (got married, new apartment, etc), my diabetes has really gotten me down lately. 
In the spring, after my diagnosis, I got so behind and lost in my classes at school that I withdrew; then in the fall I filed a leave of absence at the last minute because my mental health was shit and I didn’t want to overstretch between my health, my new bride, work, and classes. I love school and putting it on the back burner has been really upsetting, but I felt like I needed to. So I worked full time at Verizon while my wife worked part time and studied. Then last month after a really tough week I ended up getting fired from my job for a stupid mistake I could have avoided. My wife and I have been pretty broke this year (student life), but not poor. Until this month we have been getting by with bills and living expenses; now we’re scraping together change to make rent. We have 65 bucks in our bank account and I don’t know how the hell we’ll make it into the new year. I’ve never felt this financially helpless. 
Now I have a fucking monster infection on my finger that won’t go away despite taking the prescribed antibiotics. it throbs constantly. It’s a dumb thing to be bothered by, but it’s just another stupid thing weathering me down.
Then tonight I misscalculted my bolus and I had a pretty bad low. Part of me wanted to just lay down and let it take me away. My wife helped me out and I treated it, but it’s been a rough day and the thought of just saying fuck it sounds damn pleasant right now. Tonight everything just feels like it’s crashing down for some reason and I’m collapsing under it all and can’t stop crying. It’s 5am and I don’t want to wake my wife up. I know I’ll be ok and this will all blow by, but goddamn the disease has been exhausting for me and I just want it to go away. Knowing it never will is devastating. 
Sorry for the rant you guys. It’s been a hard day, I’m feeling really down rn,  and I needed a place to write this out. If you have any loving words it would mean a lot to hear from some other sick folk who get what it’s like. Thanks.
</t>
        </is>
      </c>
      <c r="D5762" t="n">
        <v>1</v>
      </c>
      <c r="E5762" t="n">
        <v>10</v>
      </c>
      <c r="F5762">
        <f>HYPERLINK("https://www.reddit.com/r/diabetes/comments/a3zg53/burnt_beyond_belief/")</f>
        <v/>
      </c>
      <c r="G5762" t="inlineStr">
        <is>
          <t>2018-12-07 04:32:29</t>
        </is>
      </c>
      <c r="H5762" t="inlineStr">
        <is>
          <t>Type 1</t>
        </is>
      </c>
    </row>
    <row r="5763">
      <c r="A5763" t="inlineStr">
        <is>
          <t>a40ben</t>
        </is>
      </c>
      <c r="B5763" t="inlineStr">
        <is>
          <t>Sensor Error DexCom G6</t>
        </is>
      </c>
      <c r="C5763" t="inlineStr">
        <is>
          <t>Before I call dexcom for the fourth time I wanted to get a few opinions, so here's the situation.  I use the app on my pixel for the G6 and it has always worked fine; however, I went through two sensors and was then out.  Each time I had sensor errors, but was also having trouble with the app itself doing weird things like not warming up for 2 hours.  I also just changed my transmitter when this happened.  After a lot of effort I was able to get new sensors.  I uninstalled the app and restarted my phone before reinstalling it per dexcom.  I then put in the new sensor and my transmitter.  Everything was going fine it started to warm up...then sensor error again.  Could this actually be a problem with my transmitter?  Thanks for any onions, I'll probably have to call again soon...I'm really getting sick of this.</t>
        </is>
      </c>
      <c r="D5763" t="n">
        <v>1</v>
      </c>
      <c r="E5763" t="n">
        <v>2</v>
      </c>
      <c r="F5763">
        <f>HYPERLINK("https://www.reddit.com/r/diabetes/comments/a40ben/sensor_error_dexcom_g6/")</f>
        <v/>
      </c>
      <c r="G5763" t="inlineStr">
        <is>
          <t>2018-12-07 06:23:00</t>
        </is>
      </c>
      <c r="H5763" t="inlineStr">
        <is>
          <t>Type 1</t>
        </is>
      </c>
    </row>
    <row r="5764">
      <c r="A5764" t="inlineStr">
        <is>
          <t>a420zu</t>
        </is>
      </c>
      <c r="B5764" t="inlineStr">
        <is>
          <t>Tslim X2 Newbie - Somewhat Disillusioned</t>
        </is>
      </c>
      <c r="C5764" t="inlineStr">
        <is>
          <t>I got my first pump, a Tslim X2, about 10 days ago. I have had the Dexcom G6. The pump and Dexcom integration work as they are supposed to. I have not had great success with my blood sugars. 
* I assume there is a learning curve, especially using the features that are new for me: Extending the bolus and Basal-IQ. I also assume some adjustments to my ratios, etc., may be in order.
* I have had lots of lows and lots of highs. Granted... I had not been perfect before the pump (Tresiba and MDI Novolog, with A1Cs around 7.0-7.4), but now they are worse.
* Regarding Basil-IQ... it works as planned and shuts off delivery when a urgent low soon is detected. However... It is not very effective at keeping me from getting low. I think this is because at my basal rate (\~28u/day.), it can only prevent a small amount of insulin from being delivered -- like 1 unit as the event typically will not last more than an hour.  I don't see any alternative, but if my basil were higher (offset by lower ratio of bolus), perhaps it would be more effective.
Anyway... just venting a bit. I know it will take some time. But, considering if the tube is worth it. I could just get an Omnipod and bolus like before. I also could not use the Tslim bolus calculation and just bolus specify the dose like I would before.</t>
        </is>
      </c>
      <c r="D5764" t="n">
        <v>1</v>
      </c>
      <c r="E5764" t="n">
        <v>16</v>
      </c>
      <c r="F5764">
        <f>HYPERLINK("https://www.reddit.com/r/diabetes/comments/a420zu/tslim_x2_newbie_somewhat_disillusioned/")</f>
        <v/>
      </c>
      <c r="G5764" t="inlineStr">
        <is>
          <t>2018-12-07 09:27:49</t>
        </is>
      </c>
      <c r="H5764" t="inlineStr">
        <is>
          <t>Type 1</t>
        </is>
      </c>
    </row>
    <row r="5765">
      <c r="A5765" t="inlineStr">
        <is>
          <t>a4257n</t>
        </is>
      </c>
      <c r="B5765" t="inlineStr">
        <is>
          <t>670G Review</t>
        </is>
      </c>
      <c r="C5765" t="inlineStr">
        <is>
          <t>The Medtronic 670G does not function as a closed loop for 3 reasons.
1.  In auto mode it does not supply accurate data.  Nearly 100% of the time a finger stick will give a reading 15-35% higher than what shows on the pump.  (Medtronic claims 35% is 'accurate'). BG by finger stick is so rarely lower than what the pump tells you the sensor is reading as to be a statistical impossibility.  I would love to hear some data analysis form other users but I was told by someone on the tech support line that this was intentional.  When not in auto mode the finger stick readings are very accurate to what the pump shows and average less than 5% off plus or minus.  This shows the sensor itself to be very accurate but the pump skews data when in auto mode. 
2. When in auto mode the pump will stop all basal delivery for an extended period of time anytime you bolus.  This means that using accurate mealtime carb calculations for a bolus will not be enough to prevent an unwarranted rise in BG.  Because there are always other elements to a meal besides carbs that a basal should be covering your readings will start going up anytime you have anything to eat or drink.  I am unaware of any other insulin protocol that stops basal delivery when logically you need it the most.  All of the different endocrinologist I have ever used have recommended a the basal and bolus delivery average should ideally be about 50-50.  This is impossible in the 670G auto mode.  It really makes no sense to stop basal every time you eat or drink.  This is one of the reasons people complain about how their BG rises so high when using the 670G in auto mode.  Whenever I eat  I have to take it out of auto mode, use a higher than normal programed basal delivery and bolus accurately.  Then when BG is stable I can put it back into auto mode preventing the absurd and unnecessary rise.  Again Medtronics tech support tells me this feature is intentional.  What they are saying is that auto mode works excellent provided you eat or drink nothing, ever.
3. You are unable to set a reasonable target using the 670G in auto mode.  It does not use any target you set but rather some internal calculation that they can claim is 'accurate' even if it is intentionally off by 35%.  I understand legally they want to avoid people having dangerous lows but their target range is so 'safe' as to be ineffective especially when combined with the inaccurate data discussed above.  This is another reason why they have so many complaints about excessive highs.  To be effective, auto mode should control highs as well as lows, if not, it's just a marketing ploy calling it auto mode.  Additionally for safety reasons it will not increase delivery enough when BGs do start to rise.  Again they claim this is a safety feature and the pump will 'learn' the user over time.  There is no AI in the 80's pager tech they call a pump.  It simply averages insulin use over a period of time.  Medtronic tech support told me this is 48 hours but they told my endo this is 6 days.  Either way it doesn't work simply because you can not set a target, it doesn't set a reasonable target on its own, and it will not deliver enough inulin to reach a reasonable target for 'safety' reasons.
If I had known you could hack an older Medtronic device to create a functioning auto mode I might have tried that.  If I had know 'Auto Mode' was little more than a marketing ploy I would have kept my Tandem device which recently had a soft wear upgrade they call safe basal that is pretty much the same as 'auto mode'.  To me it is disappointing that I can buy a watch for a few hundred dollars that can pinpoint my location within a few feet anywhere in the world while the tech on this much more expensive medical device has nowhere near the same functionality.  Literally I consider my pump to be little more than a pager as far as a piece of tech.   No normal consumer would settle for this in todays market, why should we?  When will a company come up with pump tech that compares to todays phones?  Recent FDA changes to hearing aid rules will allow cheaper, substantially better tech to come into the marketplace.  Something similar may be the only solution to the dismal state of insulin pumps.
&amp;amp;#x200B;
&amp;amp;#x200B;</t>
        </is>
      </c>
      <c r="D5765" t="n">
        <v>1</v>
      </c>
      <c r="E5765" t="n">
        <v>18</v>
      </c>
      <c r="F5765">
        <f>HYPERLINK("https://www.reddit.com/r/diabetes/comments/a4257n/670g_review/")</f>
        <v/>
      </c>
      <c r="G5765" t="inlineStr">
        <is>
          <t>2018-12-07 09:39:52</t>
        </is>
      </c>
      <c r="H5765" t="inlineStr">
        <is>
          <t>Type 1</t>
        </is>
      </c>
    </row>
    <row r="5766">
      <c r="A5766" t="inlineStr">
        <is>
          <t>a47km2</t>
        </is>
      </c>
      <c r="B5766" t="inlineStr">
        <is>
          <t>Lantus before Bysalar mistake...?</t>
        </is>
      </c>
      <c r="C5766" t="inlineStr">
        <is>
          <t>Hi all.
I do Big Brothers Big Sisters with a 12 year old who had Type 1. She lives with her grandmother, who manages it for her.
Tonight they accidentally injected her with her overnight Lantus at dinnertime, when she was supposed to be getting Bysalar (used to be Novolog, but their insurance switched them to this?).  When Grandma realized what happened, she had her start eating, then gave her the Bysalar about 15-20 minutes later. Now she's asking me to see if I can find anything online about what to do/will she be ok/anything to look out for.
I found the post about how it's fine to inject Lantus and Novolog at the same time, just not in the same place. I can't find any mention of this Bysalar stuff anywhere. Same case? Thanks for any insight you can provide.</t>
        </is>
      </c>
      <c r="D5766" t="n">
        <v>1</v>
      </c>
      <c r="E5766" t="n">
        <v>2</v>
      </c>
      <c r="F5766">
        <f>HYPERLINK("https://www.reddit.com/r/diabetes/comments/a47km2/lantus_before_bysalar_mistake/")</f>
        <v/>
      </c>
      <c r="G5766" t="inlineStr">
        <is>
          <t>2018-12-07 20:22:37</t>
        </is>
      </c>
      <c r="H5766" t="inlineStr">
        <is>
          <t>Type 1</t>
        </is>
      </c>
    </row>
    <row r="5767">
      <c r="A5767" t="inlineStr">
        <is>
          <t>a47xue</t>
        </is>
      </c>
      <c r="B5767" t="inlineStr">
        <is>
          <t>[Question] 3 days ago i pricked my finger and my levels were at 127. I've kinda quit cold turkey through out all sugars and im now on a strict diet. How do i get rid of the sinus fuzzy headaches that come and go?</t>
        </is>
      </c>
      <c r="C5767" t="inlineStr">
        <is>
          <t xml:space="preserve">I haven't been to the doctor's yet. My mother In law has been diabetic for 20+ years and checked my blood. I definitely know it's from my weight. Just looking for some advice in every aspect thanks. (Can't get to docs till next week) </t>
        </is>
      </c>
      <c r="D5767" t="n">
        <v>1</v>
      </c>
      <c r="E5767" t="n">
        <v>9</v>
      </c>
      <c r="F5767">
        <f>HYPERLINK("https://www.reddit.com/r/diabetes/comments/a47xue/question_3_days_ago_i_pricked_my_finger_and_my/")</f>
        <v/>
      </c>
      <c r="G5767" t="inlineStr">
        <is>
          <t>2018-12-07 21:17:28</t>
        </is>
      </c>
      <c r="H5767" t="inlineStr">
        <is>
          <t>Type 2</t>
        </is>
      </c>
    </row>
    <row r="5768">
      <c r="A5768" t="inlineStr">
        <is>
          <t>a484l1</t>
        </is>
      </c>
      <c r="B5768" t="inlineStr">
        <is>
          <t>Hi Reddit! I'm beginning a new workout/exercise routine and I'm hoping to share it with you guys! Will you help me along?</t>
        </is>
      </c>
      <c r="C5768" t="inlineStr">
        <is>
          <t>&amp;amp;#x200B;
https://i.redd.it/uzvps7nsrz221.jpg</t>
        </is>
      </c>
      <c r="D5768" t="n">
        <v>1</v>
      </c>
      <c r="E5768" t="n">
        <v>9</v>
      </c>
      <c r="F5768">
        <f>HYPERLINK("https://www.reddit.com/r/diabetes/comments/a484l1/hi_reddit_im_beginning_a_new_workoutexercise/")</f>
        <v/>
      </c>
      <c r="G5768" t="inlineStr">
        <is>
          <t>2018-12-07 21:45:40</t>
        </is>
      </c>
      <c r="H5768" t="inlineStr">
        <is>
          <t>Type 1</t>
        </is>
      </c>
    </row>
    <row r="5769">
      <c r="A5769" t="inlineStr">
        <is>
          <t>a494jh</t>
        </is>
      </c>
      <c r="B5769" t="inlineStr">
        <is>
          <t>Got diagnosed late last year and still haven't changed anything about my diet or excercise</t>
        </is>
      </c>
      <c r="C5769" t="inlineStr">
        <is>
          <t>(Sorry if this post is not allowed I was just hoping to get a little help, and motivation through all this) I just don't know where to start with eating better (should I buy pre-made salads from the store? Start eating more chicken, rice?) . I got to cut out sugar, I know that I have to stop eating processed foods. And take Metaformin (which I haven't been, not good at taking meds on a timely fashion)
I haven't been taking care of myself at all, just in denial. But I'm ready to make a change to control all of this, and feel better. I'll start going to the gym and drink lots more water. 
Thanks for reading. &amp;lt;3</t>
        </is>
      </c>
      <c r="D5769" t="n">
        <v>1</v>
      </c>
      <c r="E5769" t="n">
        <v>44</v>
      </c>
      <c r="F5769">
        <f>HYPERLINK("https://www.reddit.com/r/diabetes/comments/a494jh/got_diagnosed_late_last_year_and_still_havent/")</f>
        <v/>
      </c>
      <c r="G5769" t="inlineStr">
        <is>
          <t>2018-12-08 00:39:38</t>
        </is>
      </c>
      <c r="H5769" t="inlineStr">
        <is>
          <t>Type 2</t>
        </is>
      </c>
    </row>
    <row r="5770">
      <c r="A5770" t="inlineStr">
        <is>
          <t>a4d809</t>
        </is>
      </c>
      <c r="B5770" t="inlineStr">
        <is>
          <t>New to Tandem, Basal continuously bringing me low</t>
        </is>
      </c>
      <c r="C5770" t="inlineStr">
        <is>
          <t>Hey guys, really confused about this one. I just got the tandem pump switching from the paradigm. All of my basal and settings are the same however my blood sugar is continuously going low. Once low I drink sugared soda and rise back up then basal rate will kick back in and bring me back under 70. Anyone ever experience this? Is there something I'm missing on my pump?</t>
        </is>
      </c>
      <c r="D5770" t="n">
        <v>1</v>
      </c>
      <c r="E5770" t="n">
        <v>8</v>
      </c>
      <c r="F5770">
        <f>HYPERLINK("https://www.reddit.com/r/diabetes/comments/a4d809/new_to_tandem_basal_continuously_bringing_me_low/")</f>
        <v/>
      </c>
      <c r="G5770" t="inlineStr">
        <is>
          <t>2018-12-08 10:38:16</t>
        </is>
      </c>
      <c r="H5770" t="inlineStr">
        <is>
          <t>Type 1</t>
        </is>
      </c>
    </row>
    <row r="5771">
      <c r="A5771" t="inlineStr">
        <is>
          <t>a4epr5</t>
        </is>
      </c>
      <c r="B5771" t="inlineStr">
        <is>
          <t>Janumet XR full dose 100/2000</t>
        </is>
      </c>
      <c r="C5771" t="inlineStr">
        <is>
          <t xml:space="preserve">Is anyone else taking this dose? do you take it all at once or do you take one in the morning and another at night? </t>
        </is>
      </c>
      <c r="D5771" t="n">
        <v>1</v>
      </c>
      <c r="E5771" t="n">
        <v>1</v>
      </c>
      <c r="F5771">
        <f>HYPERLINK("https://www.reddit.com/r/diabetes/comments/a4epr5/janumet_xr_full_dose_1002000/")</f>
        <v/>
      </c>
      <c r="G5771" t="inlineStr">
        <is>
          <t>2018-12-08 13:21:26</t>
        </is>
      </c>
      <c r="H5771" t="inlineStr">
        <is>
          <t>Type 2</t>
        </is>
      </c>
    </row>
    <row r="5772">
      <c r="A5772" t="inlineStr">
        <is>
          <t>a4hs8v</t>
        </is>
      </c>
      <c r="B5772" t="inlineStr">
        <is>
          <t>Currently in DKA...</t>
        </is>
      </c>
      <c r="C5772" t="inlineStr">
        <is>
          <t xml:space="preserve">Depression is badly kicking my butt. I haven’t taken my sugars/any humalog in over a few months. Tonight I’m in so much pain in my legs and feet I decided to check my ketones. They are most certainly high. Tonight’s gonna be a long one chugging water! </t>
        </is>
      </c>
      <c r="D5772" t="n">
        <v>1</v>
      </c>
      <c r="E5772" t="n">
        <v>10</v>
      </c>
      <c r="F5772">
        <f>HYPERLINK("https://www.reddit.com/r/diabetes/comments/a4hs8v/currently_in_dka/")</f>
        <v/>
      </c>
      <c r="G5772" t="inlineStr">
        <is>
          <t>2018-12-08 19:48:15</t>
        </is>
      </c>
      <c r="H5772" t="inlineStr">
        <is>
          <t>Type 1</t>
        </is>
      </c>
    </row>
    <row r="5773">
      <c r="A5773" t="inlineStr">
        <is>
          <t>a4k6l1</t>
        </is>
      </c>
      <c r="B5773" t="inlineStr">
        <is>
          <t>A1C’s journey 12.4% to 5.8% to 6.3%. How do I control A1C?</t>
        </is>
      </c>
      <c r="C5773" t="inlineStr">
        <is>
          <t xml:space="preserve">Just ranting really? I’m exhausted all the time and it’s a drag dealing with depression and then diabetes. 
Total cholesterol is in the normal range. Triglycerides numbers improved but still in the high range. Good cholesterol is low (that’s not good). 
A1C - 6.3% (prediabetic range again 6 to 6.4)
Triglycerides - 3.73 (&amp;lt;1.7 good)
HDL result 0.9 (&amp;gt; 1.00 is considered good)
I’m on metformin 500 mg twice a day. Can I get a partner any age here who I can personally share my efforts and we both get our numbers right? lol. Idk diabetes is my life right now. </t>
        </is>
      </c>
      <c r="D5773" t="n">
        <v>1</v>
      </c>
      <c r="E5773" t="n">
        <v>46</v>
      </c>
      <c r="F5773">
        <f>HYPERLINK("https://www.reddit.com/r/diabetes/comments/a4k6l1/a1cs_journey_124_to_58_to_63_how_do_i_control_a1c/")</f>
        <v/>
      </c>
      <c r="G5773" t="inlineStr">
        <is>
          <t>2018-12-09 02:59:36</t>
        </is>
      </c>
      <c r="H5773" t="inlineStr">
        <is>
          <t>Type 2</t>
        </is>
      </c>
    </row>
    <row r="5774">
      <c r="A5774" t="inlineStr">
        <is>
          <t>a4pio8</t>
        </is>
      </c>
      <c r="B5774" t="inlineStr">
        <is>
          <t>Pump vs needles/pen?</t>
        </is>
      </c>
      <c r="C5774" t="inlineStr">
        <is>
          <t xml:space="preserve">Tldr: tired of pump issues. Considering what it might be like to get off the pump for a bit, or if I'm just burnt out and need to suck it up. 
I've gotten so sick of my pump lately. I've been on one for almost ten years. It normally isn't much of an issue, but these few weeks I'm so burnt out. My sites keep ripping out. It's happened 3 times this week, and just happened, and when I put in a new one the site got clogged with blood. I dropped my pump yesterday and a part broke off. At night I can't sleep because it keeps sliding off and digging into my side. 
Where I'm going with this, is I'm wondering if it's a bad idea to look into a pump holiday? I know pumps give better control. But I really crave the freedom of not having something attached to me 24/7. Everyone I know pumps, so I can't ask if there's benefits to using a pen instead. I know there's less freedom when it comes to eating. Just looking for insight I suppose. 
Pros/cons of needles/pens vs pumping? </t>
        </is>
      </c>
      <c r="D5774" t="n">
        <v>1</v>
      </c>
      <c r="E5774" t="n">
        <v>10</v>
      </c>
      <c r="F5774">
        <f>HYPERLINK("https://www.reddit.com/r/diabetes/comments/a4pio8/pump_vs_needlespen/")</f>
        <v/>
      </c>
      <c r="G5774" t="inlineStr">
        <is>
          <t>2018-12-09 14:30:16</t>
        </is>
      </c>
      <c r="H5774" t="inlineStr">
        <is>
          <t>Type 1</t>
        </is>
      </c>
    </row>
    <row r="5775">
      <c r="A5775" t="inlineStr">
        <is>
          <t>a4q7kd</t>
        </is>
      </c>
      <c r="B5775" t="inlineStr">
        <is>
          <t>Advice needed for 670G sensor</t>
        </is>
      </c>
      <c r="C5775" t="inlineStr">
        <is>
          <t>I have a medtronic 670G pump.  I just inserted a new sensor and it actually goes in for once with no bleedings or other problems (yay).  But I just got an alert that the transmitter battery is low - at 20%.  I don't want to waste a perfectly good sensor... can I remove the transmitter from the sensor and charge it whileI just leave the sensor awkwardly in, and then reconnect it all later?</t>
        </is>
      </c>
      <c r="D5775" t="n">
        <v>1</v>
      </c>
      <c r="E5775" t="n">
        <v>3</v>
      </c>
      <c r="F5775">
        <f>HYPERLINK("https://www.reddit.com/r/diabetes/comments/a4q7kd/advice_needed_for_670g_sensor/")</f>
        <v/>
      </c>
      <c r="G5775" t="inlineStr">
        <is>
          <t>2018-12-09 15:53:14</t>
        </is>
      </c>
      <c r="H5775" t="inlineStr">
        <is>
          <t>Type 1</t>
        </is>
      </c>
    </row>
    <row r="5776">
      <c r="A5776" t="inlineStr">
        <is>
          <t>a4s8o9</t>
        </is>
      </c>
      <c r="B5776" t="inlineStr">
        <is>
          <t>99 problems and the prick is one</t>
        </is>
      </c>
      <c r="C5776" t="inlineStr">
        <is>
          <t xml:space="preserve">So I just tipped over the A1C, and officially have the Beetus. 
I have a serious problem with needles. It’s not a pain thing; but something about that thin metal being inserted make me shudder. 
So as you can imagine, it makes checking my sugar a bigger problem then it would be for the average bear. My doctor has asked me to do it at least once a week, which is fair, but now I’m having another issue. I’ve tried twice now, and each time the blood comes out kinda watery, or thin looking and my meter shows error. 
My hands are dry, so it’s not that. I googled it and I’m not getting a clear answer.  Do I need to go to a deeper setting?  I’ve used 2 and 3. Am I hitting the wrong spot?  Looking at my finger from the top, making a square, I’m using the bottom corner of the lower left quadrant on my ring finger. 
I rarely cut myself deep enough to get blood, so I don’t know if it’s only the finger prick that’s been watery/thin.  I’d rather not intentionally cut myself to find out. 
I’ve made some surprisingly minor lifestyle changes and the few symptoms I had have gone away, but I’d like more precise tracking than that. I don’t see my doctor again until the new year. 
Any advice/experience/ideas you could share would be helpful!
</t>
        </is>
      </c>
      <c r="D5776" t="n">
        <v>1</v>
      </c>
      <c r="E5776" t="n">
        <v>16</v>
      </c>
      <c r="F5776">
        <f>HYPERLINK("https://www.reddit.com/r/diabetes/comments/a4s8o9/99_problems_and_the_prick_is_one/")</f>
        <v/>
      </c>
      <c r="G5776" t="inlineStr">
        <is>
          <t>2018-12-09 20:13:45</t>
        </is>
      </c>
      <c r="H5776" t="inlineStr">
        <is>
          <t>Type 2</t>
        </is>
      </c>
    </row>
    <row r="5777">
      <c r="A5777" t="inlineStr">
        <is>
          <t>a4vpz7</t>
        </is>
      </c>
      <c r="B5777" t="inlineStr">
        <is>
          <t>Insulin resistance in type 1</t>
        </is>
      </c>
      <c r="C5777" t="inlineStr">
        <is>
          <t>Since as type 1s we know exactly how much insulin we're using, is there any way to tell (based on weight, gender, etc) if we're requiring "too much" (i.e. becoming insulin resistant)? Is there a certain range of I:C ratios that are considered normal? I have a lot of people in my family with type 2, so I probably have some genes for insulin resistance and want to keep an eye on it.</t>
        </is>
      </c>
      <c r="D5777" t="n">
        <v>1</v>
      </c>
      <c r="E5777" t="n">
        <v>3</v>
      </c>
      <c r="F5777">
        <f>HYPERLINK("https://www.reddit.com/r/diabetes/comments/a4vpz7/insulin_resistance_in_type_1/")</f>
        <v/>
      </c>
      <c r="G5777" t="inlineStr">
        <is>
          <t>2018-12-10 05:37:57</t>
        </is>
      </c>
      <c r="H5777" t="inlineStr">
        <is>
          <t>Type 1</t>
        </is>
      </c>
    </row>
    <row r="5778">
      <c r="A5778" t="inlineStr">
        <is>
          <t>a4vy06</t>
        </is>
      </c>
      <c r="B5778" t="inlineStr">
        <is>
          <t>Minimed 670 or T Slim x2</t>
        </is>
      </c>
      <c r="C5778" t="inlineStr">
        <is>
          <t>Hi guys and gals :). My current minimed is going out of warranty next month and I was looking for honest opinions between the new 670g and the tslim. I’ve been using Dexcom sensors now and adore them. Also love the t slims look but is the closed loop of the 670 a deal breaker ? Do we think the T Slim will be updated soon to start increasing insulin on spikes ? Do a lot of you end  up turning off the closed loop on the 670 anyway?</t>
        </is>
      </c>
      <c r="D5778" t="n">
        <v>1</v>
      </c>
      <c r="E5778" t="n">
        <v>9</v>
      </c>
      <c r="F5778">
        <f>HYPERLINK("https://www.reddit.com/r/diabetes/comments/a4vy06/minimed_670_or_t_slim_x2/")</f>
        <v/>
      </c>
      <c r="G5778" t="inlineStr">
        <is>
          <t>2018-12-10 06:07:18</t>
        </is>
      </c>
      <c r="H5778" t="inlineStr">
        <is>
          <t>Type 1</t>
        </is>
      </c>
    </row>
    <row r="5779">
      <c r="A5779" t="inlineStr">
        <is>
          <t>a4wjcp</t>
        </is>
      </c>
      <c r="B5779" t="inlineStr">
        <is>
          <t>Type 1 now type 1.5?</t>
        </is>
      </c>
      <c r="C5779" t="inlineStr">
        <is>
          <t xml:space="preserve">Hello everyone! I hope you all are doing well! As some of you know, I was diagnosed with late onset T1 diabetes this past March (age 21).y GAD test was over 1,000 and my c-peptide was .6 (or .06 I don’t remember). I just got labwork a few weeks ago and followed up with my new endo today and my c-peptide went up to 1.6. My endo thinks it’s strange for that to happen because most honeymoon periods end before 9 months. My doctor has told me I potentially have a type 1.5 diabetes. I have been put on Jardiance on top of my insulin and will follow up in March to see if my labwork has changed. I just wanted to know if anyone else has dealt with this and what their advice and insight is. Any research will be super helpful too! </t>
        </is>
      </c>
      <c r="D5779" t="n">
        <v>1</v>
      </c>
      <c r="E5779" t="n">
        <v>6</v>
      </c>
      <c r="F5779">
        <f>HYPERLINK("https://www.reddit.com/r/diabetes/comments/a4wjcp/type_1_now_type_15/")</f>
        <v/>
      </c>
      <c r="G5779" t="inlineStr">
        <is>
          <t>2018-12-10 07:21:27</t>
        </is>
      </c>
      <c r="H5779" t="inlineStr">
        <is>
          <t>Type 1.5/LADA</t>
        </is>
      </c>
    </row>
    <row r="5780">
      <c r="A5780" t="inlineStr">
        <is>
          <t>a536nj</t>
        </is>
      </c>
      <c r="B5780" t="inlineStr">
        <is>
          <t>tslim X2 Load Cartridge Question</t>
        </is>
      </c>
      <c r="C5780" t="inlineStr">
        <is>
          <t>I just started in the tslim X2. My instructions for loading the cartridge have me filling the syringe with insulin, then sticking the needle in the new cartridge and pull the air out. (i'm skipping some steps for here). My question is, why can't I just **first** stick the syringe in the new cartridge and pull the air out? Then fill the syringe with insulin and inject it into the cartridge?</t>
        </is>
      </c>
      <c r="D5780" t="n">
        <v>1</v>
      </c>
      <c r="E5780" t="n">
        <v>6</v>
      </c>
      <c r="F5780">
        <f>HYPERLINK("https://www.reddit.com/r/diabetes/comments/a536nj/tslim_x2_load_cartridge_question/")</f>
        <v/>
      </c>
      <c r="G5780" t="inlineStr">
        <is>
          <t>2018-12-10 19:43:52</t>
        </is>
      </c>
      <c r="H5780" t="inlineStr">
        <is>
          <t>Type 1</t>
        </is>
      </c>
    </row>
    <row r="5781">
      <c r="A5781" t="inlineStr">
        <is>
          <t>a53dhm</t>
        </is>
      </c>
      <c r="B5781" t="inlineStr">
        <is>
          <t>Brittle diabetes</t>
        </is>
      </c>
      <c r="C5781" t="inlineStr">
        <is>
          <t>So I have been TD1 since 1986 (3 yrs old). My doctor diagnosed me with "brittle diabetes" at that time. I was later diagnosed that again in my early 20s. I know the term is antiquated now, but it is a real thing. My blood sugars have always been a roller coaster, no matter what.
My NP at the diabetes clinic I go too prints out my logs each time and literally gives me the 3rd degree. "Are you sure you are carb counting correctly"? Etc. Yes! I am sure. Then she tells me to try this and that, extending boluses etc. Each day it has a diff effect. It is so frustrating bc I do everything they tell me but I cannot keep my blood sugar level due to the form I have.
Does anyone else have this form of Type 1??</t>
        </is>
      </c>
      <c r="D5781" t="n">
        <v>1</v>
      </c>
      <c r="E5781" t="n">
        <v>17</v>
      </c>
      <c r="F5781">
        <f>HYPERLINK("https://www.reddit.com/r/diabetes/comments/a53dhm/brittle_diabetes/")</f>
        <v/>
      </c>
      <c r="G5781" t="inlineStr">
        <is>
          <t>2018-12-10 20:07:54</t>
        </is>
      </c>
      <c r="H5781" t="inlineStr">
        <is>
          <t>Type 1</t>
        </is>
      </c>
    </row>
    <row r="5782">
      <c r="A5782" t="inlineStr">
        <is>
          <t>a568gj</t>
        </is>
      </c>
      <c r="B5782" t="inlineStr">
        <is>
          <t>What is diabetes?</t>
        </is>
      </c>
      <c r="C5782" t="inlineStr">
        <is>
          <t xml:space="preserve">A philosophical question. 
For me diabetes is a psychological challenge to move your body in world where you don’t have the energy to move. 
A kind of stasis in the mind and in the body. 
A movement toward continuously feeling dead and consistently pouring the thoughts on what could be pleasurable in life. 
I’m not sure why it has the word die-in front. </t>
        </is>
      </c>
      <c r="D5782" t="n">
        <v>1</v>
      </c>
      <c r="E5782" t="n">
        <v>5</v>
      </c>
      <c r="F5782">
        <f>HYPERLINK("https://www.reddit.com/r/diabetes/comments/a568gj/what_is_diabetes/")</f>
        <v/>
      </c>
      <c r="G5782" t="inlineStr">
        <is>
          <t>2018-12-11 04:06:33</t>
        </is>
      </c>
      <c r="H5782" t="inlineStr">
        <is>
          <t>Type 2</t>
        </is>
      </c>
    </row>
    <row r="5783">
      <c r="A5783" t="inlineStr">
        <is>
          <t>a575qa</t>
        </is>
      </c>
      <c r="B5783" t="inlineStr">
        <is>
          <t>Glipizide 10mg ... newly prescribed. Questions and concerns...</t>
        </is>
      </c>
      <c r="C5783" t="inlineStr">
        <is>
          <t>My husband was diagnosed as “borderline” about a year and a half ago. He was prescribed Metformin 2000mg and that seemed to be controlling things.
He was good about eating better (not great) until the last few months. We’ve had a very stressful time otherwise since about July, so I know that hasn’t helped.
Recently he had a minor but annoying skin infection (I thought thrush/yeast) that made him go back to the doctor. I got concerned it might be his blood sugar. Well after the visit and bloodwork, it was confirmed. The test result was  314 (non fasting) and the doc added Glipizide 10mg to his daily regiment. He wants my husband back in 2 months for a fasting test.
However, though our doc is usually decent, he didn’t give us much other instruction. He didn’t tell us to get a monitor, or how to eat or anything.
My husband is the type to just take the meds and go about his life. He’s thrown away the soda and switched back to water. He’s limiting carbs. He’ll start walking daily again this week. And he’ll take the new med without a second thought.
My concern in the short term is the Glipizide and “lows”. If he feels a little dizzy or shaky, what’s a good snack to keep on hand? What else should we watch for? How nervous do I need to be?
In the long term I’d like to see him off the Glipizide if possible. He’s going to try to lose weight again and stick with the low carb diet. Any other suggestions?
One thing to note... at this point he’ll fight me on getting a monitor.
I suppose I’m looking for a little encouragement and guidance if anyone can offer it... I know his numbers were BAD so we really are taking it seriously... in 12 hours since getting the results he’s already made a 180 on his diet...
Thanks all...</t>
        </is>
      </c>
      <c r="D5783" t="n">
        <v>1</v>
      </c>
      <c r="E5783" t="n">
        <v>5</v>
      </c>
      <c r="F5783">
        <f>HYPERLINK("https://www.reddit.com/r/diabetes/comments/a575qa/glipizide_10mg_newly_prescribed_questions_and/")</f>
        <v/>
      </c>
      <c r="G5783" t="inlineStr">
        <is>
          <t>2018-12-11 06:16:36</t>
        </is>
      </c>
      <c r="H5783" t="inlineStr">
        <is>
          <t>Type 2</t>
        </is>
      </c>
    </row>
    <row r="5784">
      <c r="A5784" t="inlineStr">
        <is>
          <t>a58ywm</t>
        </is>
      </c>
      <c r="B5784" t="inlineStr">
        <is>
          <t>Looking for some advice with a friend</t>
        </is>
      </c>
      <c r="C5784" t="inlineStr">
        <is>
          <t xml:space="preserve">I have a dear friend who is an adolescent with severe Autism Spectrum Disorder. They're non-verbal and very fidgety, and just this week they were diagnosed with Type 1 diabetes. I'm helping their family develop a plan right now, and I wanted to see if any of you fine folks had any advice for ways to administer insulin for someone afraid of needles and who will most likely fidget with a pump. I know about inhalers for rapid-acting insulin, but we need a way to safely a reliably administer long-acting as well. 
Also this person is non-verbal and unable to communicate how they feel. What are some signs I should be looking out for that might indicate high or low blood sugar? 
Any advice would be amazing, thank you all so much. </t>
        </is>
      </c>
      <c r="D5784" t="n">
        <v>1</v>
      </c>
      <c r="E5784" t="n">
        <v>9</v>
      </c>
      <c r="F5784">
        <f>HYPERLINK("https://www.reddit.com/r/diabetes/comments/a58ywm/looking_for_some_advice_with_a_friend/")</f>
        <v/>
      </c>
      <c r="G5784" t="inlineStr">
        <is>
          <t>2018-12-11 09:37:26</t>
        </is>
      </c>
      <c r="H5784" t="inlineStr">
        <is>
          <t>Type 1</t>
        </is>
      </c>
    </row>
    <row r="5785">
      <c r="A5785" t="inlineStr">
        <is>
          <t>a59drd</t>
        </is>
      </c>
      <c r="B5785" t="inlineStr">
        <is>
          <t>Question about injecting insulin</t>
        </is>
      </c>
      <c r="C5785" t="inlineStr">
        <is>
          <t>My cousin has typ 1 diabetes
should you rather change your eating habits or should you just inject more insulin?</t>
        </is>
      </c>
      <c r="D5785" t="n">
        <v>1</v>
      </c>
      <c r="E5785" t="n">
        <v>17</v>
      </c>
      <c r="F5785">
        <f>HYPERLINK("https://www.reddit.com/r/diabetes/comments/a59drd/question_about_injecting_insulin/")</f>
        <v/>
      </c>
      <c r="G5785" t="inlineStr">
        <is>
          <t>2018-12-11 10:19:23</t>
        </is>
      </c>
      <c r="H5785" t="inlineStr">
        <is>
          <t>Type 1</t>
        </is>
      </c>
    </row>
    <row r="5786">
      <c r="A5786" t="inlineStr">
        <is>
          <t>a5ab5t</t>
        </is>
      </c>
      <c r="B5786" t="inlineStr">
        <is>
          <t>How concerned should I be</t>
        </is>
      </c>
      <c r="C5786" t="inlineStr">
        <is>
          <t xml:space="preserve">So I had an annual physical in 2016 where my fasting blood glucose was 84. Was 89 in 2017. (These were taken in the afternoon). This morning I took a finger prick test and registered a 107/108. My BMI is about 20 and I have a history of running marathons. Fairly active in the summer months. Thinking I might have type 1.5. I monitor my blood sugar randomly and even when I was training for a marathon, there was little impact. I typically have 1 snack at lunch and a small meal at night. No immediate family history. </t>
        </is>
      </c>
      <c r="D5786" t="n">
        <v>1</v>
      </c>
      <c r="E5786" t="n">
        <v>7</v>
      </c>
      <c r="F5786">
        <f>HYPERLINK("https://www.reddit.com/r/diabetes/comments/a5ab5t/how_concerned_should_i_be/")</f>
        <v/>
      </c>
      <c r="G5786" t="inlineStr">
        <is>
          <t>2018-12-11 11:55:15</t>
        </is>
      </c>
      <c r="H5786" t="inlineStr">
        <is>
          <t>Type 1.5/LADA</t>
        </is>
      </c>
    </row>
    <row r="5787">
      <c r="A5787" t="inlineStr">
        <is>
          <t>a5ax5x</t>
        </is>
      </c>
      <c r="B5787" t="inlineStr">
        <is>
          <t>Just Sharing - Diabetic Retinopathy Related</t>
        </is>
      </c>
      <c r="C5787" t="inlineStr">
        <is>
          <t>So around 3 years ago I was diagnosed with server diabetic retinopathy, the good news is that it hadn't actually effected my vision.  This was a huge wake up call for me after 25+ years of Type 1 diabetes.  Upon several injection treatments into my eyes, and one laser treatment, I'm happy to share that I have not needed a treatment in over a year and have essentially stabilized and entered a maintenance phase.  
&amp;amp;#x200B;
I'm doing a little happy dance myself, but I hope my story will help others struggling with complications and/or similar issues.  For me, my Dexcom has made all the difference, with A1c's before my Dexcom ranging from 8-10, I've held steady for over 2 years around 6.4 with my most recent dropping to 6.3.
&amp;amp;#x200B;
Keep your heads up, it's a daily battle and some are better than others.  Today is a good day for me.</t>
        </is>
      </c>
      <c r="D5787" t="n">
        <v>1</v>
      </c>
      <c r="E5787" t="n">
        <v>1</v>
      </c>
      <c r="F5787">
        <f>HYPERLINK("https://www.reddit.com/r/diabetes/comments/a5ax5x/just_sharing_diabetic_retinopathy_related/")</f>
        <v/>
      </c>
      <c r="G5787" t="inlineStr">
        <is>
          <t>2018-12-11 12:58:24</t>
        </is>
      </c>
      <c r="H5787" t="inlineStr">
        <is>
          <t>Type 1</t>
        </is>
      </c>
    </row>
    <row r="5788">
      <c r="A5788" t="inlineStr">
        <is>
          <t>a5de7w</t>
        </is>
      </c>
      <c r="B5788" t="inlineStr">
        <is>
          <t>G6 and TSlim X2 sensor error alert- Does anyone know how to disable this alert?</t>
        </is>
      </c>
      <c r="C5788" t="inlineStr">
        <is>
          <t xml:space="preserve">Does anyone know how to disable this alert? It goes off after 15 minutes, and you can dismiss it, but it will go off again after 15 more minutes, and every 5 minutes after, until you dismiss it, or it’s fixed. </t>
        </is>
      </c>
      <c r="D5788" t="n">
        <v>1</v>
      </c>
      <c r="E5788" t="n">
        <v>1</v>
      </c>
      <c r="F5788">
        <f>HYPERLINK("https://www.reddit.com/r/diabetes/comments/a5de7w/g6_and_tslim_x2_sensor_error_alert_does_anyone/")</f>
        <v/>
      </c>
      <c r="G5788" t="inlineStr">
        <is>
          <t>2018-12-11 17:34:40</t>
        </is>
      </c>
      <c r="H5788" t="inlineStr">
        <is>
          <t>Type 1</t>
        </is>
      </c>
    </row>
    <row r="5789">
      <c r="A5789" t="inlineStr">
        <is>
          <t>a5dgqd</t>
        </is>
      </c>
      <c r="B5789" t="inlineStr">
        <is>
          <t>Sunlife with CGM and no pump</t>
        </is>
      </c>
      <c r="C5789" t="inlineStr">
        <is>
          <t>Has anyone had any luck getting this approved.  Great West Life has no problem covering it yet Sunlife won't.  Their apparent "specialist" says it is not covered as you need to have a pump.  Don't qualify for a pump as the highs and lows are too far apart and a CGM would help bring this down to qualify for a pump.  Any suggestions would be welcomed.
&amp;amp;#x200B;</t>
        </is>
      </c>
      <c r="D5789" t="n">
        <v>1</v>
      </c>
      <c r="E5789" t="n">
        <v>4</v>
      </c>
      <c r="F5789">
        <f>HYPERLINK("https://www.reddit.com/r/diabetes/comments/a5dgqd/sunlife_with_cgm_and_no_pump/")</f>
        <v/>
      </c>
      <c r="G5789" t="inlineStr">
        <is>
          <t>2018-12-11 17:43:22</t>
        </is>
      </c>
      <c r="H5789" t="inlineStr">
        <is>
          <t>Type 1</t>
        </is>
      </c>
    </row>
    <row r="5790">
      <c r="A5790" t="inlineStr">
        <is>
          <t>a5dhf0</t>
        </is>
      </c>
      <c r="B5790" t="inlineStr">
        <is>
          <t>new diagnosis question</t>
        </is>
      </c>
      <c r="C5790" t="inlineStr">
        <is>
          <t>i was diagnosed t2 and put on metformin 500mg (to increase to 1000 when tummy is stable) 3 days ago. I dont really want to sound like im in denial, but i have some doubts about my diagnosis.
my doc has been telling me i am pre D for a few years. I am a HEAVY alcoholic. ive been drinking like a frat boy since i was 19, i am now 41. when i got bad with my habit, i would drink a fifth of vodka with 2 liter soda every night fri and sat. I would give myself a few days break and start drinking again on thurs. Rinse and repeat. when i was due for blood work i would abstain for a few days, drink LOTS of water and My a1cs were always in the low 6 range. i started keto, just so i could have my alcohol and maintain my a1c and weight.
well this has progressed, i started binge eating high carbs, and drinking heavy EVERY NIGHT. i gained over 20 lbs. i unexpectedly got sick and had to see the doc, i didnt have time to do my normal abstain/detox before the bloodwork. he called the next day saying my glucose was 9.9, high cholesterol, bad liver enzymes. i have been on a 3 month binge. i was still hungover when they took the blood and i was so dehydrated that they had a hard time even drawing it. i never disclosed my drinking habits.
i got the wake up call that i needed. i have dedicated my life to sobriety and health. i havent drank in 5 days. now, when i first used my meter, my glucose was 206, 160+ throughout the day. the next day they were slightly lower. i started the 500mg metformin. the next day even lower numbers. 
my average for the last 3 days is 156. I learned that i would have avg constantly over 200 to warrant a 9.9 a1c. My question is could my unhealthy binge have caused such a high ac1? im sure a non D would have elevated numbers with poor diet and heavy alcohol consumption.
im hoping my numbers can come down with the metformin, but what are my chances of rebound?</t>
        </is>
      </c>
      <c r="D5790" t="n">
        <v>1</v>
      </c>
      <c r="E5790" t="n">
        <v>1</v>
      </c>
      <c r="F5790">
        <f>HYPERLINK("https://www.reddit.com/r/diabetes/comments/a5dhf0/new_diagnosis_question/")</f>
        <v/>
      </c>
      <c r="G5790" t="inlineStr">
        <is>
          <t>2018-12-11 17:45:39</t>
        </is>
      </c>
      <c r="H5790" t="inlineStr">
        <is>
          <t>Type 2</t>
        </is>
      </c>
    </row>
    <row r="5791">
      <c r="A5791" t="inlineStr">
        <is>
          <t>a5e519</t>
        </is>
      </c>
      <c r="B5791" t="inlineStr">
        <is>
          <t>Dealing with cortisone injections</t>
        </is>
      </c>
      <c r="C5791" t="inlineStr">
        <is>
          <t>I am a T2 currently using Invokamet and Victoza for blood sugar control.   I have been having back issues and my doctor has recommended that I receive an epidural cortisone injection to relieve pain and numbness in my back and right leg.   I've been trying to get a hold of my endocrinologist to learn how I should deal with the increase in BG resulting from the cortisone shot, but she has not returned my calls.   I am getting my injection tomorrow and I am unsure about how to deal with the BG spike that the cortisone will create.   Does anyone have experience dealing with this issue?
&amp;amp;#x200B;
Thanks in advance for any help/advice.</t>
        </is>
      </c>
      <c r="D5791" t="n">
        <v>1</v>
      </c>
      <c r="E5791" t="n">
        <v>1</v>
      </c>
      <c r="F5791">
        <f>HYPERLINK("https://www.reddit.com/r/diabetes/comments/a5e519/dealing_with_cortisone_injections/")</f>
        <v/>
      </c>
      <c r="G5791" t="inlineStr">
        <is>
          <t>2018-12-11 19:07:25</t>
        </is>
      </c>
      <c r="H5791" t="inlineStr">
        <is>
          <t>Type 2</t>
        </is>
      </c>
    </row>
    <row r="5792">
      <c r="A5792" t="inlineStr">
        <is>
          <t>a5f0x4</t>
        </is>
      </c>
      <c r="B5792" t="inlineStr">
        <is>
          <t>How to care for diabetic partner in case of emergency?</t>
        </is>
      </c>
      <c r="C5792" t="inlineStr">
        <is>
          <t>So, I'm dating someone who has T1D. I have lurked this subreddit and several medical websites for a while now to learn as much as I can about T1D itself, and the feelings and experiences of those who have it. I wanted to understand what my parter goes through as much as I possibly can. Partly because I don't want to accidentally say something ignorant and annoying to them, but mostly because I want/need to know how to handle any situation if anything ever happens to them. And honestly, with how insanely forgetful they are with their Diabetes, I fear something is going to eventually happen. 
Anyways, I want to ask for advice on what to do in any given emergency situation. I can only trust Google so much, and it doesn't help much with caring for someone else and not personal T1D care. I'm too chicken shit to ask them myself because I don't want to be overbearing, and they get enough crap from their parents daily. (Even if wanting to know how to save their life isn't the most annoyingly overprotective thing I can think of doing)
I guess one thing I want to know, is each case of T1D so personal that I wouldn't be able to ask anyone other than my partner how to care for them? Is there anything you guys could tell me to help me know what to do if they get too low/high? Say they appear to show signs of DKA, other than taking them to the hospital, is there anything I can do? How do I use an insulin pen or glucagon? What if my partner loses consciousness from a low? Other than taking them to the hospital, can I help at all?</t>
        </is>
      </c>
      <c r="D5792" t="n">
        <v>1</v>
      </c>
      <c r="E5792" t="n">
        <v>9</v>
      </c>
      <c r="F5792">
        <f>HYPERLINK("https://www.reddit.com/r/diabetes/comments/a5f0x4/how_to_care_for_diabetic_partner_in_case_of/")</f>
        <v/>
      </c>
      <c r="G5792" t="inlineStr">
        <is>
          <t>2018-12-11 21:04:35</t>
        </is>
      </c>
      <c r="H5792" t="inlineStr">
        <is>
          <t>Type 1</t>
        </is>
      </c>
    </row>
    <row r="5793">
      <c r="A5793" t="inlineStr">
        <is>
          <t>a5i36v</t>
        </is>
      </c>
      <c r="B5793" t="inlineStr">
        <is>
          <t>Question to all you insulin sensitive T1 thin people</t>
        </is>
      </c>
      <c r="C5793" t="inlineStr">
        <is>
          <t>Hi friends
I was diagnosed on June 2016 with T1 as a 26 year old.  Weighing 65 kg and measure 180 cm. (Ballad of) a thin man.
These days I sadly feel as if my honeymoon phase is ending soon, and realizing staying in normal glucose levels will get harder from now on. 
My question to you is; What life style gets you to the minimum amount of insulin you have to use?
My definition of "Life style" can be as general as you can imagine it.
Appreciate your replies already
Love
Nadav
&amp;amp;#x200B;</t>
        </is>
      </c>
      <c r="D5793" t="n">
        <v>1</v>
      </c>
      <c r="E5793" t="n">
        <v>28</v>
      </c>
      <c r="F5793">
        <f>HYPERLINK("https://www.reddit.com/r/diabetes/comments/a5i36v/question_to_all_you_insulin_sensitive_t1_thin/")</f>
        <v/>
      </c>
      <c r="G5793" t="inlineStr">
        <is>
          <t>2018-12-12 05:22:26</t>
        </is>
      </c>
      <c r="H5793" t="inlineStr">
        <is>
          <t>Type 1</t>
        </is>
      </c>
    </row>
    <row r="5794">
      <c r="A5794" t="inlineStr">
        <is>
          <t>a5j3xm</t>
        </is>
      </c>
      <c r="B5794" t="inlineStr">
        <is>
          <t>Switching Phones as Receiver for Dexcom G6</t>
        </is>
      </c>
      <c r="C5794" t="inlineStr">
        <is>
          <t xml:space="preserve">Hello r/diabetes,
My old iPhone 6s has been behaving erratically, so I decided to upgrade to an XR last night. I'm on day five of my current G6 sensor, but was wondering if it is possible to switch from the 6s to the XR without interrupting the sensor. Has anyone done this and if so, how? 
Thanks y'all. </t>
        </is>
      </c>
      <c r="D5794" t="n">
        <v>1</v>
      </c>
      <c r="E5794" t="n">
        <v>4</v>
      </c>
      <c r="F5794">
        <f>HYPERLINK("https://www.reddit.com/r/diabetes/comments/a5j3xm/switching_phones_as_receiver_for_dexcom_g6/")</f>
        <v/>
      </c>
      <c r="G5794" t="inlineStr">
        <is>
          <t>2018-12-12 07:27:44</t>
        </is>
      </c>
      <c r="H5794" t="inlineStr">
        <is>
          <t>Type 1</t>
        </is>
      </c>
    </row>
    <row r="5795">
      <c r="A5795" t="inlineStr">
        <is>
          <t>a5jh1g</t>
        </is>
      </c>
      <c r="B5795" t="inlineStr">
        <is>
          <t>Question about Creatine and Protein Supplements</t>
        </is>
      </c>
      <c r="C5795" t="inlineStr">
        <is>
          <t>I was diagnosed with T2 Diabetes about 3 months ago. Ever since I've made huge changes to my lifestyle by eating healthy and working out at least 5 days a week. My workouts include 30 minutes of cardio and about 1hr of weight lifting. I'm also using 12 units of slow released insulin per day. My sugar levels seem to be under control and resemble the sugar levels of a non diabetic person. I'm now waiting of my A1C levels to go down as well, since according to my doctor it takes a few months for it to go down. 
&amp;amp;#x200B;
I would like to add some supplements to my diet, but I'm not sure if they're safe. I've been researching about creatine and have found mixed data. Some claim it can be harmful for the kidneys and since diabetes is already a risk factor for the kidneys it should not be consumed by diabetics. Other articles say that creatine can be beneficial for diabetics as it helps transport glucose into the cells and can help control A1C levels. Those articles also claim that it is not true that it can be harmful for the kidneys.
&amp;amp;#x200B;
About protein supplements, I've read that they're apparently safe. Of course I would go with a sugar free, zero carbs option.
Does anyone here have any experience with supplements? Any help would be really appreciated.</t>
        </is>
      </c>
      <c r="D5795" t="n">
        <v>1</v>
      </c>
      <c r="E5795" t="n">
        <v>3</v>
      </c>
      <c r="F5795">
        <f>HYPERLINK("https://www.reddit.com/r/diabetes/comments/a5jh1g/question_about_creatine_and_protein_supplements/")</f>
        <v/>
      </c>
      <c r="G5795" t="inlineStr">
        <is>
          <t>2018-12-12 08:07:24</t>
        </is>
      </c>
      <c r="H5795" t="inlineStr">
        <is>
          <t>Type 2</t>
        </is>
      </c>
    </row>
    <row r="5796">
      <c r="A5796" t="inlineStr">
        <is>
          <t>a5knfb</t>
        </is>
      </c>
      <c r="B5796" t="inlineStr">
        <is>
          <t>Two weeks on Januvia</t>
        </is>
      </c>
      <c r="C5796" t="inlineStr">
        <is>
          <t>Been on Januvia for two weeks in addition to 1000mg metformin twice a day.  Didn't see any drop in blood sugar initially but last two days I was at 145.  Roughly a 25% drop.  I've been struggling for quite some time.  Finally got my insurance straightened out and new meds. Januvia is expensive but I will stay on it.</t>
        </is>
      </c>
      <c r="D5796" t="n">
        <v>1</v>
      </c>
      <c r="E5796" t="n">
        <v>0</v>
      </c>
      <c r="F5796">
        <f>HYPERLINK("https://www.reddit.com/r/diabetes/comments/a5knfb/two_weeks_on_januvia/")</f>
        <v/>
      </c>
      <c r="G5796" t="inlineStr">
        <is>
          <t>2018-12-12 10:10:30</t>
        </is>
      </c>
      <c r="H5796" t="inlineStr">
        <is>
          <t>Type 2</t>
        </is>
      </c>
    </row>
    <row r="5797">
      <c r="A5797" t="inlineStr">
        <is>
          <t>a5lk9g</t>
        </is>
      </c>
      <c r="B5797" t="inlineStr">
        <is>
          <t>Upfront Bolus (Extended Bolus) vs. Regular Bolus</t>
        </is>
      </c>
      <c r="C5797" t="inlineStr">
        <is>
          <t>I was wondering if there's any different in the insulin you receive upfront when you do an extended bolus vs. performing a regular bolus. Does the upfront bolus from an extended bolus get released all at once quicker? Is the insulin from a regular bolus released all at once?
&amp;amp;#x200B;
My endo said that the insulin from a regular bolus still gets released over a period of time rather than all at once, whereas the insulin from bolusing upfront in an extended bolus gets released quicker…
&amp;amp;#x200B;
Thanks!</t>
        </is>
      </c>
      <c r="D5797" t="n">
        <v>1</v>
      </c>
      <c r="E5797" t="n">
        <v>0</v>
      </c>
      <c r="F5797">
        <f>HYPERLINK("https://www.reddit.com/r/diabetes/comments/a5lk9g/upfront_bolus_extended_bolus_vs_regular_bolus/")</f>
        <v/>
      </c>
      <c r="G5797" t="inlineStr">
        <is>
          <t>2018-12-12 11:44:33</t>
        </is>
      </c>
      <c r="H5797" t="inlineStr">
        <is>
          <t>Type 1</t>
        </is>
      </c>
    </row>
    <row r="5798">
      <c r="A5798" t="inlineStr">
        <is>
          <t>a5lodd</t>
        </is>
      </c>
      <c r="B5798" t="inlineStr">
        <is>
          <t>Upfront Bolus (Extended Bolus) vs. Regular Bolus</t>
        </is>
      </c>
      <c r="C5798" t="inlineStr">
        <is>
          <t>I was wondering if there's any different in the insulin you receive upfront when you do an extended bolus vs. performing a regular bolus. Does the upfront bolus from an extended bolus get released all at once quicker? Is the insulin from a regular bolus released all at once?
My endo said that the insulin from a regular bolus still gets released over a period of time rather than all at once, whereas the insulin from bolusing upfront in an extended bolus gets released quicker…</t>
        </is>
      </c>
      <c r="D5798" t="n">
        <v>1</v>
      </c>
      <c r="E5798" t="n">
        <v>1</v>
      </c>
      <c r="F5798">
        <f>HYPERLINK("https://www.reddit.com/r/diabetes/comments/a5lodd/upfront_bolus_extended_bolus_vs_regular_bolus/")</f>
        <v/>
      </c>
      <c r="G5798" t="inlineStr">
        <is>
          <t>2018-12-12 11:57:01</t>
        </is>
      </c>
      <c r="H5798" t="inlineStr">
        <is>
          <t>Type 1</t>
        </is>
      </c>
    </row>
    <row r="5799">
      <c r="A5799" t="inlineStr">
        <is>
          <t>a5sbyf</t>
        </is>
      </c>
      <c r="B5799" t="inlineStr">
        <is>
          <t>School day planning for a little with T1D - Ideas Needed</t>
        </is>
      </c>
      <c r="C5799" t="inlineStr">
        <is>
          <t xml:space="preserve"> A pattern I've noticed is that my kiddo is dipping below 80 at lunch time 11:30, right before he eats. His nurse at school and I agreed to start doing his insulin after his meal, just so the insulin doesn't start making him drop even lower before his lunch carbs kick in. This is generally 4-5 hours after he has breakfast. He checks in with the school nurse every morning at 9 a.m. this could be a possibility for like a 5g snack? But he is generally still high or rising at the time.  
At 2 p.m and 4:15 he has snack, and generally these have been super low carb, meat and cheese, and then he starts dipping below 80 again around 5 p.m. His 2 p.m. snack is in his class and the school nurse (who is amazing) is available to do his carb coverage if needed. I am just looking for some ideas for snacks that hopefully won't give him a HUGE spike and fall and get him through.  
The 4:15 snack is with his after school daycare program, and I've run into issues with them not following his health plan, so I'd like avoid them having to administer insulin for carb coverage as much as possible. Since October they've twice refused to let him have snacks with carbs  becuase they felt his glucose was "too high." </t>
        </is>
      </c>
      <c r="D5799" t="n">
        <v>1</v>
      </c>
      <c r="E5799" t="n">
        <v>9</v>
      </c>
      <c r="F5799">
        <f>HYPERLINK("https://www.reddit.com/r/diabetes/comments/a5sbyf/school_day_planning_for_a_little_with_t1d_ideas/")</f>
        <v/>
      </c>
      <c r="G5799" t="inlineStr">
        <is>
          <t>2018-12-13 02:25:08</t>
        </is>
      </c>
      <c r="H5799" t="inlineStr">
        <is>
          <t>Type 1</t>
        </is>
      </c>
    </row>
    <row r="5800">
      <c r="A5800" t="inlineStr">
        <is>
          <t>a5ux4v</t>
        </is>
      </c>
      <c r="B5800" t="inlineStr">
        <is>
          <t>Worried... My doctor told me that some people have T1D complications no matter what they do- due to genetics.</t>
        </is>
      </c>
      <c r="C5800" t="inlineStr">
        <is>
          <t>I was diagnosed 1.5 yrs ago and I have to say I’m very worried about future complications or anything like that. It’s very scary to look at what diabetes can do to you in the future so I try to have it under control as much as possible. Well, my doctor told me this week I’ve been doing a good job but that some people have complications no matter how good their management is. This got me very worried and frustrated... does anyone if this is true? I wanna believe her, but I found nothing on literature that supports this statement. It frustrates me to know that no matter what I do I may still have future complications from this. Then what’s the point in sacrificing so much time and effort to this disease if it may be a losing battle from the start? :((
Sorry for this depressing long post. Just wanted to hear some thoughts on this and hopefully some new and positive perspective to the way I’m thinking this.</t>
        </is>
      </c>
      <c r="D5800" t="n">
        <v>1</v>
      </c>
      <c r="E5800" t="n">
        <v>10</v>
      </c>
      <c r="F5800">
        <f>HYPERLINK("https://www.reddit.com/r/diabetes/comments/a5ux4v/worried_my_doctor_told_me_that_some_people_have/")</f>
        <v/>
      </c>
      <c r="G5800" t="inlineStr">
        <is>
          <t>2018-12-13 08:18:10</t>
        </is>
      </c>
      <c r="H5800" t="inlineStr">
        <is>
          <t>Type 1</t>
        </is>
      </c>
    </row>
    <row r="5801">
      <c r="A5801" t="inlineStr">
        <is>
          <t>a5ygk2</t>
        </is>
      </c>
      <c r="B5801" t="inlineStr">
        <is>
          <t>Does the dexcom transmitter expire early?</t>
        </is>
      </c>
      <c r="C5801" t="inlineStr">
        <is>
          <t>if you re-start your sensor? Mine wasn't supposed to expire until the 21st, but I just had to restart my sensor, and now it's saying "transmitter expired, please replace now." But I'm confused because when I clear that alarm, it then gives me a "low transmitter battery- please replace soon" alert. Is this a common, known thing, or should I call customer support?</t>
        </is>
      </c>
      <c r="D5801" t="n">
        <v>1</v>
      </c>
      <c r="E5801" t="n">
        <v>7</v>
      </c>
      <c r="F5801">
        <f>HYPERLINK("https://www.reddit.com/r/diabetes/comments/a5ygk2/does_the_dexcom_transmitter_expire_early/")</f>
        <v/>
      </c>
      <c r="G5801" t="inlineStr">
        <is>
          <t>2018-12-13 14:27:12</t>
        </is>
      </c>
      <c r="H5801" t="inlineStr">
        <is>
          <t>Type 1</t>
        </is>
      </c>
    </row>
    <row r="5802">
      <c r="A5802" t="inlineStr">
        <is>
          <t>a5yktk</t>
        </is>
      </c>
      <c r="B5802" t="inlineStr">
        <is>
          <t>What is the reason behind slow effect of insulin ?</t>
        </is>
      </c>
      <c r="C5802" t="inlineStr">
        <is>
          <t xml:space="preserve">Hello,
&amp;amp;#x200B;
 I have problem with slow reactions to insulin bolus. 
For example I have even tried bolusing 1 hours before breakfast and somehow after 45 minutes my blood sugar started to go down (so yeah I thought finally insulin kicked in) so I ate breakfast and my blood sugar is now in uncontrolled rise and in 30 minutes I am really in high numbers. I have decided to not add any additional units because I have not eaten much, well after another hours suddenly insulin starts to kick in again and my blood sugar now goes uncontrolled down to low numbers so yeah I have to eaten something to get back to normal, but I usually end up eating more then needed so after another 30 minutes my blood sugar goes up to high numbers .. well I added additional bolus 3 units of insulin and such a surprise but it has no effect, my blood sugar in 30 minutes is even higher ... only like after half and hours it stops rising , then is steady for few minutes and after 2hours +- it starts to go uncontrolled down... so yeah I am always in this up and down waves and I am not able to get out of them... 
&amp;amp;#x200B;
What is reason behind insulin not kicking in immediately but after 2 hours???? I am using humalog which should be fast acting but it really is not. </t>
        </is>
      </c>
      <c r="D5802" t="n">
        <v>1</v>
      </c>
      <c r="E5802" t="n">
        <v>3</v>
      </c>
      <c r="F5802">
        <f>HYPERLINK("https://www.reddit.com/r/diabetes/comments/a5yktk/what_is_the_reason_behind_slow_effect_of_insulin/")</f>
        <v/>
      </c>
      <c r="G5802" t="inlineStr">
        <is>
          <t>2018-12-13 14:40:09</t>
        </is>
      </c>
      <c r="H5802" t="inlineStr">
        <is>
          <t>Type 1</t>
        </is>
      </c>
    </row>
    <row r="5803">
      <c r="A5803" t="inlineStr">
        <is>
          <t>a65hpt</t>
        </is>
      </c>
      <c r="B5803" t="inlineStr">
        <is>
          <t>regular glucophage vs glucophage XR.</t>
        </is>
      </c>
      <c r="C5803" t="inlineStr">
        <is>
          <t>Hi. I'm taking two Glucophage 1000 XR pills a day. One is in the morning and one is in the evening. The doctor prescribed the normal pill, which I used for a week, but my pharmacist switched me to the XR version as it was easier on my body. If I take the regular pill, I feel some tiredness and a stomachache.
I was diagnosed at 300 and the pills took me down in two months somewhere between 140 and 160. If I exercise, it quickly goes down to low 90s which I'll eventually start doing regularly. I also cut down all bread, corn, street food, and rice from my diet. I only eat meats, vegetables, cheese, and roasted nuts.
So my question for now is: Which variant is more effective if I only eat at specific times a day?</t>
        </is>
      </c>
      <c r="D5803" t="n">
        <v>1</v>
      </c>
      <c r="E5803" t="n">
        <v>2</v>
      </c>
      <c r="F5803">
        <f>HYPERLINK("https://www.reddit.com/r/diabetes/comments/a65hpt/regular_glucophage_vs_glucophage_xr/")</f>
        <v/>
      </c>
      <c r="G5803" t="inlineStr">
        <is>
          <t>2018-12-14 06:56:36</t>
        </is>
      </c>
      <c r="H5803" t="inlineStr">
        <is>
          <t>Type 2</t>
        </is>
      </c>
    </row>
    <row r="5804">
      <c r="A5804" t="inlineStr">
        <is>
          <t>a69szx</t>
        </is>
      </c>
      <c r="B5804" t="inlineStr">
        <is>
          <t>diaTribe Learn - SO useful! and can now enter to win an apple watch</t>
        </is>
      </c>
      <c r="C5804" t="inlineStr">
        <is>
          <t>When I was diagnosed with Type 2 diabetes , I found diaTribe learn ([https://diatribe.org/](https://diatribe.org/)) to be EXTREMELY useful in helping me to reverse my diabetes within 45 days.  I also lost 45 lbs in the course of 6 months.
If you need help with living well with your diabetes, register to join the site today using this page ([https://info.diatribe.org/applewatch/](https://info.diatribe.org/applewatch/)) - and you will be entered to win a free Apple Watch Series 4.  Very cool.</t>
        </is>
      </c>
      <c r="D5804" t="n">
        <v>1</v>
      </c>
      <c r="E5804" t="n">
        <v>1</v>
      </c>
      <c r="F5804">
        <f>HYPERLINK("https://www.reddit.com/r/diabetes/comments/a69szx/diatribe_learn_so_useful_and_can_now_enter_to_win/")</f>
        <v/>
      </c>
      <c r="G5804" t="inlineStr">
        <is>
          <t>2018-12-14 14:53:05</t>
        </is>
      </c>
      <c r="H5804" t="inlineStr">
        <is>
          <t>Type 2</t>
        </is>
      </c>
    </row>
    <row r="5805">
      <c r="A5805" t="inlineStr">
        <is>
          <t>a6adoj</t>
        </is>
      </c>
      <c r="B5805" t="inlineStr">
        <is>
          <t>Low blood sugar overnight after a workout</t>
        </is>
      </c>
      <c r="C5805" t="inlineStr">
        <is>
          <t>Anyone else experience this? I only notice this on days I do weight training.  This is even when I don't have any insulin on board.  I've had to cut my basal rates by half on these days overnight.  And I have to vary it based on my sleep schedule.</t>
        </is>
      </c>
      <c r="D5805" t="n">
        <v>1</v>
      </c>
      <c r="E5805" t="n">
        <v>2</v>
      </c>
      <c r="F5805">
        <f>HYPERLINK("https://www.reddit.com/r/diabetes/comments/a6adoj/low_blood_sugar_overnight_after_a_workout/")</f>
        <v/>
      </c>
      <c r="G5805" t="inlineStr">
        <is>
          <t>2018-12-14 16:05:39</t>
        </is>
      </c>
      <c r="H5805" t="inlineStr">
        <is>
          <t>Type 1</t>
        </is>
      </c>
    </row>
    <row r="5806">
      <c r="A5806" t="inlineStr">
        <is>
          <t>a6be13</t>
        </is>
      </c>
      <c r="B5806" t="inlineStr">
        <is>
          <t>What app do you use with battery-replaced transmitters?</t>
        </is>
      </c>
      <c r="C5806" t="inlineStr">
        <is>
          <t>I'm interested in replacing the battery in my g5. for those who have done this, do you have to use a particular app as the receiver after you do that? I currently use my t-slim as my receiver, so I'm clueless about the apps. can you still use the t-slim as the receiver?</t>
        </is>
      </c>
      <c r="D5806" t="n">
        <v>1</v>
      </c>
      <c r="E5806" t="n">
        <v>8</v>
      </c>
      <c r="F5806">
        <f>HYPERLINK("https://www.reddit.com/r/diabetes/comments/a6be13/what_app_do_you_use_with_batteryreplaced/")</f>
        <v/>
      </c>
      <c r="G5806" t="inlineStr">
        <is>
          <t>2018-12-14 18:21:20</t>
        </is>
      </c>
      <c r="H5806" t="inlineStr">
        <is>
          <t>Type 1</t>
        </is>
      </c>
    </row>
    <row r="5807">
      <c r="A5807" t="inlineStr">
        <is>
          <t>a6bl8t</t>
        </is>
      </c>
      <c r="B5807" t="inlineStr">
        <is>
          <t>Why does stuff like this always happen at the worst possible times?!?!?!</t>
        </is>
      </c>
      <c r="C5807" t="inlineStr">
        <is>
          <t>When your Dexcom sensor fails 3 days early, so you angrily rip it off when you get home and put on a new one, only for that new one to get stuck on the applicator! So you rip off the one that got stuck and put on the last sensor you have! And you already called your Dexcom distributor but got put on a callback list! And since it's the holidays you don't even know if your new sensors will get to your house before (a) you go back to school in January or (b) your next sensor fails!</t>
        </is>
      </c>
      <c r="D5807" t="n">
        <v>1</v>
      </c>
      <c r="E5807" t="n">
        <v>5</v>
      </c>
      <c r="F5807">
        <f>HYPERLINK("https://www.reddit.com/r/diabetes/comments/a6bl8t/why_does_stuff_like_this_always_happen_at_the/")</f>
        <v/>
      </c>
      <c r="G5807" t="inlineStr">
        <is>
          <t>2018-12-14 18:49:28</t>
        </is>
      </c>
      <c r="H5807" t="inlineStr">
        <is>
          <t>Type 1</t>
        </is>
      </c>
    </row>
    <row r="5808">
      <c r="A5808" t="inlineStr">
        <is>
          <t>a6jt5b</t>
        </is>
      </c>
      <c r="B5808" t="inlineStr">
        <is>
          <t>Have any of you had a hypoglycemic attack that completely embarrassed you?</t>
        </is>
      </c>
      <c r="C5808" t="inlineStr">
        <is>
          <t>I just had one at work yesterday and I can't rid the feeling. Hoping to hear other stories to feel like I'm not alone, thank you in advance.</t>
        </is>
      </c>
      <c r="D5808" t="n">
        <v>1</v>
      </c>
      <c r="E5808" t="n">
        <v>70</v>
      </c>
      <c r="F5808">
        <f>HYPERLINK("https://www.reddit.com/r/diabetes/comments/a6jt5b/have_any_of_you_had_a_hypoglycemic_attack_that/")</f>
        <v/>
      </c>
      <c r="G5808" t="inlineStr">
        <is>
          <t>2018-12-15 15:00:55</t>
        </is>
      </c>
      <c r="H5808" t="inlineStr">
        <is>
          <t>Type 1</t>
        </is>
      </c>
    </row>
    <row r="5809">
      <c r="A5809" t="inlineStr">
        <is>
          <t>a6ln52</t>
        </is>
      </c>
      <c r="B5809" t="inlineStr">
        <is>
          <t>looking for a pump no insurance</t>
        </is>
      </c>
      <c r="C5809" t="inlineStr">
        <is>
          <t>Hi, i,m recently diagnosed 1.5 lada with no insurance looking for a insulin pump.....</t>
        </is>
      </c>
      <c r="D5809" t="n">
        <v>1</v>
      </c>
      <c r="E5809" t="n">
        <v>5</v>
      </c>
      <c r="F5809">
        <f>HYPERLINK("https://www.reddit.com/r/diabetes/comments/a6ln52/looking_for_a_pump_no_insurance/")</f>
        <v/>
      </c>
      <c r="G5809" t="inlineStr">
        <is>
          <t>2018-12-15 19:04:07</t>
        </is>
      </c>
      <c r="H5809" t="inlineStr">
        <is>
          <t>Type 1</t>
        </is>
      </c>
    </row>
    <row r="5810">
      <c r="A5810" t="inlineStr">
        <is>
          <t>a71ir5</t>
        </is>
      </c>
      <c r="B5810" t="inlineStr">
        <is>
          <t>Looking for some scary reading materials.</t>
        </is>
      </c>
      <c r="C5810" t="inlineStr">
        <is>
          <t>Anyone have any noteworthy studies / articles on the long-term effects of mildly high A1Cs? So, not really scary, but more motivational.
Been T1 for about 22 years now. I’ve been averaging an A1C around 8 for the past few years and I’ve believed that to be reasonable and “good enough.” Recently, I saw another post where someone mentioned 7.8 was the magic number to be below before studies have shown long-term effects taking place.
I’d like to read those. I believe knowing the implications of actions to be the greatest motivator for me. I’d love to hone in my numbers and shave a few points down, but I think having this disease for so long has numbed me to get comfortable with “good enough.”
I’ll get the campfire going, bring out some of your favorites-</t>
        </is>
      </c>
      <c r="D5810" t="n">
        <v>1</v>
      </c>
      <c r="E5810" t="n">
        <v>12</v>
      </c>
      <c r="F5810">
        <f>HYPERLINK("https://www.reddit.com/r/diabetes/comments/a71ir5/looking_for_some_scary_reading_materials/")</f>
        <v/>
      </c>
      <c r="G5810" t="inlineStr">
        <is>
          <t>2018-12-17 08:54:32</t>
        </is>
      </c>
      <c r="H5810" t="inlineStr">
        <is>
          <t>Type 1</t>
        </is>
      </c>
    </row>
    <row r="5811">
      <c r="A5811" t="inlineStr">
        <is>
          <t>a74m5k</t>
        </is>
      </c>
      <c r="B5811" t="inlineStr">
        <is>
          <t>Am i the only one who blood sugar doesn’t drop after an exercise?</t>
        </is>
      </c>
      <c r="C5811" t="inlineStr">
        <is>
          <t xml:space="preserve">Really tho it NEVER drops after an exercise, if anything it usually rises 🤷🏾‍♂️. I do intense weightlifting and moderate cardio. Just thought it was weird </t>
        </is>
      </c>
      <c r="D5811" t="n">
        <v>1</v>
      </c>
      <c r="E5811" t="n">
        <v>6</v>
      </c>
      <c r="F5811">
        <f>HYPERLINK("https://www.reddit.com/r/diabetes/comments/a74m5k/am_i_the_only_one_who_blood_sugar_doesnt_drop/")</f>
        <v/>
      </c>
      <c r="G5811" t="inlineStr">
        <is>
          <t>2018-12-17 14:17:14</t>
        </is>
      </c>
      <c r="H5811" t="inlineStr">
        <is>
          <t>Type 1</t>
        </is>
      </c>
    </row>
    <row r="5812">
      <c r="A5812" t="inlineStr">
        <is>
          <t>a76crc</t>
        </is>
      </c>
      <c r="B5812" t="inlineStr">
        <is>
          <t>Feeling good about myself and want to brag</t>
        </is>
      </c>
      <c r="C5812" t="inlineStr">
        <is>
          <t>So I was diagnosed T2 in Late April 2015 at 31 years old. When I was diagnosed my blood sugar at the test was a 23 and A1c was 11.9. a few months later it was discovered that I had fluid in both my eyes damaging my vision. I was scared shitless. My dad was diagnosed at 33 and he is now 62 and at the time I was diagnosed he was nearly blind and I was terrified I would also go blind.  Going  to the eye specialist was scary as hell. Lying there and having him jab a needle in my eye and having to go back every month for the first bit and then spaced out was again scary and nerve racking. My main doctor had me on 2 gicazide and 3 metformin which put my A1c in a steady 5.4 which made me quite happy but a new doctor then dropped my gicazide to 1 and told me I should not have A1c in the 5's but the 6's. I have since late 2016 I have had a1c's in the low-mid 6's, with some med adjustment of now 1 gicazide, 1 jaridance and 2 metformin. I have been fluid free in my right eye since mid 2016 and fluid free in the left eye since early 2017 surpriseing the eye doctor. I now only have to see my eye doctor for follow up every six months and my main doctor said I only have to see him every 6 instead of 3 months because I'm doing so well! I know this is just a small win in a life long war but I'm feeling pretty good!</t>
        </is>
      </c>
      <c r="D5812" t="n">
        <v>1</v>
      </c>
      <c r="E5812" t="n">
        <v>6</v>
      </c>
      <c r="F5812">
        <f>HYPERLINK("https://www.reddit.com/r/diabetes/comments/a76crc/feeling_good_about_myself_and_want_to_brag/")</f>
        <v/>
      </c>
      <c r="G5812" t="inlineStr">
        <is>
          <t>2018-12-17 17:39:51</t>
        </is>
      </c>
      <c r="H5812" t="inlineStr">
        <is>
          <t>Type 2</t>
        </is>
      </c>
    </row>
    <row r="5813">
      <c r="A5813" t="inlineStr">
        <is>
          <t>a76qlp</t>
        </is>
      </c>
      <c r="B5813" t="inlineStr">
        <is>
          <t>Smart CGMs: Revolutionising diabetic care and management</t>
        </is>
      </c>
      <c r="C5813" t="inlineStr">
        <is>
          <t>India currently represents 20 per cent of the world’s diabetic  patients with an estimated[ 72 million cases](http://reports.instantatlas.com/report/view/846e76122b5f476fa6ef09471965aedd/IND?clear=true) in 2017, a figure expected to almost double to 134 million by 2025. Diabetes prevalence has increased by 64 per cent across India over the past 25 years, according to a [report](http://www.healthdata.org/sites/default/files/files/2017_India_State-Level_Disease_Burden_Initiative_-_Full_Report%5B1%5D.pdf) published by the Indian Council for Medical Research and Institute for Health Metrics and Evaluation. Rising incomes, sedentary lifestyles and excessive consumption of high calorific (fast) food are said to be some of the leading causes of diabetes.
So what is diabetes? It is a condition where people have too much glucose (sugar) in their blood. Glucose is required to give us energy to carry on our day-to-day activities. We produce glucose when our bodies break down the carbohydrates we eat or drink into our blood stream. But we also need a hormone called insulin made by our pancreas to make it possible for the glucose in our blood to enter our cells and fuel our bodies. If you don’t have diabetes, your pancreas will be able to sense when glucose has entered your bloodstream and release the right amount of insulin for the glucose to enter your cells.  But if you have diabetes, this system will not work.
While medicines are available to control the condition, medical technology has also evolved to help people manage their diabetes better, so that they continue to live a healthy and fulfilling life. 
The traditional course of treatment has been through blood tests at hospitals and taking oral medication or insulin shots as prescribed by the doctor. The next step of medical evolution was where patients could check their glucose levels themselves, without visiting the hospital. All they had to do was prick their finger for one drop of blood, place it on a disposable test strip connected to a Digital meter and they would be able to see their glucose level immediately. This is still the cheapest and most popular method of monitoring blood glucose.
A further evolution has been the use of minimal invasive technology for glucose monitoring. Here, the patient gets a glucose sensor inserted into his/her skin (a one time activity) like Abbott's FreeStyle Libre Pro. During each consultation, the doctor scans the sensor’s Near Field Communication (NFC) tags with a Reader to view the glucose readings  of the patient and treat him accordingly. This system eliminates the need to prick the patient’s finger each time for blood sample and glucose readings. However, it is also expensive as the patient is charged for each scan done at the hospital.
A complete revolution in diabetic care and management, however, has been the emergence of Continuous Glucose Monitoring (CGM) Systems. As the name suggests, CGM systems enable continuous monitoring of the patient’s blood glucose (day and night) resulting in more accurate diagnosis and treatment. This kind of system is a boon to doctors as they offer historical data on fluctuations in a patient’s blood glucose over weeks and months as opposed to the earlier system of capturing readings over a specific/limited duration. Also, if linked with an insulin pump, the patient can get a steady doze of insulin injected into his bloodstream, automatically adjusted to his reading.
While there are several CGMs available in the market today like Dexcom, Medtronic, one CGM system that has clearly differentiated itself is NightRider BluCon from Ambrosia Systems, California, USA.  Already in use in 100 countries, it is not only easy to use but affordable as well with a host of innovative features. 
NightRider BluCon is an electronic transmitter that works with Abbott  FreeStyle Libre Pro and FreeStyle Libre sensors to send  glucose readings to the patient’s mobile phone  (iPhone and Android) or Smart watch every 5 minutes using a mobile app-- LinkBluCon.  This system has resulted in patients having better control over their glucose, leading to a happier and healthier lifestyle.  
Patients can also record their various activities -- exercise regime, medication, food intake – into LinkBluCon through their  mobile phone. Further, they can share this data along with glucose readings with their  Doctors/Caregivers through a Caregiver app, FollowBluCon. 
With this, doctors not only get a dashboard view of their patient’s glucose levels every few minutes but also activity-related information to  correlate with sudden spikes and falls in glucose levels. This information comes in useful in case they wish to vary the course of treatment for better results.
NightRider BluCon also allows parents of diabetic children to monitor their  child’s  glucose levels anytime and anywhere using the FollowBluCon app on their phone. They no longer have to depend on their child to scan the sensor at periodic intervals or visit the doctor for getting the sensor scanned. With NightRider BluCon, parents can also seamlessly  share their child’s glucose readings with their doctor thereby ensuring  more timely treatment and advice.
Both LinkBluCon and FollowBluCon app are available for free download at App Store and Google Play.
&amp;amp;#x200B;</t>
        </is>
      </c>
      <c r="D5813" t="n">
        <v>1</v>
      </c>
      <c r="E5813" t="n">
        <v>1</v>
      </c>
      <c r="F5813">
        <f>HYPERLINK("https://www.reddit.com/r/diabetes/comments/a76qlp/smart_cgms_revolutionising_diabetic_care_and/")</f>
        <v/>
      </c>
      <c r="G5813" t="inlineStr">
        <is>
          <t>2018-12-17 18:26:09</t>
        </is>
      </c>
      <c r="H5813" t="inlineStr">
        <is>
          <t>Type 1</t>
        </is>
      </c>
    </row>
    <row r="5814">
      <c r="A5814" t="inlineStr">
        <is>
          <t>a78fqy</t>
        </is>
      </c>
      <c r="B5814" t="inlineStr">
        <is>
          <t>Substituting Novolin R for Novalog in an insulin pump?</t>
        </is>
      </c>
      <c r="C5814" t="inlineStr">
        <is>
          <t xml:space="preserve">Hey folks, I'm looking for feedback from fellow insulin pump users. Have you ever used Novolin R in your insulin pump? 
I usually use novalog in my pump. I discovered that my next vial of novalog is going to cost $300 out of pocket. In an effort to avoid highway robbery at the pharmacy, I picked up a vial of novolin r, over the counter, for $25.  
From what I can tell, novolin r's onset, peak, and duration curves are generally similar to the other pumpable short-acting insulins I've used in the past (humalog, novolog). Novolin lasts a few hours longer, and takes a bit longer to kick in, so I'd anticipate needing to adjust my basal rate timing and bolus timing accordingly. 
Besides making the obvious adjustments, I'm curious if there is a major problem with using Novolin R in a pump. I've heard that I may need to change infusion sets more frequently because of build up in the cannula, but I haven't heard of any other major downsides. Novolin was 1/12th the price of the more expensive analog, but is it a good substitute?
</t>
        </is>
      </c>
      <c r="D5814" t="n">
        <v>1</v>
      </c>
      <c r="E5814" t="n">
        <v>4</v>
      </c>
      <c r="F5814">
        <f>HYPERLINK("https://www.reddit.com/r/diabetes/comments/a78fqy/substituting_novolin_r_for_novalog_in_an_insulin/")</f>
        <v/>
      </c>
      <c r="G5814" t="inlineStr">
        <is>
          <t>2018-12-17 22:12:28</t>
        </is>
      </c>
      <c r="H5814" t="inlineStr">
        <is>
          <t>Type 1</t>
        </is>
      </c>
    </row>
    <row r="5815">
      <c r="A5815" t="inlineStr">
        <is>
          <t>a7e0am</t>
        </is>
      </c>
      <c r="B5815" t="inlineStr">
        <is>
          <t>Delayed postprandial spikes</t>
        </is>
      </c>
      <c r="C5815" t="inlineStr">
        <is>
          <t xml:space="preserve">Lately, I've been having a lot of issues with delayed postprandial spikes. I'll take my normal bolus (I usually pre-bolus 15-20 minutes) and eat, my sugar will usually rise a little bit and then plateau, and then about 2 hours after eating it will start skyrocketing out of nowhere. This has been happening with all kinds of foods, not just the traditional suspects like pizza. It's frustrating because I can't think of a good way to determine the correction dose: when it starts going up how high is it going to go? This has resulted in me starting at my CGM and having to give myself several injections to try and get it back down. Does anyone have advice on how to deal with this better?  </t>
        </is>
      </c>
      <c r="D5815" t="n">
        <v>1</v>
      </c>
      <c r="E5815" t="n">
        <v>8</v>
      </c>
      <c r="F5815">
        <f>HYPERLINK("https://www.reddit.com/r/diabetes/comments/a7e0am/delayed_postprandial_spikes/")</f>
        <v/>
      </c>
      <c r="G5815" t="inlineStr">
        <is>
          <t>2018-12-18 10:58:25</t>
        </is>
      </c>
      <c r="H5815" t="inlineStr">
        <is>
          <t>Type 1</t>
        </is>
      </c>
    </row>
    <row r="5816">
      <c r="A5816" t="inlineStr">
        <is>
          <t>a7itwq</t>
        </is>
      </c>
      <c r="B5816" t="inlineStr">
        <is>
          <t>Going low with glipizide!</t>
        </is>
      </c>
      <c r="C5816" t="inlineStr">
        <is>
          <t>Ugh!  I am a Mody 1 that is sensitize to Glipizide which works wonders, but almost too well.  I am taking a 2.5 mg dose at dinner and about 50 % of the time end up at around 50-59 an hour after meals.  Endo has me on 1500 metformin too because she believes it can't hurt.  Wondering if pushing for a XR 2.5 would make more since.  I am her first MODY patient, so I am wondering if she is learning with me.</t>
        </is>
      </c>
      <c r="D5816" t="n">
        <v>1</v>
      </c>
      <c r="E5816" t="n">
        <v>11</v>
      </c>
      <c r="F5816">
        <f>HYPERLINK("https://www.reddit.com/r/diabetes/comments/a7itwq/going_low_with_glipizide/")</f>
        <v/>
      </c>
      <c r="G5816" t="inlineStr">
        <is>
          <t>2018-12-18 19:59:07</t>
        </is>
      </c>
      <c r="H5816" t="inlineStr">
        <is>
          <t>Type 1.5/LADA</t>
        </is>
      </c>
    </row>
    <row r="5817">
      <c r="A5817" t="inlineStr">
        <is>
          <t>a7mp5p</t>
        </is>
      </c>
      <c r="B5817" t="inlineStr">
        <is>
          <t>CHECK the Time on Your Omnipod Regularly.</t>
        </is>
      </c>
      <c r="C5817" t="inlineStr">
        <is>
          <t>So, daughter's Omnipod died and we were sent a replacement.  Since we got it  and we set it up her numbers were crazy.  We were trying everything but she was staying high and rarely went low.
he other day she went in for a checkup and this was discussed.  The doc asked why she was always eating at like 1AM is.
&amp;amp;#x200B;
We had the AM/PM switched around and never noticed.  I am a fairly techy guy and I was ashamed and felt like an idiot.  I guess we got complacent with the automation of it all.  Luckily her A1c was an 8.8.  Not proud, but could have been worse.
&amp;amp;#x200B;
Verify the time on you Omnipod regularly</t>
        </is>
      </c>
      <c r="D5817" t="n">
        <v>1</v>
      </c>
      <c r="E5817" t="n">
        <v>8</v>
      </c>
      <c r="F5817">
        <f>HYPERLINK("https://www.reddit.com/r/diabetes/comments/a7mp5p/check_the_time_on_your_omnipod_regularly/")</f>
        <v/>
      </c>
      <c r="G5817" t="inlineStr">
        <is>
          <t>2018-12-19 06:07:12</t>
        </is>
      </c>
      <c r="H5817" t="inlineStr">
        <is>
          <t>Type 1</t>
        </is>
      </c>
    </row>
    <row r="5818">
      <c r="A5818" t="inlineStr">
        <is>
          <t>a7nchm</t>
        </is>
      </c>
      <c r="B5818" t="inlineStr">
        <is>
          <t>Dexcom G6 bad sensor?</t>
        </is>
      </c>
      <c r="C5818" t="inlineStr">
        <is>
          <t>Hi,
&amp;amp;#x200B;
I've been using the Dexcom G6 for the last few months however I started to notice a trend of it being off by 20 - 100 points when compared to my meter. One morning the alarm went off indicated a "LOW" with double arrows down so I compared with my meter and found I was at 100. More recently I've noticed at I'll hover around 130 (on the dexcom) but when I check with the meter I'm around 150. starting to think it's maybe a bad sensor and wanted to know if anyone else experienced something similar. This of course makes correcting a huge pain b/c the trend also goes the other way. I've seen the notification for something around 200 but I'm actually around 120 and already corrected. It just makes me call into question my "great control."
&amp;amp;#x200B;</t>
        </is>
      </c>
      <c r="D5818" t="n">
        <v>1</v>
      </c>
      <c r="E5818" t="n">
        <v>5</v>
      </c>
      <c r="F5818">
        <f>HYPERLINK("https://www.reddit.com/r/diabetes/comments/a7nchm/dexcom_g6_bad_sensor/")</f>
        <v/>
      </c>
      <c r="G5818" t="inlineStr">
        <is>
          <t>2018-12-19 07:24:02</t>
        </is>
      </c>
      <c r="H5818" t="inlineStr">
        <is>
          <t>Type 1</t>
        </is>
      </c>
    </row>
    <row r="5819">
      <c r="A5819" t="inlineStr">
        <is>
          <t>a7rfn1</t>
        </is>
      </c>
      <c r="B5819" t="inlineStr">
        <is>
          <t>Woo. First G6 restart!</t>
        </is>
      </c>
      <c r="C5819" t="inlineStr">
        <is>
          <t xml:space="preserve">First restart with G6 and my iPhone. Didn’t even lose any data, as it backfilled the two hour warm up with readings after reconnecting. </t>
        </is>
      </c>
      <c r="D5819" t="n">
        <v>1</v>
      </c>
      <c r="E5819" t="n">
        <v>17</v>
      </c>
      <c r="F5819">
        <f>HYPERLINK("https://www.reddit.com/r/diabetes/comments/a7rfn1/woo_first_g6_restart/")</f>
        <v/>
      </c>
      <c r="G5819" t="inlineStr">
        <is>
          <t>2018-12-19 14:38:10</t>
        </is>
      </c>
      <c r="H5819" t="inlineStr">
        <is>
          <t>Type 1</t>
        </is>
      </c>
    </row>
    <row r="5820">
      <c r="A5820" t="inlineStr">
        <is>
          <t>a7sxut</t>
        </is>
      </c>
      <c r="B5820" t="inlineStr">
        <is>
          <t>Recommendations for an Automatic insulin pump fit Type 2</t>
        </is>
      </c>
      <c r="C5820" t="inlineStr">
        <is>
          <t xml:space="preserve">I recently started using the Dexcom G6 to monitor my sugar readings (it’s amazing).
I am a Type 2 and take long acting and fast acting insulin daily.
I now want to to see if the technology of automated insulin pumps is reliable enough to use?
Can anyone please recommend the best automatic insulin pump and it’s main pros and cons if any?  It would be ideal if this pump and the Dexcom G6 somehow work together.
Thank You </t>
        </is>
      </c>
      <c r="D5820" t="n">
        <v>1</v>
      </c>
      <c r="E5820" t="n">
        <v>8</v>
      </c>
      <c r="F5820">
        <f>HYPERLINK("https://www.reddit.com/r/diabetes/comments/a7sxut/recommendations_for_an_automatic_insulin_pump_fit/")</f>
        <v/>
      </c>
      <c r="G5820" t="inlineStr">
        <is>
          <t>2018-12-19 17:32:43</t>
        </is>
      </c>
      <c r="H5820" t="inlineStr">
        <is>
          <t>Type 2</t>
        </is>
      </c>
    </row>
    <row r="5821">
      <c r="A5821" t="inlineStr">
        <is>
          <t>a7u7f5</t>
        </is>
      </c>
      <c r="B5821" t="inlineStr">
        <is>
          <t>The most moving TEDx talk of 2018</t>
        </is>
      </c>
      <c r="C5821" t="inlineStr">
        <is>
          <t xml:space="preserve">Hey guys, here is a TEDx talk about resilience in the face of medical challenges. If you would be willing to give it a watch and pass on to anyone who you think might benefit from it, that would be great. Thank you!
[https://www.youtube.com/watch?v=KC9kvkTeL70](https://www.youtube.com/watch?v=KC9kvkTeL70) </t>
        </is>
      </c>
      <c r="D5821" t="n">
        <v>1</v>
      </c>
      <c r="E5821" t="n">
        <v>0</v>
      </c>
      <c r="F5821">
        <f>HYPERLINK("https://www.reddit.com/r/diabetes/comments/a7u7f5/the_most_moving_tedx_talk_of_2018/")</f>
        <v/>
      </c>
      <c r="G5821" t="inlineStr">
        <is>
          <t>2018-12-19 20:11:32</t>
        </is>
      </c>
      <c r="H5821" t="inlineStr">
        <is>
          <t>Type 1</t>
        </is>
      </c>
    </row>
    <row r="5822">
      <c r="A5822" t="inlineStr">
        <is>
          <t>a7yn3u</t>
        </is>
      </c>
      <c r="B5822" t="inlineStr">
        <is>
          <t>Input, A1C, Doctors</t>
        </is>
      </c>
      <c r="C5822" t="inlineStr">
        <is>
          <t>Hello,
I am a type one diabetic. I have been one for 6 years now as I was not diagnosed until about 14-15. I have always had a decent A1C (6.5 - 7.9), keeping in mind 7.9 is the average for a type 1 and that's what my doctor wants me at or under. The last 3 or so months I have randomly had nothing but issues.  I have had more BGs over 400 than since I have been diagnosed.  My doctor does very little, even when I goto see him all he does is tell me my A1C and check my feet. I have no other option as he is the only endocrinologist in my network and closest to me (45 mins away). I take 35 units of levamir and 1 to 4 ratio of novolog.  I do have an issue I know of which is I have the rare form of Narcolepsy with Cataplexy. Sometimes I will fall asleep at night before I get to take my insulin, either from eating something, just levamir, or both. I am absolutely terrified of the long term side effects, especially loss of sight as my career depends on it. I was going to get a Dexcom G6, however I was originally told I would get 100% coverage, then I got a call saying Dexcom coded it wrong and it would be 600 a month copay for a full time college student. Does anyone have any suggestions, my diet is not bad at all, I eat mainly fruits, vegetables, meat and dairy.  The only really sugary item I eat is cranberry juice for low BGs or Arnald Palmer with lunch (my bad habit). I got off vaping nicotine months ago to help my health, as nicotine is no good for the heart. Would anyone have suggestions or insight into what a 3 month span of sugars averaging 320 might do long term? I dont think much if corrected, however if you know something I do not, please share as long as it's not just some load of guessing or scare tactic in your mind.  ~Appreciated</t>
        </is>
      </c>
      <c r="D5822" t="n">
        <v>1</v>
      </c>
      <c r="E5822" t="n">
        <v>23</v>
      </c>
      <c r="F5822">
        <f>HYPERLINK("https://www.reddit.com/r/diabetes/comments/a7yn3u/input_a1c_doctors/")</f>
        <v/>
      </c>
      <c r="G5822" t="inlineStr">
        <is>
          <t>2018-12-20 06:52:24</t>
        </is>
      </c>
      <c r="H5822" t="inlineStr">
        <is>
          <t>Type 1</t>
        </is>
      </c>
    </row>
    <row r="5823">
      <c r="A5823" t="inlineStr">
        <is>
          <t>a7z518</t>
        </is>
      </c>
      <c r="B5823" t="inlineStr">
        <is>
          <t>Quick question about carbs...</t>
        </is>
      </c>
      <c r="C5823" t="inlineStr">
        <is>
          <t xml:space="preserve">If you’re strictly watching carb intake, how low do you try to keep the number of total carbs to a snack or a meal?
For example, I found some sugar free puddings that are 10g of total carbs. That seems low but I’m not sure if low enough? I mean I know peanuts are generally considered “low carb” but they also average 20 carbs per cup?
Obviously I realize the lower the better, just trying to find the balance in also getting some diversity in the diet. 
Thanks all!
</t>
        </is>
      </c>
      <c r="D5823" t="n">
        <v>1</v>
      </c>
      <c r="E5823" t="n">
        <v>9</v>
      </c>
      <c r="F5823">
        <f>HYPERLINK("https://www.reddit.com/r/diabetes/comments/a7z518/quick_question_about_carbs/")</f>
        <v/>
      </c>
      <c r="G5823" t="inlineStr">
        <is>
          <t>2018-12-20 07:45:23</t>
        </is>
      </c>
      <c r="H5823" t="inlineStr">
        <is>
          <t>Type 2</t>
        </is>
      </c>
    </row>
    <row r="5824">
      <c r="A5824" t="inlineStr">
        <is>
          <t>a7zc1y</t>
        </is>
      </c>
      <c r="B5824" t="inlineStr">
        <is>
          <t>Helping a friend with type I</t>
        </is>
      </c>
      <c r="C5824" t="inlineStr">
        <is>
          <t>Hey, guys, a friend recently confided in me that they were diagnosed with Type 1 diabetes and that it was taking a major toll on their life.  They were mainly concerned with constantly having to monitor their food intake and blood sugar to the point that it felt like their life was completely controlled by it, and was becoming very depressed because of it.  I'm just here to ask y'all if there's anything at all a friend could do to help ease one's burden with this sort of thing.</t>
        </is>
      </c>
      <c r="D5824" t="n">
        <v>1</v>
      </c>
      <c r="E5824" t="n">
        <v>11</v>
      </c>
      <c r="F5824">
        <f>HYPERLINK("https://www.reddit.com/r/diabetes/comments/a7zc1y/helping_a_friend_with_type_i/")</f>
        <v/>
      </c>
      <c r="G5824" t="inlineStr">
        <is>
          <t>2018-12-20 08:05:00</t>
        </is>
      </c>
      <c r="H5824" t="inlineStr">
        <is>
          <t>Type 1</t>
        </is>
      </c>
    </row>
    <row r="5825">
      <c r="A5825" t="inlineStr">
        <is>
          <t>a81p1h</t>
        </is>
      </c>
      <c r="B5825" t="inlineStr">
        <is>
          <t>Pre workout for the pancreatically impaired</t>
        </is>
      </c>
      <c r="C5825" t="inlineStr">
        <is>
          <t xml:space="preserve">Hi everyone! I'm just trying to get back into the gym after an injury and the resulting laziness and depression that seems to accompany lack of exercise. I have read up a little bit on pre workout powders and they all just seem to say that I should avoid caffeinated ones as it can mess with bloodsugar levels, but being an avid coffee drinker I don't really see this as an issue? 
Can anyone give me any advice? Hit 30 so need the additional help with energy levels, especially at 5am, the only time I have free for working out. 
Thanks in advance my diapathetic compadres </t>
        </is>
      </c>
      <c r="D5825" t="n">
        <v>1</v>
      </c>
      <c r="E5825" t="n">
        <v>2</v>
      </c>
      <c r="F5825">
        <f>HYPERLINK("https://www.reddit.com/r/diabetes/comments/a81p1h/pre_workout_for_the_pancreatically_impaired/")</f>
        <v/>
      </c>
      <c r="G5825" t="inlineStr">
        <is>
          <t>2018-12-20 11:50:14</t>
        </is>
      </c>
      <c r="H5825" t="inlineStr">
        <is>
          <t>Type 1</t>
        </is>
      </c>
    </row>
    <row r="5826">
      <c r="A5826" t="inlineStr">
        <is>
          <t>a846in</t>
        </is>
      </c>
      <c r="B5826" t="inlineStr">
        <is>
          <t>Food to eat for super long test (e.g. MCAT, LSAT, Step 1 USMLE, yada yada)</t>
        </is>
      </c>
      <c r="C5826" t="inlineStr">
        <is>
          <t>Hey guys,
Type 1 here for about 10 years. Was wondering if you guys had any recommendations for food you guys bring to eat or snack on during extremely long tests like these, or any strategies you have in terms of mediating your blood sugar. I don't think I'm going to apply for accommodations (I'm taking the MCAT) because I didn't need them for things like the SAT/ACT, but any advice or opinions would be highly encouraged. Thanks so much!</t>
        </is>
      </c>
      <c r="D5826" t="n">
        <v>1</v>
      </c>
      <c r="E5826" t="n">
        <v>4</v>
      </c>
      <c r="F5826">
        <f>HYPERLINK("https://www.reddit.com/r/diabetes/comments/a846in/food_to_eat_for_super_long_test_eg_mcat_lsat_step/")</f>
        <v/>
      </c>
      <c r="G5826" t="inlineStr">
        <is>
          <t>2018-12-20 15:55:04</t>
        </is>
      </c>
      <c r="H5826" t="inlineStr">
        <is>
          <t>Type 1</t>
        </is>
      </c>
    </row>
    <row r="5827">
      <c r="A5827" t="inlineStr">
        <is>
          <t>a89195</t>
        </is>
      </c>
      <c r="B5827" t="inlineStr">
        <is>
          <t>It's so hard.</t>
        </is>
      </c>
      <c r="C5827" t="inlineStr">
        <is>
          <t>I've had diabetes for almost 9 years now and I still cant control my blood sugars. I am 20 years old and i still dont have my drivers license. I worked so hard my last a1c was a 9.5 but it had to be a 9 or below for my doctor to approve for my license. I just gave up for an entire month telling myself I cant do it. I cant make it. And now I. Here crying with a blood sugar of 586 I already took my stupid insulin so I'll be ok sooner or later but it so fucking hard. I tell myself "u can do it" but I dont do it. This is mainly a rant but I have a question. How can I lower my a1c dramatically by 2 months?</t>
        </is>
      </c>
      <c r="D5827" t="n">
        <v>1</v>
      </c>
      <c r="E5827" t="n">
        <v>31</v>
      </c>
      <c r="F5827">
        <f>HYPERLINK("https://www.reddit.com/r/diabetes/comments/a89195/its_so_hard/")</f>
        <v/>
      </c>
      <c r="G5827" t="inlineStr">
        <is>
          <t>2018-12-21 03:18:01</t>
        </is>
      </c>
      <c r="H5827" t="inlineStr">
        <is>
          <t>Type 1</t>
        </is>
      </c>
    </row>
    <row r="5828">
      <c r="A5828" t="inlineStr">
        <is>
          <t>a89kl5</t>
        </is>
      </c>
      <c r="B5828" t="inlineStr">
        <is>
          <t>are there any diabetic rhythm gamers out there and how do you deal with carple tunnel (ways to use a normal keyboard without damaging your hand to much)</t>
        </is>
      </c>
      <c r="C5828" t="inlineStr">
        <is>
          <t>i play some rhythm games and i am concerned i am developing carple tunnel from my diabetes and i want to know if there are any ways i can prevent it (i already do stretches)</t>
        </is>
      </c>
      <c r="D5828" t="n">
        <v>1</v>
      </c>
      <c r="E5828" t="n">
        <v>5</v>
      </c>
      <c r="F5828">
        <f>HYPERLINK("https://www.reddit.com/r/diabetes/comments/a89kl5/are_there_any_diabetic_rhythm_gamers_out_there/")</f>
        <v/>
      </c>
      <c r="G5828" t="inlineStr">
        <is>
          <t>2018-12-21 04:36:44</t>
        </is>
      </c>
      <c r="H5828" t="inlineStr">
        <is>
          <t>Type 1</t>
        </is>
      </c>
    </row>
    <row r="5829">
      <c r="A5829" t="inlineStr">
        <is>
          <t>a8en3f</t>
        </is>
      </c>
      <c r="B5829" t="inlineStr">
        <is>
          <t>Look at this garbage</t>
        </is>
      </c>
      <c r="C5829" t="inlineStr">
        <is>
          <t xml:space="preserve">Ridiculous. Can I get a new pancreas? K thx. Last A1C 7.6, I think it was 7.4 last time if I remember correctly. </t>
        </is>
      </c>
      <c r="D5829" t="n">
        <v>1</v>
      </c>
      <c r="E5829" t="n">
        <v>0</v>
      </c>
      <c r="F5829">
        <f>HYPERLINK("https://www.reddit.com/r/diabetes/comments/a8en3f/look_at_this_garbage/")</f>
        <v/>
      </c>
      <c r="G5829" t="inlineStr">
        <is>
          <t>2018-12-21 13:34:12</t>
        </is>
      </c>
      <c r="H5829" t="inlineStr">
        <is>
          <t>Type 1</t>
        </is>
      </c>
    </row>
    <row r="5830">
      <c r="A5830" t="inlineStr">
        <is>
          <t>a8foqj</t>
        </is>
      </c>
      <c r="B5830" t="inlineStr">
        <is>
          <t>2 consecutive A1C’s in the 6s!</t>
        </is>
      </c>
      <c r="C5830" t="inlineStr">
        <is>
          <t>I know some of you have super extremely low A1C’s, like seriously how do you do that lol, but I’m proud of myself for this one. I was 6.7 3 months ago and today I was 6.8! Merry Christmas and happy holidays everyone!</t>
        </is>
      </c>
      <c r="D5830" t="n">
        <v>1</v>
      </c>
      <c r="E5830" t="n">
        <v>4</v>
      </c>
      <c r="F5830">
        <f>HYPERLINK("https://www.reddit.com/r/diabetes/comments/a8foqj/2_consecutive_a1cs_in_the_6s/")</f>
        <v/>
      </c>
      <c r="G5830" t="inlineStr">
        <is>
          <t>2018-12-21 15:36:59</t>
        </is>
      </c>
      <c r="H5830" t="inlineStr">
        <is>
          <t>Type 1</t>
        </is>
      </c>
    </row>
    <row r="5831">
      <c r="A5831" t="inlineStr">
        <is>
          <t>a8ftmt</t>
        </is>
      </c>
      <c r="B5831" t="inlineStr">
        <is>
          <t>I brought Equal with Stevia to sweeten my coffee.</t>
        </is>
      </c>
      <c r="C5831" t="inlineStr">
        <is>
          <t>So I just got diagnosed with type 2 a few days ago, I haven't eaten anything sweet (besides two apples a day) since my diagnosis.
Does Equal*really* not raise blood sugar? Cuz it tasted so good and I had it with a bit of cheese and I still can't believe it supposedly doesn't raise blood sugar...</t>
        </is>
      </c>
      <c r="D5831" t="n">
        <v>1</v>
      </c>
      <c r="E5831" t="n">
        <v>1</v>
      </c>
      <c r="F5831">
        <f>HYPERLINK("https://www.reddit.com/r/diabetes/comments/a8ftmt/i_brought_equal_with_stevia_to_sweeten_my_coffee/")</f>
        <v/>
      </c>
      <c r="G5831" t="inlineStr">
        <is>
          <t>2018-12-21 15:54:17</t>
        </is>
      </c>
      <c r="H5831" t="inlineStr">
        <is>
          <t>Type 2</t>
        </is>
      </c>
    </row>
    <row r="5832">
      <c r="A5832" t="inlineStr">
        <is>
          <t>a8mvp2</t>
        </is>
      </c>
      <c r="B5832" t="inlineStr">
        <is>
          <t>Just found out I'm Type 1 and not Type 2 and I couldn't be more relieved...</t>
        </is>
      </c>
      <c r="C5832" t="inlineStr">
        <is>
          <t>I'll do my best to keep this as brief as possible, I can ramble on posts sometimes ;)
So about 6 years ago I was diagnosed with Type 2 after trying to join the Air Guard (had gotten out of active duty Navy but still wanted part time military service), found too much super in my urine sample at MEPS and then I went to the GP office at my local hospital and after a few tests was diagnosed with Type 2. I was 28 I think at the time. Was prescribed Janumet (a metformin compound drug) and that seemed to help a lot. Before that I was thirsty and peeing all the time, the usual. Anyways that seemed to stop working rapidly and they increased my dose and put me on glipizide and eventually Invokana. I'd like to point out that I have had a very tough time controlling my sugar and carb intake over the years...sometimes I do really well but sometimes I absolutely fail and binge. Once the meds stopped working I probably had an average blood sugar of 300-400. I would make real efforts to keep my carb intake well under the recommended for a type 2, 15-30 carbs a meal, and I would still end up in that range. The only way to keep it "normal", and by that I mean high 100s, was keeping my carb intake in the 10s per day, basically keto. I lost quite a bit of weight throughout this, especially when I started the Invokana. I'm 5'6" and I was around 123 lbs or so. Not below healthy range but IMO I was unhealthy. I would talk to other type 2s who were well controlled while eating more carbs and I would just wonder what I was doing wrong and why I was failing so bad.
Fast forward to this year: I moved to a new city last year and started seeing a new doctor. After I made some changes to my diet and activity and yet still had my A1C go up it was obvious I needed more. She pre-scribed my a long acting insulin which helped a bit. I would start most days around 100 but I would still be around 300 for most of the day depending on what I ate. I have also started suffering from ED about a year ago and I posted here asking for advice maybe 3 months ago? Someone said I should research Type 1.5. Well I did that and talked to my Dr. about it who referred me to the diabetes center at the local hospital. Around this time I also made some major life changes. I bought a bunch of exercise equipment for home use, mainly a bench and weights, and I somehow started controlling my diet better. With just my regular meds and my long acting insulin I was able to control my sugars MUCH better, mostly staying under 250 which was a huge improvement. I have also gained about 13 pounds while deceasing my body fat which is really satisfying. 
Went to the specialist two weeks ago on Monday and after hearing my issues she agreed that it sounded like I was really a late type 1. She also prescribed me a fast acting meal time insulin. At the end of the visit I almost broke down crying with the thought that I might actually be able to control this. Thanks to my new regime I have mostly under 250 with meal time spikes for the last week, and I'm dialing in how my body reacts to the insulin to keep it under 200 (shooting for staying under 180 at all times). Personally I think I'm doing decent for only being on bolus less than 2 weeks at this point. Just gotta learn how I handle it at this point.
Yesterday I got the results of my lap work back and I have the antibodies that indicate I am in fact type 1 and words cannot express the relief I feel. Type 1 might be harder to handle than type 2 but my god after 6 years of trying to control it and absolutely failing finding out that a lot of it was due to misdiagnosis and that it wasn't JUST my fault...well I am almost tearing up about it just thinking about it.
The last few weeks I have felt like an entirely new person. I feel like I was in a fog of exhaustion and fatigue for the last 6 years. I would get home after work and I basically couldn't do anything. My inability to control this disease was even a major contributor to my marriage failing. Right now I'm typing this after getting like 5 hours of sleep due to an early flight yet I feel more alert than I ever did with 9+ hours of sleep.
I don't really have a point or a moral or anything, but I just had to share this experience with people I think would understand. Maybe my story will help someone else who was misdiagnosed? Maybe it will just help inspire someone. For the first time in 6 years I actually have hope again and it is one of the best feelings I have experienced in a long time. Thank you so much for reading!</t>
        </is>
      </c>
      <c r="D5832" t="n">
        <v>1</v>
      </c>
      <c r="E5832" t="n">
        <v>66</v>
      </c>
      <c r="F5832">
        <f>HYPERLINK("https://www.reddit.com/r/diabetes/comments/a8mvp2/just_found_out_im_type_1_and_not_type_2_and_i/")</f>
        <v/>
      </c>
      <c r="G5832" t="inlineStr">
        <is>
          <t>2018-12-22 09:58:40</t>
        </is>
      </c>
      <c r="H5832" t="inlineStr">
        <is>
          <t>Type 1.5/LADA</t>
        </is>
      </c>
    </row>
    <row r="5833">
      <c r="A5833" t="inlineStr">
        <is>
          <t>a8plhc</t>
        </is>
      </c>
      <c r="B5833" t="inlineStr">
        <is>
          <t>Tslim X2 Extended Bolus</t>
        </is>
      </c>
      <c r="C5833" t="inlineStr">
        <is>
          <t>I'm new to pumps with the Tslim X2. I read about square wave and dual wave Boluses. Are there other kinds? On my Tslim, I only have. Regular or extended bolus.</t>
        </is>
      </c>
      <c r="D5833" t="n">
        <v>1</v>
      </c>
      <c r="E5833" t="n">
        <v>10</v>
      </c>
      <c r="F5833">
        <f>HYPERLINK("https://www.reddit.com/r/diabetes/comments/a8plhc/tslim_x2_extended_bolus/")</f>
        <v/>
      </c>
      <c r="G5833" t="inlineStr">
        <is>
          <t>2018-12-22 15:21:17</t>
        </is>
      </c>
      <c r="H5833" t="inlineStr">
        <is>
          <t>Type 1</t>
        </is>
      </c>
    </row>
    <row r="5834">
      <c r="A5834" t="inlineStr">
        <is>
          <t>a8rdxz</t>
        </is>
      </c>
      <c r="B5834" t="inlineStr">
        <is>
          <t>Maybe I'm mistaken, but...</t>
        </is>
      </c>
      <c r="C5834" t="inlineStr">
        <is>
          <t xml:space="preserve">So I got one of those newfangled &amp;amp; improved Guardian Link sensors that are supposed to fix all the problems that the first batch had.   
It seemed bad when the instructions for connecting it to the pump that came with it said, "refer to your original instructions." The first thing it asked me to do was... 
&amp;amp;#x200B;
Wait for it like i did...  
Wait for a two hour calibration...  
Hold on like it told me to after calibrating...
&amp;amp;#x200B;
BEEEEEP BEEEEEP BEEEEP. Enter Blood Glucose.   
Who could have seen this coming? </t>
        </is>
      </c>
      <c r="D5834" t="n">
        <v>1</v>
      </c>
      <c r="E5834" t="n">
        <v>2</v>
      </c>
      <c r="F5834">
        <f>HYPERLINK("https://www.reddit.com/r/diabetes/comments/a8rdxz/maybe_im_mistaken_but/")</f>
        <v/>
      </c>
      <c r="G5834" t="inlineStr">
        <is>
          <t>2018-12-22 19:21:36</t>
        </is>
      </c>
      <c r="H5834" t="inlineStr">
        <is>
          <t>Type 1</t>
        </is>
      </c>
    </row>
    <row r="5835">
      <c r="A5835" t="inlineStr">
        <is>
          <t>a8vx35</t>
        </is>
      </c>
      <c r="B5835" t="inlineStr">
        <is>
          <t>Starting a new job soon, need any helpful tips</t>
        </is>
      </c>
      <c r="C5835" t="inlineStr">
        <is>
          <t xml:space="preserve">I have been at my current job for over two years so this is the only kind of work I've done since being diagnosed. It's a desk job and everyone knows I am T1, so I am able to eat at my desk, take breaks when needed, and they even have a room (designated for nursing mothers, but it's just a private room that locks) where I can change my site. I was recently offered a position at a new place that will be customer facing and will have me on my feet all day. I am not sure if I want to share my condition to people at my new job, at least not at first, because I don't want some of the reactions I've received from coworkers at the current job. I am going to get a smartwatch so I can monitor my BS without looking at my phone. I am honestly just worried with it being more active that lows might happen while I adjust and I don't want to seem incapable of anything. One of the pros is that my brother works at the new place I'm going, so he would be available should anything happen.  Does anyone have any tips for transitioning in to this new job easily? </t>
        </is>
      </c>
      <c r="D5835" t="n">
        <v>1</v>
      </c>
      <c r="E5835" t="n">
        <v>3</v>
      </c>
      <c r="F5835">
        <f>HYPERLINK("https://www.reddit.com/r/diabetes/comments/a8vx35/starting_a_new_job_soon_need_any_helpful_tips/")</f>
        <v/>
      </c>
      <c r="G5835" t="inlineStr">
        <is>
          <t>2018-12-23 08:24:10</t>
        </is>
      </c>
      <c r="H5835" t="inlineStr">
        <is>
          <t>Type 1</t>
        </is>
      </c>
    </row>
    <row r="5836">
      <c r="A5836" t="inlineStr">
        <is>
          <t>a8waax</t>
        </is>
      </c>
      <c r="B5836" t="inlineStr">
        <is>
          <t>G6 / Spike Questions</t>
        </is>
      </c>
      <c r="C5836" t="inlineStr">
        <is>
          <t>I’m currently using the Dexcom G6 with the official Dexcom app on iOS. 
I want to give Spike a try and I am wondering how easy it is to transition between these apps during the lifetime of the transmitter / sensor.
(1) is it possible to switch from dexcom to spike when the sensor is already activated? Is it possible to keep it calibration-free when doing this?
(2) is it possible to switch back to the dexcom app the same way?
(3) is the spike upload to dexcom working? I.e. with the same result as if i would use the official app?</t>
        </is>
      </c>
      <c r="D5836" t="n">
        <v>1</v>
      </c>
      <c r="E5836" t="n">
        <v>7</v>
      </c>
      <c r="F5836">
        <f>HYPERLINK("https://www.reddit.com/r/diabetes/comments/a8waax/g6_spike_questions/")</f>
        <v/>
      </c>
      <c r="G5836" t="inlineStr">
        <is>
          <t>2018-12-23 09:06:59</t>
        </is>
      </c>
      <c r="H5836" t="inlineStr">
        <is>
          <t>Type 1</t>
        </is>
      </c>
    </row>
    <row r="5837">
      <c r="A5837" t="inlineStr">
        <is>
          <t>a8wgpw</t>
        </is>
      </c>
      <c r="B5837" t="inlineStr">
        <is>
          <t>Anyone with brittle diabetes here if so how did you get it in control ?</t>
        </is>
      </c>
      <c r="C5837" t="inlineStr">
        <is>
          <t xml:space="preserve">Need help as unsure if it is related to adrenal dysfunction or not. </t>
        </is>
      </c>
      <c r="D5837" t="n">
        <v>1</v>
      </c>
      <c r="E5837" t="n">
        <v>5</v>
      </c>
      <c r="F5837">
        <f>HYPERLINK("https://www.reddit.com/r/diabetes/comments/a8wgpw/anyone_with_brittle_diabetes_here_if_so_how_did/")</f>
        <v/>
      </c>
      <c r="G5837" t="inlineStr">
        <is>
          <t>2018-12-23 09:26:45</t>
        </is>
      </c>
      <c r="H5837" t="inlineStr">
        <is>
          <t>Type 1</t>
        </is>
      </c>
    </row>
    <row r="5838">
      <c r="A5838" t="inlineStr">
        <is>
          <t>a8zg5n</t>
        </is>
      </c>
      <c r="B5838" t="inlineStr">
        <is>
          <t>Rant - Dr Bernsteins Diabetes solution diet - thoughts?</t>
        </is>
      </c>
      <c r="C5838" t="inlineStr">
        <is>
          <t>Any type 1s heard of this?
I've tried reading the book and watching the videos but I do not agree with eveything he says and it's a MASSIVE book with a lot of information and no real easy to read summary.
Ive tried the diet (I think) and it helps sometimes but ultimately doesn't seem to really help my levels much. They might spike less high than they would if I ate a lot of pasta but they still spike pretty high and I get a lot of lows. And if I do have something carby it sends my numbers flying waaaaaay more than on my normal diet.
Honestly I've found some groups that follow this and they are so judgemental and unfriendly and devoted, it's like a cult. It's not an easy diet to follow and live a nornal life with and it takes a lot of dedication and adjustment. It also goes directly against what Dr's recommend so it's just like going blind and just trusting this one guy. The followers seem to treat it like some miracle cure/ treatment but I really wonder if they maybe just didn't have that high fluctuations in levels before (as it does seem to vary for poeple). 
There seems to be an attitude in the community that if you follow the diet and your numbers aren't perfect you must be doing something wrong, that people who struggle with diabetes are just ignorant or uncaring and are doing it to themselves. That they either should be pitied or are to blame. It's probably the most judgemental group of peope I've come across relating to diabetes. There is no tolerance for questions or worries or for new people who might be struggling or willing to try it.
It really puts me off what I've already been told by several doctors is a very risky diet. But the numbers in people that follow it DO seem good. And I'm quite desperate. So I'm trying it.
Does anyone know this? Can anyone summarise the percentages of what's recommended (eg carbs vs protein vs fat)? I'm already aware of the do and don't foods and have been doing that anyway for the last 2 months.
Does anyone know how to know if you enter ketosis? And how bad this diet is if you do stop it for a few days or weeks? Or if you maybe do eat more carbs for breakfast etc (eg if I weigh porridge I can eat it without any spike if I inject). And will you pile on weight if you do it and stop for some reason? Like will it screw up your metabolism? My Dr also said it can send you into DKA more easily as well as cause hypos because of depletediver stores. 
Any insight from peope that have tried it would be great thanks.</t>
        </is>
      </c>
      <c r="D5838" t="n">
        <v>1</v>
      </c>
      <c r="E5838" t="n">
        <v>16</v>
      </c>
      <c r="F5838">
        <f>HYPERLINK("https://www.reddit.com/r/diabetes/comments/a8zg5n/rant_dr_bernsteins_diabetes_solution_diet_thoughts/")</f>
        <v/>
      </c>
      <c r="G5838" t="inlineStr">
        <is>
          <t>2018-12-23 15:20:14</t>
        </is>
      </c>
      <c r="H5838" t="inlineStr">
        <is>
          <t>Type 1</t>
        </is>
      </c>
    </row>
    <row r="5839">
      <c r="A5839" t="inlineStr">
        <is>
          <t>a90c34</t>
        </is>
      </c>
      <c r="B5839" t="inlineStr">
        <is>
          <t>Looking for diabetic clinic in Europe specializing in severe diabetes patients</t>
        </is>
      </c>
      <c r="C5839" t="inlineStr">
        <is>
          <t xml:space="preserve">Hello, this is my first time posting on this forum, so please excuse if anything is against regulation. 
&amp;amp;#x200B;
I am writing to ask for help and ideas. The situation is the following: a very close person to me has had (and I am not hyperbolising here) the worst controlled and most complicated type I diabetes that I have ever heard of. She has had it for 25+ years sine the age of 6 and has experienced things such as severe ketoacidosis for over 2 years, comas, heart attacks (at the age of 20), constantly ridicilously high or low blood sugar, serial organ system failure (kidneys/liver/etc) and now also advanced diabetic blindness and polyneuropathy. 
My question is, does anyone know of a clinic or a specialist we can turn to (in Europe) and by this I mean someone who SPECIALISES IN DIFFICULT LONG-STANDING DIABETES patients. 
&amp;amp;#x200B;
We have had multiple cases of personal and professional almost criminal neglegence and by this point, since she has been diabetic for so long and is in such a bad state, no one wants to seriously deal with her and take the responsibility.   
Any advice or ideas will be greatly appreciated. Anyone who has been through anything even vaguely similar or has any ideas, anything will be appreciated.   
We can't afford any more mistakes.  </t>
        </is>
      </c>
      <c r="D5839" t="n">
        <v>1</v>
      </c>
      <c r="E5839" t="n">
        <v>9</v>
      </c>
      <c r="F5839">
        <f>HYPERLINK("https://www.reddit.com/r/diabetes/comments/a90c34/looking_for_diabetic_clinic_in_europe/")</f>
        <v/>
      </c>
      <c r="G5839" t="inlineStr">
        <is>
          <t>2018-12-23 17:13:26</t>
        </is>
      </c>
      <c r="H5839" t="inlineStr">
        <is>
          <t>Type 1</t>
        </is>
      </c>
    </row>
    <row r="5840">
      <c r="A5840" t="inlineStr">
        <is>
          <t>a96aw6</t>
        </is>
      </c>
      <c r="B5840" t="inlineStr">
        <is>
          <t>Anyone get lightheadedness/vertigo with high blood sugars or small fluctuations in sugar ?</t>
        </is>
      </c>
      <c r="C5840" t="inlineStr">
        <is>
          <t xml:space="preserve">been having swaying sensations and dizziness with the slight flucuation in blood sugars its really strange closet thing I could find was diabetic fatigue </t>
        </is>
      </c>
      <c r="D5840" t="n">
        <v>1</v>
      </c>
      <c r="E5840" t="n">
        <v>7</v>
      </c>
      <c r="F5840">
        <f>HYPERLINK("https://www.reddit.com/r/diabetes/comments/a96aw6/anyone_get_lightheadednessvertigo_with_high_blood/")</f>
        <v/>
      </c>
      <c r="G5840" t="inlineStr">
        <is>
          <t>2018-12-24 08:23:25</t>
        </is>
      </c>
      <c r="H5840" t="inlineStr">
        <is>
          <t>Type 1</t>
        </is>
      </c>
    </row>
    <row r="5841">
      <c r="A5841" t="inlineStr">
        <is>
          <t>a96ubl</t>
        </is>
      </c>
      <c r="B5841" t="inlineStr">
        <is>
          <t>Just been told my GAD is over 2000</t>
        </is>
      </c>
      <c r="C5841" t="inlineStr">
        <is>
          <t>My annual blood checks a year ago suggested I had prediabetes. For the start of 2018, I managed this diagnosis with diet. 
Then, back in July, I came back from a holiday with a bladder infection. My doctor took a urine sample and suggested that with ketones, I should be checked for diabetes again. 
Sure enough, the blood sugar glucose results were even higher than at the start of 2018, so I was diagnosed with T2 and told to go back in a few months for another checkup. 
Things were looking okay glucose wise, but recently I became ill again, and they have sent off for c-peptide tests and anti GAD. They were suspecting I may have LADA. 
This morning, I got a phone call, first suggesting I increase my gliclazide. Still without the test results, I got a call back an hour ago with the results of the anti GAD. Apparently its over 2,000 - and I've been told to go to A&amp;amp;E/ER to see a doctor, on Christmas Eve on all days. 
At first, it didn't sink in (I was out at the time), but I completely broke down when I got home. This is what I've feared most above all. 
I have physical disability affecting my left side (cerebral palsy), and I've long thought I wouldn't be able to treat something like type 1 alone. 
Just feeling a huge wave of depression coming now. I've not gone to the emergency room yet, and instead will go after Boxing Day (or before if I feel ill). 
Don't know what to do. I've lost some weight suddenly the last couple of months, and my diet has completely changed to manage my diabetes since the blood glucose has started to go up. I have 3 servings of Huel a day, and mostly stopped eating food unless it's a cooked meal. 
Anyway, thats my story. Quite scared at the moment, still can't believe it. Not really sure of the long term ramifications as its getting worse, whether I need to rethink my current job/employment situation so I can manage my health better. 
I've been looking for info about anti GAD and trying to understand it more, and prepare myself for the worse when I go to the doctors and minimise any stress levels. 
Does anybody have any advice, support or reading materials for me to understand what this means?</t>
        </is>
      </c>
      <c r="D5841" t="n">
        <v>1</v>
      </c>
      <c r="E5841" t="n">
        <v>7</v>
      </c>
      <c r="F5841">
        <f>HYPERLINK("https://www.reddit.com/r/diabetes/comments/a96ubl/just_been_told_my_gad_is_over_2000/")</f>
        <v/>
      </c>
      <c r="G5841" t="inlineStr">
        <is>
          <t>2018-12-24 09:25:09</t>
        </is>
      </c>
      <c r="H5841" t="inlineStr">
        <is>
          <t>Type 1.5/LADA</t>
        </is>
      </c>
    </row>
    <row r="5842">
      <c r="A5842" t="inlineStr">
        <is>
          <t>a9bfjo</t>
        </is>
      </c>
      <c r="B5842" t="inlineStr">
        <is>
          <t>Diaversary</t>
        </is>
      </c>
      <c r="C5842" t="inlineStr">
        <is>
          <t>Today is my 20 year anniversary of being diagnosed. I was 12, and spent Christmas in the hospital. I’ll never forget it; I got the original PlayStation that year for Christmas! 
I wish I would’ve found this sub sooner in life. You guys are a great source of empathy and compassion. I hope you all have a Merry Christmas and a happy new year. And watch the tasty treats at the family gatherings! Betes!</t>
        </is>
      </c>
      <c r="D5842" t="n">
        <v>1</v>
      </c>
      <c r="E5842" t="n">
        <v>4</v>
      </c>
      <c r="F5842">
        <f>HYPERLINK("https://www.reddit.com/r/diabetes/comments/a9bfjo/diaversary/")</f>
        <v/>
      </c>
      <c r="G5842" t="inlineStr">
        <is>
          <t>2018-12-24 19:07:57</t>
        </is>
      </c>
      <c r="H5842" t="inlineStr">
        <is>
          <t>Type 1</t>
        </is>
      </c>
    </row>
    <row r="5843">
      <c r="A5843" t="inlineStr">
        <is>
          <t>a9f9bu</t>
        </is>
      </c>
      <c r="B5843" t="inlineStr">
        <is>
          <t>Merry Christmas from a new type 1</t>
        </is>
      </c>
      <c r="C5843" t="inlineStr">
        <is>
          <t>I was diagnosed with diabetes in early November, confirmed as type 1 in early December. Have some early complications. Not on insulin yet. It's been kinda rough. Been lurking here a lot, probably 100+ hours in the past month. Just wanted to say thank you to everyone in this community, past and present. There's a wealth of information and personal stories here that make this difficult transition in life just a little more bearable. Bought the Bernstein book I see recommended so much. Mom's type 1 as well (23 years). Dunno how she even did it in the '90s before easy access to this much information. I have a bit more I've been wanting to say, but for now I'll just say thank you and Merry Christmas.</t>
        </is>
      </c>
      <c r="D5843" t="n">
        <v>1</v>
      </c>
      <c r="E5843" t="n">
        <v>12</v>
      </c>
      <c r="F5843">
        <f>HYPERLINK("https://www.reddit.com/r/diabetes/comments/a9f9bu/merry_christmas_from_a_new_type_1/")</f>
        <v/>
      </c>
      <c r="G5843" t="inlineStr">
        <is>
          <t>2018-12-25 06:33:01</t>
        </is>
      </c>
      <c r="H5843" t="inlineStr">
        <is>
          <t>Type 1</t>
        </is>
      </c>
    </row>
    <row r="5844">
      <c r="A5844" t="inlineStr">
        <is>
          <t>a9f9hi</t>
        </is>
      </c>
      <c r="B5844" t="inlineStr">
        <is>
          <t>Is something wrong?</t>
        </is>
      </c>
      <c r="C5844" t="inlineStr">
        <is>
          <t>Hi, I have a question. Recently, my blood sugars have been worryingly low, with readings of 3.4 to 4.3 2 hours after a meal. Being type 2, I am on a 500mg dose of Metformin every morning. I am currently 16 years old weighing 56 kg and 1.63 tall. I have been experiencing weight loss, losing 1 kg from the past month with no exercise. Could the weight loss be from me eating less or could it be from another problem. Sorry for my bad English.</t>
        </is>
      </c>
      <c r="D5844" t="n">
        <v>1</v>
      </c>
      <c r="E5844" t="n">
        <v>19</v>
      </c>
      <c r="F5844">
        <f>HYPERLINK("https://www.reddit.com/r/diabetes/comments/a9f9hi/is_something_wrong/")</f>
        <v/>
      </c>
      <c r="G5844" t="inlineStr">
        <is>
          <t>2018-12-25 06:33:47</t>
        </is>
      </c>
      <c r="H5844" t="inlineStr">
        <is>
          <t>Type 2</t>
        </is>
      </c>
    </row>
    <row r="5845">
      <c r="A5845" t="inlineStr">
        <is>
          <t>a9g02k</t>
        </is>
      </c>
      <c r="B5845" t="inlineStr">
        <is>
          <t>Is pumping a easier way to get your bloods off the roller-coaster and into the controlled zone ?</t>
        </is>
      </c>
      <c r="C5845" t="inlineStr">
        <is>
          <t xml:space="preserve">Iv been flucationg all over the place for about 5 years now and am exhausted with the fluctuations my daily levels range from 5 - 15 its a nightmare. </t>
        </is>
      </c>
      <c r="D5845" t="n">
        <v>1</v>
      </c>
      <c r="E5845" t="n">
        <v>6</v>
      </c>
      <c r="F5845">
        <f>HYPERLINK("https://www.reddit.com/r/diabetes/comments/a9g02k/is_pumping_a_easier_way_to_get_your_bloods_off/")</f>
        <v/>
      </c>
      <c r="G5845" t="inlineStr">
        <is>
          <t>2018-12-25 08:17:52</t>
        </is>
      </c>
      <c r="H5845" t="inlineStr">
        <is>
          <t>Type 1</t>
        </is>
      </c>
    </row>
    <row r="5846">
      <c r="A5846" t="inlineStr">
        <is>
          <t>a9gvx1</t>
        </is>
      </c>
      <c r="B5846" t="inlineStr">
        <is>
          <t>Venting</t>
        </is>
      </c>
      <c r="C5846" t="inlineStr">
        <is>
          <t xml:space="preserve">Hey guys. I hope it's ok to vent here. I just need to get this out and none of my friends or family understand.
I wish that for just one day that I could see what life is like without worrying about this stupid disease. I wish that I could be free from the insulin pumps and meters, the highs and the lows, the neuropathy. One day where I could just live life without scheduling it around the diabetes. Just eat and do whatever and know I will be fine.
The feeling of being able to drive long distances without stopping periodically, checking my blood sugar. The feeling of being able to go out on a date without bringing an entire suitcase with me. My friends and family take that life for granted. They don't have to count carbs and account for every single thing they put in their body. 
I know I am lucky and blessed. I am thankful every day. But I have had this illness since I was 3, I am now 36. I don't remember life without diabetes.
How nice must it be? </t>
        </is>
      </c>
      <c r="D5846" t="n">
        <v>1</v>
      </c>
      <c r="E5846" t="n">
        <v>4</v>
      </c>
      <c r="F5846">
        <f>HYPERLINK("https://www.reddit.com/r/diabetes/comments/a9gvx1/venting/")</f>
        <v/>
      </c>
      <c r="G5846" t="inlineStr">
        <is>
          <t>2018-12-25 10:06:47</t>
        </is>
      </c>
      <c r="H5846" t="inlineStr">
        <is>
          <t>Type 1</t>
        </is>
      </c>
    </row>
    <row r="5847">
      <c r="A5847" t="inlineStr">
        <is>
          <t>a9kaql</t>
        </is>
      </c>
      <c r="B5847" t="inlineStr">
        <is>
          <t>Sugar is wrecked from the holidays</t>
        </is>
      </c>
      <c r="C5847" t="inlineStr">
        <is>
          <t xml:space="preserve">I’ve spent the last three days above 200, and I’m so fucking exhausted. That is all. I just need to feel like a complete and utter fuck up. Homemade Christmas meals are the best and the worst. </t>
        </is>
      </c>
      <c r="D5847" t="n">
        <v>1</v>
      </c>
      <c r="E5847" t="n">
        <v>3</v>
      </c>
      <c r="F5847">
        <f>HYPERLINK("https://www.reddit.com/r/diabetes/comments/a9kaql/sugar_is_wrecked_from_the_holidays/")</f>
        <v/>
      </c>
      <c r="G5847" t="inlineStr">
        <is>
          <t>2018-12-25 17:40:21</t>
        </is>
      </c>
      <c r="H5847" t="inlineStr">
        <is>
          <t>Type 1</t>
        </is>
      </c>
    </row>
    <row r="5848">
      <c r="A5848" t="inlineStr">
        <is>
          <t>a9opq2</t>
        </is>
      </c>
      <c r="B5848" t="inlineStr">
        <is>
          <t>I’m terrified I might have diabetes</t>
        </is>
      </c>
      <c r="C5848" t="inlineStr">
        <is>
          <t xml:space="preserve">I’m not sure if this is the right subreddit to post this in but I feel so terrified and scared.
I’m 18 years old and accidentally stumbled across the symptoms of diabetes on the internet and it seemed to fit myself perfectly. 
I get abnormally intensely hungry around 2 hours after eating or sometimes straight after. 
I need to pee a lot and have a reputation for “liking” my water.
I also lost 15 kg this year without trying.
I’ve also had digestion problems and am getting an endoscopy in a few months to check my stomach.
In saying all this I do have a history of misdiagnosing myself with all sorts of illnesses, as I do have anxiety around being “sick.” So for that reason I’m not too convinced I have it, but even so I’m so incredibly anxious and feel miserable and reading everyone’s struggle with it is just making me feel worse. 
Is it really a horrible thing to have?? How much does it effect your life????
(I’m in a different country right now, and can’t see a doctor for 3 weeks) </t>
        </is>
      </c>
      <c r="D5848" t="n">
        <v>1</v>
      </c>
      <c r="E5848" t="n">
        <v>6</v>
      </c>
      <c r="F5848">
        <f>HYPERLINK("https://www.reddit.com/r/diabetes/comments/a9opq2/im_terrified_i_might_have_diabetes/")</f>
        <v/>
      </c>
      <c r="G5848" t="inlineStr">
        <is>
          <t>2018-12-26 05:52:21</t>
        </is>
      </c>
      <c r="H5848" t="inlineStr">
        <is>
          <t>Type 1</t>
        </is>
      </c>
    </row>
    <row r="5849">
      <c r="A5849" t="inlineStr">
        <is>
          <t>a9p48f</t>
        </is>
      </c>
      <c r="B5849" t="inlineStr">
        <is>
          <t>Insulins Humalog, Novorapid ... have their effect for 3 or 4 hours.</t>
        </is>
      </c>
      <c r="C5849" t="inlineStr">
        <is>
          <t>Happy New Year's Eve to all!
Insulins Humalog, Novorapid ... have their effect for 3 or 4 hours. 
Insulin pumps in general are programmed to put a basal according to the current moment and not dividing the amount by hours. There are also Insulin pumps that cut off the flow of insulin half an hour before a hypoglycemia to avoid it.
If the effect of the insulin lasts 3 hours, how can the half-hour cut influence the current glycemia? I am under the impression that it would influence 1/6 of the basal amount in the next half hour and that the effect would be almost nil.
It would be interesting to know why this behaviour occurs.</t>
        </is>
      </c>
      <c r="D5849" t="n">
        <v>1</v>
      </c>
      <c r="E5849" t="n">
        <v>4</v>
      </c>
      <c r="F5849">
        <f>HYPERLINK("https://www.reddit.com/r/diabetes/comments/a9p48f/insulins_humalog_novorapid_have_their_effect_for/")</f>
        <v/>
      </c>
      <c r="G5849" t="inlineStr">
        <is>
          <t>2018-12-26 06:49:15</t>
        </is>
      </c>
      <c r="H5849" t="inlineStr">
        <is>
          <t>Type 1</t>
        </is>
      </c>
    </row>
    <row r="5850">
      <c r="A5850" t="inlineStr">
        <is>
          <t>a9rzln</t>
        </is>
      </c>
      <c r="B5850" t="inlineStr">
        <is>
          <t>Play Date Dilemmas</t>
        </is>
      </c>
      <c r="C5850" t="inlineStr">
        <is>
          <t>My 12-year old daughter is Type 1. Recently one of her best friends asked her for a sleepover. It was her first one since being diagnosed late February. They also live 45 minutes from us. We were very nervous but she has a CGM we can monitor her with and I had a long talk with the mom. She seemed to take it seriously. All went well in the night and the next morning we were supposed to pick her up at 2 pm. I noticed her blood sugars falling around 12:30 so I texted her to eat something but didn’t get a response. Then I texted the mom, still nothing. My daughters BG was dropping rapidly. I called the mom multiple times and finally got her out of the shower. She then admitted to dropping the girls off at a local pool unsupervised. By this time my daughter’s read CGM 30. I freaked out and called the pool. The lifeguard had already noticed something was wrong and was giving her sugar. Thankfully she wears a medic alert bracelet. 
The mom wasn’t that bothered and admonished me for not telling her exercise brings down blood sugar. My daughter was embarrassed by the whole thing and thinks I made too big of a deal about it. The mom has started asking about another sleepover and says she won’t let it happen again but I’m not convinced. I mean, I really have her the whole, “she CAN die” speech the first time, which felt like overkill but, I’m a mom and walking the line between scared to death for my daughter and wanting to let her do things. Should I give this mom another chance?</t>
        </is>
      </c>
      <c r="D5850" t="n">
        <v>1</v>
      </c>
      <c r="E5850" t="n">
        <v>8</v>
      </c>
      <c r="F5850">
        <f>HYPERLINK("https://www.reddit.com/r/diabetes/comments/a9rzln/play_date_dilemmas/")</f>
        <v/>
      </c>
      <c r="G5850" t="inlineStr">
        <is>
          <t>2018-12-26 12:22:18</t>
        </is>
      </c>
      <c r="H5850" t="inlineStr">
        <is>
          <t>Type 1</t>
        </is>
      </c>
    </row>
    <row r="5851">
      <c r="A5851" t="inlineStr">
        <is>
          <t>aa2ty5</t>
        </is>
      </c>
      <c r="B5851" t="inlineStr">
        <is>
          <t>Question about early T1 (insulin or not)</t>
        </is>
      </c>
      <c r="C5851" t="inlineStr">
        <is>
          <t>I was diagnosed recently, and after my doctor's referral, I wasn't able to get an appointment with an endocrinologist in town until late January. My mom (also T1) helped me get a sooner appointment at a place where she lives. He took me off Metformin and onto Januvia. Did not put me on insulin because I still make some. Since then, I've had good days and bad days. Sometimes I'm able to bike a few miles before getting exhausted (used to be able to do 40–60 😑), and other days I can barely walk across the house. Today, I'm having the latter kind of day. Woke with BG above 100, and it keeps floating ever slightly higher (110... 120...) while I'm eating a negligible amount of carbs (maybe 6–10 g since waking six hours ago). I feel so, so tired.
What I'm wondering is this... Is a day like this indicative of a lack of insulin production? (It certainly feels like it to me.) Should I be concerned that I wasn't put on insulin? I've read Bernstein's recommendation that all T1 go on insulin immediately, and I haven't actually heard of anyone in this group being diagnosed and then not starting insulin right away. Is this temporary endocrinologist's decision kind of old-fashioned? Should I contact him and press for insulin? Or should I trust in his judgment?</t>
        </is>
      </c>
      <c r="D5851" t="n">
        <v>1</v>
      </c>
      <c r="E5851" t="n">
        <v>3</v>
      </c>
      <c r="F5851">
        <f>HYPERLINK("https://www.reddit.com/r/diabetes/comments/aa2ty5/question_about_early_t1_insulin_or_not/")</f>
        <v/>
      </c>
      <c r="G5851" t="inlineStr">
        <is>
          <t>2018-12-27 12:23:39</t>
        </is>
      </c>
      <c r="H5851" t="inlineStr">
        <is>
          <t>Type 1</t>
        </is>
      </c>
    </row>
    <row r="5852">
      <c r="A5852" t="inlineStr">
        <is>
          <t>aa3k2d</t>
        </is>
      </c>
      <c r="B5852" t="inlineStr">
        <is>
          <t>How do you cope?</t>
        </is>
      </c>
      <c r="C5852" t="inlineStr">
        <is>
          <t xml:space="preserve">Hey all,
Long time lurker, sometimes poster.  Haven't posted in quite a while.  I used to have TERRIBLE control.  Didn't even check my blood sugar, didn't take fast acting insulin, etc, etc.  It developed into some serious problems that I needed to seek out medical help for.  I ended up getting a good plan, better habits, and my blood sugar has been a LOT better... I feel much better nowadays and I have more control.
&amp;amp;#x200B;
The thing is, now that I have better control, I can see how my blood sugar levels affect me.  It directly ties into my mood or emotions.  When my blood sugar is high, I'm irritated, depressed, angry, or sad.  When it's low, I get combative and hostile.  Good to know, of course.  
&amp;amp;#x200B;
I just checked my blood sugar and its 263.  That kinda sucks but I took insulin to bring it down.  However, right now, I'm feeling that old feeling of being angry at this condition.  Feeling like I have to work extra hard just to feel normal, while others can do and eat whatever they want.  It frustrates me, and I'm just kind of upset about it.
&amp;amp;#x200B;
What do you guys tell yourselves when you feel like this?  How do you cope?  I've been a T1D for 22 years, but have only now really gotten much better control.  This sub has always helped tremendously, so I though I'd ask.  How do you cope?  </t>
        </is>
      </c>
      <c r="D5852" t="n">
        <v>1</v>
      </c>
      <c r="E5852" t="n">
        <v>10</v>
      </c>
      <c r="F5852">
        <f>HYPERLINK("https://www.reddit.com/r/diabetes/comments/aa3k2d/how_do_you_cope/")</f>
        <v/>
      </c>
      <c r="G5852" t="inlineStr">
        <is>
          <t>2018-12-27 13:43:12</t>
        </is>
      </c>
      <c r="H5852" t="inlineStr">
        <is>
          <t>Type 1</t>
        </is>
      </c>
    </row>
    <row r="5853">
      <c r="A5853" t="inlineStr">
        <is>
          <t>aa68lq</t>
        </is>
      </c>
      <c r="B5853" t="inlineStr">
        <is>
          <t>Neuropathy and not feeling hypos. Please help</t>
        </is>
      </c>
      <c r="C5853" t="inlineStr">
        <is>
          <t>Male T1 diagnosed @11 currently 21. Pharmacy student 3rd yr
All I’ve been for the past week is just depressed and depressed and depressed. 
So let me explain and I SEEK anyone’s advice or knowledge
So overall in my 10 years, I haven’t been controlling diabetes for the most part, just you know the average kid embarrassed at elementary and high school to poke and inject (I’d bust that thing anywhere anytime now, completely changed)
No one really explained the severe complications I’d face as a kid so I just thought ‘complications will come when I’m like 50-60
So for the past 2-3 weeks, I’ve been feeling tingling, muscle spasms all over heavy leg. No numbness and I’ve concluded it’s essentially polyneuropathy. It’s not constant, just kinda comes and goes throughout the day. Because I’ve been trying really hard to bring those levels down for the past 3 months. I went low lots this past week and I measured 1.8 and I wasn’t even aware of my low 😰 and then I feel extremely cold afterwards for a while 
My sugars have been very good this past month, but I had A1C of 87 this summer. And just last week it was 65. So I’m doing great and on the right track. 
-Does anyone know if I can reverse this neuropathic pain (any meds to help, I get rx’ed amitryptylline but don’t wanna start cause I study S/E and they’re crap and pain is bearable at this point
 -What’s the best way for me to start recognizing hypo symptoms (hot, sweaty, hungry)
I’m extremely depressed and sometimes think that I wanna end my life cause what’s the point of living with all this pain?</t>
        </is>
      </c>
      <c r="D5853" t="n">
        <v>1</v>
      </c>
      <c r="E5853" t="n">
        <v>10</v>
      </c>
      <c r="F5853">
        <f>HYPERLINK("https://www.reddit.com/r/diabetes/comments/aa68lq/neuropathy_and_not_feeling_hypos_please_help/")</f>
        <v/>
      </c>
      <c r="G5853" t="inlineStr">
        <is>
          <t>2018-12-27 19:00:07</t>
        </is>
      </c>
      <c r="H5853" t="inlineStr">
        <is>
          <t>Type 1</t>
        </is>
      </c>
    </row>
    <row r="5854">
      <c r="A5854" t="inlineStr">
        <is>
          <t>aa6uov</t>
        </is>
      </c>
      <c r="B5854" t="inlineStr">
        <is>
          <t>Help from any programmers - especially if you have freestyle libre - looking to scrape data</t>
        </is>
      </c>
      <c r="C5854" t="inlineStr">
        <is>
          <t>I am a freestyle libre user.  I'm not the greatest web developer, but what I am trying to do is to scrape the raw data collected by the freestyle libre.   Its stored on the official website here: [https://www2.libreview.com/Accounts/Login?lang=en&amp;amp;country=US](https://www2.libreview.com/Accounts/Login?lang=en&amp;amp;country=US) with a link at the very bottom called "Export Patient's Glucose Data".  I can't seem to figure out how to programmatically download this CSV file.  It seems to be hidden behind a 'are you a robot' popup as well.
&amp;amp;#x200B;
Hopefully if I can get this data, I can start plotting, aggregating metrics, and running basic simulations about insulin dosage.
&amp;amp;#x200B;
Appreciate it!</t>
        </is>
      </c>
      <c r="D5854" t="n">
        <v>1</v>
      </c>
      <c r="E5854" t="n">
        <v>10</v>
      </c>
      <c r="F5854">
        <f>HYPERLINK("https://www.reddit.com/r/diabetes/comments/aa6uov/help_from_any_programmers_especially_if_you_have/")</f>
        <v/>
      </c>
      <c r="G5854" t="inlineStr">
        <is>
          <t>2018-12-27 20:18:43</t>
        </is>
      </c>
      <c r="H5854" t="inlineStr">
        <is>
          <t>Type 1</t>
        </is>
      </c>
    </row>
    <row r="5855">
      <c r="A5855" t="inlineStr">
        <is>
          <t>aa893x</t>
        </is>
      </c>
      <c r="B5855" t="inlineStr">
        <is>
          <t>How does blood sugar increase after exercising?</t>
        </is>
      </c>
      <c r="C5855" t="inlineStr">
        <is>
          <t>This happened yesterday. I have started working out recently. And for the workout days, I eat a sandwich 3 hour prior to the workout. And I measure right before the workout starts. So, it was 230 mg/dL before the workout. I thought it was an OK sugar level since I was going to start spending above-average energy soon.  
During the workout, I only drank water, nothing else. After the workout, I measured again. It was 238 mg/dL. How does this happen?  
Note, it was an extensive workout yesterday, the trainer kept going forever. So, my theory is that my blood sugar was so low at some point (although I didn't feel so, probably due to the adrenaline) the cells in my body started releasing some sugar to the bloodstream... Is that even possible for us diabetics? If so, can someone share what the phenomenon is called?</t>
        </is>
      </c>
      <c r="D5855" t="n">
        <v>1</v>
      </c>
      <c r="E5855" t="n">
        <v>3</v>
      </c>
      <c r="F5855">
        <f>HYPERLINK("https://www.reddit.com/r/diabetes/comments/aa893x/how_does_blood_sugar_increase_after_exercising/")</f>
        <v/>
      </c>
      <c r="G5855" t="inlineStr">
        <is>
          <t>2018-12-27 23:39:56</t>
        </is>
      </c>
      <c r="H5855" t="inlineStr">
        <is>
          <t>Type 1</t>
        </is>
      </c>
    </row>
    <row r="5856">
      <c r="A5856" t="inlineStr">
        <is>
          <t>aa8xql</t>
        </is>
      </c>
      <c r="B5856" t="inlineStr">
        <is>
          <t>i was type 2 diabetic keto saved my life!!!</t>
        </is>
      </c>
      <c r="C5856" t="inlineStr">
        <is>
          <t xml:space="preserve"> im a 24 year old guy with weight problem i had a terrible diet in the past 6 years with lots of carbs and sugary drinks i think probably 2 to 3 liters a day (i get all hydration from sugary drinks and no water at all), and huge portions on every meal basically 2 to 3 times the amount of an average person, and also way too much snacking between meals and midnight. not surprisingly i went from under 60kg to over 90 kg and was on dec. 10 diagnosed with type 2 diabetes with hba1c level being 14.7, it sounds astonishingly high i was scared of death and immediately checked into hospital on doctors demand. during first days of treatment doctors constantly told me i had to eat carbs and at the same time take insulin injection to get my bg under control, being afraid of more carbs in my body i refused to do so but they insisted its the only treatment for a type 2 diabetic and tried to convince me its a life long illness with no cure. i was very skeptical because it sounds pretty contradictory right, if this could work why cant i drop both and get same results? then i started doing my own research about diabetes treatments on the internet , i watched tons of videos finally i came across videos of dr. eric berg and dr. jason fung and learned the knowledge of keto diet and intermittent fasting, i learned humans dont need to eat carbs to survive because our liver can make glucose, i saw the video proofs of what miraculous effect it had on obese people and diabetics, some were even cured completely and returned to normal life. i was really aspired to give it a try, but doctors having never heard of such a thing downright rejected my thoughts as ignorant and antiscience, and continued to give me insulin doses despite my opposition and unwillingness. and also refuted my suggestion to include more animal fat and protein in my meals saying fat could worsen my fatty liver, cause more harm to my already bad liver function, and excess protein could ruin my kidney which are 2 other conditions i already have. so with a fair bit amount of insulin coming in everyday i had no choice but eat carbs to prevent low blood sugar but i still tried my best to eat as little carbs as possible, all i eat is one biscuit for a meal which is way below the nutritional guideline for diabetics, but very often i still get high bg, a sign that my diabetes is serious. then a few days into my persistence of low carb intake strange things happened, instead of having high bg as usual i start to have really low bg sometimes at dangerously low levels, with no dietary changes at all since day one i checked in, which is one biscuit for a meal. being confused whats happening i added more biscuits and even fruits on every meal to prevent low bg but it didnt help much. so i suspected my own pancrea is funcitoning again its probably a chance to get off insulin doses or other forms of medication, i immediately talked to doctors about positive changes taking place but they still wouldnt believe me, insisted i need more carbs to cope with it or i would have a glucose deficiency or worse than that, go into coma or die from low bg. being completely frustrated i drank a bottle of coke and after still got a normal bg result, seeing this solid proof they finally agreed to drop all my insulin and only gave me meds for kidney and liver. i stayed in hospital for 8 days in total. when i checked out my bg is completely normal, my liver has got so much better and i shedded 10 pounds, i ate sweets very occasionally to check if my bg is normal and results are all satisfactory. this all happened within a week of little carb diet, which totally disproves the doctors belief that type 2 diabetes is a life long illness. im not sure if my own insulin is working 100%, maybe its 50% or less according to some online experts, but still its a very very positive change and im gonna follow through keto and imtermittent fasting till my weight is normal, im sure when i achieve that my diabetes will be 100% cured. im probably the fastest healing diabetic these doctors have seen in their entire career, but ironically i found on my discharge report that doctor wrote "through doctors effort patients bg under good control, patients very uncooperative and refuses to take doctors advice". these days i did a bit more research and went on water fast, i know well what im doing and have taken all precautionary measures, today is the 3rd day of not eating any food and i plan to go 30 days, the main reason is to get thin and detox. very much hope to blow the doctors mind next time i pay them a visit in mid january. </t>
        </is>
      </c>
      <c r="D5856" t="n">
        <v>1</v>
      </c>
      <c r="E5856" t="n">
        <v>17</v>
      </c>
      <c r="F5856">
        <f>HYPERLINK("https://www.reddit.com/r/diabetes/comments/aa8xql/i_was_type_2_diabetic_keto_saved_my_life/")</f>
        <v/>
      </c>
      <c r="G5856" t="inlineStr">
        <is>
          <t>2018-12-28 01:42:26</t>
        </is>
      </c>
      <c r="H5856" t="inlineStr">
        <is>
          <t>Type 2</t>
        </is>
      </c>
    </row>
    <row r="5857">
      <c r="A5857" t="inlineStr">
        <is>
          <t>aab2jq</t>
        </is>
      </c>
      <c r="B5857" t="inlineStr">
        <is>
          <t>High sugar and weight gain</t>
        </is>
      </c>
      <c r="C5857" t="inlineStr">
        <is>
          <t>I cannot compensate well the blood sugar, it is always high past week (around 12 -16 mmol/L). I also started getting weight slowly but it is higher and higher. 
&amp;amp;#x200B;
My theory - I consume a lot of carbs. So a lot stays as not compensated and a lot are going as fat to my weight increase. Is it valid assumptions? Are there good literature to study how to compensate food properly.</t>
        </is>
      </c>
      <c r="D5857" t="n">
        <v>1</v>
      </c>
      <c r="E5857" t="n">
        <v>15</v>
      </c>
      <c r="F5857">
        <f>HYPERLINK("https://www.reddit.com/r/diabetes/comments/aab2jq/high_sugar_and_weight_gain/")</f>
        <v/>
      </c>
      <c r="G5857" t="inlineStr">
        <is>
          <t>2018-12-28 07:09:33</t>
        </is>
      </c>
      <c r="H5857" t="inlineStr">
        <is>
          <t>Type 1</t>
        </is>
      </c>
    </row>
    <row r="5858">
      <c r="A5858" t="inlineStr">
        <is>
          <t>aacmf5</t>
        </is>
      </c>
      <c r="B5858" t="inlineStr">
        <is>
          <t>Cramping</t>
        </is>
      </c>
      <c r="C5858" t="inlineStr">
        <is>
          <t>Last night, I had some Mcdonald’s. I took insulin via my Omnipod and my blood sugar dropped to 42. I ate food to raise my sugar up. 
As my sugar stabilized, I started getting some cramps on my hand. I thought it was just because I twisted it weirdly a few hours back. I ignored it and drove back home. Both my hands started to cramp badly. I put on a new pod. I checked my blood sugar and it was 232. I put in insulin and went to bed, hoping the cramps would go away. I woke up and had to use the restroom. 
With every movement, both my arms cramped up. Both my arms, particularly the left one, felt stiff and were cramping severely. I checked my bg and it was close to 400. I put in insulin and cried in pain. I found a position that worked and went to sleep.
I woke up a few minutes ago, my blood sugar is 273. Still high, but lower than 400... 
Anyways, is still normal? Why did high blood sugar cause my arms to cramp so badly? My pain tolerance is usually great but this broke me into tears. To put it in perspective, the last time I cried in pain was YEARS ago when I had the worst migraine headache ever. 
I have heard people getting leg/foot pain but not arm pain. This was so bad. Does anyone know if this is normal? Should I tell my endo?</t>
        </is>
      </c>
      <c r="D5858" t="n">
        <v>1</v>
      </c>
      <c r="E5858" t="n">
        <v>7</v>
      </c>
      <c r="F5858">
        <f>HYPERLINK("https://www.reddit.com/r/diabetes/comments/aacmf5/cramping/")</f>
        <v/>
      </c>
      <c r="G5858" t="inlineStr">
        <is>
          <t>2018-12-28 10:03:30</t>
        </is>
      </c>
      <c r="H5858" t="inlineStr">
        <is>
          <t>Type 1</t>
        </is>
      </c>
    </row>
    <row r="5859">
      <c r="A5859" t="inlineStr">
        <is>
          <t>aacn8u</t>
        </is>
      </c>
      <c r="B5859" t="inlineStr">
        <is>
          <t>Any medication I can take as a T1 to increase insulin sensitivity, or make Humalog act faster?</t>
        </is>
      </c>
      <c r="C5859" t="inlineStr">
        <is>
          <t>I've been pumping for quite a while. I was doing pretty well on Novolog but about a year ago insurance forced me over to Humalog. Humalog, in my experience, takes about 2x as long to take effect, and takes like 4x what I'm used to to bring a high down once it happens (which is every day). 
&amp;amp;#x200B;
My Endo gave me a sample of Fiasp, but I haven't even bothered trying it because I checked up front and insurance will refuse to pay for that as well. So I'm basically stuck with Humalog.
&amp;amp;#x200B;
Is there anything I can do to increase sensitivity, or improve the delay? Yea I know exercise is probably the best option but I'm juggling a full time job and parenting a 10 month old child, so that's not always an option.</t>
        </is>
      </c>
      <c r="D5859" t="n">
        <v>1</v>
      </c>
      <c r="E5859" t="n">
        <v>19</v>
      </c>
      <c r="F5859">
        <f>HYPERLINK("https://www.reddit.com/r/diabetes/comments/aacn8u/any_medication_i_can_take_as_a_t1_to_increase/")</f>
        <v/>
      </c>
      <c r="G5859" t="inlineStr">
        <is>
          <t>2018-12-28 10:06:00</t>
        </is>
      </c>
      <c r="H5859" t="inlineStr">
        <is>
          <t>Type 1</t>
        </is>
      </c>
    </row>
    <row r="5860">
      <c r="A5860" t="inlineStr">
        <is>
          <t>aaegen</t>
        </is>
      </c>
      <c r="B5860" t="inlineStr">
        <is>
          <t>Anyone else get insanely high after working out?</t>
        </is>
      </c>
      <c r="C5860" t="inlineStr">
        <is>
          <t>I'm a type 1 diabetic and I've been doing High intensity interval training. Since starting there hasn't been a day I leave my gym lower than 250. Anyone know how this could be remedied? I've tried eating a 20g snack before hand and that didn't work. I've also tried giving myself 3 extra units of Novolog before the workout. This method seems to work but it also causes me to drop low in the beginning  of my workout. Does anyone else try anything different to help this case?</t>
        </is>
      </c>
      <c r="D5860" t="n">
        <v>1</v>
      </c>
      <c r="E5860" t="n">
        <v>2</v>
      </c>
      <c r="F5860">
        <f>HYPERLINK("https://www.reddit.com/r/diabetes/comments/aaegen/anyone_else_get_insanely_high_after_working_out/")</f>
        <v/>
      </c>
      <c r="G5860" t="inlineStr">
        <is>
          <t>2018-12-28 13:17:37</t>
        </is>
      </c>
      <c r="H5860" t="inlineStr">
        <is>
          <t>Type 1</t>
        </is>
      </c>
    </row>
    <row r="5861">
      <c r="A5861" t="inlineStr">
        <is>
          <t>aaeh2g</t>
        </is>
      </c>
      <c r="B5861" t="inlineStr">
        <is>
          <t>What's your treatment like?</t>
        </is>
      </c>
      <c r="C5861" t="inlineStr">
        <is>
          <t xml:space="preserve">Hello my fellow useless pancreases. I've been a T1 for about 8 years now, and actually, I don't know a lot of diabetics 😭
So, I'm curious about your numbers and the experiences you had. I'd appreciate if you replied to this post with the following info. I will start.  
**Age:** 26 | **Diabetic for:** 8 years  
**Height:** 6' 2 | **Weight:** 210 lbs
**Daily Basal:** 24 u - Lantus  
**Pre Bolus:** between 4 to 12 u  - Humalog
**Last A1c:** 8% (down from 10% one year ago)  
**Biggest problem/fear:** Frequent hypos during sleep, living alone  
&amp;amp;#x200B;
</t>
        </is>
      </c>
      <c r="D5861" t="n">
        <v>1</v>
      </c>
      <c r="E5861" t="n">
        <v>14</v>
      </c>
      <c r="F5861">
        <f>HYPERLINK("https://www.reddit.com/r/diabetes/comments/aaeh2g/whats_your_treatment_like/")</f>
        <v/>
      </c>
      <c r="G5861" t="inlineStr">
        <is>
          <t>2018-12-28 13:19:41</t>
        </is>
      </c>
      <c r="H5861" t="inlineStr">
        <is>
          <t>Type 1</t>
        </is>
      </c>
    </row>
    <row r="5862">
      <c r="A5862" t="inlineStr">
        <is>
          <t>aammqz</t>
        </is>
      </c>
      <c r="B5862" t="inlineStr">
        <is>
          <t>Omnipod users, how do you transport your PDM when you go out?</t>
        </is>
      </c>
      <c r="C5862" t="inlineStr">
        <is>
          <t>Transporting my diabetes in a convenient and fashionable way has always proved to be a challenge for me. Since I wear a CGM that links with my phone, I usually only need to bring my  Omnipod PDM when I go out for drinks at the bar or something.
Many times I will just throw my PDM in my jacket pocket. However, I am looking for other options to explore, especially when I don’t have a jacket. Pants pockets can sometime work, but often time they get crowded with my phone, wallet, and keys.
I’m curious about what fashionable options the community has explored for transporting a PDM or other similar devices. Also, I am a guy and I’m not super inclined to “man-bags” or “murses.”</t>
        </is>
      </c>
      <c r="D5862" t="n">
        <v>1</v>
      </c>
      <c r="E5862" t="n">
        <v>2</v>
      </c>
      <c r="F5862">
        <f>HYPERLINK("https://www.reddit.com/r/diabetes/comments/aammqz/omnipod_users_how_do_you_transport_your_pdm_when/")</f>
        <v/>
      </c>
      <c r="G5862" t="inlineStr">
        <is>
          <t>2018-12-29 08:42:37</t>
        </is>
      </c>
      <c r="H5862" t="inlineStr">
        <is>
          <t>Type 1</t>
        </is>
      </c>
    </row>
    <row r="5863">
      <c r="A5863" t="inlineStr">
        <is>
          <t>aaojdj</t>
        </is>
      </c>
      <c r="B5863" t="inlineStr">
        <is>
          <t>Chestnuts!</t>
        </is>
      </c>
      <c r="C5863" t="inlineStr">
        <is>
          <t>Just ate a few. Should not have assumed they are like other nuts. Jacked my bs to 275 from 112. Diabetes blows!!</t>
        </is>
      </c>
      <c r="D5863" t="n">
        <v>1</v>
      </c>
      <c r="E5863" t="n">
        <v>2</v>
      </c>
      <c r="F5863">
        <f>HYPERLINK("https://www.reddit.com/r/diabetes/comments/aaojdj/chestnuts/")</f>
        <v/>
      </c>
      <c r="G5863" t="inlineStr">
        <is>
          <t>2018-12-29 12:14:06</t>
        </is>
      </c>
      <c r="H5863" t="inlineStr">
        <is>
          <t>Type 2</t>
        </is>
      </c>
    </row>
    <row r="5864">
      <c r="A5864" t="inlineStr">
        <is>
          <t>aapmnl</t>
        </is>
      </c>
      <c r="B5864" t="inlineStr">
        <is>
          <t>Cancer</t>
        </is>
      </c>
      <c r="C5864" t="inlineStr">
        <is>
          <t>So I have cancer, I found out three days ago. I had cancer as a child so it wasn’t a huge shock to the system. But if anyone here has had cancer, specifically type 1s or anyone really that’s insulin dependent - what should I expect from chemo/radiation/steroids/immunotherapy? I wasn’t in control of my diabetes last time I had cancer so I have no idea what my BG was like then. What does all the drugs and treatments do to your BG? I’m pretty sure I’ll be getting a GJ tube early on as I’ll be vomiting whatever enters my stomach and it worked for me last time, and vomiting food is obviously very dangerous for insulin users. I’m probably going to try and see my endo some time before I start treatment in February, but this is my main concern at this point, I can’t find anything online talking about this. TIA.</t>
        </is>
      </c>
      <c r="D5864" t="n">
        <v>1</v>
      </c>
      <c r="E5864" t="n">
        <v>0</v>
      </c>
      <c r="F5864">
        <f>HYPERLINK("https://www.reddit.com/r/diabetes/comments/aapmnl/cancer/")</f>
        <v/>
      </c>
      <c r="G5864" t="inlineStr">
        <is>
          <t>2018-12-29 14:14:12</t>
        </is>
      </c>
      <c r="H5864" t="inlineStr">
        <is>
          <t>Type 1</t>
        </is>
      </c>
    </row>
    <row r="5865">
      <c r="A5865" t="inlineStr">
        <is>
          <t>aasciv</t>
        </is>
      </c>
      <c r="B5865" t="inlineStr">
        <is>
          <t>Exocrine Pancreatic Insufficiency?</t>
        </is>
      </c>
      <c r="C5865" t="inlineStr">
        <is>
          <t xml:space="preserve">Hi,
I was diagnosed with EPI on Friday. My doctor is doing tests for malabsorption this week, and then is saying that I will likely go on enzymes. She also said that my diabetes and IBS are caused by my Pancreatic Insufficiency, and she suspects that I have an autoimmune disorder. Does anyone else have an EPI diagnosis? Did your diabetes stop after you got on Pancreatic enzymes, or did it just become more easily controlled? Unfortunately, my doctor did not have more time, and I am left with more questions than answers. </t>
        </is>
      </c>
      <c r="D5865" t="n">
        <v>1</v>
      </c>
      <c r="E5865" t="n">
        <v>5</v>
      </c>
      <c r="F5865">
        <f>HYPERLINK("https://www.reddit.com/r/diabetes/comments/aasciv/exocrine_pancreatic_insufficiency/")</f>
        <v/>
      </c>
      <c r="G5865" t="inlineStr">
        <is>
          <t>2018-12-29 19:40:16</t>
        </is>
      </c>
      <c r="H5865" t="inlineStr">
        <is>
          <t>Type 2</t>
        </is>
      </c>
    </row>
    <row r="5866">
      <c r="A5866" t="inlineStr">
        <is>
          <t>aatbfe</t>
        </is>
      </c>
      <c r="B5866" t="inlineStr">
        <is>
          <t>Help me get over whatever my mental block is.. Please?</t>
        </is>
      </c>
      <c r="C5866" t="inlineStr">
        <is>
          <t>I was diagnosed T2 about 4 years ago.  I immediately started following the Keto diet, exercised regularly, snd focused on water and diet soft drinks.  I lost about 30 pounds and went form a  13.x A1C to 6.2 over the course of a few months.
&amp;amp;#x200B;
I had bouts of semi depression, feeling sorry for myself and what not, but i kept taking my meds and following my eating and exercise routines.   I had an amazingly supportive girl friend who logged my meals, harrassed me to work out, and rewarded me.  Then we had a nasty break up and i was just like.. fuck it.  Around the same time I lost my insurance as well so there went medication and Dr visits.  That was about 2 years ago.
&amp;amp;#x200B;
Over the course of the last 2 years, Ive really half-assed it.  Taking meds when i could get them, drinking sugary drinks, processed bullshit food, and not exercising at all.
&amp;amp;#x200B;
I recently moved away from anything resembling a support system for a great job.  I now have insurance.  Ive still been eating like shit and not exercising, and to top it off I work 12 hour shifts at a desk.  I can see my health deteriorating.  I have pretty complete neuropathy in both feet.  My right foot/lower leg swell regularly because of the hours im at a desk.  I got a cut on my big toe on my right foot, and it has grown into an ulcer.  Ive taken care of it for a month, but it isnt dissipating, and now my leg is red and warm, likely infected.  Im scared to death of losing a toe let alone a foot or a half leg, and I know thats where Im heading, but its like for some reason Im more scared to see a Dr.
&amp;amp;#x200B;
Im sorry for the wall of text.  I know I need to make a change.  I make enough money to eat healthily.  I have no responsibilities to keep me from seeing a Dr and focusing on my health.  There is some kind of mental block that is keeping me from doing what I need to.
&amp;amp;#x200B;
Can someone scare/talk/threaten/chastise/humiliate me to do what I need to do?  IDK where the disconnect is, especially since I can see my foot health deteriorating and yet still for some reason I'm bullshitting.  Ive lurked here for quite a while, and you seem like a helpful and knowledgable group.  HELP!</t>
        </is>
      </c>
      <c r="D5866" t="n">
        <v>1</v>
      </c>
      <c r="E5866" t="n">
        <v>28</v>
      </c>
      <c r="F5866">
        <f>HYPERLINK("https://www.reddit.com/r/diabetes/comments/aatbfe/help_me_get_over_whatever_my_mental_block_is/")</f>
        <v/>
      </c>
      <c r="G5866" t="inlineStr">
        <is>
          <t>2018-12-29 21:53:23</t>
        </is>
      </c>
      <c r="H5866" t="inlineStr">
        <is>
          <t>Type 2</t>
        </is>
      </c>
    </row>
    <row r="5867">
      <c r="A5867" t="inlineStr">
        <is>
          <t>aau6tt</t>
        </is>
      </c>
      <c r="B5867" t="inlineStr">
        <is>
          <t>Tastiest drink recipe apart from water that does not spike your sugar?</t>
        </is>
      </c>
      <c r="C5867" t="inlineStr">
        <is>
          <t xml:space="preserve">I can’t sleep. So I thought maybe I should ask a question since I am drinking diet sodas nowadays and sodas are bad and water is the best—that’s what I have heard. 
Green tea, mint leaves in water, blueberry, water, mint. </t>
        </is>
      </c>
      <c r="D5867" t="n">
        <v>1</v>
      </c>
      <c r="E5867" t="n">
        <v>41</v>
      </c>
      <c r="F5867">
        <f>HYPERLINK("https://www.reddit.com/r/diabetes/comments/aau6tt/tastiest_drink_recipe_apart_from_water_that_does/")</f>
        <v/>
      </c>
      <c r="G5867" t="inlineStr">
        <is>
          <t>2018-12-30 00:14:49</t>
        </is>
      </c>
      <c r="H5867" t="inlineStr">
        <is>
          <t>Type 2</t>
        </is>
      </c>
    </row>
    <row r="5868">
      <c r="A5868" t="inlineStr">
        <is>
          <t>aaxlg2</t>
        </is>
      </c>
      <c r="B5868" t="inlineStr">
        <is>
          <t>Menstrual Cycle and Type 1</t>
        </is>
      </c>
      <c r="C5868" t="inlineStr">
        <is>
          <t>This is one if for my fellow type 1 ladies. I tried to see if there were any posts on the effects that your period or menstrual cycle in general has on your BG levels, but didn't really find anything.   
I am coming out of my honeymoon phase now. I was lucky enough to have a honeymoon of about 3 years.  This last year has been a rollercoaster ride for my BG levels. Some weeks I'm on low doses of basal and bolus and its smooth sailing. Then the next week my BG is 260+ CONSTANTLY when I'm doing legit the same damn things (eating, cardio, etc.). I started logging my BG levels+ comments in a little book and I noticed that my BG tends to rise the week before I'm due for my period. I never noticed this before, perhaps my honeymoon phase was compensating for the rise in BG around this time? Does anyone else experience this?
&amp;amp;#x200B;
I also noticed that my BG in general is MUCH higher when I'm on birth control. So I have stopped taking the pill for now so I can try to figure out if there is some sort of pattern. Has anyone else experienced a rise in BG when on the pill?</t>
        </is>
      </c>
      <c r="D5868" t="n">
        <v>1</v>
      </c>
      <c r="E5868" t="n">
        <v>11</v>
      </c>
      <c r="F5868">
        <f>HYPERLINK("https://www.reddit.com/r/diabetes/comments/aaxlg2/menstrual_cycle_and_type_1/")</f>
        <v/>
      </c>
      <c r="G5868" t="inlineStr">
        <is>
          <t>2018-12-30 09:09:28</t>
        </is>
      </c>
      <c r="H5868" t="inlineStr">
        <is>
          <t>Type 1</t>
        </is>
      </c>
    </row>
    <row r="5869">
      <c r="A5869" t="inlineStr">
        <is>
          <t>ab1fro</t>
        </is>
      </c>
      <c r="B5869" t="inlineStr">
        <is>
          <t>Question about buying / using MiaoMiao in South America</t>
        </is>
      </c>
      <c r="C5869" t="inlineStr">
        <is>
          <t>Freestyle users: My sister (T1, debuted 2017) is using the Freestyle Libre, and we have read a lot of good things about the MiaoMiao for making it somewhat closer to a CGM. However, we live in Argentina, and when we looked into buying it, the sales rep on facebook wasn't sure it would work with the 14 days sensors we get here. 
&amp;amp;#x200B;
Actually, initially they told me that it wouldn't work at all. However, I had seen they sell the MiaoMiao in Brazil, and as far as I can tell from the Abbott site for Brazil, they get 14 days sensors over there as well, so I suspect they were thinking about the 14 days sensors that are recently being sold in USA. I'm not sure how they're all different. (Customer service in Spanish for Abbott couldn't really help me to understand that either, and the Brazil sales rep for the MiaoMiao didn't appear to have much of a clue either.)
&amp;amp;#x200B;
Anyway!  I was hoping someone else using freestyle in Argentina or Brazil or any other country in the region has used MiaoMiao, or knows if we get the same sensors as Brazil?</t>
        </is>
      </c>
      <c r="D5869" t="n">
        <v>1</v>
      </c>
      <c r="E5869" t="n">
        <v>3</v>
      </c>
      <c r="F5869">
        <f>HYPERLINK("https://www.reddit.com/r/diabetes/comments/ab1fro/question_about_buying_using_miaomiao_in_south/")</f>
        <v/>
      </c>
      <c r="G5869" t="inlineStr">
        <is>
          <t>2018-12-30 16:02:46</t>
        </is>
      </c>
      <c r="H5869" t="inlineStr">
        <is>
          <t>Type 1</t>
        </is>
      </c>
    </row>
    <row r="5870">
      <c r="A5870" t="inlineStr">
        <is>
          <t>ab2agb</t>
        </is>
      </c>
      <c r="B5870" t="inlineStr">
        <is>
          <t>Dexcom G6 Problems</t>
        </is>
      </c>
      <c r="C5870" t="inlineStr">
        <is>
          <t>Hi folks!
&amp;amp;#x200B;
I've been T1D for 9 years and I'm 21F. I've been on the Omnipod for 8 years and I've been using a Dexcom CGM since 2014. I started using the G6 since early September and I haven't gotten through a full sensor session once. Around the sixth or seventh day, the thing will crap out on me and eventually die. 
I've been following the instructions, I have been scratching around the adhesive (per the instructions), I've cleared redundant Bluetooth devices from my phone. I went to my doctor and he suggested using SkinTac on the adhesive patch itself and applying an additional adhesive barrier (ones given specifically by Dexcom) to keep the wire from moving around and losing my signal. I wear this thing exclusively on my stomach (I don't have any scar tissue that I'm aware of, my Dexcom and Omnipod don't share sites). I'm not rough with the sensors, I'm very careful not to snag the sensor on my waistbands, I didn't have issues like this with the G5, I used it for ***years*** and it was nothing like this. I like the accuracy and the new application method of the G6, but the unreliability and inconsistency of it is really annoying and, frankly quite disheartening. I'm getting tired of being woken up in the middle of the night to change sensors or the thing dying at a time and place where I won't be able to change it and I have to use my meter or fly blind all day. 
&amp;amp;#x200B;
I've lost count of the number of times I've had to call Dexcom and deal with their customer service. I don't know what's wrong. I'm honestly at my wits' end and I'd really appreciate some insight if anyone has any advice for me.</t>
        </is>
      </c>
      <c r="D5870" t="n">
        <v>1</v>
      </c>
      <c r="E5870" t="n">
        <v>6</v>
      </c>
      <c r="F5870">
        <f>HYPERLINK("https://www.reddit.com/r/diabetes/comments/ab2agb/dexcom_g6_problems/")</f>
        <v/>
      </c>
      <c r="G5870" t="inlineStr">
        <is>
          <t>2018-12-30 17:38:15</t>
        </is>
      </c>
      <c r="H5870" t="inlineStr">
        <is>
          <t>Type 1</t>
        </is>
      </c>
    </row>
    <row r="5871">
      <c r="A5871" t="inlineStr">
        <is>
          <t>abbcqm</t>
        </is>
      </c>
      <c r="B5871" t="inlineStr">
        <is>
          <t>New Medtronic Guardian Link Sensor Upgrade</t>
        </is>
      </c>
      <c r="C5871" t="inlineStr">
        <is>
          <t xml:space="preserve">I got one. It failed to transmit after three days and they're replacing it. 
It only took 37 minutes on the phone with tech support; they haven't heard of this happening to everyone else.  
Hope everyone else has better luck, but so far for me it looks new but not very improved. </t>
        </is>
      </c>
      <c r="D5871" t="n">
        <v>1</v>
      </c>
      <c r="E5871" t="n">
        <v>2</v>
      </c>
      <c r="F5871">
        <f>HYPERLINK("https://www.reddit.com/r/diabetes/comments/abbcqm/new_medtronic_guardian_link_sensor_upgrade/")</f>
        <v/>
      </c>
      <c r="G5871" t="inlineStr">
        <is>
          <t>2018-12-31 13:17:04</t>
        </is>
      </c>
      <c r="H5871" t="inlineStr">
        <is>
          <t>Type 1</t>
        </is>
      </c>
    </row>
    <row r="5872">
      <c r="A5872" t="inlineStr">
        <is>
          <t>abcvr2</t>
        </is>
      </c>
      <c r="B5872" t="inlineStr">
        <is>
          <t>Sugarmate data safety</t>
        </is>
      </c>
      <c r="C5872" t="inlineStr">
        <is>
          <t>Hi everyone!
I've been using the Sugarmate app for the last couple months, and it's an awesome app for replacing the standard Dexcom one.
However, since it's a free app, that stores your (extremely) personal data on their serves, I was wondering how they make money. By reading their Privacy Policy, they make it clear they they can use your "Data Services Information" "for our business purposes as we determine, such as research and development, product improvements, business operations and process improvements, marketing purposes, including disclosing such de-identified data to third parties for their use as we determine."
While this is nowhere rare these days, I was wondering if someone has more information regarding this. I was really curious if someone is aware of who these third parties may be.
I'm not saying that I will stop using the app (I won't. It's great and years ahead the standard Dexcom app), but I would be happy to know more about who is actually receiving my data.</t>
        </is>
      </c>
      <c r="D5872" t="n">
        <v>1</v>
      </c>
      <c r="E5872" t="n">
        <v>3</v>
      </c>
      <c r="F5872">
        <f>HYPERLINK("https://www.reddit.com/r/diabetes/comments/abcvr2/sugarmate_data_safety/")</f>
        <v/>
      </c>
      <c r="G5872" t="inlineStr">
        <is>
          <t>2018-12-31 16:03:42</t>
        </is>
      </c>
      <c r="H5872" t="inlineStr">
        <is>
          <t>Type 1</t>
        </is>
      </c>
    </row>
    <row r="5873">
      <c r="A5873" t="inlineStr">
        <is>
          <t>abiyt4</t>
        </is>
      </c>
      <c r="B5873" t="inlineStr">
        <is>
          <t>T1 with chronically itchy scalp...HELP!</t>
        </is>
      </c>
      <c r="C5873" t="inlineStr">
        <is>
          <t>Kinda gross but desperately need help!
&amp;amp;#x200B;
I am a T1 on a pump with moderately good control (do still have both hyper and hypo glycemic bouts at times) that has been struggling with REALLY itchy scalp and sometimes accompanying scalp acne (folliculitis.)  Interestingly enough I do not get classic dandruff as there is no flaking but my head itches like crazy and the bumps are sore to the touch and sometimes can be popped like any pimple if they get big enough.
&amp;amp;#x200B;
I have tried all of the OTC dandruff and antibacterial shampoos, tea tree oil and other scalp moisturizing treatments, washed my hair more frequently, washed it less frequently or not at all of a stretch and nothing is helping.  Has anyone else suffered with this and found a cure?
&amp;amp;#x200B;
Itchy in Idaho.</t>
        </is>
      </c>
      <c r="D5873" t="n">
        <v>1</v>
      </c>
      <c r="E5873" t="n">
        <v>9</v>
      </c>
      <c r="F5873">
        <f>HYPERLINK("https://www.reddit.com/r/diabetes/comments/abiyt4/t1_with_chronically_itchy_scalphelp/")</f>
        <v/>
      </c>
      <c r="G5873" t="inlineStr">
        <is>
          <t>2019-01-01 07:29:59</t>
        </is>
      </c>
      <c r="H5873" t="inlineStr">
        <is>
          <t>Type 1</t>
        </is>
      </c>
    </row>
    <row r="5874">
      <c r="A5874" t="inlineStr">
        <is>
          <t>abjwx5</t>
        </is>
      </c>
      <c r="B5874" t="inlineStr">
        <is>
          <t>Insulin newbie here</t>
        </is>
      </c>
      <c r="C5874" t="inlineStr">
        <is>
          <t xml:space="preserve">I was diagnosed with type 2 probably about 8 years ago. I’ve always just been on metformin and have had really good control - typical HbA1c was in the 6’s. Then all of a sudden, out of nowhere, I had an 11. I had made no changes to my diet/exercise routine- in fact, I was eating better than I had before. My primary care doctor had been managing my diabetes up until then, and I was sent to an endro a couple moths ago who put me on insulin.  She said I have become insulin resistant, possibly due to polycystic ovarian syndrome, which she recommended I get tested for by my OBGYN, since I seem to fit all of the indicators for it. 
I now take a single dose of long acting insulin at night. I started out at 10 units, and was told to increase the dosage every 3-5 days until my fasting blood sugar when tested in the morning was in normal range. 
Well I’m now up to 38 units at night, and there has been little change to my morning sugars. I’m watching what I eat and have been doing everything right, but I feel like that’s a big dose to take with no change occurring. I emailed her last week with my concerns and she said just keep increasing the dosage. 
Should I be pushing my concerns more with the doctor about having to use so much?  Or is that a “normal” dosage of long acting insulin?  
And just a vent right here- why do insurance companies say that CGMs are considered a “convenience” item and not cover them?!  
Thanks for any suggestions </t>
        </is>
      </c>
      <c r="D5874" t="n">
        <v>1</v>
      </c>
      <c r="E5874" t="n">
        <v>3</v>
      </c>
      <c r="F5874">
        <f>HYPERLINK("https://www.reddit.com/r/diabetes/comments/abjwx5/insulin_newbie_here/")</f>
        <v/>
      </c>
      <c r="G5874" t="inlineStr">
        <is>
          <t>2019-01-01 09:25:09</t>
        </is>
      </c>
      <c r="H5874" t="inlineStr">
        <is>
          <t>Type 2</t>
        </is>
      </c>
    </row>
    <row r="5875">
      <c r="A5875" t="inlineStr">
        <is>
          <t>abrw70</t>
        </is>
      </c>
      <c r="B5875" t="inlineStr">
        <is>
          <t>Alpha cell activity and exogenous insulin, question (especially to endos around here!)</t>
        </is>
      </c>
      <c r="C5875" t="inlineStr">
        <is>
          <t>In non diabetics, insulin is secreted by the beta cells and passes by the alpha cells, because the beta cells are surrounded by the alpha cells. This means that the alpha cells are hit by highly concentrated insulin right away as it is secreted, and this immediately inhibits their glucagon release. The insulin then reaches the liver, which takes up a lot of it, and *then* the rest of the insulin travels to the rest of the body.
In our case, the insulin comes from the outside, so it reaches some fat cells *before* it reaches the liver and pancreas. This means that a potentially relatively higher amount of insulin reaches the fat cells, plus a lower concentration of insulin reaches the pancreas, so the alpha cells are not inhibited as much or as quickly. The exogenous insulin also does not reach the liver as quickly.
This means that T1 tend to have higher amounts of glucagon, and need *more* insulin to control the BG.
What does this mean in practice? Are we more prone to weight gain after all? If so, is it a significant increase in likelihood? What other net effects can this have? And since the alpha cells in a T1 no longer have beta cell counterparts, can the alpha cells eventually fail as well?</t>
        </is>
      </c>
      <c r="D5875" t="n">
        <v>1</v>
      </c>
      <c r="E5875" t="n">
        <v>3</v>
      </c>
      <c r="F5875">
        <f>HYPERLINK("https://www.reddit.com/r/diabetes/comments/abrw70/alpha_cell_activity_and_exogenous_insulin/")</f>
        <v/>
      </c>
      <c r="G5875" t="inlineStr">
        <is>
          <t>2019-01-02 01:32:42</t>
        </is>
      </c>
      <c r="H5875" t="inlineStr">
        <is>
          <t>Type 1</t>
        </is>
      </c>
    </row>
    <row r="5876">
      <c r="A5876" t="inlineStr">
        <is>
          <t>abtyra</t>
        </is>
      </c>
      <c r="B5876" t="inlineStr">
        <is>
          <t>Spare MiniMed Sure-T and MiniMed Quick Set</t>
        </is>
      </c>
      <c r="C5876" t="inlineStr">
        <is>
          <t>So I got two packages of MiniMed Sure-T and two packages of MiniMed Quick set here. I don't need them anymore. Am I actually allowed to sell them? I'm from Germany.</t>
        </is>
      </c>
      <c r="D5876" t="n">
        <v>1</v>
      </c>
      <c r="E5876" t="n">
        <v>0</v>
      </c>
      <c r="F5876">
        <f>HYPERLINK("https://www.reddit.com/r/diabetes/comments/abtyra/spare_minimed_suret_and_minimed_quick_set/")</f>
        <v/>
      </c>
      <c r="G5876" t="inlineStr">
        <is>
          <t>2019-01-02 06:41:49</t>
        </is>
      </c>
      <c r="H5876" t="inlineStr">
        <is>
          <t>Type 1</t>
        </is>
      </c>
    </row>
    <row r="5877">
      <c r="A5877" t="inlineStr">
        <is>
          <t>abv2ad</t>
        </is>
      </c>
      <c r="B5877" t="inlineStr">
        <is>
          <t>How do I accept that I have diabetes ?</t>
        </is>
      </c>
      <c r="C5877" t="inlineStr">
        <is>
          <t>This has been a problem with me for a while now and enough is enough. My mother has type 2 diabetes (semi-controlled) and a good portion of both sides of my family also have diabtetes whether type 1 or 2. For the longest I didn’t want to be responsible for my health, I had too much anxiety getting blood work, being weighed, etc. all because I was bad at taking care of myself and didn’t want to see the damage.
With 2019 upon us, I decided it’s either now or never to take care of myself as best as possible.
I’ve begun working out, counting calories and eating better food. The thing is I still can’t accept that I have diabetes and I don’t know why! In a way I feel embarrassed and ashamed  to have let myself go down a path of unhealthy. (I’m very overweight and lazy) I haven’t even told my family that I am type 2 and that I should be changing my diet and my lifestyle. How do I accept this? 
I know it isn’t going away and I’ve gotta learn to accept it or else I’ll just end up the same way as last year.</t>
        </is>
      </c>
      <c r="D5877" t="n">
        <v>1</v>
      </c>
      <c r="E5877" t="n">
        <v>4</v>
      </c>
      <c r="F5877">
        <f>HYPERLINK("https://www.reddit.com/r/diabetes/comments/abv2ad/how_do_i_accept_that_i_have_diabetes/")</f>
        <v/>
      </c>
      <c r="G5877" t="inlineStr">
        <is>
          <t>2019-01-02 08:46:30</t>
        </is>
      </c>
      <c r="H5877" t="inlineStr">
        <is>
          <t>Type 2</t>
        </is>
      </c>
    </row>
    <row r="5878">
      <c r="A5878" t="inlineStr">
        <is>
          <t>abv46q</t>
        </is>
      </c>
      <c r="B5878" t="inlineStr">
        <is>
          <t>34, just got diagnosed with Latent Autoimmune Diabetes in the Adult (LADA). Scared, finding it hard to cope.</t>
        </is>
      </c>
      <c r="C5878" t="inlineStr">
        <is>
          <t xml:space="preserve">Just got back from the doctor's and got this diagnostic after 4 or so years of losing this battle with my A1C. Tried a bunch of stuff, it worked anywhere from a few weeks, to a few months and then it all went to shit again. </t>
        </is>
      </c>
      <c r="D5878" t="n">
        <v>1</v>
      </c>
      <c r="E5878" t="n">
        <v>27</v>
      </c>
      <c r="F5878">
        <f>HYPERLINK("https://www.reddit.com/r/diabetes/comments/abv46q/34_just_got_diagnosed_with_latent_autoimmune/")</f>
        <v/>
      </c>
      <c r="G5878" t="inlineStr">
        <is>
          <t>2019-01-02 08:52:03</t>
        </is>
      </c>
      <c r="H5878" t="inlineStr">
        <is>
          <t>Type 1.5/LADA</t>
        </is>
      </c>
    </row>
    <row r="5879">
      <c r="A5879" t="inlineStr">
        <is>
          <t>abx0c7</t>
        </is>
      </c>
      <c r="B5879" t="inlineStr">
        <is>
          <t>First A1C after finding out I'm Type 1, not Type 2, and going on insulin!!!</t>
        </is>
      </c>
      <c r="C5879" t="inlineStr">
        <is>
          <t>So I found out I was actually Type 1 about 3 weeks ago after thinking I was Type 2 for about 7 years and made a post here about it about 2 weeks ago: [https://www.reddit.com/r/diabetes/comments/a8mvp2/just\_found\_out\_im\_type\_1\_and\_not\_type\_2\_and\_i/](https://www.reddit.com/r/diabetes/comments/a8mvp2/just_found_out_im_type_1_and_not_type_2_and_i/) 
Today at my follow up appointment I was also due for my A1C. My last one in October was 9.9, which was actually an improvement as I was around a 12 for a couple years before that. I wasn't thinking I would improve much from that but it was a 7.9!!!!!!!!!!!!!
I know I still have a bit to go but OMG I almost broke down and started crying with relief right there, and I'm almost tearing up again just thinking about it. Years and years of thinking I was out of control and that there was nothing I could really do and then finally FINALLY being successful and having hope again...shit I'm actually at work and I don't want to break down crying so I'll just leave it here.
Happy New Year everyone!!!!!!!!!</t>
        </is>
      </c>
      <c r="D5879" t="n">
        <v>1</v>
      </c>
      <c r="E5879" t="n">
        <v>10</v>
      </c>
      <c r="F5879">
        <f>HYPERLINK("https://www.reddit.com/r/diabetes/comments/abx0c7/first_a1c_after_finding_out_im_type_1_not_type_2/")</f>
        <v/>
      </c>
      <c r="G5879" t="inlineStr">
        <is>
          <t>2019-01-02 11:57:12</t>
        </is>
      </c>
      <c r="H5879" t="inlineStr">
        <is>
          <t>Type 1.5/LADA</t>
        </is>
      </c>
    </row>
    <row r="5880">
      <c r="A5880" t="inlineStr">
        <is>
          <t>abxqzq</t>
        </is>
      </c>
      <c r="B5880" t="inlineStr">
        <is>
          <t>TSlim / Medtronic Question</t>
        </is>
      </c>
      <c r="C5880" t="inlineStr">
        <is>
          <t>I saw my educator today, it's time to make a decision about a pump and GCM.
She's recommending either an Omnipod, MedTronic or TSlim.
I'm interested in:
* Looping (if I understand it correctly)
* Something that I can track/sync with an Android (and hopefully supports Wear OS) for displaying what my levels are in real time
I'm leaning towards the TSlim X2, but it doesn't look like it pairs with Androids.
Can someone give me some advice?
Thanks</t>
        </is>
      </c>
      <c r="D5880" t="n">
        <v>1</v>
      </c>
      <c r="E5880" t="n">
        <v>1</v>
      </c>
      <c r="F5880">
        <f>HYPERLINK("https://www.reddit.com/r/diabetes/comments/abxqzq/tslim_medtronic_question/")</f>
        <v/>
      </c>
      <c r="G5880" t="inlineStr">
        <is>
          <t>2019-01-02 13:08:00</t>
        </is>
      </c>
      <c r="H5880" t="inlineStr">
        <is>
          <t>Type 1.5/LADA</t>
        </is>
      </c>
    </row>
    <row r="5881">
      <c r="A5881" t="inlineStr">
        <is>
          <t>abyk90</t>
        </is>
      </c>
      <c r="B5881" t="inlineStr">
        <is>
          <t>Can High blood sugar cause chills, feeling of dizziness and unease ?</t>
        </is>
      </c>
      <c r="C5881" t="inlineStr">
        <is>
          <t xml:space="preserve">I seem to be experiencing chills and feeling under the weather when my blood sugar goes high ? </t>
        </is>
      </c>
      <c r="D5881" t="n">
        <v>1</v>
      </c>
      <c r="E5881" t="n">
        <v>3</v>
      </c>
      <c r="F5881">
        <f>HYPERLINK("https://www.reddit.com/r/diabetes/comments/abyk90/can_high_blood_sugar_cause_chills_feeling_of/")</f>
        <v/>
      </c>
      <c r="G5881" t="inlineStr">
        <is>
          <t>2019-01-02 14:28:08</t>
        </is>
      </c>
      <c r="H5881" t="inlineStr">
        <is>
          <t>Type 1</t>
        </is>
      </c>
    </row>
    <row r="5882">
      <c r="A5882" t="inlineStr">
        <is>
          <t>ac1i6c</t>
        </is>
      </c>
      <c r="B5882" t="inlineStr">
        <is>
          <t>Tooting my own horn 🎉</t>
        </is>
      </c>
      <c r="C5882" t="inlineStr">
        <is>
          <t xml:space="preserve">Just to give myself a pat on the back going into the new year as the last quarter of 2018 was pretty stressful. 
End of August I had debilitating headaches. Found a polyp and an undisclosed ‘mass’. Ended up getting getting a sinus surgery set up. 
Did my pre-op testing and found out that my A1C was 13.5 and was put on Metformin and Glipizide. I had to wait for surgery until my BG was under control.  
Through a lot of help from my wife we got my A1C down to a 6.0 mid-December and rescheduled the surgery. 
Went in for surgery with the surgical team thinking it was no dig deal. While I was on the table they did a biopsy of the ‘mass’ and it was malignant. But they were amazing pros and got everything resected and removed. 
So that was how 2018 ended up. Let’s hope 2019 moves forward with a lot fewer complications. 
TLDR; Headaches, sinus mass, Type 2, cancer, fuck 2018. </t>
        </is>
      </c>
      <c r="D5882" t="n">
        <v>1</v>
      </c>
      <c r="E5882" t="n">
        <v>8</v>
      </c>
      <c r="F5882">
        <f>HYPERLINK("https://www.reddit.com/r/diabetes/comments/ac1i6c/tooting_my_own_horn/")</f>
        <v/>
      </c>
      <c r="G5882" t="inlineStr">
        <is>
          <t>2019-01-02 19:39:30</t>
        </is>
      </c>
      <c r="H5882" t="inlineStr">
        <is>
          <t>Type 2</t>
        </is>
      </c>
    </row>
    <row r="5883">
      <c r="A5883" t="inlineStr">
        <is>
          <t>ac43m3</t>
        </is>
      </c>
      <c r="B5883" t="inlineStr">
        <is>
          <t>Why does high BG seem to affect adults more than kids with T1?</t>
        </is>
      </c>
      <c r="C5883" t="inlineStr">
        <is>
          <t xml:space="preserve">My daughter (11) came home from a friend’s house yesterday with a BG of 590. (She’s sick of having to bolus (on MDI) and ate chips and Oreos with her friends. Doesn’t make it ok, but I get it.) Here’s the challenge...she felt just fine. She was chipper and apparently felt no ill affects of a BG as high as the day she was diagnosed. It seems like when adults approach even 200, they feel like absolute crap. What’s up with that? BTW, her A1c was 7.5 in November, so the explanation that she’d be used to it being so high wouldn’t apply. For those of you wondering, she was negative on ketones and she stuck the landing on the correction. Also—going that high scared her, so hopefully she’ll bolus before she eats. </t>
        </is>
      </c>
      <c r="D5883" t="n">
        <v>1</v>
      </c>
      <c r="E5883" t="n">
        <v>5</v>
      </c>
      <c r="F5883">
        <f>HYPERLINK("https://www.reddit.com/r/diabetes/comments/ac43m3/why_does_high_bg_seem_to_affect_adults_more_than/")</f>
        <v/>
      </c>
      <c r="G5883" t="inlineStr">
        <is>
          <t>2019-01-03 01:24:16</t>
        </is>
      </c>
      <c r="H5883" t="inlineStr">
        <is>
          <t>Type 1</t>
        </is>
      </c>
    </row>
    <row r="5884">
      <c r="A5884" t="inlineStr">
        <is>
          <t>ac4k0l</t>
        </is>
      </c>
      <c r="B5884" t="inlineStr">
        <is>
          <t>Low cost, diabetic-friendly food?</t>
        </is>
      </c>
      <c r="C5884" t="inlineStr">
        <is>
          <t xml:space="preserve">Hey heyyy,
I made a post a few days back about being new to having diabetes... And I'm still so full of questions.
Does anyone know what's cheap and good to buy that's healthy and diabetic-friendly? Possibly low in carb count?
I'm trying to stay away from carbs as much as I can, but being Asian, rice and noodles are everywhere. So additional question: is basmati better than regular medium-grain rice? Or what kind of rice is more forgiving to eat? As for noodles, is it okay to eat whole grain? Or what kind of noodles are a better choice?
Because I'm a college student, I can't really splurge on food. :( And I don't think instant noodles are my friend anymore.
Thanks in advance!!! </t>
        </is>
      </c>
      <c r="D5884" t="n">
        <v>1</v>
      </c>
      <c r="E5884" t="n">
        <v>16</v>
      </c>
      <c r="F5884">
        <f>HYPERLINK("https://www.reddit.com/r/diabetes/comments/ac4k0l/low_cost_diabeticfriendly_food/")</f>
        <v/>
      </c>
      <c r="G5884" t="inlineStr">
        <is>
          <t>2019-01-03 02:40:02</t>
        </is>
      </c>
      <c r="H5884" t="inlineStr">
        <is>
          <t>Type 2</t>
        </is>
      </c>
    </row>
    <row r="5885">
      <c r="A5885" t="inlineStr">
        <is>
          <t>ac6odj</t>
        </is>
      </c>
      <c r="B5885" t="inlineStr">
        <is>
          <t>New to group, BGL up 65 points in week despite best efforts, need encouragement</t>
        </is>
      </c>
      <c r="C5885" t="inlineStr">
        <is>
          <t>So I only take my readings 3 or so times a week.  I actually skipped 5 days over Christmas and wasn't especially bad, not more so than Thanksgiving, when my readings kept coming down regardless.
So 2 days ago I was up to 171 from 142 (I'd been 300 give or take 25, two and a half months ago).  This despite starting to walk, a mile last Friday, and 2.25 miles this Monday.  Exercising is my New Year's resolution, I'd slashed my levels without even doing this, working from home and being almost completely sedentary.
(By the way adding this here before you read too much: I'm taking 2000mg of Metformin a day)
Exercising would be in addition to eating better, which I've been doing.  And when my level went up almost 30 points I really (though I had?) slashed my carbs for 48 hours.  I forget what I had the day before yesterday, but yesterday my carbs would have been:
* 5 grams (half cup lowfat cottage cheese)
* 15 grams (1.25 cups -- if that -- half-percent milk)
* 20 grams (6 oz. orange juice)
* 14 grams ("lunchbox" size Granny Smith apple)
* 7.5 grams (3 Tbsp sugar-free peanut butter)
* 15 grams (5 oz. flour as part of salmon guacamole fritters)
* 8 grams (4 oz. guacamole)
* 8 grams (6 oz. cauliflower)
* 10 grams (&amp;lt; 12 oz. reduced calorie lemonade)
That comes to 102.5 grams.  I read on [http://hopkinsdiabetesinfo.org/carbohydrate-goals/](http://hopkinsdiabetesinfo.org/carbohydrate-goals/) that 130 is the recommended daily allowance, so my level is what they called "low-carb" (though not "very low-carb").
Listing this out has been helpful for me though.  I can see a few things to improve on.  I only have small quantities of citrus juice 2 or 3 times a week, I could cut it out altogether for the time being, plus we bought soda can lids so I can cut orange juice with Diet Mountain Dew and grapefruit juice with Fresca, for instance.
Also I could cut out the low-cal lemonade and replace it with the new zero calorie/carb Gatorade "G-Zero".
Something I just thought of that I'm not doing much lately is eating oatmeal and/or barley.  Those seemed to be instrumental in getting me down into the 160s two weeks ago or so.  And I wasn't even eating the steel cut oatmeal, just one-minute.
Any other ideas or encouragement is appreciated.  I'm guessing a diet log like I've done above is a good idea.  
Maybe I'll keep this thread updated with my levels for a while for accountability.  Thanks in advance everybody.</t>
        </is>
      </c>
      <c r="D5885" t="n">
        <v>1</v>
      </c>
      <c r="E5885" t="n">
        <v>8</v>
      </c>
      <c r="F5885">
        <f>HYPERLINK("https://www.reddit.com/r/diabetes/comments/ac6odj/new_to_group_bgl_up_65_points_in_week_despite/")</f>
        <v/>
      </c>
      <c r="G5885" t="inlineStr">
        <is>
          <t>2019-01-03 07:25:18</t>
        </is>
      </c>
      <c r="H5885" t="inlineStr">
        <is>
          <t>Type 2</t>
        </is>
      </c>
    </row>
    <row r="5886">
      <c r="A5886" t="inlineStr">
        <is>
          <t>ac73gz</t>
        </is>
      </c>
      <c r="B5886" t="inlineStr">
        <is>
          <t>Question for insulin users (re: your carrying setup)</t>
        </is>
      </c>
      <c r="C5886" t="inlineStr">
        <is>
          <t>Yesterday I was finally started on a very low dose of rapid insulin (Admelog) after being diagnosed a month or two ago. I feel a sense of relief being on it. I work from home, and I've made myself something of an antisocial hermit while I accommodate to this new disorder and its accompanying lifestyle. I'm a little concerned with incorporating all of my new gadgets into my social life (if I ever get back to it 😑), especially in warmer months when I may not be wearing a coat/jacket. The insulin pen is 6½" long and ¾" wide, plus having multiple needles on hand for any expected duration of any number of expected events, plus storage for those needles until being able to dispose of them properly, plus glucose meter test kit. How does one accommodate this in life outside the home? I should specify that I'm male and don't typically carry any kind of purse-like item. Do most T1 who use insulin eventually end up having to carry around something of a bag of sorts literally everywhere, even casual social engagements? Do you use, like... fanny packs? 😮 I would greatly appreciate any input about (or even photos of) your day-to-day, outside-the-home setup.</t>
        </is>
      </c>
      <c r="D5886" t="n">
        <v>1</v>
      </c>
      <c r="E5886" t="n">
        <v>35</v>
      </c>
      <c r="F5886">
        <f>HYPERLINK("https://www.reddit.com/r/diabetes/comments/ac73gz/question_for_insulin_users_re_your_carrying_setup/")</f>
        <v/>
      </c>
      <c r="G5886" t="inlineStr">
        <is>
          <t>2019-01-03 08:09:02</t>
        </is>
      </c>
      <c r="H5886" t="inlineStr">
        <is>
          <t>Type 1</t>
        </is>
      </c>
    </row>
    <row r="5887">
      <c r="A5887" t="inlineStr">
        <is>
          <t>ac7xv8</t>
        </is>
      </c>
      <c r="B5887" t="inlineStr">
        <is>
          <t>A Spooky Reminder That My Pancreas Produces 0 Insulin</t>
        </is>
      </c>
      <c r="C5887" t="inlineStr">
        <is>
          <t xml:space="preserve">Short story. I went to bed last night / this morning at around 2am. My blood sugar at the time was ~160 after a decent dinner several hours prior, so I was feeling pretty happy about it. Some time during the night, however, the battery in my pump died and of course I was so out that I didn't even hear the alerts. No idea what time it actually died, but when I woke up at 9am I noticed and immediately checked my blood sugar which had risen to ~&amp;gt;500.
The only logical conclusion I could come to is that, although my blood sugar was fine, my dinner had digested further (which ordinarily would have ofc been covered by the basal rate) and shot it up over my 7 or so hours of ignorance.
When you've been a T1D for so long (diagnosed almost 20 years ago), you forget just how serious the condition is and how quickly it can go from 0 to 100.  Additionally, considering how quickly I would fucking die without medication, it's a reminder of how offensive insulin costs in the states are and how fucked we would all be if we didn't have some kind of coverage.
Thanks for coming to my Ted Talks. </t>
        </is>
      </c>
      <c r="D5887" t="n">
        <v>1</v>
      </c>
      <c r="E5887" t="n">
        <v>21</v>
      </c>
      <c r="F5887">
        <f>HYPERLINK("https://www.reddit.com/r/diabetes/comments/ac7xv8/a_spooky_reminder_that_my_pancreas_produces_0/")</f>
        <v/>
      </c>
      <c r="G5887" t="inlineStr">
        <is>
          <t>2019-01-03 09:31:53</t>
        </is>
      </c>
      <c r="H5887" t="inlineStr">
        <is>
          <t>Type 1</t>
        </is>
      </c>
    </row>
    <row r="5888">
      <c r="A5888" t="inlineStr">
        <is>
          <t>ac8xi5</t>
        </is>
      </c>
      <c r="B5888" t="inlineStr">
        <is>
          <t>Help Needed For My Final Year Project!</t>
        </is>
      </c>
      <c r="C5888" t="inlineStr">
        <is>
          <t>Hey everyone, this is my first post on here! 
I am 3rd year psychology student and type 1 diabetic. 
I have decided to do my final year project on the effect of mental health on diabetes control, as I personally feel that not enough emphasis is put on the mental health of people with diabetes.
I need 80 type 1 diabetics from the UK to take part in my study, so if you could spare me 15 minutes of your time, I would be forever thankful!!
This is the link to the study: [https://derby.qualtrics.com/jfe/form/SV\_8IGxPQVhvk57YEZ](https://derby.qualtrics.com/jfe/form/SV_8IGxPQVhvk57YEZ)
Thank you so much for taking the time to read this, and I would appreciate it if you could pass this on to others who may be interested in taking part. :) 
&amp;amp;#x200B;</t>
        </is>
      </c>
      <c r="D5888" t="n">
        <v>1</v>
      </c>
      <c r="E5888" t="n">
        <v>14</v>
      </c>
      <c r="F5888">
        <f>HYPERLINK("https://www.reddit.com/r/diabetes/comments/ac8xi5/help_needed_for_my_final_year_project/")</f>
        <v/>
      </c>
      <c r="G5888" t="inlineStr">
        <is>
          <t>2019-01-03 11:05:52</t>
        </is>
      </c>
      <c r="H5888" t="inlineStr">
        <is>
          <t>Type 1</t>
        </is>
      </c>
    </row>
    <row r="5889">
      <c r="A5889" t="inlineStr">
        <is>
          <t>acd4kt</t>
        </is>
      </c>
      <c r="B5889" t="inlineStr">
        <is>
          <t>How to intervene with a friend</t>
        </is>
      </c>
      <c r="C5889" t="inlineStr">
        <is>
          <t xml:space="preserve">Hi all new to the group and I need some advice on next steps.   I have a friend, Tom  who has "insulin reactions"  just about every day.   He is type 1 has been forever.   It has just gotten worse and worse.   We are all in recovery together from alcoholism.   He lived with me for a short period I can tell when he is going low and can get him to eat because I am really good at being an asshole.   But we asked him to leave because we were tired of being his nurse.    One of our friends has moved in with him and as actually called the paramedics on him probably 4 times in the past two weeks.  We feel like we need to do an intervention on him but I am not sure that we even know what the outcome of that intervention is.   Can anyone point me in any direction on this.  Almost everytime I see him he crashes his sugar. </t>
        </is>
      </c>
      <c r="D5889" t="n">
        <v>1</v>
      </c>
      <c r="E5889" t="n">
        <v>13</v>
      </c>
      <c r="F5889">
        <f>HYPERLINK("https://www.reddit.com/r/diabetes/comments/acd4kt/how_to_intervene_with_a_friend/")</f>
        <v/>
      </c>
      <c r="G5889" t="inlineStr">
        <is>
          <t>2019-01-03 17:59:03</t>
        </is>
      </c>
      <c r="H5889" t="inlineStr">
        <is>
          <t>Type 1</t>
        </is>
      </c>
    </row>
    <row r="5890">
      <c r="A5890" t="inlineStr">
        <is>
          <t>acecuw</t>
        </is>
      </c>
      <c r="B5890" t="inlineStr">
        <is>
          <t>My first day back from the hospital and I'm already worried</t>
        </is>
      </c>
      <c r="C5890" t="inlineStr">
        <is>
          <t xml:space="preserve">So my doctor prescribed me some pills and lantus  but didn't get me fast acting insulin. I found it odd and at the pharmacy they told me the doctor's didn't really fill things out so well that they were pretty vague. I called the office but the nurse that answered wasn't very helpful and sort of rude she told me it's probably because that's all they think I need. She didn't really bother to ask or check anything and I'm sort of worried because I just checked my levels and I'm at 300 which scares me. I took the pill and the lantus as told and I watched what I ate, I even went for a mile run but still. I'm confused scared and frustrated... Should I wait and see what my levels are at in the morning? Or should I go see a doctor right now? </t>
        </is>
      </c>
      <c r="D5890" t="n">
        <v>1</v>
      </c>
      <c r="E5890" t="n">
        <v>11</v>
      </c>
      <c r="F5890">
        <f>HYPERLINK("https://www.reddit.com/r/diabetes/comments/acecuw/my_first_day_back_from_the_hospital_and_im/")</f>
        <v/>
      </c>
      <c r="G5890" t="inlineStr">
        <is>
          <t>2019-01-03 20:17:39</t>
        </is>
      </c>
      <c r="H5890" t="inlineStr">
        <is>
          <t>Type 1</t>
        </is>
      </c>
    </row>
    <row r="5891">
      <c r="A5891" t="inlineStr">
        <is>
          <t>acjzj9</t>
        </is>
      </c>
      <c r="B5891" t="inlineStr">
        <is>
          <t>Creeping high every morning!?</t>
        </is>
      </c>
      <c r="C5891" t="inlineStr">
        <is>
          <t>I can't get a handle on my morning sugar.  
&amp;amp;#x200B;
I will wake up at 7am at 109 and by 10am I am 240. I usually eat a few almonds or been jerky for breakfast along with a sparkling water or diet soda. The carb count is never much.. maybe 8-9 carbs.  I dose my Toujeo right when I wake up. This rise will happen even if I skip breakfast. 
&amp;amp;#x200B;
Once I correct for this morning high my Toujeo keeps me steady the rest of the day, the morning is the only real issue. Do any of you have this or a recommendation? 
&amp;amp;#x200B;
HELP!
&amp;amp;#x200B;
&amp;amp;#x200B;
&amp;amp;#x200B;</t>
        </is>
      </c>
      <c r="D5891" t="n">
        <v>1</v>
      </c>
      <c r="E5891" t="n">
        <v>3</v>
      </c>
      <c r="F5891">
        <f>HYPERLINK("https://www.reddit.com/r/diabetes/comments/acjzj9/creeping_high_every_morning/")</f>
        <v/>
      </c>
      <c r="G5891" t="inlineStr">
        <is>
          <t>2019-01-04 08:49:29</t>
        </is>
      </c>
      <c r="H5891" t="inlineStr">
        <is>
          <t>Type 1</t>
        </is>
      </c>
    </row>
    <row r="5892">
      <c r="A5892" t="inlineStr">
        <is>
          <t>aco46m</t>
        </is>
      </c>
      <c r="B5892" t="inlineStr">
        <is>
          <t>Sleepy hyperglicemia</t>
        </is>
      </c>
      <c r="C5892" t="inlineStr">
        <is>
          <t>Anyone else can recognize a hyperglicemia because of getting very very sleepy? 
This usually only happnes if Im at work or sitting down and I start noticing it around 150 mg/dL. By the time I get to 200 its so intense that I cant retain and end up taking micro naps (without noticing until I wake up).
Am I alone on this one?</t>
        </is>
      </c>
      <c r="D5892" t="n">
        <v>1</v>
      </c>
      <c r="E5892" t="n">
        <v>9</v>
      </c>
      <c r="F5892">
        <f>HYPERLINK("https://www.reddit.com/r/diabetes/comments/aco46m/sleepy_hyperglicemia/")</f>
        <v/>
      </c>
      <c r="G5892" t="inlineStr">
        <is>
          <t>2019-01-04 15:30:38</t>
        </is>
      </c>
      <c r="H5892" t="inlineStr">
        <is>
          <t>Type 1</t>
        </is>
      </c>
    </row>
    <row r="5893">
      <c r="A5893" t="inlineStr">
        <is>
          <t>acom1o</t>
        </is>
      </c>
      <c r="B5893" t="inlineStr">
        <is>
          <t>My boyfriend used my meter today</t>
        </is>
      </c>
      <c r="C5893" t="inlineStr">
        <is>
          <t xml:space="preserve">I got type 2 from PCOS and try to manage through diet. My primary doc was no help. I took matters into my own hands and try to stay below 200 after meal. No meds, metformin kicked me hard. 
Boyfriend was curious so I got him a new lancet and while I was an hour in at 198 he was at 117 after eating a bunch of noodles. 
This sucks. I have tiny black spots in my vision and extremity pain. I just wish I could be normal. I will try to stay under 200 but I wish I could eat bread or a sweet once in a while. My grandma lost her entire foot from this. I walk the line.  Drink water like crazy if I go over 200 which helps. 
Anything else I can do? Keto-ish helps.  
</t>
        </is>
      </c>
      <c r="D5893" t="n">
        <v>1</v>
      </c>
      <c r="E5893" t="n">
        <v>9</v>
      </c>
      <c r="F5893">
        <f>HYPERLINK("https://www.reddit.com/r/diabetes/comments/acom1o/my_boyfriend_used_my_meter_today/")</f>
        <v/>
      </c>
      <c r="G5893" t="inlineStr">
        <is>
          <t>2019-01-04 16:22:55</t>
        </is>
      </c>
      <c r="H5893" t="inlineStr">
        <is>
          <t>Type 2</t>
        </is>
      </c>
    </row>
    <row r="5894">
      <c r="A5894" t="inlineStr">
        <is>
          <t>acot05</t>
        </is>
      </c>
      <c r="B5894" t="inlineStr">
        <is>
          <t>Frustrated with 670g auto mode</t>
        </is>
      </c>
      <c r="C5894" t="inlineStr">
        <is>
          <t xml:space="preserve">First time poster to this community! For Medtronic pump users, anyone else super frustrated with auto mode on the 670g? I was expecting so much more from this feature but usually find that my blood sugars run higher and it stops giving me basal when it shouldn’t. Control is so much better when I’m in manual mode, which I have opted to use for the time being. Any tips would be much appreciated if others have been successful with auto mode!!  </t>
        </is>
      </c>
      <c r="D5894" t="n">
        <v>1</v>
      </c>
      <c r="E5894" t="n">
        <v>9</v>
      </c>
      <c r="F5894">
        <f>HYPERLINK("https://www.reddit.com/r/diabetes/comments/acot05/frustrated_with_670g_auto_mode/")</f>
        <v/>
      </c>
      <c r="G5894" t="inlineStr">
        <is>
          <t>2019-01-04 16:44:15</t>
        </is>
      </c>
      <c r="H5894" t="inlineStr">
        <is>
          <t>Type 1</t>
        </is>
      </c>
    </row>
    <row r="5895">
      <c r="A5895" t="inlineStr">
        <is>
          <t>acq097</t>
        </is>
      </c>
      <c r="B5895" t="inlineStr">
        <is>
          <t>Insulin Pump Issues with Work Uniform</t>
        </is>
      </c>
      <c r="C5895" t="inlineStr">
        <is>
          <t>Question came up as I’ve had to deal with this lately - does anyone have any tips with an insulin pump that sometimes has issues with delivering while in a semi tight uniform?
I work as a PSO for a hospital, so the wire gets tucked underneath two layers of clothing as well as my pants, and two belts. It doesn’t happen too often, but when it does I usually have to run to a restroom, loosen the clothing around the wire and go back to work. Just kind of wondering if there’s an alternate solution to this issue.</t>
        </is>
      </c>
      <c r="D5895" t="n">
        <v>1</v>
      </c>
      <c r="E5895" t="n">
        <v>5</v>
      </c>
      <c r="F5895">
        <f>HYPERLINK("https://www.reddit.com/r/diabetes/comments/acq097/insulin_pump_issues_with_work_uniform/")</f>
        <v/>
      </c>
      <c r="G5895" t="inlineStr">
        <is>
          <t>2019-01-04 19:01:13</t>
        </is>
      </c>
      <c r="H5895" t="inlineStr">
        <is>
          <t>Type 1</t>
        </is>
      </c>
    </row>
    <row r="5896">
      <c r="A5896" t="inlineStr">
        <is>
          <t>acqa2i</t>
        </is>
      </c>
      <c r="B5896" t="inlineStr">
        <is>
          <t>Problems with Tandem or Fiasp?</t>
        </is>
      </c>
      <c r="C5896" t="inlineStr">
        <is>
          <t>It's been a couple months now but I just came to the decision to statistically track my uncontrollable blood sugars...
Basically I'm here to ask if anyone of you out there have had unreasonable or uncontrollably high blood sugars while using a Tandem X2 with or without Fiasp insulin???
I've come to days where it seems like virtually zero insulin is reaching my body. Over maybe the last two-three months I've used multiple vials of insulin and multiple packages of pump supplies, but I feel one of the two is faulty, or my pump is defective. I have days where my sugar keepa climbing and climbing, even though I give unreasonable amounts of insulin via my pump. Shots work as expected.
ps - I'm not new or inexperienced in this. Have had pumps for maybe 20 years and a CGM for the last 5.
It's late and I just changed my pump site and decided to ask around about this. ps - changing a site "fixes" my problem for a while</t>
        </is>
      </c>
      <c r="D5896" t="n">
        <v>1</v>
      </c>
      <c r="E5896" t="n">
        <v>4</v>
      </c>
      <c r="F5896">
        <f>HYPERLINK("https://www.reddit.com/r/diabetes/comments/acqa2i/problems_with_tandem_or_fiasp/")</f>
        <v/>
      </c>
      <c r="G5896" t="inlineStr">
        <is>
          <t>2019-01-04 19:34:41</t>
        </is>
      </c>
      <c r="H5896" t="inlineStr">
        <is>
          <t>Type 1</t>
        </is>
      </c>
    </row>
    <row r="5897">
      <c r="A5897" t="inlineStr">
        <is>
          <t>acrtt0</t>
        </is>
      </c>
      <c r="B5897" t="inlineStr">
        <is>
          <t>Short needle problem?</t>
        </is>
      </c>
      <c r="C5897" t="inlineStr">
        <is>
          <t xml:space="preserve">My sugar is usually 250-450 and the insulin burns like fire going in... I had to use alternative needles today than what I usually use and they are twice as long as mine and the insulin didn't burn at all. Could the short needles have been just shooting the insulin under my skin and not into the fat like it's supposed to? And maybe that's why my sugar is always high? Thank you. </t>
        </is>
      </c>
      <c r="D5897" t="n">
        <v>1</v>
      </c>
      <c r="E5897" t="n">
        <v>3</v>
      </c>
      <c r="F5897">
        <f>HYPERLINK("https://www.reddit.com/r/diabetes/comments/acrtt0/short_needle_problem/")</f>
        <v/>
      </c>
      <c r="G5897" t="inlineStr">
        <is>
          <t>2019-01-04 23:00:04</t>
        </is>
      </c>
      <c r="H5897" t="inlineStr">
        <is>
          <t>Type 2</t>
        </is>
      </c>
    </row>
    <row r="5898">
      <c r="A5898" t="inlineStr">
        <is>
          <t>act17f</t>
        </is>
      </c>
      <c r="B5898" t="inlineStr">
        <is>
          <t>What's Wrong With Rice?</t>
        </is>
      </c>
      <c r="C5898" t="inlineStr">
        <is>
          <t>I have a staunch love for rice. I love cooking curry and I'm looking for more recipes to use it in. However, people tell me that rice is bad for diabetics because it is a bad source of carbs. I'm confused. I have a specific scale with which my carbs have to adhere to. At breakfast and lunch I can eat 60g of carbs and at dinner I can eat 80g. Rice has 41-ish grams of carbs per cup. I believe that I can eat rice so long as I adhere to my scale. Is that wrong or is there some deeper meaning when they call it a "bad source of carbs?"
&amp;amp;#x200B;
Disclaimer: I am a type 1 diabetic. I have been so for a year.</t>
        </is>
      </c>
      <c r="D5898" t="n">
        <v>1</v>
      </c>
      <c r="E5898" t="n">
        <v>8</v>
      </c>
      <c r="F5898">
        <f>HYPERLINK("https://www.reddit.com/r/diabetes/comments/act17f/whats_wrong_with_rice/")</f>
        <v/>
      </c>
      <c r="G5898" t="inlineStr">
        <is>
          <t>2019-01-05 02:24:12</t>
        </is>
      </c>
      <c r="H5898" t="inlineStr">
        <is>
          <t>Type 1</t>
        </is>
      </c>
    </row>
    <row r="5899">
      <c r="A5899" t="inlineStr">
        <is>
          <t>acuy3b</t>
        </is>
      </c>
      <c r="B5899" t="inlineStr">
        <is>
          <t>Asking for advice</t>
        </is>
      </c>
      <c r="C5899" t="inlineStr">
        <is>
          <t xml:space="preserve">Ok.  So I have type 2 Diabetes. Found out I had this condition 2 years ago. Started exercising. Got on a strict diet. Lost 50 pounds.  Got my blood sugar under control and felt great.  Well I fell off the wagon hard during the holidays. Drank a ton of beer. Ate bad food. Snacked late at night.  Missed my medication (metformin).And started feeling like shit again (the way I felt when I first found out I had type 2).   Blurred vision. Headaches. Moodiness. And general malaise.  A couple of days ago, I got back on my strict diet and started drinking a gallon of water a day to flush out my system.  I am going back to the gym on Monday.  Are there any other things that I can do to bring myself back on track quicker? I just feel like shit.  Any advice is appreciated. </t>
        </is>
      </c>
      <c r="D5899" t="n">
        <v>1</v>
      </c>
      <c r="E5899" t="n">
        <v>4</v>
      </c>
      <c r="F5899">
        <f>HYPERLINK("https://www.reddit.com/r/diabetes/comments/acuy3b/asking_for_advice/")</f>
        <v/>
      </c>
      <c r="G5899" t="inlineStr">
        <is>
          <t>2019-01-05 07:18:04</t>
        </is>
      </c>
      <c r="H5899" t="inlineStr">
        <is>
          <t>Type 2</t>
        </is>
      </c>
    </row>
    <row r="5900">
      <c r="A5900" t="inlineStr">
        <is>
          <t>acvzug</t>
        </is>
      </c>
      <c r="B5900" t="inlineStr">
        <is>
          <t>Dexcom Consistently Low during Cardio Exercise</t>
        </is>
      </c>
      <c r="C5900" t="inlineStr">
        <is>
          <t>Does anyone else have this problem? My Dexcom goes low if I'm jogging or hiking. Extremely consistent. I frequently get low alerts and downward trends when fingersticks show that my glucose is at a perfectly safe level, some 30-50 points higher.</t>
        </is>
      </c>
      <c r="D5900" t="n">
        <v>1</v>
      </c>
      <c r="E5900" t="n">
        <v>5</v>
      </c>
      <c r="F5900">
        <f>HYPERLINK("https://www.reddit.com/r/diabetes/comments/acvzug/dexcom_consistently_low_during_cardio_exercise/")</f>
        <v/>
      </c>
      <c r="G5900" t="inlineStr">
        <is>
          <t>2019-01-05 09:15:54</t>
        </is>
      </c>
      <c r="H5900" t="inlineStr">
        <is>
          <t>Type 1</t>
        </is>
      </c>
    </row>
    <row r="5901">
      <c r="A5901" t="inlineStr">
        <is>
          <t>ad0n0b</t>
        </is>
      </c>
      <c r="B5901" t="inlineStr">
        <is>
          <t>T1d, scores on my tongue, and me</t>
        </is>
      </c>
      <c r="C5901" t="inlineStr">
        <is>
          <t>Has anyone else with t1d gotten painful canker sores on the tongue when dealing with high sugars above 200mg/dl?</t>
        </is>
      </c>
      <c r="D5901" t="n">
        <v>1</v>
      </c>
      <c r="E5901" t="n">
        <v>3</v>
      </c>
      <c r="F5901">
        <f>HYPERLINK("https://www.reddit.com/r/diabetes/comments/ad0n0b/t1d_scores_on_my_tongue_and_me/")</f>
        <v/>
      </c>
      <c r="G5901" t="inlineStr">
        <is>
          <t>2019-01-05 17:12:11</t>
        </is>
      </c>
      <c r="H5901" t="inlineStr">
        <is>
          <t>Type 1</t>
        </is>
      </c>
    </row>
    <row r="5902">
      <c r="A5902" t="inlineStr">
        <is>
          <t>ad3g1x</t>
        </is>
      </c>
      <c r="B5902" t="inlineStr">
        <is>
          <t>I took 648 units of Novorapid</t>
        </is>
      </c>
      <c r="C5902" t="inlineStr">
        <is>
          <t>On mobile, apologies for formatting.
Apologies if this isn’t appropriate for this sub.
After 9+ years of mismanaging my diabetes (not because of a lack of understanding, purely from apathy and laziness), a job I hate, a nasty drug problem, relationship difficulties and crippling financial problems it finally felt like it had just gotten too much.
So I attempted suicide through an intentional insulin overdose.
I didn’t want to kill my self, I don’t really know why I did it, but at the time it felt right.
Afterwards I lay down in bed, hoping to drift off to sleep.
I woke up 30 minutes later - I should preface this by saying that at this point I had been awake for 60+ hours on a cocaine and alcohol fuelled bender - and panic set it, I didn’t want to do this, it was just a cry for help.
I was already starting to feel myself drop low, that familiar feeling, my hands shaking, my heart racing, feeling sick in my stomach and sweating profusely.
I didn’t call for help, I didn’t call an ambulance, I wanted this.
But I couldn’t stand the feeling of dropping lower and lower, so I opened 2 packs of Lucozade dextrose tablets and crunched them as fast as I could.
And that was it.
I dropped low again a couple of times that night, but nothing out of the ordinary.
So why am I writing this? I don’t really know, I tried to take my own life, and it was so anticlimactic that no one but myself even noticed.
I’ve 10 pens to collect tomorrow.</t>
        </is>
      </c>
      <c r="D5902" t="n">
        <v>1</v>
      </c>
      <c r="E5902" t="n">
        <v>14</v>
      </c>
      <c r="F5902">
        <f>HYPERLINK("https://www.reddit.com/r/diabetes/comments/ad3g1x/i_took_648_units_of_novorapid/")</f>
        <v/>
      </c>
      <c r="G5902" t="inlineStr">
        <is>
          <t>2019-01-05 23:12:14</t>
        </is>
      </c>
      <c r="H5902" t="inlineStr">
        <is>
          <t>Type 1</t>
        </is>
      </c>
    </row>
    <row r="5903">
      <c r="A5903" t="inlineStr">
        <is>
          <t>ad5i7d</t>
        </is>
      </c>
      <c r="B5903" t="inlineStr">
        <is>
          <t>Yellow patches of skin near injection sites</t>
        </is>
      </c>
      <c r="C5903" t="inlineStr">
        <is>
          <t>I'm pretty newly diagnosed with type 1 (4 months) and I inject insulin using pens, but lately I've noticed a small patch of yellow skin on my thigh where I inject lantus. Around a week later I realized there is another patch of yellow skin on my arm (where I also inject humalog). This hasn't happened to me before and I'm really spooked.
Is this something that happens to others too, or should I go see my doctor?</t>
        </is>
      </c>
      <c r="D5903" t="n">
        <v>1</v>
      </c>
      <c r="E5903" t="n">
        <v>9</v>
      </c>
      <c r="F5903">
        <f>HYPERLINK("https://www.reddit.com/r/diabetes/comments/ad5i7d/yellow_patches_of_skin_near_injection_sites/")</f>
        <v/>
      </c>
      <c r="G5903" t="inlineStr">
        <is>
          <t>2019-01-06 05:18:34</t>
        </is>
      </c>
      <c r="H5903" t="inlineStr">
        <is>
          <t>Type 1</t>
        </is>
      </c>
    </row>
    <row r="5904">
      <c r="A5904" t="inlineStr">
        <is>
          <t>adbtfk</t>
        </is>
      </c>
      <c r="B5904" t="inlineStr">
        <is>
          <t>xpost--scared for this T1 child not getting help</t>
        </is>
      </c>
      <c r="C5904" t="inlineStr">
        <is>
          <t>[https://www.reddit.com/r/offmychest/comments/ad5xd8/my\_sister\_isnt\_taking\_care\_of\_my\_young\_nieces/](https://www.reddit.com/r/offmychest/comments/ad5xd8/my_sister_isnt_taking_care_of_my_young_nieces/)
&amp;amp;#x200B;
A teen posting about her type 1 6yr. old niece not being cared for. Please read and let's help this family!</t>
        </is>
      </c>
      <c r="D5904" t="n">
        <v>1</v>
      </c>
      <c r="E5904" t="n">
        <v>2</v>
      </c>
      <c r="F5904">
        <f>HYPERLINK("https://www.reddit.com/r/diabetes/comments/adbtfk/xpostscared_for_this_t1_child_not_getting_help/")</f>
        <v/>
      </c>
      <c r="G5904" t="inlineStr">
        <is>
          <t>2019-01-06 16:21:26</t>
        </is>
      </c>
      <c r="H5904" t="inlineStr">
        <is>
          <t>Type 1</t>
        </is>
      </c>
    </row>
    <row r="5905">
      <c r="A5905" t="inlineStr">
        <is>
          <t>adcm7t</t>
        </is>
      </c>
      <c r="B5905" t="inlineStr">
        <is>
          <t>Well, I haven’t written in my Diary in 2 months....</t>
        </is>
      </c>
      <c r="C5905" t="inlineStr">
        <is>
          <t>I ran out of the food diary pages they give me 1 month and a half ago and I haven’t written any of my results down into the diary....
It’s harder than it looks.
I prefer to just sort myself out without having to write every thing down.
My 2nd 3 month visit is approaching....am I screwed?...</t>
        </is>
      </c>
      <c r="D5905" t="n">
        <v>1</v>
      </c>
      <c r="E5905" t="n">
        <v>7</v>
      </c>
      <c r="F5905">
        <f>HYPERLINK("https://www.reddit.com/r/diabetes/comments/adcm7t/well_i_havent_written_in_my_diary_in_2_months/")</f>
        <v/>
      </c>
      <c r="G5905" t="inlineStr">
        <is>
          <t>2019-01-06 17:45:26</t>
        </is>
      </c>
      <c r="H5905" t="inlineStr">
        <is>
          <t>Type 1</t>
        </is>
      </c>
    </row>
    <row r="5906">
      <c r="A5906" t="inlineStr">
        <is>
          <t>adcxb6</t>
        </is>
      </c>
      <c r="B5906" t="inlineStr">
        <is>
          <t>Sad over the little things?</t>
        </is>
      </c>
      <c r="C5906" t="inlineStr">
        <is>
          <t>Does anyone else get that feeling? Like, I've been diabetic for almost 7 years now and I still get sad over not being able to find diet grape soda :/</t>
        </is>
      </c>
      <c r="D5906" t="n">
        <v>1</v>
      </c>
      <c r="E5906" t="n">
        <v>6</v>
      </c>
      <c r="F5906">
        <f>HYPERLINK("https://www.reddit.com/r/diabetes/comments/adcxb6/sad_over_the_little_things/")</f>
        <v/>
      </c>
      <c r="G5906" t="inlineStr">
        <is>
          <t>2019-01-06 18:19:39</t>
        </is>
      </c>
      <c r="H5906" t="inlineStr">
        <is>
          <t>Type 1</t>
        </is>
      </c>
    </row>
    <row r="5907">
      <c r="A5907" t="inlineStr">
        <is>
          <t>aded7j</t>
        </is>
      </c>
      <c r="B5907" t="inlineStr">
        <is>
          <t>Question for type 1 diabetics who have lost senses, limbs, or extremities</t>
        </is>
      </c>
      <c r="C5907" t="inlineStr">
        <is>
          <t>I’m a diagnosed t1 diabetic for about 11 years and I’m not great at taking care of myself. I was wondering what are some of the symptoms that may have indicated that you were losing your health to that degree where you lost limbs, senses, or extremities?</t>
        </is>
      </c>
      <c r="D5907" t="n">
        <v>1</v>
      </c>
      <c r="E5907" t="n">
        <v>6</v>
      </c>
      <c r="F5907">
        <f>HYPERLINK("https://www.reddit.com/r/diabetes/comments/aded7j/question_for_type_1_diabetics_who_have_lost/")</f>
        <v/>
      </c>
      <c r="G5907" t="inlineStr">
        <is>
          <t>2019-01-06 21:11:37</t>
        </is>
      </c>
      <c r="H5907" t="inlineStr">
        <is>
          <t>Type 1</t>
        </is>
      </c>
    </row>
    <row r="5908">
      <c r="A5908" t="inlineStr">
        <is>
          <t>adfp3w</t>
        </is>
      </c>
      <c r="B5908" t="inlineStr">
        <is>
          <t>Medtronic 670g repeat BG request help.</t>
        </is>
      </c>
      <c r="C5908" t="inlineStr">
        <is>
          <t xml:space="preserve">Has anybody that has had this issue received the new Guardian 3 with version 2.2.A? Has it solved the issue of repeat BG requests? I have had it with this bullshit dropping me out of auto mode constantly. </t>
        </is>
      </c>
      <c r="D5908" t="n">
        <v>1</v>
      </c>
      <c r="E5908" t="n">
        <v>10</v>
      </c>
      <c r="F5908">
        <f>HYPERLINK("https://www.reddit.com/r/diabetes/comments/adfp3w/medtronic_670g_repeat_bg_request_help/")</f>
        <v/>
      </c>
      <c r="G5908" t="inlineStr">
        <is>
          <t>2019-01-07 00:22:35</t>
        </is>
      </c>
      <c r="H5908" t="inlineStr">
        <is>
          <t>Type 1</t>
        </is>
      </c>
    </row>
    <row r="5909">
      <c r="A5909" t="inlineStr">
        <is>
          <t>adh5th</t>
        </is>
      </c>
      <c r="B5909" t="inlineStr">
        <is>
          <t>Changing from MDI to pump</t>
        </is>
      </c>
      <c r="C5909" t="inlineStr">
        <is>
          <t xml:space="preserve">I have my diabetes clinic appointment next week and am going to talk to my endo about applying for a pump.
I live in Ireland and the health service here only fund the Medtronic 640G (with or without the Guardian Connect cgm). Funding is very tight so I might not even qualify for a pump at all, as I have a decent hba1c.
I already use a Dexcom G6 so I already see the advantage of CGM, and have used it to lower my hba1c to 5.8%. I also use an app as a bolus calculator/ IOB calculator.
The issue I am hoping a pump would help with is my differing basal requirements. I need much more basal insulin at 4am to pre-empt my slow dawn phenomenon and require very little at 3pm, but addressing the dawn phenomenon means I end up with late afternoon hypos.
I'd also love to be able to do square wave and dual wave boluses for my nemesis, pizza.
I'm also trying to weigh up the benefits a pump would give me vs being attached to another medical device, pump/ site failures, etc.
Would a pump work for me in this situation? 
</t>
        </is>
      </c>
      <c r="D5909" t="n">
        <v>1</v>
      </c>
      <c r="E5909" t="n">
        <v>2</v>
      </c>
      <c r="F5909">
        <f>HYPERLINK("https://www.reddit.com/r/diabetes/comments/adh5th/changing_from_mdi_to_pump/")</f>
        <v/>
      </c>
      <c r="G5909" t="inlineStr">
        <is>
          <t>2019-01-07 04:19:36</t>
        </is>
      </c>
      <c r="H5909" t="inlineStr">
        <is>
          <t>Type 1</t>
        </is>
      </c>
    </row>
    <row r="5910">
      <c r="A5910" t="inlineStr">
        <is>
          <t>adipbb</t>
        </is>
      </c>
      <c r="B5910" t="inlineStr">
        <is>
          <t>A1C 6.6</t>
        </is>
      </c>
      <c r="C5910" t="inlineStr">
        <is>
          <t>I went too long between appointments.  My last A1C was 6.3.  My original was 11.4.  I was worried that it had gone up, but it was 6.6 this time.  Not bad after the holidays!
Unfortunately, my cholesterol is high so I have to start taking medicines.  Anyone else on cholesterol medicine?  What's your experience/</t>
        </is>
      </c>
      <c r="D5910" t="n">
        <v>1</v>
      </c>
      <c r="E5910" t="n">
        <v>8</v>
      </c>
      <c r="F5910">
        <f>HYPERLINK("https://www.reddit.com/r/diabetes/comments/adipbb/a1c_66/")</f>
        <v/>
      </c>
      <c r="G5910" t="inlineStr">
        <is>
          <t>2019-01-07 07:27:47</t>
        </is>
      </c>
      <c r="H5910" t="inlineStr">
        <is>
          <t>Type 2</t>
        </is>
      </c>
    </row>
    <row r="5911">
      <c r="A5911" t="inlineStr">
        <is>
          <t>adir6b</t>
        </is>
      </c>
      <c r="B5911" t="inlineStr">
        <is>
          <t>My sister was just diagnosed w t1, what can I do to help her?</t>
        </is>
      </c>
      <c r="C5911" t="inlineStr">
        <is>
          <t>We just found out my 6yr old sister has type 1 diabetes, and I want to know what I can do to help/support her. She's coming back from the hospital today, and judging from what the specialist said she is going to need her blood sugar tested a LOT for the next couple of weeks. Is there anything I can do to try and make it less awful for her? She cried every time they had to do it at the hospital, and I don't know what to do. Any advice is greatly appreciated!</t>
        </is>
      </c>
      <c r="D5911" t="n">
        <v>1</v>
      </c>
      <c r="E5911" t="n">
        <v>11</v>
      </c>
      <c r="F5911">
        <f>HYPERLINK("https://www.reddit.com/r/diabetes/comments/adir6b/my_sister_was_just_diagnosed_w_t1_what_can_i_do/")</f>
        <v/>
      </c>
      <c r="G5911" t="inlineStr">
        <is>
          <t>2019-01-07 07:33:17</t>
        </is>
      </c>
      <c r="H5911" t="inlineStr">
        <is>
          <t>Type 1</t>
        </is>
      </c>
    </row>
    <row r="5912">
      <c r="A5912" t="inlineStr">
        <is>
          <t>adiv4f</t>
        </is>
      </c>
      <c r="B5912" t="inlineStr">
        <is>
          <t>TSlim with Basal IQ versus Medtronic 670g AutoMode</t>
        </is>
      </c>
      <c r="C5912" t="inlineStr">
        <is>
          <t>I switched from injections to the Medtronic 670G pump with the Guardian Sensor and auto mode last spring. I find it extremely frustrating because it causes me to go low every afternoon and isn't adjusting despite its touted algorithm. Medtronic's version of Basal IQ is Auto Mode/administering what they call microboluses. I just saw today that the TSlim with Basal IQ came out last July it looks like. Can people share their experiences of their accuracy with Medtronic and TSlim individually and if there are people who have experience with both that would be amazing. I like that the TSlim with Basal IQ can take software updates and it doesn't seem to require as much calibration and also it is easy to share your data with other devices like your phone. How easy is it to return your pump to Medtronic and clear it with your insurance to possibly switch to the TSlim? Thanks!</t>
        </is>
      </c>
      <c r="D5912" t="n">
        <v>1</v>
      </c>
      <c r="E5912" t="n">
        <v>11</v>
      </c>
      <c r="F5912">
        <f>HYPERLINK("https://www.reddit.com/r/diabetes/comments/adiv4f/tslim_with_basal_iq_versus_medtronic_670g_automode/")</f>
        <v/>
      </c>
      <c r="G5912" t="inlineStr">
        <is>
          <t>2019-01-07 07:44:53</t>
        </is>
      </c>
      <c r="H5912" t="inlineStr">
        <is>
          <t>Type 1</t>
        </is>
      </c>
    </row>
    <row r="5913">
      <c r="A5913" t="inlineStr">
        <is>
          <t>adjd7u</t>
        </is>
      </c>
      <c r="B5913" t="inlineStr">
        <is>
          <t>Shaving your Injection Sites</t>
        </is>
      </c>
      <c r="C5913" t="inlineStr">
        <is>
          <t>Well, that's a weird title. Since it's winter, I haven't really been shaving my legs. I also recently switched from injecting in my tummy (hyperlipotrophy :\[) to injecting in my thigh. I finally got around to shaving a few days ago, and I got really ugly razor bumps on my thighs, only in the general area I had been injecting. Not my calves, etc. 
&amp;amp;#x200B;
Is there something I should be aware of about shaving? Should I not be shaving at all? :(</t>
        </is>
      </c>
      <c r="D5913" t="n">
        <v>1</v>
      </c>
      <c r="E5913" t="n">
        <v>2</v>
      </c>
      <c r="F5913">
        <f>HYPERLINK("https://www.reddit.com/r/diabetes/comments/adjd7u/shaving_your_injection_sites/")</f>
        <v/>
      </c>
      <c r="G5913" t="inlineStr">
        <is>
          <t>2019-01-07 08:34:36</t>
        </is>
      </c>
      <c r="H5913" t="inlineStr">
        <is>
          <t>Type 1</t>
        </is>
      </c>
    </row>
    <row r="5914">
      <c r="A5914" t="inlineStr">
        <is>
          <t>adkcup</t>
        </is>
      </c>
      <c r="B5914" t="inlineStr">
        <is>
          <t>Dating A Diabetic - Need Advice!</t>
        </is>
      </c>
      <c r="C5914" t="inlineStr">
        <is>
          <t>Hi Everyone!
I've recently started dating a fantastic person who has Type 1 diabetes and a sweet tooth!  LOL.  I am no stranger to the kitchen and not afraid to bake or cook but I am stumped as to what could be some quick desserts/treats. He is a very busy man (physical labor job and renovating his home) so, extra points for portability.  Any help would be greatly appreciated.
Thank you in advance!</t>
        </is>
      </c>
      <c r="D5914" t="n">
        <v>1</v>
      </c>
      <c r="E5914" t="n">
        <v>9</v>
      </c>
      <c r="F5914">
        <f>HYPERLINK("https://www.reddit.com/r/diabetes/comments/adkcup/dating_a_diabetic_need_advice/")</f>
        <v/>
      </c>
      <c r="G5914" t="inlineStr">
        <is>
          <t>2019-01-07 10:09:44</t>
        </is>
      </c>
      <c r="H5914" t="inlineStr">
        <is>
          <t>Type 1</t>
        </is>
      </c>
    </row>
    <row r="5915">
      <c r="A5915" t="inlineStr">
        <is>
          <t>adplgd</t>
        </is>
      </c>
      <c r="B5915" t="inlineStr">
        <is>
          <t>Invokana vs. Jardiance</t>
        </is>
      </c>
      <c r="C5915" t="inlineStr">
        <is>
          <t>Hi Reddit,
My doctor recently switched my script from Invokana to Jardiance since my insurance is giving me trouble. Does anyone know if there are any differences or should I fight the insurance company? Appreciate your response!</t>
        </is>
      </c>
      <c r="D5915" t="n">
        <v>1</v>
      </c>
      <c r="E5915" t="n">
        <v>1</v>
      </c>
      <c r="F5915">
        <f>HYPERLINK("https://www.reddit.com/r/diabetes/comments/adplgd/invokana_vs_jardiance/")</f>
        <v/>
      </c>
      <c r="G5915" t="inlineStr">
        <is>
          <t>2019-01-07 18:41:05</t>
        </is>
      </c>
      <c r="H5915" t="inlineStr">
        <is>
          <t>Type 2</t>
        </is>
      </c>
    </row>
    <row r="5916">
      <c r="A5916" t="inlineStr">
        <is>
          <t>adpsur</t>
        </is>
      </c>
      <c r="B5916" t="inlineStr">
        <is>
          <t>Going grocery shopping tomorrow</t>
        </is>
      </c>
      <c r="C5916" t="inlineStr">
        <is>
          <t xml:space="preserve">Hey, I'm going grocery shopping tomorrow and I'm wondering what are some things I can buy. I know I can't have anything with too many carbs like white rice and stuff and non-whole grain bread, but i'm wondering what are some nice brands and foods I can buy so I don't get too bored of what I've been eating this week (chicken breast and fish with broccoli and other veggies. Trying to make a list so feel free to talk about all your favorite meals :)  </t>
        </is>
      </c>
      <c r="D5916" t="n">
        <v>1</v>
      </c>
      <c r="E5916" t="n">
        <v>5</v>
      </c>
      <c r="F5916">
        <f>HYPERLINK("https://www.reddit.com/r/diabetes/comments/adpsur/going_grocery_shopping_tomorrow/")</f>
        <v/>
      </c>
      <c r="G5916" t="inlineStr">
        <is>
          <t>2019-01-07 19:03:02</t>
        </is>
      </c>
      <c r="H5916" t="inlineStr">
        <is>
          <t>Type 1</t>
        </is>
      </c>
    </row>
    <row r="5917">
      <c r="A5917" t="inlineStr">
        <is>
          <t>adtuoy</t>
        </is>
      </c>
      <c r="B5917" t="inlineStr">
        <is>
          <t>Type 1 Diabetic - Requesting Additional Blood Tests</t>
        </is>
      </c>
      <c r="C5917" t="inlineStr">
        <is>
          <t>Hi, I've been a Type 1 diabetic for \~18 years and have managed to have great control thanks to a supportive family.
&amp;amp;#x200B;
Recently something has been feeling off and I'm going to visit my GP to get some blood work done. I last saw my endocrinologist approximately 2 months ago and that included getting my full blood works (not sure if this is the right term) done. He was completely happy with the results and wants to see me once a year, down from every 4 months. 
&amp;amp;#x200B;
I don't feel as though my diabetes is causing this feeling, but I'm not a health professional. What tests should I request? I remember reading on this subreddit about there being common mineral and vitamin deficiencies for diabetics but I can't seem to find it.
&amp;amp;#x200B;
Thanks all :)</t>
        </is>
      </c>
      <c r="D5917" t="n">
        <v>1</v>
      </c>
      <c r="E5917" t="n">
        <v>6</v>
      </c>
      <c r="F5917">
        <f>HYPERLINK("https://www.reddit.com/r/diabetes/comments/adtuoy/type_1_diabetic_requesting_additional_blood_tests/")</f>
        <v/>
      </c>
      <c r="G5917" t="inlineStr">
        <is>
          <t>2019-01-08 04:45:20</t>
        </is>
      </c>
      <c r="H5917" t="inlineStr">
        <is>
          <t>Type 1</t>
        </is>
      </c>
    </row>
    <row r="5918">
      <c r="A5918" t="inlineStr">
        <is>
          <t>adw4sl</t>
        </is>
      </c>
      <c r="B5918" t="inlineStr">
        <is>
          <t>G5 Transmitter &amp;amp; XDrip+ - 205 days!</t>
        </is>
      </c>
      <c r="C5918" t="inlineStr">
        <is>
          <t>Just wanted to share my high score with my G5 transmitter at 205 days. 
&amp;amp;#x200B;
Voltage A just dropped below 300, so I'll be changing it today, but this transmitter was a beast. 
My previous transmitter hardware died on day 91, so this was a welcome.
https://i.redd.it/jv6dg69c98921.jpg
&amp;amp;#x200B;</t>
        </is>
      </c>
      <c r="D5918" t="n">
        <v>1</v>
      </c>
      <c r="E5918" t="n">
        <v>3</v>
      </c>
      <c r="F5918">
        <f>HYPERLINK("https://www.reddit.com/r/diabetes/comments/adw4sl/g5_transmitter_xdrip_205_days/")</f>
        <v/>
      </c>
      <c r="G5918" t="inlineStr">
        <is>
          <t>2019-01-08 08:47:33</t>
        </is>
      </c>
      <c r="H5918" t="inlineStr">
        <is>
          <t>Type 1</t>
        </is>
      </c>
    </row>
    <row r="5919">
      <c r="A5919" t="inlineStr">
        <is>
          <t>ae0r7z</t>
        </is>
      </c>
      <c r="B5919" t="inlineStr">
        <is>
          <t>App suggestions for newly diagnosed Type 1</t>
        </is>
      </c>
      <c r="C5919" t="inlineStr">
        <is>
          <t>I am 29 and was just diagnosed as Type 1 about 2 weeks ago. I was wondering what are the essential apps that I should get on my phone? I am currently on insulin injections and hope to get on a pump one day. Thanks.</t>
        </is>
      </c>
      <c r="D5919" t="n">
        <v>1</v>
      </c>
      <c r="E5919" t="n">
        <v>6</v>
      </c>
      <c r="F5919">
        <f>HYPERLINK("https://www.reddit.com/r/diabetes/comments/ae0r7z/app_suggestions_for_newly_diagnosed_type_1/")</f>
        <v/>
      </c>
      <c r="G5919" t="inlineStr">
        <is>
          <t>2019-01-08 16:04:49</t>
        </is>
      </c>
      <c r="H5919" t="inlineStr">
        <is>
          <t>Type 1</t>
        </is>
      </c>
    </row>
    <row r="5920">
      <c r="A5920" t="inlineStr">
        <is>
          <t>ae6n2q</t>
        </is>
      </c>
      <c r="B5920" t="inlineStr">
        <is>
          <t>Australian eith a few questions for any Canadian diabetics</t>
        </is>
      </c>
      <c r="C5920" t="inlineStr">
        <is>
          <t xml:space="preserve">Hi fellow diabetics,
I'm an Australian type 1 diabetic and have been for 20+ years. I use insulin injections and a freestyle libre CGM to treat.
In a couple of months I'll be moving to Toronto on a 2 year work visa and I have a few questions regarding where to get supplies and the costs involved as I'm having trouble finding clear information online.
1. What's the cost per box of insulin? For reference I use humalog and levimir.
2. In Australia syringes/needles are free and other supplies are greatly subsidized as they are covered by the government. Is there any similar system in Canada? If not what is the cost per box?
3. I understand that I won't be on the Ontario health care system from the get go but I can after being there for 3 months. Are diabetes doctors visits covered under that system? What about diabetes educator's or dieticians?
Thanks for any help in advance. </t>
        </is>
      </c>
      <c r="D5920" t="n">
        <v>1</v>
      </c>
      <c r="E5920" t="n">
        <v>7</v>
      </c>
      <c r="F5920">
        <f>HYPERLINK("https://www.reddit.com/r/diabetes/comments/ae6n2q/australian_eith_a_few_questions_for_any_canadian/")</f>
        <v/>
      </c>
      <c r="G5920" t="inlineStr">
        <is>
          <t>2019-01-09 05:05:28</t>
        </is>
      </c>
      <c r="H5920" t="inlineStr">
        <is>
          <t>Type 1</t>
        </is>
      </c>
    </row>
    <row r="5921">
      <c r="A5921" t="inlineStr">
        <is>
          <t>ae9lzq</t>
        </is>
      </c>
      <c r="B5921" t="inlineStr">
        <is>
          <t>About to run out of insulin at work</t>
        </is>
      </c>
      <c r="C5921" t="inlineStr">
        <is>
          <t>Still have 5 hours to go.  1.5 units left.  Didn't realize my vial was almost out this morning and had to correct for a big breakfast.  Only ate a cheese stick for lunch.  How's your day going?</t>
        </is>
      </c>
      <c r="D5921" t="n">
        <v>1</v>
      </c>
      <c r="E5921" t="n">
        <v>18</v>
      </c>
      <c r="F5921">
        <f>HYPERLINK("https://www.reddit.com/r/diabetes/comments/ae9lzq/about_to_run_out_of_insulin_at_work/")</f>
        <v/>
      </c>
      <c r="G5921" t="inlineStr">
        <is>
          <t>2019-01-09 10:18:40</t>
        </is>
      </c>
      <c r="H5921" t="inlineStr">
        <is>
          <t>Type 1</t>
        </is>
      </c>
    </row>
    <row r="5922">
      <c r="A5922" t="inlineStr">
        <is>
          <t>aea08k</t>
        </is>
      </c>
      <c r="B5922" t="inlineStr">
        <is>
          <t>MySugr Down?</t>
        </is>
      </c>
      <c r="C5922" t="inlineStr">
        <is>
          <t>Anyone else using mysugr and having issues connecting to the app?  My app won't login saying the server is unavailable.  I've also tried logging into their website and get an error about too many redirections.  I sent a case to support and haven't gotten anything back after 48 hours.</t>
        </is>
      </c>
      <c r="D5922" t="n">
        <v>1</v>
      </c>
      <c r="E5922" t="n">
        <v>3</v>
      </c>
      <c r="F5922">
        <f>HYPERLINK("https://www.reddit.com/r/diabetes/comments/aea08k/mysugr_down/")</f>
        <v/>
      </c>
      <c r="G5922" t="inlineStr">
        <is>
          <t>2019-01-09 10:56:59</t>
        </is>
      </c>
      <c r="H5922" t="inlineStr">
        <is>
          <t>Type 2</t>
        </is>
      </c>
    </row>
    <row r="5923">
      <c r="A5923" t="inlineStr">
        <is>
          <t>aeaxav</t>
        </is>
      </c>
      <c r="B5923" t="inlineStr">
        <is>
          <t>Anyone else diagnosed at a young age experiencing memory problems?</t>
        </is>
      </c>
      <c r="C5923" t="inlineStr">
        <is>
          <t>I know studies show that diabetes, and specifically poor BG control, affects cognitive ability. However, I want to know if anyone else experiences it affecting their memory specifically? I am intelligent and have always performed well academically, so I don't feel diabetes has affected my cognitive ability so to speak - just my memory. I was diagnosed when I was 9 years old, now in my late 20's, and the past couple of years I have been having trouble remembering large parts of my life. My family members will often recount important events I was present for and I will only have a very vague idea of what they are talking about. My short-term memory seems fine though. My control has never been as perfect as some of the inspiring results I see on this sub, but it has never been terrible and no obvious signs neuropathy yet.
Anyway, I was just curious to know if any other diabetics experience this? Is it a common issue?</t>
        </is>
      </c>
      <c r="D5923" t="n">
        <v>1</v>
      </c>
      <c r="E5923" t="n">
        <v>20</v>
      </c>
      <c r="F5923">
        <f>HYPERLINK("https://www.reddit.com/r/diabetes/comments/aeaxav/anyone_else_diagnosed_at_a_young_age_experiencing/")</f>
        <v/>
      </c>
      <c r="G5923" t="inlineStr">
        <is>
          <t>2019-01-09 12:25:04</t>
        </is>
      </c>
      <c r="H5923" t="inlineStr">
        <is>
          <t>Type 1</t>
        </is>
      </c>
    </row>
    <row r="5924">
      <c r="A5924" t="inlineStr">
        <is>
          <t>aeewvy</t>
        </is>
      </c>
      <c r="B5924" t="inlineStr">
        <is>
          <t>What are some healthy alternatives to raise your blood sugar?</t>
        </is>
      </c>
      <c r="C5924" t="inlineStr">
        <is>
          <t xml:space="preserve">I’m really tired of using juice and skittles to raise my low blood sugar. </t>
        </is>
      </c>
      <c r="D5924" t="n">
        <v>1</v>
      </c>
      <c r="E5924" t="n">
        <v>12</v>
      </c>
      <c r="F5924">
        <f>HYPERLINK("https://www.reddit.com/r/diabetes/comments/aeewvy/what_are_some_healthy_alternatives_to_raise_your/")</f>
        <v/>
      </c>
      <c r="G5924" t="inlineStr">
        <is>
          <t>2019-01-09 19:22:03</t>
        </is>
      </c>
      <c r="H5924" t="inlineStr">
        <is>
          <t>Type 1</t>
        </is>
      </c>
    </row>
    <row r="5925">
      <c r="A5925" t="inlineStr">
        <is>
          <t>aef4mb</t>
        </is>
      </c>
      <c r="B5925" t="inlineStr">
        <is>
          <t>Irregular BG trends</t>
        </is>
      </c>
      <c r="C5925" t="inlineStr">
        <is>
          <t xml:space="preserve">Every day is a new day with my BG lately. I have been keeping a diary for the last 3 months to see if I can track any patterns and trends. I finally felt as though I was beginning to see a pattern.....BUT now for the last 3 days following dinner and taking my usual carb to insulin ratio bolus, it has been dropping.  I am trying to lose weight right now and be more mindful of carb intake etc.... But its really really demotivating when I have to drink juice throughout the night. It's just counterproductive.  Feeling like I can't win. 
&amp;amp;#x200B;
How do you you guys manage low-carb healthy eating + low BGs. Did you find your BG to be irregular when transitioning to a different diet ? What could be causing this irregularity?? </t>
        </is>
      </c>
      <c r="D5925" t="n">
        <v>1</v>
      </c>
      <c r="E5925" t="n">
        <v>2</v>
      </c>
      <c r="F5925">
        <f>HYPERLINK("https://www.reddit.com/r/diabetes/comments/aef4mb/irregular_bg_trends/")</f>
        <v/>
      </c>
      <c r="G5925" t="inlineStr">
        <is>
          <t>2019-01-09 19:48:29</t>
        </is>
      </c>
      <c r="H5925" t="inlineStr">
        <is>
          <t>Type 1</t>
        </is>
      </c>
    </row>
    <row r="5926">
      <c r="A5926" t="inlineStr">
        <is>
          <t>aej4yy</t>
        </is>
      </c>
      <c r="B5926" t="inlineStr">
        <is>
          <t>Several hypos in one day and had a university exam. Need to produce evidence.</t>
        </is>
      </c>
      <c r="C5926" t="inlineStr">
        <is>
          <t>As the title says but during this period I could not find my blood meter. Due to this, it went from being low to way too high to way to low again. As you guys probably know this completely wiped me out and I could barely do the exam. Which was probably the most important one in my life.
Now my university is saying I must have evidence. Their policy is clear and i don't know if they would do anything if I just told them the truth. Although the ethicality is questionable, I was wondering if there was any way to insert the results on a meter. I presume there are things in place to prevent this but I am hoping with my background in CS and Electronics I can; I just don't know where to start.
I own the Accu Check Aviva Expert. Are there any schematics or design information out there about it? It must be possible just a little tricky.</t>
        </is>
      </c>
      <c r="D5926" t="n">
        <v>1</v>
      </c>
      <c r="E5926" t="n">
        <v>15</v>
      </c>
      <c r="F5926">
        <f>HYPERLINK("https://www.reddit.com/r/diabetes/comments/aej4yy/several_hypos_in_one_day_and_had_a_university/")</f>
        <v/>
      </c>
      <c r="G5926" t="inlineStr">
        <is>
          <t>2019-01-10 05:28:58</t>
        </is>
      </c>
      <c r="H5926" t="inlineStr">
        <is>
          <t>Type 1</t>
        </is>
      </c>
    </row>
    <row r="5927">
      <c r="A5927" t="inlineStr">
        <is>
          <t>aejfzh</t>
        </is>
      </c>
      <c r="B5927" t="inlineStr">
        <is>
          <t>Newly diabete</t>
        </is>
      </c>
      <c r="C5927" t="inlineStr">
        <is>
          <t>Where may I find a complete list of what I can eat and not eat with the serving sizes"</t>
        </is>
      </c>
      <c r="D5927" t="n">
        <v>1</v>
      </c>
      <c r="E5927" t="n">
        <v>7</v>
      </c>
      <c r="F5927">
        <f>HYPERLINK("https://www.reddit.com/r/diabetes/comments/aejfzh/newly_diabete/")</f>
        <v/>
      </c>
      <c r="G5927" t="inlineStr">
        <is>
          <t>2019-01-10 06:08:41</t>
        </is>
      </c>
      <c r="H5927" t="inlineStr">
        <is>
          <t>Type 2</t>
        </is>
      </c>
    </row>
    <row r="5928">
      <c r="A5928" t="inlineStr">
        <is>
          <t>aen3dj</t>
        </is>
      </c>
      <c r="B5928" t="inlineStr">
        <is>
          <t>Just Diagnosed with Type 2, have questions.</t>
        </is>
      </c>
      <c r="C5928" t="inlineStr">
        <is>
          <t xml:space="preserve">Hi there, name's Kodatine, like Sonatine but not. 
I just got the call from my doctor, after spending 2 weeks having to psyche myself up for blood work and finally doing it yesterday. My sugar was 276 and my a1c 9.6%, she said I have Type 2 Diabetes. I'm at work so I don't have, like, a ton of time to talk to her, but she tells me she's gonna start me on some medication that starts with an M? and that she wants me in soon for a urine test.   
What I'm asking here, is, what do i do moving forward, I know I have to be careful with what I eat I think?, and that there will be blood tests in the future to make sure I'm okay..but , I truthfully don't know anything about diabetes, or what changes I should start making? I know my grandfather has it, but he never properly took care of himself and is a terrible alcoholic, so asking him for any kind of guidance isn't gonna get me anywhere lol. So, if I could just get a little bit of a nudge in the right direction of "what comes next" I'd really appreciate. </t>
        </is>
      </c>
      <c r="D5928" t="n">
        <v>1</v>
      </c>
      <c r="E5928" t="n">
        <v>15</v>
      </c>
      <c r="F5928">
        <f>HYPERLINK("https://www.reddit.com/r/diabetes/comments/aen3dj/just_diagnosed_with_type_2_have_questions/")</f>
        <v/>
      </c>
      <c r="G5928" t="inlineStr">
        <is>
          <t>2019-01-10 12:28:22</t>
        </is>
      </c>
      <c r="H5928" t="inlineStr">
        <is>
          <t>Type 2</t>
        </is>
      </c>
    </row>
    <row r="5929">
      <c r="A5929" t="inlineStr">
        <is>
          <t>aeoc52</t>
        </is>
      </c>
      <c r="B5929" t="inlineStr">
        <is>
          <t>Are there any diabetic snacks that taste good?</t>
        </is>
      </c>
      <c r="C5929" t="inlineStr">
        <is>
          <t xml:space="preserve">Seriously. I understand that maybe my taste buds are warped due to years of junk food, but I’m aiming to be a better diabetic and bodybuilder in general this year. I’m determined to quit, or at least drastically reduce the amount of crap I eat. I’ve had the ailment since I was 4, but I’ve only started to have been good about it recently. My goal is to gain muscle through clean, diabetic-friendly foods and to be a better diabetic in general.
Sadly, most of the food I hear that’s good sounds...awful, if I’m being frank. Part of it is my mindset I feel, but I doubt things like cottage cheese would sound good to most people.
Fellow diabetics - any advice or foods you eat that meet the requirements while being tasty? (And yes, I know taste is subjective to some extent, but still) </t>
        </is>
      </c>
      <c r="D5929" t="n">
        <v>1</v>
      </c>
      <c r="E5929" t="n">
        <v>29</v>
      </c>
      <c r="F5929">
        <f>HYPERLINK("https://www.reddit.com/r/diabetes/comments/aeoc52/are_there_any_diabetic_snacks_that_taste_good/")</f>
        <v/>
      </c>
      <c r="G5929" t="inlineStr">
        <is>
          <t>2019-01-10 14:24:38</t>
        </is>
      </c>
      <c r="H5929" t="inlineStr">
        <is>
          <t>Type 1</t>
        </is>
      </c>
    </row>
    <row r="5930">
      <c r="A5930" t="inlineStr">
        <is>
          <t>aeuohm</t>
        </is>
      </c>
      <c r="B5930" t="inlineStr">
        <is>
          <t>Glucerna and Diabetic Meal Replacement Shakes in Switzerland</t>
        </is>
      </c>
      <c r="C5930" t="inlineStr">
        <is>
          <t xml:space="preserve">Hello everyone! My father had Type 2 diabetes. He recently moved to Switzerland for work and lives alone. When he was in the US, he drank Glucerna shakes, but they seem to be unavailable in Switzerland. He relies on my mother and I to bring packs over when we travel to see him and runs out rather quickly in the meantime. Does anyone know of any equivalents to Glucerna that are sold in Europe? He lives close to the border of France and is willing to travel there and buy in bulk, if need be. Thank you! </t>
        </is>
      </c>
      <c r="D5930" t="n">
        <v>1</v>
      </c>
      <c r="E5930" t="n">
        <v>5</v>
      </c>
      <c r="F5930">
        <f>HYPERLINK("https://www.reddit.com/r/diabetes/comments/aeuohm/glucerna_and_diabetic_meal_replacement_shakes_in/")</f>
        <v/>
      </c>
      <c r="G5930" t="inlineStr">
        <is>
          <t>2019-01-11 03:57:50</t>
        </is>
      </c>
      <c r="H5930" t="inlineStr">
        <is>
          <t>Type 2</t>
        </is>
      </c>
    </row>
    <row r="5931">
      <c r="A5931" t="inlineStr">
        <is>
          <t>af4de3</t>
        </is>
      </c>
      <c r="B5931" t="inlineStr">
        <is>
          <t>Nerve healing after surgery/broken bones</t>
        </is>
      </c>
      <c r="C5931" t="inlineStr">
        <is>
          <t xml:space="preserve">Has anyone experienced nerve damage due to surgery/broken bones before? 
I recently broke 7 facial bones (yikes) and required two surgeries to insert titanium plates and set the bones in place. It’s been 6 weeks, so still relatively early in the healing process, but I’m still quite numb. From what I’ve read online it can take months and up to a year to regain sensation. However, I’m wondering if anyone with diabetes has gone through this and how they found their recovery. My A1C is down to 7.0% (from 8.3%) in 2 months due to the extra attention I’ve given my blood sugars. Any insights would be appreciated! </t>
        </is>
      </c>
      <c r="D5931" t="n">
        <v>1</v>
      </c>
      <c r="E5931" t="n">
        <v>8</v>
      </c>
      <c r="F5931">
        <f>HYPERLINK("https://www.reddit.com/r/diabetes/comments/af4de3/nerve_healing_after_surgerybroken_bones/")</f>
        <v/>
      </c>
      <c r="G5931" t="inlineStr">
        <is>
          <t>2019-01-11 21:27:56</t>
        </is>
      </c>
      <c r="H5931" t="inlineStr">
        <is>
          <t>Type 1</t>
        </is>
      </c>
    </row>
    <row r="5932">
      <c r="A5932" t="inlineStr">
        <is>
          <t>afa7ic</t>
        </is>
      </c>
      <c r="B5932" t="inlineStr">
        <is>
          <t>Dexcom G6 Calibration Error during Sensor Warm-up</t>
        </is>
      </c>
      <c r="C5932" t="inlineStr">
        <is>
          <t xml:space="preserve">Just wanted to start by saying that I am just over a week into wearing my first-ever pump (Tandem t:slim X2) and loving it, including the BasalIQ feature. But this morning I started running into issues with my Dexcom G6. I was 9 days into my current sensor and awoke to the dreaded Urgent Low alarm, but didn't feel Hypo at all. So I attempted to calibrate with a finger-stick, and then multiple finger-sticks, which all had me in the neighborhood of 210-225 (probably because BasalIQ read my sugars as being super low and suspended my Basal delivery). 
&amp;amp;#x200B;
After several failed calibrations and a few hours, I decided to switch out my sensor. I stopped my old sensor and changed to the new one, as I've always done. But about 10 minutes into the sensor's warm-up sequence, I got another Calibration Error "Calibrate in 15 minutes." Doesn't make much sense. Could it be a transmitter issue? Has anyone else here experienced this? </t>
        </is>
      </c>
      <c r="D5932" t="n">
        <v>1</v>
      </c>
      <c r="E5932" t="n">
        <v>0</v>
      </c>
      <c r="F5932">
        <f>HYPERLINK("https://www.reddit.com/r/diabetes/comments/afa7ic/dexcom_g6_calibration_error_during_sensor_warmup/")</f>
        <v/>
      </c>
      <c r="G5932" t="inlineStr">
        <is>
          <t>2019-01-12 10:37:39</t>
        </is>
      </c>
      <c r="H5932" t="inlineStr">
        <is>
          <t>Type 1</t>
        </is>
      </c>
    </row>
    <row r="5933">
      <c r="A5933" t="inlineStr">
        <is>
          <t>afbbdo</t>
        </is>
      </c>
      <c r="B5933" t="inlineStr">
        <is>
          <t>Forgot my Diaversary</t>
        </is>
      </c>
      <c r="C5933" t="inlineStr">
        <is>
          <t>Forgot my diabetic diagnosis anniversary for the first time in 21 years. Here's to 21 years with this disease (a few days late)!</t>
        </is>
      </c>
      <c r="D5933" t="n">
        <v>1</v>
      </c>
      <c r="E5933" t="n">
        <v>2</v>
      </c>
      <c r="F5933">
        <f>HYPERLINK("https://www.reddit.com/r/diabetes/comments/afbbdo/forgot_my_diaversary/")</f>
        <v/>
      </c>
      <c r="G5933" t="inlineStr">
        <is>
          <t>2019-01-12 12:31:20</t>
        </is>
      </c>
      <c r="H5933" t="inlineStr">
        <is>
          <t>Type 1</t>
        </is>
      </c>
    </row>
    <row r="5934">
      <c r="A5934" t="inlineStr">
        <is>
          <t>afcaeq</t>
        </is>
      </c>
      <c r="B5934" t="inlineStr">
        <is>
          <t>I need help regarding diet and medication choices</t>
        </is>
      </c>
      <c r="C5934" t="inlineStr">
        <is>
          <t>I'm 28f, I was technically diagnosed type 2 10 years ago. Due to a LONG story filled with lack of insurance and lack of understanding and much ignorance, only in the past few years have I been trying to figure out the best medication and how to eat right, etc
So, I've also got PCOS so naturally I was put on metformin, but after months of suffering with stomach issues and bathroom issues at 2000mg a day, I went to the doctor and asked for something else. He gave me glipizide. A week of that put me in the ER for (sorry) pooping blood. I quit taking that. I went through a long battle of trying to force myself to deal with the metformin at 2000mg, which ended up forcing me to get FMLA at my job because I had to go to the bathroom A LOT. Mind you, at 2000mg my fasting blood sugar was still bouncing between 140-200, which I know was food related. I'll get to that in a second. I started developing neuropathy in my feet which has gotten worse and I finally got a different doctor and explained this to him. He offered insulin...basaglar. I've been trying to take it, which the stabbing part isn't that bad but I  stopped because I realized that my eating habits are a large part of this issue. I asked my doctor and all he really told me is to eat a "whole food diet" but didn't give me any details.
 I'm on a strict budget and am not a fan of meat, sans seafood. I have no idea what I'm doing. I've been on Pinterest every day trying to find ideas for meals and I'm still puzzled about what's best to eat and how to even go about this. Can anyone help?</t>
        </is>
      </c>
      <c r="D5934" t="n">
        <v>1</v>
      </c>
      <c r="E5934" t="n">
        <v>11</v>
      </c>
      <c r="F5934">
        <f>HYPERLINK("https://www.reddit.com/r/diabetes/comments/afcaeq/i_need_help_regarding_diet_and_medication_choices/")</f>
        <v/>
      </c>
      <c r="G5934" t="inlineStr">
        <is>
          <t>2019-01-12 14:04:59</t>
        </is>
      </c>
      <c r="H5934" t="inlineStr">
        <is>
          <t>Type 2</t>
        </is>
      </c>
    </row>
    <row r="5935">
      <c r="A5935" t="inlineStr">
        <is>
          <t>afdp0t</t>
        </is>
      </c>
      <c r="B5935" t="inlineStr">
        <is>
          <t>Dexcom T:Slim X2 Question about traveling light</t>
        </is>
      </c>
      <c r="C5935" t="inlineStr">
        <is>
          <t>I'm going to be out of town for a week on business, and trying to travel as light as possible.  is it a bad idea to just pre-fill my pump cartridges and use those instead of having to bring insulin vials, and needles, and all of that?</t>
        </is>
      </c>
      <c r="D5935" t="n">
        <v>1</v>
      </c>
      <c r="E5935" t="n">
        <v>10</v>
      </c>
      <c r="F5935">
        <f>HYPERLINK("https://www.reddit.com/r/diabetes/comments/afdp0t/dexcom_tslim_x2_question_about_traveling_light/")</f>
        <v/>
      </c>
      <c r="G5935" t="inlineStr">
        <is>
          <t>2019-01-12 16:28:53</t>
        </is>
      </c>
      <c r="H5935" t="inlineStr">
        <is>
          <t>Type 1</t>
        </is>
      </c>
    </row>
    <row r="5936">
      <c r="A5936" t="inlineStr">
        <is>
          <t>afdtsn</t>
        </is>
      </c>
      <c r="B5936" t="inlineStr">
        <is>
          <t>ever have something happen , look up the symptoms . then just freak the fuck out...</t>
        </is>
      </c>
      <c r="C5936" t="inlineStr">
        <is>
          <t>so my left leg has been feeling really sore , so i decided to look up some stuff . 
leg Swollen - Check
leg Aching - Check 
Leg Dis-colored - Check 
Leg Stiff - Check
&amp;amp;#x200B;
looked up swollen leg as my left leg is swelling but not my right... every thing says i have  Kidney disease ... i got an appointment with my doctor luckily in 9 days . really hoping nothing is going on but damn i hate looking stuff up</t>
        </is>
      </c>
      <c r="D5936" t="n">
        <v>1</v>
      </c>
      <c r="E5936" t="n">
        <v>6</v>
      </c>
      <c r="F5936">
        <f>HYPERLINK("https://www.reddit.com/r/diabetes/comments/afdtsn/ever_have_something_happen_look_up_the_symptoms/")</f>
        <v/>
      </c>
      <c r="G5936" t="inlineStr">
        <is>
          <t>2019-01-12 16:43:22</t>
        </is>
      </c>
      <c r="H5936" t="inlineStr">
        <is>
          <t>Type 1</t>
        </is>
      </c>
    </row>
    <row r="5937">
      <c r="A5937" t="inlineStr">
        <is>
          <t>affvtk</t>
        </is>
      </c>
      <c r="B5937" t="inlineStr">
        <is>
          <t>Painful toes and numbness</t>
        </is>
      </c>
      <c r="C5937" t="inlineStr">
        <is>
          <t xml:space="preserve">I don’t know if this is the right place or not, so forgive me if it is not.  
My mom has been experiencing a lot of pain in her feet, namely her big toe. I told her to go to the doctor about it and the doctor said that my mom now has nerve damage, most likely from diabetes.  I’m just really scared because I know this means it is getting worse. I guess I was just looking for advice here. At what point do people actually lose their leg?  What can she do to help improve her pain or keep her feet safe?  If anyone has any advice on what I can do to help her I would greatly appreciate it. Thank you.  </t>
        </is>
      </c>
      <c r="D5937" t="n">
        <v>1</v>
      </c>
      <c r="E5937" t="n">
        <v>5</v>
      </c>
      <c r="F5937">
        <f>HYPERLINK("https://www.reddit.com/r/diabetes/comments/affvtk/painful_toes_and_numbness/")</f>
        <v/>
      </c>
      <c r="G5937" t="inlineStr">
        <is>
          <t>2019-01-12 20:39:03</t>
        </is>
      </c>
      <c r="H5937" t="inlineStr">
        <is>
          <t>Type 2</t>
        </is>
      </c>
    </row>
    <row r="5938">
      <c r="A5938" t="inlineStr">
        <is>
          <t>afgxlf</t>
        </is>
      </c>
      <c r="B5938" t="inlineStr">
        <is>
          <t>I just checked my blood sugar for the first time since Christmas.</t>
        </is>
      </c>
      <c r="C5938" t="inlineStr">
        <is>
          <t>I just checked it before going to bed: 158 mg/dL. I have a Medtronic Minimed pump and I bolus quite frequently.
I have the uncanny ability to feel and smell my blood sugars. I have relied on this sixth sense of sorts for the entire ten years I have been diabetic, but I have always checked my blood sugar at least once daily until 2018. My last A1c in September showed me at 7.1.
My sister is also Type 1 diabetic and she has always struggled a lot more than I have. Her A1c’s were pretty consistently while numbers above mine and I felt like as long as I was doing better than her, I was fine. Well, she finally switched pumps and CGMs and now her sugars are better than mine (I assume). I’m sure her next A1c will be in the 6s (where mine were prior to 2018).
Obviously my lame super power isn’t a satisfactory substitute for checking my blood sugars, but I just hate pricking my fingers and entering it in. I’m not afraid of needles or anything, but I just **hate** actually checking my sugar levels. I don’t have great insurance and strips are somewhat expensive for me, so I use that to justify my rationale.
I guess the point of this post is that I need encouragement to actually check my blood sugar. I feel like I’ve tried everything: incentives, punishments, schedules, calendars, and reminders have all come and gone and I still don’t check. What have you done to keep checking? I know I need to, and I want to want to, but I just forget or push it off and I want to get better. Any advice?</t>
        </is>
      </c>
      <c r="D5938" t="n">
        <v>1</v>
      </c>
      <c r="E5938" t="n">
        <v>3</v>
      </c>
      <c r="F5938">
        <f>HYPERLINK("https://www.reddit.com/r/diabetes/comments/afgxlf/i_just_checked_my_blood_sugar_for_the_first_time/")</f>
        <v/>
      </c>
      <c r="G5938" t="inlineStr">
        <is>
          <t>2019-01-12 22:59:48</t>
        </is>
      </c>
      <c r="H5938" t="inlineStr">
        <is>
          <t>Type 1</t>
        </is>
      </c>
    </row>
    <row r="5939">
      <c r="A5939" t="inlineStr">
        <is>
          <t>afkw2h</t>
        </is>
      </c>
      <c r="B5939" t="inlineStr">
        <is>
          <t>Help! My GF is drunk and I don't know what level of blood sugar should be.</t>
        </is>
      </c>
      <c r="C5939" t="inlineStr">
        <is>
          <t>My GF is 5', around 110 lbs, she has type 1 diabetes. She is very drunk right now and I cannot find the appropriate resources on Google to know if she needs an injection or not. She has a wireless monitor that shows 282 mg/dL about 10 minutes ago, now it's 280 mg/dL. 
&amp;amp;#x200B;
I don't know if she needs an injection or she's fine. Google was useless to give someone a basic understanding of sugar levels, please tell me what, if anything, I should do. She's sleeping right now.</t>
        </is>
      </c>
      <c r="D5939" t="n">
        <v>1</v>
      </c>
      <c r="E5939" t="n">
        <v>15</v>
      </c>
      <c r="F5939">
        <f>HYPERLINK("https://www.reddit.com/r/diabetes/comments/afkw2h/help_my_gf_is_drunk_and_i_dont_know_what_level_of/")</f>
        <v/>
      </c>
      <c r="G5939" t="inlineStr">
        <is>
          <t>2019-01-13 08:31:07</t>
        </is>
      </c>
      <c r="H5939" t="inlineStr">
        <is>
          <t>Type 1</t>
        </is>
      </c>
    </row>
    <row r="5940">
      <c r="A5940" t="inlineStr">
        <is>
          <t>aflm8x</t>
        </is>
      </c>
      <c r="B5940" t="inlineStr">
        <is>
          <t>Adjusting clock problem</t>
        </is>
      </c>
      <c r="C5940" t="inlineStr">
        <is>
          <t>Hey guys. So I woke up this morning without changing my clock at all and I saw this. When I click help it just says to wait like 10 minutes and it’d be back to normal, but as you can see it’s been a little bit longer than that. I’ve also restarted my phone and that didn’t fix it. Just wondering if anyone else has had this problem and if there’s something I have to do to fix it. Thanks!</t>
        </is>
      </c>
      <c r="D5940" t="n">
        <v>1</v>
      </c>
      <c r="E5940" t="n">
        <v>1</v>
      </c>
      <c r="F5940">
        <f>HYPERLINK("https://www.reddit.com/r/diabetes/comments/aflm8x/adjusting_clock_problem/")</f>
        <v/>
      </c>
      <c r="G5940" t="inlineStr">
        <is>
          <t>2019-01-13 09:40:01</t>
        </is>
      </c>
      <c r="H5940" t="inlineStr">
        <is>
          <t>Type 1</t>
        </is>
      </c>
    </row>
    <row r="5941">
      <c r="A5941" t="inlineStr">
        <is>
          <t>aflm9o</t>
        </is>
      </c>
      <c r="B5941" t="inlineStr">
        <is>
          <t>Adjusting clock problem</t>
        </is>
      </c>
      <c r="C5941" t="inlineStr">
        <is>
          <t>Hey guys. So I woke up this morning without changing my clock at all and I saw this. When I click help it just says to wait like 10 minutes and it’d be back to normal, but as you can see it’s been a little bit longer than that. I’ve also restarted my phone and that didn’t fix it. Just wondering if anyone else has had this problem and if there’s something I have to do to fix it. Thanks!</t>
        </is>
      </c>
      <c r="D5941" t="n">
        <v>1</v>
      </c>
      <c r="E5941" t="n">
        <v>1</v>
      </c>
      <c r="F5941">
        <f>HYPERLINK("https://www.reddit.com/r/diabetes/comments/aflm9o/adjusting_clock_problem/")</f>
        <v/>
      </c>
      <c r="G5941" t="inlineStr">
        <is>
          <t>2019-01-13 09:40:03</t>
        </is>
      </c>
      <c r="H5941" t="inlineStr">
        <is>
          <t>Type 1</t>
        </is>
      </c>
    </row>
    <row r="5942">
      <c r="A5942" t="inlineStr">
        <is>
          <t>afn59v</t>
        </is>
      </c>
      <c r="B5942" t="inlineStr">
        <is>
          <t>Metformin Inquiry</t>
        </is>
      </c>
      <c r="C5942" t="inlineStr">
        <is>
          <t xml:space="preserve">Recently diagnosed and prescribed Metformin 500 mg, twice per day. The side effect of diarrhea has been my one and only issue with the drug. Any tips on how to make this side effect more tolerable? </t>
        </is>
      </c>
      <c r="D5942" t="n">
        <v>1</v>
      </c>
      <c r="E5942" t="n">
        <v>12</v>
      </c>
      <c r="F5942">
        <f>HYPERLINK("https://www.reddit.com/r/diabetes/comments/afn59v/metformin_inquiry/")</f>
        <v/>
      </c>
      <c r="G5942" t="inlineStr">
        <is>
          <t>2019-01-13 12:00:35</t>
        </is>
      </c>
      <c r="H5942" t="inlineStr">
        <is>
          <t>Type 2</t>
        </is>
      </c>
    </row>
    <row r="5943">
      <c r="A5943" t="inlineStr">
        <is>
          <t>afn8iu</t>
        </is>
      </c>
      <c r="B5943" t="inlineStr">
        <is>
          <t>Exciting opportunity to participate in a research study about new diabetes care options</t>
        </is>
      </c>
      <c r="C5943" t="inlineStr">
        <is>
          <t>Do you have DIABETES?
Are you worried about what your next A1C will be?
Do you worry about going to the doctor for a diabetes check-up?
Having trouble with friends and family understanding how hard diabetes can be?
Participate in research to help learn about diabetes care.
&amp;amp;#x200B;
Help us learn what people like you think about ways to take the stress out of caring for your diabetes. This research study at the University of Colorado is seeking to learn from people with diabetes about the best ways to decrease stress from diabetes. If you have diabetes and use a smartphone, follow this link ([ucdenver.edu/DMACT](https://ucdenver.edu/DMACT)) to take a brief 5-10 minute survey to tell us what you think about new diabetes care options.
&amp;amp;#x200B;
You may have questions about your rights as someone in this study.  If you have questions, you can call the COMIRB (the responsible Institutional Review Board).   Their number is (303) 724-1055.</t>
        </is>
      </c>
      <c r="D5943" t="n">
        <v>1</v>
      </c>
      <c r="E5943" t="n">
        <v>5</v>
      </c>
      <c r="F5943">
        <f>HYPERLINK("https://www.reddit.com/r/diabetes/comments/afn8iu/exciting_opportunity_to_participate_in_a_research/")</f>
        <v/>
      </c>
      <c r="G5943" t="inlineStr">
        <is>
          <t>2019-01-13 12:08:56</t>
        </is>
      </c>
      <c r="H5943" t="inlineStr">
        <is>
          <t>Type 2</t>
        </is>
      </c>
    </row>
    <row r="5944">
      <c r="A5944" t="inlineStr">
        <is>
          <t>afqn86</t>
        </is>
      </c>
      <c r="B5944" t="inlineStr">
        <is>
          <t>Dexcom vs. Medtronic CGM</t>
        </is>
      </c>
      <c r="C5944" t="inlineStr">
        <is>
          <t>This is long. Tl;dr at the end.
I have a Medtronic 670G pump and CGM. I love the pump, and I like auto mode (in theory... but as probably everyone on this sub knows or has heard, it has a lot of problems in execution).  I'm considering switching to a Dexcom CGM, but keeping my Medtronic pump. Does that even make sense to mix and match like that, and get rid of the very awesome (if poorly executed) idea of an integrated pump-CGM system?
My problem with the Medtronic GCM is insertion. I don't know if it's just me or what, but every time I try to inset a new one I end up wasting 1-2 sensors before I get it inserted correctly (and those sensors are expensive).  Either the needle doesn't go all the way in (maybe I didn't push down hard enough? idk) and when I pull away the inserter device I'm confronted with the disturbing view of a needle half in and half out of my stomach attached the sensor. Usually I'll be desperate not to waste the sensor so I'll just push the needle (and attached sensor) the rest of the way in, then remove the plastic thing so the needle snaps out. This is unpleasant. After a decade of insulin injections in my pre-pump days I've pretty much lost my fear of needles, but it's still gross to push the needle the rest way in like that. And it doesn't always work; a lot of times after I push it in the damn thing just bleeds everywhere.  
Or, if I don't have this problem, the needle inserts correctly, but as soon as I remove the plastic thing that snaps the needle out, bleeding occurs.  Like, blood running down and dripping on the floor level bleeding.  (Am I pressing in too hard and it causes this? Who knows). Then I have to remove the sensor (before the transmitter get ruined by all the blood and let's be honest it's definitely not going to work in this situation), and try all over again.
I don't have this problem inserting the pump, and I like to think I'm not a complete irredeemable idiot, so there has to be something wrong with the sensor. This can't be all user error; I have this problem pretty much every time, and it's very frustrating. My stomach is a mess of bruises from failed sensor attempts. I often have to take sensor breaks to let my skin heal because I've run out of places to stick the damn thing. And I have tried inserting the sensor in my upper leg and my arms multiple times.  Both ended in tears and blood. (Okay not tears, but a lot of blood and frustration).
And then of course once the sensor is actually inserted properly, and the interminable warm-up period has passed, I have the same calibration/BG requried/ looping alarm issues that have been discussed in this sub before. I find those annoying, but not deal-breakers for me. My main complaint is the insertion issues.
So, onto my question... I've heard the Dexcom sensors are much better, and pretty much light years ahead of medtronic. Dexcom users, what do you think? Is it easy to insert? Easy to use? How long do you actually leave your sensors in for? Do you think it's worth switching and abandoning the whole Medtronic closed loop situation?
Thank you!!
Tl;dr:  Medtronic 670G CGM and closed loop auto mode is an awesome feature, but the CGM is super frustrating to use. Is it worth abandoning this integrated system to switch to the more user-friendly (so I've heard) Dexcom CGM, and mix and match a Dexcom CGM with a medtronic pump?</t>
        </is>
      </c>
      <c r="D5944" t="n">
        <v>1</v>
      </c>
      <c r="E5944" t="n">
        <v>11</v>
      </c>
      <c r="F5944">
        <f>HYPERLINK("https://www.reddit.com/r/diabetes/comments/afqn86/dexcom_vs_medtronic_cgm/")</f>
        <v/>
      </c>
      <c r="G5944" t="inlineStr">
        <is>
          <t>2019-01-13 17:44:47</t>
        </is>
      </c>
      <c r="H5944" t="inlineStr">
        <is>
          <t>Type 1</t>
        </is>
      </c>
    </row>
    <row r="5945">
      <c r="A5945" t="inlineStr">
        <is>
          <t>afr9vb</t>
        </is>
      </c>
      <c r="B5945" t="inlineStr">
        <is>
          <t>How much was your insulin pump (with insurance)? How much is it all in a month?</t>
        </is>
      </c>
      <c r="C5945" t="inlineStr">
        <is>
          <t xml:space="preserve">Hi there.
&amp;amp;#x200B;
I've pretty much been living in the past in terms of diabetes care. I was diagnosed about 19 years ago and I didn't have a dr. for most of that time (no ins), so I purchased non prescription required insulin for years and needles. My control wasn't very good, of course. 
&amp;amp;#x200B;
Got an endo about 2 years ago and have switched to pens. A few months ago I got a libre. I am doing so much better, and now I'm thinking about a pump. I met someone at my fiances job with a pump, and he really liked it. It is whatever the latest one is, with the "auto mode". He was really happy. I'm going in a month for my endo apt. and have been seriously considering asking for this, and she has pushed me in that direction before so I'm sure she'll approve it. 
&amp;amp;#x200B;
I am worried about cost. I know it's different everywhere/per person. I know I don't pay that $8,000 myself. How much about will my ins. cover, though? How much did you pay, they day you went to pick it up? I have a $700 deductible, so I know I'm going to have to pay that off. 
&amp;amp;#x200B;
After that, what do you pay per month for the infusion stuff? And, I guess the auto mode pump needs a Guardian sensor?  (going by what my endo and I talked about last time). I'm currently paying about $150/mo for insulin pens, and 3 libre sensors. I also buy test strips online, it is cheaper the ins. offers, however being on the libre I now only buy that every few months. Do you think the price will be comparable? </t>
        </is>
      </c>
      <c r="D5945" t="n">
        <v>1</v>
      </c>
      <c r="E5945" t="n">
        <v>5</v>
      </c>
      <c r="F5945">
        <f>HYPERLINK("https://www.reddit.com/r/diabetes/comments/afr9vb/how_much_was_your_insulin_pump_with_insurance_how/")</f>
        <v/>
      </c>
      <c r="G5945" t="inlineStr">
        <is>
          <t>2019-01-13 18:54:42</t>
        </is>
      </c>
      <c r="H5945" t="inlineStr">
        <is>
          <t>Type 1</t>
        </is>
      </c>
    </row>
    <row r="5946">
      <c r="A5946" t="inlineStr">
        <is>
          <t>afu37v</t>
        </is>
      </c>
      <c r="B5946" t="inlineStr">
        <is>
          <t>Air bubble in Fiasp pen</t>
        </is>
      </c>
      <c r="C5946" t="inlineStr">
        <is>
          <t>I started using Toujeo and Fiasp recently ( past 8months) and moved to Finland ( I will tell you why where I live is relevant later). So fast forward, my Fiasp disposable pen, starts off normal in first uses then after a few injections I start seeing air bubbles, which I try to remove by flipping the pen and getting 2U out in the air, but in vain. The thing is I started noticing that the air bubbles grows bigger when I’m injecting insulin in my body and also that I kinda get less insulin so my sugar lvls started to go high.
I asked my nurse, my doctor and even went to pharmacist to return pen to company and investigate it. 
My nurse said its normal, air bubbles gets created with movement and u should remove your needle not keep it in( which I did before), and maybe its due to coldness ( where is the science in this .. I dont know). 
My doctor said that its normal just remove them with known method or just inject 1 U more if you feel it takes insulin from you( but that unit more is sometimes too much and I end up getting lows). 
And the company said use our needles and not nay other ones. Which I did for a while but problem was persistent.
So now I just try to remove some air from bubble when it grows so much and inject 1U more always, but this really the solution?  I used Apidra and Lantus before and never had this problem for the past 8 years. 
Does anyone have the same problem? Or am I alone in this? At least nurse and doctor said air bubbles is not a big deal they go away, they never heard of air bubbles that stay always.</t>
        </is>
      </c>
      <c r="D5946" t="n">
        <v>1</v>
      </c>
      <c r="E5946" t="n">
        <v>1</v>
      </c>
      <c r="F5946">
        <f>HYPERLINK("https://www.reddit.com/r/diabetes/comments/afu37v/air_bubble_in_fiasp_pen/")</f>
        <v/>
      </c>
      <c r="G5946" t="inlineStr">
        <is>
          <t>2019-01-14 01:15:25</t>
        </is>
      </c>
      <c r="H5946" t="inlineStr">
        <is>
          <t>Type 1</t>
        </is>
      </c>
    </row>
    <row r="5947">
      <c r="A5947" t="inlineStr">
        <is>
          <t>afuuvu</t>
        </is>
      </c>
      <c r="B5947" t="inlineStr">
        <is>
          <t>Fuck diabetes!</t>
        </is>
      </c>
      <c r="C5947" t="inlineStr">
        <is>
          <t>Can somebody find a cure apart from death? Gene editing? Dangerousthings.com</t>
        </is>
      </c>
      <c r="D5947" t="n">
        <v>1</v>
      </c>
      <c r="E5947" t="n">
        <v>44</v>
      </c>
      <c r="F5947">
        <f>HYPERLINK("https://www.reddit.com/r/diabetes/comments/afuuvu/fuck_diabetes/")</f>
        <v/>
      </c>
      <c r="G5947" t="inlineStr">
        <is>
          <t>2019-01-14 03:16:11</t>
        </is>
      </c>
      <c r="H5947" t="inlineStr">
        <is>
          <t>Type 2</t>
        </is>
      </c>
    </row>
    <row r="5948">
      <c r="A5948" t="inlineStr">
        <is>
          <t>afv5qg</t>
        </is>
      </c>
      <c r="B5948" t="inlineStr">
        <is>
          <t>Is this OMAD food practical for Type 2?</t>
        </is>
      </c>
      <c r="C5948" t="inlineStr">
        <is>
          <t>https://www.reddit.com/r/omad/comments/afnut3/steak_cheese_eggs_and_a_halo_top_about_1800_cals</t>
        </is>
      </c>
      <c r="D5948" t="n">
        <v>1</v>
      </c>
      <c r="E5948" t="n">
        <v>10</v>
      </c>
      <c r="F5948">
        <f>HYPERLINK("https://www.reddit.com/r/diabetes/comments/afv5qg/is_this_omad_food_practical_for_type_2/")</f>
        <v/>
      </c>
      <c r="G5948" t="inlineStr">
        <is>
          <t>2019-01-14 04:02:45</t>
        </is>
      </c>
      <c r="H5948" t="inlineStr">
        <is>
          <t>Type 2</t>
        </is>
      </c>
    </row>
    <row r="5949">
      <c r="A5949" t="inlineStr">
        <is>
          <t>afx5ku</t>
        </is>
      </c>
      <c r="B5949" t="inlineStr">
        <is>
          <t>T1 Diabetes &amp;amp; Pregnancy question</t>
        </is>
      </c>
      <c r="C5949" t="inlineStr">
        <is>
          <t>I've been T1 diabetic for 23 years and I'm currently 31 weeks pregnant. My whole pregnancy, I maintained an "acceptable" A1c close to 6% but in my 3rd trimester, it jumped up to 7.3. I really struggled for a few weeks with high blood sugars, so it was no surprise that my A1c went up. (No concerning issues have arisen with baby, just FYI). My endocrinologist, of course, said we needed to get it down, and intervened with much more aggressive doses of insulin than my nurses had been recommending, to my relief. But she also said that it was expected and it reflected that my placenta is working the way it is supposed to; by resisting insulin. 
The adjusted doses were working alright (they helped to eliminate really high numbers like 14.0 mmol/L), but I still struggled with high fasting levels of around 9 -10.0 mmol/L overnight. But then 3 days ago, I changed my Omnipod site and it was like magic! My fasting sugars are between 4 - 6.0 mmol/L and it's just like my first trimester again. While I'm relieved that things are looking better and I hope this will make the last stretch of my pregnancy go as smoothly as possible. 
Now, this is probably just my own anxiety around things, but I'm wondering if anyone here (especially any T1s with pregnancy experience) thinks I should be concerned by this random reversal in trends, without adjusting doses? Could it mean my placenta isn't working as it should since I don't seem to be having as much insulin resistance?</t>
        </is>
      </c>
      <c r="D5949" t="n">
        <v>1</v>
      </c>
      <c r="E5949" t="n">
        <v>12</v>
      </c>
      <c r="F5949">
        <f>HYPERLINK("https://www.reddit.com/r/diabetes/comments/afx5ku/t1_diabetes_pregnancy_question/")</f>
        <v/>
      </c>
      <c r="G5949" t="inlineStr">
        <is>
          <t>2019-01-14 07:58:41</t>
        </is>
      </c>
      <c r="H5949" t="inlineStr">
        <is>
          <t>Type 1</t>
        </is>
      </c>
    </row>
    <row r="5950">
      <c r="A5950" t="inlineStr">
        <is>
          <t>afyc42</t>
        </is>
      </c>
      <c r="B5950" t="inlineStr">
        <is>
          <t>Different hypos</t>
        </is>
      </c>
      <c r="C5950" t="inlineStr">
        <is>
          <t>Hey, guys so I've recently experienced a change in how my body feels low sugars. Earlier I was able to control myself and know exactly when my sugar was low. Now I feel weird, for example when I'm low I don't feel heat, I feel out of control and like I'm going to pass out. I'm really scared about this and I hope that it isn't any other undiagnosed condition. I also feel very different during the day when my sugars are normal... Did anyone experience anything similar?</t>
        </is>
      </c>
      <c r="D5950" t="n">
        <v>1</v>
      </c>
      <c r="E5950" t="n">
        <v>2</v>
      </c>
      <c r="F5950">
        <f>HYPERLINK("https://www.reddit.com/r/diabetes/comments/afyc42/different_hypos/")</f>
        <v/>
      </c>
      <c r="G5950" t="inlineStr">
        <is>
          <t>2019-01-14 09:53:21</t>
        </is>
      </c>
      <c r="H5950" t="inlineStr">
        <is>
          <t>Type 1</t>
        </is>
      </c>
    </row>
    <row r="5951">
      <c r="A5951" t="inlineStr">
        <is>
          <t>ag2atm</t>
        </is>
      </c>
      <c r="B5951" t="inlineStr">
        <is>
          <t>Is anyone here familiar with Working Holiday Visas in New Zealand for citizens of the USA?</t>
        </is>
      </c>
      <c r="C5951" t="inlineStr">
        <is>
          <t>Is anyone here familiar with Working Holiday Visas in New Zealand for citizens of the USA? I’m interested in applying for one, but I’m not sure whether essential medical supplies like insulin and pump supplies would be covered by public health insurance while there. In short, is it affordable for people with type 1 to go to New Zealand under this program?</t>
        </is>
      </c>
      <c r="D5951" t="n">
        <v>1</v>
      </c>
      <c r="E5951" t="n">
        <v>2</v>
      </c>
      <c r="F5951">
        <f>HYPERLINK("https://www.reddit.com/r/diabetes/comments/ag2atm/is_anyone_here_familiar_with_working_holiday/")</f>
        <v/>
      </c>
      <c r="G5951" t="inlineStr">
        <is>
          <t>2019-01-14 16:10:11</t>
        </is>
      </c>
      <c r="H5951" t="inlineStr">
        <is>
          <t>Type 1</t>
        </is>
      </c>
    </row>
    <row r="5952">
      <c r="A5952" t="inlineStr">
        <is>
          <t>ag2f9x</t>
        </is>
      </c>
      <c r="B5952" t="inlineStr">
        <is>
          <t>Sex and the Pump</t>
        </is>
      </c>
      <c r="C5952" t="inlineStr">
        <is>
          <t>How do you folks manage?  Do you just disconnect? I don't find this manageable for longer "sessions".</t>
        </is>
      </c>
      <c r="D5952" t="n">
        <v>1</v>
      </c>
      <c r="E5952" t="n">
        <v>20</v>
      </c>
      <c r="F5952">
        <f>HYPERLINK("https://www.reddit.com/r/diabetes/comments/ag2f9x/sex_and_the_pump/")</f>
        <v/>
      </c>
      <c r="G5952" t="inlineStr">
        <is>
          <t>2019-01-14 16:22:19</t>
        </is>
      </c>
      <c r="H5952" t="inlineStr">
        <is>
          <t>Type 1</t>
        </is>
      </c>
    </row>
    <row r="5953">
      <c r="A5953" t="inlineStr">
        <is>
          <t>ag35bz</t>
        </is>
      </c>
      <c r="B5953" t="inlineStr">
        <is>
          <t>NYC T1 pumpers — If you cannot afford Humalog, I have brand new vials to donate.</t>
        </is>
      </c>
      <c r="C5953" t="inlineStr">
        <is>
          <t xml:space="preserve">Hi! NYC-based T1 here.  I have a vicious allergy to Humalog (full body reaction, weird I know, and it sucks) , and my idiotic PBM recently sent me a 90-day supply of it (before I lost my shit on them and got them to send Novolog and extend my approval to 99 years as long as I remain on the same insurance plan). I've called my endocrinologist and PCP to see if they would take my vials—which have been continuously safely refrigerated during shipping and since receipt—as I have heard that some have had success donating via their doctors. Neither would bite, for liability reasons, I am sure.
 Meanwhile, I have 9 vials for pickup in Williamsburg. I am looking to donate to someone who cannot afford this, and uses vials in a pump. Perhaps you are a parent of a T1, or a T1 in the city with crap health insurance. All I ask is that we confirm details via Google Hangouts prior to meeting, as I do not want this being resold or mishandled. I have found supply exchange Facebook groups in the past to be of varying quality in terms of the honesty and motivations of participants, hence the post here. Let's get this precious life juice to a diabetic in need! Also: Mods, if I am messing up here, or you'd like to verify the quality or provenance of the insulin with me in any way, please let me know. All the best.  </t>
        </is>
      </c>
      <c r="D5953" t="n">
        <v>1</v>
      </c>
      <c r="E5953" t="n">
        <v>2</v>
      </c>
      <c r="F5953">
        <f>HYPERLINK("https://www.reddit.com/r/diabetes/comments/ag35bz/nyc_t1_pumpers_if_you_cannot_afford_humalog_i/")</f>
        <v/>
      </c>
      <c r="G5953" t="inlineStr">
        <is>
          <t>2019-01-14 17:39:18</t>
        </is>
      </c>
      <c r="H5953" t="inlineStr">
        <is>
          <t>Type 1</t>
        </is>
      </c>
    </row>
    <row r="5954">
      <c r="A5954" t="inlineStr">
        <is>
          <t>ag3tje</t>
        </is>
      </c>
      <c r="B5954" t="inlineStr">
        <is>
          <t>My older sister was just diagnosed</t>
        </is>
      </c>
      <c r="C5954" t="inlineStr">
        <is>
          <t>With type 2. She's obese and my aunt says it runs in our family. I donno. I'm medium weight, but I have hypglycemia episodes without the glucose monitor showing abnormal levels, it's basically because of having POTS and I donno if I'll get diabetes. Anyway, this is about my sister. She refuses to take metformin. She says it may lower her blood sugar so low she will die in her sleep. (She has severe anxiety) She said she's going to try and eat differently and exercise but I know her, this means she will do a diet for two days then rebound and binge hard. I'm so scared, I don't know what to do. Have any of you had a sibling or loved one act like this?</t>
        </is>
      </c>
      <c r="D5954" t="n">
        <v>1</v>
      </c>
      <c r="E5954" t="n">
        <v>7</v>
      </c>
      <c r="F5954">
        <f>HYPERLINK("https://www.reddit.com/r/diabetes/comments/ag3tje/my_older_sister_was_just_diagnosed/")</f>
        <v/>
      </c>
      <c r="G5954" t="inlineStr">
        <is>
          <t>2019-01-14 18:51:21</t>
        </is>
      </c>
      <c r="H5954" t="inlineStr">
        <is>
          <t>Type 2</t>
        </is>
      </c>
    </row>
    <row r="5955">
      <c r="A5955" t="inlineStr">
        <is>
          <t>ag4e3q</t>
        </is>
      </c>
      <c r="B5955" t="inlineStr">
        <is>
          <t>Showering with T-slim</t>
        </is>
      </c>
      <c r="C5955" t="inlineStr">
        <is>
          <t xml:space="preserve">Hey guys! I’m super excited! I just set up my pump today and I’m already in love. Super convenient, and easy to use. I have a question about showering. I was told I need to take it off when I’m in the shower, then plug it back in when I’m done. I was just confused on if I pause it or when I plug it back in if I need to correct for the time that I missed? Thanks! </t>
        </is>
      </c>
      <c r="D5955" t="n">
        <v>1</v>
      </c>
      <c r="E5955" t="n">
        <v>0</v>
      </c>
      <c r="F5955">
        <f>HYPERLINK("https://www.reddit.com/r/diabetes/comments/ag4e3q/showering_with_tslim/")</f>
        <v/>
      </c>
      <c r="G5955" t="inlineStr">
        <is>
          <t>2019-01-14 19:54:02</t>
        </is>
      </c>
      <c r="H5955" t="inlineStr">
        <is>
          <t>Type 1</t>
        </is>
      </c>
    </row>
    <row r="5956">
      <c r="A5956" t="inlineStr">
        <is>
          <t>ag4e3r</t>
        </is>
      </c>
      <c r="B5956" t="inlineStr">
        <is>
          <t>Showering with T-slim</t>
        </is>
      </c>
      <c r="C5956" t="inlineStr">
        <is>
          <t xml:space="preserve">Hey guys! I’m super excited! I just set up my pump today and I’m already in love. Super convenient, and easy to use. I have a question about showering. I was told I need to take it off when I’m in the shower, then plug it back in when I’m done. I was just confused on if I pause it or when I plug it back in if I need to correct for the time that I missed? Thanks! </t>
        </is>
      </c>
      <c r="D5956" t="n">
        <v>1</v>
      </c>
      <c r="E5956" t="n">
        <v>11</v>
      </c>
      <c r="F5956">
        <f>HYPERLINK("https://www.reddit.com/r/diabetes/comments/ag4e3r/showering_with_tslim/")</f>
        <v/>
      </c>
      <c r="G5956" t="inlineStr">
        <is>
          <t>2019-01-14 19:54:02</t>
        </is>
      </c>
      <c r="H5956" t="inlineStr">
        <is>
          <t>Type 1</t>
        </is>
      </c>
    </row>
    <row r="5957">
      <c r="A5957" t="inlineStr">
        <is>
          <t>ag5d3b</t>
        </is>
      </c>
      <c r="B5957" t="inlineStr">
        <is>
          <t>What do you do with your pump while not using it?</t>
        </is>
      </c>
      <c r="C5957" t="inlineStr">
        <is>
          <t>I am going to the gym for the first time tomorrow since getting on a pump (Tandem T Slim x2). I'll also be at the beach for spring break in march. How do i stop the constant alarms when I stop insulin and take my pump off? I don't think I'll like wearing it while exercising and I won't be able to wear it in the water, but I don't want to be disturbed by the alarms.</t>
        </is>
      </c>
      <c r="D5957" t="n">
        <v>1</v>
      </c>
      <c r="E5957" t="n">
        <v>14</v>
      </c>
      <c r="F5957">
        <f>HYPERLINK("https://www.reddit.com/r/diabetes/comments/ag5d3b/what_do_you_do_with_your_pump_while_not_using_it/")</f>
        <v/>
      </c>
      <c r="G5957" t="inlineStr">
        <is>
          <t>2019-01-14 21:51:39</t>
        </is>
      </c>
      <c r="H5957" t="inlineStr">
        <is>
          <t>Type 1</t>
        </is>
      </c>
    </row>
    <row r="5958">
      <c r="A5958" t="inlineStr">
        <is>
          <t>ag6i2j</t>
        </is>
      </c>
      <c r="B5958" t="inlineStr">
        <is>
          <t>This might be a dumb question..</t>
        </is>
      </c>
      <c r="C5958" t="inlineStr">
        <is>
          <t xml:space="preserve">Hey, so I have been a T1D for 11 years now, and just this past year I have started pump therapy. I was told by my endo to always ALWAYS put the dissconnect clip on my infusion site while taking a bath. Well, I completely forgot this time. I was wondering what could happen from me forgetting the clip? </t>
        </is>
      </c>
      <c r="D5958" t="n">
        <v>1</v>
      </c>
      <c r="E5958" t="n">
        <v>7</v>
      </c>
      <c r="F5958">
        <f>HYPERLINK("https://www.reddit.com/r/diabetes/comments/ag6i2j/this_might_be_a_dumb_question/")</f>
        <v/>
      </c>
      <c r="G5958" t="inlineStr">
        <is>
          <t>2019-01-15 00:45:47</t>
        </is>
      </c>
      <c r="H5958" t="inlineStr">
        <is>
          <t>Type 1</t>
        </is>
      </c>
    </row>
    <row r="5959">
      <c r="A5959" t="inlineStr">
        <is>
          <t>ag7djp</t>
        </is>
      </c>
      <c r="B5959" t="inlineStr">
        <is>
          <t>keto/low carb fastings creeping up?</t>
        </is>
      </c>
      <c r="C5959" t="inlineStr">
        <is>
          <t xml:space="preserve">I've been keto/lchf since beginning of December- my fastings were in the 120ish range, but are now creeping up the 150ish range (4am)- by 730-8am they are back to 120 though. What is causing this? Dawn Phenomenon? But why wasn't it happening before? This is not my first time keto-ing, and this seems to happen around this time every time for me. Suggestions? Not on any meds as of now. </t>
        </is>
      </c>
      <c r="D5959" t="n">
        <v>1</v>
      </c>
      <c r="E5959" t="n">
        <v>10</v>
      </c>
      <c r="F5959">
        <f>HYPERLINK("https://www.reddit.com/r/diabetes/comments/ag7djp/ketolow_carb_fastings_creeping_up/")</f>
        <v/>
      </c>
      <c r="G5959" t="inlineStr">
        <is>
          <t>2019-01-15 03:02:44</t>
        </is>
      </c>
      <c r="H5959" t="inlineStr">
        <is>
          <t>Type 2</t>
        </is>
      </c>
    </row>
    <row r="5960">
      <c r="A5960" t="inlineStr">
        <is>
          <t>ag9lh0</t>
        </is>
      </c>
      <c r="B5960" t="inlineStr">
        <is>
          <t>From the Patient's Perspective - for Diabetes Providers</t>
        </is>
      </c>
      <c r="C5960" t="inlineStr">
        <is>
          <t>Here's an idea for Health Care providers:  I went to my doctor yesterday.  They downloaded my pump/bg meter and looked at the results.  She looked at me with frustration saying, "I can't really see what's going on because there are inconsistent tests and you are not using your bolus wizard, and not typing in your carbs."
Here's an idea:  Why don't you try (as a learning experiment) doing blood tests before and after every meal for 2 weeks. Look up and type in the carbs for every single thing you eat, and figure out the bolus required for each and enter it all in a record keeping app.  Even better, wear a pump that injects water or saline  changing the infusion sets every 3 days......It may help you to get a feel what we are going through in the real world.  Even though your blood sugar will be level all day.
I am trying to survive.  I have a full time job, and family with kids.  I have activities outside my home, and yes, unexpected things come up....all the time.  Add to that the fact that my blood sugar is all over the place, I can't get my health insurance to cover/send me the supplies I need, when I need them.  Sometimes my pump doesn't work.  Sometimes my bg meter batteries are dead, often my infusion set goes bad, or needs to be changed in the middle of a meeting, while driving, or in the middle of the night.  Sometimes my body does not want to absorb insulin.  Sometimes I am high or low with no energy and cannot think things through.  Sometimes I am starving and want food.  I might have 5 mins to look up carbs on an app (thanks to technology) if my phone battery isn't dead.  But diabetes management takes 5 mins out of every hour and requires you to stop what you are doing on an hourly basis.
If I had consistent meter results with all the data typed in, I could make most decisions on my own - I wouldn't need you.  And I wouldn't need to spend my vacation day at your office.</t>
        </is>
      </c>
      <c r="D5960" t="n">
        <v>1</v>
      </c>
      <c r="E5960" t="n">
        <v>2</v>
      </c>
      <c r="F5960">
        <f>HYPERLINK("https://www.reddit.com/r/diabetes/comments/ag9lh0/from_the_patients_perspective_for_diabetes/")</f>
        <v/>
      </c>
      <c r="G5960" t="inlineStr">
        <is>
          <t>2019-01-15 07:26:09</t>
        </is>
      </c>
      <c r="H5960" t="inlineStr">
        <is>
          <t>Type 1</t>
        </is>
      </c>
    </row>
    <row r="5961">
      <c r="A5961" t="inlineStr">
        <is>
          <t>aganol</t>
        </is>
      </c>
      <c r="B5961" t="inlineStr">
        <is>
          <t>diabetes and exercise questionnaire</t>
        </is>
      </c>
      <c r="C5961" t="inlineStr">
        <is>
          <t>Hi my name is tom cooper and as part of my university degree i have to do a research dissertation.
im investigating the barriers type 1 adults aged 18-25 find when exercising. to collect information im using a questionnaire and was wondering if anyone in the uk would be interested it completing an online questionnaire.
&amp;amp;#x200B;
if anyone from the uk is interested feel free to message me!!! any help would be great!</t>
        </is>
      </c>
      <c r="D5961" t="n">
        <v>1</v>
      </c>
      <c r="E5961" t="n">
        <v>2</v>
      </c>
      <c r="F5961">
        <f>HYPERLINK("https://www.reddit.com/r/diabetes/comments/aganol/diabetes_and_exercise_questionnaire/")</f>
        <v/>
      </c>
      <c r="G5961" t="inlineStr">
        <is>
          <t>2019-01-15 09:06:25</t>
        </is>
      </c>
      <c r="H5961" t="inlineStr">
        <is>
          <t>Type 1</t>
        </is>
      </c>
    </row>
    <row r="5962">
      <c r="A5962" t="inlineStr">
        <is>
          <t>agcek9</t>
        </is>
      </c>
      <c r="B5962" t="inlineStr">
        <is>
          <t>Accuracy of readers?</t>
        </is>
      </c>
      <c r="C5962" t="inlineStr">
        <is>
          <t>Hey all, I’ve been using the freestyle lite finger prick to check my blood levels for the past 2 1/2 years, and yesterday I got the libre. I’ve been using both just out of curiosity and they both give me different numbers. They always seem to be roughy 10-20 numbers different than one another. Can anyone speak to the accuracy of these and which one is probably more accurate? Thanks!!</t>
        </is>
      </c>
      <c r="D5962" t="n">
        <v>1</v>
      </c>
      <c r="E5962" t="n">
        <v>7</v>
      </c>
      <c r="F5962">
        <f>HYPERLINK("https://www.reddit.com/r/diabetes/comments/agcek9/accuracy_of_readers/")</f>
        <v/>
      </c>
      <c r="G5962" t="inlineStr">
        <is>
          <t>2019-01-15 11:43:55</t>
        </is>
      </c>
      <c r="H5962" t="inlineStr">
        <is>
          <t>Type 2</t>
        </is>
      </c>
    </row>
    <row r="5963">
      <c r="A5963" t="inlineStr">
        <is>
          <t>age6nl</t>
        </is>
      </c>
      <c r="B5963" t="inlineStr">
        <is>
          <t>Negative A1C but have most symptoms of DM2</t>
        </is>
      </c>
      <c r="C5963" t="inlineStr">
        <is>
          <t>Hello,
I have been having starving hunger for over a month.  I have other symptoms of type 2 diabetes, but my A1C is 5.3.  Symptoms:. Limbs easily fall asleep (right away), I am immediately hungry after a meal, excessive thirst, visual changes.
An endocrinologist put me on Metformin, even though he does not have fasting insulin and glucose results yet. The metformin is not working to curb my hunger.  I have not used a glucose meter yet.  I am not losing weight.  I am now unable to eat solid food because the thought of it makes me sick.
I am wondering if anyone has had a negative A1C test but still ended up with diabetes?  I know the test measures blood sugar over the past 3 months.  I  had the test done in November. I am thinking that, if they retested now, the results may be different.
Also, I was on a psych med for insomnia (Seroquel) at a low dose for over a year. It causes insulin resistance and DM2. (Class action lawsuit with about 25K plaintiffs.)  I stopped taking it in May of 2028.
Thanks.</t>
        </is>
      </c>
      <c r="D5963" t="n">
        <v>1</v>
      </c>
      <c r="E5963" t="n">
        <v>15</v>
      </c>
      <c r="F5963">
        <f>HYPERLINK("https://www.reddit.com/r/diabetes/comments/age6nl/negative_a1c_but_have_most_symptoms_of_dm2/")</f>
        <v/>
      </c>
      <c r="G5963" t="inlineStr">
        <is>
          <t>2019-01-15 14:28:37</t>
        </is>
      </c>
      <c r="H5963" t="inlineStr">
        <is>
          <t>Type 2</t>
        </is>
      </c>
    </row>
    <row r="5964">
      <c r="A5964" t="inlineStr">
        <is>
          <t>agexv2</t>
        </is>
      </c>
      <c r="B5964" t="inlineStr">
        <is>
          <t>Questions regarding my niece who is newly diagnosed with diabetes type 1</t>
        </is>
      </c>
      <c r="C5964" t="inlineStr">
        <is>
          <t xml:space="preserve">After a scary life event we learned that my 1 year old niece is type 1. Obviously this is a life changing event and my family and I are doing the best we can to understand the in's and out's of diabetes management. I have been a lurker on this reddit for awhile and I have learned so much from the topics on here.
So I have a couple of questions for this reddit community.
What is something you wish you new at the start of learning about diabetes management?
If you were diagnosed as a kid, when did you learn how to give yourself insulin shots or became aware that you had to watch the sugar intake? 
How severe does one need to be to require a service dog for this?/ Do you think its needed?
Anything else you would like to add? 
Thanks for your time :) 
Nahbruh
</t>
        </is>
      </c>
      <c r="D5964" t="n">
        <v>1</v>
      </c>
      <c r="E5964" t="n">
        <v>12</v>
      </c>
      <c r="F5964">
        <f>HYPERLINK("https://www.reddit.com/r/diabetes/comments/agexv2/questions_regarding_my_niece_who_is_newly/")</f>
        <v/>
      </c>
      <c r="G5964" t="inlineStr">
        <is>
          <t>2019-01-15 15:44:50</t>
        </is>
      </c>
      <c r="H5964" t="inlineStr">
        <is>
          <t>Type 1</t>
        </is>
      </c>
    </row>
    <row r="5965">
      <c r="A5965" t="inlineStr">
        <is>
          <t>aghycg</t>
        </is>
      </c>
      <c r="B5965" t="inlineStr">
        <is>
          <t>Advice on getting a new pump</t>
        </is>
      </c>
      <c r="C5965" t="inlineStr">
        <is>
          <t xml:space="preserve"> Hey Everyone,
&amp;amp;#x200B;
I've had an omnipod for about 8 years now and I'm ready for a change. As much as I love it I have had so many issues with the pump itself and insurance not wanting to cover the pods. I was wondering what pumps you all use and your recommendations. I do have a dexcom so getting a t:slim to have that closed loop system would be nice. Im open to other suggestions though. 
&amp;amp;#x200B;
Thank you in advance for the advice! </t>
        </is>
      </c>
      <c r="D5965" t="n">
        <v>1</v>
      </c>
      <c r="E5965" t="n">
        <v>3</v>
      </c>
      <c r="F5965">
        <f>HYPERLINK("https://www.reddit.com/r/diabetes/comments/aghycg/advice_on_getting_a_new_pump/")</f>
        <v/>
      </c>
      <c r="G5965" t="inlineStr">
        <is>
          <t>2019-01-15 21:29:36</t>
        </is>
      </c>
      <c r="H5965" t="inlineStr">
        <is>
          <t>Type 1</t>
        </is>
      </c>
    </row>
    <row r="5966">
      <c r="A5966" t="inlineStr">
        <is>
          <t>agqd40</t>
        </is>
      </c>
      <c r="B5966" t="inlineStr">
        <is>
          <t>Non Management</t>
        </is>
      </c>
      <c r="C5966" t="inlineStr">
        <is>
          <t xml:space="preserve">So for the past year my management of my T1D has been very bad. I don't test my bg, and I just take insulin with meals. I have been to the hospital 6 times in the past three months. I'm uninsured and in debt from so many medical bills. The sad part about all of this is I know how to manage my diabetes and know what I need to do, but I'm just so worn out from it all. I guess what I'm trying to say is I need to make a change. My heart is not working as it should. Kidney function is down and there are a multitude of other issues. I just need to get my shit together. Has anyone else experienced a burn out of this magnitude? Sorry for ranting I just need some uplifting advice. </t>
        </is>
      </c>
      <c r="D5966" t="n">
        <v>1</v>
      </c>
      <c r="E5966" t="n">
        <v>9</v>
      </c>
      <c r="F5966">
        <f>HYPERLINK("https://www.reddit.com/r/diabetes/comments/agqd40/non_management/")</f>
        <v/>
      </c>
      <c r="G5966" t="inlineStr">
        <is>
          <t>2019-01-16 13:56:44</t>
        </is>
      </c>
      <c r="H5966" t="inlineStr">
        <is>
          <t>Type 1</t>
        </is>
      </c>
    </row>
    <row r="5967">
      <c r="A5967" t="inlineStr">
        <is>
          <t>agsetq</t>
        </is>
      </c>
      <c r="B5967" t="inlineStr">
        <is>
          <t>Type 1 and feeling confused.</t>
        </is>
      </c>
      <c r="C5967" t="inlineStr">
        <is>
          <t>I (24F) was diagnosed about a month or so and I have been good with keeping my sugar at a good level. Unfortunately, today my sugar was at 342 and I’m terrified. It hasn’t been this high since I was in the hospital for ketoacidosis. Is there any positive advice? I’m having a hard time with stress from work and home life.</t>
        </is>
      </c>
      <c r="D5967" t="n">
        <v>1</v>
      </c>
      <c r="E5967" t="n">
        <v>7</v>
      </c>
      <c r="F5967">
        <f>HYPERLINK("https://www.reddit.com/r/diabetes/comments/agsetq/type_1_and_feeling_confused/")</f>
        <v/>
      </c>
      <c r="G5967" t="inlineStr">
        <is>
          <t>2019-01-16 17:21:30</t>
        </is>
      </c>
      <c r="H5967" t="inlineStr">
        <is>
          <t>Type 1</t>
        </is>
      </c>
    </row>
    <row r="5968">
      <c r="A5968" t="inlineStr">
        <is>
          <t>agxdtz</t>
        </is>
      </c>
      <c r="B5968" t="inlineStr">
        <is>
          <t>Did I have a seizure?</t>
        </is>
      </c>
      <c r="C5968" t="inlineStr">
        <is>
          <t xml:space="preserve">So yesterday morning I woke up in excruciating pain. Most severe headache I've had in recent memory, muscles aching and on fire, blood all over the pillow from me biting my tongue. I immediately went to the bathroom and puked while my wife fed me some pain medicine. I had trouble balancing and standing up and basically laid in bed all day.
My wife said that she thought I had a low blood sugar when she was up at 6am but I refused to eat anything (I do not recall this).
What happened to me? </t>
        </is>
      </c>
      <c r="D5968" t="n">
        <v>1</v>
      </c>
      <c r="E5968" t="n">
        <v>10</v>
      </c>
      <c r="F5968">
        <f>HYPERLINK("https://www.reddit.com/r/diabetes/comments/agxdtz/did_i_have_a_seizure/")</f>
        <v/>
      </c>
      <c r="G5968" t="inlineStr">
        <is>
          <t>2019-01-17 04:41:25</t>
        </is>
      </c>
      <c r="H5968" t="inlineStr">
        <is>
          <t>Type 1</t>
        </is>
      </c>
    </row>
    <row r="5969">
      <c r="A5969" t="inlineStr">
        <is>
          <t>agxio6</t>
        </is>
      </c>
      <c r="B5969" t="inlineStr">
        <is>
          <t>tummy troubles with metformin?</t>
        </is>
      </c>
      <c r="C5969" t="inlineStr">
        <is>
          <t xml:space="preserve">Hi, recently diagnosed type 2 here! Since my diagnosis my doctor put me on a gradually increasing dose of 500mg slow-release metformin in order to help wean me onto the full-strength stuff and am currently taking 4 of these big boys every night post-dinner. They do help me loads with my sugars and before them I was testing at about 200-225 mg/dl fasting, and now I'm usually down to about the 140-160 range (still a lil elevated, but wayyyyy better than before)
My issue is that while I am aware that metformin is known to cause some digestive distress, it's been hitting me unusually hard recently; think bloating, piss-watery stool and worst of all, a barely there appetite. My sugars are fine but my gut freaking out every time I eat or drink something is starting to impact on my daily life, to the point where I am hesitant to go out with friends to eat because I don't want to be stuck on the throne the whole time. 
Is this normal? Should I dial down on the metformin or is this maybe indicative of a much larger issue? I should probably also mention that I'm lactose-sensitive, and the symptoms I'm getting are very similar to my lactose reactions, but more intense. Please advise! </t>
        </is>
      </c>
      <c r="D5969" t="n">
        <v>1</v>
      </c>
      <c r="E5969" t="n">
        <v>6</v>
      </c>
      <c r="F5969">
        <f>HYPERLINK("https://www.reddit.com/r/diabetes/comments/agxio6/tummy_troubles_with_metformin/")</f>
        <v/>
      </c>
      <c r="G5969" t="inlineStr">
        <is>
          <t>2019-01-17 04:58:33</t>
        </is>
      </c>
      <c r="H5969" t="inlineStr">
        <is>
          <t>Type 2</t>
        </is>
      </c>
    </row>
    <row r="5970">
      <c r="A5970" t="inlineStr">
        <is>
          <t>ah285w</t>
        </is>
      </c>
      <c r="B5970" t="inlineStr">
        <is>
          <t>Glucose tracking app?</t>
        </is>
      </c>
      <c r="C5970" t="inlineStr">
        <is>
          <t>What are some good glucose tracking apps out there (for iOS)? Right now I have glucose buddy downloaded but are there better ones?</t>
        </is>
      </c>
      <c r="D5970" t="n">
        <v>1</v>
      </c>
      <c r="E5970" t="n">
        <v>3</v>
      </c>
      <c r="F5970">
        <f>HYPERLINK("https://www.reddit.com/r/diabetes/comments/ah285w/glucose_tracking_app/")</f>
        <v/>
      </c>
      <c r="G5970" t="inlineStr">
        <is>
          <t>2019-01-17 12:40:53</t>
        </is>
      </c>
      <c r="H5970" t="inlineStr">
        <is>
          <t>Type 2</t>
        </is>
      </c>
    </row>
    <row r="5971">
      <c r="A5971" t="inlineStr">
        <is>
          <t>ah6axp</t>
        </is>
      </c>
      <c r="B5971" t="inlineStr">
        <is>
          <t>Dexcom G6 Insertion Question</t>
        </is>
      </c>
      <c r="C5971" t="inlineStr">
        <is>
          <t>Hi Folks!
I made a post here a few weeks ago about having problems with my Dexcom G6 and not being able to make it through a full sensor session. I'm a 21 year old female and I've had diabetes for 9 years. I've been on a Dexcom in one form or another for about 5 years. I have an Omnipod as well. 
Someone on my last post suggested that I switch sites. My dad spoke with my local Dexcom rep and she suggested putting it on my back (above the waistband-- a fatty part of my hips). I've tried that and it's only been five days and it's crapping out. I use the overguards given by Dexcom and Skin-Tac on the adhesive (recommended by my doctor). 
I'm getting really sick of this stupid thing. I'd do anything to get back on the G5. 
So, I do have one question for my fellow G6 users (who are hopefully more successful than I am). When you insert the sensor, do you pinch the skin up like one would for a G5 sensor or an Omnipod site, or no? I've been pinching for the sensors I've used, the dozen-or-so Dexcom reps I've spoken with haven't said anything about pinching. My dad says I need to press the applicator into the site as hard as I can before pressing the button-- (to me, this sounds horrible and pretty stupid-- pressing the applicator down sounds like a really easy way to hit muscle and miss the fatty tissue entirely). 
Note: This is not what the Dexcom rep told him, this is his own speculation. 
&amp;amp;#x200B;
I'm wondering what you guys think. Do you pinch, or no? Dexcom has stopped replacing my sensors-- (I'm pretty sure the last rep I talked to thinks I was trying to scam them) and is only replacing them for "time lost", so I have to go through three or four sensors before enough days are lost that they'll replace one. I'm terrified of needles and I'm getting really sick of stabbing myself so often and experimenting with sites and methods that don't help anything at all. I'd really appreciate some insight if anyone has any to offer. 
&amp;amp;#x200B;
Thank you.
&amp;amp;#x200B;</t>
        </is>
      </c>
      <c r="D5971" t="n">
        <v>1</v>
      </c>
      <c r="E5971" t="n">
        <v>4</v>
      </c>
      <c r="F5971">
        <f>HYPERLINK("https://www.reddit.com/r/diabetes/comments/ah6axp/dexcom_g6_insertion_question/")</f>
        <v/>
      </c>
      <c r="G5971" t="inlineStr">
        <is>
          <t>2019-01-17 19:37:12</t>
        </is>
      </c>
      <c r="H5971" t="inlineStr">
        <is>
          <t>Type 1</t>
        </is>
      </c>
    </row>
    <row r="5972">
      <c r="A5972" t="inlineStr">
        <is>
          <t>ah8lyy</t>
        </is>
      </c>
      <c r="B5972" t="inlineStr">
        <is>
          <t>Struggling with blood sugars</t>
        </is>
      </c>
      <c r="C5972" t="inlineStr">
        <is>
          <t>Hello
I have had diabetes for a few years and have always struggled with my blood sugars. I am really serious about fixing my issues with blood sugars but I can never seem to fix anything.
&amp;amp;#x200B;
I have tried playing with my insulin to carb ratio and carb counting, while bolusing 15 minutes before eating
even when I do that my sugars seem to spike and then go down 5 hours later. I have issues working out so I stopped because I  need to get my sugars 15+  so I can run, then it drops like a rock to low blood sugars. The diabetic nurses just fiddle with my ratios when I go and I know I could be better at carb counting, but even exact carb counting brings issues if there are carbs involved. I'm desperate to get this under control and don't know what to do.
I have a CGM and insulin pump
&amp;amp;#x200B;
thanks.</t>
        </is>
      </c>
      <c r="D5972" t="n">
        <v>1</v>
      </c>
      <c r="E5972" t="n">
        <v>4</v>
      </c>
      <c r="F5972">
        <f>HYPERLINK("https://www.reddit.com/r/diabetes/comments/ah8lyy/struggling_with_blood_sugars/")</f>
        <v/>
      </c>
      <c r="G5972" t="inlineStr">
        <is>
          <t>2019-01-18 00:58:30</t>
        </is>
      </c>
      <c r="H5972" t="inlineStr">
        <is>
          <t>Type 1</t>
        </is>
      </c>
    </row>
    <row r="5973">
      <c r="A5973" t="inlineStr">
        <is>
          <t>ahc0sy</t>
        </is>
      </c>
      <c r="B5973" t="inlineStr">
        <is>
          <t>Parents of Kiddos with T1D...how do you care for yourself?</t>
        </is>
      </c>
      <c r="C5973" t="inlineStr">
        <is>
          <t xml:space="preserve">Single parents...how have you kept up with yourselves after your kiddo's were diagnosed?  I think that while it's embarrassing for me to admit, I've "let myself go" in most aspects...diet, excersice, self esteem, social life, dating.  I've attempted to find a groove to work on me once again but I just regress and find comfort in having become a "lazy-hermit"
...I desperately need to snap out of it! </t>
        </is>
      </c>
      <c r="D5973" t="n">
        <v>1</v>
      </c>
      <c r="E5973" t="n">
        <v>5</v>
      </c>
      <c r="F5973">
        <f>HYPERLINK("https://www.reddit.com/r/diabetes/comments/ahc0sy/parents_of_kiddos_with_t1dhow_do_you_care_for/")</f>
        <v/>
      </c>
      <c r="G5973" t="inlineStr">
        <is>
          <t>2019-01-18 08:14:26</t>
        </is>
      </c>
      <c r="H5973" t="inlineStr">
        <is>
          <t>Type 1</t>
        </is>
      </c>
    </row>
    <row r="5974">
      <c r="A5974" t="inlineStr">
        <is>
          <t>ahdddy</t>
        </is>
      </c>
      <c r="B5974" t="inlineStr">
        <is>
          <t>[USA][Franklin, TN] JDRF TypeOneNation Summit</t>
        </is>
      </c>
      <c r="C5974" t="inlineStr">
        <is>
          <t xml:space="preserve">Who else is going to that event tomorrow in Franklin, TN (nearby Nashville)
&amp;amp;#x200B;
[https://www.eventbrite.com/e/2019-jdrf-middle-tennessee-typeonenation-summit-tickets-50396414031#individual](https://www.eventbrite.com/e/2019-jdrf-middle-tennessee-typeonenation-summit-tickets-50396414031#individual)
&amp;amp;#x200B;
I am going to be there and I am excited af! </t>
        </is>
      </c>
      <c r="D5974" t="n">
        <v>1</v>
      </c>
      <c r="E5974" t="n">
        <v>6</v>
      </c>
      <c r="F5974">
        <f>HYPERLINK("https://www.reddit.com/r/diabetes/comments/ahdddy/usafranklin_tn_jdrf_typeonenation_summit/")</f>
        <v/>
      </c>
      <c r="G5974" t="inlineStr">
        <is>
          <t>2019-01-18 10:24:38</t>
        </is>
      </c>
      <c r="H5974" t="inlineStr">
        <is>
          <t>Type 1</t>
        </is>
      </c>
    </row>
    <row r="5975">
      <c r="A5975" t="inlineStr">
        <is>
          <t>ahew37</t>
        </is>
      </c>
      <c r="B5975" t="inlineStr">
        <is>
          <t>Spent an entire day in range today!</t>
        </is>
      </c>
      <c r="C5975" t="inlineStr">
        <is>
          <t>This is the first day I've been entirely in range since my diagnosis back in November. It may seem small to some but I'm immensely proud of myself :)</t>
        </is>
      </c>
      <c r="D5975" t="n">
        <v>1</v>
      </c>
      <c r="E5975" t="n">
        <v>4</v>
      </c>
      <c r="F5975">
        <f>HYPERLINK("https://www.reddit.com/r/diabetes/comments/ahew37/spent_an_entire_day_in_range_today/")</f>
        <v/>
      </c>
      <c r="G5975" t="inlineStr">
        <is>
          <t>2019-01-18 12:54:00</t>
        </is>
      </c>
      <c r="H5975" t="inlineStr">
        <is>
          <t>Type 1</t>
        </is>
      </c>
    </row>
    <row r="5976">
      <c r="A5976" t="inlineStr">
        <is>
          <t>ahhyzw</t>
        </is>
      </c>
      <c r="B5976" t="inlineStr">
        <is>
          <t>F (23) freshly diagnosed with T1 diabetes, currently in hospital. Nervous about leaving hospital and managing it by myself. I want to start a conversation of what helped you manage the diagnosis, how you felt and how you learned to live with it/reintegrate back into your day to day.</t>
        </is>
      </c>
      <c r="C5976" t="inlineStr">
        <is>
          <t xml:space="preserve">I had a feeling for a few months that I had diabetes, though only yesterday (18/1/19) (Australia) did I finally manage to get a BGL reading at my local chemist. I had a reading of 17.7 at around 11am and had only eaten an apple for breakfast. 
I was told by the chemist to go to the doctor, to which they did a ketone test from my urine, having ketones present, and then was referred immediately to the emergency department. I was with a friend who fed me orange juice while waiting in ER, and my BGL spiked to 29.5 approx. (we were unaware of the danger of OJ) 
I was lucky to be in hospital at that point and, it was definitely a wake up call! 
It runs in my family, though I was only aware of my two first cousins who are both under 15 years old, having T1, and my grandfather having counteracted it through exercise etc.
Currently sitting in my hospital bed, feeling super tired, worn out and full from lunch. 
I will be needing insulin with every meal, and I guess I’m just worried that I’ll stuff it up somehow when I get out of hospital. 
My sisters friend just recently passed away due to insulin overdose, it’s speculated that it may have been self-inflicted, though could’ve just been a miscalculation.  
I have been suicidal recently, and I see this as dangerous to give me something that I could use to take my own life, though I know I need it if I am to live.  I’m worried I might accidentally miscalculate the dosage, I’m quite bad at math and I’m not good at stuff like that. 
I’m very conflicted right now about my diagnosis, I haven’t told my family that I have these thoughts, as I know they’ll worry, but it’s a genuine concern of mine. 
I don’t have stable accommodation when I leave hospital and I’m not sure how to fix anything.
How did you guys deal with your diagnosis? 
Did you see it as a turning point in your life? Did you recognise you needed to change a lot of things or were you happy with your life in it’s current state? 
I know this can be seen in a positive light, and man am I trying! I knew I needed a lifestyle and diet change, though this just brings more worry to my life now. 
Sorry this is so long, I just needed to get it out :) </t>
        </is>
      </c>
      <c r="D5976" t="n">
        <v>1</v>
      </c>
      <c r="E5976" t="n">
        <v>7</v>
      </c>
      <c r="F5976">
        <f>HYPERLINK("https://www.reddit.com/r/diabetes/comments/ahhyzw/f_23_freshly_diagnosed_with_t1_diabetes_currently/")</f>
        <v/>
      </c>
      <c r="G5976" t="inlineStr">
        <is>
          <t>2019-01-18 18:36:22</t>
        </is>
      </c>
      <c r="H5976" t="inlineStr">
        <is>
          <t>Type 1</t>
        </is>
      </c>
    </row>
    <row r="5977">
      <c r="A5977" t="inlineStr">
        <is>
          <t>ahme4c</t>
        </is>
      </c>
      <c r="B5977" t="inlineStr">
        <is>
          <t>Lantus ratio to novorapid (daily)</t>
        </is>
      </c>
      <c r="C5977" t="inlineStr">
        <is>
          <t xml:space="preserve">I’m curious to what a typical ratio of long acting to fast acting insulin is. Currently we are at 28% lantus which seems better than 35%. When I say better I means a more level glucose over night and between meals. </t>
        </is>
      </c>
      <c r="D5977" t="n">
        <v>1</v>
      </c>
      <c r="E5977" t="n">
        <v>7</v>
      </c>
      <c r="F5977">
        <f>HYPERLINK("https://www.reddit.com/r/diabetes/comments/ahme4c/lantus_ratio_to_novorapid_daily/")</f>
        <v/>
      </c>
      <c r="G5977" t="inlineStr">
        <is>
          <t>2019-01-19 06:13:29</t>
        </is>
      </c>
      <c r="H5977" t="inlineStr">
        <is>
          <t>Type 1</t>
        </is>
      </c>
    </row>
    <row r="5978">
      <c r="A5978" t="inlineStr">
        <is>
          <t>ahn5wy</t>
        </is>
      </c>
      <c r="B5978" t="inlineStr">
        <is>
          <t>medical alert bracelet Diabetes</t>
        </is>
      </c>
      <c r="C5978" t="inlineStr">
        <is>
          <t>I’ve had a medical alert bracelet since I was diagnosed T1 in 2015.  I have a pump and am allergic to penicillin and sulfa drugs.   My family doctor urges me to wear one.   I have my medical conditions and family emergency contact information engraved on it.  EMT will have the important information that could save my life.  I got mine from [divotiusa.com](https://divotiusa.com) as they are better in prices.</t>
        </is>
      </c>
      <c r="D5978" t="n">
        <v>1</v>
      </c>
      <c r="E5978" t="n">
        <v>1</v>
      </c>
      <c r="F5978">
        <f>HYPERLINK("https://www.reddit.com/r/diabetes/comments/ahn5wy/medical_alert_bracelet_diabetes/")</f>
        <v/>
      </c>
      <c r="G5978" t="inlineStr">
        <is>
          <t>2019-01-19 07:51:08</t>
        </is>
      </c>
      <c r="H5978" t="inlineStr">
        <is>
          <t>Type 1</t>
        </is>
      </c>
    </row>
    <row r="5979">
      <c r="A5979" t="inlineStr">
        <is>
          <t>ahpuvv</t>
        </is>
      </c>
      <c r="B5979" t="inlineStr">
        <is>
          <t>Prebolusing but still having spikes?</t>
        </is>
      </c>
      <c r="C5979" t="inlineStr">
        <is>
          <t xml:space="preserve">I just diagnosed with T1 in November so I'm still trying to figure out how different foods affect my sugars. I'm noticing that besides my dinners (which are always just meat + veggies), I always spike quite high afterwards. 
So I try pre-bolusing and testing with a sandwich. I've tried eating immediately after injections, to waiting 15 minutes, waiting 30 minutes, or even an hour, and I somehow always manage to spike every time.  The difference is in when I spike - sometimes I spike at the 1 hour mark, sometimes after 2 hours. These spikes usually last 2 hours before starting to come down. 
So I thought that my ratio was probably off. Yesterday, I was still in the 180s at the 3 hour mark so I decided to give myself 1 unit of correction. 1 hour after the correction I was in range in the 110's, but then 2 hours after the correction I was going low in the 60s. 
I'm at a complete loss at what to do. 
Also I'm not in a financial situation to get a pump at the moment so that's out of the picture. </t>
        </is>
      </c>
      <c r="D5979" t="n">
        <v>1</v>
      </c>
      <c r="E5979" t="n">
        <v>9</v>
      </c>
      <c r="F5979">
        <f>HYPERLINK("https://www.reddit.com/r/diabetes/comments/ahpuvv/prebolusing_but_still_having_spikes/")</f>
        <v/>
      </c>
      <c r="G5979" t="inlineStr">
        <is>
          <t>2019-01-19 12:25:04</t>
        </is>
      </c>
      <c r="H5979" t="inlineStr">
        <is>
          <t>Type 1</t>
        </is>
      </c>
    </row>
    <row r="5980">
      <c r="A5980" t="inlineStr">
        <is>
          <t>ahshmy</t>
        </is>
      </c>
      <c r="B5980" t="inlineStr">
        <is>
          <t>Miaomiao with Freestyle Libre Reader</t>
        </is>
      </c>
      <c r="C5980" t="inlineStr">
        <is>
          <t>Does the Miaomiao interfere with collecting data manually with the Libre reader?
I have an app that can utilize the Miaomiao to do bolus calcuations, etc...but the doctor wants to download my data from the reader.
Can I tap the reader on the sensor and collect data while the Miaomiao is in use?
Thanks,
Doug</t>
        </is>
      </c>
      <c r="D5980" t="n">
        <v>1</v>
      </c>
      <c r="E5980" t="n">
        <v>4</v>
      </c>
      <c r="F5980">
        <f>HYPERLINK("https://www.reddit.com/r/diabetes/comments/ahshmy/miaomiao_with_freestyle_libre_reader/")</f>
        <v/>
      </c>
      <c r="G5980" t="inlineStr">
        <is>
          <t>2019-01-19 16:56:07</t>
        </is>
      </c>
      <c r="H5980" t="inlineStr">
        <is>
          <t>Type 2</t>
        </is>
      </c>
    </row>
    <row r="5981">
      <c r="A5981" t="inlineStr">
        <is>
          <t>ahxnsq</t>
        </is>
      </c>
      <c r="B5981" t="inlineStr">
        <is>
          <t>I’ve had a medical alert bracelet since I was diagnosed T1 in 2015</t>
        </is>
      </c>
      <c r="C5981" t="inlineStr">
        <is>
          <t>I’ve had a medical alert bracelet since I was diagnosed T1 in 2015.  I have a pump and am allergic to penicillin and sulfa drugs.   My family doctor urges me to wear one.   I have my medical conditions and family emergency contact information engraved on it.  EMT will have the important information that could save my life.  I got mine from divotiusa.com as they are better in prices.</t>
        </is>
      </c>
      <c r="D5981" t="n">
        <v>1</v>
      </c>
      <c r="E5981" t="n">
        <v>1</v>
      </c>
      <c r="F5981">
        <f>HYPERLINK("https://www.reddit.com/r/diabetes/comments/ahxnsq/ive_had_a_medical_alert_bracelet_since_i_was/")</f>
        <v/>
      </c>
      <c r="G5981" t="inlineStr">
        <is>
          <t>2019-01-20 05:36:13</t>
        </is>
      </c>
      <c r="H5981" t="inlineStr">
        <is>
          <t>Type 1</t>
        </is>
      </c>
    </row>
    <row r="5982">
      <c r="A5982" t="inlineStr">
        <is>
          <t>ahzwmb</t>
        </is>
      </c>
      <c r="B5982" t="inlineStr">
        <is>
          <t>Just my thoughts during late night injection struggles. Diabetes a disease of the mind and the body.</t>
        </is>
      </c>
      <c r="C5982" t="inlineStr">
        <is>
          <t xml:space="preserve">What is diabetes? Sure it's a disease where you no longer produce insulin. It's a condition where blood glucose regulation doesn't occur naturally, but if you ask a diabetic diabetes is so much more. 
I might look strong and brave for everything I do but truth is I still cry about it. Ten years of injections and needles still frighten me. Does that make me brave? 
Its criticism, and not from media telling me what I can and can not eat, what will and will not give me diabetes. It's not even the doctor visits or the family members 'advice', that if you just tried harder or drank some special juice it could be gone. It's the self that dies everytime, every day, every second of the disease. It starts slow but ripe you from the pancreas out till there's nothing left. 
It's the trying and trying and trying because the alternative is dying. It's the hours you spend picking at everything you do everything you every little detail of emotion and of events. It's the feeling of burden not on me... no not on me I can carry this weight most days.... but it's the burden you place on your loved ones. The endless nights your mom stays up worried sick of whether you'll wake up. It's the inconvenience of forgetting food when you're with you're friends at the mall. It's the embarrassing blackouts at sports, you know you shouldn't be embarrassed but you are. It's the looks you and everyone around you get when you pull out a needle at the dinner table. Your mind tells you be strong, who cares? But your heart says if only you knew how much I wish this wasnt a part of me. 
It's how much you fight to not let it creep into life but it does it leaks and it oozes till it covers everyone and everything you touch. How you wish people knew how you felt, that you cried in your bathroom because you needed to insert another needle into your arm and contemplated if you're life was really worthy of all this? Were you worth the medical burden? The financial burden? The societal burden? Being a science student you know evolutionarily you weren't. That past would show that youd die slowly and painfully, but then again how different is today? People rationalize it through you're actions. If you do everything right you can live a long and happy life... a life filled with prescriptions and complications until you are suffocated and die of you're 'controllable disease' anyhow. 
It's the emotional roller coaster, I've never heard anyone Express to me if they know their feelings are their own. Everyone is pretty sure their sadness, their anger, their joy is owned by them, but do I own mine? Blood sugars can affect your emotions.... does that mean diabetes also owns my emotions? Is it an excuse? Would I feel this way if I didnt eat those carbs? Would I make the same decisions if I were taking care of myself? Do I own myself or diabetes own that too? 
When you lie awake at night thinking of the hospital bed you'll be in one day... when you know you could have done better but didnt you may have diabetes. It consumes you're present past and future. My past was engulfed by diabetes, my present is over come with diabetes and my future is painted with diabetes. It's in my soul, can you cure a soul? 
If only I didn't cut back my insulin when the girls at school called me fat. When I looked in the mirror and saw nothing but failure anyhow.... when I had little desire to get out of bed let along deal with my self absorbed pet diabetes. If only I didnt eat the cake or eat the sandwich I'd feel so much better now, I'd be able to focus, my eyes would be clear, I'd do better at sports, I'd be better in social situations, I'd excel at everything if I didnt have a noose around my kneck and the ability to decide how tight it was. Or does diabetes own my accomplishments as well? If I didnt have diabetes would I be as responsible as I am now? Would I try as hard as I do to not let the disease drag me down? To be like everyone else? Would I be me if I didnt have diabetes? 
So is diabetes my disease or is my disease simply just me?
</t>
        </is>
      </c>
      <c r="D5982" t="n">
        <v>1</v>
      </c>
      <c r="E5982" t="n">
        <v>4</v>
      </c>
      <c r="F5982">
        <f>HYPERLINK("https://www.reddit.com/r/diabetes/comments/ahzwmb/just_my_thoughts_during_late_night_injection/")</f>
        <v/>
      </c>
      <c r="G5982" t="inlineStr">
        <is>
          <t>2019-01-20 09:16:33</t>
        </is>
      </c>
      <c r="H5982" t="inlineStr">
        <is>
          <t>Type 1</t>
        </is>
      </c>
    </row>
    <row r="5983">
      <c r="A5983" t="inlineStr">
        <is>
          <t>ai45mc</t>
        </is>
      </c>
      <c r="B5983" t="inlineStr">
        <is>
          <t>Help with breakfast</t>
        </is>
      </c>
      <c r="C5983" t="inlineStr">
        <is>
          <t xml:space="preserve">Hi, I’m a Type 1 diabetic who was diagnosed at 18, and after about 2 years of just scraping by due to diabetes fatigue and lack of caring, I’m really trying to get my A1C down to good levels and manage my health! (Shoutout to my lovely new wife helping me every day!)
I’ve gotten my meds adjusted but I can tell my two weaknesses are carb counting, and skyrocketing BG after breakfast. I was eating cereal or oatmeal with yogurt in it every day before work, which I have realized is clearly not good... but I’m struggling to find a meal with that good balance between fast to make and low carb. So I’m asking what anyone else here eats on a regular basis to get some inspiration.
I’m on libre and omnipod btw. </t>
        </is>
      </c>
      <c r="D5983" t="n">
        <v>1</v>
      </c>
      <c r="E5983" t="n">
        <v>16</v>
      </c>
      <c r="F5983">
        <f>HYPERLINK("https://www.reddit.com/r/diabetes/comments/ai45mc/help_with_breakfast/")</f>
        <v/>
      </c>
      <c r="G5983" t="inlineStr">
        <is>
          <t>2019-01-20 16:07:52</t>
        </is>
      </c>
      <c r="H5983" t="inlineStr">
        <is>
          <t>Type 1</t>
        </is>
      </c>
    </row>
    <row r="5984">
      <c r="A5984" t="inlineStr">
        <is>
          <t>ai4pys</t>
        </is>
      </c>
      <c r="B5984" t="inlineStr">
        <is>
          <t>Omnipod ?</t>
        </is>
      </c>
      <c r="C5984" t="inlineStr">
        <is>
          <t>Tomorrow I am supposed to get an xray on my kidneys. I know that you can't wear your pod during an MRI but what about an xray? I have my pod in my abdomen. I am assuming I will need to bring another one with me tomorrow.</t>
        </is>
      </c>
      <c r="D5984" t="n">
        <v>1</v>
      </c>
      <c r="E5984" t="n">
        <v>3</v>
      </c>
      <c r="F5984">
        <f>HYPERLINK("https://www.reddit.com/r/diabetes/comments/ai4pys/omnipod/")</f>
        <v/>
      </c>
      <c r="G5984" t="inlineStr">
        <is>
          <t>2019-01-20 17:09:16</t>
        </is>
      </c>
      <c r="H5984" t="inlineStr">
        <is>
          <t>Type 1</t>
        </is>
      </c>
    </row>
    <row r="5985">
      <c r="A5985" t="inlineStr">
        <is>
          <t>ai5u5j</t>
        </is>
      </c>
      <c r="B5985" t="inlineStr">
        <is>
          <t>A lot of you actually have the potential to cure T2</t>
        </is>
      </c>
      <c r="C5985" t="inlineStr">
        <is>
          <t>I get bashed harshly by some people for saying keto and intermittent fasting cured my diabetes. And that thread was even somehow marked NSFW by the admin. But the truth is it did work for me. What a lot of you don't know and what your doctors don't tell you is that in many overweight patients with a terrible diet, fixing their weight problem can drastically reduce their insulin resistance. As my weight dropped lower my insulin got better and I can tolerate higher carb foods without overloading my pancreas. Those are the signs of reversing/ curing. If I didn't do my own research and reject most of my doctor's prescriptions, I could become the guy who complain about sugar craving and highs and lows all day you see on many diabetics forums. I'm not saying it works 100% for everyone, the real problem I'm addressing is that a lot of you who are overweight and morbidly overweight do have the chance to get it cured and return to a normal life. But how sad to see when there's a way to a potential cure so many people choose to ignore it. I'm a Chinese guy and where I live obeying the authoritative opinions is the way of life, the mainstream talks. We've been told for thousands of years to entrust your well being with the empire, with the government, with the hospitals, and the social healthcare system takes care of 80% of your medical bills at a dirt cheap premium. Everyone is ignorant but happy so it's really just a lack of knowledge and lack of motive for people here to look outside the box. That's why every time I talked to my doctor and fellow patients about this they just riddled me with ridicules and thought I'm that craziest person. I came here to just share my experience and genuinely wanna help people who have the potential to reverse the disease build up faith, not that I'm trying to sell keto pills or keto shakes or something.</t>
        </is>
      </c>
      <c r="D5985" t="n">
        <v>1</v>
      </c>
      <c r="E5985" t="n">
        <v>7</v>
      </c>
      <c r="F5985">
        <f>HYPERLINK("https://www.reddit.com/r/diabetes/comments/ai5u5j/a_lot_of_you_actually_have_the_potential_to_cure/")</f>
        <v/>
      </c>
      <c r="G5985" t="inlineStr">
        <is>
          <t>2019-01-20 19:21:17</t>
        </is>
      </c>
      <c r="H5985" t="inlineStr">
        <is>
          <t>Type 2</t>
        </is>
      </c>
    </row>
    <row r="5986">
      <c r="A5986" t="inlineStr">
        <is>
          <t>ai86lk</t>
        </is>
      </c>
      <c r="B5986" t="inlineStr">
        <is>
          <t>Question for t-slim users</t>
        </is>
      </c>
      <c r="C5986" t="inlineStr">
        <is>
          <t>I recently got my t-slim pump (yay) and they were telling me that I need to change the cartridge every 3 days. Is it ok if I just sit down for an hour and fill up like 4 cartridges and throw them in the fridge? I feel like this would be supper convenient because then next time I have to change it all I have to do is swap. Just wondering. Also is it dangerous to exceed the 3 day timeframe if I still have like 80 units left? It feels like a waste just throwing it away. Thanks!</t>
        </is>
      </c>
      <c r="D5986" t="n">
        <v>1</v>
      </c>
      <c r="E5986" t="n">
        <v>13</v>
      </c>
      <c r="F5986">
        <f>HYPERLINK("https://www.reddit.com/r/diabetes/comments/ai86lk/question_for_tslim_users/")</f>
        <v/>
      </c>
      <c r="G5986" t="inlineStr">
        <is>
          <t>2019-01-21 00:31:01</t>
        </is>
      </c>
      <c r="H5986" t="inlineStr">
        <is>
          <t>Type 1</t>
        </is>
      </c>
    </row>
    <row r="5987">
      <c r="A5987" t="inlineStr">
        <is>
          <t>ai889s</t>
        </is>
      </c>
      <c r="B5987" t="inlineStr">
        <is>
          <t>Morning BG sucks.</t>
        </is>
      </c>
      <c r="C5987" t="inlineStr">
        <is>
          <t xml:space="preserve">Fading honeymoon hasn't revealed anything truly nasty so far, like a very brittle diabetes. What it did reveal however was a stubborn and annoying and frustrating BG in the morning.
BG drops a bit until about 3 AM. Then, sometimes it continuously rises. Sometimes it doesn't. In all cases, as soon as I wake up, it climbs somewhat. As soon as *get* up, the increase is more pronounced.
Normally I can manage it with 2 units of Humalog in addition to any correction bolus I might need plus the bolus for breakfast. But sometimes, when I don't sleep so well, it becomes considerably worse. I injected 3.5 units this morning (morning bolus plus correction plus 1 unit for breakfast). BG wasn't really *high*, since I injected early. It was at 120. This is annoying for me, since I strive for a fasting BG below 100. Well, the BG dropped quickly to 93, then suddenly got up to 102 again, then dropped again, rose again ... So now I don't even know if I *should* eat breakfast at all!
In the past, about the second time I ever experienced this, it was considerably worse. BG of 140 after waking up, and shot up rapidly to 170. Thankfully it didn't increase further. Thanks Humalog for that.
Can it happen that a dawn phenomenon first presents itself as a feet-on-floor or waking-up phenomenon? Did it develop like this for some people? </t>
        </is>
      </c>
      <c r="D5987" t="n">
        <v>1</v>
      </c>
      <c r="E5987" t="n">
        <v>4</v>
      </c>
      <c r="F5987">
        <f>HYPERLINK("https://www.reddit.com/r/diabetes/comments/ai889s/morning_bg_sucks/")</f>
        <v/>
      </c>
      <c r="G5987" t="inlineStr">
        <is>
          <t>2019-01-21 00:38:51</t>
        </is>
      </c>
      <c r="H5987" t="inlineStr">
        <is>
          <t>Type 1</t>
        </is>
      </c>
    </row>
    <row r="5988">
      <c r="A5988" t="inlineStr">
        <is>
          <t>ai9e93</t>
        </is>
      </c>
      <c r="B5988" t="inlineStr">
        <is>
          <t>What to do before runs?</t>
        </is>
      </c>
      <c r="C5988" t="inlineStr">
        <is>
          <t>Hi I've ran for let's say 6 months now but now am starting to take it a bit more seriously. Is it okay for the long term to raise my glucose levels to 15-16 mmol/l (270 to 288 mg/dl) before a run. I see it really as my only way to properly finish my runs without having to stop midway due to low sugars I lower my basal and everything. I still end up at around 4.3 mmol/l (77.5 mg/dl) after my runs even with basal lowered and levels super high. Is there any other way to run without levels dropping too much or is this the only way?</t>
        </is>
      </c>
      <c r="D5988" t="n">
        <v>1</v>
      </c>
      <c r="E5988" t="n">
        <v>17</v>
      </c>
      <c r="F5988">
        <f>HYPERLINK("https://www.reddit.com/r/diabetes/comments/ai9e93/what_to_do_before_runs/")</f>
        <v/>
      </c>
      <c r="G5988" t="inlineStr">
        <is>
          <t>2019-01-21 03:48:14</t>
        </is>
      </c>
      <c r="H5988" t="inlineStr">
        <is>
          <t>Type 1</t>
        </is>
      </c>
    </row>
    <row r="5989">
      <c r="A5989" t="inlineStr">
        <is>
          <t>ai9o7q</t>
        </is>
      </c>
      <c r="B5989" t="inlineStr">
        <is>
          <t>I told some programmers about me using OpenAPS (artificial pancreas software) and they went a bit nuts</t>
        </is>
      </c>
      <c r="C5989" t="inlineStr">
        <is>
          <t>Here is the thread to the comment that I made on a post: [https://www.reddit.com/r/ProgrammerHumor/comments/ai8403/relatable/eelylw4/](https://www.reddit.com/r/ProgrammerHumor/comments/ai8403/relatable/eelylw4/)</t>
        </is>
      </c>
      <c r="D5989" t="n">
        <v>1</v>
      </c>
      <c r="E5989" t="n">
        <v>44</v>
      </c>
      <c r="F5989">
        <f>HYPERLINK("https://www.reddit.com/r/diabetes/comments/ai9o7q/i_told_some_programmers_about_me_using_openaps/")</f>
        <v/>
      </c>
      <c r="G5989" t="inlineStr">
        <is>
          <t>2019-01-21 04:30:43</t>
        </is>
      </c>
      <c r="H5989" t="inlineStr">
        <is>
          <t>Type 1</t>
        </is>
      </c>
    </row>
    <row r="5990">
      <c r="A5990" t="inlineStr">
        <is>
          <t>aid7qx</t>
        </is>
      </c>
      <c r="B5990" t="inlineStr">
        <is>
          <t>Crazy insulin resistance ????</t>
        </is>
      </c>
      <c r="C5990" t="inlineStr">
        <is>
          <t xml:space="preserve">So for the last 48ish hours, I have had INSANE insulin resistance for seemingly no reason. My blood sugar has been hovering over 200, and won't budge, no matter what I do. I've tried changing my site, changing my insulin and exercising to no avail. My sensor says it is 280 and raising right now, even though I have active insulin in and set a temp basal at the max of 2 units of insulin an hour. I have no idea what to do and no idea why this is happening. I haven't eaten anything weird (I don't eat gluten/ many carbs anyways) and I'm not sick (that I'm aware of). I checked my ketones and they showed up as 'trace' so I'm not worried about that. Has this happened to anyone else??? What worked for you? I'm worried and have no idea what to do </t>
        </is>
      </c>
      <c r="D5990" t="n">
        <v>1</v>
      </c>
      <c r="E5990" t="n">
        <v>31</v>
      </c>
      <c r="F5990">
        <f>HYPERLINK("https://www.reddit.com/r/diabetes/comments/aid7qx/crazy_insulin_resistance/")</f>
        <v/>
      </c>
      <c r="G5990" t="inlineStr">
        <is>
          <t>2019-01-21 10:45:25</t>
        </is>
      </c>
      <c r="H5990" t="inlineStr">
        <is>
          <t>Type 1</t>
        </is>
      </c>
    </row>
    <row r="5991">
      <c r="A5991" t="inlineStr">
        <is>
          <t>aifjuv</t>
        </is>
      </c>
      <c r="B5991" t="inlineStr">
        <is>
          <t>Need recommendations!</t>
        </is>
      </c>
      <c r="C5991" t="inlineStr">
        <is>
          <t>I’m a T1D who is currently on an Animas Vibe. With animas out of the pump scene now, I’m needing to transition to another pump. I’m also on Medicaid, however, due to being a medical school grad student with no money, so I’m not sure what my insurance would be willing to cover pump wise. They’re already really stingy on my pump supplies. Any recommendations, suggestions, and emotional support would be greatly appreciated! This is the first time I’ve had to do something so drastic for myself and I am super nervous. 😭</t>
        </is>
      </c>
      <c r="D5991" t="n">
        <v>1</v>
      </c>
      <c r="E5991" t="n">
        <v>7</v>
      </c>
      <c r="F5991">
        <f>HYPERLINK("https://www.reddit.com/r/diabetes/comments/aifjuv/need_recommendations/")</f>
        <v/>
      </c>
      <c r="G5991" t="inlineStr">
        <is>
          <t>2019-01-21 14:01:44</t>
        </is>
      </c>
      <c r="H5991" t="inlineStr">
        <is>
          <t>Type 1</t>
        </is>
      </c>
    </row>
    <row r="5992">
      <c r="A5992" t="inlineStr">
        <is>
          <t>aihxtu</t>
        </is>
      </c>
      <c r="B5992" t="inlineStr">
        <is>
          <t>Absolutely exhausted</t>
        </is>
      </c>
      <c r="C5992" t="inlineStr">
        <is>
          <t xml:space="preserve">I've been T1 since I was 18 months old (I'm 21 now), and I'm just so exhausted, physically, mentally, and emotionally.  I have really bad mental problems that get in the way as well, so it's an endless cycle of mental health toying with diabetes, diabetes toying with mental health, etc.  I had to drop school to take care of my health. I have a checkup in a few days and I'm so scared they're gonna take my pump away from me (have been on pump since I was around 2-3).  I was threatened by a previous doctor that they would take away my pump if I didn't take care of myself and I now I'm always scared.  The doctors keep telling me I'll die at a young age, and they've been saying that since I was about 13.  I have it embedded into my brain that I'm gonna die at a young age, and that scares me so much I don't want to do anything. I shouldn't be afraid of my doctor. I apologize for this dark rant. I have no diabetic friends I can talk to about this. This community is the only thing close to that. If anybody has any advice, I'm all for it.  </t>
        </is>
      </c>
      <c r="D5992" t="n">
        <v>1</v>
      </c>
      <c r="E5992" t="n">
        <v>42</v>
      </c>
      <c r="F5992">
        <f>HYPERLINK("https://www.reddit.com/r/diabetes/comments/aihxtu/absolutely_exhausted/")</f>
        <v/>
      </c>
      <c r="G5992" t="inlineStr">
        <is>
          <t>2019-01-21 18:09:11</t>
        </is>
      </c>
      <c r="H5992" t="inlineStr">
        <is>
          <t>Type 1</t>
        </is>
      </c>
    </row>
    <row r="5993">
      <c r="A5993" t="inlineStr">
        <is>
          <t>aii6vp</t>
        </is>
      </c>
      <c r="B5993" t="inlineStr">
        <is>
          <t>Non responsive to fast acting insulin?</t>
        </is>
      </c>
      <c r="C5993" t="inlineStr">
        <is>
          <t>So the past couple of days I've had a nasty flu, thankfully I'm starting to get better, but something weird happened the last 12 hours.
I upped my Tresiba dose from 33 IE to now 40IE as my insuline need has gone up as expected when ill.
However the last 12 hours my blood sugar has been creeping up to around 16mmol/L (288 mg/dl) and it wont go down. The last 5 hours I've taken 10IE of Novorapid on empty stomach and my bloodsugar will not drop. This has never happened before and I'm starting to get nervous. 10IE on an empty stomach is a lot of insulin, and for my bloodsugar to remain at 16mmol/L just seems crazy.
It's 3.35am in my country as I write this so can't really get medical help at this hour unless it's an emergency and they send an ambulance, which it's not and I don't need one.
How should I best deal with this?</t>
        </is>
      </c>
      <c r="D5993" t="n">
        <v>1</v>
      </c>
      <c r="E5993" t="n">
        <v>4</v>
      </c>
      <c r="F5993">
        <f>HYPERLINK("https://www.reddit.com/r/diabetes/comments/aii6vp/non_responsive_to_fast_acting_insulin/")</f>
        <v/>
      </c>
      <c r="G5993" t="inlineStr">
        <is>
          <t>2019-01-21 18:37:48</t>
        </is>
      </c>
      <c r="H5993" t="inlineStr">
        <is>
          <t>Type 1</t>
        </is>
      </c>
    </row>
    <row r="5994">
      <c r="A5994" t="inlineStr">
        <is>
          <t>aiiuej</t>
        </is>
      </c>
      <c r="B5994" t="inlineStr">
        <is>
          <t>Dexcom sensor vs Medtronic sensor</t>
        </is>
      </c>
      <c r="C5994" t="inlineStr">
        <is>
          <t>Hi Folks.  What do people who have or had the Dexcom G6 Sensor think of the experience?  How accurate are the readings and how often do sensors go bad?    
My wife uses a medtronic pump and sensor and has spotty accuracy with the medtronic sensors.  They either work very well or not at all, and she has a sensor go bad 1-2 days in about 50% of the time.  
She's wondering if it's worth the work to go through the insurance process to try to change to Dexcom.
Thanks for your thoughts.</t>
        </is>
      </c>
      <c r="D5994" t="n">
        <v>1</v>
      </c>
      <c r="E5994" t="n">
        <v>9</v>
      </c>
      <c r="F5994">
        <f>HYPERLINK("https://www.reddit.com/r/diabetes/comments/aiiuej/dexcom_sensor_vs_medtronic_sensor/")</f>
        <v/>
      </c>
      <c r="G5994" t="inlineStr">
        <is>
          <t>2019-01-21 19:52:47</t>
        </is>
      </c>
      <c r="H5994" t="inlineStr">
        <is>
          <t>Type 1</t>
        </is>
      </c>
    </row>
    <row r="5995">
      <c r="A5995" t="inlineStr">
        <is>
          <t>ailbjp</t>
        </is>
      </c>
      <c r="B5995" t="inlineStr">
        <is>
          <t>Anyone using Unistrip Generic Test Strips?</t>
        </is>
      </c>
      <c r="C5995" t="inlineStr">
        <is>
          <t xml:space="preserve">
Hi all 
Just a quick question. I have always bought One Touch Test Strips for my meter, but they get expensive especially if I want to test several times a day. I noticed a product called Unistrip Test Strips which are supposed to work with my meter and they are much cheaper. I wonder how they are with accuracy when compared to the One Touch test strips.
If anyone is using them, are you happy with them?
Please let me know. 
All Best,
Ray
T1 since 1995</t>
        </is>
      </c>
      <c r="D5995" t="n">
        <v>1</v>
      </c>
      <c r="E5995" t="n">
        <v>0</v>
      </c>
      <c r="F5995">
        <f>HYPERLINK("https://www.reddit.com/r/diabetes/comments/ailbjp/anyone_using_unistrip_generic_test_strips/")</f>
        <v/>
      </c>
      <c r="G5995" t="inlineStr">
        <is>
          <t>2019-01-22 01:48:11</t>
        </is>
      </c>
      <c r="H5995" t="inlineStr">
        <is>
          <t>Type 1</t>
        </is>
      </c>
    </row>
    <row r="5996">
      <c r="A5996" t="inlineStr">
        <is>
          <t>ainlcf</t>
        </is>
      </c>
      <c r="B5996" t="inlineStr">
        <is>
          <t>Chromium?</t>
        </is>
      </c>
      <c r="C5996" t="inlineStr">
        <is>
          <t>Hey guys, just a little backstory. Got diagnosed with T2 with HBA1C of 9.8%. 3 months later which is today, went back for the check and it’s at 6.3%. Got it down with diet and exercise.
However something which I find it annoying is my fasting blood sugar. All the times I took it at the hospital it’s at 7.7 or 7.something. Take for today for example, 5.8 when I was at home and 7.7 at the time of blood test.
When i take at home, it ranges from 5 to 6.5. 
I have read online that chromium pills help with controlling blood sugar? Has anyone tried it before? Thinking of ordering it on iherb. 
Thanks guys in advance. Keep fighting!</t>
        </is>
      </c>
      <c r="D5996" t="n">
        <v>1</v>
      </c>
      <c r="E5996" t="n">
        <v>3</v>
      </c>
      <c r="F5996">
        <f>HYPERLINK("https://www.reddit.com/r/diabetes/comments/ainlcf/chromium/")</f>
        <v/>
      </c>
      <c r="G5996" t="inlineStr">
        <is>
          <t>2019-01-22 06:56:24</t>
        </is>
      </c>
      <c r="H5996" t="inlineStr">
        <is>
          <t>Type 2</t>
        </is>
      </c>
    </row>
    <row r="5997">
      <c r="A5997" t="inlineStr">
        <is>
          <t>aiod0x</t>
        </is>
      </c>
      <c r="B5997" t="inlineStr">
        <is>
          <t>OpenAPS</t>
        </is>
      </c>
      <c r="C5997" t="inlineStr">
        <is>
          <t>Hi,   
I'm based in the UK and I use a Medtronic 640G pump and a Freestyle Libre CGM.
&amp;amp;#x200B;
I was hoping someone here (who is a lot more tech savvy then I am) has had any luck linking Nightscout and Loop.   
There is a shite tonne of information and I'm hoping someone may be able to help me start.
&amp;amp;#x200B;
Cheers!</t>
        </is>
      </c>
      <c r="D5997" t="n">
        <v>1</v>
      </c>
      <c r="E5997" t="n">
        <v>5</v>
      </c>
      <c r="F5997">
        <f>HYPERLINK("https://www.reddit.com/r/diabetes/comments/aiod0x/openaps/")</f>
        <v/>
      </c>
      <c r="G5997" t="inlineStr">
        <is>
          <t>2019-01-22 08:14:17</t>
        </is>
      </c>
      <c r="H5997" t="inlineStr">
        <is>
          <t>Type 1</t>
        </is>
      </c>
    </row>
    <row r="5998">
      <c r="A5998" t="inlineStr">
        <is>
          <t>aipzsb</t>
        </is>
      </c>
      <c r="B5998" t="inlineStr">
        <is>
          <t>5.1 A1c at 6.5 months pregnant!</t>
        </is>
      </c>
      <c r="C5998" t="inlineStr">
        <is>
          <t>Sorry, just had to celebrate with the people who understand best. I've been working really hard on BG management, and it paid off on the most recent test. Flip side, baby has gone from 49th percentile in weight to 80th, which makes a C-section more likely, but nothing I can really do about that beyond what I've been doing already. 5.1!!!! 😁</t>
        </is>
      </c>
      <c r="D5998" t="n">
        <v>1</v>
      </c>
      <c r="E5998" t="n">
        <v>5</v>
      </c>
      <c r="F5998">
        <f>HYPERLINK("https://www.reddit.com/r/diabetes/comments/aipzsb/51_a1c_at_65_months_pregnant/")</f>
        <v/>
      </c>
      <c r="G5998" t="inlineStr">
        <is>
          <t>2019-01-22 10:47:36</t>
        </is>
      </c>
      <c r="H5998" t="inlineStr">
        <is>
          <t>Type 2</t>
        </is>
      </c>
    </row>
    <row r="5999">
      <c r="A5999" t="inlineStr">
        <is>
          <t>aiq3g4</t>
        </is>
      </c>
      <c r="B5999" t="inlineStr">
        <is>
          <t>Having a real bad day...</t>
        </is>
      </c>
      <c r="C5999" t="inlineStr">
        <is>
          <t>Saw my pcp today for a diabetic follow up since my endo retired in Dec.  I'm awaiting a call from my next endo for my first appointment but not sure when that will be.  My A1C went up to a 9.6 from an 8.  This was really difficult to hear since I've already cut out so many foods from my diet.  My carb intake consists of quinoa, a variety of beans, and fruit.  I dont take sugar in my coffee anymore.  I dont drink dairy.  I read every single label on food before I purchase it.  I test my bg before every meal and take my insulin as directed.  I do everything I've been advised to do by every nurse practitioner and doctor I've ever seen yet I continue to fail miserably.   I'm beginning to believe I'm too stupid to manage this disease.   I saw my doctor today to hopefully get the Libra 14 day monitor (I think it's called that) but she said Medicare may not approve it.  I'm at a complete fucking loss as what to do next and having a shit day.  This subreddit is my favorite place I have to vent my frustrations and you all mean the world to me.  Thank you for reading my rant.</t>
        </is>
      </c>
      <c r="D5999" t="n">
        <v>1</v>
      </c>
      <c r="E5999" t="n">
        <v>14</v>
      </c>
      <c r="F5999">
        <f>HYPERLINK("https://www.reddit.com/r/diabetes/comments/aiq3g4/having_a_real_bad_day/")</f>
        <v/>
      </c>
      <c r="G5999" t="inlineStr">
        <is>
          <t>2019-01-22 10:57:16</t>
        </is>
      </c>
      <c r="H5999" t="inlineStr">
        <is>
          <t>Type 1</t>
        </is>
      </c>
    </row>
    <row r="6000">
      <c r="A6000" t="inlineStr">
        <is>
          <t>aiqcjd</t>
        </is>
      </c>
      <c r="B6000" t="inlineStr">
        <is>
          <t>Everyday things I'm thankful for.</t>
        </is>
      </c>
      <c r="C6000" t="inlineStr">
        <is>
          <t>Just thought I'd credit the things that make life better with my condition.
&amp;amp;#x200B;
* Diet Coke/Pepsi available everywhere
* Diet Sunkist, easily available and a taste strong enough to not taste 'diet'.
* I personally can eat any amount of carbs or food I desire; except sugary drinks.
* Needing only food to deal with lows, at least something easy to find compared to insulin if one runs out.
* The ADA, which requires I be accommodated; and that only a tiny list of jobs are off-limits, the two I know of (Truck Driving and Pilot), I could still do non-commercially.
* Granola bars, a great cookie-replacement.</t>
        </is>
      </c>
      <c r="D6000" t="n">
        <v>1</v>
      </c>
      <c r="E6000" t="n">
        <v>7</v>
      </c>
      <c r="F6000">
        <f>HYPERLINK("https://www.reddit.com/r/diabetes/comments/aiqcjd/everyday_things_im_thankful_for/")</f>
        <v/>
      </c>
      <c r="G6000" t="inlineStr">
        <is>
          <t>2019-01-22 11:21:10</t>
        </is>
      </c>
      <c r="H6000" t="inlineStr">
        <is>
          <t>Type 1</t>
        </is>
      </c>
    </row>
    <row r="6001">
      <c r="A6001" t="inlineStr">
        <is>
          <t>aisn4h</t>
        </is>
      </c>
      <c r="B6001" t="inlineStr">
        <is>
          <t>T-slim tube is slightly pink/red</t>
        </is>
      </c>
      <c r="C6001" t="inlineStr">
        <is>
          <t>I noticed after about 12 hours of putting in my new tubing and cartridge that the insulin was a pinkish color. Not sure if this is blood because my blood sugar spiked a lot higher at lunch than it should’ve, so maybe it’s a kinked wire and some blood got in. Just wondering if this is normal and if it not if I need to change it. Thanks!</t>
        </is>
      </c>
      <c r="D6001" t="n">
        <v>1</v>
      </c>
      <c r="E6001" t="n">
        <v>4</v>
      </c>
      <c r="F6001">
        <f>HYPERLINK("https://www.reddit.com/r/diabetes/comments/aisn4h/tslim_tube_is_slightly_pinkred/")</f>
        <v/>
      </c>
      <c r="G6001" t="inlineStr">
        <is>
          <t>2019-01-22 14:46:11</t>
        </is>
      </c>
      <c r="H6001" t="inlineStr">
        <is>
          <t>Type 1</t>
        </is>
      </c>
    </row>
    <row r="6002">
      <c r="A6002" t="inlineStr">
        <is>
          <t>aitoyj</t>
        </is>
      </c>
      <c r="B6002" t="inlineStr">
        <is>
          <t>Advice on ketones</t>
        </is>
      </c>
      <c r="C6002" t="inlineStr">
        <is>
          <t xml:space="preserve">Hi guys - t1 diabetic for 33 years. Wanted to run by this plan of action b/c sometimes it takes my dr to get back with me. Pre-prandial blood sugar was 276. Forgot to bolus for 74 carbs. BS 371. Bolused 25u (roughly). 30 minutes later feeling sick and stomach hurting, extreme thirst. Checked blood sugar 402. Pump says don't dose due to 15.07 iob. Ketones Large. I increased my basal rate 25% for 1hr, drinking lots of water and gonna check in 1 hr. 
&amp;amp;#x200B;
Does this sound good to you all? Trying to avoid the ER. </t>
        </is>
      </c>
      <c r="D6002" t="n">
        <v>1</v>
      </c>
      <c r="E6002" t="n">
        <v>2</v>
      </c>
      <c r="F6002">
        <f>HYPERLINK("https://www.reddit.com/r/diabetes/comments/aitoyj/advice_on_ketones/")</f>
        <v/>
      </c>
      <c r="G6002" t="inlineStr">
        <is>
          <t>2019-01-22 16:29:37</t>
        </is>
      </c>
      <c r="H6002" t="inlineStr">
        <is>
          <t>Type 1</t>
        </is>
      </c>
    </row>
    <row r="6003">
      <c r="A6003" t="inlineStr">
        <is>
          <t>aiutzm</t>
        </is>
      </c>
      <c r="B6003" t="inlineStr">
        <is>
          <t>Looking for support after the holidays</t>
        </is>
      </c>
      <c r="C6003" t="inlineStr">
        <is>
          <t>I was diagnosed in July at age 27, a1c at about 9.
My last test came in yesterday at 5.6, and I’m super happy! But so shocked because I’ve been feeling so terrible and lazy and guilty over the winter months. 
I was so good the first few months, but I lost all my will power around cookies and bread and apple cider and pizza, I just can’t stop myself, and I haven’t even been exercising to make up for it. And I’ve been slacking on testing my blood, esp when I expect it to be high. I’m truly surprised my a1c wasn’t higher than my previous. 
Sure I eat a bit more vegetables than I used to, sugar free sodas only, and I walk a little on my lunch breaks, but none of it feels like enough, and like I should be doing more. At least make myself eat a salad (god I hate vegetables, but spinach is okay on pizza). No one changes over night, but it’s been 7 months and I feel behind
So I guess I’m looking for advice on getting back on track, staying strong, building will power which I’ve never really had. Something to tell myself to keep from the cookies my brother brings home. 
Or, some commiseration.</t>
        </is>
      </c>
      <c r="D6003" t="n">
        <v>1</v>
      </c>
      <c r="E6003" t="n">
        <v>6</v>
      </c>
      <c r="F6003">
        <f>HYPERLINK("https://www.reddit.com/r/diabetes/comments/aiutzm/looking_for_support_after_the_holidays/")</f>
        <v/>
      </c>
      <c r="G6003" t="inlineStr">
        <is>
          <t>2019-01-22 18:28:37</t>
        </is>
      </c>
      <c r="H6003" t="inlineStr">
        <is>
          <t>Type 2</t>
        </is>
      </c>
    </row>
    <row r="6004">
      <c r="A6004" t="inlineStr">
        <is>
          <t>aiv0et</t>
        </is>
      </c>
      <c r="B6004" t="inlineStr">
        <is>
          <t>xdrip and g6 help</t>
        </is>
      </c>
      <c r="C6004" t="inlineStr">
        <is>
          <t>Hi, 
I just installed xdrip+ to restart a sensor that just expired. It's asking for the initial 4 digit code, but I threw that out and don't remember it. Is there any way around this?</t>
        </is>
      </c>
      <c r="D6004" t="n">
        <v>1</v>
      </c>
      <c r="E6004" t="n">
        <v>0</v>
      </c>
      <c r="F6004">
        <f>HYPERLINK("https://www.reddit.com/r/diabetes/comments/aiv0et/xdrip_and_g6_help/")</f>
        <v/>
      </c>
      <c r="G6004" t="inlineStr">
        <is>
          <t>2019-01-22 18:48:06</t>
        </is>
      </c>
      <c r="H6004" t="inlineStr">
        <is>
          <t>Type 1</t>
        </is>
      </c>
    </row>
    <row r="6005">
      <c r="A6005" t="inlineStr">
        <is>
          <t>aiv2i6</t>
        </is>
      </c>
      <c r="B6005" t="inlineStr">
        <is>
          <t>Some Angry Venting</t>
        </is>
      </c>
      <c r="C6005" t="inlineStr">
        <is>
          <t>I'm 19, and I've had T1D since the age of 5. I hope that whoever is reading this doesn't think I'm a complete psychopath, just worked up and this seems the best place to vent. 
&amp;amp;#x200B;
I found this thread and after reading my first post I thought, maybe I'll finally find something in common with others as I have never met another Type 1 diabetic. I've been scrolling through for a while now, and I'm just seemingly becoming more upset (although I finally can relate to someone).
&amp;amp;#x200B;
Diabetes has to be one of the must frustrating things in the world, at least looking at it from the inside. It's this bullshit disease that is ungodly annoying. There is no winning against it. There isn't a road to recovery. It just exists. It affects every single little thing you do. I wake up in the morning, and I'm worried about what my BG is. I go to work, better make sure I pack extra snacks and something in case my sugar drops. I also have to make sure I have additional supplies, because when do things ever work the way they're supposed to? I'm getting ready for bed? I have to make sure everything is working correctly. I feel as if there isn't a single fucking thing in the world I can do where diabetes isn't considered somewhere in the process. It's like a tiny asterisk on every single thing. It feels like the smallest things just keep adding and adding into a mountain of shit. 
&amp;amp;#x200B;
I feel like I'm a step behind everyone else in the world. It takes me an extra minute to prepare for a meal, an extra minute to get things ready. It takes me an extra minute before I go do physical activity. It takes me an extra minute before I get in the shower. It takes me an extra minute before I commit to any single action ever. There isn't a break. I can't take even 1 day every 3 or 5 years and just BE NORMAL. I guess the worst part is there isn't anything I can do other than just maintain. I can only improve my A1C so much. I can eat the perfect foods and still have bad days.
&amp;amp;#x200B;
As a final note, I do understand that other people have it much worse, and I try to use that as some perspective. I do not mean to take anything away from other people and any problems they might have, this is just mine. On my good days, sometimes I am thankful this is all I have to endure and deal with. On my bad days, well, here it is. 
&amp;amp;#x200B;
Thank you for letting me vent, and I'm sorry if this seems all over the place.</t>
        </is>
      </c>
      <c r="D6005" t="n">
        <v>1</v>
      </c>
      <c r="E6005" t="n">
        <v>9</v>
      </c>
      <c r="F6005">
        <f>HYPERLINK("https://www.reddit.com/r/diabetes/comments/aiv2i6/some_angry_venting/")</f>
        <v/>
      </c>
      <c r="G6005" t="inlineStr">
        <is>
          <t>2019-01-22 18:54:32</t>
        </is>
      </c>
      <c r="H6005" t="inlineStr">
        <is>
          <t>Type 1</t>
        </is>
      </c>
    </row>
    <row r="6006">
      <c r="A6006" t="inlineStr">
        <is>
          <t>aivme4</t>
        </is>
      </c>
      <c r="B6006" t="inlineStr">
        <is>
          <t>T1D But Possible LADA?</t>
        </is>
      </c>
      <c r="C6006" t="inlineStr">
        <is>
          <t xml:space="preserve">Alright ladies and gentleman. This will probably be a wall of text so I apologize. 
August of 2016 I was diagnosed as Type 1 diabetic at the age of 22. Fasting blood glucose was 256 and my A1C was 10.2. I tested positive for both islet cells and GAD which confirmed it was auto immune. Not full on important now, but will be later, my C Peptide value was considered normal. Was told this was because of a honeymoon phase and that there was no telling how long that would last. 
Initial treatment was 8 units of Lantus and do my best to eat low carb. For the next few months I was able to manage my sugars pretty well but eventually started to have some concerning spikes. Endo finally decided it was time to start meal time insulin so I began a 1:10 ratio of Novolog. 
Between then and now, my A1C has hovered around 5.6.  I have had to make adjustments to my insulin requirements as expected. Currently doing 24 units of Basaglar and around a 1:6 ratio of Novolog. 
Main reason I am making this post is because I am now almost 2.5 years post diagnosis and my honeymoon is still going strong. Yes, I’ve had to increase my insulin requirements which was to be expected, but I still have weird things that prove just how much pancreatic function I still have. 
Case in point. A few weeks ago I had forgotten to take my 24 units of Basaglar. I didn’t realize it until the following evening when I went to do the injection. I have one of the lids that keep track of last dosage time and resets when you take it off. The lid showed 48 hours. At that point in time I specifically remembered not doing it because I was side tracked taking care of my sick child. To my amazement though, my blood sugar was completely stable that day. (I have a Dexcom) Now I know if many of you made this same mistake, your sugar would have skyrocketed pretty quickly. My only explanation for this is that my honeymoon is strong enough that my pancreas was able to take care of the baseline insulin requirements. 
Now before you say I might just be forgetting that I took the insulin (I’m not happy to admit this) but this had happened a couple times before. Each with the same outcome. 
The part of all this that really stumps me is why do I not go low when I take my normal dose of insulin? From my understanding, a pancreas doesn’t have an on and off switch. Why is it that my sugar remains stable while injecting 24 units of Basaglar but also stays stable when I forget to take it completely? 
I would like to note, this phenomenon doesn’t apply to meal time insulin. I’ve never forgotten meal time insulin but when I under calculate a dose, I find out the hard way. But I do want to note, I have never seen a value on my Dexcom higher than 315. (Bad incident with pizza) 
All in all, I feel like I have diabetes with training wheels on. My sugars aren’t at all as volatile as what I see on this sub reddit. Yes I get high blood sugars, but it seems to not be as severe as what I see here. 
About 6 months ago my endo re tested my c peptides again and the value came back as the same it was 2.5 years ago. I had discussed the possibility of me having LADA and she said she wasn’t concerned in determining that because my treatment would be the same regardless. I agreed with that reasoning so I didn’t push the issue. 
My real question is, those of you who have confirmed LADA, have you experienced similar things as I have discussed? My endo had originally told me I should be happy if my honeymoon lasted an entire year. It’s been 2.5 and seems it’s still going pretty strong. Am I just a weird case or is an extended honeymoon phase common with LADA? Any feedback would be greatly appreciated.
This post was written and formatted on a phone so I apologize to any PC users! 
</t>
        </is>
      </c>
      <c r="D6006" t="n">
        <v>1</v>
      </c>
      <c r="E6006" t="n">
        <v>3</v>
      </c>
      <c r="F6006">
        <f>HYPERLINK("https://www.reddit.com/r/diabetes/comments/aivme4/t1d_but_possible_lada/")</f>
        <v/>
      </c>
      <c r="G6006" t="inlineStr">
        <is>
          <t>2019-01-22 19:56:01</t>
        </is>
      </c>
      <c r="H6006" t="inlineStr">
        <is>
          <t>Type 1.5/LADA</t>
        </is>
      </c>
    </row>
    <row r="6007">
      <c r="A6007" t="inlineStr">
        <is>
          <t>aiwcos</t>
        </is>
      </c>
      <c r="B6007" t="inlineStr">
        <is>
          <t>I:C ratio seems too low?</t>
        </is>
      </c>
      <c r="C6007" t="inlineStr">
        <is>
          <t>Hey all, 
&amp;amp;#x200B;
I've only been diagnosed as T1 for 3 months, and I have been struggling to find a ratio that works for me. I'm currently at 1:5 for breakfast/lunch, but even then it seems like it is not enough on some days. I've talked with my endo about this, and she seemed perplexed by my ratio. I only take 7units of lantus at night and judging by my stable readings through the night, she doesn't want me increasing my basal. 
She wants me to go back to a ratio of 10:1 or breakfast, 12:1 for lunch and 15:1 for dinner and thought that maybe the places I was injection (along my thighs) did not have enough fat and might have caused the insulin to be absorbed and used too fast. She suggested that I should try injecting into the stomach to see what happens. I'm willing to give this a go, but I have enough fat on my thighs to know that I don't think that's the issue? 
&amp;amp;#x200B;</t>
        </is>
      </c>
      <c r="D6007" t="n">
        <v>1</v>
      </c>
      <c r="E6007" t="n">
        <v>7</v>
      </c>
      <c r="F6007">
        <f>HYPERLINK("https://www.reddit.com/r/diabetes/comments/aiwcos/ic_ratio_seems_too_low/")</f>
        <v/>
      </c>
      <c r="G6007" t="inlineStr">
        <is>
          <t>2019-01-22 21:22:36</t>
        </is>
      </c>
      <c r="H6007" t="inlineStr">
        <is>
          <t>Type 1</t>
        </is>
      </c>
    </row>
    <row r="6008">
      <c r="A6008" t="inlineStr">
        <is>
          <t>aixzw8</t>
        </is>
      </c>
      <c r="B6008" t="inlineStr">
        <is>
          <t>Running highs after work out</t>
        </is>
      </c>
      <c r="C6008" t="inlineStr">
        <is>
          <t>So I've been lifting lately. Typically it's the low I have to worry about. But sometimes when exercising I start slight high (180) and then today when I finished my routine I was at 275!! 
I think I had simply just ate too many carbs and injected too little before my work out. 
But what do you who have more experience think? 
(I'm type 1)</t>
        </is>
      </c>
      <c r="D6008" t="n">
        <v>1</v>
      </c>
      <c r="E6008" t="n">
        <v>4</v>
      </c>
      <c r="F6008">
        <f>HYPERLINK("https://www.reddit.com/r/diabetes/comments/aixzw8/running_highs_after_work_out/")</f>
        <v/>
      </c>
      <c r="G6008" t="inlineStr">
        <is>
          <t>2019-01-23 01:26:14</t>
        </is>
      </c>
      <c r="H6008" t="inlineStr">
        <is>
          <t>Type 1</t>
        </is>
      </c>
    </row>
    <row r="6009">
      <c r="A6009" t="inlineStr">
        <is>
          <t>aj0y6d</t>
        </is>
      </c>
      <c r="B6009" t="inlineStr">
        <is>
          <t>Is it okay to take a Chromium/Vanadium complex with insulin?</t>
        </is>
      </c>
      <c r="C6009" t="inlineStr">
        <is>
          <t>For those of you who have taken this, did you see an improvement? What dosage are you taking and how long did it take for you to notice a positive change?</t>
        </is>
      </c>
      <c r="D6009" t="n">
        <v>1</v>
      </c>
      <c r="E6009" t="n">
        <v>1</v>
      </c>
      <c r="F6009">
        <f>HYPERLINK("https://www.reddit.com/r/diabetes/comments/aj0y6d/is_it_okay_to_take_a_chromiumvanadium_complex/")</f>
        <v/>
      </c>
      <c r="G6009" t="inlineStr">
        <is>
          <t>2019-01-23 07:43:39</t>
        </is>
      </c>
      <c r="H6009" t="inlineStr">
        <is>
          <t>Type 2</t>
        </is>
      </c>
    </row>
    <row r="6010">
      <c r="A6010" t="inlineStr">
        <is>
          <t>aj35d4</t>
        </is>
      </c>
      <c r="B6010" t="inlineStr">
        <is>
          <t>Statin ??</t>
        </is>
      </c>
      <c r="C6010" t="inlineStr">
        <is>
          <t>Hey all,
&amp;amp;#x200B;
I recently went for a blood test and the results of my lipid tests came back as "borderline high" for LDL. I am pretty young - 28. I have had T1 for about 5 years now. I'm pretty lean and eat decently healthy I guess - but high cholesterol tends to run in my family. My doc has prescribed a statin for me. I just feel too young (both in age and length of time having T1) to start taking cholesterol meds. For some reason I feel embarrassed/ guilty about being in the "borderline high" region.   I want to hold off for now, up my exercise and see if that will impact my cholesterol. 
&amp;amp;#x200B;
What are people's thoughts on statins? Any young T1 diabetics on statins???</t>
        </is>
      </c>
      <c r="D6010" t="n">
        <v>1</v>
      </c>
      <c r="E6010" t="n">
        <v>12</v>
      </c>
      <c r="F6010">
        <f>HYPERLINK("https://www.reddit.com/r/diabetes/comments/aj35d4/statin/")</f>
        <v/>
      </c>
      <c r="G6010" t="inlineStr">
        <is>
          <t>2019-01-23 11:03:51</t>
        </is>
      </c>
      <c r="H6010" t="inlineStr">
        <is>
          <t>Type 1</t>
        </is>
      </c>
    </row>
    <row r="6011">
      <c r="A6011" t="inlineStr">
        <is>
          <t>aj38d1</t>
        </is>
      </c>
      <c r="B6011" t="inlineStr">
        <is>
          <t>A1c went from 6.4 to 4.8 in three months</t>
        </is>
      </c>
      <c r="C6011" t="inlineStr">
        <is>
          <t>And I lost 22 pounds so I’m happy. Just wanted to share 😀🙂</t>
        </is>
      </c>
      <c r="D6011" t="n">
        <v>1</v>
      </c>
      <c r="E6011" t="n">
        <v>17</v>
      </c>
      <c r="F6011">
        <f>HYPERLINK("https://www.reddit.com/r/diabetes/comments/aj38d1/a1c_went_from_64_to_48_in_three_months/")</f>
        <v/>
      </c>
      <c r="G6011" t="inlineStr">
        <is>
          <t>2019-01-23 11:11:08</t>
        </is>
      </c>
      <c r="H6011" t="inlineStr">
        <is>
          <t>Type 2</t>
        </is>
      </c>
    </row>
    <row r="6012">
      <c r="A6012" t="inlineStr">
        <is>
          <t>aj3hfh</t>
        </is>
      </c>
      <c r="B6012" t="inlineStr">
        <is>
          <t>Anyone here dealing with IBS ?</t>
        </is>
      </c>
      <c r="C6012" t="inlineStr">
        <is>
          <t>Hello,
&amp;amp;#x200B;
 anyone here dealing with IBS ?
I have been type 1 for 23 years. For last 6 months I have been having gastrointestinal problems. It all started with stomach infection. It includes pain under left ribs, bloating, excessive gas, bowel movements, undigested food in the stool and sometimes  constipation. 
I have been tested for lactose and gluten intolerance - all negative. CRP in blood is normal. I have had also stool sample tested - only calprotectin was increased. I had colonoscopy and gastroscopy done - all negative. So doctors thinks it is IBS started by stomach infection I had. And told me to use probiotics and pancreatic enzyme creon. And also to change my diet - to find out which food is causing me problems.
&amp;amp;#x200B;
The thing is I am on FODMAP elimination phase second month and almost everything I eat is causing me problems. Only thing that is helping me are magnesium tablets which reliefs pain under left ribs. I have tried many different probiotics with no help at all. 
&amp;amp;#x200B;
The other problem is that I am not able to stabilize my blood sugar. Whether I eat something, sometimes my guts are so slow, that insulin kicks in and food is not being digested, so my blood sugar is going rapidly down. Then after two or three hours gut is starting to work slowly and my blood sugar is going up. The problem is it happens randomly, so I can not know whether what I eat will be digested now or later.. Even with CGM and insulin pump is almost impossible to stabilize. I have to eat small amount of food every hour or very often to somehow avoid this, but that not always solution.
&amp;amp;#x200B;
Anyone dealing with IBS and T1 diabetes have any tips for me?</t>
        </is>
      </c>
      <c r="D6012" t="n">
        <v>1</v>
      </c>
      <c r="E6012" t="n">
        <v>2</v>
      </c>
      <c r="F6012">
        <f>HYPERLINK("https://www.reddit.com/r/diabetes/comments/aj3hfh/anyone_here_dealing_with_ibs/")</f>
        <v/>
      </c>
      <c r="G6012" t="inlineStr">
        <is>
          <t>2019-01-23 11:33:47</t>
        </is>
      </c>
      <c r="H6012" t="inlineStr">
        <is>
          <t>Type 1</t>
        </is>
      </c>
    </row>
    <row r="6013">
      <c r="A6013" t="inlineStr">
        <is>
          <t>aj4w8y</t>
        </is>
      </c>
      <c r="B6013" t="inlineStr">
        <is>
          <t>How many others have never been in DKA, even at diagnosis?</t>
        </is>
      </c>
      <c r="C6013" t="inlineStr">
        <is>
          <t>Just a general question, and I want to make it clear I’m not trying to brag or say that my control has always been perfect and that’s why I’ve never been in DKA. I am curious, however, as to how many others have never experienced it and why that might be.
When I was diagnosed I was 9, and my schoolteacher’s son had diabetes so she suggested my parents get me checked out when she noticed I had some early symptoms (thirst and frequent urination) - as a result my blood sugar was ‘only’ 16.7 when I was diagnosed and I was mostly ok. So I never experienced it at diagnosis.
In the 12 years since, I have had some high blood sugars but mostly when I was a kid. I remember my blood sugar going as high as 30+ and even HI at times, sometimes staying there for a good few hours. But, I don’t remember feeling any physical symptoms - in fact, I just remember feeling very energetic. 
So basically, is this unusual to have experienced extremely high blood sugars but never been anywhere close to DKA? Am I just lucky? Thank you.</t>
        </is>
      </c>
      <c r="D6013" t="n">
        <v>1</v>
      </c>
      <c r="E6013" t="n">
        <v>16</v>
      </c>
      <c r="F6013">
        <f>HYPERLINK("https://www.reddit.com/r/diabetes/comments/aj4w8y/how_many_others_have_never_been_in_dka_even_at/")</f>
        <v/>
      </c>
      <c r="G6013" t="inlineStr">
        <is>
          <t>2019-01-23 13:41:24</t>
        </is>
      </c>
      <c r="H6013" t="inlineStr">
        <is>
          <t>Type 1</t>
        </is>
      </c>
    </row>
    <row r="6014">
      <c r="A6014" t="inlineStr">
        <is>
          <t>aj4ymp</t>
        </is>
      </c>
      <c r="B6014" t="inlineStr">
        <is>
          <t>diabetic retinopathy questions...</t>
        </is>
      </c>
      <c r="C6014" t="inlineStr">
        <is>
          <t>Greetings.  
I have been a type 1 diabetic for 23 years.  I take shots and my A1Cs have always been around 7.  I have never had any complications until my last eye exam.
In one of my eyes, there was a small spot of blood that the ophthalmologist showed me.  He said it was diabetic retinopathy, but basically the smallest amount you could have.  I arranged to have it checked again in 6 months.  
Have any of you had something like this?  What ended up happening?  What was the disease progression and timeline?  If I altered my treatment algorithm do you think it would help?  I have always had relatively decent, but not super strict, control.  
Also one of my eyes has been feeling like there is something scratching it, but this might be unrelated.  
Any insight would be great.  Thanks!</t>
        </is>
      </c>
      <c r="D6014" t="n">
        <v>1</v>
      </c>
      <c r="E6014" t="n">
        <v>10</v>
      </c>
      <c r="F6014">
        <f>HYPERLINK("https://www.reddit.com/r/diabetes/comments/aj4ymp/diabetic_retinopathy_questions/")</f>
        <v/>
      </c>
      <c r="G6014" t="inlineStr">
        <is>
          <t>2019-01-23 13:47:25</t>
        </is>
      </c>
      <c r="H6014" t="inlineStr">
        <is>
          <t>Type 1</t>
        </is>
      </c>
    </row>
    <row r="6015">
      <c r="A6015" t="inlineStr">
        <is>
          <t>aj5pfr</t>
        </is>
      </c>
      <c r="B6015" t="inlineStr">
        <is>
          <t>Bleeding after Dexcom G5 insertion?</t>
        </is>
      </c>
      <c r="C6015" t="inlineStr">
        <is>
          <t xml:space="preserve">I’ve been wearing the sensors for about 2 months now and never had this happen. Most of the time it will be uncomfortable while inserting, but feels fine a few minutes after. When I went to insert the new sensor (into my stomach) it was far more painful then normal, to the point where I started sweating and getting nauseous. I noticed that I was also bleeding a little under the sensor. Should I take it off or is it okay to continue wearing? It doesn’t feeling painful anymore and I think the bleeding has stopped. </t>
        </is>
      </c>
      <c r="D6015" t="n">
        <v>1</v>
      </c>
      <c r="E6015" t="n">
        <v>2</v>
      </c>
      <c r="F6015">
        <f>HYPERLINK("https://www.reddit.com/r/diabetes/comments/aj5pfr/bleeding_after_dexcom_g5_insertion/")</f>
        <v/>
      </c>
      <c r="G6015" t="inlineStr">
        <is>
          <t>2019-01-23 14:57:39</t>
        </is>
      </c>
      <c r="H6015" t="inlineStr">
        <is>
          <t>Type 1</t>
        </is>
      </c>
    </row>
    <row r="6016">
      <c r="A6016" t="inlineStr">
        <is>
          <t>aj6jaq</t>
        </is>
      </c>
      <c r="B6016" t="inlineStr">
        <is>
          <t>Diagnosed 3 weeks ago, we still have no clue what’s going on</t>
        </is>
      </c>
      <c r="C6016" t="inlineStr">
        <is>
          <t xml:space="preserve">I went into the doctor after my grandma (t2) noticed I had lost a huge amount of weight, 70 lbs in 6 months. 
The doctor tested my A1C which came back 14 
This led to my first endo to believe I’m type 2
At the same time they did a whole bunch of bloodwork and when that came back I was positive for the type 1 antibodies 
For unrelated reason I had to change endo’s and we still aren’t sure what’s going on with me, his plan is to treat things as type 1, 
So far my blood sugar has been pretty high, fasting sugar hanging around the 230 range, and it usually goes up to 350-450 after meals
I’d love any advice people can give me and if you want to know anything else, let me know </t>
        </is>
      </c>
      <c r="D6016" t="n">
        <v>1</v>
      </c>
      <c r="E6016" t="n">
        <v>7</v>
      </c>
      <c r="F6016">
        <f>HYPERLINK("https://www.reddit.com/r/diabetes/comments/aj6jaq/diagnosed_3_weeks_ago_we_still_have_no_clue_whats/")</f>
        <v/>
      </c>
      <c r="G6016" t="inlineStr">
        <is>
          <t>2019-01-23 16:23:31</t>
        </is>
      </c>
      <c r="H6016" t="inlineStr">
        <is>
          <t>Type 1</t>
        </is>
      </c>
    </row>
    <row r="6017">
      <c r="A6017" t="inlineStr">
        <is>
          <t>aj9z63</t>
        </is>
      </c>
      <c r="B6017" t="inlineStr">
        <is>
          <t>High Ketones</t>
        </is>
      </c>
      <c r="C6017" t="inlineStr">
        <is>
          <t>If high ketones are present in urine, does one immediately go to the ER?</t>
        </is>
      </c>
      <c r="D6017" t="n">
        <v>1</v>
      </c>
      <c r="E6017" t="n">
        <v>6</v>
      </c>
      <c r="F6017">
        <f>HYPERLINK("https://www.reddit.com/r/diabetes/comments/aj9z63/high_ketones/")</f>
        <v/>
      </c>
      <c r="G6017" t="inlineStr">
        <is>
          <t>2019-01-23 23:14:49</t>
        </is>
      </c>
      <c r="H6017" t="inlineStr">
        <is>
          <t>Type 1</t>
        </is>
      </c>
    </row>
    <row r="6018">
      <c r="A6018" t="inlineStr">
        <is>
          <t>ajaidi</t>
        </is>
      </c>
      <c r="B6018" t="inlineStr">
        <is>
          <t>Issues with Tandem Tslim X2 pump not charging?</t>
        </is>
      </c>
      <c r="C6018" t="inlineStr">
        <is>
          <t>Hello everyone!
I'm running into a problem with my insulin pump charging and figured I'd post here and see if anyone else has experienced similar issues.
I currently use the Tandem Tslim X2 insulin pump and have had this pump since about October of 2017 if I remember correctly (so roughly a year.) Tonight I plugged it in to charge and the battery drained from 30% to 5%. I thought that was weird, but it was plugged in to charge any way so I hoped the issue would work itself out. Long story short, it stayed stuck at 5% battery (despite being plugged in to charge the whole time) for a solid 30 minutes. Eventually it started to charge, but at a much slower speed than normal. I got it to charge to about 45% before it started giving me power source errors constantly. I wasn't charging it any different than normal (using the charging cord and charging block that came with the pump plugged directly into the wall, not using an extension cord or anything) so I know the power source is indeed strong enough to charge the pump. I tried to get the pump to continue charging, but gave up because it became clear it wasn't going to charge further.
Anyway, has anyone else run in to this issue? I'm sure I'll have to call Tandem in the morning and have them send a replacement pump, but I was just curious if anyone else has had experience with this issue.
Thanks!</t>
        </is>
      </c>
      <c r="D6018" t="n">
        <v>1</v>
      </c>
      <c r="E6018" t="n">
        <v>5</v>
      </c>
      <c r="F6018">
        <f>HYPERLINK("https://www.reddit.com/r/diabetes/comments/ajaidi/issues_with_tandem_tslim_x2_pump_not_charging/")</f>
        <v/>
      </c>
      <c r="G6018" t="inlineStr">
        <is>
          <t>2019-01-24 00:44:40</t>
        </is>
      </c>
      <c r="H6018" t="inlineStr">
        <is>
          <t>Type 1</t>
        </is>
      </c>
    </row>
    <row r="6019">
      <c r="A6019" t="inlineStr">
        <is>
          <t>ajaux1</t>
        </is>
      </c>
      <c r="B6019" t="inlineStr">
        <is>
          <t>Freestyle libre on legs?</t>
        </is>
      </c>
      <c r="C6019" t="inlineStr">
        <is>
          <t xml:space="preserve">I’ve spoken to my clinic about obtaining one, and should be starting on it on Monday. 
However I’ve never liked the pump because I don’t like tube or anything showing physically I’m a diabetic. 
I’m pretty athletic person, BUT now my question is..
Can you place the sensors on your legs? Thighs, perhaps above knee? 
I’ve read somewhere it’s only approved for arm use,  but does anyone on here regularly apply to their legs? I certainly would prefer that a lot more. </t>
        </is>
      </c>
      <c r="D6019" t="n">
        <v>1</v>
      </c>
      <c r="E6019" t="n">
        <v>1</v>
      </c>
      <c r="F6019">
        <f>HYPERLINK("https://www.reddit.com/r/diabetes/comments/ajaux1/freestyle_libre_on_legs/")</f>
        <v/>
      </c>
      <c r="G6019" t="inlineStr">
        <is>
          <t>2019-01-24 01:43:41</t>
        </is>
      </c>
      <c r="H6019" t="inlineStr">
        <is>
          <t>Type 1</t>
        </is>
      </c>
    </row>
    <row r="6020">
      <c r="A6020" t="inlineStr">
        <is>
          <t>ajj59h</t>
        </is>
      </c>
      <c r="B6020" t="inlineStr">
        <is>
          <t>Test strips make handy bookmarks</t>
        </is>
      </c>
      <c r="C6020" t="inlineStr">
        <is>
          <t>Unused of course</t>
        </is>
      </c>
      <c r="D6020" t="n">
        <v>1</v>
      </c>
      <c r="E6020" t="n">
        <v>1</v>
      </c>
      <c r="F6020">
        <f>HYPERLINK("https://www.reddit.com/r/diabetes/comments/ajj59h/test_strips_make_handy_bookmarks/")</f>
        <v/>
      </c>
      <c r="G6020" t="inlineStr">
        <is>
          <t>2019-01-24 16:16:14</t>
        </is>
      </c>
      <c r="H6020" t="inlineStr">
        <is>
          <t>Type 1</t>
        </is>
      </c>
    </row>
    <row r="6021">
      <c r="A6021" t="inlineStr">
        <is>
          <t>ajoi8h</t>
        </is>
      </c>
      <c r="B6021" t="inlineStr">
        <is>
          <t>10 YEAR DIAVERSARY!!!</t>
        </is>
      </c>
      <c r="C6021" t="inlineStr">
        <is>
          <t>Here's to another 5 years...</t>
        </is>
      </c>
      <c r="D6021" t="n">
        <v>1</v>
      </c>
      <c r="E6021" t="n">
        <v>3</v>
      </c>
      <c r="F6021">
        <f>HYPERLINK("https://www.reddit.com/r/diabetes/comments/ajoi8h/10_year_diaversary/")</f>
        <v/>
      </c>
      <c r="G6021" t="inlineStr">
        <is>
          <t>2019-01-25 04:22:49</t>
        </is>
      </c>
      <c r="H6021" t="inlineStr">
        <is>
          <t>Type 1</t>
        </is>
      </c>
    </row>
    <row r="6022">
      <c r="A6022" t="inlineStr">
        <is>
          <t>ajqdux</t>
        </is>
      </c>
      <c r="B6022" t="inlineStr">
        <is>
          <t>Type 1 Diabetes NJ and Government Shutdown</t>
        </is>
      </c>
      <c r="C6022" t="inlineStr">
        <is>
          <t xml:space="preserve">Hey,
Not sure if this is allowed, but I know a lot of government employees are struggling with the shutdown. If you are an diabetic government employee and live in north jersey, I have a spare vial of Humalog to give if you can come pick it up. I think it's horrible that people have to ration their meds so please let me know if you need help. Please note, I will need you to prove that you are a Government employee. </t>
        </is>
      </c>
      <c r="D6022" t="n">
        <v>1</v>
      </c>
      <c r="E6022" t="n">
        <v>8</v>
      </c>
      <c r="F6022">
        <f>HYPERLINK("https://www.reddit.com/r/diabetes/comments/ajqdux/type_1_diabetes_nj_and_government_shutdown/")</f>
        <v/>
      </c>
      <c r="G6022" t="inlineStr">
        <is>
          <t>2019-01-25 07:56:43</t>
        </is>
      </c>
      <c r="H6022" t="inlineStr">
        <is>
          <t>Type 1</t>
        </is>
      </c>
    </row>
    <row r="6023">
      <c r="A6023" t="inlineStr">
        <is>
          <t>ajti6l</t>
        </is>
      </c>
      <c r="B6023" t="inlineStr">
        <is>
          <t>Dear Diabetes,</t>
        </is>
      </c>
      <c r="C6023" t="inlineStr">
        <is>
          <t xml:space="preserve">I wouldn’t wish you on my worst enemy. I wouldn’t put the pain, the suffering, the carb counting, the endless amounts of shots, and pricks to the finger on anyone. 
Some days i wonder, “why me?” But then i think, “I wouldn’t want it to be anyone else.” I know people get diagnosed with diabetes every day, and I wish I could let every single person know that it WILL be okay. That it doesn’t haven’t to define you, or change you, or make you feel worse about yourself. 
I wouldn’t put the financial burden on anyone else, I wouldn’t put the shitty “low” days on anyone else, and i sure as hell wouldn’t put the “high” days on anyone. It sucks. It sucks to go through every single day KNOWING there isn’t a cure for it, yet. It sucks waking up some days with that perfect 80 blood sugar, but waking up another day to a 588 blood sugar. It sucks always having to make sure you have the right amount of insulin for every little thing that you eat or drink. 
I know that now, they have a lot of different technology to help us diabetics, a lot of ways to make it easier on us, but some days, that’s just not enough. Some days I wanna feel like a “regular” person. Some days I just wanna remember what it felt like before i was diagnosed and was able to eat what i wanted, drink what i wanted, stay at someone’s house without them being scared something would happen to me in my sleep. I wish I didn’t have to worry about kidney problems, thyroid problems, blindness, and the countless other things that come with not taking care of yourself. Just for ONE day, i would like to not be a diabetic....
I know this post is all over the place, because i have a TON on my mind. I just needed to rant to get it off my mind for a bit. To explain how i’m feeling right now, in this moment. I’ve [22F] been a diabetic for 14 years. It never gets easier, but I know that i’ll be OKAY. It sucks not having anyone around me who is a diabetic and understand how it feels to have those bad days, so thank you to this subreddit for listening to how i’m feeling..
</t>
        </is>
      </c>
      <c r="D6023" t="n">
        <v>1</v>
      </c>
      <c r="E6023" t="n">
        <v>35</v>
      </c>
      <c r="F6023">
        <f>HYPERLINK("https://www.reddit.com/r/diabetes/comments/ajti6l/dear_diabetes/")</f>
        <v/>
      </c>
      <c r="G6023" t="inlineStr">
        <is>
          <t>2019-01-25 12:53:56</t>
        </is>
      </c>
      <c r="H6023" t="inlineStr">
        <is>
          <t>Type 1</t>
        </is>
      </c>
    </row>
    <row r="6024">
      <c r="A6024" t="inlineStr">
        <is>
          <t>ajuq8x</t>
        </is>
      </c>
      <c r="B6024" t="inlineStr">
        <is>
          <t>Dawn phenomenon - tips?</t>
        </is>
      </c>
      <c r="C6024" t="inlineStr">
        <is>
          <t>I have only recently learned about the dawn phenomenon, and it seems to fit what I experience almost every morning. I go to sleep with normal BG (above 5 or 6 "just to be sure") and inject Lantus around that time, and when I wake up I'm (almost) always high (BG \~11) and going up.
&amp;amp;#x200B;
Now it's my third day on Freestyle Libre so I finally can see much more clearly what my body does during the night, so at least I have that (yayy)
&amp;amp;#x200B;
The thing is, I wake up late, around 9 to 10. (Working remotely from home for a company that's in another timezone - what can I say.) I also go to sleep late (midnight at earliest). But my body seems to ignore that and just starts pumping BG up around 6 to 8 AM, so when I get up, it's already late. I don't know if I should adjust my sleep schedule to wake up earlier to combat this, or do something different about my Lantus shots (I've read people try to do 1/2 before sleep and 1/2 in the morning), or what.
&amp;amp;#x200B;
What do you think? Are there things worth trying? Should I wait and collect more data with Libre before I try anything? What has worked for you?</t>
        </is>
      </c>
      <c r="D6024" t="n">
        <v>1</v>
      </c>
      <c r="E6024" t="n">
        <v>7</v>
      </c>
      <c r="F6024">
        <f>HYPERLINK("https://www.reddit.com/r/diabetes/comments/ajuq8x/dawn_phenomenon_tips/")</f>
        <v/>
      </c>
      <c r="G6024" t="inlineStr">
        <is>
          <t>2019-01-25 14:48:09</t>
        </is>
      </c>
      <c r="H6024" t="inlineStr">
        <is>
          <t>Type 1</t>
        </is>
      </c>
    </row>
    <row r="6025">
      <c r="A6025" t="inlineStr">
        <is>
          <t>ajws8l</t>
        </is>
      </c>
      <c r="B6025" t="inlineStr">
        <is>
          <t>Omnipod Dash is getting closer</t>
        </is>
      </c>
      <c r="C6025" t="inlineStr">
        <is>
          <t>I’m trolling the app stores and they now have a demo app on how to use the new PDM for the Dash. This wasn’t up last week so I’m calling it progress on the release of the Dash. Can’t wait!!!!
Looks to have some neat features. So looking forward to a modern device.</t>
        </is>
      </c>
      <c r="D6025" t="n">
        <v>1</v>
      </c>
      <c r="E6025" t="n">
        <v>5</v>
      </c>
      <c r="F6025">
        <f>HYPERLINK("https://www.reddit.com/r/diabetes/comments/ajws8l/omnipod_dash_is_getting_closer/")</f>
        <v/>
      </c>
      <c r="G6025" t="inlineStr">
        <is>
          <t>2019-01-25 18:33:09</t>
        </is>
      </c>
      <c r="H6025" t="inlineStr">
        <is>
          <t>Type 1</t>
        </is>
      </c>
    </row>
    <row r="6026">
      <c r="A6026" t="inlineStr">
        <is>
          <t>ajwvg5</t>
        </is>
      </c>
      <c r="B6026" t="inlineStr">
        <is>
          <t>I’m in a rut</t>
        </is>
      </c>
      <c r="C6026" t="inlineStr">
        <is>
          <t xml:space="preserve">Im 42 and was diagnosed T2 about 2 years ago.  When I was first diagnosed I started taking metformin, jumped right on board with a healthy diet and exercising and my blood sugar numbers quickly got under control.  Fast forward to now and I’m intentionally choosing foods I know I shouldn’t, drinking way too much and not taking my medication regularly and my blood sugars are now routinely in the 3-400s.  I know this is bad.  I know what I’m supposed to eat and how to exercise. I know what the consequences of my bad decisions are.   Even knowing these things I still consciously make bad decisions because As stupid as it sounds it just isn’t fair.  I love cooking and baking and showing my family love through food.  It’s what we do.  I know I shouldn’t care so much about food or drinking, but I do.  I’m so frustrated with this diagnosis and don’t know how to change my stupid line of thinking.  I feel deprived and angry when I think about all of the things I shouldn’t be doing anymore.  All the things that brought me happiness are now supposed to be off limits.  And it just fucking sucks.  </t>
        </is>
      </c>
      <c r="D6026" t="n">
        <v>1</v>
      </c>
      <c r="E6026" t="n">
        <v>7</v>
      </c>
      <c r="F6026">
        <f>HYPERLINK("https://www.reddit.com/r/diabetes/comments/ajwvg5/im_in_a_rut/")</f>
        <v/>
      </c>
      <c r="G6026" t="inlineStr">
        <is>
          <t>2019-01-25 18:44:10</t>
        </is>
      </c>
      <c r="H6026" t="inlineStr">
        <is>
          <t>Type 2</t>
        </is>
      </c>
    </row>
    <row r="6027">
      <c r="A6027" t="inlineStr">
        <is>
          <t>ajzw9c</t>
        </is>
      </c>
      <c r="B6027" t="inlineStr">
        <is>
          <t>My Mum (55 yrs old, obese) has just been diagnosed with Type 2 Diabetes and she’s freaked out about what she can/can’t eat. Are there any simple meal plans for Diabetics?</t>
        </is>
      </c>
      <c r="C6027" t="inlineStr">
        <is>
          <t xml:space="preserve">Not sure if this is the best place to ask but Reddit has always been really helpful with things I’ve got no idea about. Any advice would be appreciated. I know she must stay away from sugar and she has to exercise at least 30 mins per day, but what meals do diabetics often cook? She’s currently only eating chicken breast and steamed vegetables but I’m not sure what else is good for her. 
Thanks in advance! </t>
        </is>
      </c>
      <c r="D6027" t="n">
        <v>1</v>
      </c>
      <c r="E6027" t="n">
        <v>14</v>
      </c>
      <c r="F6027">
        <f>HYPERLINK("https://www.reddit.com/r/diabetes/comments/ajzw9c/my_mum_55_yrs_old_obese_has_just_been_diagnosed/")</f>
        <v/>
      </c>
      <c r="G6027" t="inlineStr">
        <is>
          <t>2019-01-26 02:42:28</t>
        </is>
      </c>
      <c r="H6027" t="inlineStr">
        <is>
          <t>Type 2</t>
        </is>
      </c>
    </row>
    <row r="6028">
      <c r="A6028" t="inlineStr">
        <is>
          <t>ak1ti7</t>
        </is>
      </c>
      <c r="B6028" t="inlineStr">
        <is>
          <t>What causes type 2 diabetes?</t>
        </is>
      </c>
      <c r="C6028" t="inlineStr">
        <is>
          <t xml:space="preserve">I've read so much on this topic and sadly, I'm still not clear on it.  I understand on the cellular level it has to do with insulin receptor sensitivity, but on a macro level, is it high intake of sugar or high intake of fat that causes diabetes?
I've heard both causes over and over.  </t>
        </is>
      </c>
      <c r="D6028" t="n">
        <v>1</v>
      </c>
      <c r="E6028" t="n">
        <v>14</v>
      </c>
      <c r="F6028">
        <f>HYPERLINK("https://www.reddit.com/r/diabetes/comments/ak1ti7/what_causes_type_2_diabetes/")</f>
        <v/>
      </c>
      <c r="G6028" t="inlineStr">
        <is>
          <t>2019-01-26 07:35:20</t>
        </is>
      </c>
      <c r="H6028" t="inlineStr">
        <is>
          <t>Type 2</t>
        </is>
      </c>
    </row>
    <row r="6029">
      <c r="A6029" t="inlineStr">
        <is>
          <t>ak2fts</t>
        </is>
      </c>
      <c r="B6029" t="inlineStr">
        <is>
          <t>Working out and Lantus</t>
        </is>
      </c>
      <c r="C6029" t="inlineStr">
        <is>
          <t xml:space="preserve">So I just started working out and I have been on a rollercoaster ride with my BG. I’m taking MDIs and have the DexcomG6. Basically my sugar drops constantly, I fix it, it spikes, and it drops again.
Or sometimes it spikes for too high and too long and my dumbass overcorrects and the rollercoaster starts over.
For the people with Type1 that workout... how did you you guys reduce/adjust your insulin dosages? Any tips and tricks to manage BG during the early phases of working out? Bc I feel like I’m just feeding the insulin constantly and it’s making working out pointless!! 
Btw- I’m taking 16 units of lantus, I reduced to 15 today and assuming I’ll have reduce it again? </t>
        </is>
      </c>
      <c r="D6029" t="n">
        <v>1</v>
      </c>
      <c r="E6029" t="n">
        <v>7</v>
      </c>
      <c r="F6029">
        <f>HYPERLINK("https://www.reddit.com/r/diabetes/comments/ak2fts/working_out_and_lantus/")</f>
        <v/>
      </c>
      <c r="G6029" t="inlineStr">
        <is>
          <t>2019-01-26 08:42:41</t>
        </is>
      </c>
      <c r="H6029" t="inlineStr">
        <is>
          <t>Type 1</t>
        </is>
      </c>
    </row>
    <row r="6030">
      <c r="A6030" t="inlineStr">
        <is>
          <t>akajpr</t>
        </is>
      </c>
      <c r="B6030" t="inlineStr">
        <is>
          <t>Afraid to start Trulicity</t>
        </is>
      </c>
      <c r="C6030" t="inlineStr">
        <is>
          <t xml:space="preserve">So I've been prescribed Trulicity and i'm terrified to take it. Honestly, I'm willing to deal with whatever (non life-threatening) side effects to get this thing under control, but i've read horror stories about nausea, vomiting, diarrhea, etc. with this drug. I would honestly be willing to deal with all of this if I could just stay home. I'm switching jobs soon and i'm pretty concerned that this drug is going to make me so sick that I can't go to work. Has anyone used this drug and NOT had horrible side-effects? There seems to be so many reporting these issues that i'm afraid it is just inevitable with this drug. How do take this drug and continue going to work? </t>
        </is>
      </c>
      <c r="D6030" t="n">
        <v>1</v>
      </c>
      <c r="E6030" t="n">
        <v>7</v>
      </c>
      <c r="F6030">
        <f>HYPERLINK("https://www.reddit.com/r/diabetes/comments/akajpr/afraid_to_start_trulicity/")</f>
        <v/>
      </c>
      <c r="G6030" t="inlineStr">
        <is>
          <t>2019-01-27 01:06:05</t>
        </is>
      </c>
      <c r="H6030" t="inlineStr">
        <is>
          <t>Type 2</t>
        </is>
      </c>
    </row>
    <row r="6031">
      <c r="A6031" t="inlineStr">
        <is>
          <t>akcsov</t>
        </is>
      </c>
      <c r="B6031" t="inlineStr">
        <is>
          <t>Reverse Diabetes and Chronic Kidney Disease (CKD)</t>
        </is>
      </c>
      <c r="C6031" t="inlineStr">
        <is>
          <t xml:space="preserve"> 
&amp;amp;#x200B;
[ Reverse Diabetes and Chronic Kidney Disease \(CKD\) ](https://i.redd.it/wr4cuug1fzc21.jpg)
An Epidemic of Chronic Kidney Disease (CKD) is upon us. At the rate its going, half of all U.S. adults 65 years and older will develop CKD. Two-thirds caused by some combination of diabetes and high blood pressure.
That doesn’t have to happen! The good news is that [Reversing Diabetes](https://www.diabetesriskalert.com/reverse-diabetes-improve-good-health-skill-every-day/) also Reverses CKD. Promptly treated, kidney failure can be reversed and end-stage renal disease delayed indefinitely. Read complete blog here [Reverse Diabetes and Chronic Kidney Disease](https://www.diabetesriskalert.com/telehealth-reverse-diabetes-and-chronic-kidney-disease-ckd-free-trial-in-texas/)</t>
        </is>
      </c>
      <c r="D6031" t="n">
        <v>1</v>
      </c>
      <c r="E6031" t="n">
        <v>5</v>
      </c>
      <c r="F6031">
        <f>HYPERLINK("https://www.reddit.com/r/diabetes/comments/akcsov/reverse_diabetes_and_chronic_kidney_disease_ckd/")</f>
        <v/>
      </c>
      <c r="G6031" t="inlineStr">
        <is>
          <t>2019-01-27 07:13:29</t>
        </is>
      </c>
      <c r="H6031" t="inlineStr">
        <is>
          <t>Type 2</t>
        </is>
      </c>
    </row>
    <row r="6032">
      <c r="A6032" t="inlineStr">
        <is>
          <t>akee13</t>
        </is>
      </c>
      <c r="B6032" t="inlineStr">
        <is>
          <t>Easiest Android watch + CGM setup?</t>
        </is>
      </c>
      <c r="C6032" t="inlineStr">
        <is>
          <t>I'm a recently diagnosed T1 (still honeymooning) using keto and frequent finger-stick testing to maintain tight control. I have some early complications (I suspect gastroparesis and PAD), and I'm hoping to stall or reverse these. Wondering if anyone could offer me some guidance on getting set up with the easiest CGM and Android watch pairing? I've tried researching in the archives, but tech gets updated, new code gets released, CGM/watches go out of production, etc. I have a meeting with a new endocrinologist tomorrow, and I'd like to talk about getting prescribed the CGM to help me maintain excellent control with a bit more ease.
I'm also an avid cyclist, and I can't wait to get back to riding 30-60 miles! (Just waiting on the seasons...) The idea of glancing at my wrist an hour after eating or even while on a ride is just... I'm in love with it. I gotta have it. Any assistance/tips would be wonderful!</t>
        </is>
      </c>
      <c r="D6032" t="n">
        <v>1</v>
      </c>
      <c r="E6032" t="n">
        <v>8</v>
      </c>
      <c r="F6032">
        <f>HYPERLINK("https://www.reddit.com/r/diabetes/comments/akee13/easiest_android_watch_cgm_setup/")</f>
        <v/>
      </c>
      <c r="G6032" t="inlineStr">
        <is>
          <t>2019-01-27 10:01:28</t>
        </is>
      </c>
      <c r="H6032" t="inlineStr">
        <is>
          <t>Type 1</t>
        </is>
      </c>
    </row>
    <row r="6033">
      <c r="A6033" t="inlineStr">
        <is>
          <t>akef3i</t>
        </is>
      </c>
      <c r="B6033" t="inlineStr">
        <is>
          <t>My Diabetes Story So Far and Suggestions? r/diabetes</t>
        </is>
      </c>
      <c r="C6033" t="inlineStr">
        <is>
          <t>Hey Redditors! I want to tell you my story with my Diabetes so far (i'm relatively new) and if you have any suggestions.
I am currently 18 (male) and was when I was diagnosed back in September of 2018. At that point I was overweight being 5'10 and weighing 210 pounds and pushing. Went to the hospital after having scary heart palpitations. When I had a follow up with my GP he noticed elevated BG and decided to run more tests as well. We determined as was diabetic as I had an A1C of 11.5. Even though I am quite young, the blood tests also determined I was type 2. At that point I was anxious, scared, and depressed. I was also dealing with a case of dysphagia (trouble swallowing) as well. I was so angry that all of this happened to me towards the end of summer before my 1st semester of college.
My doctor had me go on insulin for 1 week.Then I was put on Metformin 2 times a day for the next 2 months. Self-determined to not have any complication at such a young age, I completely revised my diet making sure what I was eating was low in carbs. A significant change was getting rid of the soda that I used to drink 2-3 times a day. After I got over the low-caffine headaches, I grew to love water and now the only things i drink is water (and milk in the morning sometimes).Within a weeks of getting rid of the soda I lost around 30lbs! An important changes was that I made sure to fast 5 hours between meals (with no snacking) and a snack before bed. 
I went to check up with the doctor in early October, around two months since I was put on the metformin. We did all of the tests and etc... and my A1C had gotten all the way down to 6 nearly 2.5-3 months after diagnosis. My doctor was proud and I was taken off the Metformin. Over the next 3 months I continued with my diet and started to sprinkle in more exercise. Although I still suffered some anxiety attacks, I was motivated this disease would not kill me young. My BG was consistently on the lower end 70-110, with fasting BG in the morning being 70 and sometimes even in the 60's
In late December 2018, I went in for another checkup. Over the past months I was able to slowly drop another 10 pounds. When all the test results came in it was as if I was diabetes free (although I know this is a lifelong ailment). My A1C was 5.2! To this day I still continue with my diet but also suffer some anxiety.
Was wondering if any of you have type 2 at this young of age? Does anyone have recommendations for me for future treatment? 
Thank you guys! I find this community very comfortable and reassuring.
&amp;amp;#x200B;
&amp;amp;#x200B;
&amp;amp;#x200B;
&amp;amp;#x200B;</t>
        </is>
      </c>
      <c r="D6033" t="n">
        <v>1</v>
      </c>
      <c r="E6033" t="n">
        <v>6</v>
      </c>
      <c r="F6033">
        <f>HYPERLINK("https://www.reddit.com/r/diabetes/comments/akef3i/my_diabetes_story_so_far_and_suggestions_rdiabetes/")</f>
        <v/>
      </c>
      <c r="G6033" t="inlineStr">
        <is>
          <t>2019-01-27 10:04:34</t>
        </is>
      </c>
      <c r="H6033" t="inlineStr">
        <is>
          <t>Type 2</t>
        </is>
      </c>
    </row>
    <row r="6034">
      <c r="A6034" t="inlineStr">
        <is>
          <t>akfydi</t>
        </is>
      </c>
      <c r="B6034" t="inlineStr">
        <is>
          <t>High protein high fat</t>
        </is>
      </c>
      <c r="C6034" t="inlineStr">
        <is>
          <t xml:space="preserve">Endo is telling me I need to make sure to have enough protein and fat in my meals to prevent my glucose from dropping between meals while I find tune my basal.
Basically I am honeymooning very hard. I am having blood sugar drops of over 120pts in under an hour without any bolus. 
Can someone give me some ideas of high protein and high fat options? </t>
        </is>
      </c>
      <c r="D6034" t="n">
        <v>1</v>
      </c>
      <c r="E6034" t="n">
        <v>4</v>
      </c>
      <c r="F6034">
        <f>HYPERLINK("https://www.reddit.com/r/diabetes/comments/akfydi/high_protein_high_fat/")</f>
        <v/>
      </c>
      <c r="G6034" t="inlineStr">
        <is>
          <t>2019-01-27 13:19:49</t>
        </is>
      </c>
      <c r="H6034" t="inlineStr">
        <is>
          <t>Type 1</t>
        </is>
      </c>
    </row>
    <row r="6035">
      <c r="A6035" t="inlineStr">
        <is>
          <t>akgnkn</t>
        </is>
      </c>
      <c r="B6035" t="inlineStr">
        <is>
          <t>Type 1 Humalog User Now on LCHF Considering Regular Insulin...Also OpenAPS details??</t>
        </is>
      </c>
      <c r="C6035" t="inlineStr">
        <is>
          <t>Hi Guys!
&amp;amp;#x200B;
My name is Sam. I'm 23, was diagnosed with T1D at age 5. A1C is 6.7. Have been on a LCHF diet for 1 month and BG control has improved to non-diabetic levels. However, I am still experiencing too many hypoglycemic episodes. I am currently wearing a Dexcom G6 and an Omnipod using Humalog. 
&amp;amp;#x200B;
I am curious to hear of any T1D's experience using Regular (non-aspart/lispro) insulin that has a slower 'activation profile' (probably not the right term), that more closes mirrors how our bodies metabolize proteins.
&amp;amp;#x200B;
Any thoughts on this would be greatly appreciated. Also on a side tangent any experience with OpenAPS, ease of set up? 
&amp;amp;#x200B;
Thanks!</t>
        </is>
      </c>
      <c r="D6035" t="n">
        <v>1</v>
      </c>
      <c r="E6035" t="n">
        <v>4</v>
      </c>
      <c r="F6035">
        <f>HYPERLINK("https://www.reddit.com/r/diabetes/comments/akgnkn/type_1_humalog_user_now_on_lchf_considering/")</f>
        <v/>
      </c>
      <c r="G6035" t="inlineStr">
        <is>
          <t>2019-01-27 14:31:41</t>
        </is>
      </c>
      <c r="H6035" t="inlineStr">
        <is>
          <t>Type 1</t>
        </is>
      </c>
    </row>
    <row r="6036">
      <c r="A6036" t="inlineStr">
        <is>
          <t>akgtge</t>
        </is>
      </c>
      <c r="B6036" t="inlineStr">
        <is>
          <t>kidney's and liver points where really high , anyone else deal with this and what did you do to help it ?</t>
        </is>
      </c>
      <c r="C6036" t="inlineStr">
        <is>
          <t>so i'm a type one , and have been having some issues with high BS numbers when i wake up in the 300's to 400's some times spikes bad during the day as well but only to 300 before i catch it.
&amp;amp;#x200B;
i had a doctor's app a few days ago and my kidney numbers went from a 20 to a 60 , and liver went from 40 to 140... now i really don't know what that means other then my kidney could fail and i'd have to be on dialysis , which i really dont want to be on. with in the last year almost to the day i've gained nearly 60 lbs and have had to change my slow acting insulin from 50  units to 70 and i might even bring it to 80 to trickle down my numbers more . i also had to take way more fast acting then normal , if my sugar was 300 when i was 180lbs i would only need 10 units to beinf me to the 150-200 mark  im now 240lbs i have to take nearly 15-20 units and some times more to get back into the 150's . 
&amp;amp;#x200B;
my main doctor finally wants to help me get a CGM and pump which im happy for but i dont want to wait the 2 to 3 months to see my diabetes doctor , i go for another blood test in a month and just wanted to see if just controlling my numbers will truly help over this . i'm slowly trying to get back into exorcising which i haven't been able to do for almost 3 years now due to an arm injury that's now to the point i can lift things or take a bump from riding my bike which i wasn't able to do before</t>
        </is>
      </c>
      <c r="D6036" t="n">
        <v>1</v>
      </c>
      <c r="E6036" t="n">
        <v>5</v>
      </c>
      <c r="F6036">
        <f>HYPERLINK("https://www.reddit.com/r/diabetes/comments/akgtge/kidneys_and_liver_points_where_really_high_anyone/")</f>
        <v/>
      </c>
      <c r="G6036" t="inlineStr">
        <is>
          <t>2019-01-27 14:48:11</t>
        </is>
      </c>
      <c r="H6036" t="inlineStr">
        <is>
          <t>Type 1</t>
        </is>
      </c>
    </row>
    <row r="6037">
      <c r="A6037" t="inlineStr">
        <is>
          <t>akjtec</t>
        </is>
      </c>
      <c r="B6037" t="inlineStr">
        <is>
          <t>Going high when running?</t>
        </is>
      </c>
      <c r="C6037" t="inlineStr">
        <is>
          <t>It’s probably some weird feet on the floor/adrenaline/muscle building combo, but I ran a 5k race this morning, for the first time since diagnosis, and not only did I not have any issues going low, I ended at 200+ (I woke up w a pretty flat overnight line around 105) and I needed a correction shot to come down. I am coming off a cold, but I’ve also upped my basal accordingly. Any runners ever experienced this, especially when going back to it after a long break? I know cardio typically lowers and strength training can spike; will it likely start affecting me like “pure” cardio once I get the necessary muscle back? It makes me really anxious to be that high, but I want to keep running and train for some longer races.</t>
        </is>
      </c>
      <c r="D6037" t="n">
        <v>1</v>
      </c>
      <c r="E6037" t="n">
        <v>5</v>
      </c>
      <c r="F6037">
        <f>HYPERLINK("https://www.reddit.com/r/diabetes/comments/akjtec/going_high_when_running/")</f>
        <v/>
      </c>
      <c r="G6037" t="inlineStr">
        <is>
          <t>2019-01-27 20:23:35</t>
        </is>
      </c>
      <c r="H6037" t="inlineStr">
        <is>
          <t>Type 1</t>
        </is>
      </c>
    </row>
    <row r="6038">
      <c r="A6038" t="inlineStr">
        <is>
          <t>aklw8k</t>
        </is>
      </c>
      <c r="B6038" t="inlineStr">
        <is>
          <t>I think I probably have T-2 Diabetes</t>
        </is>
      </c>
      <c r="C6038" t="inlineStr">
        <is>
          <t xml:space="preserve">After a week of non stop drinking water and peeing a lot, I finally googled my symptoms and was directed to a page suggesting I have diabetes. This isn’t too shocking, as I’m pretty unhealthy, but I’m still fairly distressed and emotional. I’m too shameful to go to doctors and I feel like breaking down. If I act now, is it possible to reverse these effects and be free from diabetes? 
I apologize if I am making no sense and am being delusional but honestly I’m really scared right now and on the verge of tears. I feel lost and terrified. 
Sorry to be a bother I just need to get this off my chest.  Advice is heavily appreciated! </t>
        </is>
      </c>
      <c r="D6038" t="n">
        <v>1</v>
      </c>
      <c r="E6038" t="n">
        <v>4</v>
      </c>
      <c r="F6038">
        <f>HYPERLINK("https://www.reddit.com/r/diabetes/comments/aklw8k/i_think_i_probably_have_t2_diabetes/")</f>
        <v/>
      </c>
      <c r="G6038" t="inlineStr">
        <is>
          <t>2019-01-28 01:33:29</t>
        </is>
      </c>
      <c r="H6038" t="inlineStr">
        <is>
          <t>Type 2</t>
        </is>
      </c>
    </row>
    <row r="6039">
      <c r="A6039" t="inlineStr">
        <is>
          <t>akny15</t>
        </is>
      </c>
      <c r="B6039" t="inlineStr">
        <is>
          <t>What am I doing wrong?</t>
        </is>
      </c>
      <c r="C6039" t="inlineStr">
        <is>
          <t>Type 2. I lifted weights yesterday afternoon and walked 30min in the evening. I took my medicine as scheduled. My glucose started off fine this morning but is super high after breakfast (leftovers: homemade Indian curry with shrimp, broccoli, onion, carrot; coffee with Splenda). 
&amp;amp;#x200B;
glucose readings:
post-dinner (yesterday): 131
pre-breakfast: 89
post-breakfast (2 hrs): 241
&amp;amp;#x200B;
What else do I need to do? This is so frustrating.</t>
        </is>
      </c>
      <c r="D6039" t="n">
        <v>1</v>
      </c>
      <c r="E6039" t="n">
        <v>28</v>
      </c>
      <c r="F6039">
        <f>HYPERLINK("https://www.reddit.com/r/diabetes/comments/akny15/what_am_i_doing_wrong/")</f>
        <v/>
      </c>
      <c r="G6039" t="inlineStr">
        <is>
          <t>2019-01-28 06:31:32</t>
        </is>
      </c>
      <c r="H6039" t="inlineStr">
        <is>
          <t>Type 2</t>
        </is>
      </c>
    </row>
    <row r="6040">
      <c r="A6040" t="inlineStr">
        <is>
          <t>ako1as</t>
        </is>
      </c>
      <c r="B6040" t="inlineStr">
        <is>
          <t>How High is High?</t>
        </is>
      </c>
      <c r="C6040" t="inlineStr">
        <is>
          <t xml:space="preserve">I was dx T2D almost 2 years ago. At the time my fasting BG was \~140. I've mostly been able to keep it down and my last A1C was 5.8. I'm not on insulin, just Januvia. This morning I woke up feeling off. Like I was having a panic attack but not. My heartbeat was up, I felt hot, and like I couldn't catch my breath. When I tested it my BG was 184, which is high for me. Normally I'm around 100-120ish. Something similar happened a few weeks ago and my BG was 183. Was this a "high"? It went away and I feel fine now. </t>
        </is>
      </c>
      <c r="D6040" t="n">
        <v>1</v>
      </c>
      <c r="E6040" t="n">
        <v>3</v>
      </c>
      <c r="F6040">
        <f>HYPERLINK("https://www.reddit.com/r/diabetes/comments/ako1as/how_high_is_high/")</f>
        <v/>
      </c>
      <c r="G6040" t="inlineStr">
        <is>
          <t>2019-01-28 06:42:05</t>
        </is>
      </c>
      <c r="H6040" t="inlineStr">
        <is>
          <t>Type 2</t>
        </is>
      </c>
    </row>
    <row r="6041">
      <c r="A6041" t="inlineStr">
        <is>
          <t>akr0yd</t>
        </is>
      </c>
      <c r="B6041" t="inlineStr">
        <is>
          <t>any crossfitters in here? or those who have experience? exercise questions i suppose</t>
        </is>
      </c>
      <c r="C6041" t="inlineStr">
        <is>
          <t>i first worked out today.  i have a bit of a dawn effect as it is.  i went in for 7am class.  didnt have breakfast.  after class my bs was through the roof.  was my body just dumping glucose looking for energy?</t>
        </is>
      </c>
      <c r="D6041" t="n">
        <v>1</v>
      </c>
      <c r="E6041" t="n">
        <v>11</v>
      </c>
      <c r="F6041">
        <f>HYPERLINK("https://www.reddit.com/r/diabetes/comments/akr0yd/any_crossfitters_in_here_or_those_who_have/")</f>
        <v/>
      </c>
      <c r="G6041" t="inlineStr">
        <is>
          <t>2019-01-28 11:31:41</t>
        </is>
      </c>
      <c r="H6041" t="inlineStr">
        <is>
          <t>Type 2</t>
        </is>
      </c>
    </row>
    <row r="6042">
      <c r="A6042" t="inlineStr">
        <is>
          <t>akrf5q</t>
        </is>
      </c>
      <c r="B6042" t="inlineStr">
        <is>
          <t>Dessert recipes</t>
        </is>
      </c>
      <c r="C6042" t="inlineStr">
        <is>
          <t>Hello all. I don’t know a thing about diabetes or the daily struggles that come along with it. My SIL was recently diagnosed with type 2 diabetes, and for obvious reasons, has made some drastic changes to her diet.
This morning, said SIL’s grandmother passed away. My girlfriend and I are wanting to make her and my brother a dessert, but I am afraid that any diabetes-friendly recipes we find online are going to taste like taint. I would appreciate any recommendations from you all! Hope I don’t sound like and idiot!</t>
        </is>
      </c>
      <c r="D6042" t="n">
        <v>1</v>
      </c>
      <c r="E6042" t="n">
        <v>6</v>
      </c>
      <c r="F6042">
        <f>HYPERLINK("https://www.reddit.com/r/diabetes/comments/akrf5q/dessert_recipes/")</f>
        <v/>
      </c>
      <c r="G6042" t="inlineStr">
        <is>
          <t>2019-01-28 12:07:52</t>
        </is>
      </c>
      <c r="H6042" t="inlineStr">
        <is>
          <t>Type 2</t>
        </is>
      </c>
    </row>
    <row r="6043">
      <c r="A6043" t="inlineStr">
        <is>
          <t>akrpmt</t>
        </is>
      </c>
      <c r="B6043" t="inlineStr">
        <is>
          <t>anyone ever use the Medtronic Leather Case on 630G?</t>
        </is>
      </c>
      <c r="C6043" t="inlineStr">
        <is>
          <t>Anyone using the Medtronic leather case with a 630G how does it fit? how does it hold up to daily use? I'm starting to get sick of the 630 belt clips breaking, and am looking for an alternative</t>
        </is>
      </c>
      <c r="D6043" t="n">
        <v>1</v>
      </c>
      <c r="E6043" t="n">
        <v>0</v>
      </c>
      <c r="F6043">
        <f>HYPERLINK("https://www.reddit.com/r/diabetes/comments/akrpmt/anyone_ever_use_the_medtronic_leather_case_on_630g/")</f>
        <v/>
      </c>
      <c r="G6043" t="inlineStr">
        <is>
          <t>2019-01-28 12:34:44</t>
        </is>
      </c>
      <c r="H6043" t="inlineStr">
        <is>
          <t>Type 1</t>
        </is>
      </c>
    </row>
    <row r="6044">
      <c r="A6044" t="inlineStr">
        <is>
          <t>akskrd</t>
        </is>
      </c>
      <c r="B6044" t="inlineStr">
        <is>
          <t>Low-Carb plus Regular Insulin: Really Works</t>
        </is>
      </c>
      <c r="C6044" t="inlineStr">
        <is>
          <t>I'm not a hardcore Bernsteiner but this technique is just tremendous.
For many months I was eating most of my meals very low carb, usually \~6-8g per meal, almost always the complex slow carbs found in vegetables and such. I wouldn't bolus at all, and I would experience a mild BG bump after the meal, maybe 20 points or so. It would linger there, and then go another 10-20 points higher 2 or 3 hours later, presumably due both to the body converting protein into glucose, and perhaps the fattiness of the meal slowing down the absorption of the veggie carbs.
That's already pretty great - I know many diabetics would love to have gentle curves like that after their meals. (And I'm still in honeymoon, and try not to get too proud of myself)
Now I'm eating the same meals, but I've added Regular insulin. The theory behind it is that the long, slow insulin curve from the Regular better matches the long, slow glucose rise from a low-carb meal than does the fast, steep insulin curve from modern fast-acting insulin.
So far? No glucose bump at all. The line just stays flat. Like, my post-prandial blood sugar is lower than most non-diabetics', and it stays right where it should stay. I'm doing only 2 units for a meal like this, and I inject anywhere from 45 to zero minutes before eating (the gentleness of the slope means that there's much more wiggle room with timing). No severe lows at all - sometimes I'll notice that I'm in the high 70s and I'll correct with a bite or two of candy. 
I heartily recommend this technique. I'm not a hardcore low-carber, I do have carby meals from time to time, and don't begrudge anyone that chooses a more normal diet than I do. But I do think that this is something that every insulin-dependent diabetic should have in his toolbox. 
&amp;amp;#x200B;</t>
        </is>
      </c>
      <c r="D6044" t="n">
        <v>1</v>
      </c>
      <c r="E6044" t="n">
        <v>19</v>
      </c>
      <c r="F6044">
        <f>HYPERLINK("https://www.reddit.com/r/diabetes/comments/akskrd/lowcarb_plus_regular_insulin_really_works/")</f>
        <v/>
      </c>
      <c r="G6044" t="inlineStr">
        <is>
          <t>2019-01-28 13:51:33</t>
        </is>
      </c>
      <c r="H6044" t="inlineStr">
        <is>
          <t>Type 1</t>
        </is>
      </c>
    </row>
    <row r="6045">
      <c r="A6045" t="inlineStr">
        <is>
          <t>al0x9c</t>
        </is>
      </c>
      <c r="B6045" t="inlineStr">
        <is>
          <t>Tattoos and sensors</t>
        </is>
      </c>
      <c r="C6045" t="inlineStr">
        <is>
          <t xml:space="preserve">I have been wearing my guardian sensor on my left arm for a while now.  I would like to be able to alternate and put it on my left arm some of the time.
Thing is I have a large tattoo on my right upper arm. Will my tattoo affect the way my sensor works? Thanks in advance for helping! </t>
        </is>
      </c>
      <c r="D6045" t="n">
        <v>1</v>
      </c>
      <c r="E6045" t="n">
        <v>0</v>
      </c>
      <c r="F6045">
        <f>HYPERLINK("https://www.reddit.com/r/diabetes/comments/al0x9c/tattoos_and_sensors/")</f>
        <v/>
      </c>
      <c r="G6045" t="inlineStr">
        <is>
          <t>2019-01-29 07:12:10</t>
        </is>
      </c>
      <c r="H6045" t="inlineStr">
        <is>
          <t>Type 1</t>
        </is>
      </c>
    </row>
    <row r="6046">
      <c r="A6046" t="inlineStr">
        <is>
          <t>al2vad</t>
        </is>
      </c>
      <c r="B6046" t="inlineStr">
        <is>
          <t>Any currently or previously pregnant women here who used Dexcom during pregnancy?</t>
        </is>
      </c>
      <c r="C6046" t="inlineStr">
        <is>
          <t>I’m currently 32 weeks along with my second pregnancy. I’m using G6 this time around. Now that my belly is so big and my skin is so taut, I feel like my sensors aren’t working as well. Maybe not enough subcutaneous tissue? Did anyone else have this issue? Halp. Wat do?</t>
        </is>
      </c>
      <c r="D6046" t="n">
        <v>1</v>
      </c>
      <c r="E6046" t="n">
        <v>5</v>
      </c>
      <c r="F6046">
        <f>HYPERLINK("https://www.reddit.com/r/diabetes/comments/al2vad/any_currently_or_previously_pregnant_women_here/")</f>
        <v/>
      </c>
      <c r="G6046" t="inlineStr">
        <is>
          <t>2019-01-29 10:17:35</t>
        </is>
      </c>
      <c r="H6046" t="inlineStr">
        <is>
          <t>Type 1</t>
        </is>
      </c>
    </row>
    <row r="6047">
      <c r="A6047" t="inlineStr">
        <is>
          <t>al5mv2</t>
        </is>
      </c>
      <c r="B6047" t="inlineStr">
        <is>
          <t>How long are my spikes supposed to last?</t>
        </is>
      </c>
      <c r="C6047" t="inlineStr">
        <is>
          <t xml:space="preserve">After much experimenting, I think I've finally gotten my basal and I:C ratio correct. 
The only time when I spike above 200 is when i decide on eating starch heavy foods like noodles or oatmeal. 
I understand that in these cases, spiking is normal, but I was wondering if it is normal for me to have to wait 3 hours to be in range again while the general advice is to be in range after 2 hours?
I tried to correct at the two hour mark for oatmeal once, but I ended up low afterwards because I didn't know my glucose was on a steady decline. </t>
        </is>
      </c>
      <c r="D6047" t="n">
        <v>1</v>
      </c>
      <c r="E6047" t="n">
        <v>13</v>
      </c>
      <c r="F6047">
        <f>HYPERLINK("https://www.reddit.com/r/diabetes/comments/al5mv2/how_long_are_my_spikes_supposed_to_last/")</f>
        <v/>
      </c>
      <c r="G6047" t="inlineStr">
        <is>
          <t>2019-01-29 14:29:05</t>
        </is>
      </c>
      <c r="H6047" t="inlineStr">
        <is>
          <t>Type 1</t>
        </is>
      </c>
    </row>
    <row r="6048">
      <c r="A6048" t="inlineStr">
        <is>
          <t>al7dv4</t>
        </is>
      </c>
      <c r="B6048" t="inlineStr">
        <is>
          <t>Fellow Type 1s, what’s your favorite phrase undiagnosed say?</t>
        </is>
      </c>
      <c r="C6048" t="inlineStr">
        <is>
          <t>My personal favorite is “my grandma has that!”</t>
        </is>
      </c>
      <c r="D6048" t="n">
        <v>1</v>
      </c>
      <c r="E6048" t="n">
        <v>42</v>
      </c>
      <c r="F6048">
        <f>HYPERLINK("https://www.reddit.com/r/diabetes/comments/al7dv4/fellow_type_1s_whats_your_favorite_phrase/")</f>
        <v/>
      </c>
      <c r="G6048" t="inlineStr">
        <is>
          <t>2019-01-29 17:28:02</t>
        </is>
      </c>
      <c r="H6048" t="inlineStr">
        <is>
          <t>Type 1</t>
        </is>
      </c>
    </row>
    <row r="6049">
      <c r="A6049" t="inlineStr">
        <is>
          <t>al8pz9</t>
        </is>
      </c>
      <c r="B6049" t="inlineStr">
        <is>
          <t>Any issue switching from humalog to tresiba on an omnipod?</t>
        </is>
      </c>
      <c r="C6049" t="inlineStr">
        <is>
          <t xml:space="preserve">Hey all, I’m super busy and haven’t had time to order new humalog vials but I have some humalog and tresiba pens leftover. I remember I actually preferred tresiba to humalog before, but does anyone see any issue with filling an omnipod with tresiba instead? I only have one tresiba pen but I have several humalog. TIA! </t>
        </is>
      </c>
      <c r="D6049" t="n">
        <v>1</v>
      </c>
      <c r="E6049" t="n">
        <v>4</v>
      </c>
      <c r="F6049">
        <f>HYPERLINK("https://www.reddit.com/r/diabetes/comments/al8pz9/any_issue_switching_from_humalog_to_tresiba_on_an/")</f>
        <v/>
      </c>
      <c r="G6049" t="inlineStr">
        <is>
          <t>2019-01-29 19:56:40</t>
        </is>
      </c>
      <c r="H6049" t="inlineStr">
        <is>
          <t>Type 1</t>
        </is>
      </c>
    </row>
    <row r="6050">
      <c r="A6050" t="inlineStr">
        <is>
          <t>aldomo</t>
        </is>
      </c>
      <c r="B6050" t="inlineStr">
        <is>
          <t>So Proud of my T1 Daughter!</t>
        </is>
      </c>
      <c r="C6050" t="inlineStr">
        <is>
          <t>My daughter (now 12) was Dx'd a bit over 5 years ago.  Before that, she went through a period of weight loss, wetting the bed, etc.  We didn't think much of it until flower girl dress she was fitted for a few months earlier was nearly falling off her.  Also, she was falling behind in school and couldn't concentrate.  She was having trouble reading and generally not doing well in school.  This all happened when she is first learning how to read.
Anyway, we took her to the doc who immediately sent us to the ER and she was admitted.  Of course we felt horrible, knowing that she was suffering and we didn't have a clue that it could have killed her.  ( I still get feelings of guilt as I write this).
Five years later and dealing with her T1 is just another thing we deal with.  It is under control and she is doing well.  
The hard part is that she developed this anxiety about learning.  Any time she needs help with homework it became a shouting match and a big ordeal.  We have worked on her anxiety and it has helped, but we still have issues.
Five years later and she is finally reading above her grade level.  We also realized that she has trouble writing on spelling tests but has no problem spelling orally, which got her on the school spelling bee.  She says that she can "see" the word in her head, but it goes away when she tries to write it down, which I find interesting.  Her older sister sees numbers as colors in her head(!)  I got weird kids and I am proud of it.  They take after their old man ;)
She still gets really anxious during tests, but she has gotten much better.  I am so proud of her and I just wanted to give her an anonymous "attagirl".  Thanks for listening.</t>
        </is>
      </c>
      <c r="D6050" t="n">
        <v>1</v>
      </c>
      <c r="E6050" t="n">
        <v>9</v>
      </c>
      <c r="F6050">
        <f>HYPERLINK("https://www.reddit.com/r/diabetes/comments/aldomo/so_proud_of_my_t1_daughter/")</f>
        <v/>
      </c>
      <c r="G6050" t="inlineStr">
        <is>
          <t>2019-01-30 07:21:04</t>
        </is>
      </c>
      <c r="H6050" t="inlineStr">
        <is>
          <t>Type 1</t>
        </is>
      </c>
    </row>
    <row r="6051">
      <c r="A6051" t="inlineStr">
        <is>
          <t>ale4uh</t>
        </is>
      </c>
      <c r="B6051" t="inlineStr">
        <is>
          <t>Protein Powder and blood sugars</t>
        </is>
      </c>
      <c r="C6051" t="inlineStr">
        <is>
          <t xml:space="preserve">Hey guys, so I recently noticed that my blood sugars have been spiking after taking protein powder. The protein powder I use is 1 carb and no sugars but my blood sugars will rise from 90 to 200 in about 30 minutes. I’ve been trying to find information on why this is but can’t seem to find anything. I primarily use the protein powder as a low-calorie protein supplement rather than a Pre/post workout. Does Anyone know why or have any thoughts? </t>
        </is>
      </c>
      <c r="D6051" t="n">
        <v>1</v>
      </c>
      <c r="E6051" t="n">
        <v>12</v>
      </c>
      <c r="F6051">
        <f>HYPERLINK("https://www.reddit.com/r/diabetes/comments/ale4uh/protein_powder_and_blood_sugars/")</f>
        <v/>
      </c>
      <c r="G6051" t="inlineStr">
        <is>
          <t>2019-01-30 08:05:29</t>
        </is>
      </c>
      <c r="H6051" t="inlineStr">
        <is>
          <t>Type 1</t>
        </is>
      </c>
    </row>
    <row r="6052">
      <c r="A6052" t="inlineStr">
        <is>
          <t>ali9i0</t>
        </is>
      </c>
      <c r="B6052" t="inlineStr">
        <is>
          <t>Why do I have to test my blood sugar?</t>
        </is>
      </c>
      <c r="C6052" t="inlineStr">
        <is>
          <t>Hi all,
I just got diagnosed with type 2 diabetes, and they put me in metformin. My question is, why do I have to test my blood sugar so often if I’m not on insulin? I’m not adverse to it, I’m just wondering if there is something I should be looking out for. My doctor said my blood sugar probably won’t get above 250, and not to worry if it did, I won’t need to do anything, and she says it probably won’t go too low either, so I’m wondering why I’m doing it if I won’t be doing anything based on the data anyway. I think I missed something in my appointment.
Thanks for all your help!</t>
        </is>
      </c>
      <c r="D6052" t="n">
        <v>1</v>
      </c>
      <c r="E6052" t="n">
        <v>10</v>
      </c>
      <c r="F6052">
        <f>HYPERLINK("https://www.reddit.com/r/diabetes/comments/ali9i0/why_do_i_have_to_test_my_blood_sugar/")</f>
        <v/>
      </c>
      <c r="G6052" t="inlineStr">
        <is>
          <t>2019-01-30 14:18:15</t>
        </is>
      </c>
      <c r="H6052" t="inlineStr">
        <is>
          <t>Type 2</t>
        </is>
      </c>
    </row>
    <row r="6053">
      <c r="A6053" t="inlineStr">
        <is>
          <t>aliezi</t>
        </is>
      </c>
      <c r="B6053" t="inlineStr">
        <is>
          <t>Insulin in Mexico</t>
        </is>
      </c>
      <c r="C6053" t="inlineStr">
        <is>
          <t xml:space="preserve">Hi everyone. 
I will be traveling to Puerto Vallarta soon and was curious about getting insulin there. 
I have read both that you do need and that you do not need a prescription. 
I am mostly curious if anyone knows about what Novolog or Humalog cost there. 
I also use Lantus and wouldn’t mind knowing the estimated price on that. 
Also, do they sell test strips for less?
I am not expecting a precise cost, but hoping for a general ballpark of what to expect. 
Thank you. </t>
        </is>
      </c>
      <c r="D6053" t="n">
        <v>1</v>
      </c>
      <c r="E6053" t="n">
        <v>4</v>
      </c>
      <c r="F6053">
        <f>HYPERLINK("https://www.reddit.com/r/diabetes/comments/aliezi/insulin_in_mexico/")</f>
        <v/>
      </c>
      <c r="G6053" t="inlineStr">
        <is>
          <t>2019-01-30 14:32:19</t>
        </is>
      </c>
      <c r="H6053" t="inlineStr">
        <is>
          <t>Type 1</t>
        </is>
      </c>
    </row>
    <row r="6054">
      <c r="A6054" t="inlineStr">
        <is>
          <t>aljo0p</t>
        </is>
      </c>
      <c r="B6054" t="inlineStr">
        <is>
          <t>Keep getting lows (relatively) r/diabetes</t>
        </is>
      </c>
      <c r="C6054" t="inlineStr">
        <is>
          <t>I’m male age 18. Am 5’10 and weigh 171 lbs. was diagnosed Type 2 around 6 months ago (Sept. I think. Did a lot of hard work and got my A1c to a 5.2. I’m not getting low like below 50. My fasting BG is around 65-70’s and 1.5-2 hours after eating I never have BG reading above 130ish unless I eat something extremely sugary like ice cream (which is rare). Is it normal to get lows often???</t>
        </is>
      </c>
      <c r="D6054" t="n">
        <v>1</v>
      </c>
      <c r="E6054" t="n">
        <v>8</v>
      </c>
      <c r="F6054">
        <f>HYPERLINK("https://www.reddit.com/r/diabetes/comments/aljo0p/keep_getting_lows_relatively_rdiabetes/")</f>
        <v/>
      </c>
      <c r="G6054" t="inlineStr">
        <is>
          <t>2019-01-30 16:33:06</t>
        </is>
      </c>
      <c r="H6054" t="inlineStr">
        <is>
          <t>Type 2</t>
        </is>
      </c>
    </row>
    <row r="6055">
      <c r="A6055" t="inlineStr">
        <is>
          <t>almbg2</t>
        </is>
      </c>
      <c r="B6055" t="inlineStr">
        <is>
          <t>40 units of aspart on accident and stuck the landing. (starts a little a ranty)</t>
        </is>
      </c>
      <c r="C6055" t="inlineStr">
        <is>
          <t xml:space="preserve">Tonight my garbage ass g670 (the Latest and greatest) and it’s equally worthless cgm took a shit on me 18 days out of the box.  
Well I was going about my day didn’t realize it turned itself off. Then I guess shortly after the transmitter  decided  to disconnect and subsequently render the next six sensors useless by saying they were all expired.  
Meanwhile i hadn’t realized that the insulin tube was filling up with blood like a bad IV . Well when I realized that I freaked out. I took the infusion kit out and started bleeding like a stuck pig. My arm was bleeding out of the latest sensor site. Which looked as if I was getting plugged into the fucking matrix at this point.  My wife looked at me like I was shot and had a 9mo pregnant melt down. My kid starts to pray cause he’s convinced I’m going to die.  And all I wanted was to eat the spaghetti that was at my place at the table.  
After much swearing crying and praying I get cleaned up and go in search of a syringe. It’s been a while since I have actually had to give an injection with an syringe.  (I have had pens for years) 
Well my wife and I just did IVF this year to have this soon to be baby.  Apparently during the great medical supplies purge of 2018 we tossed my 10 unit syringes and kept her 100unit syringes. Fuzzy and shaken from all the bleeding and swearing I draw to 4 for my dinner. Stab my gut and slam that shit home like it was braking bad in this bitch. 
I cap the needle and then see very clearly that I just gave myself 40 units of aspart.  My carb ratio is 10:1  “shit shit fuck!” I start eating every goddamn thing in the house. My A1c is 4.7. THERES ALMOST NO FUCKING SUGER HERE!!!! so here’s what I know. I’m an hour and a half out from a hospital. And 20 minutes from anywhere that sells sweets and I need to consume 400 carbs in the next 45 minutes so I don’t fuck myself up. 
6 servings of spaghetti 2 garlic rolls, a regular Pepsi (oh how I have missed it) a tiny bag of chocolate 3 yogurts and a glass of juice later and I’m at 265 and bout to puke.  My son says. What about life savers?  (The story my mom told him years ago how lifesavers helped her get through morning sickness that was so bad her doc advised her to abort me is where his brain went.) he had a roll.  So I ate that straight up.  Just over 100 carbs to go. 
30 minutes into it and my blood sugar has only gone from 110 to 140. I’m out of sweets and I can’t really stick any more food in my stomach.  So I shotgun 1/3 cup of maple syrup. 110 carbs and chase it with water. 
I turn green. Keeping tally on my phone I hit 410 carbs. Just befor 45 minutes.  My blood sugar is 180 and holds steady for 45 minutes. Then drops.  I dip down to 77 and then the pasta kicks in.  4.5 hours later. I stuck the landing at 122.  
</t>
        </is>
      </c>
      <c r="D6055" t="n">
        <v>1</v>
      </c>
      <c r="E6055" t="n">
        <v>19</v>
      </c>
      <c r="F6055">
        <f>HYPERLINK("https://www.reddit.com/r/diabetes/comments/almbg2/40_units_of_aspart_on_accident_and_stuck_the/")</f>
        <v/>
      </c>
      <c r="G6055" t="inlineStr">
        <is>
          <t>2019-01-30 21:39:06</t>
        </is>
      </c>
      <c r="H6055" t="inlineStr">
        <is>
          <t>Type 1</t>
        </is>
      </c>
    </row>
    <row r="6056">
      <c r="A6056" t="inlineStr">
        <is>
          <t>almqta</t>
        </is>
      </c>
      <c r="B6056" t="inlineStr">
        <is>
          <t>Freestyle Libre</t>
        </is>
      </c>
      <c r="C6056" t="inlineStr">
        <is>
          <t>Freestyle Libre users, I am about to start using a freestyle libre and I wanted to know your thoughts. I’ve been T1D for 10 years and I’m finally starting to use sensors. My Medtronic ones didn’t work well with my insurance so I’m switching to freestyle libre. Let me know your thoughts! Thanks!</t>
        </is>
      </c>
      <c r="D6056" t="n">
        <v>1</v>
      </c>
      <c r="E6056" t="n">
        <v>7</v>
      </c>
      <c r="F6056">
        <f>HYPERLINK("https://www.reddit.com/r/diabetes/comments/almqta/freestyle_libre/")</f>
        <v/>
      </c>
      <c r="G6056" t="inlineStr">
        <is>
          <t>2019-01-30 22:37:24</t>
        </is>
      </c>
      <c r="H6056" t="inlineStr">
        <is>
          <t>Type 1</t>
        </is>
      </c>
    </row>
    <row r="6057">
      <c r="A6057" t="inlineStr">
        <is>
          <t>alrt9i</t>
        </is>
      </c>
      <c r="B6057" t="inlineStr">
        <is>
          <t>Diabetic, 26, with paralysed stomach whose weight plummeted to eight stone told by NHS to fund his own life-saving £17,000 surgery</t>
        </is>
      </c>
      <c r="C6057" t="inlineStr">
        <is>
          <t>https://inews.co.uk/news/real-life/man-paralysed-stomach-weight-plummeted-eight-stone-nhs-refused-life-saving-surgery/</t>
        </is>
      </c>
      <c r="D6057" t="n">
        <v>1</v>
      </c>
      <c r="E6057" t="n">
        <v>7</v>
      </c>
      <c r="F6057">
        <f>HYPERLINK("https://www.reddit.com/r/diabetes/comments/alrt9i/diabetic_26_with_paralysed_stomach_whose_weight/")</f>
        <v/>
      </c>
      <c r="G6057" t="inlineStr">
        <is>
          <t>2019-01-31 09:24:44</t>
        </is>
      </c>
      <c r="H6057" t="inlineStr">
        <is>
          <t>Type 1</t>
        </is>
      </c>
    </row>
    <row r="6058">
      <c r="A6058" t="inlineStr">
        <is>
          <t>alwhvr</t>
        </is>
      </c>
      <c r="B6058" t="inlineStr">
        <is>
          <t>To whoever discovered you can get G6 transmitters at Costco....THANK YOU!</t>
        </is>
      </c>
      <c r="C6058" t="inlineStr">
        <is>
          <t>Long story short - my employer insurance is less than desirable and doesn't cover Dexcom under pharmacy so I have been maxing out my FSA and using all on Dexcom until I hit my medical device deductible for the past 2 years. Dexcom and Humana decided to both fall asleep at the wheel this month and are still fighting with each other (and my doctor) to get my prior auth straightened out so that I can get a transmitter. So here I am - no Dexcom transmitter (paid full price for sensors - one of the many fumbles by Dexcom/Humana), feel like I am negotiating with trees calling these companies all day and then I turn to Reddit. Thanks to this subreddit I was able to figure out a way to get my transmitter from Costco for **UNDER $30!!** Unbelievablly grateful for the collective intelligence of this subreddit and unbelievably frustrated at the state of healthcare in the US. 
&amp;amp;#x200B;
For the Costco thing, if your insurance doesn't cover Dexcom, OR just doesn't like Costco pharmacy then you can use their program and get the transmitter for dirt cheap.</t>
        </is>
      </c>
      <c r="D6058" t="n">
        <v>1</v>
      </c>
      <c r="E6058" t="n">
        <v>14</v>
      </c>
      <c r="F6058">
        <f>HYPERLINK("https://www.reddit.com/r/diabetes/comments/alwhvr/to_whoever_discovered_you_can_get_g6_transmitters/")</f>
        <v/>
      </c>
      <c r="G6058" t="inlineStr">
        <is>
          <t>2019-01-31 17:07:56</t>
        </is>
      </c>
      <c r="H6058" t="inlineStr">
        <is>
          <t>Type 1</t>
        </is>
      </c>
    </row>
    <row r="6059">
      <c r="A6059" t="inlineStr">
        <is>
          <t>alx0ho</t>
        </is>
      </c>
      <c r="B6059" t="inlineStr">
        <is>
          <t>0 carb diet</t>
        </is>
      </c>
      <c r="C6059" t="inlineStr">
        <is>
          <t>Bit of background first, I am a type 1 diabetic, age 27, male, diagnosed at age 23. I was taking lantus for the first few months of diagnoses, until I had to keep lowering my lantus dose to 0 as it was causing me to go low. I no longer take lantus, only novolog for carbs that I eat.
&amp;amp;#x200B;
I just wanted to share my experience so far with a carnivore 0 carb diet. As most of us here, I would always struggle with my blood sugar going up and down, and shooting up insulin all day for eating a diet that most endocrinologists recommend. I got tired of always being on edge and wondering if my sugars were okay, so I cut out all carbs, and started eating only meat. It has been 2 weeks since I started eating 0 carbs. (sometimes I might eat a sausage or something with 1g carb) and my blood sugars are averaging 113, and I have not taken 1 unit of insulin for the 2 weeks. I may experiment with adding in vegetables that have 0 carbs, but from what I have read about an all meat diet, we get all the nutrients we need by eating muscle meat and organ meat (liver). And I feel great on the diet.
&amp;amp;#x200B;
Seeing my glucose numbers around 115 every time I check and knowing they aren't going to be shooting up or low, is such a good feeling, and a lot less stress on everyday life. Knowing that the life expectancy of a type 1 diabetic is 13-20 (?) years less than someone without diabetes, I am even more motivated to keep my sugars in line. Why continue to destroy our bodies with carbs when we have a choice to avoid the problem with a 0 carb diet.</t>
        </is>
      </c>
      <c r="D6059" t="n">
        <v>1</v>
      </c>
      <c r="E6059" t="n">
        <v>19</v>
      </c>
      <c r="F6059">
        <f>HYPERLINK("https://www.reddit.com/r/diabetes/comments/alx0ho/0_carb_diet/")</f>
        <v/>
      </c>
      <c r="G6059" t="inlineStr">
        <is>
          <t>2019-01-31 18:04:13</t>
        </is>
      </c>
      <c r="H6059" t="inlineStr">
        <is>
          <t>Type 1</t>
        </is>
      </c>
    </row>
    <row r="6060">
      <c r="A6060" t="inlineStr">
        <is>
          <t>alx4a2</t>
        </is>
      </c>
      <c r="B6060" t="inlineStr">
        <is>
          <t>Future cyborg</t>
        </is>
      </c>
      <c r="C6060" t="inlineStr">
        <is>
          <t>Hey guys,excited to say I’m finally getting a pump, however I did want to ask has anyone used the MiniMed 670G ? The loop system? Good bad things? Maybe hints on how to use it or take care of t even</t>
        </is>
      </c>
      <c r="D6060" t="n">
        <v>1</v>
      </c>
      <c r="E6060" t="n">
        <v>6</v>
      </c>
      <c r="F6060">
        <f>HYPERLINK("https://www.reddit.com/r/diabetes/comments/alx4a2/future_cyborg/")</f>
        <v/>
      </c>
      <c r="G6060" t="inlineStr">
        <is>
          <t>2019-01-31 18:15:38</t>
        </is>
      </c>
      <c r="H6060" t="inlineStr">
        <is>
          <t>Type 1</t>
        </is>
      </c>
    </row>
    <row r="6061">
      <c r="A6061" t="inlineStr">
        <is>
          <t>am0ami</t>
        </is>
      </c>
      <c r="B6061" t="inlineStr">
        <is>
          <t>Do i need to add more units of rapid acting for sugar content on a label?</t>
        </is>
      </c>
      <c r="C6061" t="inlineStr">
        <is>
          <t>Or do i only need to worry about total carbs? Basically do concentrated sugars, like those found in cookies or other sweets, cause bg levels to raise higher than carbs in regular foods?
Example: snack cake has 15g carbs and 9g of sugar - do i just bolus for the 15g carb or do i need to add more because its such a concentrated sugar</t>
        </is>
      </c>
      <c r="D6061" t="n">
        <v>1</v>
      </c>
      <c r="E6061" t="n">
        <v>2</v>
      </c>
      <c r="F6061">
        <f>HYPERLINK("https://www.reddit.com/r/diabetes/comments/am0ami/do_i_need_to_add_more_units_of_rapid_acting_for/")</f>
        <v/>
      </c>
      <c r="G6061" t="inlineStr">
        <is>
          <t>2019-02-01 01:17:45</t>
        </is>
      </c>
      <c r="H6061" t="inlineStr">
        <is>
          <t>Type 1</t>
        </is>
      </c>
    </row>
    <row r="6062">
      <c r="A6062" t="inlineStr">
        <is>
          <t>am2drm</t>
        </is>
      </c>
      <c r="B6062" t="inlineStr">
        <is>
          <t>Carb load for swimming</t>
        </is>
      </c>
      <c r="C6062" t="inlineStr">
        <is>
          <t>Tonight my swim team is going to have a pasta party before our league meet tomorrow. This is to just get more sugar into their system that their pancreas won’t be able to process it all, right? But I can just do that easily by eating without insulin. 
So I was wondering if I should eat that much? I also know that at the last league meet my sugar rose due to not having my pump on. What should I do?</t>
        </is>
      </c>
      <c r="D6062" t="n">
        <v>1</v>
      </c>
      <c r="E6062" t="n">
        <v>3</v>
      </c>
      <c r="F6062">
        <f>HYPERLINK("https://www.reddit.com/r/diabetes/comments/am2drm/carb_load_for_swimming/")</f>
        <v/>
      </c>
      <c r="G6062" t="inlineStr">
        <is>
          <t>2019-02-01 06:12:36</t>
        </is>
      </c>
      <c r="H6062" t="inlineStr">
        <is>
          <t>Type 1</t>
        </is>
      </c>
    </row>
    <row r="6063">
      <c r="A6063" t="inlineStr">
        <is>
          <t>am4xyo</t>
        </is>
      </c>
      <c r="B6063" t="inlineStr">
        <is>
          <t>Less Reliable CGM Readings After Weight Loss?</t>
        </is>
      </c>
      <c r="C6063" t="inlineStr">
        <is>
          <t>I've been using the Dexcom G6 (and before that the G4) on my arm for a long time, but have recently gone through three sensors with very mediocre accuracy. I can't really identify any issue other than that I started a diet about two weeks ago and have very quickly lost about 5-6lbs. Has anyone else noticed sensor accuracy issues after weight loss?</t>
        </is>
      </c>
      <c r="D6063" t="n">
        <v>1</v>
      </c>
      <c r="E6063" t="n">
        <v>2</v>
      </c>
      <c r="F6063">
        <f>HYPERLINK("https://www.reddit.com/r/diabetes/comments/am4xyo/less_reliable_cgm_readings_after_weight_loss/")</f>
        <v/>
      </c>
      <c r="G6063" t="inlineStr">
        <is>
          <t>2019-02-01 10:12:07</t>
        </is>
      </c>
      <c r="H6063" t="inlineStr">
        <is>
          <t>Type 1</t>
        </is>
      </c>
    </row>
    <row r="6064">
      <c r="A6064" t="inlineStr">
        <is>
          <t>am5n9g</t>
        </is>
      </c>
      <c r="B6064" t="inlineStr">
        <is>
          <t>Carb Counting App</t>
        </is>
      </c>
      <c r="C6064" t="inlineStr">
        <is>
          <t>Just curious what carb counting apps people are using and like. I have been using MyFitnessPal for several years. It is good, but I am always looking out for better ones. One with Glycemic index would be cool.</t>
        </is>
      </c>
      <c r="D6064" t="n">
        <v>1</v>
      </c>
      <c r="E6064" t="n">
        <v>3</v>
      </c>
      <c r="F6064">
        <f>HYPERLINK("https://www.reddit.com/r/diabetes/comments/am5n9g/carb_counting_app/")</f>
        <v/>
      </c>
      <c r="G6064" t="inlineStr">
        <is>
          <t>2019-02-01 11:15:58</t>
        </is>
      </c>
      <c r="H6064" t="inlineStr">
        <is>
          <t>Type 1</t>
        </is>
      </c>
    </row>
    <row r="6065">
      <c r="A6065" t="inlineStr">
        <is>
          <t>am6o2o</t>
        </is>
      </c>
      <c r="B6065" t="inlineStr">
        <is>
          <t>Feeling symptoms of a hypoglycemic episode while my glucometer says I'm not low. X-post with /r/keto</t>
        </is>
      </c>
      <c r="C6065" t="inlineStr">
        <is>
          <t xml:space="preserve">TL; DR: Basically the title.
For the past couple of weeks, I've intermittently had moments where I'm experiencing symptoms that feel like a hypo: feeling shaky, tired, irritable, sometimes getting sweaty, and once or twice with slight vision changes (like mild tunnel vision, which is typical for me when my sugar drops too low). I've had lots of lows over the past year or two, so I'm always prepared to treat them, but when I check my sugar before treating, my glucose readings have been perfect, usually in the 90-110 range. 
I've been doing keto for about 8 months now, and I'm off all my diabetic meds and have lost about 30 pounds. Nothing has really changed with my diet in a few months except that I've been eating more fish and less other meat lately. The only major change I can point to since I've been having these "false hypos" is that I started lifting weights about 3 weeks ago. 
Anybody have any insight into this? I'm supposed to see my doctor later this month for my 6 month labs and everything, but I can always try to get in sooner if this is something to be concerned about. </t>
        </is>
      </c>
      <c r="D6065" t="n">
        <v>1</v>
      </c>
      <c r="E6065" t="n">
        <v>5</v>
      </c>
      <c r="F6065">
        <f>HYPERLINK("https://www.reddit.com/r/diabetes/comments/am6o2o/feeling_symptoms_of_a_hypoglycemic_episode_while/")</f>
        <v/>
      </c>
      <c r="G6065" t="inlineStr">
        <is>
          <t>2019-02-01 12:53:34</t>
        </is>
      </c>
      <c r="H6065" t="inlineStr">
        <is>
          <t>Type 2</t>
        </is>
      </c>
    </row>
    <row r="6066">
      <c r="A6066" t="inlineStr">
        <is>
          <t>amad8u</t>
        </is>
      </c>
      <c r="B6066" t="inlineStr">
        <is>
          <t>Question about alcohol...</t>
        </is>
      </c>
      <c r="C6066" t="inlineStr">
        <is>
          <t xml:space="preserve">I just turned 21 a few days ago and I just now purchased my first drink, I got a four loko and my friend said it has a ton of sugar. I'm not sure if I should drink it or not. </t>
        </is>
      </c>
      <c r="D6066" t="n">
        <v>1</v>
      </c>
      <c r="E6066" t="n">
        <v>20</v>
      </c>
      <c r="F6066">
        <f>HYPERLINK("https://www.reddit.com/r/diabetes/comments/amad8u/question_about_alcohol/")</f>
        <v/>
      </c>
      <c r="G6066" t="inlineStr">
        <is>
          <t>2019-02-01 19:41:52</t>
        </is>
      </c>
      <c r="H6066" t="inlineStr">
        <is>
          <t>Type 1</t>
        </is>
      </c>
    </row>
    <row r="6067">
      <c r="A6067" t="inlineStr">
        <is>
          <t>amad8w</t>
        </is>
      </c>
      <c r="B6067" t="inlineStr">
        <is>
          <t>Question about alcohol...</t>
        </is>
      </c>
      <c r="C6067" t="inlineStr">
        <is>
          <t xml:space="preserve">I just turned 21 a few days ago and I just now purchased my first drink, I got a four loko and my friend said it has a ton of sugar. I'm not sure if I should drink it or not. </t>
        </is>
      </c>
      <c r="D6067" t="n">
        <v>1</v>
      </c>
      <c r="E6067" t="n">
        <v>12</v>
      </c>
      <c r="F6067">
        <f>HYPERLINK("https://www.reddit.com/r/diabetes/comments/amad8w/question_about_alcohol/")</f>
        <v/>
      </c>
      <c r="G6067" t="inlineStr">
        <is>
          <t>2019-02-01 19:41:52</t>
        </is>
      </c>
      <c r="H6067" t="inlineStr">
        <is>
          <t>Type 1</t>
        </is>
      </c>
    </row>
    <row r="6068">
      <c r="A6068" t="inlineStr">
        <is>
          <t>amegcl</t>
        </is>
      </c>
      <c r="B6068" t="inlineStr">
        <is>
          <t>Does anyone have a continuous glucose meter?</t>
        </is>
      </c>
      <c r="C6068" t="inlineStr">
        <is>
          <t xml:space="preserve">So I have type II and struggling quite a bit.  I was thinking about getting a "continuous glucose meter" to manage things better.  Does anyone have any recommendations?  I have an iphone 6 for smart phone.  </t>
        </is>
      </c>
      <c r="D6068" t="n">
        <v>1</v>
      </c>
      <c r="E6068" t="n">
        <v>13</v>
      </c>
      <c r="F6068">
        <f>HYPERLINK("https://www.reddit.com/r/diabetes/comments/amegcl/does_anyone_have_a_continuous_glucose_meter/")</f>
        <v/>
      </c>
      <c r="G6068" t="inlineStr">
        <is>
          <t>2019-02-02 06:21:17</t>
        </is>
      </c>
      <c r="H6068" t="inlineStr">
        <is>
          <t>Type 2</t>
        </is>
      </c>
    </row>
    <row r="6069">
      <c r="A6069" t="inlineStr">
        <is>
          <t>amelxy</t>
        </is>
      </c>
      <c r="B6069" t="inlineStr">
        <is>
          <t>Does insulin availability affect overall digestion?</t>
        </is>
      </c>
      <c r="C6069" t="inlineStr">
        <is>
          <t>I was recently diagnosed T1 late last year. Before that, I had about two years of slowly escalating digestive problems. Of course, logic (and any doctor I've talked to) would indicate that it can't be gastroparesis because I would need to have had uncontrolled BG for years and years.
&amp;amp;#x200B;
My question is this... Does anyone know if insulin availability plays a role in overall digestion quality (beyond glucose uptake)? I don't even know, like maybe in the functioning of the organs, or in the processing of amino acids/fatty acids, or the breakdown/uptake of them. I know that's kind of broad, and I know insulin is mostly associated with glucose uptake by muscle and fat cells. Is there any more here that I'm missing? Does anyone know of any articles/research on this matter, or can anyone provide first-hand experience related to this? Maybe someone else also had digestive troubles that got better once beginning insulin regimen?  
I've spoken to my doc about the possibility that I may be underproducing acid or bile, but my GI appointment is not for another month or so. Just looking for any information I can get! Taking HCl w/pepsin or papaya digestive enzyme doesn't seem to do much for me.  
(This is very hard to search for because all the results are basically for gastroparesis.)</t>
        </is>
      </c>
      <c r="D6069" t="n">
        <v>1</v>
      </c>
      <c r="E6069" t="n">
        <v>8</v>
      </c>
      <c r="F6069">
        <f>HYPERLINK("https://www.reddit.com/r/diabetes/comments/amelxy/does_insulin_availability_affect_overall_digestion/")</f>
        <v/>
      </c>
      <c r="G6069" t="inlineStr">
        <is>
          <t>2019-02-02 06:40:43</t>
        </is>
      </c>
      <c r="H6069" t="inlineStr">
        <is>
          <t>Type 1</t>
        </is>
      </c>
    </row>
    <row r="6070">
      <c r="A6070" t="inlineStr">
        <is>
          <t>amiip7</t>
        </is>
      </c>
      <c r="B6070" t="inlineStr">
        <is>
          <t>CBS Blue Bloods T1D Storyline</t>
        </is>
      </c>
      <c r="C6070" t="inlineStr">
        <is>
          <t xml:space="preserve">Anyone else catch the Blue Bloods episode last night that featured a T1D storyline? Basically, this woman bought cheap insulin on the internet and she got scammed and it was just a vial of water. She gave her son ONE dose of the "insulin" and he fell unconscious basically immediately and had to be hospitalized for DKA. I appreciate T1D making it to TV as it raises awareness of our disease, but COME ON this is so unrealistic. I've been in DKA three times in my 21 years of diabetes and it never happened after one missed dose of insulin, but rather a few days of not being able to lower my high blood sugar coupled with another sickness (like the flu). Also, this is the most important part, \***there are no known instances of individuals being harmed from using insulin purchased online from verified pharmacies.**\* Thanks, CBS, for continuing to make the public less educated about T1D ¯\\\_(ツ)\_/¯ </t>
        </is>
      </c>
      <c r="D6070" t="n">
        <v>1</v>
      </c>
      <c r="E6070" t="n">
        <v>7</v>
      </c>
      <c r="F6070">
        <f>HYPERLINK("https://www.reddit.com/r/diabetes/comments/amiip7/cbs_blue_bloods_t1d_storyline/")</f>
        <v/>
      </c>
      <c r="G6070" t="inlineStr">
        <is>
          <t>2019-02-02 13:18:52</t>
        </is>
      </c>
      <c r="H6070" t="inlineStr">
        <is>
          <t>Type 1</t>
        </is>
      </c>
    </row>
    <row r="6071">
      <c r="A6071" t="inlineStr">
        <is>
          <t>ammtwr</t>
        </is>
      </c>
      <c r="B6071" t="inlineStr">
        <is>
          <t>Looking for 7XX Series Medtronic Pump</t>
        </is>
      </c>
      <c r="C6071" t="inlineStr">
        <is>
          <t xml:space="preserve">Hi! I'm a type 1 diabetic and I'm building a looped system based on either OpenAPS or Loop.  I need to get my A1C down and I seriously need a Medtronic 7xx series pump that's compatible to get started.   I can also help out with the open source side of these projects since I'm a systems software engineer experienced in C, assembly, python, Lua etc.  I also have some embedded and FPGA experience.  
Let me know if you know of someone with a 7XX series pump for sale.  Any reasonable price entertained.  
</t>
        </is>
      </c>
      <c r="D6071" t="n">
        <v>1</v>
      </c>
      <c r="E6071" t="n">
        <v>0</v>
      </c>
      <c r="F6071">
        <f>HYPERLINK("https://www.reddit.com/r/diabetes/comments/ammtwr/looking_for_7xx_series_medtronic_pump/")</f>
        <v/>
      </c>
      <c r="G6071" t="inlineStr">
        <is>
          <t>2019-02-02 21:41:49</t>
        </is>
      </c>
      <c r="H6071" t="inlineStr">
        <is>
          <t>Type 1</t>
        </is>
      </c>
    </row>
    <row r="6072">
      <c r="A6072" t="inlineStr">
        <is>
          <t>ammu6y</t>
        </is>
      </c>
      <c r="B6072" t="inlineStr">
        <is>
          <t>Recently diagnosed T2 + Starting Metformin tomorrow. Nervous!</t>
        </is>
      </c>
      <c r="C6072" t="inlineStr">
        <is>
          <t xml:space="preserve">Hello everyone!
I'm 31 and was diagnosed with diabetes about 2 weeks ago. I had a check-up and standard blood test and my glucose number came back as 350. I've radically changed my diet since, I've drastically cut down on carbs, haven't had any starchy/carby foods (I try to keep my carbs to 20-45 grams per day, sometimes less) and while I still wake up with BG numbers around 300, I go down to 190/220 as the day goes on. 
I start **Metformin Extended Release** 500mg tomorrow, planning on starting in the morning and taking it with breakfast. I've read such horror stories about the gastro side effects, I'm quite nervous! I'm a bit pill-phobic to begin with. I would love to hear any advice you guys have for me. What was your experience like on Metformin? I really wanted to try insulin first, just a couple of units but both doctors I've consulted have refused, saying Metformin is the right choice for me. My entire family (I was adopted at birth - somehow still got this crud!) is diabetic and on insulin, so I grew up with that and I'm used to it. 
I'm really scared to take the pill but I know it's the right thing to do.
Also if you'd like to share your favorite diabetic friendly foods, recipes, blogs, snacks, etc I'd be happy to hear them! Or just tips to cope with frustrations. Today I genuinely cried over not being able to have chocolate cake. 
Thank you in advance, I hope you are all having a great weekend! </t>
        </is>
      </c>
      <c r="D6072" t="n">
        <v>1</v>
      </c>
      <c r="E6072" t="n">
        <v>7</v>
      </c>
      <c r="F6072">
        <f>HYPERLINK("https://www.reddit.com/r/diabetes/comments/ammu6y/recently_diagnosed_t2_starting_metformin_tomorrow/")</f>
        <v/>
      </c>
      <c r="G6072" t="inlineStr">
        <is>
          <t>2019-02-02 21:42:55</t>
        </is>
      </c>
      <c r="H6072" t="inlineStr">
        <is>
          <t>Type 2</t>
        </is>
      </c>
    </row>
    <row r="6073">
      <c r="A6073" t="inlineStr">
        <is>
          <t>amng97</t>
        </is>
      </c>
      <c r="B6073" t="inlineStr">
        <is>
          <t>Low blood sugar after eating?</t>
        </is>
      </c>
      <c r="C6073" t="inlineStr">
        <is>
          <t>Hi, I'm new to r/diabetes and I thought I would ask if anyone else has low blood sugar after eating. I have been testing at roughly the same time every day (roughly an hour after dinner). My post-dinner readings have been 64, 81, 49, 66, 55, 58, 67, and 66 during the last week. The night my blood sugar was 64, I ate something to bring up my blood sugar and I managed to wake up (and stay in) the 80's on the day I tested 81. The next morning I started off at 85, but had a post-dinner reading of 49. Has anyone else experienced this problem?</t>
        </is>
      </c>
      <c r="D6073" t="n">
        <v>1</v>
      </c>
      <c r="E6073" t="n">
        <v>0</v>
      </c>
      <c r="F6073">
        <f>HYPERLINK("https://www.reddit.com/r/diabetes/comments/amng97/low_blood_sugar_after_eating/")</f>
        <v/>
      </c>
      <c r="G6073" t="inlineStr">
        <is>
          <t>2019-02-02 23:18:13</t>
        </is>
      </c>
      <c r="H6073" t="inlineStr">
        <is>
          <t>Type 1</t>
        </is>
      </c>
    </row>
    <row r="6074">
      <c r="A6074" t="inlineStr">
        <is>
          <t>amnm80</t>
        </is>
      </c>
      <c r="B6074" t="inlineStr">
        <is>
          <t>I need help</t>
        </is>
      </c>
      <c r="C6074" t="inlineStr">
        <is>
          <t>Hey,
Yesterday I was going through some research about natural treatment over diabetes. It claim as it can reverse type 2 diabetes and already helped around 17,542 peoples. Can you guys please check it out and confirm if it is a spam or a legitimate way to reverse diabetes.
Link:[https://blueaawhale.wordpress.com/2019/01/06/diabetes/](https://blueaawhale.wordpress.com/2019/01/06/diabetes/)
&amp;amp;#x200B;</t>
        </is>
      </c>
      <c r="D6074" t="n">
        <v>1</v>
      </c>
      <c r="E6074" t="n">
        <v>4</v>
      </c>
      <c r="F6074">
        <f>HYPERLINK("https://www.reddit.com/r/diabetes/comments/amnm80/i_need_help/")</f>
        <v/>
      </c>
      <c r="G6074" t="inlineStr">
        <is>
          <t>2019-02-02 23:48:38</t>
        </is>
      </c>
      <c r="H6074" t="inlineStr">
        <is>
          <t>Type 2</t>
        </is>
      </c>
    </row>
    <row r="6075">
      <c r="A6075" t="inlineStr">
        <is>
          <t>ams4gc</t>
        </is>
      </c>
      <c r="B6075" t="inlineStr">
        <is>
          <t>Have any Type 1’s ever done a 24 hour fast?</t>
        </is>
      </c>
      <c r="C6075" t="inlineStr">
        <is>
          <t xml:space="preserve">What was it like? How did your sugars respond? </t>
        </is>
      </c>
      <c r="D6075" t="n">
        <v>1</v>
      </c>
      <c r="E6075" t="n">
        <v>6</v>
      </c>
      <c r="F6075">
        <f>HYPERLINK("https://www.reddit.com/r/diabetes/comments/ams4gc/have_any_type_1s_ever_done_a_24_hour_fast/")</f>
        <v/>
      </c>
      <c r="G6075" t="inlineStr">
        <is>
          <t>2019-02-03 10:10:13</t>
        </is>
      </c>
      <c r="H6075" t="inlineStr">
        <is>
          <t>Type 1</t>
        </is>
      </c>
    </row>
    <row r="6076">
      <c r="A6076" t="inlineStr">
        <is>
          <t>amu5cl</t>
        </is>
      </c>
      <c r="B6076" t="inlineStr">
        <is>
          <t>Dexcom G5 system</t>
        </is>
      </c>
      <c r="C6076" t="inlineStr">
        <is>
          <t>I was recently switched to the Dexcom G6 CGM and I have a whole G5 system available if anyone is in need. It includes 1 unused transmitter, 1 unused receiver, and 14 sensors (2 expire 4/25/19, 4 expire 5/7/19, 8 expire 7/18/19).  Will sell whole kit for $600 and ship expedited within the US for free. PM me if you're interested. Thank you.</t>
        </is>
      </c>
      <c r="D6076" t="n">
        <v>1</v>
      </c>
      <c r="E6076" t="n">
        <v>1</v>
      </c>
      <c r="F6076">
        <f>HYPERLINK("https://www.reddit.com/r/diabetes/comments/amu5cl/dexcom_g5_system/")</f>
        <v/>
      </c>
      <c r="G6076" t="inlineStr">
        <is>
          <t>2019-02-03 13:17:46</t>
        </is>
      </c>
      <c r="H6076" t="inlineStr">
        <is>
          <t>Type 1</t>
        </is>
      </c>
    </row>
    <row r="6077">
      <c r="A6077" t="inlineStr">
        <is>
          <t>amv3dx</t>
        </is>
      </c>
      <c r="B6077" t="inlineStr">
        <is>
          <t>New T1er here, y'all are scaring me a bit</t>
        </is>
      </c>
      <c r="C6077" t="inlineStr">
        <is>
          <t>So I'm a 20 year old Danish college student and I was diagnosed a few days ago after an extreme weight loss prompted me to go to my GP. I was referred to the emergency reception at the nearest hospital, where I was treated for diabetic ketoacidosis, hyponatriemia, and hypokalemia. At the time of my admission, my glucose levels were at 35mmol/L. I have since then been discharged with a lantus pen, a novorapid pen, and a glucomen device, as well as a number to call before any meals for the first few days while I'm still learning. My ketone level is stably low and my glucose level is being reduced gradually to normal levels. So far things have been pretty fine and my family is freaking out more than I am to be honest.
From what I've been told, the condition should be very manageable so long as I monitor my glucose levels and take the needed insulin. The way it has been presented to me has made it seem like it will be less trouble than something like a gluten allergy or vegetarianism would be, but then I come to places like this one and everybody seems to be depressed about it. I understand that this is in part because of the financial burden, which is fortunately still covered by universal healthcare here (only the pen solution though in most cases, not the pumps).
Is it as horrible as people here make it out to be, or am I mainly seeing people venting on particularly bad days?</t>
        </is>
      </c>
      <c r="D6077" t="n">
        <v>1</v>
      </c>
      <c r="E6077" t="n">
        <v>21</v>
      </c>
      <c r="F6077">
        <f>HYPERLINK("https://www.reddit.com/r/diabetes/comments/amv3dx/new_t1er_here_yall_are_scaring_me_a_bit/")</f>
        <v/>
      </c>
      <c r="G6077" t="inlineStr">
        <is>
          <t>2019-02-03 14:48:14</t>
        </is>
      </c>
      <c r="H6077" t="inlineStr">
        <is>
          <t>Type 1</t>
        </is>
      </c>
    </row>
    <row r="6078">
      <c r="A6078" t="inlineStr">
        <is>
          <t>amxyog</t>
        </is>
      </c>
      <c r="B6078" t="inlineStr">
        <is>
          <t>Do I have Diabetes</t>
        </is>
      </c>
      <c r="C6078" t="inlineStr">
        <is>
          <t xml:space="preserve">Hello everyone, I’m a teenager and a hypochondriac. My mom and dad have daibetes. Ever since I can remember my wounds cuts, bruises, etc take forever to heal. Last time I got my blood tested everything came back normal. My mom told me that one of her signs was also her bad healing. I’m 5’11 135p. I’m not necessarily asking but just venting. </t>
        </is>
      </c>
      <c r="D6078" t="n">
        <v>1</v>
      </c>
      <c r="E6078" t="n">
        <v>7</v>
      </c>
      <c r="F6078">
        <f>HYPERLINK("https://www.reddit.com/r/diabetes/comments/amxyog/do_i_have_diabetes/")</f>
        <v/>
      </c>
      <c r="G6078" t="inlineStr">
        <is>
          <t>2019-02-03 20:23:46</t>
        </is>
      </c>
      <c r="H6078" t="inlineStr">
        <is>
          <t>Type 2</t>
        </is>
      </c>
    </row>
    <row r="6079">
      <c r="A6079" t="inlineStr">
        <is>
          <t>amyozb</t>
        </is>
      </c>
      <c r="B6079" t="inlineStr">
        <is>
          <t>Panic Attacks with Low Blood Sugar</t>
        </is>
      </c>
      <c r="C6079" t="inlineStr">
        <is>
          <t xml:space="preserve">I am currently 20 years old and have been T1 since I was 12. Up until now I have never experienced this symptom. While low many of my day to day worries are heightened to an extreme. Everything from my ex, my uncertain career path, etc. plague me. However, once my blood sugar raises I have a much more rational time of dealing with these worries. Anyone else experience this?    </t>
        </is>
      </c>
      <c r="D6079" t="n">
        <v>1</v>
      </c>
      <c r="E6079" t="n">
        <v>4</v>
      </c>
      <c r="F6079">
        <f>HYPERLINK("https://www.reddit.com/r/diabetes/comments/amyozb/panic_attacks_with_low_blood_sugar/")</f>
        <v/>
      </c>
      <c r="G6079" t="inlineStr">
        <is>
          <t>2019-02-03 21:54:21</t>
        </is>
      </c>
      <c r="H6079" t="inlineStr">
        <is>
          <t>Type 1</t>
        </is>
      </c>
    </row>
    <row r="6080">
      <c r="A6080" t="inlineStr">
        <is>
          <t>an14bl</t>
        </is>
      </c>
      <c r="B6080" t="inlineStr">
        <is>
          <t>Delayed action of insulin or what?</t>
        </is>
      </c>
      <c r="C6080" t="inlineStr">
        <is>
          <t>Hello,
&amp;amp;#x200B;
 I have this strange problem almost every morning.
After I eat breakfast (4 slice of corn bread or buckwheat bread) my blood sugar starts to go up, even when I prebolus 15-20 minutes before meal. When I tried to prebolus 60 minutes before breakfast I will usually end up going really to low numbers before I eat, so that not possible...
The thing is that my blood sugar goes up to certain point (sometimes I even apply some additional small bolus when it went to much high), but after half and hour it changes and starts to go down, even eating snack does not help it and from certain point it goes rapidly down and I have to take eat sugar to stop it.
&amp;amp;#x200B;
You can see it on graph what I mean: 
&amp;amp;#x200B;
&amp;amp;#x200B;
https://i.redd.it/qvjq8owymje21.png
https://i.redd.it/vb1ojqwymje21.png
https://i.redd.it/woyvwzxymje21.png
https://i.redd.it/vtmthqwymje21.png
https://i.redd.it/yk4w4twymje21.png
https://i.redd.it/2lshrrwymje21.png
https://i.redd.it/ts1qaxwymje21.png
https://i.redd.it/s0o5z3yymje21.png
https://i.redd.it/kzbsmwwymje21.png</t>
        </is>
      </c>
      <c r="D6080" t="n">
        <v>1</v>
      </c>
      <c r="E6080" t="n">
        <v>5</v>
      </c>
      <c r="F6080">
        <f>HYPERLINK("https://www.reddit.com/r/diabetes/comments/an14bl/delayed_action_of_insulin_or_what/")</f>
        <v/>
      </c>
      <c r="G6080" t="inlineStr">
        <is>
          <t>2019-02-04 04:16:25</t>
        </is>
      </c>
      <c r="H6080" t="inlineStr">
        <is>
          <t>Type 1</t>
        </is>
      </c>
    </row>
    <row r="6081">
      <c r="A6081" t="inlineStr">
        <is>
          <t>an374k</t>
        </is>
      </c>
      <c r="B6081" t="inlineStr">
        <is>
          <t>Tamiflu : Any advice or experiences?</t>
        </is>
      </c>
      <c r="C6081" t="inlineStr">
        <is>
          <t>My 6yo son was diagnosed with T1D 2.5 yrs ago and has the flu. He received a flu shot in September but must be one of the lucky ones to get an uncovered strain! His general practitioner prescribed Tamiflu.  The GP wasn't aware of any specific concerns related to T1Ds and Tamiflu. We are waiting to hear back from our endo but wanted to see if anyone had any 1st hand experiences or advice.
&amp;amp;#x200B;
We know that medications can affect how effective his insulin is but are there other things to look out for.</t>
        </is>
      </c>
      <c r="D6081" t="n">
        <v>1</v>
      </c>
      <c r="E6081" t="n">
        <v>7</v>
      </c>
      <c r="F6081">
        <f>HYPERLINK("https://www.reddit.com/r/diabetes/comments/an374k/tamiflu_any_advice_or_experiences/")</f>
        <v/>
      </c>
      <c r="G6081" t="inlineStr">
        <is>
          <t>2019-02-04 08:17:19</t>
        </is>
      </c>
      <c r="H6081" t="inlineStr">
        <is>
          <t>Type 1</t>
        </is>
      </c>
    </row>
    <row r="6082">
      <c r="A6082" t="inlineStr">
        <is>
          <t>an50f6</t>
        </is>
      </c>
      <c r="B6082" t="inlineStr">
        <is>
          <t>My endo says alcohol is bad for me, to him I say shut up</t>
        </is>
      </c>
      <c r="C6082" t="inlineStr">
        <is>
          <t>How come alcohol is bad for me? I think my mom has told him that I once overdosed on alcohol and pills and now he's trying to stop me from drinking. I've never read it anywhere that alcohol is bad for a diabetic! Why would he say that? I prefer Methadone to booze anyways...</t>
        </is>
      </c>
      <c r="D6082" t="n">
        <v>1</v>
      </c>
      <c r="E6082" t="n">
        <v>2</v>
      </c>
      <c r="F6082">
        <f>HYPERLINK("https://www.reddit.com/r/diabetes/comments/an50f6/my_endo_says_alcohol_is_bad_for_me_to_him_i_say/")</f>
        <v/>
      </c>
      <c r="G6082" t="inlineStr">
        <is>
          <t>2019-02-04 11:04:42</t>
        </is>
      </c>
      <c r="H6082" t="inlineStr">
        <is>
          <t>Type 1</t>
        </is>
      </c>
    </row>
    <row r="6083">
      <c r="A6083" t="inlineStr">
        <is>
          <t>an87zb</t>
        </is>
      </c>
      <c r="B6083" t="inlineStr">
        <is>
          <t>Feeling weird lately...</t>
        </is>
      </c>
      <c r="C6083" t="inlineStr">
        <is>
          <t>I've been a type 1 diabetic for 2 years now. A few weeks ago I had a different than usual low sugar reaction where I felt pins and needles in my legs and arms and I got really scared. I ate some sugar and got my levels back up and everything was fine. Later that day I couldn't stop thinking about it. I took a nap, slept on my hand accidentally and when I woke up it felt numb so I got really stressed that I might have some bad illness. Of course, my hand returned to normal immediately. I got a panic attack and didn't fall asleep that night until 4 am. I got convinced that I have some kind of disease and got really stressed about it. I also had episodes of fainting later. I had my blood tested and everything turned out fine, my doctor even said that my results are better than average. I've been feeling very weird lately. Almost not like myself, I have a brain fog all the time. My math or other skills haven't worsened though. I've always been an introvert but now when I'm alone I get so many different thoughts that I prefer to be with friends. In fact I choose to interact with people as much as I can just not to be alone. I also get these deep thoughts about life and existence which never were as deep as they are now. I just want to be normal again like I used to be and I don't know where to go. I've already been to a doctor. Please help me. I also posted this to r/anxiety...</t>
        </is>
      </c>
      <c r="D6083" t="n">
        <v>1</v>
      </c>
      <c r="E6083" t="n">
        <v>7</v>
      </c>
      <c r="F6083">
        <f>HYPERLINK("https://www.reddit.com/r/diabetes/comments/an87zb/feeling_weird_lately/")</f>
        <v/>
      </c>
      <c r="G6083" t="inlineStr">
        <is>
          <t>2019-02-04 16:12:25</t>
        </is>
      </c>
      <c r="H6083" t="inlineStr">
        <is>
          <t>Type 1</t>
        </is>
      </c>
    </row>
    <row r="6084">
      <c r="A6084" t="inlineStr">
        <is>
          <t>anbf3i</t>
        </is>
      </c>
      <c r="B6084" t="inlineStr">
        <is>
          <t>Probably adjusting my diagnosis from T2 to T1... fml</t>
        </is>
      </c>
      <c r="C6084" t="inlineStr">
        <is>
          <t xml:space="preserve">I'm devastated guys.
I went into my endo today expecting the same feedback as usual; keep doing what you're doing, lose a little more weight, watch the cholesterol, etc. For the record, I was diagnosed with T2 back in 2012. It took me a couple years to come out of denial and another few years to get control over my A1C, but these days I am doing pretty well... or so I thought. With calorie counting, carb restriction, and daily exercise, I dropped 50 lbs in the past few months. Everyone on my healthcare team was expecting great improvement in my insulin resistance with so much weight loss, but it has stayed pretty much the same. My endo took one look at my new weight, diet, meds, and exercise regimen and said we need to test my antibodies. I had these tests done a few years back, but she wants to run them again. If they come back  negative we will keep running them on a yearly basis until something shows, and then we adjust my med regimen. 
I know I have a lot to be grateful for. My honeymoon phase has lasted well over a decade, and and this rate I can easily expect a couple more years of pancreatic function before I have to start insulin. I didn't have to go through DKA to learn about it, and thanks to this community I have an idea of what to expect. Of all the autoimmune disorders, I'll have one of the rare few where the symptoms are in my control (sort of). Honestly, I'm not that surprised since my diabetes has never "behaved" like T2 should, and it took months to find T2 medications that seemed to work. In some crazy sense, I even feel a bit glad that I will have a community of peers since it's quite lonely to be a T2 under 30. Nevertheless, I'm crushed. I thought I had everything under control after years of struggling. I thought that with enough work (aka diet and exercise) I could lessen the severity of my diabetes. Now my future will only get worse as my pancreas continues to die, and there isn't a thing I can do about it. Pardon my mellow-dramatic ranting, but I had to get this off my chest. </t>
        </is>
      </c>
      <c r="D6084" t="n">
        <v>1</v>
      </c>
      <c r="E6084" t="n">
        <v>8</v>
      </c>
      <c r="F6084">
        <f>HYPERLINK("https://www.reddit.com/r/diabetes/comments/anbf3i/probably_adjusting_my_diagnosis_from_t2_to_t1_fml/")</f>
        <v/>
      </c>
      <c r="G6084" t="inlineStr">
        <is>
          <t>2019-02-04 22:27:00</t>
        </is>
      </c>
      <c r="H6084" t="inlineStr">
        <is>
          <t>Type 1.5/LADA</t>
        </is>
      </c>
    </row>
    <row r="6085">
      <c r="A6085" t="inlineStr">
        <is>
          <t>anctyr</t>
        </is>
      </c>
      <c r="B6085" t="inlineStr">
        <is>
          <t>Is this possible or did he lie about his condition?</t>
        </is>
      </c>
      <c r="C6085" t="inlineStr">
        <is>
          <t xml:space="preserve">I just met a dude in our friends’ group. We know each other for a while and I just found out he has type1 diabetes. He is 26 now but he says hw developed diabeted at age 7 or so. He said it out ‘out of nowhere’ with  a ‘sudden’ modification of his DNA cells that made his immune system ‘impenetrable’ ( he said he never ever got any cold or disease ever since he was 7) but it also destroyed his insulin lvls and he now does even 100 units of insulin a day. 
He says he doesn’t respect any diet or whatever, but he just uses a higher insulin shot based on what he ate 
However he said some things that seemed really ‘made up’ to me. But he swore it was real. 
I know a thing or two about diabetes (some family members) but I never heard of what he said 
Usually a normal glycemic range is 70-105 or near these values. 
He said he even had 900 glycemia after one day of not doing insulin shots BUT he said he was ok at home and NOT in a coma as it should have been. He said he just made a bigger insulin shot and it got to normal. 
Other time he said his glycemia went to 15-20!!! 
When he did a lot of sport or whatever. 
Again he claims he was fine, a bit dizzy but he ate more food and it cane back to normal. 
Now, my knowledge so far tells me at over 500/600 glycemia the body enters in a coma and under 40/50 again it can cause coma and death. 
When I told him this he said he just related his experience and he ‘blamed’ this resistance on his ‘indestructible’ immune system claiming he is different. 
I just want to know if these information may be true or valid or if he really lied for the sake of the story?
He swore he was honest and the story with never getting any cold or disease was verified and it was true but i’m not sure it can also cause such weird abnormal insulin leveles without dangerous outcomes. 
Please help me with this one. </t>
        </is>
      </c>
      <c r="D6085" t="n">
        <v>1</v>
      </c>
      <c r="E6085" t="n">
        <v>24</v>
      </c>
      <c r="F6085">
        <f>HYPERLINK("https://www.reddit.com/r/diabetes/comments/anctyr/is_this_possible_or_did_he_lie_about_his_condition/")</f>
        <v/>
      </c>
      <c r="G6085" t="inlineStr">
        <is>
          <t>2019-02-05 02:26:38</t>
        </is>
      </c>
      <c r="H6085" t="inlineStr">
        <is>
          <t>Type 1</t>
        </is>
      </c>
    </row>
    <row r="6086">
      <c r="A6086" t="inlineStr">
        <is>
          <t>anhbij</t>
        </is>
      </c>
      <c r="B6086" t="inlineStr">
        <is>
          <t>Accidentally froze Novalog...</t>
        </is>
      </c>
      <c r="C6086" t="inlineStr">
        <is>
          <t xml:space="preserve">So mistakes happen, and it was left.in the car overnight and froze. I'm hoping you guys have some advice...?
I know it can't be used. The Pharmacy said to go to the manufacturer, but they won't replace it. Any other options?
</t>
        </is>
      </c>
      <c r="D6086" t="n">
        <v>1</v>
      </c>
      <c r="E6086" t="n">
        <v>26</v>
      </c>
      <c r="F6086">
        <f>HYPERLINK("https://www.reddit.com/r/diabetes/comments/anhbij/accidentally_froze_novalog/")</f>
        <v/>
      </c>
      <c r="G6086" t="inlineStr">
        <is>
          <t>2019-02-05 10:53:15</t>
        </is>
      </c>
      <c r="H6086" t="inlineStr">
        <is>
          <t>Type 1</t>
        </is>
      </c>
    </row>
    <row r="6087">
      <c r="A6087" t="inlineStr">
        <is>
          <t>anidic</t>
        </is>
      </c>
      <c r="B6087" t="inlineStr">
        <is>
          <t>LADA and what to expect?</t>
        </is>
      </c>
      <c r="C6087" t="inlineStr">
        <is>
          <t xml:space="preserve">  
Hello all, 
&amp;amp;#x200B;
I'm starting to realize that I'm probably going to need to be using insulin sooner than I thought and coming to terms with things. Or at least I need to be making adjustments to my wellness plan. I recently had some labs done and after viewing their results I'm prepping for my Endo appointment in a couple days. I thought I'd turn to this forum for any advice on things to consider, references to read or items to go over with my doctor. 
I'd like to thank everyone in advance for taking the time to read this and any advice offered. Researching things myself helps with understanding and discussing things with my doctor but it is always nice to hear from people who have gone through these things already.
**History:**
Around age 28(M) (4years ago) when I lost weight. I hadn’t changed anything but after i lost like 30 pounds i thought i'd take advantage of it and start working out. Was diagnosed as Type 2 when I went in to doc for checkup prior to starting to work out and she noticed high sugars. 
I jumped head first into research and started LC dieting then and taking metformin but didn’t really take management too seriously. Would be hot and cold cause I'd never dieted before and couldn't maintain food prep. Two years ago, I sought out an Endo because I suspected LADA and have been seeing him primarily since. He hasn’t officially diagnosed me as LADA, but he works with me on what I want to do test wise and treatment wise. I ’ll probably ask him to diagnose me this week as LADA. 
Pertinent lab history below for reference:
**Alc**
Current: 5.6 (6,6.9,6.1 in the last year, varies on management of course)
**C-peptide**
10/2017 = 2.66
1/2019 = 1.0
**GAD65**
10/2017 = 44
1/2019 = 56
**IA-2**
10/2017 = 8.8
1/2019 = 9.6
**Insulin Autoantibody**
10/2017 = normal
1/2019 = normal
**Thyroid Panel = Normal**
&amp;amp;#x200B;
Currently taking (2x) Janumet XR daily; 8-12 units 100mg Triseba in the morning. 
&amp;amp;#x200B;
Maybe I’m looking at this wrong, but I’m seeing the decline in insulin production happening fairly quickly through the C-peptide test and my high morning sugars. Last winter I saw my Endo and I started taking basal (the long acting kind once a day) insulin because even though I maintain strict diet and weight control I can’t get my BS where I’d like (under 100). While taking it I’ve doubled the original dose he prescribed but still haven’t gotten normal morning sugars. A couple times with a new insulin pen I would go low to the 70s and freaked out. Also didn’t eat much those days and it was in evening but I’m worried that trying to do everything with a morning dose isn’t safe for me because of inconsistent meals. 
Even though I’m managing well right now, as measured through A1c at 5.6 couple weeks ago, I feel like it is only because of my strict dieting and fairly frequent intermittent fasting (few days a week). Is there anything I can do to prevent further reduction of my beta cell insulin production? Am I interpreting the labs correctly?
In the interest of extending my beta cell production as long as possible, I can’t help but feel I need to make adjustments. I’m hoping others in the community who have experience might be able to offer suggestions to discuss later this week with my doctor. My research is limited, but I have looked into a few different things. Below are a few items I’m considering suggesting. 
* \-Spitting my basal to twice a day instead of 1. One at night before bed and one in the morning when I wake up. 
* \-Learning to count calories and start bolus insulin to “peak shave” my meals. Testing regularly and getting a regiment so that I can keep low as possible. 
* \-I’ve also started exercising the last few weeks, which is something I haven’t been doing in my wellness program. 3 days a week of krav maga has been getting me active, so I anticipate some improvements in the next few months from that. 
I’m not sure if there is some technology to assist with this? Tracking wise I have a health app on my phone I can track meals, sugar and insulin amounts but would be interested to hear suggestions. I realize also I can search this stuff for established references online and my doctor would surely provide it, but always nice to hear what people like. </t>
        </is>
      </c>
      <c r="D6087" t="n">
        <v>1</v>
      </c>
      <c r="E6087" t="n">
        <v>9</v>
      </c>
      <c r="F6087">
        <f>HYPERLINK("https://www.reddit.com/r/diabetes/comments/anidic/lada_and_what_to_expect/")</f>
        <v/>
      </c>
      <c r="G6087" t="inlineStr">
        <is>
          <t>2019-02-05 12:32:09</t>
        </is>
      </c>
      <c r="H6087" t="inlineStr">
        <is>
          <t>Type 1.5/LADA</t>
        </is>
      </c>
    </row>
    <row r="6088">
      <c r="A6088" t="inlineStr">
        <is>
          <t>ank235</t>
        </is>
      </c>
      <c r="B6088" t="inlineStr">
        <is>
          <t>Dexcom G5 together with HUAWEI P20 Pro</t>
        </is>
      </c>
      <c r="C6088" t="inlineStr">
        <is>
          <t>did anyone try this?
I consider buying this phone but not sure.
I saw that the Dropbox version is archived so I couldn't ask there, but I need to know from your experience if it will eork there.
&amp;amp;#x200B;
Thanks!
&amp;amp;#x200B;</t>
        </is>
      </c>
      <c r="D6088" t="n">
        <v>1</v>
      </c>
      <c r="E6088" t="n">
        <v>1</v>
      </c>
      <c r="F6088">
        <f>HYPERLINK("https://www.reddit.com/r/diabetes/comments/ank235/dexcom_g5_together_with_huawei_p20_pro/")</f>
        <v/>
      </c>
      <c r="G6088" t="inlineStr">
        <is>
          <t>2019-02-05 15:14:23</t>
        </is>
      </c>
      <c r="H6088" t="inlineStr">
        <is>
          <t>Type 1</t>
        </is>
      </c>
    </row>
    <row r="6089">
      <c r="A6089" t="inlineStr">
        <is>
          <t>anmmug</t>
        </is>
      </c>
      <c r="B6089" t="inlineStr">
        <is>
          <t>Metformin Side effect</t>
        </is>
      </c>
      <c r="C6089" t="inlineStr">
        <is>
          <t xml:space="preserve">Metformin side effects:
 Can anyone else tell me if they’ve also felt this way? &amp;amp; any other alternatives to metformin for t2 diabetes?
Dizziness,
Head fog,
audio sensitivity,
feeling of being “drunk or high” like in head,
tingling in feet and hands/arms,
Thanks! </t>
        </is>
      </c>
      <c r="D6089" t="n">
        <v>1</v>
      </c>
      <c r="E6089" t="n">
        <v>2</v>
      </c>
      <c r="F6089">
        <f>HYPERLINK("https://www.reddit.com/r/diabetes/comments/anmmug/metformin_side_effect/")</f>
        <v/>
      </c>
      <c r="G6089" t="inlineStr">
        <is>
          <t>2019-02-05 19:49:00</t>
        </is>
      </c>
      <c r="H6089" t="inlineStr">
        <is>
          <t>Type 2</t>
        </is>
      </c>
    </row>
    <row r="6090">
      <c r="A6090" t="inlineStr">
        <is>
          <t>anq0tk</t>
        </is>
      </c>
      <c r="B6090" t="inlineStr">
        <is>
          <t>Experiences with T1 and exercise</t>
        </is>
      </c>
      <c r="C6090" t="inlineStr">
        <is>
          <t>Hey guys, I'm hoping to hear some experiences about exercising with Type 1 Diabetes.  Novel ahead, TL;DR to follow. 
My husband is T1 - he was diagnosed in his early thirties after becoming seriously ill.  He has always managed it really well and, admittedly, I don't know as much about his care as I should because he's not someone who likes to accept help. I've done some reading to understand the basics and I ask questions but he obviously knows his condition better than I do.
Recently we've had some big changes in our lives including the birth of our first child, and he has not been eating, sleeping, or exercising as well as he used to.  A recent trip to the doctor showed he was not managing his diabetes well (but I couldn't get him to tell me just how bad - only that they did blood tests and concluded he's had dangerously high blood sugar for apparently months?) and he got a very stern warning that he'd probably done some serious damage letting it get so bad.  I was devastated and feel like it's partially my fault - with the pregnancy and birth we've been so focused on me we didn't take care of him.
He uses pens, not a pump, and the only time I've seen him test himself was when he showed me once how to do it when we first started dating - years ago. He says he does it by feeling now that he's been diabetic for a while and that he has a good sense of his levels, but this seems questionable to me if his levels were bad for so long without him noticing?  
Anyway - I'm cooking healthier, making sure he's getting as much sleep as he can (for a father of a newborn baby), but he doesn't want to go back to his usual exercise.   He used to go to the gym and lift weights, as well as doing a LOT of walking because of his previous commute.  Now he does very little walking (we moved) and has stopped going to the gym. He says lifting weights feels different now, that it's too hard, he's too tired, his body is 'done' and he's not going back.  This worries me because everything I'm reading says exercise is really important.
**TL;DR:**
If exercise feels too hard / too tiring - is this a sign that something's not right and needs addressing *before* he can resume exercising?  Or is it that he needs to start with something low impact / less strenuous to build back up after having let it slide for a while?  How big of a role does exercise play in maintaining healthy levels? 
And any tips on how I can be supportive without driving him insane with my meddling?  :/
&amp;amp;#x200B;
&amp;amp;#x200B;</t>
        </is>
      </c>
      <c r="D6090" t="n">
        <v>1</v>
      </c>
      <c r="E6090" t="n">
        <v>17</v>
      </c>
      <c r="F6090">
        <f>HYPERLINK("https://www.reddit.com/r/diabetes/comments/anq0tk/experiences_with_t1_and_exercise/")</f>
        <v/>
      </c>
      <c r="G6090" t="inlineStr">
        <is>
          <t>2019-02-06 04:02:16</t>
        </is>
      </c>
      <c r="H6090" t="inlineStr">
        <is>
          <t>Type 1</t>
        </is>
      </c>
    </row>
    <row r="6091">
      <c r="A6091" t="inlineStr">
        <is>
          <t>anrozd</t>
        </is>
      </c>
      <c r="B6091" t="inlineStr">
        <is>
          <t>New Jersey folks with T1, how do you afford insulin?</t>
        </is>
      </c>
      <c r="C6091" t="inlineStr">
        <is>
          <t>My friend (who has T1) currently lives in a small town in PA, she gets UPMC for You through Medicaid. She's stuck in poverty because there are few jobs in that town, the jobs that exist pay next to nothing, and she's drowning in student loans. She can't afford to move on her own. I told her she can move in with me in NJ. However, we're having trouble figuring out how the costs of insulin and other necessities are covered here.  
I spoke with one individual who lives in NJ and he applies through NJ FamilyCare. But that every year he has to apply again and there's a gap period of weeks where he's not covered and he has to use expired insulin to survive? It sounded horrifying. Also it doesn't cover you if you do end up living above the poverty line. And I don't know if insurance through a well-paying job would be affordable.  
Anyway, I'm feeling confused and upset and I know my friend is feeling very trapped in small town PA. I'd really appreciate any advice. Thank you!</t>
        </is>
      </c>
      <c r="D6091" t="n">
        <v>1</v>
      </c>
      <c r="E6091" t="n">
        <v>0</v>
      </c>
      <c r="F6091">
        <f>HYPERLINK("https://www.reddit.com/r/diabetes/comments/anrozd/new_jersey_folks_with_t1_how_do_you_afford_insulin/")</f>
        <v/>
      </c>
      <c r="G6091" t="inlineStr">
        <is>
          <t>2019-02-06 07:18:53</t>
        </is>
      </c>
      <c r="H6091" t="inlineStr">
        <is>
          <t>Type 1</t>
        </is>
      </c>
    </row>
    <row r="6092">
      <c r="A6092" t="inlineStr">
        <is>
          <t>anshyf</t>
        </is>
      </c>
      <c r="B6092" t="inlineStr">
        <is>
          <t>Informal poll for those with Type II</t>
        </is>
      </c>
      <c r="C6092" t="inlineStr">
        <is>
          <t>Hello friends! I was diagnosed with Type II just a little over a year ago. My primary care physician never really discussed it with me. They had a nurse call to set up an appointment to "talk about lab results". They set me up to meet with the physician's assistant on staff. I go in and she asks me how I am doing with my diabetes. WTF? No one even told me that I had been diagnosed at that point. She was very condescending to me over how I needed to make life changes, etc. I wasn't happy. I don't even know is she is a certified diabetes educator. I am quite familiar with that term as the AADE was once a very good customer of mine. Just tons of frustration for me. So now on to my informal poll:
&amp;amp;#x200B;
What kind of medical professional do you see on a regular basis concerning your Type II diabetes?
* Primary Care Physician
* Physician's Assistant
* Nurse Practitioner
* Nurse
* Endocrinologist
* Other
Thanks for playing along...</t>
        </is>
      </c>
      <c r="D6092" t="n">
        <v>1</v>
      </c>
      <c r="E6092" t="n">
        <v>9</v>
      </c>
      <c r="F6092">
        <f>HYPERLINK("https://www.reddit.com/r/diabetes/comments/anshyf/informal_poll_for_those_with_type_ii/")</f>
        <v/>
      </c>
      <c r="G6092" t="inlineStr">
        <is>
          <t>2019-02-06 08:34:31</t>
        </is>
      </c>
      <c r="H6092" t="inlineStr">
        <is>
          <t>Type 2</t>
        </is>
      </c>
    </row>
    <row r="6093">
      <c r="A6093" t="inlineStr">
        <is>
          <t>ant6uh</t>
        </is>
      </c>
      <c r="B6093" t="inlineStr">
        <is>
          <t>Any Medtronic 6XXg T1s Using the Leather Vertical Case?</t>
        </is>
      </c>
      <c r="C6093" t="inlineStr">
        <is>
          <t>I have the Myabetic Bailey vegan leather vertical case and was wondering if anyone could compare it to the genuine leather vertical case that Medtronic sells for the 6XXg series pumps.  The photos on the store site do not provide enough information to make a good judgement.  The Myabetic case is OK, but I have a couple issues with it:   1. It adds a lot of bulk and weight to the overall size of the unit making it stick out even more when wearing it on a belt or shoving it in a pocket.  2.  The close on it is velcro and it only took perhaps 3 days before it would barely stay attached.  I've had it for about two months now and it flops open during wear regularly.  I've been using pumps for over 10 years now and have yet to find the "perfect" everyday case.</t>
        </is>
      </c>
      <c r="D6093" t="n">
        <v>1</v>
      </c>
      <c r="E6093" t="n">
        <v>3</v>
      </c>
      <c r="F6093">
        <f>HYPERLINK("https://www.reddit.com/r/diabetes/comments/ant6uh/any_medtronic_6xxg_t1s_using_the_leather_vertical/")</f>
        <v/>
      </c>
      <c r="G6093" t="inlineStr">
        <is>
          <t>2019-02-06 09:36:18</t>
        </is>
      </c>
      <c r="H6093" t="inlineStr">
        <is>
          <t>Type 1</t>
        </is>
      </c>
    </row>
    <row r="6094">
      <c r="A6094" t="inlineStr">
        <is>
          <t>anultk</t>
        </is>
      </c>
      <c r="B6094" t="inlineStr">
        <is>
          <t>Dexcom G6 insertion sites?</t>
        </is>
      </c>
      <c r="C6094" t="inlineStr">
        <is>
          <t>Hey guys! I'm new to this so please forgive me if I've made any mistakes with constructing this post. I'm 25 and type 1 and just got my first cgm, a dexcom g6. I use pens, so this is the only thing I'm placing. I had my first site in the back of my arm which I really liked aside from the whole sports bra on/off issue, and the current one is in my stomach. 
&amp;amp;#x200B;
What's your favorite insertion site/which ones DON'T you like? I feel really freaked out by the back thing and the stomach one has been a bit difficult because I stupidly put it at my waistband (thought I measured correctly-NOPE). If there are any pictures of where you put yours, that would be crazy helpful, as "my thigh" confuses tf out of me. Thank you so much!</t>
        </is>
      </c>
      <c r="D6094" t="n">
        <v>1</v>
      </c>
      <c r="E6094" t="n">
        <v>15</v>
      </c>
      <c r="F6094">
        <f>HYPERLINK("https://www.reddit.com/r/diabetes/comments/anultk/dexcom_g6_insertion_sites/")</f>
        <v/>
      </c>
      <c r="G6094" t="inlineStr">
        <is>
          <t>2019-02-06 11:43:00</t>
        </is>
      </c>
      <c r="H6094" t="inlineStr">
        <is>
          <t>Type 1</t>
        </is>
      </c>
    </row>
    <row r="6095">
      <c r="A6095" t="inlineStr">
        <is>
          <t>anx6bu</t>
        </is>
      </c>
      <c r="B6095" t="inlineStr">
        <is>
          <t>Just some good news I wanted to share!</t>
        </is>
      </c>
      <c r="C6095" t="inlineStr">
        <is>
          <t xml:space="preserve">I’ve been type 1 since I was a year old, so 23 years now. I just had an endo appointment this morning, and I got the BEST A1C I’ve ever had in all my years being a diabetic! I’ve cried happy tears more times than I can count. I’m absolutely amazed, since I am in medical school and therefore constantly stressed out, and I don’t even have a CGM! I’M SO HAPPY </t>
        </is>
      </c>
      <c r="D6095" t="n">
        <v>1</v>
      </c>
      <c r="E6095" t="n">
        <v>14</v>
      </c>
      <c r="F6095">
        <f>HYPERLINK("https://www.reddit.com/r/diabetes/comments/anx6bu/just_some_good_news_i_wanted_to_share/")</f>
        <v/>
      </c>
      <c r="G6095" t="inlineStr">
        <is>
          <t>2019-02-06 15:33:17</t>
        </is>
      </c>
      <c r="H6095" t="inlineStr">
        <is>
          <t>Type 1</t>
        </is>
      </c>
    </row>
    <row r="6096">
      <c r="A6096" t="inlineStr">
        <is>
          <t>anz9ux</t>
        </is>
      </c>
      <c r="B6096" t="inlineStr">
        <is>
          <t>I’m always so scared of lows</t>
        </is>
      </c>
      <c r="C6096" t="inlineStr">
        <is>
          <t>I don’t know why but I’m always horrified of going low, I’m to scared to check my bg via pricker when I’m low, scared that it would be lower than my cgm. I’m (probably too) scared it would go below 2.0 mmol to the point where I might have a seizure or lose consciousness. I don’t even know why I’m so irrational about it. The lowest I got was 2.1 and that was pretty terrifying for me. One time my cgm came out (Dexcom g5) and I didn’t realize (I was almost low and just treated it) but then when it comes out it would drop about 2-3 and then tell you it isn’t working, so since I was around 4.0 it went so low and it just said “low” and that terrified me to the point that i was crying. 
Sorry for just kinda rambling, I was also diagnosed less than a year ago</t>
        </is>
      </c>
      <c r="D6096" t="n">
        <v>1</v>
      </c>
      <c r="E6096" t="n">
        <v>5</v>
      </c>
      <c r="F6096">
        <f>HYPERLINK("https://www.reddit.com/r/diabetes/comments/anz9ux/im_always_so_scared_of_lows/")</f>
        <v/>
      </c>
      <c r="G6096" t="inlineStr">
        <is>
          <t>2019-02-06 19:15:05</t>
        </is>
      </c>
      <c r="H6096" t="inlineStr">
        <is>
          <t>Type 1</t>
        </is>
      </c>
    </row>
    <row r="6097">
      <c r="A6097" t="inlineStr">
        <is>
          <t>anzh8r</t>
        </is>
      </c>
      <c r="B6097" t="inlineStr">
        <is>
          <t>Am I diabetic?</t>
        </is>
      </c>
      <c r="C6097" t="inlineStr">
        <is>
          <t>I think I might be diabetic. Here's the thing, though. My blood sugar numbers have always been okay. However, I did a full blood test recently -- this was 2 weeks ago. Because of my A1C number, my doctor thinks that I may be diabetic. I don't fully trust the doctor since: (a) she is not a specialist; and (b) I have read that the doctors at this particular medical care facility are not that great. The truth is that you need two separate A1C numbers of above 6.5 to be declared diabetic and this doctor has no way of knowing what my previous numbers were. The truth is that I have been eating badly for the past 7 months and have not been exercising at all.
&amp;amp;#x200B;
My question is: Am I diabetic?
&amp;amp;#x200B;
\-+-
HISTORICAL DATA
\-++++++++++++++++++++++++++++++++++-
FASTING BLOOD SUGAR NUMBERS
My fasting blood sugar was last measured to be about 115 two weeks -- I am not a 100% sure what the actual  number is because they did not give me that sheet &amp;amp; I need to get it from them. The previous measurement was back in April of 2018, and was at a Diabetes treatment facility. 
\-++++++++++++++++++++++++++++++++++-
A1c numbers
I honestly don't know what it is. I think it is a shade above 6.5. 
\-++++++++++++++++++++++++++++++++++-
I suppose I should follow up by posting all my fasting blood sugar numbers from the past 3 years. I have been keeping track of it pretty closely. That should give you some additional data points.</t>
        </is>
      </c>
      <c r="D6097" t="n">
        <v>1</v>
      </c>
      <c r="E6097" t="n">
        <v>2</v>
      </c>
      <c r="F6097">
        <f>HYPERLINK("https://www.reddit.com/r/diabetes/comments/anzh8r/am_i_diabetic/")</f>
        <v/>
      </c>
      <c r="G6097" t="inlineStr">
        <is>
          <t>2019-02-06 19:37:29</t>
        </is>
      </c>
      <c r="H6097" t="inlineStr">
        <is>
          <t>Type 2</t>
        </is>
      </c>
    </row>
    <row r="6098">
      <c r="A6098" t="inlineStr">
        <is>
          <t>ao3cei</t>
        </is>
      </c>
      <c r="B6098" t="inlineStr">
        <is>
          <t>How to stop a bolus on Tandem T Slim x2</t>
        </is>
      </c>
      <c r="C6098" t="inlineStr">
        <is>
          <t>Just realized I way overestimated the carbs in my meal and will crash if my bolus is delivered fully. How do I stop the remaining Insulin On Board from being delivered? The manual mentions an "X" you can press on the home screen but I don't see what it's talking about. Also simply "stopping insulin" would cause that pesky alarm to go off until I turn it back on. Help!</t>
        </is>
      </c>
      <c r="D6098" t="n">
        <v>1</v>
      </c>
      <c r="E6098" t="n">
        <v>9</v>
      </c>
      <c r="F6098">
        <f>HYPERLINK("https://www.reddit.com/r/diabetes/comments/ao3cei/how_to_stop_a_bolus_on_tandem_t_slim_x2/")</f>
        <v/>
      </c>
      <c r="G6098" t="inlineStr">
        <is>
          <t>2019-02-07 04:43:04</t>
        </is>
      </c>
      <c r="H6098" t="inlineStr">
        <is>
          <t>Type 1</t>
        </is>
      </c>
    </row>
    <row r="6099">
      <c r="A6099" t="inlineStr">
        <is>
          <t>ao3ovm</t>
        </is>
      </c>
      <c r="B6099" t="inlineStr">
        <is>
          <t>Human-Robot</t>
        </is>
      </c>
      <c r="C6099" t="inlineStr">
        <is>
          <t>Does anyone else feel super cool that we have actual machinery attached to yourselves? I feel like such a badass! Just me?</t>
        </is>
      </c>
      <c r="D6099" t="n">
        <v>1</v>
      </c>
      <c r="E6099" t="n">
        <v>10</v>
      </c>
      <c r="F6099">
        <f>HYPERLINK("https://www.reddit.com/r/diabetes/comments/ao3ovm/humanrobot/")</f>
        <v/>
      </c>
      <c r="G6099" t="inlineStr">
        <is>
          <t>2019-02-07 05:24:36</t>
        </is>
      </c>
      <c r="H6099" t="inlineStr">
        <is>
          <t>Type 1</t>
        </is>
      </c>
    </row>
    <row r="6100">
      <c r="A6100" t="inlineStr">
        <is>
          <t>ao4bsc</t>
        </is>
      </c>
      <c r="B6100" t="inlineStr">
        <is>
          <t>Looking for recommendations for Android Gear OS smartwatch for displaying xdrip+ running Dexcom G6.</t>
        </is>
      </c>
      <c r="C6100" t="inlineStr">
        <is>
          <t>Hello fellow type 1 Diabetics.
Looking for some first hand recommendations for Android Gear OS watches that run xdrip+, thats getting data from Dexcom G6 sensors/transmitters. I have a Google Pixel 2 phone which I will be pairing with said smartwatch.
Does any one have any experience with any particular watch? Is there any informative resource online that can help me make the best decision?
Any help or insights will be very much appreciated.
Cheers, Nathan</t>
        </is>
      </c>
      <c r="D6100" t="n">
        <v>1</v>
      </c>
      <c r="E6100" t="n">
        <v>2</v>
      </c>
      <c r="F6100">
        <f>HYPERLINK("https://www.reddit.com/r/diabetes/comments/ao4bsc/looking_for_recommendations_for_android_gear_os/")</f>
        <v/>
      </c>
      <c r="G6100" t="inlineStr">
        <is>
          <t>2019-02-07 06:34:52</t>
        </is>
      </c>
      <c r="H6100" t="inlineStr">
        <is>
          <t>Type 1</t>
        </is>
      </c>
    </row>
    <row r="6101">
      <c r="A6101" t="inlineStr">
        <is>
          <t>ao4nrl</t>
        </is>
      </c>
      <c r="B6101" t="inlineStr">
        <is>
          <t>New to using Dexcom and have a question about the numbers</t>
        </is>
      </c>
      <c r="C6101" t="inlineStr">
        <is>
          <t>So I Just got my Dexcom g5 Yesterday (2/6/19). The Dexcom apps do not work on my one plus 6 phone so I set it up to use the Dexcom device that came with the kit. I later found an app called xdrip+ that I am now using on my phone. I did the first calibrations and I have don 2 other calibrations since I started.
&amp;amp;#x200B;
What I am noticing is the xdrip app and the Dexcom device are 10 units off and usually the app on the phone is high by the 10 units. But if I use my normal meter to check it the meter can be 20 to 35 units off from the Dexcom device and my app. Is this usual? 
&amp;amp;#x200B;
Now I understand that this may sort its self out as I do the calibrations and as time goes on (especially since I have only had it on less than 24 hours at this point) but I Just wanted to make sure this is not an issue.</t>
        </is>
      </c>
      <c r="D6101" t="n">
        <v>1</v>
      </c>
      <c r="E6101" t="n">
        <v>2</v>
      </c>
      <c r="F6101">
        <f>HYPERLINK("https://www.reddit.com/r/diabetes/comments/ao4nrl/new_to_using_dexcom_and_have_a_question_about_the/")</f>
        <v/>
      </c>
      <c r="G6101" t="inlineStr">
        <is>
          <t>2019-02-07 07:09:07</t>
        </is>
      </c>
      <c r="H6101" t="inlineStr">
        <is>
          <t>Type 1</t>
        </is>
      </c>
    </row>
    <row r="6102">
      <c r="A6102" t="inlineStr">
        <is>
          <t>ao5j8d</t>
        </is>
      </c>
      <c r="B6102" t="inlineStr">
        <is>
          <t>How is the Medtronic 640? (UK Preferably)</t>
        </is>
      </c>
      <c r="C6102" t="inlineStr">
        <is>
          <t>So thanks to animas leaving the pump game, after a LOT of fruitless discussions with my diabetes team, I cannot get a tslim pump (even though they’re actually available in the UK now!).
I have two choices, the accucheck insight or the Medtronic 640.  I’ll be going for the Medtronic since it’s more similar to what I know however I have no inclination to use their sensors. Why would I change to their sensors when I currently pay out of pocket for the Dexcom G6 with zero calibrations?
They’ve also turned around and gone “Medtronic are giving us a discount if you switch by April”, so no rush then! 
I’m getting myself further and further riled up and would like to hear some good experiences with this pump, especially if I’m going to have to put up with this for four years.</t>
        </is>
      </c>
      <c r="D6102" t="n">
        <v>1</v>
      </c>
      <c r="E6102" t="n">
        <v>5</v>
      </c>
      <c r="F6102">
        <f>HYPERLINK("https://www.reddit.com/r/diabetes/comments/ao5j8d/how_is_the_medtronic_640_uk_preferably/")</f>
        <v/>
      </c>
      <c r="G6102" t="inlineStr">
        <is>
          <t>2019-02-07 08:33:54</t>
        </is>
      </c>
      <c r="H6102" t="inlineStr">
        <is>
          <t>Type 1</t>
        </is>
      </c>
    </row>
    <row r="6103">
      <c r="A6103" t="inlineStr">
        <is>
          <t>ao6ett</t>
        </is>
      </c>
      <c r="B6103" t="inlineStr">
        <is>
          <t>Started my first pump a month ago...</t>
        </is>
      </c>
      <c r="C6103" t="inlineStr">
        <is>
          <t>I've been a T1 since my 16th birthday. I'm 33 now. My A1C has always hovered between 7.0-7.8. I had my first A1C over 8 last year and hit a major depressive period in my life. Decided it was time to change my diet and finally get a pump. One month later on the t:slim X2, and while it's been an adjustment, days like this make me really proud and excited about my future. 
&amp;amp;#x200B;
It's just one day and I know we get a lot of these kinds of posts, so thanks for indulging me :-D</t>
        </is>
      </c>
      <c r="D6103" t="n">
        <v>1</v>
      </c>
      <c r="E6103" t="n">
        <v>2</v>
      </c>
      <c r="F6103">
        <f>HYPERLINK("https://www.reddit.com/r/diabetes/comments/ao6ett/started_my_first_pump_a_month_ago/")</f>
        <v/>
      </c>
      <c r="G6103" t="inlineStr">
        <is>
          <t>2019-02-07 09:53:55</t>
        </is>
      </c>
      <c r="H6103" t="inlineStr">
        <is>
          <t>Type 1</t>
        </is>
      </c>
    </row>
    <row r="6104">
      <c r="A6104" t="inlineStr">
        <is>
          <t>ao7l1j</t>
        </is>
      </c>
      <c r="B6104" t="inlineStr">
        <is>
          <t>I don’t know if I have neuropathy?</t>
        </is>
      </c>
      <c r="C6104" t="inlineStr">
        <is>
          <t>So I went on jam cruise three weeks ago. Idk if anyone knows what that is, but long story short I was doing LOTS of dancing in platform shoes. When I returned from that vacation, my left big toe has been completely numb. My sugars have def been uncontrolled as well (I also moved and got a new job), but I thought neuropathy was something that happens gradually over many years. What the heck is happening with my toe? Is it the diabetes or is it those shoes I was wearing??</t>
        </is>
      </c>
      <c r="D6104" t="n">
        <v>1</v>
      </c>
      <c r="E6104" t="n">
        <v>1</v>
      </c>
      <c r="F6104">
        <f>HYPERLINK("https://www.reddit.com/r/diabetes/comments/ao7l1j/i_dont_know_if_i_have_neuropathy/")</f>
        <v/>
      </c>
      <c r="G6104" t="inlineStr">
        <is>
          <t>2019-02-07 11:38:02</t>
        </is>
      </c>
      <c r="H6104" t="inlineStr">
        <is>
          <t>Type 1</t>
        </is>
      </c>
    </row>
    <row r="6105">
      <c r="A6105" t="inlineStr">
        <is>
          <t>aocb6l</t>
        </is>
      </c>
      <c r="B6105" t="inlineStr">
        <is>
          <t>Putting priority on diabetes care?</t>
        </is>
      </c>
      <c r="C6105" t="inlineStr">
        <is>
          <t>Hello everyone,
I’ve been a diabetic for 10 years now. My A1C hasn’t been below 9 in probably 5 years (last was 12.1 I believe)
I genuinely want to put more priority on taking care of myself; being more proactive at checking my sugar, taking insulin before hand or even right after eating, taking my long acting insulin, etc. But for some reason I just haven’t been able to make it a habit in years. I end up losing the habit so quick, and fall back into the habit of forgetting to take insulin or not checking my blood sugar or not putting my dexcom back on.
I’m just not really sure how to push myself to put priority on my own health.
Does anyone have advice? Has anyone been through this or overcome this?</t>
        </is>
      </c>
      <c r="D6105" t="n">
        <v>1</v>
      </c>
      <c r="E6105" t="n">
        <v>24</v>
      </c>
      <c r="F6105">
        <f>HYPERLINK("https://www.reddit.com/r/diabetes/comments/aocb6l/putting_priority_on_diabetes_care/")</f>
        <v/>
      </c>
      <c r="G6105" t="inlineStr">
        <is>
          <t>2019-02-07 19:26:32</t>
        </is>
      </c>
      <c r="H6105" t="inlineStr">
        <is>
          <t>Type 1</t>
        </is>
      </c>
    </row>
    <row r="6106">
      <c r="A6106" t="inlineStr">
        <is>
          <t>aocgvx</t>
        </is>
      </c>
      <c r="B6106" t="inlineStr">
        <is>
          <t>Has anyone ever experienced sudden blurry vision from high blood sugar?</t>
        </is>
      </c>
      <c r="C6106" t="inlineStr">
        <is>
          <t xml:space="preserve">I’ve talked to both my general practitioner and eye doctor so I’m not looking for medical advice.  
3 days ago my near vision suddenly got so bad I literally can’t read anything on my phone.  I was diagnosed with diabetes a little over a year ago with an 8.8 A1C and over about 8 months got it down to a 6.8.  Over the next 6 months I completely let myself go and my A1C shot up to 11.2 at my test about 2 weeks ago.  After those results I was put on amaryl in addition to metformin and started to get my diet under control again and my blood sugar readings are coming down.  After making those changes, and seeing my blood sugar drop from mid300s to mid to high 100s to low 200s (still working on getting them down further) 3 days ago my vision suddenly changed and got blurry.  My doctors don’t think it’s neuropathy, but swelling in my lenses due to high blood sugar. They both have assured me that if I get my diet in check my normal vision should return.  If you’ve experienced this, how long did it take you to get adequate control of your diabetes and get your vision to return?  </t>
        </is>
      </c>
      <c r="D6106" t="n">
        <v>1</v>
      </c>
      <c r="E6106" t="n">
        <v>13</v>
      </c>
      <c r="F6106">
        <f>HYPERLINK("https://www.reddit.com/r/diabetes/comments/aocgvx/has_anyone_ever_experienced_sudden_blurry_vision/")</f>
        <v/>
      </c>
      <c r="G6106" t="inlineStr">
        <is>
          <t>2019-02-07 19:45:00</t>
        </is>
      </c>
      <c r="H6106" t="inlineStr">
        <is>
          <t>Type 2</t>
        </is>
      </c>
    </row>
    <row r="6107">
      <c r="A6107" t="inlineStr">
        <is>
          <t>aodnzw</t>
        </is>
      </c>
      <c r="B6107" t="inlineStr">
        <is>
          <t>minimed vs t:slim</t>
        </is>
      </c>
      <c r="C6107" t="inlineStr">
        <is>
          <t xml:space="preserve">Hey everyone! 
I’ve only recently come across this subreddit and I’m so happy I have because I know two diabetics, and only one wears a pump, and I’m not that close to them, and the other is my endocrinologist. 
Several years ago, I had a minimed pump and was forced to switch to pens when a stage combat professor told me I wouldn’t be able to take his course without removing it (long story). I was pissed, but also wasn’t opposed because I had been hospitalized several times due to pump malfunctions. 
I’ve only ever used Medtronic pumps, and I’m planning on going back on a pump in the next few months, but I just can’t decide ever since I joined this community (tbh, I didn’t even know there were other pump brands because I’m ignorant, I guess). I really want a continuous glucose monitor (I’ve never been good at checking my blood sugar), especially if it’s something that I can use with my phone, and can communicate with my pump. 
So, what do you all think? Any advice you can offer me? I’ve been doing a lot of research and I’ve spoken to my endo a lot about it lately, but I would just love some opinions from some fellow diabetics! 
Thank y’all so much! </t>
        </is>
      </c>
      <c r="D6107" t="n">
        <v>1</v>
      </c>
      <c r="E6107" t="n">
        <v>7</v>
      </c>
      <c r="F6107">
        <f>HYPERLINK("https://www.reddit.com/r/diabetes/comments/aodnzw/minimed_vs_tslim/")</f>
        <v/>
      </c>
      <c r="G6107" t="inlineStr">
        <is>
          <t>2019-02-07 22:13:55</t>
        </is>
      </c>
      <c r="H6107" t="inlineStr">
        <is>
          <t>Type 1</t>
        </is>
      </c>
    </row>
    <row r="6108">
      <c r="A6108" t="inlineStr">
        <is>
          <t>aog2j7</t>
        </is>
      </c>
      <c r="B6108" t="inlineStr">
        <is>
          <t>Found an Ulcer - on my Abdomen?</t>
        </is>
      </c>
      <c r="C6108" t="inlineStr">
        <is>
          <t>Hi there, I'm 35 years old, weigh around 230lbs I think give or take 5lbs either way.
Anyway, today I found what appears to be a small fresh ulcer (wasn't there yesterday) on my lower abdomen a little way below my belly button. It's not infected, and is about the size of a British 5p coin, very small. I have dressed it and put antiseptic on it to keep it clean until I get to my doctor.
I tried googling but almost 100% of the information I found suggests that T2 diabetic ulcers are on the feet and legs (I checked, nothing there). I was wondering if anyone else here had found ulcers in such a place?
(btw I am not asking if I have diabetes - I'm going to my doctor for checks, but while I wait for the appointment, I was curious whether abdominal ulcers were a lesser known 'thing' in T2).</t>
        </is>
      </c>
      <c r="D6108" t="n">
        <v>1</v>
      </c>
      <c r="E6108" t="n">
        <v>4</v>
      </c>
      <c r="F6108">
        <f>HYPERLINK("https://www.reddit.com/r/diabetes/comments/aog2j7/found_an_ulcer_on_my_abdomen/")</f>
        <v/>
      </c>
      <c r="G6108" t="inlineStr">
        <is>
          <t>2019-02-08 04:30:45</t>
        </is>
      </c>
      <c r="H6108" t="inlineStr">
        <is>
          <t>Type 2</t>
        </is>
      </c>
    </row>
    <row r="6109">
      <c r="A6109" t="inlineStr">
        <is>
          <t>aojhk4</t>
        </is>
      </c>
      <c r="B6109" t="inlineStr">
        <is>
          <t>Just wondering.</t>
        </is>
      </c>
      <c r="C6109" t="inlineStr">
        <is>
          <t xml:space="preserve">Type II on Victoza. This morning I had a bacon/egg/cheese biscuit from McD's. Within two hours my BG spiked at 180 and was back below 140. Is this ok? I use the Freestyle Libre and the LiApp. I basically know what I can eat and how much, and for the most part try to stick to veggies and protein. My carb splurges are usually limited to things like a tortilla or a biscuit. I also seem to do just as well with chocolate at twenty grams. Please advise. </t>
        </is>
      </c>
      <c r="D6109" t="n">
        <v>1</v>
      </c>
      <c r="E6109" t="n">
        <v>1</v>
      </c>
      <c r="F6109">
        <f>HYPERLINK("https://www.reddit.com/r/diabetes/comments/aojhk4/just_wondering/")</f>
        <v/>
      </c>
      <c r="G6109" t="inlineStr">
        <is>
          <t>2019-02-08 10:30:14</t>
        </is>
      </c>
      <c r="H6109" t="inlineStr">
        <is>
          <t>Type 2</t>
        </is>
      </c>
    </row>
    <row r="6110">
      <c r="A6110" t="inlineStr">
        <is>
          <t>aokadl</t>
        </is>
      </c>
      <c r="B6110" t="inlineStr">
        <is>
          <t>Rant about food guidelines.</t>
        </is>
      </c>
      <c r="C6110" t="inlineStr">
        <is>
          <t>It really frustrates me how my doctor is still recommending me a diet high in carbs and whole grains as they’re absorbed “slowly” in our bloodstream so they’re allegedly “good” for diabetics. This is the 3rd time I’m changing doctors.
Honestly what’s it with doctors STILL recommending high carb diets for diabetics? I really hoped healthcare had improved by now. But it seems like they’re still following the low-fat guidelines from 1970... :/</t>
        </is>
      </c>
      <c r="D6110" t="n">
        <v>1</v>
      </c>
      <c r="E6110" t="n">
        <v>11</v>
      </c>
      <c r="F6110">
        <f>HYPERLINK("https://www.reddit.com/r/diabetes/comments/aokadl/rant_about_food_guidelines/")</f>
        <v/>
      </c>
      <c r="G6110" t="inlineStr">
        <is>
          <t>2019-02-08 11:48:09</t>
        </is>
      </c>
      <c r="H6110" t="inlineStr">
        <is>
          <t>Type 2</t>
        </is>
      </c>
    </row>
    <row r="6111">
      <c r="A6111" t="inlineStr">
        <is>
          <t>aombyc</t>
        </is>
      </c>
      <c r="B6111" t="inlineStr">
        <is>
          <t>Newly Diagnosed, when can I expect "normalization"?</t>
        </is>
      </c>
      <c r="C6111" t="inlineStr">
        <is>
          <t>Hey y'all.  I (46M) was just diagnosed on Monday and had follow-up fasting blood work on Wednesday.  A1C came in at 8.8
I immediately cleaned up my diet to very low carb (lazy-Keto maybe) which wasn't too hard for me since I didn't eat much bread, rice, pasta,etc to begin with and haven't had a soda for about 15 years.  Started this on Tuesday.  This is day 4 for me.  I started 500mg Metformin ER last night.  
&amp;amp;#x200B;
My readings have been:
wake up/ 2hrs post lunch
Tues: 222/190
Wed: 248/178
Thur: 185/169 (started metformin in evening)
Fri:  175/143
&amp;amp;#x200B;
So I'm a bit stressed about this whole thing, as it totally took me by surprise ( I am sure it has done for many others).  I really have nothing to gauge good progress with and I feel like these numbers are way out of control... am I expecting them to drop too quickly?  How long does it take to "normalize" below 120 or is that just not going to happen?  I haven't been able to workout this week due to a nasty cold, but normally Crossfit 3-4x per week.  When I get back to the gym, will the numbers start dropping faster?  
Any advice on what I can expect will be appreciated.
&amp;amp;#x200B;</t>
        </is>
      </c>
      <c r="D6111" t="n">
        <v>1</v>
      </c>
      <c r="E6111" t="n">
        <v>7</v>
      </c>
      <c r="F6111">
        <f>HYPERLINK("https://www.reddit.com/r/diabetes/comments/aombyc/newly_diagnosed_when_can_i_expect_normalization/")</f>
        <v/>
      </c>
      <c r="G6111" t="inlineStr">
        <is>
          <t>2019-02-08 15:09:48</t>
        </is>
      </c>
      <c r="H6111" t="inlineStr">
        <is>
          <t>Type 2</t>
        </is>
      </c>
    </row>
    <row r="6112">
      <c r="A6112" t="inlineStr">
        <is>
          <t>aon35f</t>
        </is>
      </c>
      <c r="B6112" t="inlineStr">
        <is>
          <t>Insulin Pump questions!</t>
        </is>
      </c>
      <c r="C6112" t="inlineStr">
        <is>
          <t xml:space="preserve">Hey guys! I’m currently using a Medtronic Paradigm insulin pump and am looking into getting. New insulin pump at the end of the year. I’m wondering if anybody uses the Tandem X2. I have a Dexcom G6 and I’m wondering if you like it along with the Dexcom. I know it has the Basal IQ system. Is it worth making the switch? What do you like or hate about it? Thanks in advance! </t>
        </is>
      </c>
      <c r="D6112" t="n">
        <v>1</v>
      </c>
      <c r="E6112" t="n">
        <v>1</v>
      </c>
      <c r="F6112">
        <f>HYPERLINK("https://www.reddit.com/r/diabetes/comments/aon35f/insulin_pump_questions/")</f>
        <v/>
      </c>
      <c r="G6112" t="inlineStr">
        <is>
          <t>2019-02-08 16:31:25</t>
        </is>
      </c>
      <c r="H6112" t="inlineStr">
        <is>
          <t>Type 1</t>
        </is>
      </c>
    </row>
    <row r="6113">
      <c r="A6113" t="inlineStr">
        <is>
          <t>aoqiu4</t>
        </is>
      </c>
      <c r="B6113" t="inlineStr">
        <is>
          <t>Drinking Alcohol?</t>
        </is>
      </c>
      <c r="C6113" t="inlineStr">
        <is>
          <t xml:space="preserve">Hi all! I’m was diagnosed as type two when I was about 1 years old, and I’m turning 18 next week!! Exciting! I live in australia so 18 is the legal drinking age here, but my entire life I’ve been told that diabetics can’t drink alcohol whatsoever, but now I’m learning that we can? 
I just wanted to ask what other people’s experience with alcohol and diabetes has been like, what your limit is, how it effects your blood sugar level, how different liquors effect you, and how to prepare for a night out? 
I recently found out about this subreddit and before now i’ve never had the chance to speak with other diabetics, so it’s lovely to be able to join this community! </t>
        </is>
      </c>
      <c r="D6113" t="n">
        <v>1</v>
      </c>
      <c r="E6113" t="n">
        <v>8</v>
      </c>
      <c r="F6113">
        <f>HYPERLINK("https://www.reddit.com/r/diabetes/comments/aoqiu4/drinking_alcohol/")</f>
        <v/>
      </c>
      <c r="G6113" t="inlineStr">
        <is>
          <t>2019-02-09 00:26:28</t>
        </is>
      </c>
      <c r="H6113" t="inlineStr">
        <is>
          <t>Type 2</t>
        </is>
      </c>
    </row>
    <row r="6114">
      <c r="A6114" t="inlineStr">
        <is>
          <t>aoto1l</t>
        </is>
      </c>
      <c r="B6114" t="inlineStr">
        <is>
          <t>FreeStyle Libre Consistently Reading as “LO” Despite Strips Saying i’m 6.8</t>
        </is>
      </c>
      <c r="C6114" t="inlineStr">
        <is>
          <t>Hey everyone, I have been using the FreeStyle Libre for about 4 months now without an issue. However the last 2 sensors I’ve had on have consistently been saying i’m “LO” with a steady line on my graph. I did not feel low and checked on my glucometer and I was at 6.8
Its frustrating because I just started this sensor last night and won’t be able to have reliable readings for another 13 days now.  
Has anyone had an issue like this before? If so how can I fix it?</t>
        </is>
      </c>
      <c r="D6114" t="n">
        <v>1</v>
      </c>
      <c r="E6114" t="n">
        <v>5</v>
      </c>
      <c r="F6114">
        <f>HYPERLINK("https://www.reddit.com/r/diabetes/comments/aoto1l/freestyle_libre_consistently_reading_as_lo/")</f>
        <v/>
      </c>
      <c r="G6114" t="inlineStr">
        <is>
          <t>2019-02-09 08:14:17</t>
        </is>
      </c>
      <c r="H6114" t="inlineStr">
        <is>
          <t>Type 1</t>
        </is>
      </c>
    </row>
    <row r="6115">
      <c r="A6115" t="inlineStr">
        <is>
          <t>aoxyul</t>
        </is>
      </c>
      <c r="B6115" t="inlineStr">
        <is>
          <t>Recipe Help! - For a diabetic colleagues birthday!</t>
        </is>
      </c>
      <c r="C6115" t="inlineStr">
        <is>
          <t xml:space="preserve">Hey folks! need some help checking a recipe, and if it's going to be a huge issue for the birthday girl or not:  
This is the main recipe: [Apple Cardamom Tart](https://www.stemsandforks.com/2018/10/sweetango-apple-chevre-and-cardamom-tart-refined-sugar-free/)  
This is the substitute crust: [Low Carb Pie Crust](https://www.sugarfreemom.com/recipes/low-carb-coconut-flour-pie-crust/)
I'm mainly wanting to check on the following ingredients:
*  2 tbs of honey (would use [pure/organic](https://www.realcanadiansuperstore.ca/search/1549753148174/page/~item/organic+honey/~sort/recommended/~selected/true))
* Goat Cheese  
I appreciate any replies! </t>
        </is>
      </c>
      <c r="D6115" t="n">
        <v>1</v>
      </c>
      <c r="E6115" t="n">
        <v>6</v>
      </c>
      <c r="F6115">
        <f>HYPERLINK("https://www.reddit.com/r/diabetes/comments/aoxyul/recipe_help_for_a_diabetic_colleagues_birthday/")</f>
        <v/>
      </c>
      <c r="G6115" t="inlineStr">
        <is>
          <t>2019-02-09 15:09:55</t>
        </is>
      </c>
      <c r="H6115" t="inlineStr">
        <is>
          <t>Type 1</t>
        </is>
      </c>
    </row>
    <row r="6116">
      <c r="A6116" t="inlineStr">
        <is>
          <t>ap160j</t>
        </is>
      </c>
      <c r="B6116" t="inlineStr">
        <is>
          <t>What range do you aim for?</t>
        </is>
      </c>
      <c r="C6116" t="inlineStr">
        <is>
          <t>I’m recently diagnosed type1 with a Dexcom G6 and I’m loving having the data but I’m a bit confused about what I’m supposed to be aiming for. I’m trying to stay between 80-120 between meals (although if I’m down at 70 and keeping an eye on it I sort of feel like I’m doing the right thing). Post meals I’m happy if I’m under 180 but mentally round down 189 to 180. My dexcom alarm doesn’t go off until 200. Am I doing the right thing or should I aim for tighter control. What range do you aim for?</t>
        </is>
      </c>
      <c r="D6116" t="n">
        <v>1</v>
      </c>
      <c r="E6116" t="n">
        <v>9</v>
      </c>
      <c r="F6116">
        <f>HYPERLINK("https://www.reddit.com/r/diabetes/comments/ap160j/what_range_do_you_aim_for/")</f>
        <v/>
      </c>
      <c r="G6116" t="inlineStr">
        <is>
          <t>2019-02-09 21:36:56</t>
        </is>
      </c>
      <c r="H6116" t="inlineStr">
        <is>
          <t>Type 1</t>
        </is>
      </c>
    </row>
    <row r="6117">
      <c r="A6117" t="inlineStr">
        <is>
          <t>ap2oz1</t>
        </is>
      </c>
      <c r="B6117" t="inlineStr">
        <is>
          <t>I just need to vent</t>
        </is>
      </c>
      <c r="C6117" t="inlineStr">
        <is>
          <t>I am fucking angry, and feeling stupid as hell. I've been a diabetic (Type 1) for almost two years now, and I can't behave as one. Some days i'm like, shit, lets go and get a perfect score, no more 200s or 300s. And that first day goes great, and the next morning I wake up way over 200. And once it happens a couple of days in a row, I get mad, and I don't even check my glucose, and I don't want to be a diabetic anymore. And I remember I'm 25 and I would love to live a bit more, and the cycle starts again. Fuck. This.
Sorry for the rant.
The cycle starts over today.</t>
        </is>
      </c>
      <c r="D6117" t="n">
        <v>1</v>
      </c>
      <c r="E6117" t="n">
        <v>15</v>
      </c>
      <c r="F6117">
        <f>HYPERLINK("https://www.reddit.com/r/diabetes/comments/ap2oz1/i_just_need_to_vent/")</f>
        <v/>
      </c>
      <c r="G6117" t="inlineStr">
        <is>
          <t>2019-02-10 02:07:14</t>
        </is>
      </c>
      <c r="H6117" t="inlineStr">
        <is>
          <t>Type 1</t>
        </is>
      </c>
    </row>
    <row r="6118">
      <c r="A6118" t="inlineStr">
        <is>
          <t>ap37m8</t>
        </is>
      </c>
      <c r="B6118" t="inlineStr">
        <is>
          <t>anyone like me?</t>
        </is>
      </c>
      <c r="C6118" t="inlineStr">
        <is>
          <t>I got diagnosed as type 1 at 24, after being super thirsty and losing 10kg pretty fast. Had the c peptide test and tested positive for all type 1 antibodies. My a1c at diagnosis was 13% and fasting blood sugar was 20mmol before I was put on insulin. My basal was 6units of Lantus and starting bolus was 3 units of Novo Rapid. After the first month my carb ratio was 1:20, which then became 1:30, then 1:50 within 5 months. My a1c after 3 months dropped to 6.8.  After 6 months of diagnosis I started going low often and was told to stop using insulin with meals. I kept going low so my basal was slowly dropped then stopped completely 9 months after diagnosis. My a1c at this time was 4.8.
&amp;amp;#x200B;
Since this time (1.5 years ago) I've been to the endo twice. My a1c has been between 4.6-4.8 each time and I'm still using 0 insulin. I've been tested for the antibodies again 2 more times and they were still coming back positive. I have my next appointment in a few weeks which will be the first time in 8months that I've been to the endo and I'll be getting the results of the antibody tests again. My drs weren't really sure if I'm having an odd honeymoon or if something else triggered the antibodies so that's what this appointment will be about.
&amp;amp;#x200B;
Has anyone else had a similar experience of being off insulin temporarily or false positive for type 1?</t>
        </is>
      </c>
      <c r="D6118" t="n">
        <v>1</v>
      </c>
      <c r="E6118" t="n">
        <v>9</v>
      </c>
      <c r="F6118">
        <f>HYPERLINK("https://www.reddit.com/r/diabetes/comments/ap37m8/anyone_like_me/")</f>
        <v/>
      </c>
      <c r="G6118" t="inlineStr">
        <is>
          <t>2019-02-10 03:40:55</t>
        </is>
      </c>
      <c r="H6118" t="inlineStr">
        <is>
          <t>Type 1</t>
        </is>
      </c>
    </row>
    <row r="6119">
      <c r="A6119" t="inlineStr">
        <is>
          <t>ap7bkv</t>
        </is>
      </c>
      <c r="B6119" t="inlineStr">
        <is>
          <t>Do posts like this make you mad?</t>
        </is>
      </c>
      <c r="C6119" t="inlineStr">
        <is>
          <t>For being a a place of fitness, I feel like their making some pretty generic claims. Guess what? You can't reverse type one yet. Plus all the other things they say.  Maybe if they were more specific, I wouldn't get so worked up. I know they mean well, but c'mon...
https://i.redd.it/nxqp4r7xksf21.jpg</t>
        </is>
      </c>
      <c r="D6119" t="n">
        <v>1</v>
      </c>
      <c r="E6119" t="n">
        <v>0</v>
      </c>
      <c r="F6119">
        <f>HYPERLINK("https://www.reddit.com/r/diabetes/comments/ap7bkv/do_posts_like_this_make_you_mad/")</f>
        <v/>
      </c>
      <c r="G6119" t="inlineStr">
        <is>
          <t>2019-02-10 11:26:53</t>
        </is>
      </c>
      <c r="H6119" t="inlineStr">
        <is>
          <t>Type 1</t>
        </is>
      </c>
    </row>
    <row r="6120">
      <c r="A6120" t="inlineStr">
        <is>
          <t>ap7lfa</t>
        </is>
      </c>
      <c r="B6120" t="inlineStr">
        <is>
          <t>Trouble with lows</t>
        </is>
      </c>
      <c r="C6120" t="inlineStr">
        <is>
          <t>Recently it’s been quite hard for me to come up from lows, even minor ones in the 50’s-60’s range... I’ll have to have 2-3 packs of fruit snacks (40-60g of sugar) when in the past one pack would suffice. Do any of you have any suggestions for this?</t>
        </is>
      </c>
      <c r="D6120" t="n">
        <v>1</v>
      </c>
      <c r="E6120" t="n">
        <v>7</v>
      </c>
      <c r="F6120">
        <f>HYPERLINK("https://www.reddit.com/r/diabetes/comments/ap7lfa/trouble_with_lows/")</f>
        <v/>
      </c>
      <c r="G6120" t="inlineStr">
        <is>
          <t>2019-02-10 11:50:50</t>
        </is>
      </c>
      <c r="H6120" t="inlineStr">
        <is>
          <t>Type 1</t>
        </is>
      </c>
    </row>
    <row r="6121">
      <c r="A6121" t="inlineStr">
        <is>
          <t>apaatl</t>
        </is>
      </c>
      <c r="B6121" t="inlineStr">
        <is>
          <t>Insulin resistance during puberty</t>
        </is>
      </c>
      <c r="C6121" t="inlineStr">
        <is>
          <t>So lately I've been experiencing huge troubles with keeping my bgs down it just stays att 10 mmol/l alternatively 180 and doesn't go down even after upping basal to 150% and bolusing twice or three times the usual, it still takes a lot of time and a very long walk to keep it down. Anyways I heard from my endo a couple years back about insulin resistance during puberty however this was years ago and I was pretty young. Does anybody on here have any experience with this?</t>
        </is>
      </c>
      <c r="D6121" t="n">
        <v>1</v>
      </c>
      <c r="E6121" t="n">
        <v>2</v>
      </c>
      <c r="F6121">
        <f>HYPERLINK("https://www.reddit.com/r/diabetes/comments/apaatl/insulin_resistance_during_puberty/")</f>
        <v/>
      </c>
      <c r="G6121" t="inlineStr">
        <is>
          <t>2019-02-10 16:13:29</t>
        </is>
      </c>
      <c r="H6121" t="inlineStr">
        <is>
          <t>Type 1</t>
        </is>
      </c>
    </row>
    <row r="6122">
      <c r="A6122" t="inlineStr">
        <is>
          <t>aphmrj</t>
        </is>
      </c>
      <c r="B6122" t="inlineStr">
        <is>
          <t>How do you proactively handle oncoming lows?</t>
        </is>
      </c>
      <c r="C6122" t="inlineStr">
        <is>
          <t>Whenever I see my sugars heading downward (I have a CGM) before driving or heading into a long meeting, I always try to proactively treat them so I don’t crash at a less-than-ideal time. Most of the time, even with a minimal carb / higher protein snack, I end up skyrocketing myself back up past 200.
How do you handle yours?</t>
        </is>
      </c>
      <c r="D6122" t="n">
        <v>1</v>
      </c>
      <c r="E6122" t="n">
        <v>9</v>
      </c>
      <c r="F6122">
        <f>HYPERLINK("https://www.reddit.com/r/diabetes/comments/aphmrj/how_do_you_proactively_handle_oncoming_lows/")</f>
        <v/>
      </c>
      <c r="G6122" t="inlineStr">
        <is>
          <t>2019-02-11 07:59:29</t>
        </is>
      </c>
      <c r="H6122" t="inlineStr">
        <is>
          <t>Type 1</t>
        </is>
      </c>
    </row>
    <row r="6123">
      <c r="A6123" t="inlineStr">
        <is>
          <t>aphut6</t>
        </is>
      </c>
      <c r="B6123" t="inlineStr">
        <is>
          <t>Freestyle Libre 14 day - is it only for insulin users?</t>
        </is>
      </c>
      <c r="C6123" t="inlineStr">
        <is>
          <t>Is Freestyle Libre 14 day only for insulin users?
I'm type 2.
I'm just looking to continuously monitor my levels to see how different food and activities affect my levels. It is a bit expensive, but i thought i'd give it a try for maybe 1 month.
Input from other non-insulin users is appreciated.
Are there any other devices that continuously monitor glucose levels, that are better, cheaper or more accurate.  
I still plan doing a prick once or twice a day for comparison on the levels until i know how much it is off.
&amp;amp;#x200B;</t>
        </is>
      </c>
      <c r="D6123" t="n">
        <v>1</v>
      </c>
      <c r="E6123" t="n">
        <v>20</v>
      </c>
      <c r="F6123">
        <f>HYPERLINK("https://www.reddit.com/r/diabetes/comments/aphut6/freestyle_libre_14_day_is_it_only_for_insulin/")</f>
        <v/>
      </c>
      <c r="G6123" t="inlineStr">
        <is>
          <t>2019-02-11 08:20:43</t>
        </is>
      </c>
      <c r="H6123" t="inlineStr">
        <is>
          <t>Type 2</t>
        </is>
      </c>
    </row>
    <row r="6124">
      <c r="A6124" t="inlineStr">
        <is>
          <t>apjsnh</t>
        </is>
      </c>
      <c r="B6124" t="inlineStr">
        <is>
          <t>Feel like I know nothing.....</t>
        </is>
      </c>
      <c r="C6124" t="inlineStr">
        <is>
          <t xml:space="preserve">Hey all, 
&amp;amp;#x200B;
First time poster, short lurker! 
As of Jan this year I have been told I'm a T2D, which is fine took it all in my stride. They think I had been like it for months but as I was asymptomatic no one knew. It was a chance blood test that caught it, anyway I digress. 
Nearly 1 month down the road I am on 2000mg metformin a day, cutting out or down carbs/processed foods etc and testing bloods 3 times a day. 
I'm getting frustrated as I feel like I know nothing about how I'm supposed to feel or what I'm supposed to do. I feel scared to eat, all I have in my head is "can't eat that"
I feel stupid for not knowing what half of the things are people talk about on here as well. My average mmol is 9.9 , I have no idea if this is good or bad or what. I was looking into getting a Dexcom G6 but my other half was telling me of all these problems with it, and their customer support and how I wont like having it stuck to me. Plus I don't think I could afford the £159 a month for it.  I gave up looking in the end.  I want to be able to control and understand and make sure I don't mess up. I want to feel in control if that makes sense. 
Feel like I am rambling now, I do apologise. I have really done what I can to remain upbeat and positive about this whole thing but I think I am now starting to struggle a little. </t>
        </is>
      </c>
      <c r="D6124" t="n">
        <v>1</v>
      </c>
      <c r="E6124" t="n">
        <v>8</v>
      </c>
      <c r="F6124">
        <f>HYPERLINK("https://www.reddit.com/r/diabetes/comments/apjsnh/feel_like_i_know_nothing/")</f>
        <v/>
      </c>
      <c r="G6124" t="inlineStr">
        <is>
          <t>2019-02-11 11:16:19</t>
        </is>
      </c>
      <c r="H6124" t="inlineStr">
        <is>
          <t>Type 2</t>
        </is>
      </c>
    </row>
    <row r="6125">
      <c r="A6125" t="inlineStr">
        <is>
          <t>apjxbs</t>
        </is>
      </c>
      <c r="B6125" t="inlineStr">
        <is>
          <t>T1D and Jogging</t>
        </is>
      </c>
      <c r="C6125" t="inlineStr">
        <is>
          <t>I've been t1d for about 20 years. I've been running, exercising for the most of my life.
I would like to hear others' experiences with exercising, particularly running in this case.
A few points from my experience:
1. When doing a long (more than 40 minutes), low intensity jogs (50-70% of max heart rate) my glucose levels drop.
\*My performance, of course, is poorer if my glucose levels are relatively high when starting a jog,
\*My performance is perfect if I have had a meal some 1-2 hours before and have compensated it with the right amount of Humalog ,
\*My performance is close to perfect if my sugar is on average around 150mg/dl with condition that it will not start dropping.
2. When doing high intensity runs (tempo, intervals) for 30 minutes to 1.2 hours, it is very difficult to reach good performance.
\*In the mornings the glucose will rise even if I had nothing to eat before the run, and the performance will be VERY POOR,
\*During the day the performance will be average/poor if I will run without a snack +appropriate amount of insulin units,
\*In the evening the performance may be from poor to perfect depending on food intake, insulin etc.
\_\_\_\_\_\_\_\_\_\_\_\_\_\_\_\_\_\_\_\_\_\_\_\_\_\_\_\_\_\_\_\_\_\_\_\_\_\_\_\_\_\_\_\_\_\_\_\_\_\_\_\_\_\_\_\_\_\_\_\_\_\_\_\_\_\_\_\_\_\_\_\_\_\_\_\_\_\_\_\_\_\_\_\_\_\_\_\_\_\_\_\_\_\_\_\_\_\_\_\_\_\_\_\_\_\_\_\_\_\_\_\_\_\_
I understand, that the reason for increasing glucose levels when doing high intensity difficult runs is because body needs carbs/glucose for energy, right?
I have been monitoring my food, insulin intake for years to figure out the best formula for preparing for a high intensity jog in the mornings. No Success! The reason why I do this is because most of the races take place in the mornings.
For example, I can run a 5k in \~23 minutes in the evening; in the morning that is impossible for me (probably 27 minutes if I am at good sugar levels)! Besides, when my glucose levels are quite decent during the morning run, I still feel that my muscles start to burn more sooner, and I get tired more quickly, and my heart rate also increases much faster.
*One example, before the morning high intensity run:*
*-glucose level is 107 mg/dl,*
*-I eat 3 servings of carbs (one serving = 12g of carbs) some 10 minutes before the run, low/average glycemic index food,*
*-inject 3 units of insulin (\~30 minutes before the run),*
*-had 1 serving of carbs during the run,*
*-the glucose was 104mg/dl after the run.*
*The performance was barely average with these numbers. Shouldn't it be more than that???*
&amp;amp;#x200B;
*With the same glucose levels before and after the run (the difference would be only in carbs and insulin - less insulin and less or maybe even more carbs) my result in the evening would be more km/miles, higher average speed, lower average heart rate, less muscle soreness etc.*
&amp;amp;#x200B;
&amp;amp;#x200B;
What are your experiences, is there any suggestion how to deal with this? I know, it depends on individual's body, nevertheless, I would be happy to hear other experiences regarding anything that I mentioned in my post! Of course, as I have noticed in other posts, it is never the same on a different day. One day I will need 4 units of insulin to compensate 2 servings of carbs, the other day I will need 1 unit, and on the third day I will need 7 units...
&amp;amp;#x200B;
P.S. I cannot afford a pump, I have only sensor that provides 24/7 glucose levels.</t>
        </is>
      </c>
      <c r="D6125" t="n">
        <v>1</v>
      </c>
      <c r="E6125" t="n">
        <v>2</v>
      </c>
      <c r="F6125">
        <f>HYPERLINK("https://www.reddit.com/r/diabetes/comments/apjxbs/t1d_and_jogging/")</f>
        <v/>
      </c>
      <c r="G6125" t="inlineStr">
        <is>
          <t>2019-02-11 11:27:59</t>
        </is>
      </c>
      <c r="H6125" t="inlineStr">
        <is>
          <t>Type 1</t>
        </is>
      </c>
    </row>
    <row r="6126">
      <c r="A6126" t="inlineStr">
        <is>
          <t>apm9mn</t>
        </is>
      </c>
      <c r="B6126" t="inlineStr">
        <is>
          <t>Closing the loop - tips to find a pump</t>
        </is>
      </c>
      <c r="C6126" t="inlineStr">
        <is>
          <t>Hi everyone! So, I really want to close the loop with pump and CGM. I'm currently using a dexcom G6, but my pump firmware is too new to be able to use it with any solution.
So, the question is, being in Europe, where can I find an older pump that is compatible with the APS (or any other, actually)?
Thanks!</t>
        </is>
      </c>
      <c r="D6126" t="n">
        <v>1</v>
      </c>
      <c r="E6126" t="n">
        <v>2</v>
      </c>
      <c r="F6126">
        <f>HYPERLINK("https://www.reddit.com/r/diabetes/comments/apm9mn/closing_the_loop_tips_to_find_a_pump/")</f>
        <v/>
      </c>
      <c r="G6126" t="inlineStr">
        <is>
          <t>2019-02-11 15:01:30</t>
        </is>
      </c>
      <c r="H6126" t="inlineStr">
        <is>
          <t>Type 1</t>
        </is>
      </c>
    </row>
    <row r="6127">
      <c r="A6127" t="inlineStr">
        <is>
          <t>apmhb7</t>
        </is>
      </c>
      <c r="B6127" t="inlineStr">
        <is>
          <t>Freestyle Libre App</t>
        </is>
      </c>
      <c r="C6127" t="inlineStr">
        <is>
          <t>Hey all I am a new Freestyle Libre user and was wondering if the iPhone app will have the data from my reader? And if I need to transfer any info to it I was wondering how I would do it.</t>
        </is>
      </c>
      <c r="D6127" t="n">
        <v>1</v>
      </c>
      <c r="E6127" t="n">
        <v>2</v>
      </c>
      <c r="F6127">
        <f>HYPERLINK("https://www.reddit.com/r/diabetes/comments/apmhb7/freestyle_libre_app/")</f>
        <v/>
      </c>
      <c r="G6127" t="inlineStr">
        <is>
          <t>2019-02-11 15:22:17</t>
        </is>
      </c>
      <c r="H6127" t="inlineStr">
        <is>
          <t>Type 1</t>
        </is>
      </c>
    </row>
    <row r="6128">
      <c r="A6128" t="inlineStr">
        <is>
          <t>apod9j</t>
        </is>
      </c>
      <c r="B6128" t="inlineStr">
        <is>
          <t>CGM was off-base today</t>
        </is>
      </c>
      <c r="C6128" t="inlineStr">
        <is>
          <t>I just have to complain to folks that’ll understand. My CGM was off by ~50 points earlier (reading high), and I went to my regular tester to see a read of 61. 
That messed me up the rest of the god damned day. I’m just so mad.</t>
        </is>
      </c>
      <c r="D6128" t="n">
        <v>1</v>
      </c>
      <c r="E6128" t="n">
        <v>6</v>
      </c>
      <c r="F6128">
        <f>HYPERLINK("https://www.reddit.com/r/diabetes/comments/apod9j/cgm_was_offbase_today/")</f>
        <v/>
      </c>
      <c r="G6128" t="inlineStr">
        <is>
          <t>2019-02-11 18:39:56</t>
        </is>
      </c>
      <c r="H6128" t="inlineStr">
        <is>
          <t>Type 1</t>
        </is>
      </c>
    </row>
    <row r="6129">
      <c r="A6129" t="inlineStr">
        <is>
          <t>aps3me</t>
        </is>
      </c>
      <c r="B6129" t="inlineStr">
        <is>
          <t>How long does it really take for Novorapid / fast-acting insulin to work?</t>
        </is>
      </c>
      <c r="C6129" t="inlineStr">
        <is>
          <t>I ask this as I'm trying to adjust my dose levels for my fast-acting insulin, when correcting a high blood sugar. I feel like I'm either testing too soon, or I'm really not giving myself enough insulin. I read that it takes 15 minutes - but does this mean it'll take 15 minutes to take you down to your expected, normal level, or 15 minutes for the insulin to BEGIN to take affect?</t>
        </is>
      </c>
      <c r="D6129" t="n">
        <v>1</v>
      </c>
      <c r="E6129" t="n">
        <v>2</v>
      </c>
      <c r="F6129">
        <f>HYPERLINK("https://www.reddit.com/r/diabetes/comments/aps3me/how_long_does_it_really_take_for_novorapid/")</f>
        <v/>
      </c>
      <c r="G6129" t="inlineStr">
        <is>
          <t>2019-02-12 02:43:34</t>
        </is>
      </c>
      <c r="H6129" t="inlineStr">
        <is>
          <t>Type 1</t>
        </is>
      </c>
    </row>
    <row r="6130">
      <c r="A6130" t="inlineStr">
        <is>
          <t>apxpz9</t>
        </is>
      </c>
      <c r="B6130" t="inlineStr">
        <is>
          <t>Feeling Alone during periods of Challenge</t>
        </is>
      </c>
      <c r="C6130" t="inlineStr">
        <is>
          <t>I started PA school a few weeks ago, (being diabetic definitely influenced by decision to become a healthcare provider and be with others in times of poor health!) and while this is intended to be a formative, stressful time for all people on this path, being a type 1 diabetic has compounded this stress for me.
 I often worry that this condition is going to get in my way of completing school and proving to my instructors and to myself that I can be a good provider despite any limitations. Just like anyone who has this disease knows, I feel the guilt of any high blood sugar and the looming complications that will likely come along with it.  This, along with the acute fear of a low rendering me unable to do the job I'm training to do (or even worse kill me !) is a constant balancing act that other individuals without T1D would never understand. I don't want to post this for pity, I'm just curious how others deal with the added stress of this disease when life on it's own gets hard.
My control has always been fairly good. I was diagnosed almost 8 years ago, I've never needed assistance with a low, and have an A1c  somewhat consistently in the 6's(feel blessed to be on good insurance with a Dexcom and Omnipod), but I can't help but feel alone trying to accomplish something difficult while trying to wrestle with diabetes. Please share about any similar experience you've had or any advice.</t>
        </is>
      </c>
      <c r="D6130" t="n">
        <v>1</v>
      </c>
      <c r="E6130" t="n">
        <v>1</v>
      </c>
      <c r="F6130">
        <f>HYPERLINK("https://www.reddit.com/r/diabetes/comments/apxpz9/feeling_alone_during_periods_of_challenge/")</f>
        <v/>
      </c>
      <c r="G6130" t="inlineStr">
        <is>
          <t>2019-02-12 12:18:23</t>
        </is>
      </c>
      <c r="H6130" t="inlineStr">
        <is>
          <t>Type 1</t>
        </is>
      </c>
    </row>
    <row r="6131">
      <c r="A6131" t="inlineStr">
        <is>
          <t>apzvdb</t>
        </is>
      </c>
      <c r="B6131" t="inlineStr">
        <is>
          <t>Metformin</t>
        </is>
      </c>
      <c r="C6131" t="inlineStr">
        <is>
          <t xml:space="preserve">I'm type 2 treated with metformin and diet/exercise. My husband lost his job recently as well as his insurance. I thought I had another refill on my metformin, but I don't. I'm having to go to a free clinic, but they can't get me in for 2 weeks. Although my numbers haven't been horrible, I'm worried about going 2 weeks without my metformin. The free clinic won't call in a 2-week prescription, and neither will my old doctor since I'm no longer a patient. Walmart (where I get it filled) could only give me an extra 3 days. I don't have a car, so going to urgent care or the ER isn't an option either (If it was an emergency I could call an ambulance, but thankfully I'm not at that point). 
&amp;amp;#x200B;
I'm doing less than 10 carbs a day and have been exercising more. Does anyone know of any supplements or something that I could order of Amazon until I get into the clinic? I've been taking cinnamon and drinking organic ACV before each meal, but it doesn't seem to be doing anything. I would appreciate any suggestions! </t>
        </is>
      </c>
      <c r="D6131" t="n">
        <v>1</v>
      </c>
      <c r="E6131" t="n">
        <v>4</v>
      </c>
      <c r="F6131">
        <f>HYPERLINK("https://www.reddit.com/r/diabetes/comments/apzvdb/metformin/")</f>
        <v/>
      </c>
      <c r="G6131" t="inlineStr">
        <is>
          <t>2019-02-12 15:32:54</t>
        </is>
      </c>
      <c r="H6131" t="inlineStr">
        <is>
          <t>Type 2</t>
        </is>
      </c>
    </row>
    <row r="6132">
      <c r="A6132" t="inlineStr">
        <is>
          <t>aq4g92</t>
        </is>
      </c>
      <c r="B6132" t="inlineStr">
        <is>
          <t>Misdiagnosed</t>
        </is>
      </c>
      <c r="C6132" t="inlineStr">
        <is>
          <t>On December I was hospitalized for DKA and about two weeks after that, I was told I was a type one by my endo. Then I went to my primary doctor and after a blood test, I’m a type 2. I don’t know what to do now.</t>
        </is>
      </c>
      <c r="D6132" t="n">
        <v>1</v>
      </c>
      <c r="E6132" t="n">
        <v>8</v>
      </c>
      <c r="F6132">
        <f>HYPERLINK("https://www.reddit.com/r/diabetes/comments/aq4g92/misdiagnosed/")</f>
        <v/>
      </c>
      <c r="G6132" t="inlineStr">
        <is>
          <t>2019-02-13 00:28:14</t>
        </is>
      </c>
      <c r="H6132" t="inlineStr">
        <is>
          <t>Type 2</t>
        </is>
      </c>
    </row>
    <row r="6133">
      <c r="A6133" t="inlineStr">
        <is>
          <t>aq5hlg</t>
        </is>
      </c>
      <c r="B6133" t="inlineStr">
        <is>
          <t>I'm very worried about my mother</t>
        </is>
      </c>
      <c r="C6133" t="inlineStr">
        <is>
          <t xml:space="preserve">She's 57 and last year she was diagnosed with type 2 diabetes. Now this was shocking and sad to her cause she has always lived on a high sugar diet. I was pretty sad too when I got called and received the news but I've known people with diabetes before and I thought that my mom would definitely be okay because she's a strong person. This is where the problem starts, when she wants to do something she goes all out. Her father was diabetic as well but did not take very good care of himself, this resulted in a lot of health issues, issues that my mom is afraid about. This has led her to cut sugar almost completely out of her life (and also a whole lot of carbs) and its surprisingly scary how faithful she is to it. She is now constantly without energy and even starts crying sometimes due to how terrible she feels. I constantly tell her that it's okay to eat more sugar because it isn't poison, it's just harder for her body to process it but I've had no luck and her doctor isn't really helping. It's like she has no idea what she can eat anymore and just settles for banning sugar and carbs. Any advice on what I can do to help? </t>
        </is>
      </c>
      <c r="D6133" t="n">
        <v>1</v>
      </c>
      <c r="E6133" t="n">
        <v>5</v>
      </c>
      <c r="F6133">
        <f>HYPERLINK("https://www.reddit.com/r/diabetes/comments/aq5hlg/im_very_worried_about_my_mother/")</f>
        <v/>
      </c>
      <c r="G6133" t="inlineStr">
        <is>
          <t>2019-02-13 03:08:44</t>
        </is>
      </c>
      <c r="H6133" t="inlineStr">
        <is>
          <t>Type 2</t>
        </is>
      </c>
    </row>
    <row r="6134">
      <c r="A6134" t="inlineStr">
        <is>
          <t>aq9f55</t>
        </is>
      </c>
      <c r="B6134" t="inlineStr">
        <is>
          <t>Help please. really need your experience and insight.</t>
        </is>
      </c>
      <c r="C6134" t="inlineStr">
        <is>
          <t>&amp;amp;#x200B;
Have a family member with **T1D and Addison's**. They've had these since childhood.
At age 20, it seems they have given up and are closing in on themselves. 
They still live at home and are increasingly unable or unwilling to take control. They must be hounded to care for themselves. They have trouble giving themselves shots.
Both Depression and Anxiety are apparent.
Their state seems such it is my great fear, they wish to do themselves in and be done with their life.
&amp;amp;#x200B;
They are unwilling to go to counseling. They won't open up to anyone.
This has been getting worse at least the last two years. Been building since age 12 or 13.
Nothing seems to motivate them. Further, they are generally lost and direction less.
They are almost belligerent when help of any sort is suggested or offered.
&amp;amp;#x200B;
They live in a fairly rural area and must travel a good distance to get to docs and facilities.
They seem both isolated by and comforted by their rural location.
They must be hospitalized 2 or 3 times per year due one or both of the **T1D and Addison's**.
They display no hope and no vision of a constructive future for themselves.
&amp;amp;#x200B;
If you've dealt with someone close going through such a state, what if anything turned it around ?
Is this common among younger adults with T1D ?
If you have had such experiences, any insight you could offer would be greatly appreciated.
&amp;amp;#x200B;
She is very dear to me and I'm frankly scared to death she really has given up.
&amp;amp;#x200B;</t>
        </is>
      </c>
      <c r="D6134" t="n">
        <v>1</v>
      </c>
      <c r="E6134" t="n">
        <v>6</v>
      </c>
      <c r="F6134">
        <f>HYPERLINK("https://www.reddit.com/r/diabetes/comments/aq9f55/help_please_really_need_your_experience_and/")</f>
        <v/>
      </c>
      <c r="G6134" t="inlineStr">
        <is>
          <t>2019-02-13 10:02:58</t>
        </is>
      </c>
      <c r="H6134" t="inlineStr">
        <is>
          <t>Type 1</t>
        </is>
      </c>
    </row>
    <row r="6135">
      <c r="A6135" t="inlineStr">
        <is>
          <t>aqb4br</t>
        </is>
      </c>
      <c r="B6135" t="inlineStr">
        <is>
          <t>Any different noticed between Medtronic Enlist and Guardian sensors?</t>
        </is>
      </c>
      <c r="C6135" t="inlineStr">
        <is>
          <t>My wife has had all kinds of issues with using her Medtronic sensor.  
She's most interested in switching platforms to the Slim +G6, but her Doctor mentioned that the new Medtronic Guardian sensors are performing better.
Is anyone used the Guardian sensor and can speak to whether it is an improvement?  
Thanks much!!</t>
        </is>
      </c>
      <c r="D6135" t="n">
        <v>1</v>
      </c>
      <c r="E6135" t="n">
        <v>2</v>
      </c>
      <c r="F6135">
        <f>HYPERLINK("https://www.reddit.com/r/diabetes/comments/aqb4br/any_different_noticed_between_medtronic_enlist/")</f>
        <v/>
      </c>
      <c r="G6135" t="inlineStr">
        <is>
          <t>2019-02-13 12:32:05</t>
        </is>
      </c>
      <c r="H6135" t="inlineStr">
        <is>
          <t>Type 1</t>
        </is>
      </c>
    </row>
    <row r="6136">
      <c r="A6136" t="inlineStr">
        <is>
          <t>aqbemd</t>
        </is>
      </c>
      <c r="B6136" t="inlineStr">
        <is>
          <t>Who has gastroparesis?</t>
        </is>
      </c>
      <c r="C6136" t="inlineStr">
        <is>
          <t xml:space="preserve">I thot I had it and got tested last month. Yep. I got it. It take 3 hours  for my bg to rise, except  with apple juice or skittles. Then it rises fairly quickly. Type 1 for 28 years
</t>
        </is>
      </c>
      <c r="D6136" t="n">
        <v>1</v>
      </c>
      <c r="E6136" t="n">
        <v>5</v>
      </c>
      <c r="F6136">
        <f>HYPERLINK("https://www.reddit.com/r/diabetes/comments/aqbemd/who_has_gastroparesis/")</f>
        <v/>
      </c>
      <c r="G6136" t="inlineStr">
        <is>
          <t>2019-02-13 12:58:01</t>
        </is>
      </c>
      <c r="H6136" t="inlineStr">
        <is>
          <t>Type 1</t>
        </is>
      </c>
    </row>
    <row r="6137">
      <c r="A6137" t="inlineStr">
        <is>
          <t>aqco4j</t>
        </is>
      </c>
      <c r="B6137" t="inlineStr">
        <is>
          <t>Feeling weird</t>
        </is>
      </c>
      <c r="C6137" t="inlineStr">
        <is>
          <t>This morning I had a slight aching feeling in my thighs. Has been going on for the whole day. It just suddenly came. I am overweight and I have been binging for a couple months but I plan on changing that around. I have no increased thirst or peeing. No tingling or anything, i feel fine but i’m not sure if that still means anything. It’s cold over here in canada so I’m not sure if that adds on to anything. I’ve been to the doctor a couple months ago and got blood tests etc and i’m completely fine. I just want to know if this is a sign of diabetes or prediabetes that came out of nowhere. I don’t want to sound ignorant and i’ve did some research but i get really scared and psyche myself out too much. So yeah i just want to know if this is part of it?</t>
        </is>
      </c>
      <c r="D6137" t="n">
        <v>1</v>
      </c>
      <c r="E6137" t="n">
        <v>1</v>
      </c>
      <c r="F6137">
        <f>HYPERLINK("https://www.reddit.com/r/diabetes/comments/aqco4j/feeling_weird/")</f>
        <v/>
      </c>
      <c r="G6137" t="inlineStr">
        <is>
          <t>2019-02-13 14:50:21</t>
        </is>
      </c>
      <c r="H6137" t="inlineStr">
        <is>
          <t>Type 2</t>
        </is>
      </c>
    </row>
    <row r="6138">
      <c r="A6138" t="inlineStr">
        <is>
          <t>aqeemh</t>
        </is>
      </c>
      <c r="B6138" t="inlineStr">
        <is>
          <t>How could I reset Dexcom g6 when it’s expired or close to expiring?</t>
        </is>
      </c>
      <c r="C6138" t="inlineStr">
        <is>
          <t>Thanks for any help.</t>
        </is>
      </c>
      <c r="D6138" t="n">
        <v>1</v>
      </c>
      <c r="E6138" t="n">
        <v>10</v>
      </c>
      <c r="F6138">
        <f>HYPERLINK("https://www.reddit.com/r/diabetes/comments/aqeemh/how_could_i_reset_dexcom_g6_when_its_expired_or/")</f>
        <v/>
      </c>
      <c r="G6138" t="inlineStr">
        <is>
          <t>2019-02-13 17:46:15</t>
        </is>
      </c>
      <c r="H6138" t="inlineStr">
        <is>
          <t>Type 1</t>
        </is>
      </c>
    </row>
    <row r="6139">
      <c r="A6139" t="inlineStr">
        <is>
          <t>aqg43g</t>
        </is>
      </c>
      <c r="B6139" t="inlineStr">
        <is>
          <t>Annoying Blood Sugar Cycles</t>
        </is>
      </c>
      <c r="C6139" t="inlineStr">
        <is>
          <t>I'm a Type 1. Was diagnosed in 2010 at age 21. My blood sugar levels go in these really annoying cycles. I'll have weeks or even months where my sugars will be very manageable. I'm able to get my BG to a range I feel good about and I don't seem to require as much insulin. My morning sugars will be 140-160 (Not perfect, but pretty good for me). With that as a starting point it's a lot easier to control throughout the day. Even when I eat my blood sugars won't spike too much and I don't need to to take much insulin in order to get them to a decent level.  Then that will give way to weeks and months of frustrating uncooperative blood sugars where seemingly nothing makes them get to acceptable levels. I wake up with 220-250 level blood sugars despite low numbers the night before. Throughout the day I pretty much have to bludgeon myself with insulin to get them to get anywhere near a reasonable number I find myself taking 3-5 my normal dose of insulin to little effect. My blood sugars spike a massive amount over a moderate amount of carbohydrates getting up into the 300's. It's insanely frustrating. I'm not doing anything different, so I don't understand why I keep going through these cycles. My doctor put me on some new insulin and oral meds recently and I thought that had finally fixed the problem, but lately I've been having high sugars again. Any ideas why this keeps happening?</t>
        </is>
      </c>
      <c r="D6139" t="n">
        <v>1</v>
      </c>
      <c r="E6139" t="n">
        <v>2</v>
      </c>
      <c r="F6139">
        <f>HYPERLINK("https://www.reddit.com/r/diabetes/comments/aqg43g/annoying_blood_sugar_cycles/")</f>
        <v/>
      </c>
      <c r="G6139" t="inlineStr">
        <is>
          <t>2019-02-13 20:56:59</t>
        </is>
      </c>
      <c r="H6139" t="inlineStr">
        <is>
          <t>Type 1</t>
        </is>
      </c>
    </row>
    <row r="6140">
      <c r="A6140" t="inlineStr">
        <is>
          <t>aqhsme</t>
        </is>
      </c>
      <c r="B6140" t="inlineStr">
        <is>
          <t>how I found out I had type one diabetes | chronic illness</t>
        </is>
      </c>
      <c r="C6140" t="inlineStr">
        <is>
          <t>just curious to know how everyone else was diagnosed, and what their story is.
&amp;amp;#x200B;
&amp;amp;#x200B;</t>
        </is>
      </c>
      <c r="D6140" t="n">
        <v>1</v>
      </c>
      <c r="E6140" t="n">
        <v>0</v>
      </c>
      <c r="F6140">
        <f>HYPERLINK("https://www.reddit.com/r/diabetes/comments/aqhsme/how_i_found_out_i_had_type_one_diabetes_chronic/")</f>
        <v/>
      </c>
      <c r="G6140" t="inlineStr">
        <is>
          <t>2019-02-14 00:51:51</t>
        </is>
      </c>
      <c r="H6140" t="inlineStr">
        <is>
          <t>Type 1</t>
        </is>
      </c>
    </row>
    <row r="6141">
      <c r="A6141" t="inlineStr">
        <is>
          <t>aqkb41</t>
        </is>
      </c>
      <c r="B6141" t="inlineStr">
        <is>
          <t>On today’s episode of “Did I take my long acting before I fell asleep last night?”</t>
        </is>
      </c>
      <c r="C6141" t="inlineStr">
        <is>
          <t xml:space="preserve">Sitting here at 6:30 panicking that I didn’t take my Triseba before bed. Levels are fine, but what a garbage way to wake up. </t>
        </is>
      </c>
      <c r="D6141" t="n">
        <v>1</v>
      </c>
      <c r="E6141" t="n">
        <v>5</v>
      </c>
      <c r="F6141">
        <f>HYPERLINK("https://www.reddit.com/r/diabetes/comments/aqkb41/on_todays_episode_of_did_i_take_my_long_acting/")</f>
        <v/>
      </c>
      <c r="G6141" t="inlineStr">
        <is>
          <t>2019-02-14 06:29:35</t>
        </is>
      </c>
      <c r="H6141" t="inlineStr">
        <is>
          <t>Type 1</t>
        </is>
      </c>
    </row>
    <row r="6142">
      <c r="A6142" t="inlineStr">
        <is>
          <t>aqm0v6</t>
        </is>
      </c>
      <c r="B6142" t="inlineStr">
        <is>
          <t>Help my tester and 14day patch are giving very different results</t>
        </is>
      </c>
      <c r="C6142" t="inlineStr">
        <is>
          <t xml:space="preserve">Is this a common issue with the 14 day freestyle libre Patch or am I just having bad luck? 
Link to the numbers the one of the photos is the app on iOS 
https://imgur.com/a/a4WRYgm
</t>
        </is>
      </c>
      <c r="D6142" t="n">
        <v>1</v>
      </c>
      <c r="E6142" t="n">
        <v>2</v>
      </c>
      <c r="F6142">
        <f>HYPERLINK("https://www.reddit.com/r/diabetes/comments/aqm0v6/help_my_tester_and_14day_patch_are_giving_very/")</f>
        <v/>
      </c>
      <c r="G6142" t="inlineStr">
        <is>
          <t>2019-02-14 09:13:34</t>
        </is>
      </c>
      <c r="H6142" t="inlineStr">
        <is>
          <t>Type 1</t>
        </is>
      </c>
    </row>
    <row r="6143">
      <c r="A6143" t="inlineStr">
        <is>
          <t>aqmax0</t>
        </is>
      </c>
      <c r="B6143" t="inlineStr">
        <is>
          <t>Revolution</t>
        </is>
      </c>
      <c r="C6143" t="inlineStr">
        <is>
          <t>I so wish we could import insulin, strips, and pump supplies from Canada and or Mexico....I would love it if we could boycott US distributors....(sigh)</t>
        </is>
      </c>
      <c r="D6143" t="n">
        <v>1</v>
      </c>
      <c r="E6143" t="n">
        <v>4</v>
      </c>
      <c r="F6143">
        <f>HYPERLINK("https://www.reddit.com/r/diabetes/comments/aqmax0/revolution/")</f>
        <v/>
      </c>
      <c r="G6143" t="inlineStr">
        <is>
          <t>2019-02-14 09:38:33</t>
        </is>
      </c>
      <c r="H6143" t="inlineStr">
        <is>
          <t>Type 1</t>
        </is>
      </c>
    </row>
    <row r="6144">
      <c r="A6144" t="inlineStr">
        <is>
          <t>aqnu18</t>
        </is>
      </c>
      <c r="B6144" t="inlineStr">
        <is>
          <t>BG spiking then dropping</t>
        </is>
      </c>
      <c r="C6144" t="inlineStr">
        <is>
          <t xml:space="preserve">So this has been happening to me a lot lately. For lunch, I will measure out my carbs exactly and dose the correct amount of insulin for those carbs before eating (I'm on MDIs at the moment). At the 1 hour mark my sugar will spike 200-230mg/dl, but then will drop down to a normal post-meal level (100s) another hour or 2 later. So when its spiking I have this daily internal battle as to whether I should take another .5 unit or so. When I do, I drop way too much. 
&amp;amp;#x200B;
I basically want to know, is it normal to spike up this high shortly after meal? I feel like it can't be good, even though I return to normal BG later? </t>
        </is>
      </c>
      <c r="D6144" t="n">
        <v>1</v>
      </c>
      <c r="E6144" t="n">
        <v>3</v>
      </c>
      <c r="F6144">
        <f>HYPERLINK("https://www.reddit.com/r/diabetes/comments/aqnu18/bg_spiking_then_dropping/")</f>
        <v/>
      </c>
      <c r="G6144" t="inlineStr">
        <is>
          <t>2019-02-14 11:53:24</t>
        </is>
      </c>
      <c r="H6144" t="inlineStr">
        <is>
          <t>Type 1</t>
        </is>
      </c>
    </row>
    <row r="6145">
      <c r="A6145" t="inlineStr">
        <is>
          <t>aqo1rd</t>
        </is>
      </c>
      <c r="B6145" t="inlineStr">
        <is>
          <t>My health insurance plan that my boss paid for was cancelled because his credit card was declined.</t>
        </is>
      </c>
      <c r="C6145" t="inlineStr">
        <is>
          <t xml:space="preserve">Hello everyone! I'm in a bit of trouble and was hoping I could get some suggestions on what to do. 
&amp;amp;#x200B;
As the title says, my boss pays for my health insurance. We're a very small company so instead of having a company health plan, my boss just foots the bill for a marketplace plan. It's been a pretty good set up for the past three years that I've been working for him. I moved to Colorado from Texas in May of last year. Our HR manager got me a new Colorado-based health insurance plan in November through Connect for Health Colorado. I went to the doctor around January 10th and everything was fine. I was able to pick up my insulin from the pharmacy on January 11th. On February 11th, I tried to get a refill and the pharmacy said, "That'll be $1800 please!" 
&amp;amp;#x200B;
I called Anthem and they said the plan was terminated on January 15th for lack of payment. Apparently the company credit card that my boss was using to pay for the plan was declined. The only mail I ever received from Anthem was the health insurance card. I did not receive any other letters from Anthem informing me that the payment was declined. 
&amp;amp;#x200B;
I spent an entire day on the phone with Connect for Health Colorado and Anthem, only to have both of them tell me that I'm screwed because open enrollment is over. Our HR manager has been on the phone almost non-stop since February 11th trying to find me a company that will offer me a health insurance plan, but has had no luck so far. 
&amp;amp;#x200B;
Do any of you have any suggestions on what I should do next? I'm currently using Reli-On insulin from Walmart to keep me breathing until I can get something figured out. </t>
        </is>
      </c>
      <c r="D6145" t="n">
        <v>1</v>
      </c>
      <c r="E6145" t="n">
        <v>4</v>
      </c>
      <c r="F6145">
        <f>HYPERLINK("https://www.reddit.com/r/diabetes/comments/aqo1rd/my_health_insurance_plan_that_my_boss_paid_for/")</f>
        <v/>
      </c>
      <c r="G6145" t="inlineStr">
        <is>
          <t>2019-02-14 12:13:16</t>
        </is>
      </c>
      <c r="H6145" t="inlineStr">
        <is>
          <t>Type 1</t>
        </is>
      </c>
    </row>
    <row r="6146">
      <c r="A6146" t="inlineStr">
        <is>
          <t>aqsvhw</t>
        </is>
      </c>
      <c r="B6146" t="inlineStr">
        <is>
          <t>Beer and Type 2 Diabetes</t>
        </is>
      </c>
      <c r="C6146" t="inlineStr">
        <is>
          <t xml:space="preserve">So before my diagnosis, I was a pretty big beer drinker - not an every night type of drinker, but a big fan of craft beers (sours, stouts, some IPAs). I have a reasonably sized cellar of beers that I am aging for another day. 
Realistically, what can I still drink? I've read plenty of advice on here about drinking Michelob Light or similar, but it's not really very satisfying to me, and I'd rather not waste the calories. </t>
        </is>
      </c>
      <c r="D6146" t="n">
        <v>1</v>
      </c>
      <c r="E6146" t="n">
        <v>3</v>
      </c>
      <c r="F6146">
        <f>HYPERLINK("https://www.reddit.com/r/diabetes/comments/aqsvhw/beer_and_type_2_diabetes/")</f>
        <v/>
      </c>
      <c r="G6146" t="inlineStr">
        <is>
          <t>2019-02-14 20:34:52</t>
        </is>
      </c>
      <c r="H6146" t="inlineStr">
        <is>
          <t>Type 2</t>
        </is>
      </c>
    </row>
    <row r="6147">
      <c r="A6147" t="inlineStr">
        <is>
          <t>aqwrfp</t>
        </is>
      </c>
      <c r="B6147" t="inlineStr">
        <is>
          <t>Freestyle Libre 2 and Miaomiao</t>
        </is>
      </c>
      <c r="C6147" t="inlineStr">
        <is>
          <t>so I just had to use my first FSL2 sensor after 4 months of FSL1 + Miaomiao + Xdrip + smartwatch usage. Super bummed out about it but no way of getting FSL1 sensors for me right now. Is there anyway of keeping up to date with the eventual update for the Miaomiao (hopefully) or a second gen Miaomiao? Updates on this topic are very sparce.
&amp;amp;#x200B;
thx guys</t>
        </is>
      </c>
      <c r="D6147" t="n">
        <v>1</v>
      </c>
      <c r="E6147" t="n">
        <v>0</v>
      </c>
      <c r="F6147">
        <f>HYPERLINK("https://www.reddit.com/r/diabetes/comments/aqwrfp/freestyle_libre_2_and_miaomiao/")</f>
        <v/>
      </c>
      <c r="G6147" t="inlineStr">
        <is>
          <t>2019-02-15 05:53:39</t>
        </is>
      </c>
      <c r="H6147" t="inlineStr">
        <is>
          <t>Type 1</t>
        </is>
      </c>
    </row>
    <row r="6148">
      <c r="A6148" t="inlineStr">
        <is>
          <t>ar4g39</t>
        </is>
      </c>
      <c r="B6148" t="inlineStr">
        <is>
          <t>Coconut water okay?</t>
        </is>
      </c>
      <c r="C6148" t="inlineStr">
        <is>
          <t>Hi, my mom was just diagnosed this past weekend with Type 2 Diabetes. (She was admitted into the hospital with diabetic ketoacidosis. Up until that point, we had no idea she had it.)  She is currently having diarrhea that we think stems from the Metformin she is currently on,  and we were worried about her electrolytes dropping. Up until the diagnosis, she was fond of drinking Vita Coco coconut water as a natural electrolyte. Is that something she can still do?</t>
        </is>
      </c>
      <c r="D6148" t="n">
        <v>6</v>
      </c>
      <c r="E6148" t="n">
        <v>10</v>
      </c>
      <c r="F6148">
        <f>HYPERLINK("https://www.reddit.com/r/diabetes/comments/ar4g39/coconut_water_okay/")</f>
        <v/>
      </c>
      <c r="G6148" t="inlineStr">
        <is>
          <t>2019-02-15 18:47:50</t>
        </is>
      </c>
      <c r="H6148" t="inlineStr">
        <is>
          <t>Type 2</t>
        </is>
      </c>
    </row>
    <row r="6149">
      <c r="A6149" t="inlineStr">
        <is>
          <t>ar62iq</t>
        </is>
      </c>
      <c r="B6149" t="inlineStr">
        <is>
          <t>The Enbrel for my Rheumatoid Arthritis appears to have put my developing LADA T1D into remission</t>
        </is>
      </c>
      <c r="C6149" t="inlineStr">
        <is>
          <t>Apologies if this isn't an appropriate post for this sub; I'm posting in case somebody else on the internet finds this useful.
I was (erroneously) diagnosed with gestational diabetes a little over a year ago after failing the standard pregnancy oral glucose screening and subsequent full test (fasting was fine, 1- and 2- hour postprandial were quite high). I successfully controlled my blood sugar throughout the pregnancy via diet and finger-prick monitoring. Six months postpartum, I failed the repeat oral glucose test with nearly identical values. Because I was slim and had developed Rheumatoid Arthritis 8 weeks postpartum, I was deemed at risk for LADA (Latent Autoimmune Diabetes in Adults) and sought out an endocrinologist. He ran a comprehensive blood panel looking for thyroid, parathyroid, pancreatic, and insulin autoimmunities. My IA2 antibodies--and *only* those antibodies--came back positive, albeit not by much. My A1C was normal, and I was negative for GAD and insulin antibodies. I was told that I may or may not go on to develop fullblown T1D, and I clearly already had a problem with sugar, so I should eat low-glycemic-index foods, check my blood sugar once or twice a week, and get a more comprehensive blood panel run every 3 months. I was further informed that it was *possible* that the Enbrel I was on for the RA would slow or prevent the development of T1D.
Well... apparently it did better than that. I just had my second panel run and the IA2 antibodies are GONE. So are the thyroid autoantibodies that, while still not high enough to technically be considered seropositive, were nevertheless on the high end of normal when first checked. My doctor was so excited with the development she was practically bouncing when she told me. I'm going to continue to get checked every 3 months--I need to anyway to keep an eye on the RA--but I've been told I no longer need to restrict sugar/carb intake and I don't need to do the weekly prick.
I know that there's been at least one pilot study that looked at putting newly-diagnosed T1D kids on Enbrel and found very positive results, but it was a limited-time study; you can't keep experimentally immunosuppressing kids indefinitely to see how it goes. So as far as I know, I am a case study of one.
AMA, I guess?</t>
        </is>
      </c>
      <c r="D6149" t="n">
        <v>4</v>
      </c>
      <c r="E6149" t="n">
        <v>7</v>
      </c>
      <c r="F6149">
        <f>HYPERLINK("https://www.reddit.com/r/diabetes/comments/ar62iq/the_enbrel_for_my_rheumatoid_arthritis_appears_to/")</f>
        <v/>
      </c>
      <c r="G6149" t="inlineStr">
        <is>
          <t>2019-02-15 22:12:34</t>
        </is>
      </c>
      <c r="H6149" t="inlineStr">
        <is>
          <t>Type 1.5/LADA</t>
        </is>
      </c>
    </row>
    <row r="6150">
      <c r="A6150" t="inlineStr">
        <is>
          <t>arbqrf</t>
        </is>
      </c>
      <c r="B6150" t="inlineStr">
        <is>
          <t>4 year old to the rescue</t>
        </is>
      </c>
      <c r="C6150" t="inlineStr">
        <is>
          <t xml:space="preserve">About 20 mins ago I was laying on the bed with my 4 year old watching his iPad next to me. He suddenly kept asking me if I was ok, until I realised my sugar level was low. I told him mummy’s sugar level is low and he went and got my Pepsi from the fridge. 
I’m so proud of my son right now !!!
I was trying to sleep and he saved me!!! </t>
        </is>
      </c>
      <c r="D6150" t="n">
        <v>48</v>
      </c>
      <c r="E6150" t="n">
        <v>5</v>
      </c>
      <c r="F6150">
        <f>HYPERLINK("https://www.reddit.com/r/diabetes/comments/arbqrf/4_year_old_to_the_rescue/")</f>
        <v/>
      </c>
      <c r="G6150" t="inlineStr">
        <is>
          <t>2019-02-16 10:52:18</t>
        </is>
      </c>
      <c r="H6150" t="inlineStr">
        <is>
          <t>Type 1</t>
        </is>
      </c>
    </row>
    <row r="6151">
      <c r="A6151" t="inlineStr">
        <is>
          <t>ardxx4</t>
        </is>
      </c>
      <c r="B6151" t="inlineStr">
        <is>
          <t>The 670G</t>
        </is>
      </c>
      <c r="C6151" t="inlineStr">
        <is>
          <t>Hello! I'm a T1 for about 6 years now, and my parents want me to switch over to the 670G after using a t:slim for about, I would say, 5ish years. I agree with them because of all the features like, the CGM, and the meter communication, but I am nervous about switching. I don't know if it's because I just got the new X2 or it's because I am scared of what could go wrong. I also hear it brings down your A1C by half (according to the introduction paper we got in the mail) which kind of helps me considering I have a VERY high A1C. (9.1) If there are any Medtronic 670G users out there, I would love to know if it is a good pump or not. Thanks!</t>
        </is>
      </c>
      <c r="D6151" t="n">
        <v>3</v>
      </c>
      <c r="E6151" t="n">
        <v>15</v>
      </c>
      <c r="F6151">
        <f>HYPERLINK("https://www.reddit.com/r/diabetes/comments/ardxx4/the_670g/")</f>
        <v/>
      </c>
      <c r="G6151" t="inlineStr">
        <is>
          <t>2019-02-16 14:36:21</t>
        </is>
      </c>
      <c r="H6151" t="inlineStr">
        <is>
          <t>Type 1</t>
        </is>
      </c>
    </row>
    <row r="6152">
      <c r="A6152" t="inlineStr">
        <is>
          <t>armv20</t>
        </is>
      </c>
      <c r="B6152" t="inlineStr">
        <is>
          <t>Fighting Endo on pump brand?</t>
        </is>
      </c>
      <c r="C6152" t="inlineStr">
        <is>
          <t>Have any of you had issues with your doctor not liking your pump brand? I went on a pump for the first time this summer, I was given the choice of Tandem or Medtronic. I labored for days with a pro/con spreadsheet, calling reps, talking to friends, reading reviews. Ultimately I chose Tandem. Ever since then, my endocrinologist questions and voices her frustration with my choice. (The Tandem rep told us that this office specifically uses Medtronic, that they refer patients to Medtronic, and they don't like to work with Tandem. Is this normal? I don't know how much of this is true but I had to train my diabetes educator on Tandem because she had never been trained... even though she provided me with the choice of Tandem.)  
 I went in last week and my endo demanded to know why I chose Tandem because she was frustrated that she can't pull up my Dexcom charts with my insulin numbers. She wants me on the Medtronic because she has to look at two separate pieces of paper. I'm sorry, isn't it her job to work with what we have? Isn't this more information than I had before the pump? I am not the best diabetic but I am trying. Do I need to print out and provide charts to her myself? That seems ridiculous but maybe I'm not going into my appointments with the information I need to bring. Any advice on how to communicate or work better with my endo? To be honest, she's scary (which I have told her) but better than previous endos who threatened to take away my access to a CGM/pump/insulin because I wasn't controlled at the time.  
Thanks!</t>
        </is>
      </c>
      <c r="D6152" t="n">
        <v>5</v>
      </c>
      <c r="E6152" t="n">
        <v>27</v>
      </c>
      <c r="F6152">
        <f>HYPERLINK("https://www.reddit.com/r/diabetes/comments/armv20/fighting_endo_on_pump_brand/")</f>
        <v/>
      </c>
      <c r="G6152" t="inlineStr">
        <is>
          <t>2019-02-17 09:43:43</t>
        </is>
      </c>
      <c r="H6152" t="inlineStr">
        <is>
          <t>Type 1</t>
        </is>
      </c>
    </row>
    <row r="6153">
      <c r="A6153" t="inlineStr">
        <is>
          <t>arqrhm</t>
        </is>
      </c>
      <c r="B6153" t="inlineStr">
        <is>
          <t>Helicobacter pylori infection and sudden hypoglycemia</t>
        </is>
      </c>
      <c r="C6153" t="inlineStr">
        <is>
          <t xml:space="preserve">Hello,
&amp;amp;#x200B;
 I have been having lot of stomach problems recently - including constipation, left abdomen pain, bloating, gas and nausea. I had blood and stool sample tests for H. Pylori and they were all negative. I had many other different tests done and also colonoscopy, and first gastro came with conclusion that its irritable bowel syndrome. However medication and diet was not very helpful so I have tried other gastro and she did gastroscopy with biopsy, which found inflammation in different parts of stomach - gastritis and also small stain of helicobacter in antrum. So I have done 7 days of antibiotics, but 3 days later I am still not feeling any better. 
&amp;amp;#x200B;
However during last year I have had many unexplainable hypoglycemia (where blood sugar randomly drops during whole day and it drops really fast even after eating or even when I did not take any bolus for hours and did not do any physical activity ) ... as I have CGM so I can clearly see it. I discussed it with my endo, she even suggested me to try different insulin and change pump sites very very often, but it was not any helpful.  Some sources on Wikipedia are saying that H. Pylori can cause reactive hypoglycemia in healthy people. 
&amp;amp;#x200B;
So I am asking here if anyone had H. Pylori with gastritis and also used CGM during that time - DID YOU HAVE ANY UNEXPLAINABLE HYPOGLYCEMIA ?  </t>
        </is>
      </c>
      <c r="D6153" t="n">
        <v>1</v>
      </c>
      <c r="E6153" t="n">
        <v>1</v>
      </c>
      <c r="F6153">
        <f>HYPERLINK("https://www.reddit.com/r/diabetes/comments/arqrhm/helicobacter_pylori_infection_and_sudden/")</f>
        <v/>
      </c>
      <c r="G6153" t="inlineStr">
        <is>
          <t>2019-02-17 15:54:31</t>
        </is>
      </c>
      <c r="H6153" t="inlineStr">
        <is>
          <t>Type 1</t>
        </is>
      </c>
    </row>
    <row r="6154">
      <c r="A6154" t="inlineStr">
        <is>
          <t>arrny8</t>
        </is>
      </c>
      <c r="B6154" t="inlineStr">
        <is>
          <t>Question for all FIASP users!</t>
        </is>
      </c>
      <c r="C6154" t="inlineStr">
        <is>
          <t>I just finished up my first fiasp pen and I’m noticing more bruising, bleeding, and puffiness around injection sites. Anybody else with a similar experience to mine? Not a fan so far :(</t>
        </is>
      </c>
      <c r="D6154" t="n">
        <v>3</v>
      </c>
      <c r="E6154" t="n">
        <v>12</v>
      </c>
      <c r="F6154">
        <f>HYPERLINK("https://www.reddit.com/r/diabetes/comments/arrny8/question_for_all_fiasp_users/")</f>
        <v/>
      </c>
      <c r="G6154" t="inlineStr">
        <is>
          <t>2019-02-17 17:33:33</t>
        </is>
      </c>
      <c r="H6154" t="inlineStr">
        <is>
          <t>Type 1</t>
        </is>
      </c>
    </row>
    <row r="6155">
      <c r="A6155" t="inlineStr">
        <is>
          <t>arvsdv</t>
        </is>
      </c>
      <c r="B6155" t="inlineStr">
        <is>
          <t>Why to decrease insulin intake during exercise ?</t>
        </is>
      </c>
      <c r="C6155" t="inlineStr">
        <is>
          <t xml:space="preserve">I have been always told to decrease basal or even stop the pump during exercise to avoid hypoglycemia ... so I have been following this rule for while until I found that you basically do not have any energy when you do that...
Its different when you go cycling for 20-30km around your house, but try to do 150-200km daily in high tempo...
I first found out about this, when going on first long distance trip with my cycling friends. First days I was not unable to catch up with them ( I had pump basal almost completely turned off) and I was not feeling well at all. So next days I decided to return or even increase my basal and instead eat much more and check my bg more often (as I did not have cgm at that time) and it was something different, because I finally had enough energy and to catch up with my friend was any pain...
&amp;amp;#x200B;
So the advice to decrease insulin during exercise is maybe correct if you do some recreational sports like running for 5kms etc .. otherwise you will soon run out of glycogen from liver and you will feel very exhausted ...  </t>
        </is>
      </c>
      <c r="D6155" t="n">
        <v>10</v>
      </c>
      <c r="E6155" t="n">
        <v>9</v>
      </c>
      <c r="F6155">
        <f>HYPERLINK("https://www.reddit.com/r/diabetes/comments/arvsdv/why_to_decrease_insulin_intake_during_exercise/")</f>
        <v/>
      </c>
      <c r="G6155" t="inlineStr">
        <is>
          <t>2019-02-18 02:10:30</t>
        </is>
      </c>
      <c r="H6155" t="inlineStr">
        <is>
          <t>Type 1</t>
        </is>
      </c>
    </row>
    <row r="6156">
      <c r="A6156" t="inlineStr">
        <is>
          <t>arxcmt</t>
        </is>
      </c>
      <c r="B6156" t="inlineStr">
        <is>
          <t>Got diagnosed with type 2 today. Don’t know what to do.</t>
        </is>
      </c>
      <c r="C6156" t="inlineStr">
        <is>
          <t xml:space="preserve">For almost my entire life I was thinking that I was eating very healthily. Potatoes, whole grain bread &amp;amp; pasta, meat, beans and lentils and fruit were on my daily menu, with an occasional treat of course.
Today my doctor told me something that came as a shock to me. I have type 2 diabetes. Never expected this, as I’m not overweight at all and have a BMI of 22. Of course I have some belly fat, but I think the majority of the people with a normal weight do as well. 
I asked her if the high levels of sugar in my blood stream was just a sign of insulin resistance but she straight up said “no, you have type 2 diabetes.” 
Now I really don’t know what to do as some people are telling me to lose some weight to reverse this condition. But I’m not sure if I should do that, as I’m not overweight.
Should I lose some weight? Cut carbs? I really don’t know.
Any advice is greatly appreciated. </t>
        </is>
      </c>
      <c r="D6156" t="n">
        <v>3</v>
      </c>
      <c r="E6156" t="n">
        <v>26</v>
      </c>
      <c r="F6156">
        <f>HYPERLINK("https://www.reddit.com/r/diabetes/comments/arxcmt/got_diagnosed_with_type_2_today_dont_know_what_to/")</f>
        <v/>
      </c>
      <c r="G6156" t="inlineStr">
        <is>
          <t>2019-02-18 05:43:01</t>
        </is>
      </c>
      <c r="H6156" t="inlineStr">
        <is>
          <t>Type 2</t>
        </is>
      </c>
    </row>
    <row r="6157">
      <c r="A6157" t="inlineStr">
        <is>
          <t>arykjo</t>
        </is>
      </c>
      <c r="B6157" t="inlineStr">
        <is>
          <t>Had my 3(ish) month follow up last week after being diagnosed late October</t>
        </is>
      </c>
      <c r="C6157" t="inlineStr">
        <is>
          <t>I was diagnosed in late October last year and had a very high A1C (13.6) and clocked in well over 450 lbs. last week I had my follow up, A1C is down to 6.0 and I am currently sitting at about 402 lbs. It was a lot of work but I just wanted to say that even for people with high numbers like I had you can do it! Just stay focused, don’t beat yourself up if you have a high reading or indulge in some not-so-healthy food options on rare occasions. Swimming a lot also helped me :)</t>
        </is>
      </c>
      <c r="D6157" t="n">
        <v>14</v>
      </c>
      <c r="E6157" t="n">
        <v>3</v>
      </c>
      <c r="F6157">
        <f>HYPERLINK("https://www.reddit.com/r/diabetes/comments/arykjo/had_my_3ish_month_follow_up_last_week_after_being/")</f>
        <v/>
      </c>
      <c r="G6157" t="inlineStr">
        <is>
          <t>2019-02-18 07:54:19</t>
        </is>
      </c>
      <c r="H6157" t="inlineStr">
        <is>
          <t>Type 2</t>
        </is>
      </c>
    </row>
    <row r="6158">
      <c r="A6158" t="inlineStr">
        <is>
          <t>as3nmc</t>
        </is>
      </c>
      <c r="B6158" t="inlineStr">
        <is>
          <t>Blindly dosing insulin??</t>
        </is>
      </c>
      <c r="C6158" t="inlineStr">
        <is>
          <t>So I am newly diagnosed within the last 2 weeks, however my mother has had what I believe is T2 for a few years now.  I myself am not on insulin but she is.  During a phone conversation the other day,  I asked her  how she manages her BG.  She said that she was about 104 in the mornings and then takes 3 doses of insulin a intervals throughout the day.  I asked if she measures BG before she doses and she said, no the doctor just told her to take those 3 doses.  I told her I didn't think that was right and she could go low on sugar if she doses while already in a normal range.  Ironically later that night, she started feeling really hot and sweating profusely.  She checked her BG and was at 55.  Ate some sweets and recovered ok though.  She called and told her doctor this and he said to adjust the 3rd dose of the day down... still didn't tell her to check BG beforehand.   Is this ever normal for a doctor to try to manage dosing this way?
&amp;amp;#x200B;</t>
        </is>
      </c>
      <c r="D6158" t="n">
        <v>5</v>
      </c>
      <c r="E6158" t="n">
        <v>10</v>
      </c>
      <c r="F6158">
        <f>HYPERLINK("https://www.reddit.com/r/diabetes/comments/as3nmc/blindly_dosing_insulin/")</f>
        <v/>
      </c>
      <c r="G6158" t="inlineStr">
        <is>
          <t>2019-02-18 15:36:01</t>
        </is>
      </c>
      <c r="H6158" t="inlineStr">
        <is>
          <t>Type 2</t>
        </is>
      </c>
    </row>
    <row r="6159">
      <c r="A6159" t="inlineStr">
        <is>
          <t>asbw5q</t>
        </is>
      </c>
      <c r="B6159" t="inlineStr">
        <is>
          <t>Does anyone ever reuse Medtronic reservoirs for their pump?</t>
        </is>
      </c>
      <c r="C6159" t="inlineStr">
        <is>
          <t>I'm almost out of reservoirs and i'm having some issues with ordering (hopefully will be resolved soon.) Just wondering if anyone has ever reused the Medtronic Reservoirs for their pump?</t>
        </is>
      </c>
      <c r="D6159" t="n">
        <v>2</v>
      </c>
      <c r="E6159" t="n">
        <v>7</v>
      </c>
      <c r="F6159">
        <f>HYPERLINK("https://www.reddit.com/r/diabetes/comments/asbw5q/does_anyone_ever_reuse_medtronic_reservoirs_for/")</f>
        <v/>
      </c>
      <c r="G6159" t="inlineStr">
        <is>
          <t>2019-02-19 07:59:23</t>
        </is>
      </c>
      <c r="H6159" t="inlineStr">
        <is>
          <t>Type 1</t>
        </is>
      </c>
    </row>
    <row r="6160">
      <c r="A6160" t="inlineStr">
        <is>
          <t>asc8b5</t>
        </is>
      </c>
      <c r="B6160" t="inlineStr">
        <is>
          <t>Call out of work today</t>
        </is>
      </c>
      <c r="C6160" t="inlineStr">
        <is>
          <t xml:space="preserve">I had not even administer my dose of insulin today when all of a sudden my sugar dropped to “30”  while driving to work . Had to call out and  eat my sugar tablets to get home to my husband so he could look after me. Woke up with a horrendous migraine but still in the low 90s </t>
        </is>
      </c>
      <c r="D6160" t="n">
        <v>7</v>
      </c>
      <c r="E6160" t="n">
        <v>6</v>
      </c>
      <c r="F6160">
        <f>HYPERLINK("https://www.reddit.com/r/diabetes/comments/asc8b5/call_out_of_work_today/")</f>
        <v/>
      </c>
      <c r="G6160" t="inlineStr">
        <is>
          <t>2019-02-19 08:30:19</t>
        </is>
      </c>
      <c r="H6160" t="inlineStr">
        <is>
          <t>Type 1</t>
        </is>
      </c>
    </row>
    <row r="6161">
      <c r="A6161" t="inlineStr">
        <is>
          <t>asclh0</t>
        </is>
      </c>
      <c r="B6161" t="inlineStr">
        <is>
          <t>Cheat day every 3 months?</t>
        </is>
      </c>
      <c r="C6161" t="inlineStr">
        <is>
          <t xml:space="preserve">So I just went in to give my blood sample for my 3 month check up.  I’ll get my new a1c results today, then meet with my endo next week. 
So ..... today (or this week) is my cheat day/week ?  :-D
/s. ... but seriously.... but joking ... but for real?  </t>
        </is>
      </c>
      <c r="D6161" t="n">
        <v>4</v>
      </c>
      <c r="E6161" t="n">
        <v>6</v>
      </c>
      <c r="F6161">
        <f>HYPERLINK("https://www.reddit.com/r/diabetes/comments/asclh0/cheat_day_every_3_months/")</f>
        <v/>
      </c>
      <c r="G6161" t="inlineStr">
        <is>
          <t>2019-02-19 09:03:08</t>
        </is>
      </c>
      <c r="H6161" t="inlineStr">
        <is>
          <t>Type 2</t>
        </is>
      </c>
    </row>
    <row r="6162">
      <c r="A6162" t="inlineStr">
        <is>
          <t>aseb6f</t>
        </is>
      </c>
      <c r="B6162" t="inlineStr">
        <is>
          <t>When do you take levemir before bed?</t>
        </is>
      </c>
      <c r="C6162" t="inlineStr">
        <is>
          <t>For those of you who take Levemir at night, how long before bed do you take it? Also do you find that the timing affects how effective it is?</t>
        </is>
      </c>
      <c r="D6162" t="n">
        <v>3</v>
      </c>
      <c r="E6162" t="n">
        <v>3</v>
      </c>
      <c r="F6162">
        <f>HYPERLINK("https://www.reddit.com/r/diabetes/comments/aseb6f/when_do_you_take_levemir_before_bed/")</f>
        <v/>
      </c>
      <c r="G6162" t="inlineStr">
        <is>
          <t>2019-02-19 11:28:51</t>
        </is>
      </c>
      <c r="H6162" t="inlineStr">
        <is>
          <t>Type 1</t>
        </is>
      </c>
    </row>
    <row r="6163">
      <c r="A6163" t="inlineStr">
        <is>
          <t>aseyvr</t>
        </is>
      </c>
      <c r="B6163" t="inlineStr">
        <is>
          <t>T:Slim X2, transmitter out of range</t>
        </is>
      </c>
      <c r="C6163" t="inlineStr">
        <is>
          <t>I recently upgraded my t:slim to the x2 and my dexcom to the G6, wicked excited for having my CGM data and insulin pump rolled into one. However... my x2 states that the transmitter is out of range many times a day. I would occasionally encounter this when my G5 was connected to my iPhone, but it’s gotten so much worse now! 
Has anyone else been encountering this? I put my CGM on my triceps and my pump is almost always in my pants pocket, so there’s rarely much more than 2 feet of distance between the two, far less than the supposed 20 feet of range that was advertised. I’ve yet to pair the G6 to my iPhone to see if the x2 or transmitter/sensor is at fault, but wanted to see if this is a oft-encountered issue for x2 users.
Thanks for any help/advice!</t>
        </is>
      </c>
      <c r="D6163" t="n">
        <v>2</v>
      </c>
      <c r="E6163" t="n">
        <v>10</v>
      </c>
      <c r="F6163">
        <f>HYPERLINK("https://www.reddit.com/r/diabetes/comments/aseyvr/tslim_x2_transmitter_out_of_range/")</f>
        <v/>
      </c>
      <c r="G6163" t="inlineStr">
        <is>
          <t>2019-02-19 12:27:25</t>
        </is>
      </c>
      <c r="H6163" t="inlineStr">
        <is>
          <t>Type 1</t>
        </is>
      </c>
    </row>
    <row r="6164">
      <c r="A6164" t="inlineStr">
        <is>
          <t>asf1dh</t>
        </is>
      </c>
      <c r="B6164" t="inlineStr">
        <is>
          <t>Can I brag for a minute?</t>
        </is>
      </c>
      <c r="C6164" t="inlineStr">
        <is>
          <t>I saw my Endo today for the first time since starting my first pump (t:slim X2) in December. My A1C was 6.8, my first time below 7.0 in 17 years. I know for many of you this isn't that impressive, but for me it's a major turning point in deciding I want to live as full and healthy a diabetic life as possible. Proud of myself for meeting a set goal and looking forward to tightening my control even more! Only downside is the slight weight gain I've experienced from finally getting the proper amount of insulin in my body since forever, lol.</t>
        </is>
      </c>
      <c r="D6164" t="n">
        <v>121</v>
      </c>
      <c r="E6164" t="n">
        <v>16</v>
      </c>
      <c r="F6164">
        <f>HYPERLINK("https://www.reddit.com/r/diabetes/comments/asf1dh/can_i_brag_for_a_minute/")</f>
        <v/>
      </c>
      <c r="G6164" t="inlineStr">
        <is>
          <t>2019-02-19 12:33:32</t>
        </is>
      </c>
      <c r="H6164" t="inlineStr">
        <is>
          <t>Type 1</t>
        </is>
      </c>
    </row>
    <row r="6165">
      <c r="A6165" t="inlineStr">
        <is>
          <t>asfhcr</t>
        </is>
      </c>
      <c r="B6165" t="inlineStr">
        <is>
          <t>Just got a Dexcom G6. I have some questions (A1C visits, smart watches, xDrip).</t>
        </is>
      </c>
      <c r="C6165" t="inlineStr">
        <is>
          <t>Hello everyone!
As the title says, I am new to the Dexcom and CGMs in general. I am a 22 year old male, and have had type 1 for 18 years. I have a lot of questions, but I'm hoping other newcomers will find this helpful as much as I do.
My first (and most important) question regards A1C visits. In the past, I have always given the nurses my meter and pump, but now I am not sure how I will give them access to this data. I have been transmitting the data to my phone (Google Pixel), and the official receiver has been mostly turned off since I got it. I currently only have the Dexcom G6 app installed. I tried to get Clarity setup, but was presented with the option to send/recieve a sharing code. Should I call the clinic and get this setup, or is there a preferred method of sharing data?
I've been seeing mentions of xDrip and Nightwatch on just about every forum. Would this also be acceptable, or do doctors typically prefer to use the official Dexcom apps?
&amp;amp;#x200B;
Secondly, I have a few general questions about xDrip and Nightwatch:
* Does using these apps void Dexcom warranties?
* What are the advantages? If I own a phone that is compatible with official Dexcom apps, is it worth installing xDrip and/or Nightwatch?
* From what I understand, xDrip allows longer sensor and transmitter sessions. Will it still notify me when their batteries are running low? Does xDrip affect the lifespan of transmitter batteries?
* Is the data more or less reliable than Dexcom's, or is it the same? I've read that it is worse, but that may have been misinformation.
&amp;amp;#x200B;
Lastly, I am looking to get a smart watch. There seem to be a lot of methods, and I am looking for some feedback. I'd ideally like something that has good battery life and that's not really ugly (although, I'm not very picky). From what I have read, these are my options:
* Wear OS watch + the Dexcom official app. Probably the simplest way, but Wear OS watches are pretty expensive, and there is not much customization. Fossil Gen 4 watches are on sale for $200 at my local Best Buy, so this is currently tempting. There's also TicWatch E's for $160.
* Wear OS watch + xDrip. Basically the same, except more customization. I still do not know much about xDrip though.
* Fitbit Ionic/Versa. I know Fitbit and Dexcom have been pretty quiet about their integration, but I was reading [this](https://community.fitbit.com/t5/Third-Party-Integrations/Integration-with-Dexcom-G6/td-p/3148843) discussion, and it seems to be possible through Dexcom Share. I've also read that xDrip is compatible with these watches. This also may be the most future-proof option as Dexcom and Fitbit may possibly add more functionality in the future. I even saw that they have the Versa listed as compatible with the Dexcom Glucose Program on [this](https://www.dexcom.com/faq/what-devices-and-software-are-compatible-dexcom-cgm-apps) page, but that seems to be invitation-only at the time, and I am not even sure what that is capable of. There is someone on LetGo selling a brand new Versa for $100, so this is also tempting.
* iPhone + Apple Watch + Dexcom apps. Not the ideal method, as I would need to buy a whole new phone, and Apple products are expensive. I am interested in what the potential advantages are, and others may be as well.
* Sony Smart Watch 3 directly connected to xDrip. From what I have read, this is the only watch capable of working without a phone connected. That is pretty sweet, but it's an older watch, and I'm also worried if this would have a more significant affect on transmitter battery lifespan. I've also read that Pebble watches work, but I haven't seen much about G6 compatibility. Only G5.
* I would be happy to read any other methods you have come up with!
&amp;amp;#x200B;
Thank you to anyone willing to answer some of these questions. Sorry it kind of turned into a novel. I hope others find the thread useful as well. I look forward to reading what you have to say.</t>
        </is>
      </c>
      <c r="D6165" t="n">
        <v>7</v>
      </c>
      <c r="E6165" t="n">
        <v>21</v>
      </c>
      <c r="F6165">
        <f>HYPERLINK("https://www.reddit.com/r/diabetes/comments/asfhcr/just_got_a_dexcom_g6_i_have_some_questions_a1c/")</f>
        <v/>
      </c>
      <c r="G6165" t="inlineStr">
        <is>
          <t>2019-02-19 13:12:31</t>
        </is>
      </c>
      <c r="H6165" t="inlineStr">
        <is>
          <t>Type 1</t>
        </is>
      </c>
    </row>
    <row r="6166">
      <c r="A6166" t="inlineStr">
        <is>
          <t>ask2ry</t>
        </is>
      </c>
      <c r="B6166" t="inlineStr">
        <is>
          <t>Hair loss and diabetes?</t>
        </is>
      </c>
      <c r="C6166" t="inlineStr">
        <is>
          <t xml:space="preserve">Sorry for any formatting issues I’m on mobile. 
So I was diagnosed as a t2 diabetic in December then re diagnosed as a type 1 after almost dying from DKA in January. I was given insulin the second time around and decided to start working out and go low carb. Now I’m noticing a lot(and I mean A LOT) of hair loss. Has anyone else experienced this? Could my insulin be the cause of my hair loss? Or maybe my diet? </t>
        </is>
      </c>
      <c r="D6166" t="n">
        <v>3</v>
      </c>
      <c r="E6166" t="n">
        <v>7</v>
      </c>
      <c r="F6166">
        <f>HYPERLINK("https://www.reddit.com/r/diabetes/comments/ask2ry/hair_loss_and_diabetes/")</f>
        <v/>
      </c>
      <c r="G6166" t="inlineStr">
        <is>
          <t>2019-02-19 20:47:07</t>
        </is>
      </c>
      <c r="H6166" t="inlineStr">
        <is>
          <t>Type 1</t>
        </is>
      </c>
    </row>
    <row r="6167">
      <c r="A6167" t="inlineStr">
        <is>
          <t>astkps</t>
        </is>
      </c>
      <c r="B6167" t="inlineStr">
        <is>
          <t>Which do I change - Insulin Sensitivity Factor or my Carb Ratio?</t>
        </is>
      </c>
      <c r="C6167" t="inlineStr">
        <is>
          <t xml:space="preserve">Blood sugar creeps after eating lunch, even when I know I bolused correctly.  Which of the two should I increase/decrease? </t>
        </is>
      </c>
      <c r="D6167" t="n">
        <v>3</v>
      </c>
      <c r="E6167" t="n">
        <v>10</v>
      </c>
      <c r="F6167">
        <f>HYPERLINK("https://www.reddit.com/r/diabetes/comments/astkps/which_do_i_change_insulin_sensitivity_factor_or/")</f>
        <v/>
      </c>
      <c r="G6167" t="inlineStr">
        <is>
          <t>2019-02-20 12:52:13</t>
        </is>
      </c>
      <c r="H6167" t="inlineStr">
        <is>
          <t>Type 1</t>
        </is>
      </c>
    </row>
    <row r="6168">
      <c r="A6168" t="inlineStr">
        <is>
          <t>asv1c7</t>
        </is>
      </c>
      <c r="B6168" t="inlineStr">
        <is>
          <t>Does it actually get easier?</t>
        </is>
      </c>
      <c r="C6168" t="inlineStr">
        <is>
          <t>I'm 14 and have had type 1 for about 2 years...everyone I talk to about diabetes always says "it gets easier" but for me it feels like it's getting worse...I've been in hospital twice because of DKA and once for a hypo...my doctor gets more annoyed every time I see him about my control and hba1c and my parents are constantly hassling me about my blood sugar and blaming me whenever it isn't perfect.
The whole thing (plus other stuff in my life) makes me feel really depressed and I wish I was never diagnosed with this shit disease because it feels like my whole life is controlled by type 1 and I hate it so much. How does it get easier? If it even does?</t>
        </is>
      </c>
      <c r="D6168" t="n">
        <v>16</v>
      </c>
      <c r="E6168" t="n">
        <v>24</v>
      </c>
      <c r="F6168">
        <f>HYPERLINK("https://www.reddit.com/r/diabetes/comments/asv1c7/does_it_actually_get_easier/")</f>
        <v/>
      </c>
      <c r="G6168" t="inlineStr">
        <is>
          <t>2019-02-20 14:50:45</t>
        </is>
      </c>
      <c r="H6168" t="inlineStr">
        <is>
          <t>Type 1</t>
        </is>
      </c>
    </row>
    <row r="6169">
      <c r="A6169" t="inlineStr">
        <is>
          <t>aswph2</t>
        </is>
      </c>
      <c r="B6169" t="inlineStr">
        <is>
          <t>I drink six gatorades a day, how likely is it that I’ll get diabetes before 50?</t>
        </is>
      </c>
      <c r="C6169" t="inlineStr">
        <is>
          <t xml:space="preserve">(17m) I have a reasonably steady &amp;amp; balanced diet overall. However I can’t seem to go longer than two days without drinking Gatorade. I’m currently 185lbs and 6”2, there is a history of diabetes on my father’s side, however the old family rumor is that it has been known to skip a generation. I couldn’t tell you how accurate or true that is but I know for a fact that my grandfather never had diabetes. On an average day I’ll consume 4-8 gatorades, although the most I’ve had in one day was twelve. How bad is my situation looking? </t>
        </is>
      </c>
      <c r="D6169" t="n">
        <v>0</v>
      </c>
      <c r="E6169" t="n">
        <v>15</v>
      </c>
      <c r="F6169">
        <f>HYPERLINK("https://www.reddit.com/r/diabetes/comments/aswph2/i_drink_six_gatorades_a_day_how_likely_is_it_that/")</f>
        <v/>
      </c>
      <c r="G6169" t="inlineStr">
        <is>
          <t>2019-02-20 17:15:52</t>
        </is>
      </c>
      <c r="H6169" t="inlineStr">
        <is>
          <t>Type 2</t>
        </is>
      </c>
    </row>
    <row r="6170">
      <c r="A6170" t="inlineStr">
        <is>
          <t>asxxt0</t>
        </is>
      </c>
      <c r="B6170" t="inlineStr">
        <is>
          <t>Becoming a sweet tooth.</t>
        </is>
      </c>
      <c r="C6170" t="inlineStr">
        <is>
          <t xml:space="preserve">Before I was diagnosed with type 1 at age 17 I wasn’t into many sugary foods and rarely ate them but while struggling for the first year and a bit with lows I consumed a lot of sugar. Now all I want to consume is sugary foods mainly just drinks because the high blood sugar I get from those foods makes me thirsty. My family overall agrees that I consume more sugar now then before. 
I was wondering if you’ve experienced this at all or you just believe it’s  probably because of burnout or other mental complications from the diabetes. </t>
        </is>
      </c>
      <c r="D6170" t="n">
        <v>3</v>
      </c>
      <c r="E6170" t="n">
        <v>4</v>
      </c>
      <c r="F6170">
        <f>HYPERLINK("https://www.reddit.com/r/diabetes/comments/asxxt0/becoming_a_sweet_tooth/")</f>
        <v/>
      </c>
      <c r="G6170" t="inlineStr">
        <is>
          <t>2019-02-20 19:11:25</t>
        </is>
      </c>
      <c r="H6170" t="inlineStr">
        <is>
          <t>Type 1</t>
        </is>
      </c>
    </row>
    <row r="6171">
      <c r="A6171" t="inlineStr">
        <is>
          <t>at2rc9</t>
        </is>
      </c>
      <c r="B6171" t="inlineStr">
        <is>
          <t>Pancreas transplant</t>
        </is>
      </c>
      <c r="C6171" t="inlineStr">
        <is>
          <t xml:space="preserve">Hi, I made a post last year about my wife being on the transplant list for a pancreas due to erratic type 1 diabetes, that was being controlled with a pump. In June of last year she had the transplant and now almost 8 months later she is doing great.  The only way to describe it really is since that Saturday morning when she had it done she hasn’t had a high or low or anywhere near one. 
There was a second operation on the Tuesday following the operation due to air bubbles around the new pancreas but after that she was home ( albeit very tender) on the Friday night. 
She is back at work now and has just started going to the gym to train for a charity walk early next year. 
If anyone had any questions regarding the surgery or recovery I can try and answer them. 
There is a second surgery where she will have the new pancreas grafted to her gut but this is on the back burner as she hasn’t had any bladder problems.
Just a FYI, the last time I did this I had a few people said “this doesn’t happen without the a kidney transplant as well”. I am fully aware of this. 
Also there was a few people who wondered why my wife had decided to take such a let’s say drastic procedure. All I can say is this is what she wanted to  do mainly for a better quality of life. 
I’m not sure it matters but if anyone wanted to know we are from the uk </t>
        </is>
      </c>
      <c r="D6171" t="n">
        <v>5</v>
      </c>
      <c r="E6171" t="n">
        <v>11</v>
      </c>
      <c r="F6171">
        <f>HYPERLINK("https://www.reddit.com/r/diabetes/comments/at2rc9/pancreas_transplant/")</f>
        <v/>
      </c>
      <c r="G6171" t="inlineStr">
        <is>
          <t>2019-02-21 04:47:23</t>
        </is>
      </c>
      <c r="H6171" t="inlineStr">
        <is>
          <t>Type 1</t>
        </is>
      </c>
    </row>
    <row r="6172">
      <c r="A6172" t="inlineStr">
        <is>
          <t>at3dez</t>
        </is>
      </c>
      <c r="B6172" t="inlineStr">
        <is>
          <t>Any advice for T1 diabetic attempting a Ultramarathon?</t>
        </is>
      </c>
      <c r="C6172" t="inlineStr">
        <is>
          <t>Hello all,
As said in the title I am attempting my first ultramarathon on the 19th of March. Running as many laps as possible of 6.6 mile route over a 6 hour period. Aside from the normal tips and advice for attempting this kind of distance, are there any T1 diabetics out there who can offer advice specific to diabetes, from their personal experience running this kind of distance?
I have ran a couple of marathon's over the last few year and got by having an isotonic gel (20g of carbs) every 6 miles or so, with the blood sugars going up and then gradually falling over the next 6 miles.
My concern with an ultra marathon is that, everything I have read suggests that I need to consume a lot of calories when running ultras (my aim of the day is around 5 laps / 33 miles) and that the rest stations are full of cakes, sandwiches, etc. 
As you can imagine this makes things much more difficult for me to manage, the last thing I want is to need to inject on the go after eating or worse of all... Have a hypo and lose my running mojo! 
Any advice would be really appreciated!</t>
        </is>
      </c>
      <c r="D6172" t="n">
        <v>5</v>
      </c>
      <c r="E6172" t="n">
        <v>6</v>
      </c>
      <c r="F6172">
        <f>HYPERLINK("https://www.reddit.com/r/diabetes/comments/at3dez/any_advice_for_t1_diabetic_attempting_a/")</f>
        <v/>
      </c>
      <c r="G6172" t="inlineStr">
        <is>
          <t>2019-02-21 05:51:40</t>
        </is>
      </c>
      <c r="H6172" t="inlineStr">
        <is>
          <t>Type 1</t>
        </is>
      </c>
    </row>
    <row r="6173">
      <c r="A6173" t="inlineStr">
        <is>
          <t>at60k3</t>
        </is>
      </c>
      <c r="B6173" t="inlineStr">
        <is>
          <t>Increase microbolus dose in Auto Mode?</t>
        </is>
      </c>
      <c r="C6173" t="inlineStr">
        <is>
          <t xml:space="preserve">Hi,
&amp;amp;#x200B;
I'm currently on the Minimed 670G running auto mode. I've noticed for my last 2 months on auto mode, my highs don't come down as fast as I would like them too. My pump is delivering microboluses at the time but it has been doing the same doses over the last 2 months which has led to me having higher than target BG values since starting auto mode. Is there a way to increase the microbolus dosage? For example, I don't think I have ever seen my microbolus above 0.125 units. I was wondering if this could be increased. I know the microbolus is calculated through the pump and SG values, but is there a setting that caps the maximum amount of microbolus that can be delivered at one time? 
&amp;amp;#x200B;
I would greatly appreciate if someone has any ideas about this. </t>
        </is>
      </c>
      <c r="D6173" t="n">
        <v>2</v>
      </c>
      <c r="E6173" t="n">
        <v>2</v>
      </c>
      <c r="F6173">
        <f>HYPERLINK("https://www.reddit.com/r/diabetes/comments/at60k3/increase_microbolus_dose_in_auto_mode/")</f>
        <v/>
      </c>
      <c r="G6173" t="inlineStr">
        <is>
          <t>2019-02-21 09:44:00</t>
        </is>
      </c>
      <c r="H6173" t="inlineStr">
        <is>
          <t>Type 1</t>
        </is>
      </c>
    </row>
    <row r="6174">
      <c r="A6174" t="inlineStr">
        <is>
          <t>at8kgt</t>
        </is>
      </c>
      <c r="B6174" t="inlineStr">
        <is>
          <t>Wireless Glucose Monitoring?</t>
        </is>
      </c>
      <c r="C6174" t="inlineStr">
        <is>
          <t xml:space="preserve">Alright friends, here's a question for you. 
My grandma, type 1 diabetic, very bad at monitoring her glucose and administering her insulin lately due to her dementia. I'm hoping there is a glucometer that syncs wirelessly either to an app or online that I can check her readings (or if shes done them) from my home. Not one that I have to be at her house for the app to update.
We are in Ontario as well, if that makes a difference!
Thanks! </t>
        </is>
      </c>
      <c r="D6174" t="n">
        <v>3</v>
      </c>
      <c r="E6174" t="n">
        <v>6</v>
      </c>
      <c r="F6174">
        <f>HYPERLINK("https://www.reddit.com/r/diabetes/comments/at8kgt/wireless_glucose_monitoring/")</f>
        <v/>
      </c>
      <c r="G6174" t="inlineStr">
        <is>
          <t>2019-02-21 13:15:41</t>
        </is>
      </c>
      <c r="H6174" t="inlineStr">
        <is>
          <t>Type 1</t>
        </is>
      </c>
    </row>
    <row r="6175">
      <c r="A6175" t="inlineStr">
        <is>
          <t>atak40</t>
        </is>
      </c>
      <c r="B6175" t="inlineStr">
        <is>
          <t>Perfect desert &amp;lt;3</t>
        </is>
      </c>
      <c r="C6175" t="inlineStr">
        <is>
          <t>I discovered whip cream does not increase my sugars and just topping it off with berries (just a few) yum!  (The berries do count)</t>
        </is>
      </c>
      <c r="D6175" t="n">
        <v>2</v>
      </c>
      <c r="E6175" t="n">
        <v>9</v>
      </c>
      <c r="F6175">
        <f>HYPERLINK("https://www.reddit.com/r/diabetes/comments/atak40/perfect_desert_3/")</f>
        <v/>
      </c>
      <c r="G6175" t="inlineStr">
        <is>
          <t>2019-02-21 16:14:24</t>
        </is>
      </c>
      <c r="H6175" t="inlineStr">
        <is>
          <t>Type 1</t>
        </is>
      </c>
    </row>
    <row r="6176">
      <c r="A6176" t="inlineStr">
        <is>
          <t>atfdla</t>
        </is>
      </c>
      <c r="B6176" t="inlineStr">
        <is>
          <t>(Warning) If you have arthritis and diabetes be careful.</t>
        </is>
      </c>
      <c r="C6176" t="inlineStr">
        <is>
          <t>Today I went to get cortisone injections in both knees and he wouldn't do both. When I asked why not he said because it messed with diabetes. I got home and tested myself and it was 295 holy crap I haven't had a reading that high in months the Dr. wasn't joking. But I also had to factor in that I had pizza rice and juice after the visit but my glucose levels have never spiked that high the only difference was the cortisone be careful. I go back in two weeks for the othe knee.......maybe.</t>
        </is>
      </c>
      <c r="D6176" t="n">
        <v>6</v>
      </c>
      <c r="E6176" t="n">
        <v>17</v>
      </c>
      <c r="F6176">
        <f>HYPERLINK("https://www.reddit.com/r/diabetes/comments/atfdla/warning_if_you_have_arthritis_and_diabetes_be/")</f>
        <v/>
      </c>
      <c r="G6176" t="inlineStr">
        <is>
          <t>2019-02-22 01:09:37</t>
        </is>
      </c>
      <c r="H6176" t="inlineStr">
        <is>
          <t>Type 2</t>
        </is>
      </c>
    </row>
    <row r="6177">
      <c r="A6177" t="inlineStr">
        <is>
          <t>atgyxm</t>
        </is>
      </c>
      <c r="B6177" t="inlineStr">
        <is>
          <t>I accidentally injected 2.5 times more insulin than I was supposed to</t>
        </is>
      </c>
      <c r="C6177" t="inlineStr">
        <is>
          <t xml:space="preserve">I was really tired and inject myself with 4.5  novo rapid which is my dinner dose, and my morning dose is 2.0 (I know it’s low) but what should I do and how will it mess up my blood sugar later in the day </t>
        </is>
      </c>
      <c r="D6177" t="n">
        <v>3</v>
      </c>
      <c r="E6177" t="n">
        <v>4</v>
      </c>
      <c r="F6177">
        <f>HYPERLINK("https://www.reddit.com/r/diabetes/comments/atgyxm/i_accidentally_injected_25_times_more_insulin/")</f>
        <v/>
      </c>
      <c r="G6177" t="inlineStr">
        <is>
          <t>2019-02-22 04:23:51</t>
        </is>
      </c>
      <c r="H6177" t="inlineStr">
        <is>
          <t>Type 1</t>
        </is>
      </c>
    </row>
    <row r="6178">
      <c r="A6178" t="inlineStr">
        <is>
          <t>ath7g4</t>
        </is>
      </c>
      <c r="B6178" t="inlineStr">
        <is>
          <t>Eating carbs after strength training</t>
        </is>
      </c>
      <c r="C6178" t="inlineStr">
        <is>
          <t>I lift weights regularly and I find that if I eat a high carb meal shortly after training, my blood sugar does not rise that much. Ive researched on the web but never come across anything that talks about this. From what I’ve gathered, intense exercise depletes glycogen, and the body needs to replenish that ASAP so when you eat soon after the glucose is used to replenish muscle glycogen</t>
        </is>
      </c>
      <c r="D6178" t="n">
        <v>2</v>
      </c>
      <c r="E6178" t="n">
        <v>4</v>
      </c>
      <c r="F6178">
        <f>HYPERLINK("https://www.reddit.com/r/diabetes/comments/ath7g4/eating_carbs_after_strength_training/")</f>
        <v/>
      </c>
      <c r="G6178" t="inlineStr">
        <is>
          <t>2019-02-22 04:48:53</t>
        </is>
      </c>
      <c r="H6178" t="inlineStr">
        <is>
          <t>Type 2</t>
        </is>
      </c>
    </row>
    <row r="6179">
      <c r="A6179" t="inlineStr">
        <is>
          <t>athghy</t>
        </is>
      </c>
      <c r="B6179" t="inlineStr">
        <is>
          <t>Diabetes and unemployment?</t>
        </is>
      </c>
      <c r="C6179" t="inlineStr">
        <is>
          <t>I really really hate my job right now. Like I'm not sure if I can take it anymore at this point. I have an in demand skillset, and would like to go to Oakland where my friend can set me up with free lodging for awhile, but the only thing holding me back is insulin. Has anyone in a similar situation stockpiled insulin for a period of unemployment? What are my options? 
&amp;amp;#x200B;
I have friends in Mexico, but am worried about the insulin being exposed to heat if mailed. I already have fair bit of  trouble controlling my blood sugar, and am worried about using the Walmart slower acting insulin. On the other hand, if I am able to successfully use the Walmart insulin by cutting my carbs as low as I can and being careful, it will really change my whole perspective on how limited I am by this disease. I've been using the medtronic 670g with the CGM and auto mode, and have enough sensors and reservoirs to last quite awhile and get me through an adjustment phase if necessary. Has anyone done this? How did it go?
&amp;amp;#x200B;
In all likelihood I will probably stick it out and try to apply to work from the opposite side of the country while slogging through at my current job, but I'd like to know what my options are if I reach the breaking point. I'd like to hear people's experiences switching to unpatented insulin as well, because to be honest the idea of being dependent on my corporate insurance to live causes me a ton of anxiety and dampens my hopes for my future life trajectory</t>
        </is>
      </c>
      <c r="D6179" t="n">
        <v>3</v>
      </c>
      <c r="E6179" t="n">
        <v>10</v>
      </c>
      <c r="F6179">
        <f>HYPERLINK("https://www.reddit.com/r/diabetes/comments/athghy/diabetes_and_unemployment/")</f>
        <v/>
      </c>
      <c r="G6179" t="inlineStr">
        <is>
          <t>2019-02-22 05:14:32</t>
        </is>
      </c>
      <c r="H6179" t="inlineStr">
        <is>
          <t>Type 1</t>
        </is>
      </c>
    </row>
    <row r="6180">
      <c r="A6180" t="inlineStr">
        <is>
          <t>atjszh</t>
        </is>
      </c>
      <c r="B6180" t="inlineStr">
        <is>
          <t>S8 not reading Libre?</t>
        </is>
      </c>
      <c r="C6180" t="inlineStr">
        <is>
          <t xml:space="preserve">Yesterday I got a Freestyle Libre! Pretty cool, but my endocrinologist wants me to use the app on my phone and it just isn't working.
Takes a lot of time for it to work. I have tried every single thing i could do. Changing the placement of my phone, removing clothes, even removing my cellphone case (which makes me feel horrible because my pulse sucks and I'm scared to drop it.) However, the times at which it actually reads the Libre are pretty random. No need to remove anything, just move it around and hope for the best, because I've noticed no difference when removing my clothes or the phone case. But I have wasted over 20 minutes trying to get a reading to no result. I always try and place the center of the back part of my phone right where the Libre is, because that is where the NFC antenna is placed on the s8, but it just doesn't connect. Is there any way I can make it easier? Should I put my phone right on top of the Libre, at a distance? Getting really annoyed by now.
</t>
        </is>
      </c>
      <c r="D6180" t="n">
        <v>2</v>
      </c>
      <c r="E6180" t="n">
        <v>6</v>
      </c>
      <c r="F6180">
        <f>HYPERLINK("https://www.reddit.com/r/diabetes/comments/atjszh/s8_not_reading_libre/")</f>
        <v/>
      </c>
      <c r="G6180" t="inlineStr">
        <is>
          <t>2019-02-22 08:48:12</t>
        </is>
      </c>
      <c r="H6180" t="inlineStr">
        <is>
          <t>Type 1</t>
        </is>
      </c>
    </row>
    <row r="6181">
      <c r="A6181" t="inlineStr">
        <is>
          <t>atmqou</t>
        </is>
      </c>
      <c r="B6181" t="inlineStr">
        <is>
          <t>Best foot insoles for neuropathy/flat feet? (Type 2)</t>
        </is>
      </c>
      <c r="C6181" t="inlineStr">
        <is>
          <t xml:space="preserve">Hi there,
Just found out I'm type 2. I have to wait before seeing a podiatrist who can help me but I also have neuropathic pain in feet/hands. I have flat feet as well. Does anyone recommend a foot insole I can order for the the interim so my feet can be protected while I go walking everyday? </t>
        </is>
      </c>
      <c r="D6181" t="n">
        <v>4</v>
      </c>
      <c r="E6181" t="n">
        <v>3</v>
      </c>
      <c r="F6181">
        <f>HYPERLINK("https://www.reddit.com/r/diabetes/comments/atmqou/best_foot_insoles_for_neuropathyflat_feet_type_2/")</f>
        <v/>
      </c>
      <c r="G6181" t="inlineStr">
        <is>
          <t>2019-02-22 12:58:19</t>
        </is>
      </c>
      <c r="H6181" t="inlineStr">
        <is>
          <t>Type 2</t>
        </is>
      </c>
    </row>
    <row r="6182">
      <c r="A6182" t="inlineStr">
        <is>
          <t>atq15r</t>
        </is>
      </c>
      <c r="B6182" t="inlineStr">
        <is>
          <t>scholarships??</t>
        </is>
      </c>
      <c r="C6182" t="inlineStr">
        <is>
          <t xml:space="preserve">I'm heading to law school in the fall and am wondering if anyone has had any success with procuring scholarships for diabetics. I'm finding some for college-aged diabetics, but I'm having trouble finding any for graduate school. I'm also not finding any sizable scholarships to apply to; most are for a couple thousand max. 
&amp;amp;#x200B;
TLDR; does anyone have any info/ success stories regarding scholarships for diabetics?? </t>
        </is>
      </c>
      <c r="D6182" t="n">
        <v>2</v>
      </c>
      <c r="E6182" t="n">
        <v>3</v>
      </c>
      <c r="F6182">
        <f>HYPERLINK("https://www.reddit.com/r/diabetes/comments/atq15r/scholarships/")</f>
        <v/>
      </c>
      <c r="G6182" t="inlineStr">
        <is>
          <t>2019-02-22 18:12:37</t>
        </is>
      </c>
      <c r="H6182" t="inlineStr">
        <is>
          <t>Type 1</t>
        </is>
      </c>
    </row>
    <row r="6183">
      <c r="A6183" t="inlineStr">
        <is>
          <t>atxppc</t>
        </is>
      </c>
      <c r="B6183" t="inlineStr">
        <is>
          <t>Ectopic Fat and Reversing Type 2 Diabetes</t>
        </is>
      </c>
      <c r="C6183" t="inlineStr">
        <is>
          <t xml:space="preserve">&amp;amp;nbsp;
I first posted this in r/ketoscience a few months back,so it is more "sciency". This is more useful here, though. Also note that it applies really only to Type 2. 
&amp;amp;nbsp;
-------------------------------------------------------------------------------------
&amp;amp;nbsp;
TL;DR : Diabetes is reversible. Lose about 15% to 20% of weight quickly, using any diet, you can put diabetes in remission. Diabetes will not return if the weight is not regained. The younger and more recently diagnosed have higher chances of success.
&amp;amp;nbsp;
This is a long post - with a number of linked papers. I wanted to put it all in context instead of posting individual papers separately. Some of these papers have been posted in r/ketoscience previously.
&amp;amp;nbsp;
For a long time it has been observed that obese people are at a greater risk of getting diabetes. Still, 36% of people diagnosed with Diabetes in UK are in normal BMI range. ^[1]
&amp;amp;nbsp;
Then visceral fat was proposed to be the culprit ^[2]. But more recently ectopic ("unusual place") fat in liver &amp;amp; pancreas have been getting attention. ^[3]
&amp;amp;nbsp;
It is known for over 30 years that people who undergo Roux-en-Y gastric bypass surgery seem to reverse diabetes almost overnight. ^[4] There have been many hypotheses as to the mechanism of this reversal. ^[5]
&amp;amp;nbsp;
Prof. Roy Taylor and his New Castle team did a small clinical study in 2011 to test one of the hypothesis. They proposed that it is not the surgery itself but the highly restrictive diet that follows the surgery that is causing the reversal. To test this, 11 obese diabetes patients were put on a very low calorie diet (VLCD) of about 800 calories, consisting of three 200 calorie meal replacement drinks &amp;amp; 200 gm of non-starchy vegetables a day. After 8 weeks of the diet, most of the patients had their diabetes reversed - as was evident from the low blood glucose levels and return of first phase insulin response. ^[6] ^[18]
&amp;amp;nbsp;
In a subsiquent longer term study Prof Taylor showed that people who had been diagnosed even 13 years back could reverse diabetes and keep it that way for 6 months. (7) A new larger 2 year clinical trial is now underway that hopes to make the "Newcastle Diet" an option offered to all UK patients diagnosed with Diabetes. One year mid-trial results show more than 85% of patients who lost more than 15 kg weight were able to reverse diabetes. The more the weight loss the greater chances of reversal. ^[8]
&amp;amp;nbsp;
Prof Taylor has proposed a twin cycle theory to explain what causes diabetes. 
- Ectopic fat in liver causes Non Alcoholic Fatty Liver Disease (NAFLD) which causes insulin resistance in liver. This raises fasting glucose levels as Liver doesn't respond to high levels of insulin and continues to create glucose and release it. 
- Fat in pancreas causes some Beta cells to become dedifferentiated. This causes pancreas to stop producing enough insulin causing post-prandial hyperglycemia.
Because of the rapid weight loss of about 15% to 20% the ectopic fat stored in liver &amp;amp; pancrease is removed. Liver gains back its lost insulin sensitivity and stops producing excess glucose during fasting. This normalizes fasting blood glucose. When pancreas loses fat, sometimes as little as 0.6 gm, the dedifferentiated Beta cells get redifferentiated and start producing insulin again. This causes normalization of post-prandial glucose reversing diabetes. ^[9] ^[16] ^[19]
&amp;amp;nbsp;
There have been multiple studies done elsewhere repeating the New Castle findings. A 2017 study in India showed that young recently diagnozed patients, many of them with normal BMI, could reverse diabetes with even a moderate calorie diet of 1,500 calories, 60% of that being carbs. ^[10] ^[11] There have also been a number of individuals who have taken up the New Castle diet and reversed their diabetes. ^[12] ^[13]
&amp;amp;nbsp;
Prof Taylor has suggested that there is a Personal Fat Tollerance limit (PFT) for everyone. Once that limit is breached, fat starts getting deposited in Liver, muscles &amp;amp; pancrease creating insulin resistance and eventually diabetes. ^[14]
&amp;amp;nbsp;
Different ethnic groups may also have different average tolerance limits. A study in Canada showed that to have the same risk of diabetes as a 30% BMI caucasian - South Asians just need to be at 24% BMI, Chinese at 25% BMI and Blacks at 27%. ^[15]
&amp;amp;nbsp;
Once remission is achieved through weight loss, the weight should not be regained, to keep diabetes in remission. This can be achieved through any means that an individual prefers, just as individuals can lose weight through different methods. ^[16] ^[20]
&amp;amp;nbsp;
Finally, use of terms reversed, cured or even remission are controversial. There was an expert comittee setup to review this - and they could not come to a consensus. But, there is a paper on this with with suggestion to use Remission as the preferred term, like it is done with other long term diseases. ^[17]
&amp;amp;nbsp;
**References**
&amp;amp;nbsp;
1. UK Prospective Diabetes Study (UKPDS). VIII. Study design, progress and performance. [PMC3142051](https://link.springer.com/content/pdf/10.1007%2FBF00400195.pdf)
2. Relationship Between Hepatic/Visceral Fat and Hepatic Insulin Resistance in Nondiabetic and Type 2 Diabetic Subjects [gastrojournal.org](http://www.gastrojournal.org/article/S0016-5085\(07\)00925-0/fulltext)
3. Central Role of Fatty Liver in the Pathogenesis of Insulin Resistance in Obese Adolescents [PMC2909068](https://www.ncbi.nlm.nih.gov/pmc/articles/PMC2909068/)
4. The control of diabetes mellitus (NIDDM) in the morbidly obese with the Greenville Gastric Bypass. [PMC1493167](https://www.ncbi.nlm.nih.gov/pmc/articles/PMC1493167/)
5. The mechanism of diabetes control after gastrointestinal bypass surgery reveals a role of the proximal small intestine in the pathophysiology of type 2 diabetes [PMC1856597](https://www.ncbi.nlm.nih.gov/pmc/articles/PMC1856597/)
6. Reversal of type 2 diabetes: normalisation of beta cell function in association with decreased pancreas and liver triacylglycerol. [PMC3168743](https://www.ncbi.nlm.nih.gov/pmc/articles/PMC3168743/)
7. Very low calorie diet and 6 months of weight stability in type 2 diabetes: Pathophysiologic changes in responders and non-responders [low-calorie-diet-article.pdf](http://www.ncl.ac.uk/media/wwwnclacuk/newcastlemagneticresonancecentre/files/low-calorie-diet-article.pdf)
8. Primary care weight-management for type 2 diabetes: the cluster-randomised Diabetes Remission Clinical Trial [pdf](https://bmcfampract.biomedcentral.com/track/pdf/10.1186/s12875-016-0406-2?site=bmcfampract.biomedcentral.com)
9. Type 2 Diabetes Etiology and reversibility [PMC3609491](https://www.ncbi.nlm.nih.gov/pmc/articles/PMC3609491/)
10. High rates of diabetes reversal in newly diagnosed Asian Indian young adults with type 2 diabetes mellitus with intensive lifestyle therapy [PMC5320825](https://www.ncbi.nlm.nih.gov/pmc/articles/PMC5320825/)
11. Effect of a Low-Calorie Diet on Restoration of Normoglycemia in Obese subjects with Type 2 Diabetes [PMC5628553](https://www.ncbi.nlm.nih.gov/pmc/articles/PMC5628553/)
12. I reversed my diabetes in just 11 days - by going on a starvation diet [dailymail](http://www.dailymail.co.uk/health/article-2385179/I-reversed-diabetes-just-11-days--going-starvation-diet.html)
13. Type 2 diabetes and the diet that cured me. The Guardian, 12 May 2013 [the guardian](http://www.theguardian.com/lifeandstyle/2013/may/12/type-2-diabetes-diet-cure)
14. Normal weight individuals who develop Type 2 diabetes: the personal fat threshold [PFT.pdf](https://www.changinghealth.com/uploads/2/0/3/7/20374409/84_personal_fat_threshold_1.pdf)
15. Deriving Ethnic-Specific BMI Cutoff Points for Assessing Diabetes Risk [PMC3142051](https://www.ncbi.nlm.nih.gov/pmc/articles/PMC3142051/)
16. Translating aetiological insight into sustainable management of type 2 diabetes  [springer.com](https://link.springer.com/article/10.1007/s00125-017-4504-z)
17. How Do We Define Cure of Diabetes? [PMC2768219](https://www.ncbi.nlm.nih.gov/pmc/articles/PMC2768219/)
18. New Caste University Public Information about Reversing Type 2 Diabetes [Newcastle](http://www.ncl.ac.uk/magres/research/diabetes/reversal/#publicinformation)
19. Banting Memorial Lecture 2012 Reversing the twin cycles of Type 2 diabetes [banting-memorial-lecture.pdf](http://www.ncl.ac.uk/media/wwwnclacuk/newcastlemagneticresonancecentre/files/banting-memorial-lecture.pdf)
20. AMA with Professor Roy [AMA](https://www.reddit.com/r/IAmA/comments/47psga/iama_hi_im_newcastle_university_professor_roy/)
</t>
        </is>
      </c>
      <c r="D6183" t="n">
        <v>2</v>
      </c>
      <c r="E6183" t="n">
        <v>18</v>
      </c>
      <c r="F6183">
        <f>HYPERLINK("https://www.reddit.com/r/diabetes/comments/atxppc/ectopic_fat_and_reversing_type_2_diabetes/")</f>
        <v/>
      </c>
      <c r="G6183" t="inlineStr">
        <is>
          <t>2019-02-23 09:23:05</t>
        </is>
      </c>
      <c r="H6183" t="inlineStr">
        <is>
          <t>Type 2</t>
        </is>
      </c>
    </row>
    <row r="6184">
      <c r="A6184" t="inlineStr">
        <is>
          <t>au085b</t>
        </is>
      </c>
      <c r="B6184" t="inlineStr">
        <is>
          <t>Got a tiny cut on my foot</t>
        </is>
      </c>
      <c r="C6184" t="inlineStr">
        <is>
          <t xml:space="preserve">So I'm still pretty new to all of this but I got a tiny cut on my foot from hitting a bed frame. Should I be worried? What should I do? </t>
        </is>
      </c>
      <c r="D6184" t="n">
        <v>8</v>
      </c>
      <c r="E6184" t="n">
        <v>12</v>
      </c>
      <c r="F6184">
        <f>HYPERLINK("https://www.reddit.com/r/diabetes/comments/au085b/got_a_tiny_cut_on_my_foot/")</f>
        <v/>
      </c>
      <c r="G6184" t="inlineStr">
        <is>
          <t>2019-02-23 13:15:57</t>
        </is>
      </c>
      <c r="H6184" t="inlineStr">
        <is>
          <t>Type 1.5/LADA</t>
        </is>
      </c>
    </row>
    <row r="6185">
      <c r="A6185" t="inlineStr">
        <is>
          <t>au1uzb</t>
        </is>
      </c>
      <c r="B6185" t="inlineStr">
        <is>
          <t>Humulin R-500 in the Medtronic 670G?</t>
        </is>
      </c>
      <c r="C6185" t="inlineStr">
        <is>
          <t>Me and my doctor are currently using U-500 in my pump, but I haven't been able to find anyone else online doing this. Does anyone else have experience with this? I am switching from Humalog U-200, and I'm having a hard time adjusting to bolusing 40 minutes in advance since humulin likes to peak later haha. I'd love to chat with anyone who is also dealing with this.</t>
        </is>
      </c>
      <c r="D6185" t="n">
        <v>5</v>
      </c>
      <c r="E6185" t="n">
        <v>12</v>
      </c>
      <c r="F6185">
        <f>HYPERLINK("https://www.reddit.com/r/diabetes/comments/au1uzb/humulin_r500_in_the_medtronic_670g/")</f>
        <v/>
      </c>
      <c r="G6185" t="inlineStr">
        <is>
          <t>2019-02-23 15:59:35</t>
        </is>
      </c>
      <c r="H6185" t="inlineStr">
        <is>
          <t>Type 1</t>
        </is>
      </c>
    </row>
    <row r="6186">
      <c r="A6186" t="inlineStr">
        <is>
          <t>au20s5</t>
        </is>
      </c>
      <c r="B6186" t="inlineStr">
        <is>
          <t>Has anyone here completely reversed Type 2?</t>
        </is>
      </c>
      <c r="C6186" t="inlineStr">
        <is>
          <t xml:space="preserve">For some reason I don't want to get my hopes up. But I just needed to ask to maintain just a bit of hope.  </t>
        </is>
      </c>
      <c r="D6186" t="n">
        <v>1</v>
      </c>
      <c r="E6186" t="n">
        <v>0</v>
      </c>
      <c r="F6186">
        <f>HYPERLINK("https://www.reddit.com/r/diabetes/comments/au20s5/has_anyone_here_completely_reversed_type_2/")</f>
        <v/>
      </c>
      <c r="G6186" t="inlineStr">
        <is>
          <t>2019-02-23 16:14:53</t>
        </is>
      </c>
      <c r="H6186" t="inlineStr">
        <is>
          <t>Type 2</t>
        </is>
      </c>
    </row>
    <row r="6187">
      <c r="A6187" t="inlineStr">
        <is>
          <t>audbl9</t>
        </is>
      </c>
      <c r="B6187" t="inlineStr">
        <is>
          <t>PDM failure. Can't speak to specialists for another 11 hours</t>
        </is>
      </c>
      <c r="C6187" t="inlineStr">
        <is>
          <t xml:space="preserve">Im an omnipod user and right when I was trying to take insulin for some food my PDM gave up on me. I'm getting a new one sent asap and it should be here within 5 hours. 
Problem is I cant contact any doctors until around 9am tomorrow (it's 10pm here) and I haven't backed up my pump since September so the numbers I have are old. 
I have Novorapid and Levimir pens on hand. 
When this new PDM gets here should I set it up with the old numbers and replace the pod? 
Should I take Levimir (I know my old dose) to get through the night and put a pod back on tomorrow evening after speaking with my doctor? 
Should I just test an correct every 2 hours until I can speak to a doctor? 
What advice has anyone else in these situations been given. 
I've considered just going into hospital and getting an infusion until I can speak to someone properly but I have a six month old baby who needs me at home so that's really a last resort. </t>
        </is>
      </c>
      <c r="D6187" t="n">
        <v>2</v>
      </c>
      <c r="E6187" t="n">
        <v>10</v>
      </c>
      <c r="F6187">
        <f>HYPERLINK("https://www.reddit.com/r/diabetes/comments/audbl9/pdm_failure_cant_speak_to_specialists_for_another/")</f>
        <v/>
      </c>
      <c r="G6187" t="inlineStr">
        <is>
          <t>2019-02-24 14:15:16</t>
        </is>
      </c>
      <c r="H6187" t="inlineStr">
        <is>
          <t>Type 1</t>
        </is>
      </c>
    </row>
    <row r="6188">
      <c r="A6188" t="inlineStr">
        <is>
          <t>aupkt3</t>
        </is>
      </c>
      <c r="B6188" t="inlineStr">
        <is>
          <t>Blood sugar high after resistance training</t>
        </is>
      </c>
      <c r="C6188" t="inlineStr">
        <is>
          <t>I recently got the Freestyle Libre and I saw that whenever I train with weights, my BG goes up A LOT. Take last Thursday. Preworkout my BG was 106mg/dL. I ate an apple. I lifted weights for a solid hour. I check my BG and its at 233mg/dL! By the time I leisurely walked home (15mins), it fell back to 120mg/dL. I also had a protein shake on my walk. So my BG went from 106 to 233 to 120 within 1.5 hours. It's been like this for more than 2 months ever since I got the Libre, and I haven't changed my workout routine either, so who knows how long this has been going on. What I do know is that following my workout, my insulin sensitivity is so high that I have to cut my long acting insulin dose by at least 40%. And because I regularly train 4x a week, all of my insulin doses have dropped 30-40% over the past 8-10 months. 
First time poster here and I don't think I'm allowed to ask for treatment advice, so what can you guys tell me about this? Thanks!</t>
        </is>
      </c>
      <c r="D6188" t="n">
        <v>3</v>
      </c>
      <c r="E6188" t="n">
        <v>3</v>
      </c>
      <c r="F6188">
        <f>HYPERLINK("https://www.reddit.com/r/diabetes/comments/aupkt3/blood_sugar_high_after_resistance_training/")</f>
        <v/>
      </c>
      <c r="G6188" t="inlineStr">
        <is>
          <t>2019-02-25 12:01:17</t>
        </is>
      </c>
      <c r="H6188" t="inlineStr">
        <is>
          <t>Type 1</t>
        </is>
      </c>
    </row>
    <row r="6189">
      <c r="A6189" t="inlineStr">
        <is>
          <t>aupo2o</t>
        </is>
      </c>
      <c r="B6189" t="inlineStr">
        <is>
          <t>t:slim Gripes</t>
        </is>
      </c>
      <c r="C6189" t="inlineStr">
        <is>
          <t>I really like my t:slim X2. It's a great improvement over my previous Animas pump. But there are a handful of really annoying things, and I need to vent:
* Alarm when my blood sugar is high, so I go through the bolus wizard and it says "You already have enough insulin on board, you don't need to take more". Then when you exit, "You may be in the middle of a process that impacts insulin delivery. Exit and return home?"... thanks pal.
* Basal IQ will continue to dose me when blood sugar is 60 mg/dL, because it's not dropping too fast.
* The (@(\*#%\*( beeping every two seconds when filling a cartridge. Why not let me tell it the amount I want filled? Why beep?? Why not let me turn off the beeps?
* How many confirmation screens do we need to take a bolus? Are you sure you want to bolus? OK, but do you want to extend it? OK, so just checking.. you want to take an extended bolus right?
* Why doesn't the bolus wizard let me copy the value from the CGM? Half the time I have to exit (are you sure??) to go back to look at the CGM reading again. I'm guessing this is some CYA nonsense.
* Touching the screen anywhere except on a button causes the screen to turn off.
* Sometimes when filling the cartridge, the needle will go all the way in and puncture the reservoir. Then when you inject the insulin into the cartridge, it slowly leaks all over. My pump educator seemed to think you are *supposed* to make the needle go all the way in, so I would try to make it happen.
* Just too many damned beeps. My spouse now gets annoyed at the first beep, because there are always more beeps to follow. Sometimes I hear phantom beeps or feel phantom vibrations because my ears have learned to expect them at all hours of the day and night. (Note, I thought I had everything set to VIBRATE but just now found more in the CGM alarm settings)
&amp;amp;#x200B;
Not specific t:slim, but I also hate having to pull down my pants to use the bathroom or change into pajamas, because I coil the line up. If I don't coil the line up, within a day or two after putting a new cannula in, the line loses its curliness and gets caught on everything when I walk past, or my dog yanks it when rough housing.</t>
        </is>
      </c>
      <c r="D6189" t="n">
        <v>6</v>
      </c>
      <c r="E6189" t="n">
        <v>19</v>
      </c>
      <c r="F6189">
        <f>HYPERLINK("https://www.reddit.com/r/diabetes/comments/aupo2o/tslim_gripes/")</f>
        <v/>
      </c>
      <c r="G6189" t="inlineStr">
        <is>
          <t>2019-02-25 12:08:46</t>
        </is>
      </c>
      <c r="H6189" t="inlineStr">
        <is>
          <t>Type 1</t>
        </is>
      </c>
    </row>
    <row r="6190">
      <c r="A6190" t="inlineStr">
        <is>
          <t>aupw8u</t>
        </is>
      </c>
      <c r="B6190" t="inlineStr">
        <is>
          <t>Whats with the weight gain??</t>
        </is>
      </c>
      <c r="C6190" t="inlineStr">
        <is>
          <t>I was diagnosed with type 1 less than 2 months ago and since treating it with insulin, i have gone from 165 lbs to 185. Im 6'2 so i realize that i had room to gain a few lbs but its really showing in my stomach area and i feel bloated all the time. What can i do to slow down/stop this rapid weight gain?</t>
        </is>
      </c>
      <c r="D6190" t="n">
        <v>4</v>
      </c>
      <c r="E6190" t="n">
        <v>12</v>
      </c>
      <c r="F6190">
        <f>HYPERLINK("https://www.reddit.com/r/diabetes/comments/aupw8u/whats_with_the_weight_gain/")</f>
        <v/>
      </c>
      <c r="G6190" t="inlineStr">
        <is>
          <t>2019-02-25 12:27:34</t>
        </is>
      </c>
      <c r="H6190" t="inlineStr">
        <is>
          <t>Type 1</t>
        </is>
      </c>
    </row>
    <row r="6191">
      <c r="A6191" t="inlineStr">
        <is>
          <t>auq9cg</t>
        </is>
      </c>
      <c r="B6191" t="inlineStr">
        <is>
          <t>Guardian™ Connect App</t>
        </is>
      </c>
      <c r="C6191" t="inlineStr">
        <is>
          <t>I just found an app on the google play store for connecting my phone to my blood glucose transmitter but when i downloaded it i found out the app only works on IOS? Anyone else have the same issue ? it says that my android version is not supported but i have a Galaxy S9 with android 9.0 PIE. why is the app available on google play store if it only works on IOS?</t>
        </is>
      </c>
      <c r="D6191" t="n">
        <v>2</v>
      </c>
      <c r="E6191" t="n">
        <v>4</v>
      </c>
      <c r="F6191">
        <f>HYPERLINK("https://www.reddit.com/r/diabetes/comments/auq9cg/guardian_connect_app/")</f>
        <v/>
      </c>
      <c r="G6191" t="inlineStr">
        <is>
          <t>2019-02-25 12:57:47</t>
        </is>
      </c>
      <c r="H6191" t="inlineStr">
        <is>
          <t>Type 1</t>
        </is>
      </c>
    </row>
    <row r="6192">
      <c r="A6192" t="inlineStr">
        <is>
          <t>aur6kc</t>
        </is>
      </c>
      <c r="B6192" t="inlineStr">
        <is>
          <t>Do you always inject in your stomach?</t>
        </is>
      </c>
      <c r="C6192" t="inlineStr">
        <is>
          <t>Ive been only injecting in my stomach since diagnosed about 2 months ago and wondering if that contributes to having a fatter/more bloated stomach. Should you rotate to different areas of the body?</t>
        </is>
      </c>
      <c r="D6192" t="n">
        <v>2</v>
      </c>
      <c r="E6192" t="n">
        <v>14</v>
      </c>
      <c r="F6192">
        <f>HYPERLINK("https://www.reddit.com/r/diabetes/comments/aur6kc/do_you_always_inject_in_your_stomach/")</f>
        <v/>
      </c>
      <c r="G6192" t="inlineStr">
        <is>
          <t>2019-02-25 14:16:33</t>
        </is>
      </c>
      <c r="H6192" t="inlineStr">
        <is>
          <t>Type 1</t>
        </is>
      </c>
    </row>
    <row r="6193">
      <c r="A6193" t="inlineStr">
        <is>
          <t>auuuht</t>
        </is>
      </c>
      <c r="B6193" t="inlineStr">
        <is>
          <t>Insulin:Carb Ratio</t>
        </is>
      </c>
      <c r="C6193" t="inlineStr">
        <is>
          <t xml:space="preserve">I can never seem to get my insulin to carb ratio right!! I have come out of my honeymoon phase in the last year and its been a disaster. I was at 1:10 before and I know I may be at 1:8, or 1:7 or 1:10 still, I dont know. I don't know because my BG is just so different every day. I tend to eat the same meals for breakfast, lunch and dinner throughout the weekdays to keep carb counting easier/ laziness. So it boggles my mind when I take the same amount of insulin only to get either a crazy drop or a forever rising BG for hours after my meal (dinner in particular). So then I go back and recount all the carbs to make sure I calculated correctly and bolused according to my "ratio." I am pulling my hair out!! I just want one normalish day....I feel like I haven't had one in months as this point. 
&amp;amp;#x200B;
Okay rant over. 
&amp;amp;#x200B;
Is this a carb:insulin ratio thing? How did you all figure out your ratios? I am about to go on a pump so I really want to get this right. </t>
        </is>
      </c>
      <c r="D6193" t="n">
        <v>2</v>
      </c>
      <c r="E6193" t="n">
        <v>7</v>
      </c>
      <c r="F6193">
        <f>HYPERLINK("https://www.reddit.com/r/diabetes/comments/auuuht/insulincarb_ratio/")</f>
        <v/>
      </c>
      <c r="G6193" t="inlineStr">
        <is>
          <t>2019-02-25 20:11:32</t>
        </is>
      </c>
      <c r="H6193" t="inlineStr">
        <is>
          <t>Type 1</t>
        </is>
      </c>
    </row>
    <row r="6194">
      <c r="A6194" t="inlineStr">
        <is>
          <t>auxhpc</t>
        </is>
      </c>
      <c r="B6194" t="inlineStr">
        <is>
          <t>I feel _exactly_ like I'm low - but I'm not</t>
        </is>
      </c>
      <c r="C6194" t="inlineStr">
        <is>
          <t>Luckily I can feel when I'm low.
&amp;amp;#x200B;
But recently I've experienced the exact same feeling with a perfectly normal blood sugar (measured on both libre and with a strip)
&amp;amp;#x200B;
What can the reason be?</t>
        </is>
      </c>
      <c r="D6194" t="n">
        <v>3</v>
      </c>
      <c r="E6194" t="n">
        <v>9</v>
      </c>
      <c r="F6194">
        <f>HYPERLINK("https://www.reddit.com/r/diabetes/comments/auxhpc/i_feel_exactly_like_im_low_but_im_not/")</f>
        <v/>
      </c>
      <c r="G6194" t="inlineStr">
        <is>
          <t>2019-02-26 01:22:33</t>
        </is>
      </c>
      <c r="H6194" t="inlineStr">
        <is>
          <t>Type 1</t>
        </is>
      </c>
    </row>
    <row r="6195">
      <c r="A6195" t="inlineStr">
        <is>
          <t>auyqfz</t>
        </is>
      </c>
      <c r="B6195" t="inlineStr">
        <is>
          <t>Mild retinopathy</t>
        </is>
      </c>
      <c r="C6195" t="inlineStr">
        <is>
          <t>Hey I just got my eye results back and I (20 M) have mild retinopathy according to the examiner, can it be reduced if I look after my sugars? Is it permanent?
I know I’ve been lacking this past year after having a great hb1ac for 3 years my first year of university has my diet far worse therefore my sugars are higher and my hb1ac has gone back to how they were in my early teens. The thing is during my early teens when my sugars were always high I remember every few weeks for a while they’d go really bad to the point I could barely read, they’re far better now  after the 3 years of improvement.
My question is can I improve it and get rid of the retinopathy by improving my sugars? Because I know when my sugars are always high (like during my teens) they’re far worse than they are right now even thought I have mild retinopathy right now.</t>
        </is>
      </c>
      <c r="D6195" t="n">
        <v>3</v>
      </c>
      <c r="E6195" t="n">
        <v>12</v>
      </c>
      <c r="F6195">
        <f>HYPERLINK("https://www.reddit.com/r/diabetes/comments/auyqfz/mild_retinopathy/")</f>
        <v/>
      </c>
      <c r="G6195" t="inlineStr">
        <is>
          <t>2019-02-26 04:08:43</t>
        </is>
      </c>
      <c r="H6195" t="inlineStr">
        <is>
          <t>Type 1</t>
        </is>
      </c>
    </row>
    <row r="6196">
      <c r="A6196" t="inlineStr">
        <is>
          <t>auzi11</t>
        </is>
      </c>
      <c r="B6196" t="inlineStr">
        <is>
          <t>Anyone using Omnipod with Eversense?</t>
        </is>
      </c>
      <c r="C6196" t="inlineStr">
        <is>
          <t>I’m using the Omnipod, and mainly use my upper arms because my abdomen looks like a war zone from 28 years of injections/infusion sites(that I changed too infrequently).  
I found out yesterday that my insurance(ASR for anyone else using them and interested in Eversense) will cover the CGM at 90%.
I know it’s implanted on my upper arm for 90 days, does that make that arm not usable for the Omnipod?  Anyone wear both on the same arm?</t>
        </is>
      </c>
      <c r="D6196" t="n">
        <v>5</v>
      </c>
      <c r="E6196" t="n">
        <v>2</v>
      </c>
      <c r="F6196">
        <f>HYPERLINK("https://www.reddit.com/r/diabetes/comments/auzi11/anyone_using_omnipod_with_eversense/")</f>
        <v/>
      </c>
      <c r="G6196" t="inlineStr">
        <is>
          <t>2019-02-26 05:33:07</t>
        </is>
      </c>
      <c r="H6196" t="inlineStr">
        <is>
          <t>Type 1</t>
        </is>
      </c>
    </row>
    <row r="6197">
      <c r="A6197" t="inlineStr">
        <is>
          <t>av14eo</t>
        </is>
      </c>
      <c r="B6197" t="inlineStr">
        <is>
          <t>Personal Best a1c</t>
        </is>
      </c>
      <c r="C6197" t="inlineStr">
        <is>
          <t>Results after four months of carb reduction, intermittent fasting, apple cider vinegar, cardio and a 60lbs weight loss...  
Plus Metformin, Glipizide and Trulicity.  Hoping to be able to decrease the meds.
&amp;amp;#x200B;
Didn't have anyone to share my good news with, so I thought I'd post here.
https://i.redd.it/fgso9tufsxi21.png</t>
        </is>
      </c>
      <c r="D6197" t="n">
        <v>134</v>
      </c>
      <c r="E6197" t="n">
        <v>45</v>
      </c>
      <c r="F6197">
        <f>HYPERLINK("https://www.reddit.com/r/diabetes/comments/av14eo/personal_best_a1c/")</f>
        <v/>
      </c>
      <c r="G6197" t="inlineStr">
        <is>
          <t>2019-02-26 08:11:16</t>
        </is>
      </c>
      <c r="H6197" t="inlineStr">
        <is>
          <t>Type 2</t>
        </is>
      </c>
    </row>
    <row r="6198">
      <c r="A6198" t="inlineStr">
        <is>
          <t>av2jje</t>
        </is>
      </c>
      <c r="B6198" t="inlineStr">
        <is>
          <t>Android XDrip+, Gear S3 and iPhone Nightscouter</t>
        </is>
      </c>
      <c r="C6198" t="inlineStr">
        <is>
          <t>Photos:
1. Android XDrip +
2. Samsung Gear S3
3. iPhone Nightscouter
&amp;amp;#x200B;
&amp;amp;#x200B;
https://i.redd.it/vcpppjdfcyi21.jpg
&amp;amp;#x200B;
Everything synced by Nightscout on Heroku: [http://www.nightscout.info](http://www.nightscout.info) / [https://angelo-cgm.herokuapp.com/](https://angelo-cgm.herokuapp.com/)
Glucose Sensor: Abbott Freestyle Libre: [https://www.onofre.com.br/freestylelibre](https://www.onofre.com.br/freestylelibre)
Sending the measurement to the mobile phone: [https://www.miaomiao.com.br](https://www.miaomiao.com.br)
Android apps that sync with Nightscout:
\- XDrip + for glucose: [https://jamorham.github.io](https://jamorham.github.io)
\- Glimp for food and insulin units
For smartwatch: [http://www.nightscout.info/wiki/cgm-watchfaces](http://www.nightscout.info/wiki/cgm-watchfaces)
Remote monitoring via iPhone: [https://itunes.apple.com/us/app/nightscouter/id1010503247?mt=8&amp;amp;fbclid=IwAR14rirs8ajaekLi8AiJpJDblUCygiloTHoSfnWZ-ZmFO8A2tEY3V2bKqqA](https://itunes.apple.com/us/app/nightscouter/id1010503247?mt=8&amp;amp;fbclid=IwAR14rirs8ajaekLi8AiJpJDblUCygiloTHoSfnWZ-ZmFO8A2tEY3V2bKqqA)
&amp;amp;#x200B;
Glucose parameters:
Low = 70
High = 140
&amp;amp;#x200B;
Then...
&amp;amp;#x200B;
https://i.redd.it/yzmbpnf4dyi21.jpg
&amp;amp;#x200B;
https://i.redd.it/4l63s82kdyi21.jpg
&amp;amp;#x200B;
https://i.redd.it/hrmvmfamdyi21.jpg</t>
        </is>
      </c>
      <c r="D6198" t="n">
        <v>6</v>
      </c>
      <c r="E6198" t="n">
        <v>2</v>
      </c>
      <c r="F6198">
        <f>HYPERLINK("https://www.reddit.com/r/diabetes/comments/av2jje/android_xdrip_gear_s3_and_iphone_nightscouter/")</f>
        <v/>
      </c>
      <c r="G6198" t="inlineStr">
        <is>
          <t>2019-02-26 10:11:45</t>
        </is>
      </c>
      <c r="H6198" t="inlineStr">
        <is>
          <t>Type 1</t>
        </is>
      </c>
    </row>
    <row r="6199">
      <c r="A6199" t="inlineStr">
        <is>
          <t>av2z4r</t>
        </is>
      </c>
      <c r="B6199" t="inlineStr">
        <is>
          <t>Problems contacting Tslim</t>
        </is>
      </c>
      <c r="C6199" t="inlineStr">
        <is>
          <t xml:space="preserve">Does anyone have a really difficult time getting in touch with Tslim? I'm ready to switch pumps but missed the first call (weeks ago). Since then, no one has called or answered any of my inquires. Concerns me that they won't be available if I have an issue with my pump. I'm just trying to give them my money!! haha. </t>
        </is>
      </c>
      <c r="D6199" t="n">
        <v>3</v>
      </c>
      <c r="E6199" t="n">
        <v>4</v>
      </c>
      <c r="F6199">
        <f>HYPERLINK("https://www.reddit.com/r/diabetes/comments/av2z4r/problems_contacting_tslim/")</f>
        <v/>
      </c>
      <c r="G6199" t="inlineStr">
        <is>
          <t>2019-02-26 10:49:45</t>
        </is>
      </c>
      <c r="H6199" t="inlineStr">
        <is>
          <t>Type 1</t>
        </is>
      </c>
    </row>
    <row r="6200">
      <c r="A6200" t="inlineStr">
        <is>
          <t>av3yst</t>
        </is>
      </c>
      <c r="B6200" t="inlineStr">
        <is>
          <t>Tandem Users Group</t>
        </is>
      </c>
      <c r="C6200" t="inlineStr">
        <is>
          <t>Does anyone know of a Users Group, subreddit, Facebook Group, etc for just Tandem Pump Users. My wife is thinking about getting the Tandem in a few months and I was curious to find a dedicated group of people who use it to see more about the pros and cons of the pump, and their experiences. I didn't see a tandem subreddit, and can't find a dedicated group non Facebook either. Are there that many less users of the Tandem compared to Medtronic, or does there just not happen to be a dedicated space for whatever reason?
&amp;amp;#x200B;
I have looked back through posts in r/diabetes, and that has been helpful too, but was curious if there was anywhere just for Tandem users. We have followed one group for the Medtronic 670G on facebook for a while and that has been insightful seeing their challenges and problems they have come across, and was looking for something similar.
&amp;amp;#x200B;
Thanks!</t>
        </is>
      </c>
      <c r="D6200" t="n">
        <v>3</v>
      </c>
      <c r="E6200" t="n">
        <v>4</v>
      </c>
      <c r="F6200">
        <f>HYPERLINK("https://www.reddit.com/r/diabetes/comments/av3yst/tandem_users_group/")</f>
        <v/>
      </c>
      <c r="G6200" t="inlineStr">
        <is>
          <t>2019-02-26 12:13:41</t>
        </is>
      </c>
      <c r="H6200" t="inlineStr">
        <is>
          <t>Type 1</t>
        </is>
      </c>
    </row>
    <row r="6201">
      <c r="A6201" t="inlineStr">
        <is>
          <t>av4av7</t>
        </is>
      </c>
      <c r="B6201" t="inlineStr">
        <is>
          <t>Friend diagnosed with type 2 and injured. How can I help?</t>
        </is>
      </c>
      <c r="C6201" t="inlineStr">
        <is>
          <t xml:space="preserve">He recently fell and thought he had sprained his ankle.  Turned out to be much worse, and he wound up in the hospital.  Found out he was a type-2 diabetic.  He's all by himself at home, recovering.  I'm not sure how he's preparing food for himself, and my fear is that he isn't eating much, at all.  What are some easy to prepare and transport foods?  I know he can't currently have beef or pork, as he tries to rein in his numbers.
&amp;amp;#x200B;
Any other tips to support?  Thanks for any input.  </t>
        </is>
      </c>
      <c r="D6201" t="n">
        <v>3</v>
      </c>
      <c r="E6201" t="n">
        <v>8</v>
      </c>
      <c r="F6201">
        <f>HYPERLINK("https://www.reddit.com/r/diabetes/comments/av4av7/friend_diagnosed_with_type_2_and_injured_how_can/")</f>
        <v/>
      </c>
      <c r="G6201" t="inlineStr">
        <is>
          <t>2019-02-26 12:43:17</t>
        </is>
      </c>
      <c r="H6201" t="inlineStr">
        <is>
          <t>Type 2</t>
        </is>
      </c>
    </row>
    <row r="6202">
      <c r="A6202" t="inlineStr">
        <is>
          <t>av80p1</t>
        </is>
      </c>
      <c r="B6202" t="inlineStr">
        <is>
          <t>Advice for setting up a T1D Discord Server</t>
        </is>
      </c>
      <c r="C6202" t="inlineStr">
        <is>
          <t xml:space="preserve">I've decided recently to set up a T1D discord, and I'm coming here looking for advice from current discord operators who have experience. In particular, I'm looking for advice for creating rules to abide by, and how to deal with trolls. 
In addition, this discord will be in Japanese. Perhaps there are some discord servers in Japanese out there on t1d, but every time I search, I come up empty. 
So I'm looking for some advice on setting up a discord server. I had some ideas in mind on etiquette, but I have no experience doing this, so I'm looking for advice that I am likely not aware of. 
Also if you all have questions or comments about diabetes in Japan that might be relative to running a discord server in Japanese, do ask / comment. 
I've been living in Japan with T1D for three and a half years, also have had diabetes for almost 11 years now. </t>
        </is>
      </c>
      <c r="D6202" t="n">
        <v>2</v>
      </c>
      <c r="E6202" t="n">
        <v>4</v>
      </c>
      <c r="F6202">
        <f>HYPERLINK("https://www.reddit.com/r/diabetes/comments/av80p1/advice_for_setting_up_a_t1d_discord_server/")</f>
        <v/>
      </c>
      <c r="G6202" t="inlineStr">
        <is>
          <t>2019-02-26 18:33:38</t>
        </is>
      </c>
      <c r="H6202" t="inlineStr">
        <is>
          <t>Type 1</t>
        </is>
      </c>
    </row>
    <row r="6203">
      <c r="A6203" t="inlineStr">
        <is>
          <t>av8cy4</t>
        </is>
      </c>
      <c r="B6203" t="inlineStr">
        <is>
          <t>I'm scared...this turned into a bit of a rant, but I have no where else to go.</t>
        </is>
      </c>
      <c r="C6203" t="inlineStr">
        <is>
          <t>I don't really know where else to go with this, but I was diagnosed with diabetes today and I'm terrified. I'm assuming it's Type 2 since that's the most common, but I'm just about as confused as one might be after being tossed into a cold pool of water while they were sleeping. I was pre-diabetic for about a year before and during that year I went from 5.9 to 5.4, to not pre-diabetic, and then back up to 5.8 before it shot up to 6.9 in, what I'm assuming, has been the last few weeks.
My doctor called it abnormal, but not uncommon for someone that has Type 1 or 2 running in the family. Which I have, my Mom had Type 2 and my sister Type 1, and I think my Maternal Grandma also had Type 1.
I noticed something was off last week. Started getting what I was calling "the shakes" during random times of the day. I've been stressed, so I tried not to think too much of it, but then it got worse and the headaches came and the light-headedness...and then I remembered watching my Mom and sister going hypoglycemic, and the fear set in. I knew I hadn't been eating right, really at all, due to all the stress and it was the only thing that made sense so I took action.
I contacted my primary care doctor almost immediately to make an appointment, get blood drawn, the works- they got me in today after a draw on Monday and here we are...I was right.
I'd jumped from pre-diabetic to diabetic and now I'm sitting here waiting for my glucometer, lances and test strips while I read the label on my Metformin bottle over and over again. I've gone to the American Diabetes Association website, I've glanced over the text there. My doctor referred me to a bariatric team to start the lap band process, so I guess I can call them tomorrow and start my meds then, so I've got a game plan, I shouldn't be as afraid as I am, but alas-
Was anyone else this anxious and scared when they were first diagnosed?
What did you do first to start eating right and getting into a good exercise routine?
Can it really be reversed?
&amp;amp;#x200B;
^(I'm sorry if this isn't the right place for this, if I need to be redirected that's fine. I don't want to step on anyone's toes.)</t>
        </is>
      </c>
      <c r="D6203" t="n">
        <v>3</v>
      </c>
      <c r="E6203" t="n">
        <v>32</v>
      </c>
      <c r="F6203">
        <f>HYPERLINK("https://www.reddit.com/r/diabetes/comments/av8cy4/im_scaredthis_turned_into_a_bit_of_a_rant_but_i/")</f>
        <v/>
      </c>
      <c r="G6203" t="inlineStr">
        <is>
          <t>2019-02-26 19:07:15</t>
        </is>
      </c>
      <c r="H6203" t="inlineStr">
        <is>
          <t>Type 2</t>
        </is>
      </c>
    </row>
    <row r="6204">
      <c r="A6204" t="inlineStr">
        <is>
          <t>av8yjs</t>
        </is>
      </c>
      <c r="B6204" t="inlineStr">
        <is>
          <t>Dexcom &amp;amp; cryotherapy</t>
        </is>
      </c>
      <c r="C6204" t="inlineStr">
        <is>
          <t xml:space="preserve">Anyone know if it’s safe to wear a Dexcom during a cryotherapy session? </t>
        </is>
      </c>
      <c r="D6204" t="n">
        <v>2</v>
      </c>
      <c r="E6204" t="n">
        <v>3</v>
      </c>
      <c r="F6204">
        <f>HYPERLINK("https://www.reddit.com/r/diabetes/comments/av8yjs/dexcom_cryotherapy/")</f>
        <v/>
      </c>
      <c r="G6204" t="inlineStr">
        <is>
          <t>2019-02-26 20:08:16</t>
        </is>
      </c>
      <c r="H6204" t="inlineStr">
        <is>
          <t>Type 1</t>
        </is>
      </c>
    </row>
    <row r="6205">
      <c r="A6205" t="inlineStr">
        <is>
          <t>avaebu</t>
        </is>
      </c>
      <c r="B6205" t="inlineStr">
        <is>
          <t>Rant - Frustrating Week</t>
        </is>
      </c>
      <c r="C6205" t="inlineStr">
        <is>
          <t xml:space="preserve">There are some weeks that are just awful and this is one of them. First, my T-Slim failed and was telling me I didn’t put enough insulin in the cartridge after 150 units. Had to restart that and waste all of the insulin. 
Then tonight while in class my Dexcom started going berserk saying I was at risk of an urgent low. I tested and I was 150 so it was almost 100 points off. That started a recalibration nightmare and after an hour I pulled the sensor off. Now I’m on my third sensor of the night because the second attempt bled everywhere. 
Oh, how I love being on hold with Dexcom for replacements. Can I please get a break from the diabetes gods?!  </t>
        </is>
      </c>
      <c r="D6205" t="n">
        <v>4</v>
      </c>
      <c r="E6205" t="n">
        <v>3</v>
      </c>
      <c r="F6205">
        <f>HYPERLINK("https://www.reddit.com/r/diabetes/comments/avaebu/rant_frustrating_week/")</f>
        <v/>
      </c>
      <c r="G6205" t="inlineStr">
        <is>
          <t>2019-02-26 22:51:03</t>
        </is>
      </c>
      <c r="H6205" t="inlineStr">
        <is>
          <t>Type 1</t>
        </is>
      </c>
    </row>
    <row r="6206">
      <c r="A6206" t="inlineStr">
        <is>
          <t>avbnvp</t>
        </is>
      </c>
      <c r="B6206" t="inlineStr">
        <is>
          <t>Rant for all</t>
        </is>
      </c>
      <c r="C6206" t="inlineStr">
        <is>
          <t xml:space="preserve">I went through a whole year with no health insurance. I was being around $560 in 5 weeks of insulin novalog flex pens. It was financially a rough year for me, anxious I could lose a pen out of my pocket, maybe leave it in my pants and wash it. These things are mostly my fault if to happen, but what gets me is that how can the companies do that to diabetics. I was paying all that every 5 weeks, to live. It’s just baffling that people with diabetes struggle or are not even able to obtain critical medicine to LIVE. 
And finally after getting health insurance by the help of my family, I pay $25 dollars every 5 weeks from humalog flex pens. It’s just insane. </t>
        </is>
      </c>
      <c r="D6206" t="n">
        <v>7</v>
      </c>
      <c r="E6206" t="n">
        <v>7</v>
      </c>
      <c r="F6206">
        <f>HYPERLINK("https://www.reddit.com/r/diabetes/comments/avbnvp/rant_for_all/")</f>
        <v/>
      </c>
      <c r="G6206" t="inlineStr">
        <is>
          <t>2019-02-27 01:37:18</t>
        </is>
      </c>
      <c r="H6206" t="inlineStr">
        <is>
          <t>Type 1</t>
        </is>
      </c>
    </row>
    <row r="6207">
      <c r="A6207" t="inlineStr">
        <is>
          <t>aveurz</t>
        </is>
      </c>
      <c r="B6207" t="inlineStr">
        <is>
          <t>I believe I’m diabetic</t>
        </is>
      </c>
      <c r="C6207" t="inlineStr">
        <is>
          <t xml:space="preserve">I’m an obese 54 year old.  I’ve been overweight/obese all my life (6’2” 366).  I finally saw a doctor yesterday (it’s been eight years) and I had an A1C of 6.0.  I’ve been on a pretty strict keto diet since September and I believe it’s masking my diabetes.  (Or has cured it?  I’m not sure how to process this.). Anyway...  I bought a glucose meter and took some readings after a moderately carby meal and I was wondering if I could get some opinions if these are high, normal or if I’m totally wrong or harming myself with this type of experiment.
106 pre pasta
126 1 hr after
144 2 hr
140 3 hr
126 12 hr
</t>
        </is>
      </c>
      <c r="D6207" t="n">
        <v>1</v>
      </c>
      <c r="E6207" t="n">
        <v>3</v>
      </c>
      <c r="F6207">
        <f>HYPERLINK("https://www.reddit.com/r/diabetes/comments/aveurz/i_believe_im_diabetic/")</f>
        <v/>
      </c>
      <c r="G6207" t="inlineStr">
        <is>
          <t>2019-02-27 07:45:45</t>
        </is>
      </c>
      <c r="H6207" t="inlineStr">
        <is>
          <t>Type 2</t>
        </is>
      </c>
    </row>
    <row r="6208">
      <c r="A6208" t="inlineStr">
        <is>
          <t>avjnue</t>
        </is>
      </c>
      <c r="B6208" t="inlineStr">
        <is>
          <t>Off Campus living at College</t>
        </is>
      </c>
      <c r="C6208" t="inlineStr">
        <is>
          <t>Hello everyone! I’m currently on my first year at college and am loving in a dorm as it is required for freshman and sophomores to live on campus. 
However, there are exemptions. One of the ways to live off campus is to fill out a medical waiver stating why it would be beneficial to your health to live off campus. I’m currently filling out the waiver and was wondering if any of y’all have any good reasons or facts I can add to my request to live off campus. So far I’ve said that living in a dorm causes me stress because I have no privacy when changing my pump or cgm sites, and that there are frequently people in my room making it hard to focus on my treatment. 
Any advice/tips would be greatly appreciated!</t>
        </is>
      </c>
      <c r="D6208" t="n">
        <v>4</v>
      </c>
      <c r="E6208" t="n">
        <v>3</v>
      </c>
      <c r="F6208">
        <f>HYPERLINK("https://www.reddit.com/r/diabetes/comments/avjnue/off_campus_living_at_college/")</f>
        <v/>
      </c>
      <c r="G6208" t="inlineStr">
        <is>
          <t>2019-02-27 14:58:09</t>
        </is>
      </c>
      <c r="H6208" t="inlineStr">
        <is>
          <t>Type 1</t>
        </is>
      </c>
    </row>
    <row r="6209">
      <c r="A6209" t="inlineStr">
        <is>
          <t>avkdx5</t>
        </is>
      </c>
      <c r="B6209" t="inlineStr">
        <is>
          <t>New T2 Diabetic</t>
        </is>
      </c>
      <c r="C6209" t="inlineStr">
        <is>
          <t xml:space="preserve">  I went in for a check up to get established with a new PCP since it's been years since I went to the doctor and I just turned 30 a couple months ago, about a week later they left me a voicemail and said "The doctor diagnosed you with type 2 Diabetes, she's called in a prescription for Metformin, take 1 a day for the first week and 2 a day after the first week." there was also some vague mention of "eat less carbs" and "call us with any questions". I've been in a state of perpetual panic since then about it. I'm livid, not at the diagnosis but at the way that it was delivered and needless to say I'm going to find a different Doctor. But besides doing that I had no idea what I needed to do.
&amp;amp;#x200B;
I've done some research and I'm going to buy a Glucometer to track my blood sugar levels, I did pick up the Metformin and will be starting that.  Do I need to find an Endocrinologist, a Nutritionist or a Diatician , is there way to tell what type of T2 I have, is it insulin resistant or some other variant of it. What's the best way to go about changing my diet? I read something about Keto being good for Diabetics because it's low carb, but is it healthy? What's a good Glucometer and how often do I need to be checking my sugar. I just feel like I'm completely lost with this and I don't even know where to start.</t>
        </is>
      </c>
      <c r="D6209" t="n">
        <v>6</v>
      </c>
      <c r="E6209" t="n">
        <v>12</v>
      </c>
      <c r="F6209">
        <f>HYPERLINK("https://www.reddit.com/r/diabetes/comments/avkdx5/new_t2_diabetic/")</f>
        <v/>
      </c>
      <c r="G6209" t="inlineStr">
        <is>
          <t>2019-02-27 16:05:47</t>
        </is>
      </c>
      <c r="H6209" t="inlineStr">
        <is>
          <t>Type 2</t>
        </is>
      </c>
    </row>
    <row r="6210">
      <c r="A6210" t="inlineStr">
        <is>
          <t>avkx23</t>
        </is>
      </c>
      <c r="B6210" t="inlineStr">
        <is>
          <t>Why Does Dietary Fat Lower Insulin Efficacy?</t>
        </is>
      </c>
      <c r="C6210" t="inlineStr">
        <is>
          <t>For example, why do I need to increase my basal rate following a pizza meal to keep my blood sugar in check?</t>
        </is>
      </c>
      <c r="D6210" t="n">
        <v>4</v>
      </c>
      <c r="E6210" t="n">
        <v>2</v>
      </c>
      <c r="F6210">
        <f>HYPERLINK("https://www.reddit.com/r/diabetes/comments/avkx23/why_does_dietary_fat_lower_insulin_efficacy/")</f>
        <v/>
      </c>
      <c r="G6210" t="inlineStr">
        <is>
          <t>2019-02-27 16:59:42</t>
        </is>
      </c>
      <c r="H6210" t="inlineStr">
        <is>
          <t>Type 1</t>
        </is>
      </c>
    </row>
    <row r="6211">
      <c r="A6211" t="inlineStr">
        <is>
          <t>avmr86</t>
        </is>
      </c>
      <c r="B6211" t="inlineStr">
        <is>
          <t>To take or not to take, Metformin, 'tis the question</t>
        </is>
      </c>
      <c r="C6211" t="inlineStr">
        <is>
          <t>So, someone very dear and close to me has recently been diagnosed with type 2 diabetes. I was rather devastated when I heard the news, and I just couldn't believe the news.
Looking back, there may have been some warning signs that may have been the symptoms of diabetes 2, but it was rather difficult to get a hold of a medical care sans the family practitioner.
To be fair, I am still in a bit of a denial, and I tend to do that, like Pikachu wanting to go back to the Pokeball, and when I think about it while typing this, it makes me little sick to my stomach at the realization.
Her number is around 8, though I don't know the unit for it, but apparently she was told by the doctor the normal value was around 6, and she has been researching herself and told me she found that was a high number? 
She has the prescription for the Metformin, but just not sure right now if we should start taking the Metformin before the test results for the A1C test comes back. She tested around at 8 twice already but I believe it was for the blood glucose.
I mean, I still wish that she is not diabetic, and I am really hoping to maybe deal with this right now without any medications, as often is there is downsides to taking meds, especially something that someone may have to take forever, so just little unsure right now, but then again she's had some symptoms that may or may not be related to diabetes...so I figured maybe I could ask people of Reddit for some advice...
I am obviously going to get my research mode on, but there's only so much you can do by yourself, so I thought, there may have been people who went through the same thing and did tons more of research, and I suppose Reddit is pretty popular forum online....and any advice or suggestions would be appreciated.
Thanks in advance.
&amp;amp;#x200B;
&amp;amp;#x200B;</t>
        </is>
      </c>
      <c r="D6211" t="n">
        <v>1</v>
      </c>
      <c r="E6211" t="n">
        <v>6</v>
      </c>
      <c r="F6211">
        <f>HYPERLINK("https://www.reddit.com/r/diabetes/comments/avmr86/to_take_or_not_to_take_metformin_tis_the_question/")</f>
        <v/>
      </c>
      <c r="G6211" t="inlineStr">
        <is>
          <t>2019-02-27 20:16:41</t>
        </is>
      </c>
      <c r="H6211" t="inlineStr">
        <is>
          <t>Type 2</t>
        </is>
      </c>
    </row>
    <row r="6212">
      <c r="A6212" t="inlineStr">
        <is>
          <t>avpbmm</t>
        </is>
      </c>
      <c r="B6212" t="inlineStr">
        <is>
          <t>im doing a school presentation about type 2 diabetes</t>
        </is>
      </c>
      <c r="C6212" t="inlineStr">
        <is>
          <t>hello 
I have a question on how has your type 2 diabetes effected your life 
thanks for answering and have a good day</t>
        </is>
      </c>
      <c r="D6212" t="n">
        <v>2</v>
      </c>
      <c r="E6212" t="n">
        <v>1</v>
      </c>
      <c r="F6212">
        <f>HYPERLINK("https://www.reddit.com/r/diabetes/comments/avpbmm/im_doing_a_school_presentation_about_type_2/")</f>
        <v/>
      </c>
      <c r="G6212" t="inlineStr">
        <is>
          <t>2019-02-28 01:46:52</t>
        </is>
      </c>
      <c r="H6212" t="inlineStr">
        <is>
          <t>Type 2</t>
        </is>
      </c>
    </row>
    <row r="6213">
      <c r="A6213" t="inlineStr">
        <is>
          <t>avuult</t>
        </is>
      </c>
      <c r="B6213" t="inlineStr">
        <is>
          <t>Coffee before a fasting blood test is bad - how?</t>
        </is>
      </c>
      <c r="C6213" t="inlineStr">
        <is>
          <t>Hi friends - I've been given conflicting information and am seeking some clarity.  First, my doctor told me that I could not have coffee before a fasting blood test (the works - glucose, lipids, everything). Then, when I was just doing glucose related blood tests, she told me coffee was OK, but nothing else. In my internet searches, I find mostly articles that say coffee is bad before a blood test no matter what (but they never explain exactly why). Here are my questions:
1. Has anyone else been told this kind of conflicting information?
2. Does anyone know **why** coffee is bad for a blood test? If so, what specific things will not be measured correctly? I'm really interested in the chemistry here.
From now on, I am personally just going to play it safe and avoid coffee before a fasting blood test. I'm just very curious what other people know about this.
Thank you!
Ray</t>
        </is>
      </c>
      <c r="D6213" t="n">
        <v>7</v>
      </c>
      <c r="E6213" t="n">
        <v>24</v>
      </c>
      <c r="F6213">
        <f>HYPERLINK("https://www.reddit.com/r/diabetes/comments/avuult/coffee_before_a_fasting_blood_test_is_bad_how/")</f>
        <v/>
      </c>
      <c r="G6213" t="inlineStr">
        <is>
          <t>2019-02-28 11:06:57</t>
        </is>
      </c>
      <c r="H6213" t="inlineStr">
        <is>
          <t>Type 2</t>
        </is>
      </c>
    </row>
    <row r="6214">
      <c r="A6214" t="inlineStr">
        <is>
          <t>avuwuo</t>
        </is>
      </c>
      <c r="B6214" t="inlineStr">
        <is>
          <t>Can’t tell if I’m high but can always tell if I’m low?</t>
        </is>
      </c>
      <c r="C6214" t="inlineStr">
        <is>
          <t xml:space="preserve">I can almost never tell if my sugar levels are too high (sometimes I can, I get sleepy and my brain gets fuzzy but most times I can’t) but my body ALWAYS panics when I’m around 75 or lower. 
Does anyone know why this is? Isn’t it dangerous being too high just the same as it is being low? </t>
        </is>
      </c>
      <c r="D6214" t="n">
        <v>12</v>
      </c>
      <c r="E6214" t="n">
        <v>17</v>
      </c>
      <c r="F6214">
        <f>HYPERLINK("https://www.reddit.com/r/diabetes/comments/avuwuo/cant_tell_if_im_high_but_can_always_tell_if_im_low/")</f>
        <v/>
      </c>
      <c r="G6214" t="inlineStr">
        <is>
          <t>2019-02-28 11:12:25</t>
        </is>
      </c>
      <c r="H6214" t="inlineStr">
        <is>
          <t>Type 2</t>
        </is>
      </c>
    </row>
    <row r="6215">
      <c r="A6215" t="inlineStr">
        <is>
          <t>avx72p</t>
        </is>
      </c>
      <c r="B6215" t="inlineStr">
        <is>
          <t>Dexcom finally updated to work with new phones.</t>
        </is>
      </c>
      <c r="C6215" t="inlineStr">
        <is>
          <t xml:space="preserve">I can finally stop carrying around that stupid extra receiver. New phone owners rejoice, the app finally works! Maybe dexcom can update this faster instead of 6 months after a new phone launch. Cmon dexcom. </t>
        </is>
      </c>
      <c r="D6215" t="n">
        <v>4</v>
      </c>
      <c r="E6215" t="n">
        <v>16</v>
      </c>
      <c r="F6215">
        <f>HYPERLINK("https://www.reddit.com/r/diabetes/comments/avx72p/dexcom_finally_updated_to_work_with_new_phones/")</f>
        <v/>
      </c>
      <c r="G6215" t="inlineStr">
        <is>
          <t>2019-02-28 14:48:16</t>
        </is>
      </c>
      <c r="H6215" t="inlineStr">
        <is>
          <t>Type 1</t>
        </is>
      </c>
    </row>
    <row r="6216">
      <c r="A6216" t="inlineStr">
        <is>
          <t>aw4wwg</t>
        </is>
      </c>
      <c r="B6216" t="inlineStr">
        <is>
          <t>Blood glucose testing strategies with limited testing supplies</t>
        </is>
      </c>
      <c r="C6216" t="inlineStr">
        <is>
          <t>I currently test my blood sugar five times a day: upon waking, at my two meal times and 2 hours after my meals with test strips that I pay for out of pocket.
&amp;amp;#x200B;
I found out I was able to get testing supplies through my health insurance, but my doctor would only prescribe 2 test strips per day, so I'm trying to figure out what my new testing strategy should be to accommodate having fewer test strips.  
I've been a Type 2 diabetic for 17 years with a recent 5.4% A1c and used to have high fasting blood sugar readings (&amp;gt;140 mg/dl)  
Should I just test after meals all the time, or test before and after one meal one day and the other meal the other day and occasionally test fasting blood sugar?</t>
        </is>
      </c>
      <c r="D6216" t="n">
        <v>4</v>
      </c>
      <c r="E6216" t="n">
        <v>7</v>
      </c>
      <c r="F6216">
        <f>HYPERLINK("https://www.reddit.com/r/diabetes/comments/aw4wwg/blood_glucose_testing_strategies_with_limited/")</f>
        <v/>
      </c>
      <c r="G6216" t="inlineStr">
        <is>
          <t>2019-03-01 05:30:46</t>
        </is>
      </c>
      <c r="H6216" t="inlineStr">
        <is>
          <t>Type 2</t>
        </is>
      </c>
    </row>
    <row r="6217">
      <c r="A6217" t="inlineStr">
        <is>
          <t>aw6bnw</t>
        </is>
      </c>
      <c r="B6217" t="inlineStr">
        <is>
          <t>Am I out of my honeymoon period already? Can they be this short?</t>
        </is>
      </c>
      <c r="C6217" t="inlineStr">
        <is>
          <t>So, immediately after my diagnosis, my insulin-to-carb ratio was somewhere between 1:20 and 1:25 I think. I was getting weird lows on occasion, probably mostly because I was given a high range to stay within initially (to avoid oedemas in my eyes from rapidly dropping averages) but maybe also from spurts of natural insulin production, who knows. Well, about three weeks after my diagnosis (I'm 20) my ratio rose to 1:8 and the unexplained lows seem to have stopped, but now I tend to get highs late in the evening around the time where my basal stops working (I'm on MDI lantus+novorapid) which didn't really happen before. It also seemed more difficult to maintain a stable bg but I've mostly figured it out now (using overlapping doses, more frequent but smaller meals, and IOB calculations seems to have done the trick) From what I understood, honeymoon periods typically last longer the older you are at the onset of the disease. Can they be this short regardless, or am I still honeymooning? It does seem to be easier for me to remain stable than what many people are describing, especially considering that I eat fairly high carb.</t>
        </is>
      </c>
      <c r="D6217" t="n">
        <v>2</v>
      </c>
      <c r="E6217" t="n">
        <v>5</v>
      </c>
      <c r="F6217">
        <f>HYPERLINK("https://www.reddit.com/r/diabetes/comments/aw6bnw/am_i_out_of_my_honeymoon_period_already_can_they/")</f>
        <v/>
      </c>
      <c r="G6217" t="inlineStr">
        <is>
          <t>2019-03-01 07:44:50</t>
        </is>
      </c>
      <c r="H6217" t="inlineStr">
        <is>
          <t>Type 1</t>
        </is>
      </c>
    </row>
    <row r="6218">
      <c r="A6218" t="inlineStr">
        <is>
          <t>aw76k3</t>
        </is>
      </c>
      <c r="B6218" t="inlineStr">
        <is>
          <t>Help with a preteen in denial</t>
        </is>
      </c>
      <c r="C6218" t="inlineStr">
        <is>
          <t>Hi there! I’m looking for advice.
I’ve been working with an adolescent lately who I believe to possibly be depressed and definitely in denial about his type 1 diabetes (recently stopped honeymooning). He is refusing to show me his meter and giving me a hard time about injections (and pretending to take them). He’s also struggling with self care and refuses to wash his hands before testing. Half the time he doesn’t even show up. I have chronic health issues of my own and I am fully aware of how incredibly difficult it is to face an illness you’ll have as long as you live and that you have to manage constantly, and I faced a period of denial as a child but it’s been a long time. What can I do to help him stay safe? How can I convince him that it’s really important to manage blood sugars? How can I convey that I am totally non-judgemental about his numbers? How can I help him get through the end of his honeymoon period? I have already spoken to Mom and he will be seeing doctors soon to deal with the possible depression and changing numbers. All suggestions are welcome.  Ps: a CGM and/or pump, even though they might possibly help, aren’t options for this young man at this time for various reasons. Thank you so much!</t>
        </is>
      </c>
      <c r="D6218" t="n">
        <v>14</v>
      </c>
      <c r="E6218" t="n">
        <v>28</v>
      </c>
      <c r="F6218">
        <f>HYPERLINK("https://www.reddit.com/r/diabetes/comments/aw76k3/help_with_a_preteen_in_denial/")</f>
        <v/>
      </c>
      <c r="G6218" t="inlineStr">
        <is>
          <t>2019-03-01 09:05:16</t>
        </is>
      </c>
      <c r="H6218" t="inlineStr">
        <is>
          <t>Type 1</t>
        </is>
      </c>
    </row>
    <row r="6219">
      <c r="A6219" t="inlineStr">
        <is>
          <t>aw98xw</t>
        </is>
      </c>
      <c r="B6219" t="inlineStr">
        <is>
          <t>Just Diagnosed with 1.5 at 50 years old. I am a winemaker and am very concerned about how drinking impacts.</t>
        </is>
      </c>
      <c r="C6219" t="inlineStr">
        <is>
          <t>Does anyone have any links or info about alcohol and Type 1.5?
I'm guessing i'm going to have to learn to spit.  Everything.  Anyone want to buy a wine cellar?  #FUUUUUCK!!!</t>
        </is>
      </c>
      <c r="D6219" t="n">
        <v>5</v>
      </c>
      <c r="E6219" t="n">
        <v>9</v>
      </c>
      <c r="F6219">
        <f>HYPERLINK("https://www.reddit.com/r/diabetes/comments/aw98xw/just_diagnosed_with_15_at_50_years_old_i_am_a/")</f>
        <v/>
      </c>
      <c r="G6219" t="inlineStr">
        <is>
          <t>2019-03-01 12:21:04</t>
        </is>
      </c>
      <c r="H6219" t="inlineStr">
        <is>
          <t>Type 1.5/LADA</t>
        </is>
      </c>
    </row>
    <row r="6220">
      <c r="A6220" t="inlineStr">
        <is>
          <t>aw9q65</t>
        </is>
      </c>
      <c r="B6220" t="inlineStr">
        <is>
          <t>Do larger doses of rapid-acting insulin take longer to peak/take effect?</t>
        </is>
      </c>
      <c r="C6220" t="inlineStr">
        <is>
          <t>Lets say i take 8 units for a correction bolus. How long should i expect to wait before seeing a drop in bg</t>
        </is>
      </c>
      <c r="D6220" t="n">
        <v>3</v>
      </c>
      <c r="E6220" t="n">
        <v>5</v>
      </c>
      <c r="F6220">
        <f>HYPERLINK("https://www.reddit.com/r/diabetes/comments/aw9q65/do_larger_doses_of_rapidacting_insulin_take/")</f>
        <v/>
      </c>
      <c r="G6220" t="inlineStr">
        <is>
          <t>2019-03-01 13:06:14</t>
        </is>
      </c>
      <c r="H6220" t="inlineStr">
        <is>
          <t>Type 1</t>
        </is>
      </c>
    </row>
    <row r="6221">
      <c r="A6221" t="inlineStr">
        <is>
          <t>awaasp</t>
        </is>
      </c>
      <c r="B6221" t="inlineStr">
        <is>
          <t>Fingersticks</t>
        </is>
      </c>
      <c r="C6221" t="inlineStr">
        <is>
          <t xml:space="preserve">So, I’m new to the whole checking the blood sugar, only been doing it a week.  Any tips?  It seems sometimes nothing comes out, other times I get a big old bubble.  I’m well hydrated.  Are all five fingers game?  It’s just the last joint in the finger you use?  Thanks for any help. </t>
        </is>
      </c>
      <c r="D6221" t="n">
        <v>2</v>
      </c>
      <c r="E6221" t="n">
        <v>5</v>
      </c>
      <c r="F6221">
        <f>HYPERLINK("https://www.reddit.com/r/diabetes/comments/awaasp/fingersticks/")</f>
        <v/>
      </c>
      <c r="G6221" t="inlineStr">
        <is>
          <t>2019-03-01 14:00:41</t>
        </is>
      </c>
      <c r="H6221" t="inlineStr">
        <is>
          <t>Type 2</t>
        </is>
      </c>
    </row>
    <row r="6222">
      <c r="A6222" t="inlineStr">
        <is>
          <t>awayhm</t>
        </is>
      </c>
      <c r="B6222" t="inlineStr">
        <is>
          <t>Weird Jump in Cholesterol Levels</t>
        </is>
      </c>
      <c r="C6222" t="inlineStr">
        <is>
          <t>So I have a history of heart disease in my family along with suffering from Type 1.  I have had high cholesterol levels since I was 16 y.o..  I'm now 38.  I've gone through various statins.  Some ineffective, some caused high liver enzymes.  I finally seemed to find one that worked, Rosuvastatin. 
After switching to the max dosage (40 mg), I had a weird jump in cholesterol levels.
* Total Cholesterol:  182 =&amp;gt; 241
* LDL: 108 =&amp;gt; 161
No change in diet between tests.  I keep track of what I eat with MyFitnessPal.  I was fasting for 9 hours.
Could any thing related to my diabetes be the cause?  Anyone have a similar experience?</t>
        </is>
      </c>
      <c r="D6222" t="n">
        <v>2</v>
      </c>
      <c r="E6222" t="n">
        <v>1</v>
      </c>
      <c r="F6222">
        <f>HYPERLINK("https://www.reddit.com/r/diabetes/comments/awayhm/weird_jump_in_cholesterol_levels/")</f>
        <v/>
      </c>
      <c r="G6222" t="inlineStr">
        <is>
          <t>2019-03-01 15:05:29</t>
        </is>
      </c>
      <c r="H6222" t="inlineStr">
        <is>
          <t>Type 1</t>
        </is>
      </c>
    </row>
    <row r="6223">
      <c r="A6223" t="inlineStr">
        <is>
          <t>awjiu6</t>
        </is>
      </c>
      <c r="B6223" t="inlineStr">
        <is>
          <t>Diabetes is the thorn in my side</t>
        </is>
      </c>
      <c r="C6223" t="inlineStr">
        <is>
          <t>For me, it's not that hard. Taking care of myself, that is. My blood sugars are under control. Sure, there are highs and lows. But for the most part, my sugars are above 90 and below 150. 
I work out daily -- weight lifting and bodyweight exercises. Ride my bike daily as well, around half an hour a day. Because of this, my blood sugars are great most of the time. I'm not on a diet, I eat whatever the hell I want, but I try to eat as healthy as possible. I don't eat junk food often. My A1C was around 6.0, last time I got it checked. I don't go to the endocrinologist as often as I should, but I am always in control. So with regards to my health, I am managing just fine.
The hard part is that the diabetes is always there. You can't ignore it. It's always in the back of my mind, and when I have a low or a high, it's at the front of my mind. It will always be there. There will never be a cure, not in my lifetime, I'm sure.
And then there's the social stigma. Whenever you mention to someone that you have diabetes, they'll always react the same way. "Ohh... I didn't know..." and then nervously glance away. Or they will say that it's all good, but you that they will see you as weaker than them, even if only subconsciously. That's why I don't tell many people that I'm diabetic.
And of course there are the people that act like they know anything about diabetes. "I eat so and so, but I don't know if *you* should, because of your diabetes." I don't have to go into detail because every diabetic knows someone like this.
I'm not gonna make you all read my life story so I'll cut this short. Basically, diabetes is the thorn in my side. I'll never be "normal", no matter how hard I convince myself that I can be like everyone else. Because I can't eat anything without taking a shot. I can't go to sleep without taking a shot. I can't go on a long hike or a long bike ride or do an intense workout without worrying about my blood sugar. I can't go anywhere without some sort of sugar on me. I can't travel without taking a bunch of medication and supplies. I'm always going to be seen as weaker, as lesser than a normal person.
But hey, 5 more years until a cure, am I right?</t>
        </is>
      </c>
      <c r="D6223" t="n">
        <v>132</v>
      </c>
      <c r="E6223" t="n">
        <v>38</v>
      </c>
      <c r="F6223">
        <f>HYPERLINK("https://www.reddit.com/r/diabetes/comments/awjiu6/diabetes_is_the_thorn_in_my_side/")</f>
        <v/>
      </c>
      <c r="G6223" t="inlineStr">
        <is>
          <t>2019-03-02 08:41:34</t>
        </is>
      </c>
      <c r="H6223" t="inlineStr">
        <is>
          <t>Type 1</t>
        </is>
      </c>
    </row>
    <row r="6224">
      <c r="A6224" t="inlineStr">
        <is>
          <t>awltbl</t>
        </is>
      </c>
      <c r="B6224" t="inlineStr">
        <is>
          <t>(T2/T1) Eating habits survey, 4 minutes</t>
        </is>
      </c>
      <c r="C6224" t="inlineStr">
        <is>
          <t>Hi Everyone,
&amp;amp;#x200B;
I'm collecting data about how close or far the diabetes patients eating habits are from the WHO recommendations. The survey's target are mostly type 2 diabetes patients, however answers from type 1 patients will also be very helpful.
&amp;amp;#x200B;
Since there's no compensation (I'm just a student - I can't even pay with dank memes, according to /r/Diabetes discord their quality is too low), I made sure to make the survey as short as possible. There's 26 closed-ended questions and one open-ended ("How long have you had diabetes?"). Estimated time for survey completion is four minutes (tested on a friend).
&amp;amp;#x200B;
The direct benefit for /r/Diabetes community is rather neglectable if any at all. I could come back after collecting some results and comment on the awareness and WHO compliance here for the more direct benefit, but I think you already know everything you needed to at this point and need no further guidance. Still, if that's desirable, let me know.
&amp;amp;#x200B;
Link to the survey: [https://www.survio.com/survey/d/O6M3Q6P5Z9C5G0E1N](https://www.survio.com/survey/d/O6M3Q6P5Z9C5G0E1N)
&amp;amp;#x200B;
Thank you for your time.</t>
        </is>
      </c>
      <c r="D6224" t="n">
        <v>2</v>
      </c>
      <c r="E6224" t="n">
        <v>8</v>
      </c>
      <c r="F6224">
        <f>HYPERLINK("https://www.reddit.com/r/diabetes/comments/awltbl/t2t1_eating_habits_survey_4_minutes/")</f>
        <v/>
      </c>
      <c r="G6224" t="inlineStr">
        <is>
          <t>2019-03-02 12:15:18</t>
        </is>
      </c>
      <c r="H6224" t="inlineStr">
        <is>
          <t>Type 2</t>
        </is>
      </c>
    </row>
    <row r="6225">
      <c r="A6225" t="inlineStr">
        <is>
          <t>awlvel</t>
        </is>
      </c>
      <c r="B6225" t="inlineStr">
        <is>
          <t>Pertruding stomach/bloating after every single meal</t>
        </is>
      </c>
      <c r="C6225" t="inlineStr">
        <is>
          <t>Any one else have this problem? It doesnt even seem to matter what i eat</t>
        </is>
      </c>
      <c r="D6225" t="n">
        <v>7</v>
      </c>
      <c r="E6225" t="n">
        <v>9</v>
      </c>
      <c r="F6225">
        <f>HYPERLINK("https://www.reddit.com/r/diabetes/comments/awlvel/pertruding_stomachbloating_after_every_single_meal/")</f>
        <v/>
      </c>
      <c r="G6225" t="inlineStr">
        <is>
          <t>2019-03-02 12:20:53</t>
        </is>
      </c>
      <c r="H6225" t="inlineStr">
        <is>
          <t>Type 1</t>
        </is>
      </c>
    </row>
    <row r="6226">
      <c r="A6226" t="inlineStr">
        <is>
          <t>awr51g</t>
        </is>
      </c>
      <c r="B6226" t="inlineStr">
        <is>
          <t>New Dexcom G6 User</t>
        </is>
      </c>
      <c r="C6226" t="inlineStr">
        <is>
          <t xml:space="preserve">Hi everyone! 
I made a post a few weeks ago asking for help in deciding which pump I should get, and I decided to go with the Tandem T-Slim and the Dexcom G6 monitor. 
I haven’t gotten my pump yet, but I did get my Dexcom supplies. I was told to watch the video tutorial online and I watched it several times, but I guess I’m just overwhelmed. 
Should I wait until I also have my pump to set it up? Did any of you feel overwhelmed when you first got your G6? Did you find any other resources that provided you with comfort/advice as you used it? 
Like I said in my other post, my exposure to other type one diabetics is extremely limited, so I really appreciate any and all advice. My doctor has only ever used Medtronic pumps, so he’s out of his element when it comes to G6, and is doing his best to learn this along side me. I would love any advice, resources, or encouragement y’all would be willing to offer me as I begin this new journey! 
Thanks in advance! And, thank you if you commented on my last post! I really appreciated all of the suggestions! </t>
        </is>
      </c>
      <c r="D6226" t="n">
        <v>3</v>
      </c>
      <c r="E6226" t="n">
        <v>9</v>
      </c>
      <c r="F6226">
        <f>HYPERLINK("https://www.reddit.com/r/diabetes/comments/awr51g/new_dexcom_g6_user/")</f>
        <v/>
      </c>
      <c r="G6226" t="inlineStr">
        <is>
          <t>2019-03-02 21:51:45</t>
        </is>
      </c>
      <c r="H6226" t="inlineStr">
        <is>
          <t>Type 1</t>
        </is>
      </c>
    </row>
    <row r="6227">
      <c r="A6227" t="inlineStr">
        <is>
          <t>awvi5w</t>
        </is>
      </c>
      <c r="B6227" t="inlineStr">
        <is>
          <t>My attempt at the Newcastle Diet</t>
        </is>
      </c>
      <c r="C6227" t="inlineStr">
        <is>
          <t>I'm just starting into my 3rd week of the Newcastle diet and thought I'd share my experience to date.
In my own case, I was daiagnosed as T2 at 26 while very fit and active. Was dignosed by fluke really.
Treated as such for 10yrs before a change of Endo led to a discussion of LADA and a type 1.5 diagnosis and the start of a basal insulin dose for the last 3 years.
It is a combination of impending middle age, reliance on more and more insulin for maintenance of control rather than improving it that have led me to wanting to actually drive a change.
The onset of early diabetes complications in particular retinopathy all led to me deciding that rather than just carry on with the status quo, that I'd give the NC diet a try.
Last Sunday was my 1st day in 3 years without a basal insulin dose!
Over the course of  previous 2 weeks of calorie restriction my basal has reduced from a steady 32 units of Lantus, to last Sunday's being none and that has continued at 0 for the week and hopefully will be sustained  
At my peak my basal was 60units and I'd always worked hard to keep it low as the side effects of too much insulin with weight gain and so on aren't great for any co-morbidity.
Prior to starting this diet my usual regime would be 32units Lantus at night and a morning BG of @7.5
I'm down @5kg since starting so @4%, but weight isn't a primary factor for me in this.
My aim is to reduce my insulin dependence and improve my overall insulin response and health and to date, I'm very surprised and bloody delighted too!
The latest models/theories of Diabetes diagnosis and treatment are to my mind pointing more and more towards a spectrum of diabetes with particular regard to Type 2 and Insulin resistance.
It's still early days and I have @ 6weeks to go before I'm done with the calorie restriction, but I'm very pleased with the progress to date.
There is definitely some potential improvement to be gained and hopefully maintained.</t>
        </is>
      </c>
      <c r="D6227" t="n">
        <v>1</v>
      </c>
      <c r="E6227" t="n">
        <v>11</v>
      </c>
      <c r="F6227">
        <f>HYPERLINK("https://www.reddit.com/r/diabetes/comments/awvi5w/my_attempt_at_the_newcastle_diet/")</f>
        <v/>
      </c>
      <c r="G6227" t="inlineStr">
        <is>
          <t>2019-03-03 08:23:51</t>
        </is>
      </c>
      <c r="H6227" t="inlineStr">
        <is>
          <t>Type 1.5/LADA</t>
        </is>
      </c>
    </row>
    <row r="6228">
      <c r="A6228" t="inlineStr">
        <is>
          <t>awxu7e</t>
        </is>
      </c>
      <c r="B6228" t="inlineStr">
        <is>
          <t>Free Cleo infusion sets and Animus 2.0 mL reservoirs</t>
        </is>
      </c>
      <c r="C6228" t="inlineStr">
        <is>
          <t>If anyone can use Cleo infusion sets and Animus 2.0 mL reservoirs let me know.
I have lots of extra sets.
Hate to throw them out.
&amp;amp;#x200B;
&amp;amp;#x200B;</t>
        </is>
      </c>
      <c r="D6228" t="n">
        <v>2</v>
      </c>
      <c r="E6228" t="n">
        <v>0</v>
      </c>
      <c r="F6228">
        <f>HYPERLINK("https://www.reddit.com/r/diabetes/comments/awxu7e/free_cleo_infusion_sets_and_animus_20_ml/")</f>
        <v/>
      </c>
      <c r="G6228" t="inlineStr">
        <is>
          <t>2019-03-03 11:58:54</t>
        </is>
      </c>
      <c r="H6228" t="inlineStr">
        <is>
          <t>Type 1</t>
        </is>
      </c>
    </row>
    <row r="6229">
      <c r="A6229" t="inlineStr">
        <is>
          <t>ax1db5</t>
        </is>
      </c>
      <c r="B6229" t="inlineStr">
        <is>
          <t>[F25] Diabetes Type 2 and Keto = Low Blood Sugar</t>
        </is>
      </c>
      <c r="C6229" t="inlineStr">
        <is>
          <t xml:space="preserve">Hello! This is my first post, so I do apologize if I don’t fit the rules or the format, but I did want to mention my journey with Keto.
I’m F, 25, 115lbs. I was diagnosed with Type 2 three years ago with my A1C being 11. My first and a half year I was taking really good care of myself, even lowered my A1C to 7.2. 
I am prescribed with Invokana 100mg &amp;amp; Glipizide 20mg daily. 
For whatever reason, I stopped taking my medicine consistently about a year ago, ate all I wanted, and haven’t been to the doctor since. Bad and irresponsible, I know.
After realizing if I don’t take care of myself, no one else will, I’ve decided to continue with my medication and eat healthy. After doing a little bit of research, Ketogenic Diet came up, so I decided to give it a try.
I started it on Monday, Feb 18. I woke up with a blood glucose of 286mg/dL. It then has lowered A LOT.
2/18, 5:25am - 286mg/dL
2/19, 5:20am - 235mg/dL
2/20, 6:30am - 114mg/dL
2/21, 6:15am - 85mg/dL
2/22, 5:05am - 56mg/dL
2/23, 7:00am - 68mg/dL
2/24, 11:10am - 69mg/dL
2/25, 5:00pm - 60mg/dL
2/26, 6:30am - 89mg/dL
2/27, 5:30am - 99mg/dL
2/28, 5:20am - 73mg/dL
3/1, 5:20am - 86mg/dL
3/2, 10:00am - 66mg/dL
3/3, 9:20am - 61mg/dL
My fasting blood glucose has been VERY low since eating low carb, therefore I’m not being as strict with Keto and I’m eating a chocolate here and there to raise my sugar a little bit. 2 months ago, my blood sugar was never under 200mg/dL. Now, when I wake up, it’s never over 100. I started Keto to control my blood sugar, not lose weight. My ultimate goal is go to the doctor in 3 months to get my A1C checked and hopefully get my medicine dosis reduced or ultimately removed. I’m trying not to worry too much about the low numbers since I feel like my body is getting used to eating low carb, but has anyone experienced this before?
Any opinions, concerns, tips is greatly appreciated.
Thank you!
</t>
        </is>
      </c>
      <c r="D6229" t="n">
        <v>5</v>
      </c>
      <c r="E6229" t="n">
        <v>6</v>
      </c>
      <c r="F6229">
        <f>HYPERLINK("https://www.reddit.com/r/diabetes/comments/ax1db5/f25_diabetes_type_2_and_keto_low_blood_sugar/")</f>
        <v/>
      </c>
      <c r="G6229" t="inlineStr">
        <is>
          <t>2019-03-03 17:43:09</t>
        </is>
      </c>
      <c r="H6229" t="inlineStr">
        <is>
          <t>Type 2</t>
        </is>
      </c>
    </row>
    <row r="6230">
      <c r="A6230" t="inlineStr">
        <is>
          <t>axatis</t>
        </is>
      </c>
      <c r="B6230" t="inlineStr">
        <is>
          <t>Small victory, but a victory nonetheless</t>
        </is>
      </c>
      <c r="C6230" t="inlineStr">
        <is>
          <t>This is in no way a brag, but more so a victory--especially coming from a lifelong diabetic, and one who hasn't really taken good care of myself recently. About me: been on a pump since first grade, I was in the clinical trials to get CGM's approved for &amp;lt; 18y/o's, and generally healthy.
&amp;amp;#x200B;
My parents made sure that i was on top of everything for most of my school career, up until the second half of high school. It's not that they stopped trying, its that i stopped listening. My A1C's skyrocketed, usually in the 10's never below 9. My doctor threatened  to take away my pump, and my poor, poor parents were struggling to find ways to make me realize that this was my health. This was my future. Stop. F'ing. it . up.  I guess i was just lucky that something didn't happen.
&amp;amp;#x200B;
Things certainly didn't get any better when i went off to college, more of the same, just with the addition of liquor and junk food. Again, i guess i'm just lucky that nothing bad happened. 
&amp;amp;#x200B;
Flash forward a couple years, onto my second job post grad, and I'm extremely lucky and grateful to have excellent health care. My minimed 530G and its god-awful CGM is going out of warranty, and its time for me to start pump shopping. Im stuck between the 670, and the t:slim X2. I went with the x2, and im so happy that i did--mostly because of the G6 that came with it. Now i've done a complete 180--I'm constantly checking my phone for my BG. If it goes even close to the upper bound of "in range," i start correcting, and the same goes for the opposite direction. 
&amp;amp;#x200B;
Last week I went to my PCP to get a physical, and they ran some labs. A couple days later, I get an email: "Your A1C indicates pre-diabetes, please schedule another visit to discuss this."  I had to read it a couple times. Clearly, he didn't read my chart before looking at the lab results, and saw an A1C of 5.7, and just fired off the email.
&amp;amp;#x200B;
 5.7. Good LORD i've never had an A1C this low. I couldn't stop laughing--I emailed back "nope, just regular old Type 1 Diabetes diagnosed 22 years ago lol. Do i still need an appointment? :D"
&amp;amp;#x200B;
This doesn't mean i don't have "rollercoaster" days, we all do :) (see attached pic lol)
&amp;amp;#x200B;
If you're struggling to get your A1C under control, don't give up. It's certainly not going to be easy, but its definitely attainable. PM me if you have any questions :D</t>
        </is>
      </c>
      <c r="D6230" t="n">
        <v>21</v>
      </c>
      <c r="E6230" t="n">
        <v>11</v>
      </c>
      <c r="F6230">
        <f>HYPERLINK("https://www.reddit.com/r/diabetes/comments/axatis/small_victory_but_a_victory_nonetheless/")</f>
        <v/>
      </c>
      <c r="G6230" t="inlineStr">
        <is>
          <t>2019-03-04 10:57:44</t>
        </is>
      </c>
      <c r="H6230" t="inlineStr">
        <is>
          <t>Type 1</t>
        </is>
      </c>
    </row>
    <row r="6231">
      <c r="A6231" t="inlineStr">
        <is>
          <t>axcqqp</t>
        </is>
      </c>
      <c r="B6231" t="inlineStr">
        <is>
          <t>Are hives fairly normal for a T1D? (parent of T1D)</t>
        </is>
      </c>
      <c r="C6231" t="inlineStr">
        <is>
          <t>I'm the father of a 5 year old with T1D.  He was diagnosed last May.  The last week has been a roller coaster.  Unusual highs, breaking out in hives daily (treated with benadryll), and one episode of vomiting at school.  My wife and I are at a loss.  There have been no changes in diet.  No environmental changes that we can figure out.  We even re-washed all his clothing and bedding just in case something got on his stuff.  The pediatrician has no ideas and just says to keep giving me the anti-histamine.  The endo has advised to continue doing our normal routine and correct for the highs as they come.  Anyone else run into this type of thing?  Is this just the kind of thing that we should expect with common illnesses?  Any advice would be appreciated.</t>
        </is>
      </c>
      <c r="D6231" t="n">
        <v>2</v>
      </c>
      <c r="E6231" t="n">
        <v>9</v>
      </c>
      <c r="F6231">
        <f>HYPERLINK("https://www.reddit.com/r/diabetes/comments/axcqqp/are_hives_fairly_normal_for_a_t1d_parent_of_t1d/")</f>
        <v/>
      </c>
      <c r="G6231" t="inlineStr">
        <is>
          <t>2019-03-04 13:37:09</t>
        </is>
      </c>
      <c r="H6231" t="inlineStr">
        <is>
          <t>Type 1</t>
        </is>
      </c>
    </row>
    <row r="6232">
      <c r="A6232" t="inlineStr">
        <is>
          <t>axd3bd</t>
        </is>
      </c>
      <c r="B6232" t="inlineStr">
        <is>
          <t>Are there any plasma centers that accept type one diabetics?</t>
        </is>
      </c>
      <c r="C6232" t="inlineStr">
        <is>
          <t>Today was a really bad day. My mom drove over 60 miles to take me to a plasma donor center (she wouldn’t let me go alone my first time) because I’m really struggling to pay for college and because these places “can’t say over the phone” if they let type one diabetics donate, you have to go there to see if you’re eligible. I went to two different places and was rejected both times. To make matters worse, my mom got a parking ticket because she was two minutes late to refill the meter and unleashed all her anger out on me.
I live in Los Angeles, California. Are there really no places where diabetics can give plasma? Should we have to lie about it because there aren’t any additional health risks involved as long as your blood sugar is controlled?</t>
        </is>
      </c>
      <c r="D6232" t="n">
        <v>1</v>
      </c>
      <c r="E6232" t="n">
        <v>1</v>
      </c>
      <c r="F6232">
        <f>HYPERLINK("https://www.reddit.com/r/diabetes/comments/axd3bd/are_there_any_plasma_centers_that_accept_type_one/")</f>
        <v/>
      </c>
      <c r="G6232" t="inlineStr">
        <is>
          <t>2019-03-04 14:07:11</t>
        </is>
      </c>
      <c r="H6232" t="inlineStr">
        <is>
          <t>Type 1</t>
        </is>
      </c>
    </row>
    <row r="6233">
      <c r="A6233" t="inlineStr">
        <is>
          <t>axec4c</t>
        </is>
      </c>
      <c r="B6233" t="inlineStr">
        <is>
          <t>Having ketones</t>
        </is>
      </c>
      <c r="C6233" t="inlineStr">
        <is>
          <t>T1D'er here…
I often have ketones and was wondering if other people with T1D do as well. My levels are great and I'm keeping well hydrated. I'm not losing weight but I'm not gaining either. I feel great, but I'm wondering if it's healthy to continually have "Moderate" amount of ketones. My endo says it's fine as long as I feel good. 
&amp;amp;#x200B;
**T1D LADA - Honeymoon - Omnipod - G6**</t>
        </is>
      </c>
      <c r="D6233" t="n">
        <v>2</v>
      </c>
      <c r="E6233" t="n">
        <v>6</v>
      </c>
      <c r="F6233">
        <f>HYPERLINK("https://www.reddit.com/r/diabetes/comments/axec4c/having_ketones/")</f>
        <v/>
      </c>
      <c r="G6233" t="inlineStr">
        <is>
          <t>2019-03-04 16:00:19</t>
        </is>
      </c>
      <c r="H6233" t="inlineStr">
        <is>
          <t>Type 1.5/LADA</t>
        </is>
      </c>
    </row>
    <row r="6234">
      <c r="A6234" t="inlineStr">
        <is>
          <t>axfsn5</t>
        </is>
      </c>
      <c r="B6234" t="inlineStr">
        <is>
          <t>What to do when you have the stomach flu</t>
        </is>
      </c>
      <c r="C6234" t="inlineStr">
        <is>
          <t>I’ve been in denial about my diabetes forever so I’ve never learned how to manage it. I’m down with a stomach flu now and imagine that part of my crummy feeling is because I haven’t eaten anything all day. Of course, I also feel like I can’t eat anything. 
Any tips on stomach friendly diabetes friendly foods?</t>
        </is>
      </c>
      <c r="D6234" t="n">
        <v>2</v>
      </c>
      <c r="E6234" t="n">
        <v>9</v>
      </c>
      <c r="F6234">
        <f>HYPERLINK("https://www.reddit.com/r/diabetes/comments/axfsn5/what_to_do_when_you_have_the_stomach_flu/")</f>
        <v/>
      </c>
      <c r="G6234" t="inlineStr">
        <is>
          <t>2019-03-04 18:22:09</t>
        </is>
      </c>
      <c r="H6234" t="inlineStr">
        <is>
          <t>Type 2</t>
        </is>
      </c>
    </row>
    <row r="6235">
      <c r="A6235" t="inlineStr">
        <is>
          <t>axjh5l</t>
        </is>
      </c>
      <c r="B6235" t="inlineStr">
        <is>
          <t>Summer Hiking and Climbing in the US with Project 50-IN-50</t>
        </is>
      </c>
      <c r="C6235" t="inlineStr">
        <is>
          <t xml:space="preserve">Hey ya'll, 
I went ahead and checked with the moderators to see if this was okay to post and they gave me the thumbs up.
My name is Michael and this summer, myself and a fellow T1D are attempted to summit the 50 US State High Points in 50 days or less. We're doing this to prove that anything is possible with T1D while also encouraging an active outdoor lifestyle. Starting with Denali in Alaska, we'll be flying and road tripping around the US to get to each peak. With us hitting every state we're asking the community to come join us in climbing their local peak. So if you're in the US and would like to come join us for a climb/hike this summer check out our website ([project50in50.org](https://project50in50.org)) to see where and when we're climbing! If you have any questions about the project or how to join, let me know below and I'll be sure to reply. 
Thanks! </t>
        </is>
      </c>
      <c r="D6235" t="n">
        <v>5</v>
      </c>
      <c r="E6235" t="n">
        <v>0</v>
      </c>
      <c r="F6235">
        <f>HYPERLINK("https://www.reddit.com/r/diabetes/comments/axjh5l/summer_hiking_and_climbing_in_the_us_with_project/")</f>
        <v/>
      </c>
      <c r="G6235" t="inlineStr">
        <is>
          <t>2019-03-05 01:57:22</t>
        </is>
      </c>
      <c r="H6235" t="inlineStr">
        <is>
          <t>Type 1</t>
        </is>
      </c>
    </row>
    <row r="6236">
      <c r="A6236" t="inlineStr">
        <is>
          <t>axk8r4</t>
        </is>
      </c>
      <c r="B6236" t="inlineStr">
        <is>
          <t>Two lows in one night after drinking whiskey</t>
        </is>
      </c>
      <c r="C6236" t="inlineStr">
        <is>
          <t>Normally I don't drink much besides an occasional glass of wine. But I have started drinking whiskey lately, not too much, just a small glass or two. I guess I need to be more careful with this stuff, because last night I had two lows -- my blood sugar was 28 the first time I checked and the second time I just didn't check, and ate some chocolate.
Actually, when I checked before bed my blood sugar was 56 and I thought I ate enough to bring it back up, but damn, this whiskey is unpredictable. Anyone else had this happen to them? I find a glass of wine stabilizes my blood sugar, but even multiple glasses of wine don't bring me down *that* low.</t>
        </is>
      </c>
      <c r="D6236" t="n">
        <v>4</v>
      </c>
      <c r="E6236" t="n">
        <v>10</v>
      </c>
      <c r="F6236">
        <f>HYPERLINK("https://www.reddit.com/r/diabetes/comments/axk8r4/two_lows_in_one_night_after_drinking_whiskey/")</f>
        <v/>
      </c>
      <c r="G6236" t="inlineStr">
        <is>
          <t>2019-03-05 03:42:51</t>
        </is>
      </c>
      <c r="H6236" t="inlineStr">
        <is>
          <t>Type 1</t>
        </is>
      </c>
    </row>
    <row r="6237">
      <c r="A6237" t="inlineStr">
        <is>
          <t>axkwo9</t>
        </is>
      </c>
      <c r="B6237" t="inlineStr">
        <is>
          <t>When did you start using short acting insulin?</t>
        </is>
      </c>
      <c r="C6237" t="inlineStr">
        <is>
          <t xml:space="preserve"> Diagnosed T1 about two years ago, have had some interesting challenges because I was diagnosed at the same time I had gastric sleeve surgery. I've been honeymooning, but it's slowly creeping up. I've been doing 15u of Basaglar before bed, but haven't needed to use any short acting so far. So, just wondering... at what point do you start routinely doing short acting for carb coverage or corrections? I seem to be going up between 300-400 a lot. I have an appt with my endo in May, but just trying to prepare myself for what the future may hold. TIA! </t>
        </is>
      </c>
      <c r="D6237" t="n">
        <v>2</v>
      </c>
      <c r="E6237" t="n">
        <v>14</v>
      </c>
      <c r="F6237">
        <f>HYPERLINK("https://www.reddit.com/r/diabetes/comments/axkwo9/when_did_you_start_using_short_acting_insulin/")</f>
        <v/>
      </c>
      <c r="G6237" t="inlineStr">
        <is>
          <t>2019-03-05 05:01:36</t>
        </is>
      </c>
      <c r="H6237" t="inlineStr">
        <is>
          <t>Type 1.5/LADA</t>
        </is>
      </c>
    </row>
    <row r="6238">
      <c r="A6238" t="inlineStr">
        <is>
          <t>axmpgw</t>
        </is>
      </c>
      <c r="B6238" t="inlineStr">
        <is>
          <t>One Month Diaversy</t>
        </is>
      </c>
      <c r="C6238" t="inlineStr">
        <is>
          <t>A month ago I was delivered my diagnosis of diabetes.  It was shocking, scary, depressing, drove anger and rage, but I didn't let these feelings consume me.  Instead, I got motivated to not let this disease rule me, rather suppress it and not let it take hold of my life.  The day I got the call, I immediately started monitoring my blood sugar.  I was in the low 200's.  I started Keto the very next day.  I was prescribed Metformin.  I have been reading and obtaining as much knowledge as I can on this disease.  I upped my CrossFit attendance and intensity and on days that I can't make it, at least go for a 2 mile or so walk with the dog (she's too old to run now).  
I am happy to say in one short month, I have made great improvements.  I stopped taking Metformin a week ago (and my resting heart rate is normal again).  I check sugar probably overly obsessively, but its working... most of the time am below 120 with a few spikes here and there, but in the 150's.   Still trying to figure out a few tweaks to diet to get even lower.  I can't wait to get my next A1C.  The original reason I had went to the doctor was because my blood pressure had been running high (150's/90's).  This too has been fixed, as it was a symptom of the diabetes and I am now back to the 120's/80's (without taking the BP meds).
Stay motivated people!  Thanks to everyone on here who's posts I've read to also give me tips, pointers, etc.</t>
        </is>
      </c>
      <c r="D6238" t="n">
        <v>4</v>
      </c>
      <c r="E6238" t="n">
        <v>2</v>
      </c>
      <c r="F6238">
        <f>HYPERLINK("https://www.reddit.com/r/diabetes/comments/axmpgw/one_month_diaversy/")</f>
        <v/>
      </c>
      <c r="G6238" t="inlineStr">
        <is>
          <t>2019-03-05 08:01:12</t>
        </is>
      </c>
      <c r="H6238" t="inlineStr">
        <is>
          <t>Type 2</t>
        </is>
      </c>
    </row>
    <row r="6239">
      <c r="A6239" t="inlineStr">
        <is>
          <t>axptlr</t>
        </is>
      </c>
      <c r="B6239" t="inlineStr">
        <is>
          <t>The effects of zinc/magnesium on BG</t>
        </is>
      </c>
      <c r="C6239" t="inlineStr">
        <is>
          <t>Does anyone know if the effects of zinc+magnesium has on BG levels?
So I’m a T2 for about a year. 
When I was diagnosed, I was also diagnosed with low testosterone.   I’m male.  So in addition to a low carb diet and exercise, I looked at how I could raise my testosterone levels.  And one of the things I read was to take vitamin D3, along with zinc+magnesium.  I did this for most of the last year.  And my BG numbers were great.  But around December I stopped taking the zinc+magnesium, because my testosterone numbers were back to normal.     Around the same time I noticed my morning (fasting) BG levels started to creep upwards. My diet had slipped a bit, and I stopped doing heavy weight exercises in January- I cracked some ribs when I fell on the ice.  So I just chalked it up to higher carb diet and not exercising.  
I started exercising again, but my fasting numbers were still high.  Then about 2 weeks ago I started taking the zinc+magnesium again.  And my fasting numbers went right back down to normal (non-diabetic) within a day or two. 
Does anyone know of a correlation between zinc+magnesium and better BG control?   I’ve been googling, but haven’t really found too much. Anyone have any personal experience with this?</t>
        </is>
      </c>
      <c r="D6239" t="n">
        <v>3</v>
      </c>
      <c r="E6239" t="n">
        <v>2</v>
      </c>
      <c r="F6239">
        <f>HYPERLINK("https://www.reddit.com/r/diabetes/comments/axptlr/the_effects_of_zincmagnesium_on_bg/")</f>
        <v/>
      </c>
      <c r="G6239" t="inlineStr">
        <is>
          <t>2019-03-05 12:31:02</t>
        </is>
      </c>
      <c r="H6239" t="inlineStr">
        <is>
          <t>Type 2</t>
        </is>
      </c>
    </row>
    <row r="6240">
      <c r="A6240" t="inlineStr">
        <is>
          <t>axqtm7</t>
        </is>
      </c>
      <c r="B6240" t="inlineStr">
        <is>
          <t>Today was rough and I’m not sure how to handle being officially diabetic.</t>
        </is>
      </c>
      <c r="C6240" t="inlineStr">
        <is>
          <t>I’m actually horrified and I feel like my world is crashing around me. No one outside of my best friend was there for me today but she didn’t really console as much I needed. I’m scared of this being more then I can handle since I have severe depression and anxiety on top of it. 
My doctor read my results and basically made me feel like shit for the entirety of the visit. I had no idea I’d be talked down in such a manor. I understood my diagnosis, i didn’t need it simplified to “no bread, rice or starch” and repeated ad nauseam. I’m 24 years old, I’m not a fucking child. 
I was nearly bawling my eyes out with all this. I was trying so fucking hard to do better with my weight. And the worse part is I’ve been losing weight steadily by eating better and doing intermittent fasting! But I guess it’s not enough.
I’m at loss and I have to pick up my prescriptions in a bit. Not looking forward to having to check my blood sugar constantly. 
Please tell me this gets better because my life is already shit as it is.</t>
        </is>
      </c>
      <c r="D6240" t="n">
        <v>9</v>
      </c>
      <c r="E6240" t="n">
        <v>18</v>
      </c>
      <c r="F6240">
        <f>HYPERLINK("https://www.reddit.com/r/diabetes/comments/axqtm7/today_was_rough_and_im_not_sure_how_to_handle/")</f>
        <v/>
      </c>
      <c r="G6240" t="inlineStr">
        <is>
          <t>2019-03-05 13:58:56</t>
        </is>
      </c>
      <c r="H6240" t="inlineStr">
        <is>
          <t>Type 2</t>
        </is>
      </c>
    </row>
    <row r="6241">
      <c r="A6241" t="inlineStr">
        <is>
          <t>axt6b7</t>
        </is>
      </c>
      <c r="B6241" t="inlineStr">
        <is>
          <t>670G CGM + pump vacations?</t>
        </is>
      </c>
      <c r="C6241" t="inlineStr">
        <is>
          <t>I'm going to be getting a new pump soon and it's between the 670G and Tandem t:Slim X2 + Dexcom G6.  I'm currently an animas ping user and have a Dexcom G6 (and it's awesome).  
I take a lot of pump vacations and the G6 is great because it "talks" to so many devices. I'm able to seamlessly switch from a pump to MDI and back while using the G6 and I believe that will be the case with the Tandem.  I should be able to connect whatever receiver i want to use without changing the G6 sensor session.
Does the 670G CGM work without the pump?  I believe it doesn't as it uses the "guardian link" transmitter that only talks to the pump.  I know that there's also a "Guardian Connect" transmitter that only works with a few select phones and not a pump.  Can you switch back and forth from the guardian link to guardian connect and back on the same sensor session?  Anyone have both the link and connect?
&amp;amp;#x200B;
TLDR: Does anyone here have a 670G and take pump vacations while also being able to somehow use the CGM?</t>
        </is>
      </c>
      <c r="D6241" t="n">
        <v>3</v>
      </c>
      <c r="E6241" t="n">
        <v>1</v>
      </c>
      <c r="F6241">
        <f>HYPERLINK("https://www.reddit.com/r/diabetes/comments/axt6b7/670g_cgm_pump_vacations/")</f>
        <v/>
      </c>
      <c r="G6241" t="inlineStr">
        <is>
          <t>2019-03-05 17:47:24</t>
        </is>
      </c>
      <c r="H6241" t="inlineStr">
        <is>
          <t>Type 1</t>
        </is>
      </c>
    </row>
    <row r="6242">
      <c r="A6242" t="inlineStr">
        <is>
          <t>axtlmg</t>
        </is>
      </c>
      <c r="B6242" t="inlineStr">
        <is>
          <t>PhD student needs help ASAP with women of color study</t>
        </is>
      </c>
      <c r="C6242" t="inlineStr">
        <is>
          <t>## Quick Women of Color with Type 2 Diabetes Survey (US 18+)
Hello everyone, I am a phD student who desperately needs help with spreading the word about her survey. I need at least 25O respondents by this Thursday in order for me to have data to analyze and possibly graduate. Could you please spread the word. Please help me possibly graduate this semester. The struggle is real y'all
Please forward this email via your list-serve, or text or tweet the message below, highlighted in yellow! SPREAD THE WORD! THANK YOU! PLEASE HELP
**\*\*\*\*\*\*\*\*\*\*\*\*\*\*\*\*\*\*\*\*\*\*\*\*\*\*\*\*\*\*\*\*\*\*\*\***
**ARE YOU A WOMAN OF COLOR WITH**
**TYPE 2 DIABETES?**
**TAKE A CONFIDENTIAL SURVEY**
**&amp;amp; RATE A VIDEO FOR CHANCE TO WIN $$**
**\*\*\*\*\*\*\*\*\*\*\*\*\*\*\*\*\*\*\*\*\*\*\*\*\*\*\*\*\*\*\*\*\*\*\*\***
**IRB Protocol Number 19-130**
**The Research Group on Disparities in Health within the Department of Health and Behavior Studies at Teachers College, Columbia University, in New York, NY is conducting a study to learn what factors are associated with a higher level of confidence and motivation to perform self-care behaviors to manage type 2 diabetes among women of color; and, to evaluate a new avatar/cartoon video. After watching the video, we are asking you to rate the video and whether or not you recommend it to other women of color with type 2 diabetes.**
**Ø** **Participation in this study is limited to the first 250 volunteers**
**Ø** **Study participation takes about 25-30 minutes**
**Ø** **Those who complete study participation will have a 3 in 250 chance of winning 1 of 3 prizes: a $300, $200 or $100 Amazon gift card**
**Ø** **Please click on the link below to view the informed consent, learn about your rights as a participant and proceed to the survey.**
**Ø** **We also invite you to forward this email to other women of color who are type 2 diabetics—or text message, or tweet them:**
**Go to** [**https://tccolumbia.qualtrics.com/jfe/form/SV\_bggIUHaghUwu8m1**](https://tccolumbia.qualtrics.com/jfe/form/SV_bggIUHaghUwu8m1) **to take the Women of Color Survey on Type 2 Diabetes Self-Care and rate a video for a chance to win a $300, $200 or $100 Amazon gift card**
.
**THANK YOU FOR YOUR PARTICIPATION!**
**CommentShareSave**</t>
        </is>
      </c>
      <c r="D6242" t="n">
        <v>4</v>
      </c>
      <c r="E6242" t="n">
        <v>1</v>
      </c>
      <c r="F6242">
        <f>HYPERLINK("https://www.reddit.com/r/diabetes/comments/axtlmg/phd_student_needs_help_asap_with_women_of_color/")</f>
        <v/>
      </c>
      <c r="G6242" t="inlineStr">
        <is>
          <t>2019-03-05 18:31:07</t>
        </is>
      </c>
      <c r="H6242" t="inlineStr">
        <is>
          <t>Type 2</t>
        </is>
      </c>
    </row>
    <row r="6243">
      <c r="A6243" t="inlineStr">
        <is>
          <t>axtr71</t>
        </is>
      </c>
      <c r="B6243" t="inlineStr">
        <is>
          <t>In denial/rant.</t>
        </is>
      </c>
      <c r="C6243" t="inlineStr">
        <is>
          <t xml:space="preserve">I went to the doctor because I haven't been feeling well lately,  exhausted all the time, weight loss, I have to pee all the time and I can never drink enough. He checked my A1C and ive been sitting between 200 and 300 with finger sticks. then gave me a diagnosis of diabetes. I don't know, I'm really healthy, a vegetarian,  I don't eat too many carbs. I'm a paramedic firefighter and I do a lot to stay on top of my health. I keep thinking that maybe he made a mistake.  That this isn't real, I don't want this. </t>
        </is>
      </c>
      <c r="D6243" t="n">
        <v>2</v>
      </c>
      <c r="E6243" t="n">
        <v>11</v>
      </c>
      <c r="F6243">
        <f>HYPERLINK("https://www.reddit.com/r/diabetes/comments/axtr71/in_denialrant/")</f>
        <v/>
      </c>
      <c r="G6243" t="inlineStr">
        <is>
          <t>2019-03-05 18:47:04</t>
        </is>
      </c>
      <c r="H6243" t="inlineStr">
        <is>
          <t>Type 2</t>
        </is>
      </c>
    </row>
    <row r="6244">
      <c r="A6244" t="inlineStr">
        <is>
          <t>axvmpr</t>
        </is>
      </c>
      <c r="B6244" t="inlineStr">
        <is>
          <t>Metformin + Insulin + Limiting Carbs + Exercise Not Working</t>
        </is>
      </c>
      <c r="C6244" t="inlineStr">
        <is>
          <t xml:space="preserve">My brother was diagnosed with type 2 diabetes last year. He and I are living together for a few months as we're caring for a parent in the hospital.  He's between jobs right now and won't have his new health insurance in place for another 60 days.  Luckily, he has a three month supply of all his medications on hand.  His meds: Metformin ER (four 500mg tablets daily) and injected Insulin pen (which his prior doctor instructed him to take up to 60 mg per day) to get his fasting bs under 100.  They started him on 20 mg of insulin and told him to increase it by 2 mg every 3 days until the fasting bs was below 100.  It took him getting to close to 60 mg to get to that number.  
&amp;amp;#x200B;
He's been diligent about strictly limiting his carb intake -- I've actually been helping him with meal prep every day and he's joining me at the gym 5 days a week for cardio and weights.  He's even lost 20 lbs (despite being on a lot of insulin which, I read, can often cause weight gain).   He could probably stand to lose another 10-15 lbs.  
&amp;amp;#x200B;
It feels like he's doing everything he's supposed to, but while his fasting bs is usually well below 100 now.  His post-meal bs (between 1-2 hours after a meal) ranges from 210-280.  And, again, this is with the strict restriction of carbs.  For example, yesterday, I made a chicken Caesar salad for both of us yesterday.  I had croutons on mine he didn't have any.  Just the romaine lettuce, the zero carb Caesar dressing, lemon juice, a few shaving of parm cheese, a grilled chicken breast, salt &amp;amp; pepper.  f
&amp;amp;#x200B;
Now, his prior doctor, who'd diagnosed type 2 early last Winter, 2018, told him that given how high his A1C etc. were it was likely he'd had diabetes for at least a year -- he'd also been experiencing many of the common symptoms -- heavy thirst, frequent urination, leg cramps for the better part of the year.  All of those symptoms have vanished since he began his treatment in November, but his numbers are still way too high.  And, now, he's experiencing heaviness/numbness/tingling in his feet and legs at night which I know is an early warning sign of potential nerve issues.  
&amp;amp;#x200B;
He'll be seeing his new doctor sometime in early April.  For those who've gone through this -- if Metformin + Insulin + diet and exercise weren't enough, what were the next steps/alternate treatments your doctor put you on?  And, yes, I understand that randos on Reddit aren't a substitute for professional medical advice, but I'd love to hear first-hand from folks for whom the traditional first-line diabetes treatment didn't work, but for whom the second (or third?) things you and your doctor tried did.  </t>
        </is>
      </c>
      <c r="D6244" t="n">
        <v>5</v>
      </c>
      <c r="E6244" t="n">
        <v>8</v>
      </c>
      <c r="F6244">
        <f>HYPERLINK("https://www.reddit.com/r/diabetes/comments/axvmpr/metformin_insulin_limiting_carbs_exercise_not/")</f>
        <v/>
      </c>
      <c r="G6244" t="inlineStr">
        <is>
          <t>2019-03-05 22:18:32</t>
        </is>
      </c>
      <c r="H6244" t="inlineStr">
        <is>
          <t>Type 2</t>
        </is>
      </c>
    </row>
    <row r="6245">
      <c r="A6245" t="inlineStr">
        <is>
          <t>axwh4p</t>
        </is>
      </c>
      <c r="B6245" t="inlineStr">
        <is>
          <t>Working out being T1</t>
        </is>
      </c>
      <c r="C6245" t="inlineStr">
        <is>
          <t>Hello friends! I'm a 26 yo guy with T1 since I was 7. I've recently (slightly more then 2 months) started working out in the gym since I'd like to become "fitter" then I am right now (not that I was in bad shape or anything, just that I can make things better and it's been a long time since I've been involved in sports). 
In thees 2 months I worked pretty hard (I believe), 4 to 5 times a week and tried to lift as much as I can while trying to not get injured and keeping my levels as steady as possible.  
The problem is that I'm not that satisfied with the results I've obtained up to this point. I've gained something, I can see my body has slowly changed, but it feels like this process is really hard and slow. I am not sure whether or not this is standard, if I'm doing something wrong, or if (in any way) diabetes steps in the way and makes things harder for "us".
I've tried and look up for articles and tips about this subject, but it feels like they all come from the "diabetes point of view" rather then from the "workout point of view". They say how to treat your levels, how to deal with insulin, how it effects your insulin sensitivity, yada yada yada. I'd like to know more on what are (if there's any) the main disadvantages of working out being diabetic, how to approach it from a "weight gain" perspective, and things like that.
If there's anybody who is in the same spot as I am, please let me know!  
Cheers</t>
        </is>
      </c>
      <c r="D6245" t="n">
        <v>4</v>
      </c>
      <c r="E6245" t="n">
        <v>11</v>
      </c>
      <c r="F6245">
        <f>HYPERLINK("https://www.reddit.com/r/diabetes/comments/axwh4p/working_out_being_t1/")</f>
        <v/>
      </c>
      <c r="G6245" t="inlineStr">
        <is>
          <t>2019-03-06 00:15:05</t>
        </is>
      </c>
      <c r="H6245" t="inlineStr">
        <is>
          <t>Type 1</t>
        </is>
      </c>
    </row>
    <row r="6246">
      <c r="A6246" t="inlineStr">
        <is>
          <t>axxpta</t>
        </is>
      </c>
      <c r="B6246" t="inlineStr">
        <is>
          <t>I’m so lucky to live in Finland.</t>
        </is>
      </c>
      <c r="C6246" t="inlineStr">
        <is>
          <t>Just found this subreddit, and after reading all americans posts, i realized how lucky i am. In Finland the insulin is free, all the supplies are free ( including freestyle libre) and even the doctor visists dont cost a lot! 
Cant even imagine how hard it is when you have to pay so much for having a shit disease.</t>
        </is>
      </c>
      <c r="D6246" t="n">
        <v>8</v>
      </c>
      <c r="E6246" t="n">
        <v>7</v>
      </c>
      <c r="F6246">
        <f>HYPERLINK("https://www.reddit.com/r/diabetes/comments/axxpta/im_so_lucky_to_live_in_finland/")</f>
        <v/>
      </c>
      <c r="G6246" t="inlineStr">
        <is>
          <t>2019-03-06 03:15:31</t>
        </is>
      </c>
      <c r="H6246" t="inlineStr">
        <is>
          <t>Type 1</t>
        </is>
      </c>
    </row>
    <row r="6247">
      <c r="A6247" t="inlineStr">
        <is>
          <t>axz7hd</t>
        </is>
      </c>
      <c r="B6247" t="inlineStr">
        <is>
          <t>Missed douse question</t>
        </is>
      </c>
      <c r="C6247" t="inlineStr">
        <is>
          <t xml:space="preserve">Hey guys been diabetic for 9-10years (I’m 19 now) and i have almost never in recent memory missed my long term insulin shot (basaglar) But i forgot to do it last night and i realized this morning. So my question is do i take it now and again at the normal time of 6pm. Or do i just waiting it out till my normal time and just keep an eye on my levels. Sorry i know this might kinda be a basic question </t>
        </is>
      </c>
      <c r="D6247" t="n">
        <v>3</v>
      </c>
      <c r="E6247" t="n">
        <v>6</v>
      </c>
      <c r="F6247">
        <f>HYPERLINK("https://www.reddit.com/r/diabetes/comments/axz7hd/missed_douse_question/")</f>
        <v/>
      </c>
      <c r="G6247" t="inlineStr">
        <is>
          <t>2019-03-06 06:08:26</t>
        </is>
      </c>
      <c r="H6247" t="inlineStr">
        <is>
          <t>Type 1</t>
        </is>
      </c>
    </row>
    <row r="6248">
      <c r="A6248" t="inlineStr">
        <is>
          <t>axzeva</t>
        </is>
      </c>
      <c r="B6248" t="inlineStr">
        <is>
          <t>Fixing Libre sensor?</t>
        </is>
      </c>
      <c r="C6248" t="inlineStr">
        <is>
          <t>So, I've applied a new Libre sensor today, used the official reader to start the 1h countdown, and then started using it.
&amp;amp;#x200B;
Guess what, the reader shows LO and the Glimp app on Android shows 1.1 mmol/l.
Manual measurement with my glucometer shows 6.1, and I feel normal.
&amp;amp;#x200B;
What to do about the reader? Are there options to try to "restart" it, or calibrate, or something? Or do I have to send it to Abbott to exchange it for a new one?</t>
        </is>
      </c>
      <c r="D6248" t="n">
        <v>2</v>
      </c>
      <c r="E6248" t="n">
        <v>4</v>
      </c>
      <c r="F6248">
        <f>HYPERLINK("https://www.reddit.com/r/diabetes/comments/axzeva/fixing_libre_sensor/")</f>
        <v/>
      </c>
      <c r="G6248" t="inlineStr">
        <is>
          <t>2019-03-06 06:29:08</t>
        </is>
      </c>
      <c r="H6248" t="inlineStr">
        <is>
          <t>Type 1</t>
        </is>
      </c>
    </row>
    <row r="6249">
      <c r="A6249" t="inlineStr">
        <is>
          <t>ay0te0</t>
        </is>
      </c>
      <c r="B6249" t="inlineStr">
        <is>
          <t>Insulin...you sweet, sweet nectar of energy.</t>
        </is>
      </c>
      <c r="C6249" t="inlineStr">
        <is>
          <t xml:space="preserve">I am very happy today and wanted to share my quick story with you all nice folks. 
I was diagnosed with anywhere from T2 to T1.5 to T1 in October with A1C of 12. I was bouncing between endos who ordered plethora of labs, up until yesterday. 
Yesterday, new endo gave a firm T1 diagnosis based on previous labs, discontinued Metformin and put me on long acting insulin. I have not felt this energized in last 6 months. I was dragging along half dead, despite sleeping normally. I am also on ultra low carb diet which doesn't help anything!
&amp;amp;#x200B;
Anyway, just wanted to share how chipper and more energized I feel today. My diet and sleep hasn't changed, only thing that is changed is the long acting insulin. 
Oh and excellent and most exciting news was my A1C dropped from 12 at diagnosis to 6.2 in January to 4.9! I am over the moon! I know I am in honeymoon stage and it will end some day but I haven't been this hopeful and happy in last 5 months. </t>
        </is>
      </c>
      <c r="D6249" t="n">
        <v>12</v>
      </c>
      <c r="E6249" t="n">
        <v>1</v>
      </c>
      <c r="F6249">
        <f>HYPERLINK("https://www.reddit.com/r/diabetes/comments/ay0te0/insulinyou_sweet_sweet_nectar_of_energy/")</f>
        <v/>
      </c>
      <c r="G6249" t="inlineStr">
        <is>
          <t>2019-03-06 08:38:05</t>
        </is>
      </c>
      <c r="H6249" t="inlineStr">
        <is>
          <t>Type 1</t>
        </is>
      </c>
    </row>
    <row r="6250">
      <c r="A6250" t="inlineStr">
        <is>
          <t>ay1x8y</t>
        </is>
      </c>
      <c r="B6250" t="inlineStr">
        <is>
          <t>Why do lows affect some people more than others?</t>
        </is>
      </c>
      <c r="C6250" t="inlineStr">
        <is>
          <t xml:space="preserve">I was wondering why some people pass out at 40 and some people (like me) are completely conscious at, say, 28. Also, I know that lows have the potential to be dangerous but at what point does it become life-threatening?  My lowest was 28 and I was conscious, but I definitely felt it and I immediately grabbed something with sugar. 
Anyway, if anyone knows the answer to this, I would be grateful. </t>
        </is>
      </c>
      <c r="D6250" t="n">
        <v>7</v>
      </c>
      <c r="E6250" t="n">
        <v>16</v>
      </c>
      <c r="F6250">
        <f>HYPERLINK("https://www.reddit.com/r/diabetes/comments/ay1x8y/why_do_lows_affect_some_people_more_than_others/")</f>
        <v/>
      </c>
      <c r="G6250" t="inlineStr">
        <is>
          <t>2019-03-06 10:13:25</t>
        </is>
      </c>
      <c r="H6250" t="inlineStr">
        <is>
          <t>Type 1</t>
        </is>
      </c>
    </row>
    <row r="6251">
      <c r="A6251" t="inlineStr">
        <is>
          <t>ay73cd</t>
        </is>
      </c>
      <c r="B6251" t="inlineStr">
        <is>
          <t>Sudden unexplained insulin resistance?</t>
        </is>
      </c>
      <c r="C6251" t="inlineStr">
        <is>
          <t>Do you guys ever experience a sudden increase in your body's resistance to insulin?
I have a very regular diet and gym regiment. I have around 110g of carbs a day, and typically use around 15 units of Humalog to deal with it. Today, however, I've used 40 units of Humalog and my sugars are still wildly high (15-20mmol/l). My insulin is also brand new.
This seems to happen to me once every month or so for a few days. Anything like this ever happen to you guys? Any insight would be lovely.</t>
        </is>
      </c>
      <c r="D6251" t="n">
        <v>3</v>
      </c>
      <c r="E6251" t="n">
        <v>8</v>
      </c>
      <c r="F6251">
        <f>HYPERLINK("https://www.reddit.com/r/diabetes/comments/ay73cd/sudden_unexplained_insulin_resistance/")</f>
        <v/>
      </c>
      <c r="G6251" t="inlineStr">
        <is>
          <t>2019-03-06 17:56:33</t>
        </is>
      </c>
      <c r="H6251" t="inlineStr">
        <is>
          <t>Type 1</t>
        </is>
      </c>
    </row>
    <row r="6252">
      <c r="A6252" t="inlineStr">
        <is>
          <t>ay7i7t</t>
        </is>
      </c>
      <c r="B6252" t="inlineStr">
        <is>
          <t>Endo appointment this Friday...</t>
        </is>
      </c>
      <c r="C6252" t="inlineStr">
        <is>
          <t>I just can’t wait to get yelled at for not talking my sugars. /s I wish I could reschedule again but I already did before. 
Also does anyone have any tips on how to always remember to take your sugars 4 times a day?? Anything will help, thanks!</t>
        </is>
      </c>
      <c r="D6252" t="n">
        <v>7</v>
      </c>
      <c r="E6252" t="n">
        <v>8</v>
      </c>
      <c r="F6252">
        <f>HYPERLINK("https://www.reddit.com/r/diabetes/comments/ay7i7t/endo_appointment_this_friday/")</f>
        <v/>
      </c>
      <c r="G6252" t="inlineStr">
        <is>
          <t>2019-03-06 18:37:44</t>
        </is>
      </c>
      <c r="H6252" t="inlineStr">
        <is>
          <t>Type 1</t>
        </is>
      </c>
    </row>
    <row r="6253">
      <c r="A6253" t="inlineStr">
        <is>
          <t>ay8oxp</t>
        </is>
      </c>
      <c r="B6253" t="inlineStr">
        <is>
          <t>Spouse: his first low and testing</t>
        </is>
      </c>
      <c r="C6253" t="inlineStr">
        <is>
          <t xml:space="preserve">Husband’s diabetes got worse a few months ago. He went from just taking Metformin (2000mg) to also taking Glipizide (10mg) daily.
He refused to to testing (denial) but has been excellent at sticking to no sugar very low carb diet. 
Tonight was his first time experience a low. He wasn’t sure what he was feeling so I was annoyingly persistent and we went and got a meter (FINALLY). His blood sugar was at 57 after two rounds of apple juice (4oz) and 4 percent. He had another half glass of juice and now it’s at 64. 
I’m not sure how much juice he should keep having or should he have a snack of some other kind now? This is the part I need guidance on. He wants to go to sleep but at what number is it “safe”.
Thanks all... and have patience with me (and him). He’s finally on board with testing but we both need guidance 😁
</t>
        </is>
      </c>
      <c r="D6253" t="n">
        <v>2</v>
      </c>
      <c r="E6253" t="n">
        <v>16</v>
      </c>
      <c r="F6253">
        <f>HYPERLINK("https://www.reddit.com/r/diabetes/comments/ay8oxp/spouse_his_first_low_and_testing/")</f>
        <v/>
      </c>
      <c r="G6253" t="inlineStr">
        <is>
          <t>2019-03-06 20:46:26</t>
        </is>
      </c>
      <c r="H6253" t="inlineStr">
        <is>
          <t>Type 2</t>
        </is>
      </c>
    </row>
    <row r="6254">
      <c r="A6254" t="inlineStr">
        <is>
          <t>aybaub</t>
        </is>
      </c>
      <c r="B6254" t="inlineStr">
        <is>
          <t>are venoms more dangerosu to a diabetic person than towards a non-diabetic?</t>
        </is>
      </c>
      <c r="C6254" t="inlineStr">
        <is>
          <t>So i enjoy handling snakes but i was wondering if T1 will make the venom more dangerous if i were to get bitten, i've heard that the immunesystem gets worsen but i'm not sure if this affect snakebites and more spesifically hemotoxin?</t>
        </is>
      </c>
      <c r="D6254" t="n">
        <v>3</v>
      </c>
      <c r="E6254" t="n">
        <v>4</v>
      </c>
      <c r="F6254">
        <f>HYPERLINK("https://www.reddit.com/r/diabetes/comments/aybaub/are_venoms_more_dangerosu_to_a_diabetic_person/")</f>
        <v/>
      </c>
      <c r="G6254" t="inlineStr">
        <is>
          <t>2019-03-07 02:44:41</t>
        </is>
      </c>
      <c r="H6254" t="inlineStr">
        <is>
          <t>Type 1</t>
        </is>
      </c>
    </row>
    <row r="6255">
      <c r="A6255" t="inlineStr">
        <is>
          <t>ayboys</t>
        </is>
      </c>
      <c r="B6255" t="inlineStr">
        <is>
          <t>Burned out on school after diagnosis</t>
        </is>
      </c>
      <c r="C6255" t="inlineStr">
        <is>
          <t xml:space="preserve">So i was diagnosed in january this year and well after i got back to school i just cant get good grades anymore i manage my diabetes very well but school just doesnt work anymore has anyone been here? Do you have any tips? My mom is super angry that i dont study enough but i study just as much but im way more distracted and cant focus at all
</t>
        </is>
      </c>
      <c r="D6255" t="n">
        <v>22</v>
      </c>
      <c r="E6255" t="n">
        <v>31</v>
      </c>
      <c r="F6255">
        <f>HYPERLINK("https://www.reddit.com/r/diabetes/comments/ayboys/burned_out_on_school_after_diagnosis/")</f>
        <v/>
      </c>
      <c r="G6255" t="inlineStr">
        <is>
          <t>2019-03-07 03:36:54</t>
        </is>
      </c>
      <c r="H6255" t="inlineStr">
        <is>
          <t>Type 1</t>
        </is>
      </c>
    </row>
    <row r="6256">
      <c r="A6256" t="inlineStr">
        <is>
          <t>ayd3ow</t>
        </is>
      </c>
      <c r="B6256" t="inlineStr">
        <is>
          <t>Hey folks, new Type 2'er here!</t>
        </is>
      </c>
      <c r="C6256" t="inlineStr">
        <is>
          <t>Well, diagnosed yesterday...
&amp;amp;#x200B;
Fasting Glucose at 14.9 and an AC1 of 9.2.  Toss in some high HDL at 7.4 and I've got myself some new pills to take.  \*sigh\*
&amp;amp;#x200B;
I've got about 40lbs I can definately stand to lose... will we working on that as I cut out some carbs!
Back in three months for another blood test.  Doc didn't tell me to monitor during the next three months... You figure he forgot to, or is that not a thing?
&amp;amp;#x200B;
&amp;amp;#x200B;</t>
        </is>
      </c>
      <c r="D6256" t="n">
        <v>9</v>
      </c>
      <c r="E6256" t="n">
        <v>16</v>
      </c>
      <c r="F6256">
        <f>HYPERLINK("https://www.reddit.com/r/diabetes/comments/ayd3ow/hey_folks_new_type_2er_here/")</f>
        <v/>
      </c>
      <c r="G6256" t="inlineStr">
        <is>
          <t>2019-03-07 06:21:12</t>
        </is>
      </c>
      <c r="H6256" t="inlineStr">
        <is>
          <t>Type 2</t>
        </is>
      </c>
    </row>
    <row r="6257">
      <c r="A6257" t="inlineStr">
        <is>
          <t>ayd74v</t>
        </is>
      </c>
      <c r="B6257" t="inlineStr">
        <is>
          <t>Diabetes deciding to be terrible, then getting over it?</t>
        </is>
      </c>
      <c r="C6257" t="inlineStr">
        <is>
          <t>So I've been type one for a little over 5 years now and my a1c's have always been great, if not sliding toward the diabetic side of things. About 3-4 weeks ago, I could not keep a healthy bg for the life of me. I would hope for lows just to get out of the high range (not too astronomical, but consistently 180-260). I adjusted my correction, my ratio, and even my lantus, but it still was high. I haven't really changed much, but a week ago, my diabetes just decided it was over it and went back to normal. I've had like one high since then. I guess I'm asking if anyone knows why it did this/if it happens to anyone else.</t>
        </is>
      </c>
      <c r="D6257" t="n">
        <v>4</v>
      </c>
      <c r="E6257" t="n">
        <v>9</v>
      </c>
      <c r="F6257">
        <f>HYPERLINK("https://www.reddit.com/r/diabetes/comments/ayd74v/diabetes_deciding_to_be_terrible_then_getting/")</f>
        <v/>
      </c>
      <c r="G6257" t="inlineStr">
        <is>
          <t>2019-03-07 06:31:00</t>
        </is>
      </c>
      <c r="H6257" t="inlineStr">
        <is>
          <t>Type 1</t>
        </is>
      </c>
    </row>
    <row r="6258">
      <c r="A6258" t="inlineStr">
        <is>
          <t>ayfh1q</t>
        </is>
      </c>
      <c r="B6258" t="inlineStr">
        <is>
          <t>Numbers and mood swings</t>
        </is>
      </c>
      <c r="C6258" t="inlineStr">
        <is>
          <t>Afternoon chaps,
So for the past several weeks my sugars have been all I’ve  the board while i wait for my dexcom to come in, so I’ve been testing old school like with a finger prick. I took my sugar this morning and it was an astonishing 319- yikes. So i beat it down with insulin and now its a 146.
Normally though when my sugar is high i feel lousy, and when its within range i feel peppy and swell. Now its the opposite. I felt peppy and swell with the high and now that its good i feel like crap. Does anyone else know what thats all about?</t>
        </is>
      </c>
      <c r="D6258" t="n">
        <v>3</v>
      </c>
      <c r="E6258" t="n">
        <v>3</v>
      </c>
      <c r="F6258">
        <f>HYPERLINK("https://www.reddit.com/r/diabetes/comments/ayfh1q/numbers_and_mood_swings/")</f>
        <v/>
      </c>
      <c r="G6258" t="inlineStr">
        <is>
          <t>2019-03-07 09:53:25</t>
        </is>
      </c>
      <c r="H6258" t="inlineStr">
        <is>
          <t>Type 1.5/LADA</t>
        </is>
      </c>
    </row>
    <row r="6259">
      <c r="A6259" t="inlineStr">
        <is>
          <t>ayfjzm</t>
        </is>
      </c>
      <c r="B6259" t="inlineStr">
        <is>
          <t>Recently found out I was misdiagnosed, now T1.5 and new to insulin, advice please!</t>
        </is>
      </c>
      <c r="C6259" t="inlineStr">
        <is>
          <t>So I was told I was a T2 since 2015 and recently I found out I’m actually 1.5. I’m on trulicity and metofrmin and I was on Jardiance, but I was told to stop taking my jardiance and start doing daily treciba . Before I was averaging 145 a day and now I’m usually floating around 170-200 at all times. It’s only been a few days. But I’m a little worried. I was told only take 10 units of treciba, and to bump it up 2 units every 3 days if my numbers where high. Should I keep waiting three days to bump up dosage? Should I really be doing it in such small incriminates? Is it normal to also be on trulicity and metformin with Insulin? I’m just very lost with this whole insulin thing.</t>
        </is>
      </c>
      <c r="D6259" t="n">
        <v>3</v>
      </c>
      <c r="E6259" t="n">
        <v>2</v>
      </c>
      <c r="F6259">
        <f>HYPERLINK("https://www.reddit.com/r/diabetes/comments/ayfjzm/recently_found_out_i_was_misdiagnosed_now_t15_and/")</f>
        <v/>
      </c>
      <c r="G6259" t="inlineStr">
        <is>
          <t>2019-03-07 10:00:20</t>
        </is>
      </c>
      <c r="H6259" t="inlineStr">
        <is>
          <t>Type 1.5/LADA</t>
        </is>
      </c>
    </row>
    <row r="6260">
      <c r="A6260" t="inlineStr">
        <is>
          <t>ayk6k6</t>
        </is>
      </c>
      <c r="B6260" t="inlineStr">
        <is>
          <t>Why do I sweat when my sugar levels are really low</t>
        </is>
      </c>
      <c r="C6260" t="inlineStr">
        <is>
          <t>I’m just being curious.</t>
        </is>
      </c>
      <c r="D6260" t="n">
        <v>10</v>
      </c>
      <c r="E6260" t="n">
        <v>15</v>
      </c>
      <c r="F6260">
        <f>HYPERLINK("https://www.reddit.com/r/diabetes/comments/ayk6k6/why_do_i_sweat_when_my_sugar_levels_are_really_low/")</f>
        <v/>
      </c>
      <c r="G6260" t="inlineStr">
        <is>
          <t>2019-03-07 16:58:06</t>
        </is>
      </c>
      <c r="H6260" t="inlineStr">
        <is>
          <t>Type 1</t>
        </is>
      </c>
    </row>
    <row r="6261">
      <c r="A6261" t="inlineStr">
        <is>
          <t>aykqik</t>
        </is>
      </c>
      <c r="B6261" t="inlineStr">
        <is>
          <t>Type 1 Annoyed with Type 2</t>
        </is>
      </c>
      <c r="C6261" t="inlineStr">
        <is>
          <t xml:space="preserve">So this is a bit of a rant. I welcome harsh criticism. 
&amp;amp;#x200B;
I'm T1 who is ever so slowly figuring it out. I exercise regularly and consciously eat healthy food. I would consider myself to be in exceptional health if not for my diabetes, which is decidedly NOT under control. 
I cannot fathom those who live with Type 2. Why are you not fixing your body, and how the hell did you let this happen to yourself? Am I incorrect in thinking that, with the exceptional of elderly folks, those with Type 2 are those who do not eat properly and/or exercise regularly? I understand this is an oversimplification, but like. You don't HAVE to deal with this illness! You can literally choose to make yourself a person who DOES NOT HAVE DIABETES (I think?). 
As a Type 1 who puts in pounds of effort and is constantly disappointed with the results, the existence of Type 2 is infuriating. Get healthy and stop killing yourself with what is killing me. </t>
        </is>
      </c>
      <c r="D6261" t="n">
        <v>0</v>
      </c>
      <c r="E6261" t="n">
        <v>11</v>
      </c>
      <c r="F6261">
        <f>HYPERLINK("https://www.reddit.com/r/diabetes/comments/aykqik/type_1_annoyed_with_type_2/")</f>
        <v/>
      </c>
      <c r="G6261" t="inlineStr">
        <is>
          <t>2019-03-07 17:57:04</t>
        </is>
      </c>
      <c r="H6261" t="inlineStr">
        <is>
          <t>Type 1</t>
        </is>
      </c>
    </row>
    <row r="6262">
      <c r="A6262" t="inlineStr">
        <is>
          <t>ayl0fc</t>
        </is>
      </c>
      <c r="B6262" t="inlineStr">
        <is>
          <t>Alternate CGM sites</t>
        </is>
      </c>
      <c r="C6262" t="inlineStr">
        <is>
          <t>So I have been pretty much a gym rat for the last couple years, and I recently got a Medtronic Guardian sensor, and while it makes life so much easier, I have trouble keeping it on my abdomen since I use a lifting belt quite frequently that places a lot of pressure on my midsection. Does anyone have any experience using it other places, if so what places tend to work best for you?</t>
        </is>
      </c>
      <c r="D6262" t="n">
        <v>3</v>
      </c>
      <c r="E6262" t="n">
        <v>4</v>
      </c>
      <c r="F6262">
        <f>HYPERLINK("https://www.reddit.com/r/diabetes/comments/ayl0fc/alternate_cgm_sites/")</f>
        <v/>
      </c>
      <c r="G6262" t="inlineStr">
        <is>
          <t>2019-03-07 18:26:11</t>
        </is>
      </c>
      <c r="H6262" t="inlineStr">
        <is>
          <t>Type 1</t>
        </is>
      </c>
    </row>
    <row r="6263">
      <c r="A6263" t="inlineStr">
        <is>
          <t>ayrgj7</t>
        </is>
      </c>
      <c r="B6263" t="inlineStr">
        <is>
          <t>New LADA diagnosis. First insulin shot last night. 277 yesterday morning, 128 this am. Feeling pretty good about it!</t>
        </is>
      </c>
      <c r="C6263" t="inlineStr">
        <is>
          <t>Recent diagnosis.  49 years old, went from 5'10" 163 lb in November to 138 lb currently and was constantly thirsty/peeing so saw doctor and got diagnosed last week.
Thoughts racing about the future, but this is a good sign.
I do need to gain some healthy weight and am mostly vegetarian.  Any suggestions would be great!</t>
        </is>
      </c>
      <c r="D6263" t="n">
        <v>10</v>
      </c>
      <c r="E6263" t="n">
        <v>3</v>
      </c>
      <c r="F6263">
        <f>HYPERLINK("https://www.reddit.com/r/diabetes/comments/ayrgj7/new_lada_diagnosis_first_insulin_shot_last_night/")</f>
        <v/>
      </c>
      <c r="G6263" t="inlineStr">
        <is>
          <t>2019-03-08 07:24:56</t>
        </is>
      </c>
      <c r="H6263" t="inlineStr">
        <is>
          <t>Type 1.5/LADA</t>
        </is>
      </c>
    </row>
    <row r="6264">
      <c r="A6264" t="inlineStr">
        <is>
          <t>ayt10i</t>
        </is>
      </c>
      <c r="B6264" t="inlineStr">
        <is>
          <t>Cant ask question on the fitness sub reddit. Getting a lot of protein.</t>
        </is>
      </c>
      <c r="C6264" t="inlineStr">
        <is>
          <t>I'm wondering if theirs any protein powder or supplement that wont raise your sugar real high? Like vegetable powders shakes.</t>
        </is>
      </c>
      <c r="D6264" t="n">
        <v>3</v>
      </c>
      <c r="E6264" t="n">
        <v>6</v>
      </c>
      <c r="F6264">
        <f>HYPERLINK("https://www.reddit.com/r/diabetes/comments/ayt10i/cant_ask_question_on_the_fitness_sub_reddit/")</f>
        <v/>
      </c>
      <c r="G6264" t="inlineStr">
        <is>
          <t>2019-03-08 09:43:30</t>
        </is>
      </c>
      <c r="H6264" t="inlineStr">
        <is>
          <t>Type 1</t>
        </is>
      </c>
    </row>
    <row r="6265">
      <c r="A6265" t="inlineStr">
        <is>
          <t>ayyhff</t>
        </is>
      </c>
      <c r="B6265" t="inlineStr">
        <is>
          <t>Medtronic iPro2 evaluation question</t>
        </is>
      </c>
      <c r="C6265" t="inlineStr">
        <is>
          <t xml:space="preserve">Hey guys. Doing a trial of the iPro2 with my diabetic educator and just have a quick question for anyone that has done this. I opened the smartphone app to add a BG reading to a message saying "your evaluation has ended." I plan to call my educator about this but in the mean time I was hoping I could find an answer as to what is happening. Should I go to settings and select "start evaluation" again or continue recording as normal? Kind of frustrating that I can't see the data that is being collected. </t>
        </is>
      </c>
      <c r="D6265" t="n">
        <v>2</v>
      </c>
      <c r="E6265" t="n">
        <v>0</v>
      </c>
      <c r="F6265">
        <f>HYPERLINK("https://www.reddit.com/r/diabetes/comments/ayyhff/medtronic_ipro2_evaluation_question/")</f>
        <v/>
      </c>
      <c r="G6265" t="inlineStr">
        <is>
          <t>2019-03-08 18:14:45</t>
        </is>
      </c>
      <c r="H6265" t="inlineStr">
        <is>
          <t>Type 1</t>
        </is>
      </c>
    </row>
    <row r="6266">
      <c r="A6266" t="inlineStr">
        <is>
          <t>az08oh</t>
        </is>
      </c>
      <c r="B6266" t="inlineStr">
        <is>
          <t>Supplements</t>
        </is>
      </c>
      <c r="C6266" t="inlineStr">
        <is>
          <t>Hello all, recently diagnosed T2 here. Diagnosed in October of 2018 with an A1C of 13, tested in January with an A1C of 8.2, with the help of Metformin and more conscious eating. I would like to add supplements to my diet, I currently take B12 and CoQ10.  I am doing tons of research, I am seeing good things about Apple Cider Vinegar, Cinnamon, and Berberine. Does anyone have any more info for me about any or all of these? Possibly something else? Thanks!</t>
        </is>
      </c>
      <c r="D6266" t="n">
        <v>2</v>
      </c>
      <c r="E6266" t="n">
        <v>10</v>
      </c>
      <c r="F6266">
        <f>HYPERLINK("https://www.reddit.com/r/diabetes/comments/az08oh/supplements/")</f>
        <v/>
      </c>
      <c r="G6266" t="inlineStr">
        <is>
          <t>2019-03-08 21:43:34</t>
        </is>
      </c>
      <c r="H6266" t="inlineStr">
        <is>
          <t>Type 2</t>
        </is>
      </c>
    </row>
    <row r="6267">
      <c r="A6267" t="inlineStr">
        <is>
          <t>az454b</t>
        </is>
      </c>
      <c r="B6267" t="inlineStr">
        <is>
          <t>Extended fasting and diabetes medication</t>
        </is>
      </c>
      <c r="C6267" t="inlineStr">
        <is>
          <t>Howdy, I've been doing the 16:8 Intermittent fasting regimen since November of last year to lose weight and lowered my A1c to 5.4% and no longer have to take Trulicity, just metformin and glipizide.
&amp;amp;#x200B;
I'm curious about doing a 24 hour fast, but I'm wondering if I shouldn't take my glipizide during the fast.  My blood sugar has been getting down to 50+ mg/dl before meals, so I'm concerned about taking my meds during a 24 hour fast.  
Does anyone here have any experience with IF and diabetes medications?</t>
        </is>
      </c>
      <c r="D6267" t="n">
        <v>2</v>
      </c>
      <c r="E6267" t="n">
        <v>2</v>
      </c>
      <c r="F6267">
        <f>HYPERLINK("https://www.reddit.com/r/diabetes/comments/az454b/extended_fasting_and_diabetes_medication/")</f>
        <v/>
      </c>
      <c r="G6267" t="inlineStr">
        <is>
          <t>2019-03-09 06:43:04</t>
        </is>
      </c>
      <c r="H6267" t="inlineStr">
        <is>
          <t>Type 2</t>
        </is>
      </c>
    </row>
    <row r="6268">
      <c r="A6268" t="inlineStr">
        <is>
          <t>az56li</t>
        </is>
      </c>
      <c r="B6268" t="inlineStr">
        <is>
          <t>So this is going to be an...interesting day</t>
        </is>
      </c>
      <c r="C6268" t="inlineStr">
        <is>
          <t>In the middle of the night last night, my lone G5 transmitter died, after a week of use.  NBD right, Dexcom's pretty good about support, they'll ship one out overnight probably and I can old-school it for a day no problem.
So this morning, I call them up, and literally \*as I'm on the phone with them\*, my X2 dies.  Malfunction, please call support.
Except...my pump is out of warranty.  And I have United insurance who won't pay for Tandem pumps.
...MDI here I come, I guess!  Until I get different insurance next year, at least.</t>
        </is>
      </c>
      <c r="D6268" t="n">
        <v>5</v>
      </c>
      <c r="E6268" t="n">
        <v>1</v>
      </c>
      <c r="F6268">
        <f>HYPERLINK("https://www.reddit.com/r/diabetes/comments/az56li/so_this_is_going_to_be_aninteresting_day/")</f>
        <v/>
      </c>
      <c r="G6268" t="inlineStr">
        <is>
          <t>2019-03-09 08:29:37</t>
        </is>
      </c>
      <c r="H6268" t="inlineStr">
        <is>
          <t>Type 1</t>
        </is>
      </c>
    </row>
    <row r="6269">
      <c r="A6269" t="inlineStr">
        <is>
          <t>az5nsb</t>
        </is>
      </c>
      <c r="B6269" t="inlineStr">
        <is>
          <t>Anyone on Janumet?</t>
        </is>
      </c>
      <c r="C6269" t="inlineStr">
        <is>
          <t>T2 here. I've been fighting with insurance and pharmacies for about 6 months now trying to get Janumet into an affordable range. New doc prescribed it an its the only  med that's actually helped my sugars, but it is so expensive! The best I've been able to get is Janumet Xr 50-1000 for $70 month supply. That is after insurance and the manufacture coupon card. Anyone else find it cheaper?</t>
        </is>
      </c>
      <c r="D6269" t="n">
        <v>2</v>
      </c>
      <c r="E6269" t="n">
        <v>5</v>
      </c>
      <c r="F6269">
        <f>HYPERLINK("https://www.reddit.com/r/diabetes/comments/az5nsb/anyone_on_janumet/")</f>
        <v/>
      </c>
      <c r="G6269" t="inlineStr">
        <is>
          <t>2019-03-09 09:14:48</t>
        </is>
      </c>
      <c r="H6269" t="inlineStr">
        <is>
          <t>Type 2</t>
        </is>
      </c>
    </row>
    <row r="6270">
      <c r="A6270" t="inlineStr">
        <is>
          <t>azndf0</t>
        </is>
      </c>
      <c r="B6270" t="inlineStr">
        <is>
          <t>Any type 2 diabetics here who switched to vegan diets?</t>
        </is>
      </c>
      <c r="C6270" t="inlineStr">
        <is>
          <t>I have read some studies mentioned in the book "How Not to Die" by Dr. Michael Greger (there are lots of studies looked at).
Apparently it's possible to reverse type-2 diabetes with some dietary modification... not to say you should switch immediately and drop your medication, but something to talk to a physician about.</t>
        </is>
      </c>
      <c r="D6270" t="n">
        <v>4</v>
      </c>
      <c r="E6270" t="n">
        <v>28</v>
      </c>
      <c r="F6270">
        <f>HYPERLINK("https://www.reddit.com/r/diabetes/comments/azndf0/any_type_2_diabetics_here_who_switched_to_vegan/")</f>
        <v/>
      </c>
      <c r="G6270" t="inlineStr">
        <is>
          <t>2019-03-10 18:47:02</t>
        </is>
      </c>
      <c r="H6270" t="inlineStr">
        <is>
          <t>Type 2</t>
        </is>
      </c>
    </row>
    <row r="6271">
      <c r="A6271" t="inlineStr">
        <is>
          <t>aznmde</t>
        </is>
      </c>
      <c r="B6271" t="inlineStr">
        <is>
          <t>Rebound Hyperglycaemia?</t>
        </is>
      </c>
      <c r="C6271" t="inlineStr">
        <is>
          <t>I was diagnosed in September of 2018 with type 2 diabetes with an A1C of 11. I am extremely active, running at least every other day and eating mostly low carb foods. My sugars for the past few weeks have been between 5.0 and 7.6.  
I'm struggling because I have had two episodes where my sugar has dropped extremely low (I can tell because I get wobbly, and shakey). The first time it happened I was running for 5km, I checked my sugars before going out they were at 6.5 (normal) and then when I got back before eating I checked them again and they were at 17.8! I talked to my doctor about this and its called a rebound hyperglycemia. Now, my doctor has said that I should never have to fuel for exercise. More so, has said I shouldn't eat anything if its not meal time and my sugars are fine.
This morning I went to a spin class and collapsed on the bike and had to leave because I was shaking uncontrollably and dizzy. I had Gatorade and an apple, I sat for a few minutes til I felt safe enough to move. When I got home and checked my sugars they were at a 19! I assume what happened was I felt my sugars this time dropping, and ate to bring it back up but my liver also dumped a boatload of sugar in me.
Two things I'm struggling with.
1, My doctor has said that my medication (janumet) will NEVER, EVER cause my sugar to be low. In the times that I've gotten a reading on my blood sugar level when I feel off they have been in the low 3's. Obviously, if the rebound hyperglycemia kicks in, my sugar is low.
2. Not fueling before working out. I know our bodies process sugar and carbs differently. But the times where I am pushing myself hard to workout and get my heart rate up, my sugar tanks. Even having a small snack beforehand.
How do you control your sugars through exercise? How do you manage it and eating? I feel like I have control on the eating now AND the exercise but its dealing with the lows that are awful. Any kind of tips from anybody with experience who has diabetes and is extremely active? Is this normal? 
&amp;amp;#x200B;
Moreso I must add that I've gotten mostly turned away from ANY kind of support from the diabetic education centre and my doctor because "Your sugars are not in the 30's and 40's, you should be happy" but I'm not. Because my mother has heart problems from not managing her diabetes and I watched my aunt lost her leg, vision and ultimately have a massive heart attack because she did not manage her diabetes and I DO NOT WANT TO BE LIKE THAT.</t>
        </is>
      </c>
      <c r="D6271" t="n">
        <v>3</v>
      </c>
      <c r="E6271" t="n">
        <v>2</v>
      </c>
      <c r="F6271">
        <f>HYPERLINK("https://www.reddit.com/r/diabetes/comments/aznmde/rebound_hyperglycaemia/")</f>
        <v/>
      </c>
      <c r="G6271" t="inlineStr">
        <is>
          <t>2019-03-10 19:11:59</t>
        </is>
      </c>
      <c r="H6271" t="inlineStr">
        <is>
          <t>Type 2</t>
        </is>
      </c>
    </row>
    <row r="6272">
      <c r="A6272" t="inlineStr">
        <is>
          <t>azrihr</t>
        </is>
      </c>
      <c r="B6272" t="inlineStr">
        <is>
          <t>Researchers developed a New safe treatment offers hope for diabetes, multiple sclerosis patients.</t>
        </is>
      </c>
      <c r="C6272" t="inlineStr">
        <is>
          <t>Researchers from the University of Utah in the US, say they have developed a safe and novel treatment for autoimmune diseases such as type1 [Diabetes](https://jacobspublishers.com/jacobs-journal-of-diabetes-and-endocrinology-issn-2475-4900/) and multiple sclerosis(MS). That comes to light when the immune cells attack itself in the body.
Present treatment ways eliminate these negative functioning immune cells.and also destroy protective and normal immune cells. Leaving patients vulnerable to immune deficiency and from infections which are opportunistic.
Researchers have developed an approach that targets the misfunctioning immune cells while leaving normal immune cells in place.
Mingnan Chen is an assistant professor at the University of Utah. He said “we are really taking treatment for the autoimmune disease in a new direction” and also said “This is the first time anyone has looked at the programmed cell death protein (PD-1) cells as a target to develop therapeutics for autoimmune disease,”</t>
        </is>
      </c>
      <c r="D6272" t="n">
        <v>4</v>
      </c>
      <c r="E6272" t="n">
        <v>4</v>
      </c>
      <c r="F6272">
        <f>HYPERLINK("https://www.reddit.com/r/diabetes/comments/azrihr/researchers_developed_a_new_safe_treatment_offers/")</f>
        <v/>
      </c>
      <c r="G6272" t="inlineStr">
        <is>
          <t>2019-03-11 02:48:14</t>
        </is>
      </c>
      <c r="H6272" t="inlineStr">
        <is>
          <t>Type 1</t>
        </is>
      </c>
    </row>
    <row r="6273">
      <c r="A6273" t="inlineStr">
        <is>
          <t>azs01y</t>
        </is>
      </c>
      <c r="B6273" t="inlineStr">
        <is>
          <t>Tandem t:slim X2 Control-IQ (closed loop) apparently coming soon?</t>
        </is>
      </c>
      <c r="C6273" t="inlineStr">
        <is>
          <t xml:space="preserve"> I've seen the following information posted online in various places since around the holidays 2018.  I can't find anything more out there now and there doesn't seem to be any threads here on reddit diabetes either.  Please share any information you may have on this "closed loop" coming for the t:slim pump!  I hope this update to be pretty life-changing.  
#### Control-IQ Hybrid Closed Loop is Still Set for a Summer 2019 Launch
Based on readings from the Dexcom G6 continuous glucose monitor (CGM), Control-IQ is an algorithm built into the t:slim X2 pump that automatically adjusts basal insulin; the system is also built to automatically deliver correction boluses to bring down very high blood sugars. This sort of automated insulin delivery decreases lows, improves time-in-range, and reduces some of the hassle of manually managing diabetes – especially overnight. The pivotal trial (study that Tandem will submit to the FDA for approval) started summer 2018 and has completed enrollment. If all goes well, Tandem expects Control-IQ to be available in summer 2019. Notably, as long as current t:slim X2 pump users have the G6, the update will only require installing the new software at home – no new pump needed.</t>
        </is>
      </c>
      <c r="D6273" t="n">
        <v>14</v>
      </c>
      <c r="E6273" t="n">
        <v>22</v>
      </c>
      <c r="F6273">
        <f>HYPERLINK("https://www.reddit.com/r/diabetes/comments/azs01y/tandem_tslim_x2_controliq_closed_loop_apparently/")</f>
        <v/>
      </c>
      <c r="G6273" t="inlineStr">
        <is>
          <t>2019-03-11 03:50:56</t>
        </is>
      </c>
      <c r="H6273" t="inlineStr">
        <is>
          <t>Type 1</t>
        </is>
      </c>
    </row>
    <row r="6274">
      <c r="A6274" t="inlineStr">
        <is>
          <t>aztdqo</t>
        </is>
      </c>
      <c r="B6274" t="inlineStr">
        <is>
          <t>App recommendations?</t>
        </is>
      </c>
      <c r="C6274" t="inlineStr">
        <is>
          <t>So I am looking for an app that at the very least predictively fine tunes estimates for I:C ratios and correction factors using probability theory ideally in addition to identifying inaccurate carb counts in hindsight and advises the user on insulin doses and ideally also provides a projected BG graph for the next few hours at least.
I came across PredictBGL, which seems capable of the last point, but I'm not sure how it handles ratios (user input? Linear regression?) and in particular I'm concerned about whether its approach will mean that errors when carb counting will influence the ratio estimates significantly.
In addition, I would like to see the ability to classify the type of food I'll be eating according to Glycemic Index or more ideally simple categories (for user friendliness) with the app trying to estimate how my BG levels will be affected by various food types. For PredictBGL to be able to make a remotely accurate prediction of BG levels I assume it must have some feature along these lines, since pizzas affect BG in a radically differentl way compared to white rice.
Any suggestions for what apps I might look into? Also very interested in open source projects though I may end up deciding to just create my own app.</t>
        </is>
      </c>
      <c r="D6274" t="n">
        <v>5</v>
      </c>
      <c r="E6274" t="n">
        <v>8</v>
      </c>
      <c r="F6274">
        <f>HYPERLINK("https://www.reddit.com/r/diabetes/comments/aztdqo/app_recommendations/")</f>
        <v/>
      </c>
      <c r="G6274" t="inlineStr">
        <is>
          <t>2019-03-11 06:21:17</t>
        </is>
      </c>
      <c r="H6274" t="inlineStr">
        <is>
          <t>Type 1</t>
        </is>
      </c>
    </row>
    <row r="6275">
      <c r="A6275" t="inlineStr">
        <is>
          <t>azu8yd</t>
        </is>
      </c>
      <c r="B6275" t="inlineStr">
        <is>
          <t>Tandem X:2 Closed Loop (Control IQ) Anomaly In Trial May Cause Delays</t>
        </is>
      </c>
      <c r="C6275" t="inlineStr">
        <is>
          <t>[https://www.drugdeliverybusiness.com/tandem-addresses-anomaly-in-pivotal-trial-for-closed-loop-tech/](https://www.drugdeliverybusiness.com/tandem-addresses-anomaly-in-pivotal-trial-for-closed-loop-tech/)  
Hopefully this does not push things too far back from the predicted Summer 2019 release. Though if they have extended the trials....  
Also this:
[https://www.medtechdive.com/news/tandem-suspends-software-use-in-pivotal-closed-loop-study-to-fix-bug/549950/](https://www.medtechdive.com/news/tandem-suspends-software-use-in-pivotal-closed-loop-study-to-fix-bug/549950/)</t>
        </is>
      </c>
      <c r="D6275" t="n">
        <v>3</v>
      </c>
      <c r="E6275" t="n">
        <v>1</v>
      </c>
      <c r="F6275">
        <f>HYPERLINK("https://www.reddit.com/r/diabetes/comments/azu8yd/tandem_x2_closed_loop_control_iq_anomaly_in_trial/")</f>
        <v/>
      </c>
      <c r="G6275" t="inlineStr">
        <is>
          <t>2019-03-11 07:43:57</t>
        </is>
      </c>
      <c r="H6275" t="inlineStr">
        <is>
          <t>Type 1</t>
        </is>
      </c>
    </row>
    <row r="6276">
      <c r="A6276" t="inlineStr">
        <is>
          <t>azv9h3</t>
        </is>
      </c>
      <c r="B6276" t="inlineStr">
        <is>
          <t>Seeking a decent but not costly Android app</t>
        </is>
      </c>
      <c r="C6276" t="inlineStr">
        <is>
          <t>I've been looking into apps to use as a daily log. Many apps seem to be no longer actively supported by the developers. The last time many of these apps have been updated were 2017 or 2018. Other apps are updated on a regular basis (Feb/March 2019) but seem to "take advantage" of those with diabetes. There's a "free" version of the app, or you can pay $30/year for the professional version. I don't have a problem with paying for an app I'm going to be using on a regular basis, such as a diabetes logging app, but seriously! $30/year?!  I even found an app with very intrusive ads and if you want to remove the ads you must pay $5.95. So, I have to pay $5.95 and to tell the truth, your app isn't that great.
&amp;amp;#x200B;
Any suggestions on a decent Android app that won't break the bank?
&amp;amp;#x200B;
Thank you.
&amp;amp;#x200B;</t>
        </is>
      </c>
      <c r="D6276" t="n">
        <v>2</v>
      </c>
      <c r="E6276" t="n">
        <v>9</v>
      </c>
      <c r="F6276">
        <f>HYPERLINK("https://www.reddit.com/r/diabetes/comments/azv9h3/seeking_a_decent_but_not_costly_android_app/")</f>
        <v/>
      </c>
      <c r="G6276" t="inlineStr">
        <is>
          <t>2019-03-11 09:13:48</t>
        </is>
      </c>
      <c r="H6276" t="inlineStr">
        <is>
          <t>Type 2</t>
        </is>
      </c>
    </row>
    <row r="6277">
      <c r="A6277" t="inlineStr">
        <is>
          <t>azva2o</t>
        </is>
      </c>
      <c r="B6277" t="inlineStr">
        <is>
          <t>Blood strip disposal q (NJ)</t>
        </is>
      </c>
      <c r="C6277" t="inlineStr">
        <is>
          <t xml:space="preserve">I'm helping my mom (type 2) with figuring out how to best dispose of her glucose blood strips. She's based in NJ. I'm not finding clear information beyond needing to throw them out in thick plastic bottles. The closest locations where needles are disposed of are within driving distance but my mom doesn't drive. I know some states permit those plastic bottles to be thrown in the trash and some don't. I'm struggling to find a clear cut answer on blood strips. Anyone deal with this in NJ? 
First time posting here so apologies if added the wrong flair/didn't follow the rules exactly. 
Thanks! </t>
        </is>
      </c>
      <c r="D6277" t="n">
        <v>2</v>
      </c>
      <c r="E6277" t="n">
        <v>15</v>
      </c>
      <c r="F6277">
        <f>HYPERLINK("https://www.reddit.com/r/diabetes/comments/azva2o/blood_strip_disposal_q_nj/")</f>
        <v/>
      </c>
      <c r="G6277" t="inlineStr">
        <is>
          <t>2019-03-11 09:15:17</t>
        </is>
      </c>
      <c r="H6277" t="inlineStr">
        <is>
          <t>Type 2</t>
        </is>
      </c>
    </row>
    <row r="6278">
      <c r="A6278" t="inlineStr">
        <is>
          <t>azwgb0</t>
        </is>
      </c>
      <c r="B6278" t="inlineStr">
        <is>
          <t>I am dating a type 1 diabetic and have questions!! I know very little about diabetes.</t>
        </is>
      </c>
      <c r="C6278" t="inlineStr">
        <is>
          <t xml:space="preserve">I’m sorry for the format, I’m on mobile.
My gf[23] was diagnosed with juvenile diabetes when she was around 14. She has had a rough life up until now with not being properly diagnosed before she was a teen, becoming and addict(clean now), and regularly not being able to manger her diagnosis. She has been in multiple diabetic comas and has had a heart attack. Now, before I get into the questions I have let me stress that I just want to be more knowledgeable about this topic and Google just leaves me with more questions. She has been in the ICU because her sugar was over 1200. I feel like this happens more often than it should, which brings me to my questions.
My first questions are, her insulin pump is older and doesn’t always function properly. Can I buy her a new one? Does it have to be a certain one? And do I have to have an Rx to buy it? I know they are hella expensive but I know it’s something she could certainly benefit from. 
Next, how can I help diet wise? I only know to stay away from sugar and carbs, I’m not sure what else to avoid. 
And lastly, can I buy some of those insulin pens to keep at the ready? Or do they require an Rx too? And how high can blood sugar go before I need to start to worry? </t>
        </is>
      </c>
      <c r="D6278" t="n">
        <v>9</v>
      </c>
      <c r="E6278" t="n">
        <v>8</v>
      </c>
      <c r="F6278">
        <f>HYPERLINK("https://www.reddit.com/r/diabetes/comments/azwgb0/i_am_dating_a_type_1_diabetic_and_have_questions/")</f>
        <v/>
      </c>
      <c r="G6278" t="inlineStr">
        <is>
          <t>2019-03-11 10:55:38</t>
        </is>
      </c>
      <c r="H6278" t="inlineStr">
        <is>
          <t>Type 1</t>
        </is>
      </c>
    </row>
    <row r="6279">
      <c r="A6279" t="inlineStr">
        <is>
          <t>azzt0q</t>
        </is>
      </c>
      <c r="B6279" t="inlineStr">
        <is>
          <t>Surgery with T1D</t>
        </is>
      </c>
      <c r="C6279" t="inlineStr">
        <is>
          <t xml:space="preserve">I am going to have a surgery in the next few months that is estimated to take 4-5 hours. Does anyone have experience with going under anesthesia with diabetes? I wear an OmniPod and Dexcom G6 cgm.  I have an endo appointment before the surgery so I plan to discuss it with him as well but I'm looking for some anecdotal advice if anyone has tips! </t>
        </is>
      </c>
      <c r="D6279" t="n">
        <v>5</v>
      </c>
      <c r="E6279" t="n">
        <v>10</v>
      </c>
      <c r="F6279">
        <f>HYPERLINK("https://www.reddit.com/r/diabetes/comments/azzt0q/surgery_with_t1d/")</f>
        <v/>
      </c>
      <c r="G6279" t="inlineStr">
        <is>
          <t>2019-03-11 15:29:19</t>
        </is>
      </c>
      <c r="H6279" t="inlineStr">
        <is>
          <t>Type 1</t>
        </is>
      </c>
    </row>
    <row r="6280">
      <c r="A6280" t="inlineStr">
        <is>
          <t>b005vi</t>
        </is>
      </c>
      <c r="B6280" t="inlineStr">
        <is>
          <t>Anyone else dealing with NLD?</t>
        </is>
      </c>
      <c r="C6280" t="inlineStr">
        <is>
          <t xml:space="preserve">I've been T1 for about 17 years, and have had Necrobiosis lipoidica diabetecorum on my shins for coming up on 10 years.  I haven't always had the best blood sugar levels, but I'm working on getting them under better control. If you have NLD, is there anything you've used that helps? I've tried steroid injections, creams, and numerous other things. Currently I'm trying cbd products, just started using them and hoping for the best. </t>
        </is>
      </c>
      <c r="D6280" t="n">
        <v>2</v>
      </c>
      <c r="E6280" t="n">
        <v>0</v>
      </c>
      <c r="F6280">
        <f>HYPERLINK("https://www.reddit.com/r/diabetes/comments/b005vi/anyone_else_dealing_with_nld/")</f>
        <v/>
      </c>
      <c r="G6280" t="inlineStr">
        <is>
          <t>2019-03-11 16:00:12</t>
        </is>
      </c>
      <c r="H6280" t="inlineStr">
        <is>
          <t>Type 1</t>
        </is>
      </c>
    </row>
    <row r="6281">
      <c r="A6281" t="inlineStr">
        <is>
          <t>b01rgn</t>
        </is>
      </c>
      <c r="B6281" t="inlineStr">
        <is>
          <t>Diabetic tattoos</t>
        </is>
      </c>
      <c r="C6281" t="inlineStr">
        <is>
          <t>So I think I might get one because I kind of lack any giveaway signs of a diabetes(apart from insulin pump). 
&amp;amp;#x200B;
So are there things I should be aware of in advance? I don't know much about tattoos and I read somewhere that diabetics should tell the tattooist(?) in advance etc. 
&amp;amp;#x200B;
Also which way should a medical tattoo on my wrist face? Should it be so that its easy for me to read or should it be facing the other way?</t>
        </is>
      </c>
      <c r="D6281" t="n">
        <v>3</v>
      </c>
      <c r="E6281" t="n">
        <v>9</v>
      </c>
      <c r="F6281">
        <f>HYPERLINK("https://www.reddit.com/r/diabetes/comments/b01rgn/diabetic_tattoos/")</f>
        <v/>
      </c>
      <c r="G6281" t="inlineStr">
        <is>
          <t>2019-03-11 18:29:35</t>
        </is>
      </c>
      <c r="H6281" t="inlineStr">
        <is>
          <t>Type 1</t>
        </is>
      </c>
    </row>
    <row r="6282">
      <c r="A6282" t="inlineStr">
        <is>
          <t>b022f2</t>
        </is>
      </c>
      <c r="B6282" t="inlineStr">
        <is>
          <t>Requesting help!! Chance to win a gift card!</t>
        </is>
      </c>
      <c r="C6282" t="inlineStr">
        <is>
          <t>Hello! My name is Nicole Antoniadis, and I am a graduate student at Pacific University in Hillsboro, Oregon, USA. I am currently completing my dissertation on the effect of coping strategies on anxiety and depression in people with diabulimia (which is the omission or manipulation of insulin doses for the purpose of weight loss). This study aims to identify specific styles of coping which prove to be effective at decreasing the impact of anxiety and depression in people with diabulimia. These co-occurring problems can make recovery intensely difficult, so identifying more effective coping styles may lead to more successful treatment strategies.
If you are interested in taking part in this study, please follow the anonymous link below to the study survey. The survey will take approximately 15 minutes to finish and it is voluntary and anonymous. There are no risks for participating in this study. You must be 18 or older, have type 1 diabetes, and have a history or current experience with diabulimia in order to participate. At the end you will be given the opportunity to enter a raffle for one of three $20 Amazon gift cards as a thank-you for your participation. You may also sign up to receive the results of the study once it is completed. This study has been approved by the Pacific University IRB board (1315172-1) and is being supervised by Dr. Ruth Zuniga.
Thank you in advance for your participation!
[https://pacificu.co1.qualtrics.com/jfe/form/SV\_9ZUGWDDvfy9ow1D](https://pacificu.co1.qualtrics.com/jfe/form/SV_9ZUGWDDvfy9ow1D)</t>
        </is>
      </c>
      <c r="D6282" t="n">
        <v>0</v>
      </c>
      <c r="E6282" t="n">
        <v>0</v>
      </c>
      <c r="F6282">
        <f>HYPERLINK("https://www.reddit.com/r/diabetes/comments/b022f2/requesting_help_chance_to_win_a_gift_card/")</f>
        <v/>
      </c>
      <c r="G6282" t="inlineStr">
        <is>
          <t>2019-03-11 19:00:25</t>
        </is>
      </c>
      <c r="H6282" t="inlineStr">
        <is>
          <t>Type 1</t>
        </is>
      </c>
    </row>
    <row r="6283">
      <c r="A6283" t="inlineStr">
        <is>
          <t>b03cva</t>
        </is>
      </c>
      <c r="B6283" t="inlineStr">
        <is>
          <t>Hypo shit</t>
        </is>
      </c>
      <c r="C6283" t="inlineStr">
        <is>
          <t>Does anyone actually have the self control to not eat everything in sight while hypo? Even food I usually hate looks amazing when I’m low</t>
        </is>
      </c>
      <c r="D6283" t="n">
        <v>4</v>
      </c>
      <c r="E6283" t="n">
        <v>23</v>
      </c>
      <c r="F6283">
        <f>HYPERLINK("https://www.reddit.com/r/diabetes/comments/b03cva/hypo_shit/")</f>
        <v/>
      </c>
      <c r="G6283" t="inlineStr">
        <is>
          <t>2019-03-11 21:12:59</t>
        </is>
      </c>
      <c r="H6283" t="inlineStr">
        <is>
          <t>Type 1</t>
        </is>
      </c>
    </row>
    <row r="6284">
      <c r="A6284" t="inlineStr">
        <is>
          <t>b03ovv</t>
        </is>
      </c>
      <c r="B6284" t="inlineStr">
        <is>
          <t>Insulin requirements extremely high all of a sudden</t>
        </is>
      </c>
      <c r="C6284" t="inlineStr">
        <is>
          <t>So I was dx'd a little over a year ago, have been expecting my insulin requirements to start going up as honeymoon ends but over the past couple of weeks they have been extremely high to the point where I am a bit concerned. For example, from the time I was diagnosed until recently, my I:C ratio was 1:12 and almost always did the trick. Tonight, however I ate 30g of carbs and needed a total of 11 units of humalog (including the initial bolus and two corrections) to get back to \~100mg/dL. I don't think end of honeymoon explains all of a sudden having a 1:3 I:C ratio. What also concerns me is that this increase was not at all gradual. It was like one morning I woke up and all of a sudden needed 2X+ more insulin. My basal has also increased but I'm staying pretty flat overnight so I don't think that needs to be increased further. I'm going to see my doctor anyway next week so I'll ask about it but any ideas?</t>
        </is>
      </c>
      <c r="D6284" t="n">
        <v>2</v>
      </c>
      <c r="E6284" t="n">
        <v>7</v>
      </c>
      <c r="F6284">
        <f>HYPERLINK("https://www.reddit.com/r/diabetes/comments/b03ovv/insulin_requirements_extremely_high_all_of_a/")</f>
        <v/>
      </c>
      <c r="G6284" t="inlineStr">
        <is>
          <t>2019-03-11 21:51:02</t>
        </is>
      </c>
      <c r="H6284" t="inlineStr">
        <is>
          <t>Type 1</t>
        </is>
      </c>
    </row>
    <row r="6285">
      <c r="A6285" t="inlineStr">
        <is>
          <t>b044rw</t>
        </is>
      </c>
      <c r="B6285" t="inlineStr">
        <is>
          <t>Horrible Pain in bottom of feet after diagnosis with type 1. What do I do?</t>
        </is>
      </c>
      <c r="C6285" t="inlineStr">
        <is>
          <t>I have severe pain in the bottom of my feet when I walk. I can not walk like a normal person anymore. My life is completely ruined I cant work or do anything that requires standing without having extreme pain. This started abruptly the day when I got diagnosed with diabetes type 1, 2 years ago. I went from having completely normal legs and feet to not even being able to walk seemingly overnight after I was admitted to the hospital and diagnoses with type 1 diabetes.   
What problem do I have and what can I do about it? My endocrinologist avoids the issue and tells me its not possible for me to develop neuropathy this quickly at such a young age. I was 22 at the time and ive been living with this for over 2 years. Nobody has ever been able to tell me whats wrong with me ive been to multiple doctors. What problem do I have and what can I do about it?</t>
        </is>
      </c>
      <c r="D6285" t="n">
        <v>2</v>
      </c>
      <c r="E6285" t="n">
        <v>23</v>
      </c>
      <c r="F6285">
        <f>HYPERLINK("https://www.reddit.com/r/diabetes/comments/b044rw/horrible_pain_in_bottom_of_feet_after_diagnosis/")</f>
        <v/>
      </c>
      <c r="G6285" t="inlineStr">
        <is>
          <t>2019-03-11 22:44:42</t>
        </is>
      </c>
      <c r="H6285" t="inlineStr">
        <is>
          <t>Type 1</t>
        </is>
      </c>
    </row>
    <row r="6286">
      <c r="A6286" t="inlineStr">
        <is>
          <t>b04j1e</t>
        </is>
      </c>
      <c r="B6286" t="inlineStr">
        <is>
          <t>Glucometer advice</t>
        </is>
      </c>
      <c r="C6286" t="inlineStr">
        <is>
          <t xml:space="preserve">Hey guys, 
I recently received an Accu-Chek Aviva because of an insurance switch, previously I had been using the OneTouch Ultra 2. In your experience, can y’all tell me which is generally more accurate for you? Every time I try to test- even after washing my hands, putting new lancets in both, etc, the readings are still showing a pretty noticeable discrepancy. Just trying to figure out if this is a user error or not? </t>
        </is>
      </c>
      <c r="D6286" t="n">
        <v>2</v>
      </c>
      <c r="E6286" t="n">
        <v>4</v>
      </c>
      <c r="F6286">
        <f>HYPERLINK("https://www.reddit.com/r/diabetes/comments/b04j1e/glucometer_advice/")</f>
        <v/>
      </c>
      <c r="G6286" t="inlineStr">
        <is>
          <t>2019-03-11 23:35:44</t>
        </is>
      </c>
      <c r="H6286" t="inlineStr">
        <is>
          <t>Type 1</t>
        </is>
      </c>
    </row>
    <row r="6287">
      <c r="A6287" t="inlineStr">
        <is>
          <t>b08scu</t>
        </is>
      </c>
      <c r="B6287" t="inlineStr">
        <is>
          <t>Sore</t>
        </is>
      </c>
      <c r="C6287" t="inlineStr">
        <is>
          <t>41/M. Once in a while my body hurts, even my bones. Not sure if it's diabetes related or something else, so I thought I'd see if anyone else has experienced this. 
If this isn't the correct place for this post, my apologies.</t>
        </is>
      </c>
      <c r="D6287" t="n">
        <v>3</v>
      </c>
      <c r="E6287" t="n">
        <v>3</v>
      </c>
      <c r="F6287">
        <f>HYPERLINK("https://www.reddit.com/r/diabetes/comments/b08scu/sore/")</f>
        <v/>
      </c>
      <c r="G6287" t="inlineStr">
        <is>
          <t>2019-03-12 08:04:50</t>
        </is>
      </c>
      <c r="H6287" t="inlineStr">
        <is>
          <t>Type 2</t>
        </is>
      </c>
    </row>
    <row r="6288">
      <c r="A6288" t="inlineStr">
        <is>
          <t>b0a6a3</t>
        </is>
      </c>
      <c r="B6288" t="inlineStr">
        <is>
          <t>Trying to figure out if the Dexcom System would work for me</t>
        </is>
      </c>
      <c r="C6288" t="inlineStr">
        <is>
          <t>So I was diagnosed at 27, coming up on my 2 year diaversary and I got my quote for a Dexcom today.
It's going to cost me around $1000 for it then my insurance will cover 80% of my insulin
&amp;amp;#x200B;
I'm terrible at asking questions for stuff like this on the phone and I was driving at the time while talking to the guy so I still have some questions. Yes I know the best way is to call them back and ask them directly but I have a few questions I thought maybe you guys can answer before I give them a call back or anything.
&amp;amp;#x200B;
Some info:
\- Type 1
\- I make about $33k before taxes
\- I'm in the USA, Midwest if that makes a differance
\- I'm currently using Novolog and a 2 month's supply costs $20.
\- My insurance is Blue Cross Blue Shield, PPO
&amp;amp;#x200B;
&amp;amp;#x200B;
If I go through with the Dexcom system and pay the $1000, do I have to buy a new system once a year or something?
&amp;amp;#x200B;
Is 80% coverage for insulin good? What would my cost on insulin per month look like?
&amp;amp;#x200B;
Is there any suggestions for other types of pumps that might be better for my situation?
&amp;amp;#x200B;
I know there was some talk that Dexcom call center is now being outsourced, should this be a concern / reason to not get the system?
&amp;amp;#x200B;
&amp;amp;#x200B;
If there's questions I should be asking my endo? Please let me know, I have an appointment this thursday and I want to be prepared as possible.
&amp;amp;#x200B;
&amp;amp;#x200B;
I'm getting off my lunch break currently and will try my best to answer any comments or questions anyone has for me. Thanks ahead of time on any help you guys can give me.</t>
        </is>
      </c>
      <c r="D6288" t="n">
        <v>1</v>
      </c>
      <c r="E6288" t="n">
        <v>5</v>
      </c>
      <c r="F6288">
        <f>HYPERLINK("https://www.reddit.com/r/diabetes/comments/b0a6a3/trying_to_figure_out_if_the_dexcom_system_would/")</f>
        <v/>
      </c>
      <c r="G6288" t="inlineStr">
        <is>
          <t>2019-03-12 10:01:52</t>
        </is>
      </c>
      <c r="H6288" t="inlineStr">
        <is>
          <t>Type 1</t>
        </is>
      </c>
    </row>
    <row r="6289">
      <c r="A6289" t="inlineStr">
        <is>
          <t>b0ac55</t>
        </is>
      </c>
      <c r="B6289" t="inlineStr">
        <is>
          <t>Received updated g3 transmitter for 670g "loop" issue</t>
        </is>
      </c>
      <c r="C6289" t="inlineStr">
        <is>
          <t>If you have a 670g you probably have to deal with the "bg loop" situation where it sometimes gets stuck repeatedly asking for sugar values, or not wanting to go into auto mode etc.
They have a site where you can sign up to get a new transmitter: http://medtronicdiabetes.com/bgcheck but the site says the ETA is "several months"
I called a few days ago and complained because I had been trying to get into automode for more than 12 hours and my basal rates for non-stop weren't tuned well for where I was at now on auto mode (they decreased quite a bit on auto mode) so I was going low repeatedly and now becoming very irritated and worried about the situtation.
Long story short, they overnighted me the new transmitter. I haven't used it yet (1 more day to go on current) but if you're in a similar situation, just call the number on your pump and apparently a bit of persistence will get you one sooner than later.</t>
        </is>
      </c>
      <c r="D6289" t="n">
        <v>3</v>
      </c>
      <c r="E6289" t="n">
        <v>9</v>
      </c>
      <c r="F6289">
        <f>HYPERLINK("https://www.reddit.com/r/diabetes/comments/b0ac55/received_updated_g3_transmitter_for_670g_loop/")</f>
        <v/>
      </c>
      <c r="G6289" t="inlineStr">
        <is>
          <t>2019-03-12 10:15:17</t>
        </is>
      </c>
      <c r="H6289" t="inlineStr">
        <is>
          <t>Type 1</t>
        </is>
      </c>
    </row>
    <row r="6290">
      <c r="A6290" t="inlineStr">
        <is>
          <t>b0awuo</t>
        </is>
      </c>
      <c r="B6290" t="inlineStr">
        <is>
          <t>T-Slim X2 insulin capacity after fill: 180+ vs 240+</t>
        </is>
      </c>
      <c r="C6290" t="inlineStr">
        <is>
          <t xml:space="preserve">I fill my T2 with the same amount of insulin every time. After the fill, half the time the insulin gauge in the upper right corner reads 180u +. The other times it reads 240u +. Does this happen to anyone else? </t>
        </is>
      </c>
      <c r="D6290" t="n">
        <v>2</v>
      </c>
      <c r="E6290" t="n">
        <v>4</v>
      </c>
      <c r="F6290">
        <f>HYPERLINK("https://www.reddit.com/r/diabetes/comments/b0awuo/tslim_x2_insulin_capacity_after_fill_180_vs_240/")</f>
        <v/>
      </c>
      <c r="G6290" t="inlineStr">
        <is>
          <t>2019-03-12 11:04:20</t>
        </is>
      </c>
      <c r="H6290" t="inlineStr">
        <is>
          <t>Type 1</t>
        </is>
      </c>
    </row>
    <row r="6291">
      <c r="A6291" t="inlineStr">
        <is>
          <t>b0b0mc</t>
        </is>
      </c>
      <c r="B6291" t="inlineStr">
        <is>
          <t>Been sick for 3+ weeks -</t>
        </is>
      </c>
      <c r="C6291" t="inlineStr">
        <is>
          <t>Wondering if anyone has any insight here in relation to a long illness and diabetes. Since I was diagnosed 7+ years ago with Type 1 I don't tend to have typical symptoms for cold/flu - generally I don't get all stuffed up / go through boxes of kleenex and have a high fever but just feel achy/weak and dizzy upon trying to get up an going. This one started 3+ weeks ago with a couple of days of a runny nose and sore throat, got through it with Advil cold and sinus then felt ok for a day before being hit with aches/weakness etc and pretty much spending 9 days in bed.  Lost six pounds during this.
&amp;amp;#x200B;
Went back to work feeling the cold like symptoms again and then got hit hard again by the aches/weakness symptoms again after a few days and have been there again and am back in bed for the past 5 days. I got tested for mono/pneumonia;/'anemia and nothing there. I'm going crazy and have been trying to eat more/drink more. Any thoughts?</t>
        </is>
      </c>
      <c r="D6291" t="n">
        <v>3</v>
      </c>
      <c r="E6291" t="n">
        <v>2</v>
      </c>
      <c r="F6291">
        <f>HYPERLINK("https://www.reddit.com/r/diabetes/comments/b0b0mc/been_sick_for_3_weeks/")</f>
        <v/>
      </c>
      <c r="G6291" t="inlineStr">
        <is>
          <t>2019-03-12 11:12:54</t>
        </is>
      </c>
      <c r="H6291" t="inlineStr">
        <is>
          <t>Type 1</t>
        </is>
      </c>
    </row>
    <row r="6292">
      <c r="A6292" t="inlineStr">
        <is>
          <t>b0cnmh</t>
        </is>
      </c>
      <c r="B6292" t="inlineStr">
        <is>
          <t>What kind of eating habits did you have to before you were given diabetes?</t>
        </is>
      </c>
      <c r="C6292" t="inlineStr">
        <is>
          <t xml:space="preserve">My grandfather has diabetes and I'm scheduled for a doctors appointment soon. No one else in my family has had diabetes even my grandmother even though she eats fast food nearly everyday at 78.  My grandmother said my grandfather was eating ice cream every week for years and then developed it. Is this true when it comes to diabetes type 2 I assume that its really bad eating habits? </t>
        </is>
      </c>
      <c r="D6292" t="n">
        <v>2</v>
      </c>
      <c r="E6292" t="n">
        <v>5</v>
      </c>
      <c r="F6292">
        <f>HYPERLINK("https://www.reddit.com/r/diabetes/comments/b0cnmh/what_kind_of_eating_habits_did_you_have_to_before/")</f>
        <v/>
      </c>
      <c r="G6292" t="inlineStr">
        <is>
          <t>2019-03-12 13:29:31</t>
        </is>
      </c>
      <c r="H6292" t="inlineStr">
        <is>
          <t>Type 2</t>
        </is>
      </c>
    </row>
    <row r="6293">
      <c r="A6293" t="inlineStr">
        <is>
          <t>b0iw74</t>
        </is>
      </c>
      <c r="B6293" t="inlineStr">
        <is>
          <t>First day with Libre. I was blind for 25 years.</t>
        </is>
      </c>
      <c r="C6293" t="inlineStr">
        <is>
          <t>Just seeing how my body reacts to what I eat and inject in real time is so mesmerizing. I can’t believe I didn’t do this before.  I’m learning so much in just couple of hours.
The application of it felt a bit like a part of a sci-fi movie. However, it was quick and painless.
I want to thank many people in this community who showed me the real value of having a sensor. Before I joined this sub, all I saw was sales people and tv commercials. So thank you!</t>
        </is>
      </c>
      <c r="D6293" t="n">
        <v>25</v>
      </c>
      <c r="E6293" t="n">
        <v>13</v>
      </c>
      <c r="F6293">
        <f>HYPERLINK("https://www.reddit.com/r/diabetes/comments/b0iw74/first_day_with_libre_i_was_blind_for_25_years/")</f>
        <v/>
      </c>
      <c r="G6293" t="inlineStr">
        <is>
          <t>2019-03-12 23:51:55</t>
        </is>
      </c>
      <c r="H6293" t="inlineStr">
        <is>
          <t>Type 1</t>
        </is>
      </c>
    </row>
    <row r="6294">
      <c r="A6294" t="inlineStr">
        <is>
          <t>b0ppwd</t>
        </is>
      </c>
      <c r="B6294" t="inlineStr">
        <is>
          <t>Is anyone else’s family the food/drink police?</t>
        </is>
      </c>
      <c r="C6294" t="inlineStr">
        <is>
          <t>I’ve noticed every time I go to a restaurant and order an unsweetened tea to drink (I live in the south where unsweetened tea is sacrilege), sometimes the waitress will mishear me as saying a sweet tea.  And then my grandma yells at them “*UN*SWEET TEA!”
Like, grandma, I’ve been diabetic for over 10 years. I can have a sweet tea as long as I give insulin for it.</t>
        </is>
      </c>
      <c r="D6294" t="n">
        <v>12</v>
      </c>
      <c r="E6294" t="n">
        <v>13</v>
      </c>
      <c r="F6294">
        <f>HYPERLINK("https://www.reddit.com/r/diabetes/comments/b0ppwd/is_anyone_elses_family_the_fooddrink_police/")</f>
        <v/>
      </c>
      <c r="G6294" t="inlineStr">
        <is>
          <t>2019-03-13 11:53:23</t>
        </is>
      </c>
      <c r="H6294" t="inlineStr">
        <is>
          <t>Type 1</t>
        </is>
      </c>
    </row>
    <row r="6295">
      <c r="A6295" t="inlineStr">
        <is>
          <t>b0r3w9</t>
        </is>
      </c>
      <c r="B6295" t="inlineStr">
        <is>
          <t>Android apps for Gaurdian Sensor 3?</t>
        </is>
      </c>
      <c r="C6295" t="inlineStr">
        <is>
          <t xml:space="preserve">Is there any 3rd party apps for the gaurdian sensor 3 on Android that anyone knows of? I'd really enjoy a an app rather than pull out my pump to check everything. Thanks! </t>
        </is>
      </c>
      <c r="D6295" t="n">
        <v>2</v>
      </c>
      <c r="E6295" t="n">
        <v>0</v>
      </c>
      <c r="F6295">
        <f>HYPERLINK("https://www.reddit.com/r/diabetes/comments/b0r3w9/android_apps_for_gaurdian_sensor_3/")</f>
        <v/>
      </c>
      <c r="G6295" t="inlineStr">
        <is>
          <t>2019-03-13 13:45:34</t>
        </is>
      </c>
      <c r="H6295" t="inlineStr">
        <is>
          <t>Type 1</t>
        </is>
      </c>
    </row>
    <row r="6296">
      <c r="A6296" t="inlineStr">
        <is>
          <t>b0uiyg</t>
        </is>
      </c>
      <c r="B6296" t="inlineStr">
        <is>
          <t>Diabetes And Genetics</t>
        </is>
      </c>
      <c r="C6296" t="inlineStr">
        <is>
          <t>Is type 1 fully genetic? Because no one else in my family has type 1 except for me.</t>
        </is>
      </c>
      <c r="D6296" t="n">
        <v>1</v>
      </c>
      <c r="E6296" t="n">
        <v>0</v>
      </c>
      <c r="F6296">
        <f>HYPERLINK("https://www.reddit.com/r/diabetes/comments/b0uiyg/diabetes_and_genetics/")</f>
        <v/>
      </c>
      <c r="G6296" t="inlineStr">
        <is>
          <t>2019-03-13 18:52:31</t>
        </is>
      </c>
      <c r="H6296" t="inlineStr">
        <is>
          <t>Type 1</t>
        </is>
      </c>
    </row>
    <row r="6297">
      <c r="A6297" t="inlineStr">
        <is>
          <t>b0umyi</t>
        </is>
      </c>
      <c r="B6297" t="inlineStr">
        <is>
          <t>Insulin and Headaches?</t>
        </is>
      </c>
      <c r="C6297" t="inlineStr">
        <is>
          <t xml:space="preserve">Hey guys! I just started taking insulin on Friday and I’ve been getting really bad headaches since. I live in the south so it might be sinus related but I was wondering if anyone knew if headaches are a side effect of insulin? 
Thanks in advance this sub is so amazing! </t>
        </is>
      </c>
      <c r="D6297" t="n">
        <v>3</v>
      </c>
      <c r="E6297" t="n">
        <v>14</v>
      </c>
      <c r="F6297">
        <f>HYPERLINK("https://www.reddit.com/r/diabetes/comments/b0umyi/insulin_and_headaches/")</f>
        <v/>
      </c>
      <c r="G6297" t="inlineStr">
        <is>
          <t>2019-03-13 19:04:14</t>
        </is>
      </c>
      <c r="H6297" t="inlineStr">
        <is>
          <t>Type 1.5/LADA</t>
        </is>
      </c>
    </row>
    <row r="6298">
      <c r="A6298" t="inlineStr">
        <is>
          <t>b10o0t</t>
        </is>
      </c>
      <c r="B6298" t="inlineStr">
        <is>
          <t>Blood sugar has gone crazy since pregnancy</t>
        </is>
      </c>
      <c r="C6298" t="inlineStr">
        <is>
          <t>I am now 6 weeks pregnant I am a type 2 diabetic. Before the pregnancy my fasting blood sugar always hovered around the 120 range, but for the whole week my blood sugar is above 180. I am not eating anything that would cause the increase, I have cut almost all carbs and barely eating anything, i already lost 4lbs this week, I am tracking everything I eat and yesterday I ate 855 calories and 38g of carbs for the whole day, before bed my blood sugar was 150 and in the morning it was back to 187. My doctor doesn’t have time to see me until next month and I don’t know what to do - what could cause this? Also how bad is this for the baby? I am completely panicking and can’t get any good answers from my doctor</t>
        </is>
      </c>
      <c r="D6298" t="n">
        <v>3</v>
      </c>
      <c r="E6298" t="n">
        <v>20</v>
      </c>
      <c r="F6298">
        <f>HYPERLINK("https://www.reddit.com/r/diabetes/comments/b10o0t/blood_sugar_has_gone_crazy_since_pregnancy/")</f>
        <v/>
      </c>
      <c r="G6298" t="inlineStr">
        <is>
          <t>2019-03-14 06:59:36</t>
        </is>
      </c>
      <c r="H6298" t="inlineStr">
        <is>
          <t>Type 2</t>
        </is>
      </c>
    </row>
    <row r="6299">
      <c r="A6299" t="inlineStr">
        <is>
          <t>b114t8</t>
        </is>
      </c>
      <c r="B6299" t="inlineStr">
        <is>
          <t>After 13 years as a Type 1 Diabetic, I just got my best A1c - ever!</t>
        </is>
      </c>
      <c r="C6299" t="inlineStr">
        <is>
          <t xml:space="preserve">I’ve been T1D for 13 years and my A1c has usually been in the 8’s or high 7’s. Over the last year I’ve finally gotten it in to the low 7’s, and I found out today my latest A1c is my best yet, 6.8!! I don’t think I’be been in the 6’s before! I told my family and they were happy but didn’t really understand, so I thought I would share with all of you : )
</t>
        </is>
      </c>
      <c r="D6299" t="n">
        <v>60</v>
      </c>
      <c r="E6299" t="n">
        <v>21</v>
      </c>
      <c r="F6299">
        <f>HYPERLINK("https://www.reddit.com/r/diabetes/comments/b114t8/after_13_years_as_a_type_1_diabetic_i_just_got_my/")</f>
        <v/>
      </c>
      <c r="G6299" t="inlineStr">
        <is>
          <t>2019-03-14 07:42:40</t>
        </is>
      </c>
      <c r="H6299" t="inlineStr">
        <is>
          <t>Type 1</t>
        </is>
      </c>
    </row>
    <row r="6300">
      <c r="A6300" t="inlineStr">
        <is>
          <t>b12ixx</t>
        </is>
      </c>
      <c r="B6300" t="inlineStr">
        <is>
          <t>Testing myself for Type 2 Diabetes. What do these levels mean?</t>
        </is>
      </c>
      <c r="C6300" t="inlineStr">
        <is>
          <t>I'm 26M, and over the past two years in particular, I have not been eating right... like, at all. Pizza, hotdogs, burgers, sushi, you name it. I'm by no means overweight (165lbs\~), but my diet needs improving. I live a largely sedentary lifestyle (computer programmer) with no regular exercise too.
Recently, 23andMe released a new feature for their Health Reports which includes the chances of getting Type 2 Diabetes. My report came back with a 24% chance of developing it, so I purchased a blood glucose kit from Walmart to test my levels.
**- First test, 3/13:** 97 mg/dl, right before bed after consuming a protein shake.
**- Second test, 3/14:** 101 mg/dl, the following morning before breakfast.
**- Third test, 3/14:** 112 mg/dl, after breakfast.
What do these levels mean? Should I keep track of the levels for a few days and talk to a doctor?</t>
        </is>
      </c>
      <c r="D6300" t="n">
        <v>0</v>
      </c>
      <c r="E6300" t="n">
        <v>3</v>
      </c>
      <c r="F6300">
        <f>HYPERLINK("https://www.reddit.com/r/diabetes/comments/b12ixx/testing_myself_for_type_2_diabetes_what_do_these/")</f>
        <v/>
      </c>
      <c r="G6300" t="inlineStr">
        <is>
          <t>2019-03-14 09:39:46</t>
        </is>
      </c>
      <c r="H6300" t="inlineStr">
        <is>
          <t>Type 2</t>
        </is>
      </c>
    </row>
    <row r="6301">
      <c r="A6301" t="inlineStr">
        <is>
          <t>b12tt9</t>
        </is>
      </c>
      <c r="B6301" t="inlineStr">
        <is>
          <t>Anyone with both T1D and ADHD notice them develop at the same time?</t>
        </is>
      </c>
      <c r="C6301" t="inlineStr">
        <is>
          <t>Hi all,
26 F, Type 1 since 2002. I have struggled with a lot of symptoms of ADHD since I was young, and will be seeing a psychiatrist soon to get a formal evaluation and diagnosis.
My question is: if you were diagnosed when you were slightly older (ie, remember life before diagnosis), did you notice ADHD symptoms begin to develop around the same time? I was highly attentive and focused as a kid prior to diagnosis, but the following years marked a steep downward turn for my cognitive function.
Curious if anyone else has had a similar experience. I'm really hoping treatment will help -- my whole life I've been struggling to "get back to the level of focus I had as a kid" and I'm just now starting to connect the dots.</t>
        </is>
      </c>
      <c r="D6301" t="n">
        <v>2</v>
      </c>
      <c r="E6301" t="n">
        <v>2</v>
      </c>
      <c r="F6301">
        <f>HYPERLINK("https://www.reddit.com/r/diabetes/comments/b12tt9/anyone_with_both_t1d_and_adhd_notice_them_develop/")</f>
        <v/>
      </c>
      <c r="G6301" t="inlineStr">
        <is>
          <t>2019-03-14 10:03:44</t>
        </is>
      </c>
      <c r="H6301" t="inlineStr">
        <is>
          <t>Type 1</t>
        </is>
      </c>
    </row>
    <row r="6302">
      <c r="A6302" t="inlineStr">
        <is>
          <t>b1602b</t>
        </is>
      </c>
      <c r="B6302" t="inlineStr">
        <is>
          <t>Boyfriend (34) is type 1. Still learning and advice greatly appriciated. Also trying to get pregnant.</t>
        </is>
      </c>
      <c r="C6302" t="inlineStr">
        <is>
          <t xml:space="preserve">As the title really. 
He has type 1. I am trying to learn as much as I can. He supports me with my major mental health issues and I want to really try my hardest to be a good support for him. 
I don't really know what I'm after just any tips etc. 
I have been present for a good few of his hyperglycemic attacks. I'm learning the signs of when it will happen but I feel useless and really don't know what to do. Thing is he is quite tall and muscular and I'm tiny and he can get quite aggressive when trying to get him sorted and straight. So any advice there would help. 
Also we are trying for a baby and I know that this can affect fertility so if anyone has been through this and is willing to share their story. 
Thank you in advance for any advice anyone can give me. 
</t>
        </is>
      </c>
      <c r="D6302" t="n">
        <v>5</v>
      </c>
      <c r="E6302" t="n">
        <v>10</v>
      </c>
      <c r="F6302">
        <f>HYPERLINK("https://www.reddit.com/r/diabetes/comments/b1602b/boyfriend_34_is_type_1_still_learning_and_advice/")</f>
        <v/>
      </c>
      <c r="G6302" t="inlineStr">
        <is>
          <t>2019-03-14 14:22:25</t>
        </is>
      </c>
      <c r="H6302" t="inlineStr">
        <is>
          <t>Type 1</t>
        </is>
      </c>
    </row>
    <row r="6303">
      <c r="A6303" t="inlineStr">
        <is>
          <t>b19m87</t>
        </is>
      </c>
      <c r="B6303" t="inlineStr">
        <is>
          <t>Diabetes Bag</t>
        </is>
      </c>
      <c r="C6303" t="inlineStr">
        <is>
          <t>What’s a sleek and modern looking bag you carry for your diabetes? I’m looking for one. (I have a G5 and Omnipod) I’m open to all suggestions. Am a male btw</t>
        </is>
      </c>
      <c r="D6303" t="n">
        <v>3</v>
      </c>
      <c r="E6303" t="n">
        <v>9</v>
      </c>
      <c r="F6303">
        <f>HYPERLINK("https://www.reddit.com/r/diabetes/comments/b19m87/diabetes_bag/")</f>
        <v/>
      </c>
      <c r="G6303" t="inlineStr">
        <is>
          <t>2019-03-14 20:00:24</t>
        </is>
      </c>
      <c r="H6303" t="inlineStr">
        <is>
          <t>Type 1</t>
        </is>
      </c>
    </row>
    <row r="6304">
      <c r="A6304" t="inlineStr">
        <is>
          <t>b19x0o</t>
        </is>
      </c>
      <c r="B6304" t="inlineStr">
        <is>
          <t>What does a pump do</t>
        </is>
      </c>
      <c r="C6304" t="inlineStr">
        <is>
          <t>Can someone explain exactly what the pump does and how it does it?</t>
        </is>
      </c>
      <c r="D6304" t="n">
        <v>3</v>
      </c>
      <c r="E6304" t="n">
        <v>7</v>
      </c>
      <c r="F6304">
        <f>HYPERLINK("https://www.reddit.com/r/diabetes/comments/b19x0o/what_does_a_pump_do/")</f>
        <v/>
      </c>
      <c r="G6304" t="inlineStr">
        <is>
          <t>2019-03-14 20:31:52</t>
        </is>
      </c>
      <c r="H6304" t="inlineStr">
        <is>
          <t>Type 1</t>
        </is>
      </c>
    </row>
    <row r="6305">
      <c r="A6305" t="inlineStr">
        <is>
          <t>b1bpnu</t>
        </is>
      </c>
      <c r="B6305" t="inlineStr">
        <is>
          <t>experiences with Apidra??</t>
        </is>
      </c>
      <c r="C6305" t="inlineStr">
        <is>
          <t>Hey all!! I'm so happy to see a community of diabetics here as i don't know many others in real life. 
I've been on apidra for a little over a year now and have a hard time finding first person experiences online with this insulin. I'm curious if there's anyone else in this community who uses apidra!!
My experiences with it have been mixed. I took novolog and lantus for a VERY long time before having to switch over to apidra and basaglar. although I've been taking the basaglar for slightly longer than the apidra, I still find myself having issues settling on a right dosage. 
Apidra works a lot better for me but I've also has some issues fine tuning my dosage with it. I currently have a carb scale of 1 unit per 10 carbs, but will adjust this up and down depending on the time if day and my current blood sugar. ((base insulin scale is like this: 1 unit @ 150-200, 2 units @ 200-250, so on. also adjust this depending of time of the year))
I've been a diabetic for 23 years now - I'm 25 years old. My last a1c was a 6.7. My diet was pretty ok until recently where I found myself in financial hard times, which has affected my bloodsugars a bit. I don't know anyone else who uses apidra and would love to hear what others have to say!!</t>
        </is>
      </c>
      <c r="D6305" t="n">
        <v>2</v>
      </c>
      <c r="E6305" t="n">
        <v>3</v>
      </c>
      <c r="F6305">
        <f>HYPERLINK("https://www.reddit.com/r/diabetes/comments/b1bpnu/experiences_with_apidra/")</f>
        <v/>
      </c>
      <c r="G6305" t="inlineStr">
        <is>
          <t>2019-03-15 00:05:15</t>
        </is>
      </c>
      <c r="H6305" t="inlineStr">
        <is>
          <t>Type 1</t>
        </is>
      </c>
    </row>
    <row r="6306">
      <c r="A6306" t="inlineStr">
        <is>
          <t>b1f1n0</t>
        </is>
      </c>
      <c r="B6306" t="inlineStr">
        <is>
          <t>How did you find out you had diabetes?</t>
        </is>
      </c>
      <c r="C6306" t="inlineStr">
        <is>
          <t>Here's my story :)
I had pancreatitis at around age 12 from what my mother and I believe came from having a horrible diet. I lived off spicy chips and at Mexican candy with powdered chili. Just search up Lucas candy and that's what I had for breakfast, lunch and dinner. Fast forward 6 years later...
I began to shrink. My thighs were half the size they were a year before. I started to lose SO MUCH hair in the shower. I slept with 4 water bottles next to me while I slept. I also couldn't get myself to weigh over 100 pounds. I didn't put much thought into all of these issues and the last thing on my mind was that they were all side effects of having diabetes.
I got a positive pregnancy test around August of 2017 and began to think I might have been having a miscarriage about 2 months in. I was told to go to the emergency room. I was a bit hesitant because I had no health insurance and was and still am a poor college student. I went in anyways and got my blood drawn and lab tested. The nurse came back and asked if I knew I had diabetes and that my sugar levels were over 700. I didn't know what this meant, but after she told me what the normal range was, I figured this was probably serious. This didn't come as a surprise to me because my grandparents and a few uncles have type II diabetes on both sides of the family. I was right about suffering from a miscarriage from what the doctor believes was probably from the high sugar levels. This was a bittersweet moment, because if I hadn't have gotten pregnant, I would have suffered some serious complications from my invisible but not so invisible diabetes.
&amp;amp;#x200B;
I still suffer from some awful eating habits but they are nowhere as bad as they were 2 years ago. I still get lazy on having to inject myself with insulin before every meal so I get levels up to 500 some nights. I get a bit jealous when my mom asks to test her levels on my glucose monitor and seeing her levels around the 130 range even AFTER a meal. I sometimes cry when I realize this is going to stick with me until the day I die and I won't be able to live or eat like other people. Then I remember how grateful I should be that this isn't cancer or some terminal disease that fall on other people and that this is manageable. 
&amp;amp;#x200B;
Today I am a type I diabetic and it only took me $14,000 to find out!
I'd like to hear your story on how you knew you were diabetic. How did you handle it? How do you feel about it today?
&amp;amp;#x200B;
Thanks for reading my story! Sorry for any grammatical errors! 
P.S. I have health insurance now :)</t>
        </is>
      </c>
      <c r="D6306" t="n">
        <v>2</v>
      </c>
      <c r="E6306" t="n">
        <v>15</v>
      </c>
      <c r="F6306">
        <f>HYPERLINK("https://www.reddit.com/r/diabetes/comments/b1f1n0/how_did_you_find_out_you_had_diabetes/")</f>
        <v/>
      </c>
      <c r="G6306" t="inlineStr">
        <is>
          <t>2019-03-15 06:36:04</t>
        </is>
      </c>
      <c r="H6306" t="inlineStr">
        <is>
          <t>Type 1</t>
        </is>
      </c>
    </row>
    <row r="6307">
      <c r="A6307" t="inlineStr">
        <is>
          <t>b1gxae</t>
        </is>
      </c>
      <c r="B6307" t="inlineStr">
        <is>
          <t>Hi i was diagnosed with Diabetes Mellitus 2 days ago. I have a lot of questions but the main ones is that what can I drink beside water?</t>
        </is>
      </c>
      <c r="C6307" t="inlineStr">
        <is>
          <t xml:space="preserve">I got to this point because i like to drink my calories in the form of soda and juice and alcohol. I know I have to go cold turkey and only drink water but if I absolutely craves something sweet to drink, whatever is safe? Is ICE sparkling watering safe? Can I still drinking coffee and milk? What fast foods are "safe" to eat? </t>
        </is>
      </c>
      <c r="D6307" t="n">
        <v>2</v>
      </c>
      <c r="E6307" t="n">
        <v>12</v>
      </c>
      <c r="F6307">
        <f>HYPERLINK("https://www.reddit.com/r/diabetes/comments/b1gxae/hi_i_was_diagnosed_with_diabetes_mellitus_2_days/")</f>
        <v/>
      </c>
      <c r="G6307" t="inlineStr">
        <is>
          <t>2019-03-15 09:25:31</t>
        </is>
      </c>
      <c r="H6307" t="inlineStr">
        <is>
          <t>Type 2</t>
        </is>
      </c>
    </row>
    <row r="6308">
      <c r="A6308" t="inlineStr">
        <is>
          <t>b1gxtr</t>
        </is>
      </c>
      <c r="B6308" t="inlineStr">
        <is>
          <t>Best A1C in 10 years!</t>
        </is>
      </c>
      <c r="C6308" t="inlineStr">
        <is>
          <t>I started on a Dexcom G6 after years of fighting CGMs and just had my first endo follow up on the new system. My A1C is 6.6%, down from 8.7% in December!! After years of hovering in 7s and low 8s, this is the best result I’ve had in a decade! I’m sooo excited and I know this community can truly appreciate it :)</t>
        </is>
      </c>
      <c r="D6308" t="n">
        <v>22</v>
      </c>
      <c r="E6308" t="n">
        <v>7</v>
      </c>
      <c r="F6308">
        <f>HYPERLINK("https://www.reddit.com/r/diabetes/comments/b1gxtr/best_a1c_in_10_years/")</f>
        <v/>
      </c>
      <c r="G6308" t="inlineStr">
        <is>
          <t>2019-03-15 09:26:44</t>
        </is>
      </c>
      <c r="H6308" t="inlineStr">
        <is>
          <t>Type 1</t>
        </is>
      </c>
    </row>
    <row r="6309">
      <c r="A6309" t="inlineStr">
        <is>
          <t>b1iabh</t>
        </is>
      </c>
      <c r="B6309" t="inlineStr">
        <is>
          <t>Can i measure the sugar levels of a soda?</t>
        </is>
      </c>
      <c r="C6309" t="inlineStr">
        <is>
          <t>So i just measured my "sugar free" soda and it said 4.3 mmol, does this confirm it will raise my blood sugar or is this just a coinsidence?</t>
        </is>
      </c>
      <c r="D6309" t="n">
        <v>4</v>
      </c>
      <c r="E6309" t="n">
        <v>9</v>
      </c>
      <c r="F6309">
        <f>HYPERLINK("https://www.reddit.com/r/diabetes/comments/b1iabh/can_i_measure_the_sugar_levels_of_a_soda/")</f>
        <v/>
      </c>
      <c r="G6309" t="inlineStr">
        <is>
          <t>2019-03-15 11:20:35</t>
        </is>
      </c>
      <c r="H6309" t="inlineStr">
        <is>
          <t>Type 1</t>
        </is>
      </c>
    </row>
    <row r="6310">
      <c r="A6310" t="inlineStr">
        <is>
          <t>b1ikk4</t>
        </is>
      </c>
      <c r="B6310" t="inlineStr">
        <is>
          <t>Got my diagnosis changed from "uncontrolled" to "controlled" after a year of focus. Yay, me.</t>
        </is>
      </c>
      <c r="C6310" t="inlineStr">
        <is>
          <t>T1, A1Cs down to 7.1, trying to catch my friend with T2 at 6.7. CGM was a huge help. Side note: I tell all struggling diabetics to log on here. You all are the best. Thanks for helping me laugh.</t>
        </is>
      </c>
      <c r="D6310" t="n">
        <v>180</v>
      </c>
      <c r="E6310" t="n">
        <v>29</v>
      </c>
      <c r="F6310">
        <f>HYPERLINK("https://www.reddit.com/r/diabetes/comments/b1ikk4/got_my_diagnosis_changed_from_uncontrolled_to/")</f>
        <v/>
      </c>
      <c r="G6310" t="inlineStr">
        <is>
          <t>2019-03-15 11:44:52</t>
        </is>
      </c>
      <c r="H6310" t="inlineStr">
        <is>
          <t>Type 1</t>
        </is>
      </c>
    </row>
    <row r="6311">
      <c r="A6311" t="inlineStr">
        <is>
          <t>b1w3ou</t>
        </is>
      </c>
      <c r="B6311" t="inlineStr">
        <is>
          <t>What do you eat for breakfast?</t>
        </is>
      </c>
      <c r="C6311" t="inlineStr">
        <is>
          <t>Type 1 here. 
What do you eat for breakfast? I eat 2 eggs every morning with kale and avocado. I want to expand further and move away from so many eggs a week, due to high-cholesterol concerns. Any suggestions on diabetes-friendly breakfast foods/protein? Oh and I’m lactose-intolerant!</t>
        </is>
      </c>
      <c r="D6311" t="n">
        <v>4</v>
      </c>
      <c r="E6311" t="n">
        <v>15</v>
      </c>
      <c r="F6311">
        <f>HYPERLINK("https://www.reddit.com/r/diabetes/comments/b1w3ou/what_do_you_eat_for_breakfast/")</f>
        <v/>
      </c>
      <c r="G6311" t="inlineStr">
        <is>
          <t>2019-03-16 12:16:08</t>
        </is>
      </c>
      <c r="H6311" t="inlineStr">
        <is>
          <t>Type 1</t>
        </is>
      </c>
    </row>
    <row r="6312">
      <c r="A6312" t="inlineStr">
        <is>
          <t>b1zkua</t>
        </is>
      </c>
      <c r="B6312" t="inlineStr">
        <is>
          <t>Dexcom g6 sensor error</t>
        </is>
      </c>
      <c r="C6312" t="inlineStr">
        <is>
          <t>I’ve been using the dexcom g6 for over a year, but over my last couple of sensors I’ve been getting repeated sensor error messages. I think it’s related to the transmitter, but I’m not sure. How can I test these and what should I do? TIA!</t>
        </is>
      </c>
      <c r="D6312" t="n">
        <v>3</v>
      </c>
      <c r="E6312" t="n">
        <v>4</v>
      </c>
      <c r="F6312">
        <f>HYPERLINK("https://www.reddit.com/r/diabetes/comments/b1zkua/dexcom_g6_sensor_error/")</f>
        <v/>
      </c>
      <c r="G6312" t="inlineStr">
        <is>
          <t>2019-03-16 17:51:15</t>
        </is>
      </c>
      <c r="H6312" t="inlineStr">
        <is>
          <t>Type 1</t>
        </is>
      </c>
    </row>
    <row r="6313">
      <c r="A6313" t="inlineStr">
        <is>
          <t>b204v8</t>
        </is>
      </c>
      <c r="B6313" t="inlineStr">
        <is>
          <t>Hey Reddit, a friend just got diagnosed with type 1 diabetes and they ran out of insulin, and the pharmacy won't refill her prescription until Saturday when her insurance will cover it. Is there anything they can do?</t>
        </is>
      </c>
      <c r="C6313" t="inlineStr">
        <is>
          <t>Also, they wonder if they go to a Emergency Room to see if they can get treated or a prescription early or anything that when saturday does come, they won’t be able to pick the one on saturday anymore and maybe causing this to be a cycle of running out early 
its stuff like this that really pisses me off about the American healthcare system...</t>
        </is>
      </c>
      <c r="D6313" t="n">
        <v>8</v>
      </c>
      <c r="E6313" t="n">
        <v>14</v>
      </c>
      <c r="F6313">
        <f>HYPERLINK("https://www.reddit.com/r/diabetes/comments/b204v8/hey_reddit_a_friend_just_got_diagnosed_with_type/")</f>
        <v/>
      </c>
      <c r="G6313" t="inlineStr">
        <is>
          <t>2019-03-16 18:50:01</t>
        </is>
      </c>
      <c r="H6313" t="inlineStr">
        <is>
          <t>Type 1</t>
        </is>
      </c>
    </row>
    <row r="6314">
      <c r="A6314" t="inlineStr">
        <is>
          <t>b218sw</t>
        </is>
      </c>
      <c r="B6314" t="inlineStr">
        <is>
          <t>Wtf is happening??</t>
        </is>
      </c>
      <c r="C6314" t="inlineStr">
        <is>
          <t>I had nachos for an early dinner (30g of carbs) with a scoop of ice cream (50g). I have given FORTY units of novalog over the past seven hours and I have been hovering around 230 - 250mg/dL the whole time!! It just won't go down!! I'm guessing my pump is working because I haven't skyrocketed as if it were broken, and I know I'm not sick. What's going on?? My ratio is usually 1:6g but this is crazy! I have dexcom G6 and tslim x2 pump (I just changed it this morning).</t>
        </is>
      </c>
      <c r="D6314" t="n">
        <v>3</v>
      </c>
      <c r="E6314" t="n">
        <v>17</v>
      </c>
      <c r="F6314">
        <f>HYPERLINK("https://www.reddit.com/r/diabetes/comments/b218sw/wtf_is_happening/")</f>
        <v/>
      </c>
      <c r="G6314" t="inlineStr">
        <is>
          <t>2019-03-16 20:56:27</t>
        </is>
      </c>
      <c r="H6314" t="inlineStr">
        <is>
          <t>Type 1</t>
        </is>
      </c>
    </row>
    <row r="6315">
      <c r="A6315" t="inlineStr">
        <is>
          <t>b21y09</t>
        </is>
      </c>
      <c r="B6315" t="inlineStr">
        <is>
          <t>Can anyone help me understand the difference (if there is any) between Lantus and Basaglar?</t>
        </is>
      </c>
      <c r="C6315" t="inlineStr">
        <is>
          <t xml:space="preserve">Is there any real difference between Lantus and Basaglar? 
I'm type 1 diabetic, currently unemployed, and can't afford insulin. Ever since I can remember I've been taking Lantus long acting insulin every night to control my blood sugar while I sleep.
I have an Aunt who is also diabetic but she is being sent way too much insulin than she actually needs so she gave me some, except it's a different brand/name. I take Lantus, she takes Basaglar. 
If I ever run out of Lantus is it ok for me to use the basaglar? Or should I talk to my doctor first? </t>
        </is>
      </c>
      <c r="D6315" t="n">
        <v>2</v>
      </c>
      <c r="E6315" t="n">
        <v>6</v>
      </c>
      <c r="F6315">
        <f>HYPERLINK("https://www.reddit.com/r/diabetes/comments/b21y09/can_anyone_help_me_understand_the_difference_if/")</f>
        <v/>
      </c>
      <c r="G6315" t="inlineStr">
        <is>
          <t>2019-03-16 22:28:10</t>
        </is>
      </c>
      <c r="H6315" t="inlineStr">
        <is>
          <t>Type 1</t>
        </is>
      </c>
    </row>
    <row r="6316">
      <c r="A6316" t="inlineStr">
        <is>
          <t>b24oig</t>
        </is>
      </c>
      <c r="B6316" t="inlineStr">
        <is>
          <t>Thanks guys</t>
        </is>
      </c>
      <c r="C6316" t="inlineStr">
        <is>
          <t xml:space="preserve">I am in good physical condition, that being said I have felt like crap for a long time. I neglected going to the hospital, I guess that's due to my father's influence and the amount of people I've seen die. 
I had a friend recently die, he didn't know he was diabetic. He got sick and I guess his blood sugar got too low. He went into a coma...he was dead for 2 days before his roommates decided to go into his room. 
It got me thinking, I certainly had the symptoms. Then I posted on here to see what you guys thought. It was your words that convinced me to get tested. In a way you guys might have saved my life. So thanks. </t>
        </is>
      </c>
      <c r="D6316" t="n">
        <v>1</v>
      </c>
      <c r="E6316" t="n">
        <v>0</v>
      </c>
      <c r="F6316">
        <f>HYPERLINK("https://www.reddit.com/r/diabetes/comments/b24oig/thanks_guys/")</f>
        <v/>
      </c>
      <c r="G6316" t="inlineStr">
        <is>
          <t>2019-03-17 05:28:44</t>
        </is>
      </c>
      <c r="H6316" t="inlineStr">
        <is>
          <t>Type 2</t>
        </is>
      </c>
    </row>
    <row r="6317">
      <c r="A6317" t="inlineStr">
        <is>
          <t>b24rmf</t>
        </is>
      </c>
      <c r="B6317" t="inlineStr">
        <is>
          <t>I got tested.</t>
        </is>
      </c>
      <c r="C6317" t="inlineStr">
        <is>
          <t xml:space="preserve">I am in good physical condition, that being said I have felt like crap for a long time. I neglected going to the hospital, I guess that's due to my father's influence and the amount of people I've seen die. 
I had a friend recently die, he didn't know he was diabetic. He got sick and I guess his blood sugar got too low. He went into a coma...he was dead for 2 days before his roommates decided to go into his room. 
It got me thinking, I certainly had the symptoms. Then I posted on here to see what you guys thought. It was your words that convinced me to get tested. In a way you guys might have saved my life. The fact that I had type 2 was shocking. Just thought I should say thanks. </t>
        </is>
      </c>
      <c r="D6317" t="n">
        <v>53</v>
      </c>
      <c r="E6317" t="n">
        <v>8</v>
      </c>
      <c r="F6317">
        <f>HYPERLINK("https://www.reddit.com/r/diabetes/comments/b24rmf/i_got_tested/")</f>
        <v/>
      </c>
      <c r="G6317" t="inlineStr">
        <is>
          <t>2019-03-17 05:40:11</t>
        </is>
      </c>
      <c r="H6317" t="inlineStr">
        <is>
          <t>Type 2</t>
        </is>
      </c>
    </row>
    <row r="6318">
      <c r="A6318" t="inlineStr">
        <is>
          <t>b25lls</t>
        </is>
      </c>
      <c r="B6318" t="inlineStr">
        <is>
          <t>Net carbs</t>
        </is>
      </c>
      <c r="C6318" t="inlineStr">
        <is>
          <t xml:space="preserve">How do you calculate net carbs?
I’m trying to figure out how many carbs are in chia seeds. It says there are 8g of carbs in 2 tbps but there is also 8g of fiber. I remember I didn’t bolus for chia a while ago and my BG spiked...but how do I know how many grams to bolus for if it negates itself?
Type 1 - still honeymooning and sensitive to insulin. </t>
        </is>
      </c>
      <c r="D6318" t="n">
        <v>3</v>
      </c>
      <c r="E6318" t="n">
        <v>9</v>
      </c>
      <c r="F6318">
        <f>HYPERLINK("https://www.reddit.com/r/diabetes/comments/b25lls/net_carbs/")</f>
        <v/>
      </c>
      <c r="G6318" t="inlineStr">
        <is>
          <t>2019-03-17 07:19:23</t>
        </is>
      </c>
      <c r="H6318" t="inlineStr">
        <is>
          <t>Type 1</t>
        </is>
      </c>
    </row>
    <row r="6319">
      <c r="A6319" t="inlineStr">
        <is>
          <t>b262kh</t>
        </is>
      </c>
      <c r="B6319" t="inlineStr">
        <is>
          <t>Question for Mio Set Users</t>
        </is>
      </c>
      <c r="C6319" t="inlineStr">
        <is>
          <t>When I am changing my set, fill the reservoir, and attach it to the Mio infusion set, I notice that sometimes the reservoir cap rotates to the right a quarter turn as I connect it to the set. This probably happens once every 3-4 times I change my set. Have others noticed this? Is it still safe to use the set?</t>
        </is>
      </c>
      <c r="D6319" t="n">
        <v>1</v>
      </c>
      <c r="E6319" t="n">
        <v>2</v>
      </c>
      <c r="F6319">
        <f>HYPERLINK("https://www.reddit.com/r/diabetes/comments/b262kh/question_for_mio_set_users/")</f>
        <v/>
      </c>
      <c r="G6319" t="inlineStr">
        <is>
          <t>2019-03-17 08:08:20</t>
        </is>
      </c>
      <c r="H6319" t="inlineStr">
        <is>
          <t>Type 1</t>
        </is>
      </c>
    </row>
    <row r="6320">
      <c r="A6320" t="inlineStr">
        <is>
          <t>b26pbf</t>
        </is>
      </c>
      <c r="B6320" t="inlineStr">
        <is>
          <t>High in the morning--6 days straight!!!!</t>
        </is>
      </c>
      <c r="C6320" t="inlineStr">
        <is>
          <t>Hey! I'm a 34 year old dude. Dx'ed 5 years ago. I weigh about 165 and am extremely active. Latest a1c 6.6, multiple daily injections. 
&amp;amp;#x200B;
So we've all been high in the mornings before and we all usually know what to do, but I'm getting a little bit stumped here. Over the last 6 days, I have not woken up under 220. Most nights I'm in range at bedtime, but even if I'm not, I correct and go to sleep. Last night I was 174 3 hours post meal, took 2 units of corrective Novolog, 20 units of Lantus, went to sleep at 12:30, woke up at 8 with a BG of 224. I did not eat a particularly carb-y meal, and had run 3 miles or so earlier in the afternoon.
&amp;amp;#x200B;
Two days ago, I switched from Levemir to Lantus--for a few days, I hypothesized that my basil insulin was just bad. I was coming to the end of the box, though, and was about to switch to Lantus anyway due to my insurance coverage. Previously, I had been taking 10u of Levemir at night, and 8-10 units during the day depending on activity. Two nights on Lantus now--the first night I took 18 units, last night 20. 
&amp;amp;#x200B;
What do y'all recommend? Just upping the Lantus dose til I dial it in?
&amp;amp;#x200B;
Thanks again to everyone in here--I really love this community.</t>
        </is>
      </c>
      <c r="D6320" t="n">
        <v>5</v>
      </c>
      <c r="E6320" t="n">
        <v>11</v>
      </c>
      <c r="F6320">
        <f>HYPERLINK("https://www.reddit.com/r/diabetes/comments/b26pbf/high_in_the_morning6_days_straight/")</f>
        <v/>
      </c>
      <c r="G6320" t="inlineStr">
        <is>
          <t>2019-03-17 09:09:38</t>
        </is>
      </c>
      <c r="H6320" t="inlineStr">
        <is>
          <t>Type 1</t>
        </is>
      </c>
    </row>
    <row r="6321">
      <c r="A6321" t="inlineStr">
        <is>
          <t>b28h7b</t>
        </is>
      </c>
      <c r="B6321" t="inlineStr">
        <is>
          <t>Full week of increased insulin needs??</t>
        </is>
      </c>
      <c r="C6321" t="inlineStr">
        <is>
          <t xml:space="preserve">I was sick 2 weeks ago and my sugar was riding high around then, understandably. 
But I’m all better now and I’ve had to increase my lantus 3-4 units and my carb to insulin has increased! I’m now taking 40% more short acting during meals and I’m still spiking like crazy! So depressing. What can be causing this? I’m just still just rebounding from my illness? </t>
        </is>
      </c>
      <c r="D6321" t="n">
        <v>3</v>
      </c>
      <c r="E6321" t="n">
        <v>4</v>
      </c>
      <c r="F6321">
        <f>HYPERLINK("https://www.reddit.com/r/diabetes/comments/b28h7b/full_week_of_increased_insulin_needs/")</f>
        <v/>
      </c>
      <c r="G6321" t="inlineStr">
        <is>
          <t>2019-03-17 11:49:43</t>
        </is>
      </c>
      <c r="H6321" t="inlineStr">
        <is>
          <t>Type 1</t>
        </is>
      </c>
    </row>
    <row r="6322">
      <c r="A6322" t="inlineStr">
        <is>
          <t>b29nqy</t>
        </is>
      </c>
      <c r="B6322" t="inlineStr">
        <is>
          <t>How do I work out?</t>
        </is>
      </c>
      <c r="C6322" t="inlineStr">
        <is>
          <t>Newly diagnosed end of january. I have avoided working out since then cuz my endo forget to talk with me about sports.
What are your tips about working out as a typ 1 diabetic? I guess I shouldn't start to work out at 80mg/dl but rather at something like 140mg/dl and keep my coke with me incase I drop too low. 
Happy about any kind of tip to avoid a desaster.</t>
        </is>
      </c>
      <c r="D6322" t="n">
        <v>5</v>
      </c>
      <c r="E6322" t="n">
        <v>14</v>
      </c>
      <c r="F6322">
        <f>HYPERLINK("https://www.reddit.com/r/diabetes/comments/b29nqy/how_do_i_work_out/")</f>
        <v/>
      </c>
      <c r="G6322" t="inlineStr">
        <is>
          <t>2019-03-17 13:34:35</t>
        </is>
      </c>
      <c r="H6322" t="inlineStr">
        <is>
          <t>Type 1</t>
        </is>
      </c>
    </row>
    <row r="6323">
      <c r="A6323" t="inlineStr">
        <is>
          <t>b2a1jl</t>
        </is>
      </c>
      <c r="B6323" t="inlineStr">
        <is>
          <t>New to this. Type 2 diabetic. Scared and feeling overwhelmed</t>
        </is>
      </c>
      <c r="C6323" t="inlineStr">
        <is>
          <t xml:space="preserve">Hi. I am a 24 year old female who has always fallen in the prediabetic range. Diabetes (type 1 and 2) run on both sides of my families including my mom. I have gained a lot of weight in the last year which I think pushed me over the age to now a full blown type 2 diabetic. A couple months ago it was 6.9 and my doctor said he is comfortable keeping me off of medication for this and treating it with diet as long as it stays under 7.  As of Thursday I checked my A1C at work using the finger-stick/point of care machine and it was 7.3. I’m worried because I have been a giant idiot and have not taken this seriously. I want to be healthy and be able to have kids and a family. I have a wonderful fiancé in my life who I hope to grow old with. How bad did I screw myself? My doctor wants me to get an actual blood test done via venipuncture for the A1C and see if it really is 7.3. I know he will suggest medication. I don’t know why I feel so strongly about not wanting to take it but I will do what I need to do. Those who have been able to keep their diabetes controlled, were you eventually able to come off the medication? That would be a goal for me if I do indeed have to be on it. I’m upset with myself for not taking it as seriously as I should have and have no one to blame but me. I love carbs and sweets and I guess I just never really understand diabetes. I still really don’t to be honest, I don’t know what it “means” as far as what the body goes through and what the complications can be. 
I guess I just need some overall guidance as very anxious person who is new to this and is kicking myself hard for letting me get to this point. I did just buy a glucometer and some strips to check.. my non fasting blood sugar was 181 about 3-4 hours after eating pizza. (Pizza I know) 
Any advice/constructive criticism or personal stories are so welcomed.. thank you </t>
        </is>
      </c>
      <c r="D6323" t="n">
        <v>5</v>
      </c>
      <c r="E6323" t="n">
        <v>6</v>
      </c>
      <c r="F6323">
        <f>HYPERLINK("https://www.reddit.com/r/diabetes/comments/b2a1jl/new_to_this_type_2_diabetic_scared_and_feeling/")</f>
        <v/>
      </c>
      <c r="G6323" t="inlineStr">
        <is>
          <t>2019-03-17 14:09:03</t>
        </is>
      </c>
      <c r="H6323" t="inlineStr">
        <is>
          <t>Type 2</t>
        </is>
      </c>
    </row>
    <row r="6324">
      <c r="A6324" t="inlineStr">
        <is>
          <t>b2d462</t>
        </is>
      </c>
      <c r="B6324" t="inlineStr">
        <is>
          <t>Diabetic Army</t>
        </is>
      </c>
      <c r="C6324" t="inlineStr">
        <is>
          <t xml:space="preserve">Hey Guys! Im new to Reddit but i am trying to get more involved in the Diabetic Community. I am i type 1 Diabetic and was diagnosed when I was 9. I am currently working on a new Diabetic Website where all type 1's can come together for support and many other things related to type 1 diabetes. Please go check it out and share! please comment and let me know what other things you would like to see!
[https://allenstover01.wixsite.com/diabeticarmy](https://allenstover01.wixsite.com/diabeticarmy)
&amp;amp;#x200B;
follow me on Facebook or Twitter 
Twitter: @Diabetic\_Army
Facebook: Diabetic Army </t>
        </is>
      </c>
      <c r="D6324" t="n">
        <v>1</v>
      </c>
      <c r="E6324" t="n">
        <v>1</v>
      </c>
      <c r="F6324">
        <f>HYPERLINK("https://www.reddit.com/r/diabetes/comments/b2d462/diabetic_army/")</f>
        <v/>
      </c>
      <c r="G6324" t="inlineStr">
        <is>
          <t>2019-03-17 19:12:08</t>
        </is>
      </c>
      <c r="H6324" t="inlineStr">
        <is>
          <t>Type 1</t>
        </is>
      </c>
    </row>
    <row r="6325">
      <c r="A6325" t="inlineStr">
        <is>
          <t>b2daru</t>
        </is>
      </c>
      <c r="B6325" t="inlineStr">
        <is>
          <t>Lifting/exercising</t>
        </is>
      </c>
      <c r="C6325" t="inlineStr">
        <is>
          <t xml:space="preserve">I am on my way to getting a sensor or a pump and was concerned that it would interfere with my physical activities. Are those things something I can easily take on and off? I really want a sensor but also would like the be able to move freely. Also am open to any other tips about this topic for a T1D. </t>
        </is>
      </c>
      <c r="D6325" t="n">
        <v>3</v>
      </c>
      <c r="E6325" t="n">
        <v>4</v>
      </c>
      <c r="F6325">
        <f>HYPERLINK("https://www.reddit.com/r/diabetes/comments/b2daru/liftingexercising/")</f>
        <v/>
      </c>
      <c r="G6325" t="inlineStr">
        <is>
          <t>2019-03-17 19:32:01</t>
        </is>
      </c>
      <c r="H6325" t="inlineStr">
        <is>
          <t>Type 1</t>
        </is>
      </c>
    </row>
    <row r="6326">
      <c r="A6326" t="inlineStr">
        <is>
          <t>b2ee2s</t>
        </is>
      </c>
      <c r="B6326" t="inlineStr">
        <is>
          <t>Alternative pump sites</t>
        </is>
      </c>
      <c r="C6326" t="inlineStr">
        <is>
          <t>Hey everyone i am on a Medtronic 670G pump with the quickset infusion set. Before that pump i was on a couple different Medtronic minimed pumps. Anyway I’ve been using my abdomen and my upper buttocks as pump sites for a very long time and I was wondering if anyone else used an alternative site. I’ve been curious about using my thigh but haven’t done that. Or if there is any other site you use let me know.
Side note: i don’t have the guardian sensor that comes with the 670G because of insurance purposes and I wear a freestyle libre on my arm</t>
        </is>
      </c>
      <c r="D6326" t="n">
        <v>2</v>
      </c>
      <c r="E6326" t="n">
        <v>7</v>
      </c>
      <c r="F6326">
        <f>HYPERLINK("https://www.reddit.com/r/diabetes/comments/b2ee2s/alternative_pump_sites/")</f>
        <v/>
      </c>
      <c r="G6326" t="inlineStr">
        <is>
          <t>2019-03-17 21:38:03</t>
        </is>
      </c>
      <c r="H6326" t="inlineStr">
        <is>
          <t>Type 1</t>
        </is>
      </c>
    </row>
    <row r="6327">
      <c r="A6327" t="inlineStr">
        <is>
          <t>b2iadc</t>
        </is>
      </c>
      <c r="B6327" t="inlineStr">
        <is>
          <t>Teacher of a T1 Student</t>
        </is>
      </c>
      <c r="C6327" t="inlineStr">
        <is>
          <t>Hello, everyone!
I'm a grade 1/2 teacher with a Type 1 diabetic student (7F) in my class. I have been learning so much about T1 over the last few months and am simply amazed at how little I knew before. Right now, I am currently working with my student on a presentation to give the class about her illness (what it is, how it affects her, her journey of diagnosis, what classmates can do to help, etc.) to try to help the other students to understand more of this massive part of her life!
I'm wondering if anyone might have some suggestions for what information would be particularly important to cover, what might be important to emphasize, etc. Perhaps things you wished other students understood about your illness. I would also love to hear any advice/information you want to share for how I can be as supportive of her as possible!
Thanks in advance for any ideas, comments, suggestions, etc</t>
        </is>
      </c>
      <c r="D6327" t="n">
        <v>20</v>
      </c>
      <c r="E6327" t="n">
        <v>42</v>
      </c>
      <c r="F6327">
        <f>HYPERLINK("https://www.reddit.com/r/diabetes/comments/b2iadc/teacher_of_a_t1_student/")</f>
        <v/>
      </c>
      <c r="G6327" t="inlineStr">
        <is>
          <t>2019-03-18 05:44:37</t>
        </is>
      </c>
      <c r="H6327" t="inlineStr">
        <is>
          <t>Type 1</t>
        </is>
      </c>
    </row>
    <row r="6328">
      <c r="A6328" t="inlineStr">
        <is>
          <t>b2jnj3</t>
        </is>
      </c>
      <c r="B6328" t="inlineStr">
        <is>
          <t>High numbers on Basaglar?</t>
        </is>
      </c>
      <c r="C6328" t="inlineStr">
        <is>
          <t>Insurance didn't cover Lantus so my Type 2 husband was switched to Basaglar. At first it was a 1:1 swap (20 Lantus to 20 Basaglar) but almost immediately his fasting sugar levels became so high that we grew concerned. Went back to the doc, who recommended going up to 25. But his fasting levels are still running pretty high; he's waking up in the morning at 190, and after eating almost anything it jumps up to mid 200s. He's only been on Basaglar about two weeks, and only been on the higher dosage for four days. 
&amp;amp;#x200B;
I don't want to be paranoid, but we noticed an immediate change with Lantus, so maybe we're just overreacting because we're not seeing the same dramatic drop in numbers. I guess I'm half-venting and half-hunting for reassurance that this is okay. Has anyone else experienced this with Basaglar? Did it correct itself after a while? Did you find you ended up taking more units of Basaglar as opposed to your old insulin? Maybe this is just a matter of dialing it all in again.</t>
        </is>
      </c>
      <c r="D6328" t="n">
        <v>2</v>
      </c>
      <c r="E6328" t="n">
        <v>3</v>
      </c>
      <c r="F6328">
        <f>HYPERLINK("https://www.reddit.com/r/diabetes/comments/b2jnj3/high_numbers_on_basaglar/")</f>
        <v/>
      </c>
      <c r="G6328" t="inlineStr">
        <is>
          <t>2019-03-18 07:54:27</t>
        </is>
      </c>
      <c r="H6328" t="inlineStr">
        <is>
          <t>Type 2</t>
        </is>
      </c>
    </row>
    <row r="6329">
      <c r="A6329" t="inlineStr">
        <is>
          <t>b2joeb</t>
        </is>
      </c>
      <c r="B6329" t="inlineStr">
        <is>
          <t>Recently diagnosed mother feeling very tired.</t>
        </is>
      </c>
      <c r="C6329" t="inlineStr">
        <is>
          <t>Hello all, my mother was diagnosed recently with type 2 and possibly lupus. We cut the vast majority of sugar and carbs from her diet, but lately she's been getting very tired and lethargic towards the end of the day. I'm worried that maybe cutting so fast was a bad choice and that we should have taken it slower. Any help appreciated. Also, any info for the relatively uninformed would be appreciated as well.</t>
        </is>
      </c>
      <c r="D6329" t="n">
        <v>3</v>
      </c>
      <c r="E6329" t="n">
        <v>9</v>
      </c>
      <c r="F6329">
        <f>HYPERLINK("https://www.reddit.com/r/diabetes/comments/b2joeb/recently_diagnosed_mother_feeling_very_tired/")</f>
        <v/>
      </c>
      <c r="G6329" t="inlineStr">
        <is>
          <t>2019-03-18 07:56:36</t>
        </is>
      </c>
      <c r="H6329" t="inlineStr">
        <is>
          <t>Type 2</t>
        </is>
      </c>
    </row>
    <row r="6330">
      <c r="A6330" t="inlineStr">
        <is>
          <t>b2khe2</t>
        </is>
      </c>
      <c r="B6330" t="inlineStr">
        <is>
          <t>My food experiments thus far...</t>
        </is>
      </c>
      <c r="C6330" t="inlineStr">
        <is>
          <t>For what it's worth, here are my recent experiments with food. I'm a Type 2 just on Metformin. I took my BG reading before eating, 1 hour after, and 2 hours after to see if there were any spikes or notable increases. Still figuring out what's ok and what's not. 
&amp;amp;#x200B;
**THINGS THAT DON'T RAISE MY BG VERY MUCH (OR AT ALL):**
* Milk 
* Re-fried Beans
* Chili
* Fruit/Nuts
* Skinny Cow Ice Cream
* Coconut Milk Soup
&amp;amp;#x200B;
**THINGS THAT DO RAISE MY BG A LOT:**
Tacos
Yogurt with the fruit already in it
&amp;amp;#x200B;
**SKETCHY THINGS I WANT TO TRY NEXT:**
Chinese food
Fried Chicken
BBQ
Potatoes</t>
        </is>
      </c>
      <c r="D6330" t="n">
        <v>5</v>
      </c>
      <c r="E6330" t="n">
        <v>17</v>
      </c>
      <c r="F6330">
        <f>HYPERLINK("https://www.reddit.com/r/diabetes/comments/b2khe2/my_food_experiments_thus_far/")</f>
        <v/>
      </c>
      <c r="G6330" t="inlineStr">
        <is>
          <t>2019-03-18 09:05:31</t>
        </is>
      </c>
      <c r="H6330" t="inlineStr">
        <is>
          <t>Type 2</t>
        </is>
      </c>
    </row>
    <row r="6331">
      <c r="A6331" t="inlineStr">
        <is>
          <t>b2kubh</t>
        </is>
      </c>
      <c r="B6331" t="inlineStr">
        <is>
          <t>Finally paying more attention to my carbs and it’s paying off!!</t>
        </is>
      </c>
      <c r="C6331" t="inlineStr">
        <is>
          <t>So a little over a year ago I was diagnosed as T2. My A1C was greater than 14 when I got tested as my blood sugar had been running over 300 for a long time apparently. I didn’t immediately start eating healthy but kind of selected healthier options. I was on insulin in the beginning, however, now I just take 500 mg metformin twice a day. That alone brought my a1c down to 6.1!! 
Anyway this past week and a half I’ve only had salad for lunch and have been cooking decent foods that are lower in carbs and have less of a blood sugar impact. I’m already down 7 pounds this week! I’m very excited to get my A1C checked again in about a month to see if its gone down more. I’m pretty happy with 6.1 but would love to see that number even lower. 
To any type 2’s you’ve got this!! I definitely believe in you guys!!</t>
        </is>
      </c>
      <c r="D6331" t="n">
        <v>16</v>
      </c>
      <c r="E6331" t="n">
        <v>6</v>
      </c>
      <c r="F6331">
        <f>HYPERLINK("https://www.reddit.com/r/diabetes/comments/b2kubh/finally_paying_more_attention_to_my_carbs_and_its/")</f>
        <v/>
      </c>
      <c r="G6331" t="inlineStr">
        <is>
          <t>2019-03-18 09:35:01</t>
        </is>
      </c>
      <c r="H6331" t="inlineStr">
        <is>
          <t>Type 2</t>
        </is>
      </c>
    </row>
    <row r="6332">
      <c r="A6332" t="inlineStr">
        <is>
          <t>b2n0jl</t>
        </is>
      </c>
      <c r="B6332" t="inlineStr">
        <is>
          <t>Is sugar really that bad for diabetics?</t>
        </is>
      </c>
      <c r="C6332" t="inlineStr">
        <is>
          <t>I see all the posts and comments about not getting to have candy, cake, etc. My question is, is it still bad to eat candy if you have enough insulin that you don't spike your blood sugar and you don't crash afterwards? Is high blood sugar the biggest reason people don't eat sugar?</t>
        </is>
      </c>
      <c r="D6332" t="n">
        <v>3</v>
      </c>
      <c r="E6332" t="n">
        <v>26</v>
      </c>
      <c r="F6332">
        <f>HYPERLINK("https://www.reddit.com/r/diabetes/comments/b2n0jl/is_sugar_really_that_bad_for_diabetics/")</f>
        <v/>
      </c>
      <c r="G6332" t="inlineStr">
        <is>
          <t>2019-03-18 12:35:34</t>
        </is>
      </c>
      <c r="H6332" t="inlineStr">
        <is>
          <t>Type 1</t>
        </is>
      </c>
    </row>
    <row r="6333">
      <c r="A6333" t="inlineStr">
        <is>
          <t>b2n7ce</t>
        </is>
      </c>
      <c r="B6333" t="inlineStr">
        <is>
          <t>Going to Japan for 15 days (T-Slim and Dexcom</t>
        </is>
      </c>
      <c r="C6333" t="inlineStr">
        <is>
          <t>Hello everyone!  
After years of my wife and I trying to figure out plans, we are finally going to Japan for about 14/15 days. I was wondering what I should be aware of while traveling over there. I Just got my 90 supplies for both my Dexcom and Pump along with a refill of my insulin along with 2 extra's for the trip so I should be good for prescriptions.  
I was wondering what else I should be aware of beside the usual "Don't let them put your pump/transmitter through the X-Ray".
&amp;amp;#x200B;
Thanks in advanced.</t>
        </is>
      </c>
      <c r="D6333" t="n">
        <v>3</v>
      </c>
      <c r="E6333" t="n">
        <v>17</v>
      </c>
      <c r="F6333">
        <f>HYPERLINK("https://www.reddit.com/r/diabetes/comments/b2n7ce/going_to_japan_for_15_days_tslim_and_dexcom/")</f>
        <v/>
      </c>
      <c r="G6333" t="inlineStr">
        <is>
          <t>2019-03-18 12:52:29</t>
        </is>
      </c>
      <c r="H6333" t="inlineStr">
        <is>
          <t>Type 1</t>
        </is>
      </c>
    </row>
    <row r="6334">
      <c r="A6334" t="inlineStr">
        <is>
          <t>b2q52h</t>
        </is>
      </c>
      <c r="B6334" t="inlineStr">
        <is>
          <t>Dexcom App help</t>
        </is>
      </c>
      <c r="C6334" t="inlineStr">
        <is>
          <t>(Cross post from Diabetes\_t1)
&amp;amp;#x200B;
Hi, I'm hoping someone can help me. My dad has been using the Dexcom for about a year and has the app on my mom's phone to monitor with glucose. This is the G5 app or something. \[All phones are android if that helps\]
Now i'm home for break and he wants me to put the app on his phones but I am at a loss. I've installed everything, Dexcom G5, G6, Follow (all are like sub 3.0 stars in Google Play) and they don't seem to work? They're called "simulator" which I think is why the apps don't work, the in-app buttons don't work (i.e. log in). It's like I'm in one of those cardboard houses where nothing is real (sorry, odd analogy but I'm a bit frustrated).
Is there something obvious I'm missing that others are familiar with? In a perfect world I'd like to get the app on both phones and also have the "follow" app for them (in case one forgets their phone or they're apart so both always have access to the information).</t>
        </is>
      </c>
      <c r="D6334" t="n">
        <v>2</v>
      </c>
      <c r="E6334" t="n">
        <v>1</v>
      </c>
      <c r="F6334">
        <f>HYPERLINK("https://www.reddit.com/r/diabetes/comments/b2q52h/dexcom_app_help/")</f>
        <v/>
      </c>
      <c r="G6334" t="inlineStr">
        <is>
          <t>2019-03-18 17:03:23</t>
        </is>
      </c>
      <c r="H6334" t="inlineStr">
        <is>
          <t>Type 1</t>
        </is>
      </c>
    </row>
    <row r="6335">
      <c r="A6335" t="inlineStr">
        <is>
          <t>b2rl55</t>
        </is>
      </c>
      <c r="B6335" t="inlineStr">
        <is>
          <t>Type 1 diabetics and bodybuilding/gaining weight</t>
        </is>
      </c>
      <c r="C6335" t="inlineStr">
        <is>
          <t>Hey everyone, I'm a 20 yo male who recently got diagnosed with Type 1. My sugars are now under control and I have regained all the weight I lost prior to diagnoses. I have always wanted to gain weight and just as I was starting to hit the gym and eat more I got a sudden diagnosis which really discouraged me. I have been hitting the gym for a couple months and trying to eat more but haven't gained any weight above my normal weight. Any type 1's out there who can provide any help on what to eat that won't raise my blood sugar but allow me to reach my calorie goals? plus any other tips and tricks to gain weight any help will be greatly appreciated because I have been trying to work towards this goal really hard. Ty</t>
        </is>
      </c>
      <c r="D6335" t="n">
        <v>5</v>
      </c>
      <c r="E6335" t="n">
        <v>7</v>
      </c>
      <c r="F6335">
        <f>HYPERLINK("https://www.reddit.com/r/diabetes/comments/b2rl55/type_1_diabetics_and_bodybuildinggaining_weight/")</f>
        <v/>
      </c>
      <c r="G6335" t="inlineStr">
        <is>
          <t>2019-03-18 19:15:22</t>
        </is>
      </c>
      <c r="H6335" t="inlineStr">
        <is>
          <t>Type 1</t>
        </is>
      </c>
    </row>
    <row r="6336">
      <c r="A6336" t="inlineStr">
        <is>
          <t>b2srtd</t>
        </is>
      </c>
      <c r="B6336" t="inlineStr">
        <is>
          <t>Systematic Full Body Blisters/Hives HELP (pics)</t>
        </is>
      </c>
      <c r="C6336" t="inlineStr">
        <is>
          <t>It's been an entire month and I'm losing my shit. I am 28 and have had T1 for 13 years with not the best or consistent track record so I know my immune system is pretty mad at me. Here's the thing, a month ago I saw my MD for a small case of strep throat and he prescribed me amoxicillin (antibiotic) which I've taken countless times throughout my life. Well two or three days go by and the strep clears up then somewhat slowly I start breaking out in what look like small hives on the tops of hands and wrists, arms, torso, thighs, shins and tops and sides of feet mainly. I went back and my doctor said that it must be a developed allergy to the antibiotic and that it's common to develop an allergy to it. I consulted with my Endo and he agreed based on pictures. Well a week and a half went by and as it would calm itself at night but flare up again EVERY day it worried me and I went back. He seemed a bit more concerned and prescribed an ointment and took a lab for syphilis which I came back clean. He wants me to see an allergist and now my concerned Endo and him both want me to also see a dermo which I'm just waiting another week for an opening, but I don't feel that anybody understands the urgency and fear that I feel. My MD prescribed me prednisone in the meantime which as most of you know makes it hard to control highs, now a couple of my fingers look to have a bit of fluid in the knuckles possibly. I've had them take a Complete Blood Count and a Thyroid Lab which all came back "normal" according to them, though I had to decipher it myself since I wasn't walked through my results, just google and I which I also know can be stupid to do sometimes (I'm not a hypochondriac). Another thing to keep in mind, I've had a few odd illnesses in the past: Last year I had a really bad case of Hand Foot and Mouth Disease and it was terrible for about 6-8 months since the symptoms clear and appear one after another ending in a few fingernails and toenails separating and falling off. Probably unrelated but I also have had shingles when I was about 20, Mono when I was 19, and to bring it back to present day I also found out last August that I have gluten intolerance/allergy. I've had my slips here and there but I stay away from it mostly as in I probably go 2 months at the longest then have a small "fuck it" moment or an "oh fuck" moment (oops), but I am in desperate need for some better insight if anyone might think of anything.
&amp;amp;#x200B;
P.S. I've been using a Dexcom G6 for almost a year and have been using the T:Slim x2 for a week now.
*Processing img 878zxrsp00n21...*
https://i.redd.it/0gf7gwsp00n21.jpg
https://i.redd.it/bl9uvysp00n21.jpg
https://i.redd.it/jior2tsp00n21.jpg
https://i.redd.it/cf2x5psp00n21.jpg
*Processing img tr3zeusp00n21...*
https://i.redd.it/mxdkewsp00n21.jpg
https://i.redd.it/dexi2xsp00n21.jpg
*Processing img yqwbhstp00n21...*
*Processing img mx24sbtp00n21...*
*Processing img hda10vsp00n21...*
*Processing img wt8jzrsp00n21...*
*Processing img 1d3364tp00n21...*
*Processing img 36eym0tp00n21...*
*Processing img 1h3bb0tp00n21...*</t>
        </is>
      </c>
      <c r="D6336" t="n">
        <v>4</v>
      </c>
      <c r="E6336" t="n">
        <v>7</v>
      </c>
      <c r="F6336">
        <f>HYPERLINK("https://www.reddit.com/r/diabetes/comments/b2srtd/systematic_full_body_blistershives_help_pics/")</f>
        <v/>
      </c>
      <c r="G6336" t="inlineStr">
        <is>
          <t>2019-03-18 21:16:17</t>
        </is>
      </c>
      <c r="H6336" t="inlineStr">
        <is>
          <t>Type 1</t>
        </is>
      </c>
    </row>
    <row r="6337">
      <c r="A6337" t="inlineStr">
        <is>
          <t>b32l4k</t>
        </is>
      </c>
      <c r="B6337" t="inlineStr">
        <is>
          <t>Some Advice? My doc told me My A1c is at an all time high. Also kidneys are leaking protein.</t>
        </is>
      </c>
      <c r="C6337" t="inlineStr">
        <is>
          <t>He gave me Ramipril for kidneys
 Lovastatin for Cholestorol
&amp;amp;#x200B;
He told me to take Alpha Lipoic Acid and B12 to protect nerves.. also CoQ10 for something I dont remember
Sounds exhausting huh?
The thing is.. things werent this bad.. I once got my A1C down to 8 (my record lowest) But I just can keep it there.
&amp;amp;#x200B;
I cant stick to a diet or motivate myself for exercise.. What do you do to stay on top of your game and not F$%\^ things up. I can seem to build the habbit of constantly taking all meds on time... 
&amp;amp;#x200B;
How did you guys do it?</t>
        </is>
      </c>
      <c r="D6337" t="n">
        <v>6</v>
      </c>
      <c r="E6337" t="n">
        <v>11</v>
      </c>
      <c r="F6337">
        <f>HYPERLINK("https://www.reddit.com/r/diabetes/comments/b32l4k/some_advice_my_doc_told_me_my_a1c_is_at_an_all/")</f>
        <v/>
      </c>
      <c r="G6337" t="inlineStr">
        <is>
          <t>2019-03-19 13:41:32</t>
        </is>
      </c>
      <c r="H6337" t="inlineStr">
        <is>
          <t>Type 2</t>
        </is>
      </c>
    </row>
    <row r="6338">
      <c r="A6338" t="inlineStr">
        <is>
          <t>b34mdr</t>
        </is>
      </c>
      <c r="B6338" t="inlineStr">
        <is>
          <t>I finally did something</t>
        </is>
      </c>
      <c r="C6338" t="inlineStr">
        <is>
          <t xml:space="preserve">I went to my doctor after a long while not seeing her and there's a chance I get the libre, so that's nice... I hope that makes stuff easier, because life's bad right now... 
</t>
        </is>
      </c>
      <c r="D6338" t="n">
        <v>8</v>
      </c>
      <c r="E6338" t="n">
        <v>6</v>
      </c>
      <c r="F6338">
        <f>HYPERLINK("https://www.reddit.com/r/diabetes/comments/b34mdr/i_finally_did_something/")</f>
        <v/>
      </c>
      <c r="G6338" t="inlineStr">
        <is>
          <t>2019-03-19 16:32:39</t>
        </is>
      </c>
      <c r="H6338" t="inlineStr">
        <is>
          <t>Type 1</t>
        </is>
      </c>
    </row>
    <row r="6339">
      <c r="A6339" t="inlineStr">
        <is>
          <t>b36fkr</t>
        </is>
      </c>
      <c r="B6339" t="inlineStr">
        <is>
          <t>My First Post</t>
        </is>
      </c>
      <c r="C6339" t="inlineStr">
        <is>
          <t>Today when I was walking home from school a kid asked me about how it is to be diabetic so I gave him my usual answer of how it’s hard but it’s just something you live with. But then he started going on about how easy it is to be diabetic and how I was a waste of medical resources and how I should be dead. This kid was just being a plane A hole so I ignored him like all the other comments I get about me being diabetic. 
I only wanted to post this story because it just sucks to have this misunderstood disease and to be made fun of for it and to say don’t let the comments get under your skin and to stay gold.</t>
        </is>
      </c>
      <c r="D6339" t="n">
        <v>28</v>
      </c>
      <c r="E6339" t="n">
        <v>6</v>
      </c>
      <c r="F6339">
        <f>HYPERLINK("https://www.reddit.com/r/diabetes/comments/b36fkr/my_first_post/")</f>
        <v/>
      </c>
      <c r="G6339" t="inlineStr">
        <is>
          <t>2019-03-19 19:26:18</t>
        </is>
      </c>
      <c r="H6339" t="inlineStr">
        <is>
          <t>Type 1</t>
        </is>
      </c>
    </row>
    <row r="6340">
      <c r="A6340" t="inlineStr">
        <is>
          <t>b3atlu</t>
        </is>
      </c>
      <c r="B6340" t="inlineStr">
        <is>
          <t>insulin costs</t>
        </is>
      </c>
      <c r="C6340" t="inlineStr">
        <is>
          <t xml:space="preserve">i have been reading about the costs of insulin in the US. I would like to ask why people do not buy from pharmacies in counties like Thailand? If quality is the same as elsewhere but the costs are a fraction, why is this channel not used?
</t>
        </is>
      </c>
      <c r="D6340" t="n">
        <v>10</v>
      </c>
      <c r="E6340" t="n">
        <v>14</v>
      </c>
      <c r="F6340">
        <f>HYPERLINK("https://www.reddit.com/r/diabetes/comments/b3atlu/insulin_costs/")</f>
        <v/>
      </c>
      <c r="G6340" t="inlineStr">
        <is>
          <t>2019-03-20 04:24:14</t>
        </is>
      </c>
      <c r="H6340" t="inlineStr">
        <is>
          <t>Type 1</t>
        </is>
      </c>
    </row>
    <row r="6341">
      <c r="A6341" t="inlineStr">
        <is>
          <t>b3golj</t>
        </is>
      </c>
      <c r="B6341" t="inlineStr">
        <is>
          <t>Testing sugar with meter</t>
        </is>
      </c>
      <c r="C6341" t="inlineStr">
        <is>
          <t>When I poke my finger to test, I often need to squeeze enough blood out.
My diabetes nurse at our VON center told me that can give a reading that is falsely elevated if I squeeze too hard.
How can squeezing too hard give a false high reading?</t>
        </is>
      </c>
      <c r="D6341" t="n">
        <v>5</v>
      </c>
      <c r="E6341" t="n">
        <v>5</v>
      </c>
      <c r="F6341">
        <f>HYPERLINK("https://www.reddit.com/r/diabetes/comments/b3golj/testing_sugar_with_meter/")</f>
        <v/>
      </c>
      <c r="G6341" t="inlineStr">
        <is>
          <t>2019-03-20 13:03:47</t>
        </is>
      </c>
      <c r="H6341" t="inlineStr">
        <is>
          <t>Type 2</t>
        </is>
      </c>
    </row>
    <row r="6342">
      <c r="A6342" t="inlineStr">
        <is>
          <t>b3kbu1</t>
        </is>
      </c>
      <c r="B6342" t="inlineStr">
        <is>
          <t>Best Dexcom sensor placement?</t>
        </is>
      </c>
      <c r="C6342" t="inlineStr">
        <is>
          <t>Hi,
I’ve been using the Dexcom since January and I’ve always chose the left side of my abdomen for it. Recently I’ve been experiencing some pain while it was in this area that I thought would go away over time, but it didn’t and I ended up removing the sensor. I’m just wondering what some other places the sensor could go that could possibly hurt less? Or tips on how to make sure it doesn’t hurt as much?</t>
        </is>
      </c>
      <c r="D6342" t="n">
        <v>5</v>
      </c>
      <c r="E6342" t="n">
        <v>10</v>
      </c>
      <c r="F6342">
        <f>HYPERLINK("https://www.reddit.com/r/diabetes/comments/b3kbu1/best_dexcom_sensor_placement/")</f>
        <v/>
      </c>
      <c r="G6342" t="inlineStr">
        <is>
          <t>2019-03-20 18:18:39</t>
        </is>
      </c>
      <c r="H6342" t="inlineStr">
        <is>
          <t>Type 1</t>
        </is>
      </c>
    </row>
    <row r="6343">
      <c r="A6343" t="inlineStr">
        <is>
          <t>b3kt8q</t>
        </is>
      </c>
      <c r="B6343" t="inlineStr">
        <is>
          <t>New here and I have a question.</t>
        </is>
      </c>
      <c r="C6343" t="inlineStr">
        <is>
          <t>I was recently diagnosed and I'm trying to look on the bright side. I have the potential to be the healthiest I've ever been with lifestyle changes and such but the one thing I'm struggling with the most is the constant peeing. I feel it's affecting me at work among other things and couldn't find much info on how to control it. Any tips for me as recently diagnosed person would me much appreciated. Thanks all!</t>
        </is>
      </c>
      <c r="D6343" t="n">
        <v>2</v>
      </c>
      <c r="E6343" t="n">
        <v>4</v>
      </c>
      <c r="F6343">
        <f>HYPERLINK("https://www.reddit.com/r/diabetes/comments/b3kt8q/new_here_and_i_have_a_question/")</f>
        <v/>
      </c>
      <c r="G6343" t="inlineStr">
        <is>
          <t>2019-03-20 19:04:31</t>
        </is>
      </c>
      <c r="H6343" t="inlineStr">
        <is>
          <t>Type 2</t>
        </is>
      </c>
    </row>
    <row r="6344">
      <c r="A6344" t="inlineStr">
        <is>
          <t>b3qgrt</t>
        </is>
      </c>
      <c r="B6344" t="inlineStr">
        <is>
          <t>[Discussion] Any good diabetes educator/endocrinologist recommendation in greater Lowell, MA area?</t>
        </is>
      </c>
      <c r="C6344" t="inlineStr">
        <is>
          <t>If this kind of post is not allowed, please let me know and I can remove it, or better yet, mods please feel free to shoot it down. :)
&amp;amp;#x200B;
I am looking for good diabetes educator/endocrinologist recommendations in Lowell, Dracut, Chelmsford, Westford, Groton, Littleton area. Anyone has any suggestions?</t>
        </is>
      </c>
      <c r="D6344" t="n">
        <v>2</v>
      </c>
      <c r="E6344" t="n">
        <v>1</v>
      </c>
      <c r="F6344">
        <f>HYPERLINK("https://www.reddit.com/r/diabetes/comments/b3qgrt/discussion_any_good_diabetes/")</f>
        <v/>
      </c>
      <c r="G6344" t="inlineStr">
        <is>
          <t>2019-03-21 06:22:25</t>
        </is>
      </c>
      <c r="H6344" t="inlineStr">
        <is>
          <t>Type 1</t>
        </is>
      </c>
    </row>
    <row r="6345">
      <c r="A6345" t="inlineStr">
        <is>
          <t>b3qh4r</t>
        </is>
      </c>
      <c r="B6345" t="inlineStr">
        <is>
          <t>*Tosses out the Special K*</t>
        </is>
      </c>
      <c r="C6345" t="inlineStr">
        <is>
          <t>As a newly diagnosed T2, I didn't put much thought into my daily breakfast of 1 c. Special K with 1c milk that I've been eating for years...  
&amp;amp;#x200B;
But yesterday I picked up a blood tester.
&amp;amp;#x200B;
Before eating after getting up, 8.5.   2 hours after eating, 14.7.  Ouch.
&amp;amp;#x200B;
Then I looked at the actual ingredients in something I thought was perfectly healthy... 36g carbs which is mostly from sugar.  Eeek.   
&amp;amp;#x200B;
Well now I know.  The learning begins.  I'm looking forward to test tomorrow after my egg/salsa breakfast! \*lol\*</t>
        </is>
      </c>
      <c r="D6345" t="n">
        <v>29</v>
      </c>
      <c r="E6345" t="n">
        <v>56</v>
      </c>
      <c r="F6345">
        <f>HYPERLINK("https://www.reddit.com/r/diabetes/comments/b3qh4r/tosses_out_the_special_k/")</f>
        <v/>
      </c>
      <c r="G6345" t="inlineStr">
        <is>
          <t>2019-03-21 06:23:23</t>
        </is>
      </c>
      <c r="H6345" t="inlineStr">
        <is>
          <t>Type 2</t>
        </is>
      </c>
    </row>
    <row r="6346">
      <c r="A6346" t="inlineStr">
        <is>
          <t>b3rws0</t>
        </is>
      </c>
      <c r="B6346" t="inlineStr">
        <is>
          <t>Low blood sugar after taking medicine</t>
        </is>
      </c>
      <c r="C6346" t="inlineStr">
        <is>
          <t xml:space="preserve">Hello all, I’ve have type 2 for a little over two years now. Yesterday, I took my medicine and was laying in bed when I started to feel light headed and loopy. I checked my blood sugar it was only 37. I take 1000mg of Metformin twice a day and 5mg of Glipizdie once a day. Has this happened to anyone else that takes this medication. What should I do if it happens again? </t>
        </is>
      </c>
      <c r="D6346" t="n">
        <v>2</v>
      </c>
      <c r="E6346" t="n">
        <v>3</v>
      </c>
      <c r="F6346">
        <f>HYPERLINK("https://www.reddit.com/r/diabetes/comments/b3rws0/low_blood_sugar_after_taking_medicine/")</f>
        <v/>
      </c>
      <c r="G6346" t="inlineStr">
        <is>
          <t>2019-03-21 08:31:58</t>
        </is>
      </c>
      <c r="H6346" t="inlineStr">
        <is>
          <t>Type 2</t>
        </is>
      </c>
    </row>
    <row r="6347">
      <c r="A6347" t="inlineStr">
        <is>
          <t>b3xwct</t>
        </is>
      </c>
      <c r="B6347" t="inlineStr">
        <is>
          <t>Let's talk some sh*t</t>
        </is>
      </c>
      <c r="C6347" t="inlineStr">
        <is>
          <t xml:space="preserve">Trying to help my brother out here who was recently diagnosed as type 2 diabetic (back in the Fall) and is a total tech Luddite and can't get Reddit on his flip phone (not kidding).  
&amp;amp;#x200B;
Anyway, we've read up on the effects that diabetes drugs can have on one's GI system.  He's been fortunate not to experience severe flatulence, or diarrhea or "explosive" movements.   But, he's noticed that he's having to take more frequent bowel movements -- as many as 4 a day -- when, previously, one (perhaps two) were the norm.  He's not having any trouble passing.  The movements are quick and painless, but he's noted that they're huge.  He's been good about his diet -- cutting carbs (though, still getting plenty of fiber) and also avoiding any super high fat or oily foods.  He's not consuming much more food than he did in the past, but he's noting the amount of stool seems dramatically higher than it ever was.
&amp;amp;#x200B;
So, I guess that's a long way of asking, do diabetes treatments cause others to take more frequent, much larger movements than you did in the past?  
&amp;amp;#x200B;
His doctor has him on a combo right now to get his BS to an optimal level after which he'll (hopefully) be able to peel them off one-by-one as his B.S. improves with just diet and exercise.  He's on Metformin (ER),  Jardiance and Junivia.  </t>
        </is>
      </c>
      <c r="D6347" t="n">
        <v>3</v>
      </c>
      <c r="E6347" t="n">
        <v>3</v>
      </c>
      <c r="F6347">
        <f>HYPERLINK("https://www.reddit.com/r/diabetes/comments/b3xwct/lets_talk_some_sht/")</f>
        <v/>
      </c>
      <c r="G6347" t="inlineStr">
        <is>
          <t>2019-03-21 16:52:01</t>
        </is>
      </c>
      <c r="H6347" t="inlineStr">
        <is>
          <t>Type 2</t>
        </is>
      </c>
    </row>
    <row r="6348">
      <c r="A6348" t="inlineStr">
        <is>
          <t>b41kpv</t>
        </is>
      </c>
      <c r="B6348" t="inlineStr">
        <is>
          <t>Filling Recipes?</t>
        </is>
      </c>
      <c r="C6348" t="inlineStr">
        <is>
          <t>I'm a relatively new Diabetic (Type 1). I don't even have my Insulin Ratio yet. I keep getting super hungry late at night and I think it's because I don't eat food with enough mass. Does anyone have any good recipes? Also, when I was first diagnosed I ate every four hours on the dot. Is this healthy and would it be a good way to stave off hunger?</t>
        </is>
      </c>
      <c r="D6348" t="n">
        <v>4</v>
      </c>
      <c r="E6348" t="n">
        <v>5</v>
      </c>
      <c r="F6348">
        <f>HYPERLINK("https://www.reddit.com/r/diabetes/comments/b41kpv/filling_recipes/")</f>
        <v/>
      </c>
      <c r="G6348" t="inlineStr">
        <is>
          <t>2019-03-21 23:25:04</t>
        </is>
      </c>
      <c r="H6348" t="inlineStr">
        <is>
          <t>Type 1</t>
        </is>
      </c>
    </row>
    <row r="6349">
      <c r="A6349" t="inlineStr">
        <is>
          <t>b44q2o</t>
        </is>
      </c>
      <c r="B6349" t="inlineStr">
        <is>
          <t>Eyesight wonkyness</t>
        </is>
      </c>
      <c r="C6349" t="inlineStr">
        <is>
          <t>So, I got diagnosed Type 2 about 2 weeks ago. I had almost 3 months of drinking increasing amounts of water and pissing my brains out before I went to my doctor. Tested at 473 mg/dl and now it's Metformin twice a day and nightly insulin. Tested for the first time at 200 (lowest yet!) today so between meds and keeping to my diet it seems to be working (I track food with MyNetDiary).  
Question is, my eyesight went all fucky (technical term). I understand the whole "uncontrolled glucose" causing eye edema. About how long before my vision sharpens back up? I'm nearsighted and wear progressives anyway but this sucks ass.</t>
        </is>
      </c>
      <c r="D6349" t="n">
        <v>2</v>
      </c>
      <c r="E6349" t="n">
        <v>6</v>
      </c>
      <c r="F6349">
        <f>HYPERLINK("https://www.reddit.com/r/diabetes/comments/b44q2o/eyesight_wonkyness/")</f>
        <v/>
      </c>
      <c r="G6349" t="inlineStr">
        <is>
          <t>2019-03-22 05:53:47</t>
        </is>
      </c>
      <c r="H6349" t="inlineStr">
        <is>
          <t>Type 2</t>
        </is>
      </c>
    </row>
    <row r="6350">
      <c r="A6350" t="inlineStr">
        <is>
          <t>b46tgf</t>
        </is>
      </c>
      <c r="B6350" t="inlineStr">
        <is>
          <t>Frustrated</t>
        </is>
      </c>
      <c r="C6350" t="inlineStr">
        <is>
          <t xml:space="preserve">Vent incoming. I feel like I might have messed up. I've been type 1 diabetic for about 34 years. In the past year and a half, I started having complications and was off work for a year. 
I recently returned to a previous job in social services that I used to work at in 2016 after I started to heal. My health has improved, I've lost weight, and my blood sugars are slowly improving since I've returned in the past month and a half. My job is extremely stressful and I knew this returning. I love this job even if the hours and clients are exhausting but I really love it. 
This past Tuesday and Wednesday morning, I woke up with 300 blood sugars. I've been fasting and my blood sugars remain high so something is going on with my blood sugars right now. My supervisor was aware of what was going on. She suggested that I go speak to HR to see if maybe I might have some job protection for the times that I do have some trouble with a high blood sugar. I see my endo in April. 
I've just left HR and I just feel like crying. I feel worse than when I walked in. By the end of the conversation she asked me if I was sure that I really wanted to work there because this job is stressful. Even after I explained to her that I had worked here previously and I know the stresses, I love this job. She mentioned it three times and had this doubtful look on her face, so I thanked her and left the meeting with the promise that I would email her with the date of my endo appt in April. 
I understand that HR is there to protect the company but now I'm worried I'm going to lose my job because my blood sugars decided to act up this week. I've always gone above and beyond for this place. 
I'm so fucking tired of this disease! </t>
        </is>
      </c>
      <c r="D6350" t="n">
        <v>1</v>
      </c>
      <c r="E6350" t="n">
        <v>1</v>
      </c>
      <c r="F6350">
        <f>HYPERLINK("https://www.reddit.com/r/diabetes/comments/b46tgf/frustrated/")</f>
        <v/>
      </c>
      <c r="G6350" t="inlineStr">
        <is>
          <t>2019-03-22 09:02:33</t>
        </is>
      </c>
      <c r="H6350" t="inlineStr">
        <is>
          <t>Type 1</t>
        </is>
      </c>
    </row>
    <row r="6351">
      <c r="A6351" t="inlineStr">
        <is>
          <t>b485ss</t>
        </is>
      </c>
      <c r="B6351" t="inlineStr">
        <is>
          <t>New insurance means no meds</t>
        </is>
      </c>
      <c r="C6351" t="inlineStr">
        <is>
          <t>So my employer changed insurance companies this month. I've had Blue Cross Blue Shield for the entire three years I've been working at my current employer, but now we have insurance through United Healthcare. So far I'm not impressed.  I never had any problems getting my prescriptions filled with BCBS, but UHC is turning out to be a real pain in the ass. My main diabetes meds besides Metformin are Farxiga and Januvia.  I tried to refill the Januvia and the pharmacy was told that a Prior Authorization needed to done. Prior Authorization was sent and was promptly denied because they require "step therapy" before Januvia will be approved. Really don't know why they said they wanted a Prior Authorization if they knew they were going to deny it anyway. Anyhow, I've been switched over to Tradjenta, but only 5 mg where as my Januvia was 100mg. Have any of you had any bad experiences with Tradjenta? What about Invokana? I ask about Invokana because Farxiga is also "Tier 3" and I'll most likely have to substitute Invokana for that?</t>
        </is>
      </c>
      <c r="D6351" t="n">
        <v>2</v>
      </c>
      <c r="E6351" t="n">
        <v>0</v>
      </c>
      <c r="F6351">
        <f>HYPERLINK("https://www.reddit.com/r/diabetes/comments/b485ss/new_insurance_means_no_meds/")</f>
        <v/>
      </c>
      <c r="G6351" t="inlineStr">
        <is>
          <t>2019-03-22 10:54:21</t>
        </is>
      </c>
      <c r="H6351" t="inlineStr">
        <is>
          <t>Type 2</t>
        </is>
      </c>
    </row>
    <row r="6352">
      <c r="A6352" t="inlineStr">
        <is>
          <t>b49v0m</t>
        </is>
      </c>
      <c r="B6352" t="inlineStr">
        <is>
          <t>I can’t seem to get my blood sugar down :(</t>
        </is>
      </c>
      <c r="C6352" t="inlineStr">
        <is>
          <t>I’ve been diagnosed with TD1 for 4 years now. I gotta say that I have a REALLY hard time managing my blood sugar levels at the moment. 
My current hba1c is 119 (12/13% ??). I need to stop bullshitting around and try my best to lower my hba1c. 
Do you guys have any tips or advice for me when it comes to managing my diabetes? 
This is a typical day for me sadly.
(https://m.imgur.com/gallery/5KQ3hqW)</t>
        </is>
      </c>
      <c r="D6352" t="n">
        <v>1</v>
      </c>
      <c r="E6352" t="n">
        <v>0</v>
      </c>
      <c r="F6352">
        <f>HYPERLINK("https://www.reddit.com/r/diabetes/comments/b49v0m/i_cant_seem_to_get_my_blood_sugar_down/")</f>
        <v/>
      </c>
      <c r="G6352" t="inlineStr">
        <is>
          <t>2019-03-22 13:14:23</t>
        </is>
      </c>
      <c r="H6352" t="inlineStr">
        <is>
          <t>Type 1</t>
        </is>
      </c>
    </row>
    <row r="6353">
      <c r="A6353" t="inlineStr">
        <is>
          <t>b4awg1</t>
        </is>
      </c>
      <c r="B6353" t="inlineStr">
        <is>
          <t>I'm 24, and 43% risk of Type 2... Advice?</t>
        </is>
      </c>
      <c r="C6353" t="inlineStr">
        <is>
          <t>Hello everyone!
My sister just informed me that we both are at 43% risk of type 2 diabetes, which does run in our family and some older family members have got already. Our mother just was informed she's pre-diabetic and is trying to reverse it.
&amp;amp;#x200B;
I'm 5'3" and fluctuate between 155-160 pounds. So my bmi is 28.3 (overweight). I also don't smoke!
&amp;amp;#x200B;
I would say I don't... feel overweight or unhealthy, but I work a desk job, I don't really excersize (but sometimes jog), and am too tired to often cook, so I do eat out quite a bit. I also am not a cook at all, so I don't... make anything off the top of my head. I can only make eggs really.
&amp;amp;#x200B;
I'm hoping for advice on what to do to prevent myself from getting diabetes. Any easy-cooking cookbooks out there? Good excersize regiments or such? I want to learn everything I can to ease myself into a healthy lifestyle before it's too late.
Thank you!</t>
        </is>
      </c>
      <c r="D6353" t="n">
        <v>1</v>
      </c>
      <c r="E6353" t="n">
        <v>8</v>
      </c>
      <c r="F6353">
        <f>HYPERLINK("https://www.reddit.com/r/diabetes/comments/b4awg1/im_24_and_43_risk_of_type_2_advice/")</f>
        <v/>
      </c>
      <c r="G6353" t="inlineStr">
        <is>
          <t>2019-03-22 14:44:02</t>
        </is>
      </c>
      <c r="H6353" t="inlineStr">
        <is>
          <t>Type 2</t>
        </is>
      </c>
    </row>
    <row r="6354">
      <c r="A6354" t="inlineStr">
        <is>
          <t>b4euu6</t>
        </is>
      </c>
      <c r="B6354" t="inlineStr">
        <is>
          <t>Pump insertion sites: does insulin kick in at varied times depending on insertion site?</t>
        </is>
      </c>
      <c r="C6354" t="inlineStr">
        <is>
          <t xml:space="preserve">My daughter just switched from her abdomen to her upper buttox and it seems as though it took about 5 hours for her food bolus to bring her BG down.   
OR...maybe the sushi she ate? </t>
        </is>
      </c>
      <c r="D6354" t="n">
        <v>2</v>
      </c>
      <c r="E6354" t="n">
        <v>4</v>
      </c>
      <c r="F6354">
        <f>HYPERLINK("https://www.reddit.com/r/diabetes/comments/b4euu6/pump_insertion_sites_does_insulin_kick_in_at/")</f>
        <v/>
      </c>
      <c r="G6354" t="inlineStr">
        <is>
          <t>2019-03-22 21:21:01</t>
        </is>
      </c>
      <c r="H6354" t="inlineStr">
        <is>
          <t>Type 1</t>
        </is>
      </c>
    </row>
    <row r="6355">
      <c r="A6355" t="inlineStr">
        <is>
          <t>b4i1o4</t>
        </is>
      </c>
      <c r="B6355" t="inlineStr">
        <is>
          <t>High Red Blood Cell Count, Hematocrit and Hemoglobin??</t>
        </is>
      </c>
      <c r="C6355" t="inlineStr">
        <is>
          <t>Hi everyone...
All of mine aren't super high but they are in the red. Has anyone else has issues with this and diabetes? I'm type 1 and I do live a a higher altitude but have never have this issue before. Just concerned and looking to see if anyone else has gone through this. Thanks so much.
&amp;amp;#x200B;
**RED BLOOD CELL COUNT**
**5.23 H**
3.80-5.10 Million/uL
**HEMATOCRIT** 
**46.8 H**
35.0-45.0 %
HEMOGLOBIN 
**15.4**
11.7-15.5 g/dL
PLATELET COUNT 
**387**
140-400 Thousand/uL</t>
        </is>
      </c>
      <c r="D6355" t="n">
        <v>3</v>
      </c>
      <c r="E6355" t="n">
        <v>2</v>
      </c>
      <c r="F6355">
        <f>HYPERLINK("https://www.reddit.com/r/diabetes/comments/b4i1o4/high_red_blood_cell_count_hematocrit_and/")</f>
        <v/>
      </c>
      <c r="G6355" t="inlineStr">
        <is>
          <t>2019-03-23 04:14:48</t>
        </is>
      </c>
      <c r="H6355" t="inlineStr">
        <is>
          <t>Type 1</t>
        </is>
      </c>
    </row>
    <row r="6356">
      <c r="A6356" t="inlineStr">
        <is>
          <t>b4jbo6</t>
        </is>
      </c>
      <c r="B6356" t="inlineStr">
        <is>
          <t>Replacement for Splenda</t>
        </is>
      </c>
      <c r="C6356" t="inlineStr">
        <is>
          <t>I'm finally admitting that Splenda isn't the one for me, because it spikes my sugar a good 35+ points from my morning coffee -- which just sets the day off on the wrong foot.
Now, I'm using the little packets because it's easy, but I thought I read somewhere that the liquid doesn't have the same effects? 
Or, what other sweeteners have you found and liked? I know I should just drink it black, but I'm making progress from a fairly heavy Italian Sweet Cream addiction. :-p</t>
        </is>
      </c>
      <c r="D6356" t="n">
        <v>5</v>
      </c>
      <c r="E6356" t="n">
        <v>12</v>
      </c>
      <c r="F6356">
        <f>HYPERLINK("https://www.reddit.com/r/diabetes/comments/b4jbo6/replacement_for_splenda/")</f>
        <v/>
      </c>
      <c r="G6356" t="inlineStr">
        <is>
          <t>2019-03-23 06:45:31</t>
        </is>
      </c>
      <c r="H6356" t="inlineStr">
        <is>
          <t>Type 1</t>
        </is>
      </c>
    </row>
    <row r="6357">
      <c r="A6357" t="inlineStr">
        <is>
          <t>b4o1um</t>
        </is>
      </c>
      <c r="B6357" t="inlineStr">
        <is>
          <t>Insulin in washing machine</t>
        </is>
      </c>
      <c r="C6357" t="inlineStr">
        <is>
          <t>Is it ok to to still use?I accidentally left it in military uniform in one of the pockets And left it in the washing machine it doesn’t smell like soap or anything. what do you guys think?</t>
        </is>
      </c>
      <c r="D6357" t="n">
        <v>2</v>
      </c>
      <c r="E6357" t="n">
        <v>7</v>
      </c>
      <c r="F6357">
        <f>HYPERLINK("https://www.reddit.com/r/diabetes/comments/b4o1um/insulin_in_washing_machine/")</f>
        <v/>
      </c>
      <c r="G6357" t="inlineStr">
        <is>
          <t>2019-03-23 13:47:45</t>
        </is>
      </c>
      <c r="H6357" t="inlineStr">
        <is>
          <t>Type 1</t>
        </is>
      </c>
    </row>
    <row r="6358">
      <c r="A6358" t="inlineStr">
        <is>
          <t>b4prtj</t>
        </is>
      </c>
      <c r="B6358" t="inlineStr">
        <is>
          <t>Can a type 1 experience reactive hypos?</t>
        </is>
      </c>
      <c r="C6358" t="inlineStr">
        <is>
          <t>Since type 1s no longer make insulin themselves, if one were to eat a meal high in carbs and lower in protein... etc... then there would be no response from the body later to drop the sugar right?</t>
        </is>
      </c>
      <c r="D6358" t="n">
        <v>2</v>
      </c>
      <c r="E6358" t="n">
        <v>1</v>
      </c>
      <c r="F6358">
        <f>HYPERLINK("https://www.reddit.com/r/diabetes/comments/b4prtj/can_a_type_1_experience_reactive_hypos/")</f>
        <v/>
      </c>
      <c r="G6358" t="inlineStr">
        <is>
          <t>2019-03-23 16:39:24</t>
        </is>
      </c>
      <c r="H6358" t="inlineStr">
        <is>
          <t>Type 1</t>
        </is>
      </c>
    </row>
    <row r="6359">
      <c r="A6359" t="inlineStr">
        <is>
          <t>b4pzhl</t>
        </is>
      </c>
      <c r="B6359" t="inlineStr">
        <is>
          <t>My dad.</t>
        </is>
      </c>
      <c r="C6359" t="inlineStr">
        <is>
          <t xml:space="preserve">Sadly my dad has been with type 2 diabetes for like 10 years now. First he started with pills and then 2 years ago he started using insulin injections. I always knew that my dad gets angry fast, but latelty things have gotten worse. Like he become like a beast. over sensitive maybe? the least comment bothers him, if something goes wrong and I mean a small thing he gets really angry and starts yelling, and make a scene.. so what I'm asking is it because of diabetes? </t>
        </is>
      </c>
      <c r="D6359" t="n">
        <v>4</v>
      </c>
      <c r="E6359" t="n">
        <v>6</v>
      </c>
      <c r="F6359">
        <f>HYPERLINK("https://www.reddit.com/r/diabetes/comments/b4pzhl/my_dad/")</f>
        <v/>
      </c>
      <c r="G6359" t="inlineStr">
        <is>
          <t>2019-03-23 17:01:16</t>
        </is>
      </c>
      <c r="H6359" t="inlineStr">
        <is>
          <t>Type 2</t>
        </is>
      </c>
    </row>
    <row r="6360">
      <c r="A6360" t="inlineStr">
        <is>
          <t>b4ut2e</t>
        </is>
      </c>
      <c r="B6360" t="inlineStr">
        <is>
          <t>Experiment time: flying with a pump</t>
        </is>
      </c>
      <c r="C6360" t="inlineStr">
        <is>
          <t>So I flew to visit family a few days ago, and I have a Medtronic 670G pump. Blood sugar was normal and under good control. Then towards the end of the flight my blood sugar dropped unexpectedly.... to 35!! I haven’t been that low in about a decade.
I read an article online saying that the change in air pressure can cause bubbles to expand and contract in the tube, causing less insulin to deliver on takeoff and more on descent. Awesome. That would explain the 35, and why subsequently cramming an entire pack of oreo’s into my mouth only caused me to hit like 170.
Now I’m on the return flight. Just going to run high and maybe disconnect during landing. We’ll see how it goes!
Had anyone else had this? What do you do while flying with pumps?
I called Medtronic and they were completely unhelpful, just said the sensor was wrong and to turn it off (so now I’m flying blind!) even though I confirmed my low with a finger prick test (and also feeling like I was going to pass out).
Any advice?</t>
        </is>
      </c>
      <c r="D6360" t="n">
        <v>2</v>
      </c>
      <c r="E6360" t="n">
        <v>7</v>
      </c>
      <c r="F6360">
        <f>HYPERLINK("https://www.reddit.com/r/diabetes/comments/b4ut2e/experiment_time_flying_with_a_pump/")</f>
        <v/>
      </c>
      <c r="G6360" t="inlineStr">
        <is>
          <t>2019-03-24 03:12:05</t>
        </is>
      </c>
      <c r="H6360" t="inlineStr">
        <is>
          <t>Type 1</t>
        </is>
      </c>
    </row>
    <row r="6361">
      <c r="A6361" t="inlineStr">
        <is>
          <t>b4vj5g</t>
        </is>
      </c>
      <c r="B6361" t="inlineStr">
        <is>
          <t>Ketone joint pain</t>
        </is>
      </c>
      <c r="C6361" t="inlineStr">
        <is>
          <t xml:space="preserve">Does anybody get pain in their joints when they have trace ketones. I've gotten rid of my trace ketones but have really bad shoulder pain that hasn't gone away yet (2 days of shoulder pain, one day without trace ketones). Anybody have an idea of how long it lasts? Any advice is greatly appreciated. </t>
        </is>
      </c>
      <c r="D6361" t="n">
        <v>1</v>
      </c>
      <c r="E6361" t="n">
        <v>1</v>
      </c>
      <c r="F6361">
        <f>HYPERLINK("https://www.reddit.com/r/diabetes/comments/b4vj5g/ketone_joint_pain/")</f>
        <v/>
      </c>
      <c r="G6361" t="inlineStr">
        <is>
          <t>2019-03-24 04:50:42</t>
        </is>
      </c>
      <c r="H6361" t="inlineStr">
        <is>
          <t>Type 1</t>
        </is>
      </c>
    </row>
    <row r="6362">
      <c r="A6362" t="inlineStr">
        <is>
          <t>b4vto9</t>
        </is>
      </c>
      <c r="B6362" t="inlineStr">
        <is>
          <t>my boyfrined is very very low rnwe did acid last night im still triping but hes aseep</t>
        </is>
      </c>
      <c r="C6362" t="inlineStr">
        <is>
          <t>its below 40 rn should i wake his mom</t>
        </is>
      </c>
      <c r="D6362" t="n">
        <v>0</v>
      </c>
      <c r="E6362" t="n">
        <v>18</v>
      </c>
      <c r="F6362">
        <f>HYPERLINK("https://www.reddit.com/r/diabetes/comments/b4vto9/my_boyfrined_is_very_very_low_rnwe_did_acid_last/")</f>
        <v/>
      </c>
      <c r="G6362" t="inlineStr">
        <is>
          <t>2019-03-24 05:28:05</t>
        </is>
      </c>
      <c r="H6362" t="inlineStr">
        <is>
          <t>Type 1</t>
        </is>
      </c>
    </row>
    <row r="6363">
      <c r="A6363" t="inlineStr">
        <is>
          <t>b4znqz</t>
        </is>
      </c>
      <c r="B6363" t="inlineStr">
        <is>
          <t>T2 endurance athletes, what is your eating strategy before, during and after events?</t>
        </is>
      </c>
      <c r="C6363" t="inlineStr">
        <is>
          <t>I am training for a 125 mile group ride.  Before I was diagnosed T2, I used to do a 100 mile ride once a month.  Depending on the terrain, this meant 6.5 - 9  hours in the saddle. Now I take 1000mg Metformin twice daily and 15mg Glipizide controlled release.  Rides like this use 4,000 - 6,000 calories, again depending on terrain. Should I even worry about BG during these events?  Are there specific foods to avoid, like the gels and energy bars that I used to use? If so, what do I replace them with that is portable?</t>
        </is>
      </c>
      <c r="D6363" t="n">
        <v>3</v>
      </c>
      <c r="E6363" t="n">
        <v>2</v>
      </c>
      <c r="F6363">
        <f>HYPERLINK("https://www.reddit.com/r/diabetes/comments/b4znqz/t2_endurance_athletes_what_is_your_eating/")</f>
        <v/>
      </c>
      <c r="G6363" t="inlineStr">
        <is>
          <t>2019-03-24 11:30:10</t>
        </is>
      </c>
      <c r="H6363" t="inlineStr">
        <is>
          <t>Type 2</t>
        </is>
      </c>
    </row>
    <row r="6364">
      <c r="A6364" t="inlineStr">
        <is>
          <t>b506xn</t>
        </is>
      </c>
      <c r="B6364" t="inlineStr">
        <is>
          <t>Hypo Anxiety</t>
        </is>
      </c>
      <c r="C6364" t="inlineStr">
        <is>
          <t xml:space="preserve">I was diagnosed at 7 and turn 20 next month. I had such great control until puberty hit and my bloodsugar started going nuts. I've always been insulin sensitive but my sensitivity spun out of control. Started having seizures, DKA episodes, eventually ran my bloodsugar at 300-500 because I was terrified of more seizures. I stopped leaving my house for a few months as well. My anxiety improved for a whole two years and after a serious episode of DKA again I'm back to running my bgs high and getting listed for a transplant because I can't keep doing this anymore or I'm going to kill myself. I've tried keeping it down but I'm so brittle that I go from 200 to 80 in 20 minutes or less. 0.10u drops me around 100 pts. I've been tested for GAD, but nope- just brittle. I'm so ready for this nightmare to be over because I can't do it much longer. Endo finally gave my referral for panc only transplant. My insulin sensitivity is so severe that I barely function. I miss being a kid and being able to not worry about seizures or DKA or dying all the time. </t>
        </is>
      </c>
      <c r="D6364" t="n">
        <v>5</v>
      </c>
      <c r="E6364" t="n">
        <v>5</v>
      </c>
      <c r="F6364">
        <f>HYPERLINK("https://www.reddit.com/r/diabetes/comments/b506xn/hypo_anxiety/")</f>
        <v/>
      </c>
      <c r="G6364" t="inlineStr">
        <is>
          <t>2019-03-24 12:15:04</t>
        </is>
      </c>
      <c r="H6364" t="inlineStr">
        <is>
          <t>Type 1</t>
        </is>
      </c>
    </row>
    <row r="6365">
      <c r="A6365" t="inlineStr">
        <is>
          <t>b50nih</t>
        </is>
      </c>
      <c r="B6365" t="inlineStr">
        <is>
          <t>Still in my first month of diagnosis and dying from stomach sickness caused by Metformin</t>
        </is>
      </c>
      <c r="C6365" t="inlineStr">
        <is>
          <t>Hey guys, it's been a bit since I first posted here, but this is what's been up with me and I'm honestly not sure what I'm supposed to do about it. They initially started me off on Metformin 500mg twice a day, breakfast and dinner, but I was nauseous and vomiting every other day so I spoke with my Endocrinologist and she suggested I try Metformin Extended Release 1000mg once in the morning for a week and then twice a day after that first week. I was told ER would give me less side effects so it should be better for me.
I went from 1000mg a day to taking 2000mg a day, which I didn't understand as supposed to be helping, and it didn't.
I'm still extremely stomach sick every day to the point where I don't have an appetite for fear of whatever I eat coming back up. I've tried talking to my Endocrinologist again, but she just kind of stammered and said "Well, Metformin is the best medication we have for this..." and told me to just wait till I see her **in two weeks.**
What are the downsides to just stopping metformin suddenly just so I can get a few days of relief?
Is Metformin really the only option?</t>
        </is>
      </c>
      <c r="D6365" t="n">
        <v>2</v>
      </c>
      <c r="E6365" t="n">
        <v>17</v>
      </c>
      <c r="F6365">
        <f>HYPERLINK("https://www.reddit.com/r/diabetes/comments/b50nih/still_in_my_first_month_of_diagnosis_and_dying/")</f>
        <v/>
      </c>
      <c r="G6365" t="inlineStr">
        <is>
          <t>2019-03-24 12:52:10</t>
        </is>
      </c>
      <c r="H6365" t="inlineStr">
        <is>
          <t>Type 2</t>
        </is>
      </c>
    </row>
    <row r="6366">
      <c r="A6366" t="inlineStr">
        <is>
          <t>b52crp</t>
        </is>
      </c>
      <c r="B6366" t="inlineStr">
        <is>
          <t>Does anyone else randomly drop things?</t>
        </is>
      </c>
      <c r="C6366" t="inlineStr">
        <is>
          <t xml:space="preserve">     I was diagnosed with type 1 a year and a half ago at 19.  Ever since then, I've noticed that I drop things much more frequently than before. My my keys, pencils, babies, and especially my phone. You name it and I'm holding it in my hand, I will eventually drop it. 
     Has anyone else experienced anything like this? My dad and sister who are also type 1 have noticed it too.</t>
        </is>
      </c>
      <c r="D6366" t="n">
        <v>15</v>
      </c>
      <c r="E6366" t="n">
        <v>22</v>
      </c>
      <c r="F6366">
        <f>HYPERLINK("https://www.reddit.com/r/diabetes/comments/b52crp/does_anyone_else_randomly_drop_things/")</f>
        <v/>
      </c>
      <c r="G6366" t="inlineStr">
        <is>
          <t>2019-03-24 15:16:04</t>
        </is>
      </c>
      <c r="H6366" t="inlineStr">
        <is>
          <t>Type 1</t>
        </is>
      </c>
    </row>
    <row r="6367">
      <c r="A6367" t="inlineStr">
        <is>
          <t>b52jsr</t>
        </is>
      </c>
      <c r="B6367" t="inlineStr">
        <is>
          <t>How to figure out basal?</t>
        </is>
      </c>
      <c r="C6367" t="inlineStr">
        <is>
          <t>Im taking 18 units of lantus every night and it seems like everytime my humalog wears off, my sugar wants to shoot up to 220-250, and i take more humalog to bring it back down. So im assuming this is an issue with not taking enough basal insulin</t>
        </is>
      </c>
      <c r="D6367" t="n">
        <v>2</v>
      </c>
      <c r="E6367" t="n">
        <v>4</v>
      </c>
      <c r="F6367">
        <f>HYPERLINK("https://www.reddit.com/r/diabetes/comments/b52jsr/how_to_figure_out_basal/")</f>
        <v/>
      </c>
      <c r="G6367" t="inlineStr">
        <is>
          <t>2019-03-24 15:34:00</t>
        </is>
      </c>
      <c r="H6367" t="inlineStr">
        <is>
          <t>Type 1</t>
        </is>
      </c>
    </row>
    <row r="6368">
      <c r="A6368" t="inlineStr">
        <is>
          <t>b54iax</t>
        </is>
      </c>
      <c r="B6368" t="inlineStr">
        <is>
          <t>Dexcom G6 Replacement</t>
        </is>
      </c>
      <c r="C6368" t="inlineStr">
        <is>
          <t>Hi Folks!
I'm back again (I've made a couple of posts in the last few months about my troubles with the Dexcom G6-- you can view them [here](https://www.reddit.com/r/diabetes/comments/ab2agb/dexcom_g6_problems/) and [here](https://www.reddit.com/r/diabetes/comments/ah6axp/dexcom_g6_insertion_question/)) To recap, I'm 22F, diabetic for 9 years who has had very limited success with the Dexcom G6, the overwhelming majority of sensors fail around 7-8 days. I've called customer support, spoken with my doctor, and my local Dexcom rep with a measure of success by following their advice (since September I've had 3 sensors go full session). I've also discovered Tegaderm Patches since my last post. Very useful. I would recommend to anyone who has troubles with the G6, but I am still losing a lot of sensors. 
&amp;amp;#x200B;
This leads to my question. The last Dexcom rep I spoke with was kind of a... kind of a jerk. He started digging through my records and pulling out dates of insertion and failure that were complete nonsense (not the dates I had in my records at all-- and I'm very careful about keeping track) and referred to my complaints as "allegations". In short, I think he thought I was lying (a complaint has been made.). He also told me that sensors were only being replaced on a "time lost" basis-- according to his math (I was too frazzled to do my own at the time), I had lost 28 days over the sensors I called in and I was sent 2 as a replacement. Since then, I've lost 5 sensors early and I've accumulated approximately 9 days of "lost time" (I keep very careful track of this stuff).  Is this a policy that any of you have run into? I haven't called in several months as a result but before this I was calling 2 or 3 times a month and I had never heard of this policy before. It's kind of ridiculous because the sensors can start crapping out and giving wildly inaccurate readings before they even "fail" so in reality, I've probably lost a lot more than 9 days on this batch of sensors. 
&amp;amp;#x200B;
In short, is this a policy anyone is familiar with? Was this rep just being rude? Should I just call sensors in as they fail, or wait to accumulate 10 lost days?
&amp;amp;#x200B;
Thanks!!
&amp;amp;#x200B;
tl:dr: Is Dexcom's "time lost" policy for sensor replacement legit?</t>
        </is>
      </c>
      <c r="D6368" t="n">
        <v>4</v>
      </c>
      <c r="E6368" t="n">
        <v>8</v>
      </c>
      <c r="F6368">
        <f>HYPERLINK("https://www.reddit.com/r/diabetes/comments/b54iax/dexcom_g6_replacement/")</f>
        <v/>
      </c>
      <c r="G6368" t="inlineStr">
        <is>
          <t>2019-03-24 18:39:20</t>
        </is>
      </c>
      <c r="H6368" t="inlineStr">
        <is>
          <t>Type 1</t>
        </is>
      </c>
    </row>
    <row r="6369">
      <c r="A6369" t="inlineStr">
        <is>
          <t>b54jow</t>
        </is>
      </c>
      <c r="B6369" t="inlineStr">
        <is>
          <t>Diabetic complications type 1</t>
        </is>
      </c>
      <c r="C6369" t="inlineStr">
        <is>
          <t>Hey everyone, I recently got diagnosed with diabetes type 1 and the possibility of future complications are really freaking me out. I have done all my tests( eyes, kidneys, etc) and the doctors said everything is fine but I am still very anxious. My vision keeps changing even though I think my sugars are pretty in control, which keeps making me go back to the eye doctors to test all the time. Sometimes the anxiety due to the fear of complications is really bad and and it stops me from doing my work and or going out. How long does it generally take to develop these complications? I am especially fearful of blindness. Any advice or reassurance will really help.</t>
        </is>
      </c>
      <c r="D6369" t="n">
        <v>4</v>
      </c>
      <c r="E6369" t="n">
        <v>11</v>
      </c>
      <c r="F6369">
        <f>HYPERLINK("https://www.reddit.com/r/diabetes/comments/b54jow/diabetic_complications_type_1/")</f>
        <v/>
      </c>
      <c r="G6369" t="inlineStr">
        <is>
          <t>2019-03-24 18:43:07</t>
        </is>
      </c>
      <c r="H6369" t="inlineStr">
        <is>
          <t>Type 1</t>
        </is>
      </c>
    </row>
    <row r="6370">
      <c r="A6370" t="inlineStr">
        <is>
          <t>b57j9o</t>
        </is>
      </c>
      <c r="B6370" t="inlineStr">
        <is>
          <t>Type One, Just dosed double my Lantus!</t>
        </is>
      </c>
      <c r="C6370" t="inlineStr">
        <is>
          <t xml:space="preserve">Ugh!
I have never done this! I dosed my lantus before work. And for some strange reason, perhaps by habit, I, without thought, stabbed another dose into me while on meal break at work right after my Humalog. I hadn't noticed what I had done until I pulled the needle out. 
What the heck! 
In a panic I ran a Google search. 
So I decided to smash an extra 130g of carbs into my mouth because I haven't much time to check every 15 minutes. Maybe every hour at best! Time to tackle this delima. Just gonna have to ride out the extra anxiety this next 24 hour cycle! </t>
        </is>
      </c>
      <c r="D6370" t="n">
        <v>13</v>
      </c>
      <c r="E6370" t="n">
        <v>11</v>
      </c>
      <c r="F6370">
        <f>HYPERLINK("https://www.reddit.com/r/diabetes/comments/b57j9o/type_one_just_dosed_double_my_lantus/")</f>
        <v/>
      </c>
      <c r="G6370" t="inlineStr">
        <is>
          <t>2019-03-25 00:23:37</t>
        </is>
      </c>
      <c r="H6370" t="inlineStr">
        <is>
          <t>Type 1</t>
        </is>
      </c>
    </row>
    <row r="6371">
      <c r="A6371" t="inlineStr">
        <is>
          <t>b5bfgr</t>
        </is>
      </c>
      <c r="B6371" t="inlineStr">
        <is>
          <t>TD1 for about 4-5 years now and still lost.</t>
        </is>
      </c>
      <c r="C6371" t="inlineStr">
        <is>
          <t xml:space="preserve">On a Dexcom G6 since November and Omnipod since almost as soon as I was diagnosed. I was great when I first got diagnosed in terms of ratings right and managing it properly but for awhile now I’ve been lazy and just eating anything in site and going by the, “I’ll just dose for it” life. Well, fiasp is $100+ more than my regular novolog so that’s not in the picture plus it didn’t seem like it worked well on the sample bottles I used that my doctor gave me. 
Long story short, my clarity says I have a lot of nighttime highs and day time highs which coincidentally are when I’m eating the most. I’ve always figured since I test after I eat and now have the Dexcom and track that, that it’s enough. How bad is having 280, 300, 350 readings 1.5-2 hours after eating if they start going down? I used to think it was no big deal since they’d start going down or I’d just dose again to start knocking it down.  I always hear about constant highs which to me means readings like this throughout the whole day vs once or twice a day. I imagine it’s just as bad though, right? In a perfect world if I dose properly for the food I eat then I should be having 200 or less readings and not going high, right? I’ve looked into keto but I can’t see not eating pasta, rice or bread with dinner. How do you all type 1s manage? </t>
        </is>
      </c>
      <c r="D6371" t="n">
        <v>6</v>
      </c>
      <c r="E6371" t="n">
        <v>9</v>
      </c>
      <c r="F6371">
        <f>HYPERLINK("https://www.reddit.com/r/diabetes/comments/b5bfgr/td1_for_about_45_years_now_and_still_lost/")</f>
        <v/>
      </c>
      <c r="G6371" t="inlineStr">
        <is>
          <t>2019-03-25 07:35:00</t>
        </is>
      </c>
      <c r="H6371" t="inlineStr">
        <is>
          <t>Type 1</t>
        </is>
      </c>
    </row>
    <row r="6372">
      <c r="A6372" t="inlineStr">
        <is>
          <t>b5frps</t>
        </is>
      </c>
      <c r="B6372" t="inlineStr">
        <is>
          <t>I had my lowest blood sugar today.</t>
        </is>
      </c>
      <c r="C6372" t="inlineStr">
        <is>
          <t xml:space="preserve">Today I had a blood sugar of 1.0 mmol. I can feel my lows and I didn't feel this one but I started to blackout. I saw black flashes and was very weak (but not low blood sugar weak). I felt scared and it made me think how depressed diabetes has made me. </t>
        </is>
      </c>
      <c r="D6372" t="n">
        <v>18</v>
      </c>
      <c r="E6372" t="n">
        <v>17</v>
      </c>
      <c r="F6372">
        <f>HYPERLINK("https://www.reddit.com/r/diabetes/comments/b5frps/i_had_my_lowest_blood_sugar_today/")</f>
        <v/>
      </c>
      <c r="G6372" t="inlineStr">
        <is>
          <t>2019-03-25 13:15:55</t>
        </is>
      </c>
      <c r="H6372" t="inlineStr">
        <is>
          <t>Type 1</t>
        </is>
      </c>
    </row>
    <row r="6373">
      <c r="A6373" t="inlineStr">
        <is>
          <t>b5myd0</t>
        </is>
      </c>
      <c r="B6373" t="inlineStr">
        <is>
          <t>Kidney Function and Creatinine Levels</t>
        </is>
      </c>
      <c r="C6373" t="inlineStr">
        <is>
          <t>I’ve been type one for 14 years with a1c ranging between 7.5 and 9.5 for most of it. I recently have had dark amber colored urine and weird sediment in my urine that looks like brown and white orange pulp. I got urine tests back through my portal online, they said my urine creatinine levels were 389mg and the normal range is 20-279mg. Has anyone else experienced this? Knowledge of kidney function? Thank you! 
+also have PCOS(high testosterone levels found), and hashimotos disease. 
PS: I HAVE CONTACTED MY DOCTOR AND THEY HAVE NOT RETURNED MY EMAILS OR MESSAGES FOR DAYS CURRENTLY WAITING.</t>
        </is>
      </c>
      <c r="D6373" t="n">
        <v>7</v>
      </c>
      <c r="E6373" t="n">
        <v>4</v>
      </c>
      <c r="F6373">
        <f>HYPERLINK("https://www.reddit.com/r/diabetes/comments/b5myd0/kidney_function_and_creatinine_levels/")</f>
        <v/>
      </c>
      <c r="G6373" t="inlineStr">
        <is>
          <t>2019-03-26 01:00:14</t>
        </is>
      </c>
      <c r="H6373" t="inlineStr">
        <is>
          <t>Type 1</t>
        </is>
      </c>
    </row>
    <row r="6374">
      <c r="A6374" t="inlineStr">
        <is>
          <t>b5oj3h</t>
        </is>
      </c>
      <c r="B6374" t="inlineStr">
        <is>
          <t>5 Weeks after changing from Levemir to Tresiba - trouble</t>
        </is>
      </c>
      <c r="C6374" t="inlineStr">
        <is>
          <t>I went from 2x 30/32 units of Levemir to 1x 50 units Tresiba.
At first, that worked out great. I had to drop the Tresiba dose to 48 units due to nighttime lows, which also worked pretty well.
2 weeks in and several hypos later, I found that I have to reduce my bolus (Fiasp) insulin by up to 60%. I suddenly need 8-10 units for dinner where I used to need 16-24. Same in the mornings and noon, dosage went down greatly, otherwise hypo.
Then 10 days ago, my levels started going absolutely bonkers.
ANY carbs I even so much as look at cause a huge, fast spike, no matter how much Fiasp I inject. I inject 20 mins prior to eating. If I inject earlier, I go into hypo before the food makes it to my blood sugar level, so I know Fiasp is working and the timing has not changed.
Anything I eat skyrockets me, even just 2 slices of low carb bread (12g of carbs) that barely caused a wobble in my diagram before. Most of the time, especially if I increase the fiasp dose, it also drops hard shortly after again into a hypo, or close.
Before, if I injected at the right time, the bread caused my sugar to rise \~20, maybe 30 points, then slowly lower back down again. Now, I shoot up to 180 within 15-20 minutes, and either stay there or drop hard back to 80 or so within another half hour. 
Even drinking coffee with a small amount of milk (20 ml or so) now causes my BG to rise by up to 30 points, when before, it didn't even touch it and I didn't need to bolus for it.
If I don't eat, my levels remain mostly stable, so the basal dosage is okay. 
&amp;amp;#x200B;
Any ideas, or anyone have similar experiences with Tresiba?</t>
        </is>
      </c>
      <c r="D6374" t="n">
        <v>4</v>
      </c>
      <c r="E6374" t="n">
        <v>1</v>
      </c>
      <c r="F6374">
        <f>HYPERLINK("https://www.reddit.com/r/diabetes/comments/b5oj3h/5_weeks_after_changing_from_levemir_to_tresiba/")</f>
        <v/>
      </c>
      <c r="G6374" t="inlineStr">
        <is>
          <t>2019-03-26 04:28:56</t>
        </is>
      </c>
      <c r="H6374" t="inlineStr">
        <is>
          <t>Type 1</t>
        </is>
      </c>
    </row>
    <row r="6375">
      <c r="A6375" t="inlineStr">
        <is>
          <t>b5s9d7</t>
        </is>
      </c>
      <c r="B6375" t="inlineStr">
        <is>
          <t>Trying to get my A1C down, is it worth going to the gym?</t>
        </is>
      </c>
      <c r="C6375" t="inlineStr">
        <is>
          <t>Hey, my A1Cs have been pretty high for a long time due to a looooong burnout I've had with T1 Diabetes. Fortunately, I'm slowly getting over this and have started to see my A1Cs drop as my levels have got better, due to the extra care I've started to put into this. I'm SUPER skinny for my age and have started to notice my weight increase (thank-god) but I lose it so damn easily!! I have one bad day with hyperglycemia and I just seem to start losing weight so fast. I know I won't fix this instantly, and I know that this is because of high blood sugars - which leads me to the question:
&amp;amp;#x200B;
Is it worth going to the gym, with that problem? If I'm occasionally running high, won't it just negate any muscle building or mass building I obtain from my gym sessions? I'm completely new to the gym too so I have no idea what I'm doing. Even so, I've heard that people find the gym 'therapeutic' for diabetes management. Can anyone speak further to that?
&amp;amp;#x200B;
Thank you :)</t>
        </is>
      </c>
      <c r="D6375" t="n">
        <v>8</v>
      </c>
      <c r="E6375" t="n">
        <v>13</v>
      </c>
      <c r="F6375">
        <f>HYPERLINK("https://www.reddit.com/r/diabetes/comments/b5s9d7/trying_to_get_my_a1c_down_is_it_worth_going_to/")</f>
        <v/>
      </c>
      <c r="G6375" t="inlineStr">
        <is>
          <t>2019-03-26 10:03:12</t>
        </is>
      </c>
      <c r="H6375" t="inlineStr">
        <is>
          <t>Type 1</t>
        </is>
      </c>
    </row>
    <row r="6376">
      <c r="A6376" t="inlineStr">
        <is>
          <t>b5stv6</t>
        </is>
      </c>
      <c r="B6376" t="inlineStr">
        <is>
          <t>Gaining wait due to insulin / always hungry?</t>
        </is>
      </c>
      <c r="C6376" t="inlineStr">
        <is>
          <t>Hey all. I was diagnosed in November with T1 and was at 95lbs. I'm on Lantus and Humalog. I currently weigh around 120. I'm Female and 5'2", but I've been struggling to not gain more weight. I even struggle to fit into clothes I used to wear before being diagnosed. 
I eat pretty healthy and around 100-150carbs each day. I don't count calories, but I usually stay away from sugary things. My breakfast is normally eggs with bacon or banana or yogurt. Lunch is usually a sandwich. Dinner is almost always a whole plate of veggies (broccoli/cauliflower/cabbage/beans mix) with some type of meat. 
I try my best to snack as little as possible, but I also noticed that I gained a huge appetite since starting insulin. I can eat a 'normal' sized meal for each meal and sometimes feel like I didn't eat at all. 
&amp;amp;#x200B;</t>
        </is>
      </c>
      <c r="D6376" t="n">
        <v>3</v>
      </c>
      <c r="E6376" t="n">
        <v>10</v>
      </c>
      <c r="F6376">
        <f>HYPERLINK("https://www.reddit.com/r/diabetes/comments/b5stv6/gaining_wait_due_to_insulin_always_hungry/")</f>
        <v/>
      </c>
      <c r="G6376" t="inlineStr">
        <is>
          <t>2019-03-26 10:50:24</t>
        </is>
      </c>
      <c r="H6376" t="inlineStr">
        <is>
          <t>Type 1</t>
        </is>
      </c>
    </row>
    <row r="6377">
      <c r="A6377" t="inlineStr">
        <is>
          <t>b5wobc</t>
        </is>
      </c>
      <c r="B6377" t="inlineStr">
        <is>
          <t>High BSL's &amp;amp; Alcohol</t>
        </is>
      </c>
      <c r="C6377" t="inlineStr">
        <is>
          <t xml:space="preserve">Hi Friends,
&amp;amp;#x200B;
Ive been having a bit of trouble keeping my sugars down when I drink. My Diabetes educator and Nutritionist say people normally go low when they drink but I have the opposite problem.
&amp;amp;#x200B;
I don't eat any particularly fatty foods when I'm drunk and I bolus for the carbs/protiens I am consuming with questionable accuracy. However I still go above 10.0mmol/L (180mol) and do start to push towards &amp;gt;20mmol/L (&amp;gt;300ml) when  hungover.
&amp;amp;#x200B;
Has anyone else had this issue, and do they know how to resolve it?  </t>
        </is>
      </c>
      <c r="D6377" t="n">
        <v>2</v>
      </c>
      <c r="E6377" t="n">
        <v>7</v>
      </c>
      <c r="F6377">
        <f>HYPERLINK("https://www.reddit.com/r/diabetes/comments/b5wobc/high_bsls_alcohol/")</f>
        <v/>
      </c>
      <c r="G6377" t="inlineStr">
        <is>
          <t>2019-03-26 16:02:13</t>
        </is>
      </c>
      <c r="H6377" t="inlineStr">
        <is>
          <t>Type 1</t>
        </is>
      </c>
    </row>
    <row r="6378">
      <c r="A6378" t="inlineStr">
        <is>
          <t>b5wqcm</t>
        </is>
      </c>
      <c r="B6378" t="inlineStr">
        <is>
          <t>How to upload Dexcom G6 CGM data to Clarity with a Tandem T-Slim X2 pump</t>
        </is>
      </c>
      <c r="C6378" t="inlineStr">
        <is>
          <t>I'm looking at getting the X2 for my daughter. I know you can't use the receiver once the X2 is in play. 
**So, is it possible to upload the CGM data on the pump to Dexcom's Clarity reports?**
&amp;amp;#x200B;
I use an "incompatible" Android phone with xDrip+, so using the native or hacked Dexcom app isn't what I want to do. I just plug in the receiver every day or 2 for a few seconds to get the data to Clarity. I hope there is something similar I can do with the pump.
&amp;amp;#x200B;
Thanks in advance.</t>
        </is>
      </c>
      <c r="D6378" t="n">
        <v>3</v>
      </c>
      <c r="E6378" t="n">
        <v>2</v>
      </c>
      <c r="F6378">
        <f>HYPERLINK("https://www.reddit.com/r/diabetes/comments/b5wqcm/how_to_upload_dexcom_g6_cgm_data_to_clarity_with/")</f>
        <v/>
      </c>
      <c r="G6378" t="inlineStr">
        <is>
          <t>2019-03-26 16:07:05</t>
        </is>
      </c>
      <c r="H6378" t="inlineStr">
        <is>
          <t>Type 1</t>
        </is>
      </c>
    </row>
    <row r="6379">
      <c r="A6379" t="inlineStr">
        <is>
          <t>b5ywdo</t>
        </is>
      </c>
      <c r="B6379" t="inlineStr">
        <is>
          <t>I can smell my boyfriend's highs</t>
        </is>
      </c>
      <c r="C6379" t="inlineStr">
        <is>
          <t>First time poster, but I do lurk and comment every now and then. I don't really get to talk about my boyfriend very much, but I wanted to share with someone. Hope y'all don't mind. 
&amp;amp;#x200B;
I met my boyfriend online; it was two years before we met in person, and when he picked me up from the airport and we got in his car, I was alarmed by the smell of metal when I leaned in close to him. He apologized, I told him I didn't mind. 
&amp;amp;#x200B;
Soon, I began to realize that he smelled like metal when he was stressed and when he was stressed, his blood sugar went high. I asked his parents and his brother if they thought he smelled like metal--"No, not really." But he *definitely* did! 
&amp;amp;#x200B;
Well, we're in the middle of our second visit right now, and he's not very stressed this time around. However, about an hour after we ate, I started to smell metal on him again. I told him he should check his blood, he said he knew it would be high because we just ate, and he didn't want to test his blood sugar because seeing highs stressed him out. "Well, I'm going to test your blood," I said, and I did. "Uh, should you do something about this?" I wasn't sure how high post-dinner was normal for him, but I got a reading of 358. He did have to bolus... 
&amp;amp;#x200B;
Anyway, he's asleep now because he has work early, but I just tested his blood again because he still smelled like metal. He was at 216. Good! 
&amp;amp;#x200B;
I'm happy our first visit wasn't just a fluke. I'm happy that I can help in some way and hoping my usually insensitive nose stays keen to his highs. Thanks for reading :)</t>
        </is>
      </c>
      <c r="D6379" t="n">
        <v>6</v>
      </c>
      <c r="E6379" t="n">
        <v>20</v>
      </c>
      <c r="F6379">
        <f>HYPERLINK("https://www.reddit.com/r/diabetes/comments/b5ywdo/i_can_smell_my_boyfriends_highs/")</f>
        <v/>
      </c>
      <c r="G6379" t="inlineStr">
        <is>
          <t>2019-03-26 19:31:37</t>
        </is>
      </c>
      <c r="H6379" t="inlineStr">
        <is>
          <t>Type 1</t>
        </is>
      </c>
    </row>
    <row r="6380">
      <c r="A6380" t="inlineStr">
        <is>
          <t>b60zja</t>
        </is>
      </c>
      <c r="B6380" t="inlineStr">
        <is>
          <t>getting a dexcom soon!!</t>
        </is>
      </c>
      <c r="C6380" t="inlineStr">
        <is>
          <t>hey all!! I had an appointment with my endo today after a few hard months with my bloodsugars. long story short I found myself homeless and jobless the first part of the year, so my numbers and a1c took a massive hit from the stress and limited diet. 
I am not homeless now but am still jobless. getting my numbers back on track has been a struggle. I feel like I wake up every day with the stress of a tight coil and the stress from that has taken a huge toll on my body.
my doc asked me about a dexcom, but I never thought I'd be able to get one as I live in WA state and am on Applehealth (amerigroup). 
but I found out today that my insurance recently started covering dexcoms!! I was able to speak to my doc and their dexcom rep and sent off my paperwork to get approved!! 
hopefully soon I'll be on a dexcom 5!! I've been a type1 for ~23 years (I'm 25) and never even dreamed of having equipment like this. it honestly felt like an unattainable thing because there was no way of ever be able to afford it without insurance. 
I currently check myself at min 12x a day and thinking of not having to prick my finger that much anymore is like !!:))))!! for me!!
what are some things I should know as a newbie?? I'm super excited to have one!!</t>
        </is>
      </c>
      <c r="D6380" t="n">
        <v>2</v>
      </c>
      <c r="E6380" t="n">
        <v>5</v>
      </c>
      <c r="F6380">
        <f>HYPERLINK("https://www.reddit.com/r/diabetes/comments/b60zja/getting_a_dexcom_soon/")</f>
        <v/>
      </c>
      <c r="G6380" t="inlineStr">
        <is>
          <t>2019-03-26 23:29:06</t>
        </is>
      </c>
      <c r="H6380" t="inlineStr">
        <is>
          <t>Type 1</t>
        </is>
      </c>
    </row>
    <row r="6381">
      <c r="A6381" t="inlineStr">
        <is>
          <t>b64li6</t>
        </is>
      </c>
      <c r="B6381" t="inlineStr">
        <is>
          <t>Morning (fasting) Blood Sugar reading [Noob]</t>
        </is>
      </c>
      <c r="C6381" t="inlineStr">
        <is>
          <t>Morning folks!
&amp;amp;#x200B;
 So I'm newly diagnosed (about three weeks ago) T2'er, and I'm learning the ropes and I'm confused by my BG readings, wonder if someone could shed some light...
&amp;amp;#x200B;
For Reference - my original bloodwork on March 4th shows a Glucose Fasting of 14.9, with a Hemoglobin A1C/Total Hemoglobin as 9.2 
&amp;amp;#x200B;
I started testing last week at home.   I've modified my eating habits the last three weeks drastically and am back to working out 3x a week.
&amp;amp;#x200B;
Doctor put me on 2x500 of metformin twice a day.
&amp;amp;#x200B;
These are readings basically from the last four days/nights
|Before Bed|8.6|8.3|7.0|7.1|
|:-|:-|:-|:-|:-|
|Morning (Fasting)|8.5|8.2|7.9|8.5|
&amp;amp;#x200B;
 In the afternoons, after lunch I've been registering from 5.9-6.9.
&amp;amp;#x200B;
I'm thinking my fasting is still way high, it should be down between 4-7, no?   If so, ways to help get it there?  (ie: Should I be taking my metformin later at night as opposed to supper at 5?)
&amp;amp;#x200B;
Thanks for your patience!
&amp;amp;#x200B;
&amp;amp;#x200B;</t>
        </is>
      </c>
      <c r="D6381" t="n">
        <v>9</v>
      </c>
      <c r="E6381" t="n">
        <v>20</v>
      </c>
      <c r="F6381">
        <f>HYPERLINK("https://www.reddit.com/r/diabetes/comments/b64li6/morning_fasting_blood_sugar_reading_noob/")</f>
        <v/>
      </c>
      <c r="G6381" t="inlineStr">
        <is>
          <t>2019-03-27 06:38:26</t>
        </is>
      </c>
      <c r="H6381" t="inlineStr">
        <is>
          <t>Type 2</t>
        </is>
      </c>
    </row>
    <row r="6382">
      <c r="A6382" t="inlineStr">
        <is>
          <t>b66ae0</t>
        </is>
      </c>
      <c r="B6382" t="inlineStr">
        <is>
          <t>Diabetes sucks but honestly I don’t think anything beats the feeling of hitting your goal a1c!!!!</t>
        </is>
      </c>
      <c r="C6382" t="inlineStr">
        <is>
          <t xml:space="preserve">I know this thread gets lots of posts similar to this but I just have to jump on the gravy train because I am so excited. I have had pretty well controlled diabetes for the last several years (a1c usually between 6.0 and 6.7) which I am super, super proud of. But also in these last several years I’ve really been working hard to keep my numbers tight enough to reach the sub 6.0 range, and I finally did it!!! 5.4 y’all! I almost started crying when my doctor told me. 
This disease is expensive, it’s emotionally and physically taxing, and if I could trade my freeloading pancreas for a new one, I probably would. But damn does it feel good to have the hard work pay off.
Gonna go buy myself a milkshake now to celebrate! 
</t>
        </is>
      </c>
      <c r="D6382" t="n">
        <v>47</v>
      </c>
      <c r="E6382" t="n">
        <v>8</v>
      </c>
      <c r="F6382">
        <f>HYPERLINK("https://www.reddit.com/r/diabetes/comments/b66ae0/diabetes_sucks_but_honestly_i_dont_think_anything/")</f>
        <v/>
      </c>
      <c r="G6382" t="inlineStr">
        <is>
          <t>2019-03-27 09:28:07</t>
        </is>
      </c>
      <c r="H6382" t="inlineStr">
        <is>
          <t>Type 1</t>
        </is>
      </c>
    </row>
    <row r="6383">
      <c r="A6383" t="inlineStr">
        <is>
          <t>b67bn3</t>
        </is>
      </c>
      <c r="B6383" t="inlineStr">
        <is>
          <t>Cooling Foot Cream/Gel/Lotion for Burning Feeling/Neurotherapy</t>
        </is>
      </c>
      <c r="C6383" t="inlineStr">
        <is>
          <t>Hi Guys, I am looking for a foot cream that helps relieve from burning feet. My mom has diabetes and she gets a lot of pain especially at night. Her feet becomes swollen and numb. She has used so many creams and lotions and whatnot so far but all of them don’t help the burning feeling at all rather the opposite. If the cream helps mosturize dry feet and heals cracked heels that would be ideal but any lotion/gel/cream that has a coolingg effect will be helpful. I live in Pakistan so I want something that is easy available here. Any suggestions from places like The Body Shop...? Thanks in advance.</t>
        </is>
      </c>
      <c r="D6383" t="n">
        <v>8</v>
      </c>
      <c r="E6383" t="n">
        <v>12</v>
      </c>
      <c r="F6383">
        <f>HYPERLINK("https://www.reddit.com/r/diabetes/comments/b67bn3/cooling_foot_creamgellotion_for_burning/")</f>
        <v/>
      </c>
      <c r="G6383" t="inlineStr">
        <is>
          <t>2019-03-27 10:50:02</t>
        </is>
      </c>
      <c r="H6383" t="inlineStr">
        <is>
          <t>Type 2</t>
        </is>
      </c>
    </row>
    <row r="6384">
      <c r="A6384" t="inlineStr">
        <is>
          <t>b6ahgl</t>
        </is>
      </c>
      <c r="B6384" t="inlineStr">
        <is>
          <t>5.5 A1C! I’ve been a diabetic for 13 years and I never thought I’d see the day!!</t>
        </is>
      </c>
      <c r="C6384" t="inlineStr">
        <is>
          <t xml:space="preserve">I was diagnosed when I was eight years old and my best A1C since has been 6.5 (usually 7ish). Three months ago, I started on the Dexcom G6 and my world changed. I haven’t been 300 once in that time! I’m over the moon. Eeeeeee! This sub convinced me to get a CGM - one user wrote “who even checks their blood sugar anymore?” And me, checking 5 times a day, thought, wow, I'm behind the times! Truly, I am so so grateful to this supportive community. If you’re waiting to get a CGM! You can do it too! </t>
        </is>
      </c>
      <c r="D6384" t="n">
        <v>18</v>
      </c>
      <c r="E6384" t="n">
        <v>6</v>
      </c>
      <c r="F6384">
        <f>HYPERLINK("https://www.reddit.com/r/diabetes/comments/b6ahgl/55_a1c_ive_been_a_diabetic_for_13_years_and_i/")</f>
        <v/>
      </c>
      <c r="G6384" t="inlineStr">
        <is>
          <t>2019-03-27 15:02:56</t>
        </is>
      </c>
      <c r="H6384" t="inlineStr">
        <is>
          <t>Type 1</t>
        </is>
      </c>
    </row>
    <row r="6385">
      <c r="A6385" t="inlineStr">
        <is>
          <t>b6bbfi</t>
        </is>
      </c>
      <c r="B6385" t="inlineStr">
        <is>
          <t>Can someone ELI5 how to set up/ use dexcom (currently G5) + xdrip + a smart watch</t>
        </is>
      </c>
      <c r="C6385" t="inlineStr">
        <is>
          <t>Hello,
Current G5 user with an unsupported android phone (Motorola 5G+). I am curious about setting up xDrip on my phone, but am a bit overwhelmed by it. I am considering upgrading to G6 soon, too (eligible in May). I personally like the G5 receiver because it is tiny and I keep it in my pocket, whereas I don't always have my phone on me (it's much bigger and doesn't fit in my pockets). But it looks like the new G6 receiver is clunky, so I am very intrigued by xDrip on my phone + a smart watch. I realize that most smart watches still need to be in "range" of the phone to work, which would work for me 90% of the time (for example, phone is sitting on my desk at work, or kitchen counter at home while I move freely about, generally in range, but can see my BG on my wrist without have to consult the phone). 
&amp;amp;#x200B;
 \* Is it pretty self-explanatory to get set up? I am a bit confused by the fact that the software is only on github (not the android app store). I'm sure my partner can figure it out (software engineer), but I am not as tech savvy. 
&amp;amp;#x200B;
 \* Can someone confirm that this is the current version of xDrip: [https://github.com/NightscoutFoundation/xDrip](https://github.com/NightscoutFoundation/xDrip) 
&amp;amp;#x200B;
 \* Does this mean my official dexcom receiver cannot be functional at the same time if I have xDrip paired with my phone? 
&amp;amp;#x200B;
 \* Is there a consolidated list of smart watches that will work with xDrip?
&amp;amp;#x200B;
 \* Does xDrip have the trend arrows, or something similar? Does it have more sophisticated alarms? For example I would love to have two high alarms, one at 160 and another at 200.
&amp;amp;#x200B;
 \* From the xDrip site "Instant two-way synchronization is possible by linking follower handsets". What does this mean?
&amp;amp;#x200B;
Thanks!!!</t>
        </is>
      </c>
      <c r="D6385" t="n">
        <v>2</v>
      </c>
      <c r="E6385" t="n">
        <v>2</v>
      </c>
      <c r="F6385">
        <f>HYPERLINK("https://www.reddit.com/r/diabetes/comments/b6bbfi/can_someone_eli5_how_to_set_up_use_dexcom/")</f>
        <v/>
      </c>
      <c r="G6385" t="inlineStr">
        <is>
          <t>2019-03-27 16:14:51</t>
        </is>
      </c>
      <c r="H6385" t="inlineStr">
        <is>
          <t>Type 1</t>
        </is>
      </c>
    </row>
    <row r="6386">
      <c r="A6386" t="inlineStr">
        <is>
          <t>b6feey</t>
        </is>
      </c>
      <c r="B6386" t="inlineStr">
        <is>
          <t>No one will rx glucagon. Argh! Why is the system so flawed?</t>
        </is>
      </c>
      <c r="C6386" t="inlineStr">
        <is>
          <t xml:space="preserve">Type 1 here only joined this club last year, currently a medical student, so I see both sides of this patient/provider issue. No one but my endo will do anything to help my diabetes concerns and I’m so frustrated sometimes. I can go to the pharmacy in my city, do a 30 minute training and get a naloxone kit for opioid overdoses, can buy epi pens over the counter, our pharmacists can prescribe some things, and I can even buy insulin over the counter, no rx. Like that shit keeps me alive but it can be deadly. But not my community pharmacists, my own family doctor, nor an online walk in clinic will prescribe me glucagon. I’m seeing my endo in a few weeks, and he’s great I have no doubt he’ll rx the glucagon and be surprised it was this hard to try and get. But I can’t go to him every week, the system in my country does not work like that. I see him every 6 months but so much can change in that time.... 
this is my latest frustration. I’m already working on changing this system my simply being a part of it on both sides and existing. It’s maddening to see my colleagues hands are tied to do logical things that most of us patients know. 
Thanks for reading my rant lol. I’m so sick of candy and juice right now, this probably makes very little sense.  at this rate I’m going to catch type 2 from the sugar 😝(joke obvs., I know that’s not how any of that works). </t>
        </is>
      </c>
      <c r="D6386" t="n">
        <v>6</v>
      </c>
      <c r="E6386" t="n">
        <v>32</v>
      </c>
      <c r="F6386">
        <f>HYPERLINK("https://www.reddit.com/r/diabetes/comments/b6feey/no_one_will_rx_glucagon_argh_why_is_the_system_so/")</f>
        <v/>
      </c>
      <c r="G6386" t="inlineStr">
        <is>
          <t>2019-03-27 23:34:06</t>
        </is>
      </c>
      <c r="H6386" t="inlineStr">
        <is>
          <t>Type 1</t>
        </is>
      </c>
    </row>
    <row r="6387">
      <c r="A6387" t="inlineStr">
        <is>
          <t>b6flb2</t>
        </is>
      </c>
      <c r="B6387" t="inlineStr">
        <is>
          <t>Class Action Lawsuit: Mail Order Insulin</t>
        </is>
      </c>
      <c r="C6387" t="inlineStr">
        <is>
          <t>For too long, people with diabetes have been forced by their insurance companies to get their insulin via mail order. 
I've had to return humalog numerous times due to CVS Caremark's inability to control their cold temperature supply chain. I never had ineffective insulin when I bought it in a retail pharmacy. 
This puts my in danger. Is anyone interested in joining me?
Bunny</t>
        </is>
      </c>
      <c r="D6387" t="n">
        <v>2</v>
      </c>
      <c r="E6387" t="n">
        <v>3</v>
      </c>
      <c r="F6387">
        <f>HYPERLINK("https://www.reddit.com/r/diabetes/comments/b6flb2/class_action_lawsuit_mail_order_insulin/")</f>
        <v/>
      </c>
      <c r="G6387" t="inlineStr">
        <is>
          <t>2019-03-27 23:59:57</t>
        </is>
      </c>
      <c r="H6387" t="inlineStr">
        <is>
          <t>Type 1</t>
        </is>
      </c>
    </row>
    <row r="6388">
      <c r="A6388" t="inlineStr">
        <is>
          <t>b6g2d7</t>
        </is>
      </c>
      <c r="B6388" t="inlineStr">
        <is>
          <t>Constant lows</t>
        </is>
      </c>
      <c r="C6388" t="inlineStr">
        <is>
          <t xml:space="preserve">Hey all,
So for the last two days my BG has been dropping consistently throughout the day and at night. This would suggest that my basal insulin is too high. So I have reduced from  my regular dose of 18 to 12 yet I continue to go low. I’m at the point where I’m not even taking fast acting for some meals bc if I do I’ll go low in an hour or so. And honestly I’m sick of eating glucose tabs and drinking juice!!! There have been no lifestyle changes, diet and activity level is the same. If anything I’ve been less active then normal in the last couple weeks. Anyone experience something similar? Or know what’s going on? 
</t>
        </is>
      </c>
      <c r="D6388" t="n">
        <v>3</v>
      </c>
      <c r="E6388" t="n">
        <v>14</v>
      </c>
      <c r="F6388">
        <f>HYPERLINK("https://www.reddit.com/r/diabetes/comments/b6g2d7/constant_lows/")</f>
        <v/>
      </c>
      <c r="G6388" t="inlineStr">
        <is>
          <t>2019-03-28 01:04:42</t>
        </is>
      </c>
      <c r="H6388" t="inlineStr">
        <is>
          <t>Type 1</t>
        </is>
      </c>
    </row>
    <row r="6389">
      <c r="A6389" t="inlineStr">
        <is>
          <t>b6i49l</t>
        </is>
      </c>
      <c r="B6389" t="inlineStr">
        <is>
          <t>Quite happy</t>
        </is>
      </c>
      <c r="C6389" t="inlineStr">
        <is>
          <t>199 to 144 in fasting
Quite happy</t>
        </is>
      </c>
      <c r="D6389" t="n">
        <v>8</v>
      </c>
      <c r="E6389" t="n">
        <v>6</v>
      </c>
      <c r="F6389">
        <f>HYPERLINK("https://www.reddit.com/r/diabetes/comments/b6i49l/quite_happy/")</f>
        <v/>
      </c>
      <c r="G6389" t="inlineStr">
        <is>
          <t>2019-03-28 05:22:56</t>
        </is>
      </c>
      <c r="H6389" t="inlineStr">
        <is>
          <t>Type 2</t>
        </is>
      </c>
    </row>
    <row r="6390">
      <c r="A6390" t="inlineStr">
        <is>
          <t>b6lenb</t>
        </is>
      </c>
      <c r="B6390" t="inlineStr">
        <is>
          <t>Any tips for lancing?</t>
        </is>
      </c>
      <c r="C6390" t="inlineStr">
        <is>
          <t>I was just diagnosed earlier this week, and I've been having a hard time getting blood samples. I have my needle on the highest setting and push it hard into my fingertip and 50% of the time it doesn't break skin and 40% of the time I get a tiny drop that is unusable, whenever my glucose machine asks for extra blood I can't get it because the wound closes so quickly. How is this feasible? Is everyone else stabbing themselves &amp;gt; 10 times twice a day?</t>
        </is>
      </c>
      <c r="D6390" t="n">
        <v>2</v>
      </c>
      <c r="E6390" t="n">
        <v>10</v>
      </c>
      <c r="F6390">
        <f>HYPERLINK("https://www.reddit.com/r/diabetes/comments/b6lenb/any_tips_for_lancing/")</f>
        <v/>
      </c>
      <c r="G6390" t="inlineStr">
        <is>
          <t>2019-03-28 10:06:27</t>
        </is>
      </c>
      <c r="H6390" t="inlineStr">
        <is>
          <t>Type 2</t>
        </is>
      </c>
    </row>
    <row r="6391">
      <c r="A6391" t="inlineStr">
        <is>
          <t>b6mcet</t>
        </is>
      </c>
      <c r="B6391" t="inlineStr">
        <is>
          <t>PAID RESEARCH OPPORTUNITY!</t>
        </is>
      </c>
      <c r="C6391" t="inlineStr">
        <is>
          <t>Please consider participating remotely in a paid research study!
https://i.redd.it/xntbqdpgjwo21.jpg</t>
        </is>
      </c>
      <c r="D6391" t="n">
        <v>0</v>
      </c>
      <c r="E6391" t="n">
        <v>0</v>
      </c>
      <c r="F6391">
        <f>HYPERLINK("https://www.reddit.com/r/diabetes/comments/b6mcet/paid_research_opportunity/")</f>
        <v/>
      </c>
      <c r="G6391" t="inlineStr">
        <is>
          <t>2019-03-28 11:23:02</t>
        </is>
      </c>
      <c r="H6391" t="inlineStr">
        <is>
          <t>Type 2</t>
        </is>
      </c>
    </row>
    <row r="6392">
      <c r="A6392" t="inlineStr">
        <is>
          <t>b6pxmi</t>
        </is>
      </c>
      <c r="B6392" t="inlineStr">
        <is>
          <t>Muscle gain with Diabetes</t>
        </is>
      </c>
      <c r="C6392" t="inlineStr">
        <is>
          <t>Hey everyone i have recently been starting to go to the gym and following an i guess "bulk" diet iv been doing this on and off (except when i got sick) now for about 1,5-2 months and have gained about 4-5kg weight 69kg before and now 74 kg. 
I was wondering if thats a pretty normal "gain speed" or whatever its called? I read yesterday that when you have high blood suger you lose muscle or something like that if someone could explain a little more about this like how high it should be for that to happen etc it would be of great help. 
&amp;amp;#x200B;
&amp;amp;#x200B;</t>
        </is>
      </c>
      <c r="D6392" t="n">
        <v>5</v>
      </c>
      <c r="E6392" t="n">
        <v>6</v>
      </c>
      <c r="F6392">
        <f>HYPERLINK("https://www.reddit.com/r/diabetes/comments/b6pxmi/muscle_gain_with_diabetes/")</f>
        <v/>
      </c>
      <c r="G6392" t="inlineStr">
        <is>
          <t>2019-03-28 16:22:49</t>
        </is>
      </c>
      <c r="H6392" t="inlineStr">
        <is>
          <t>Type 1</t>
        </is>
      </c>
    </row>
    <row r="6393">
      <c r="A6393" t="inlineStr">
        <is>
          <t>b6rk0h</t>
        </is>
      </c>
      <c r="B6393" t="inlineStr">
        <is>
          <t>What should I do with an infected pump site?</t>
        </is>
      </c>
      <c r="C6393" t="inlineStr">
        <is>
          <t>I found a spot on my asscheek that meets the standards of a site infection. I read that it is probably a [staph infection](https://www.ncbi.nlm.nih.gov/pmc/articles/PMC3440169/) (likely originating from my ass). I've heard horror stories of what happens when infections get bad, but I don't know what to do to treat it—besides scheduling with a primary care provider.</t>
        </is>
      </c>
      <c r="D6393" t="n">
        <v>3</v>
      </c>
      <c r="E6393" t="n">
        <v>5</v>
      </c>
      <c r="F6393">
        <f>HYPERLINK("https://www.reddit.com/r/diabetes/comments/b6rk0h/what_should_i_do_with_an_infected_pump_site/")</f>
        <v/>
      </c>
      <c r="G6393" t="inlineStr">
        <is>
          <t>2019-03-28 18:58:07</t>
        </is>
      </c>
      <c r="H6393" t="inlineStr">
        <is>
          <t>Type 1</t>
        </is>
      </c>
    </row>
    <row r="6394">
      <c r="A6394" t="inlineStr">
        <is>
          <t>b6t792</t>
        </is>
      </c>
      <c r="B6394" t="inlineStr">
        <is>
          <t>Blood sugar better with alcohol?</t>
        </is>
      </c>
      <c r="C6394" t="inlineStr">
        <is>
          <t>Hey all I’m newish to having type 2 diabetes and right now I’m controlling with metformin
By and large I’m staying under 150 most of the time
I had to deal with some PMS and cravings and an interview and basically said f it for my dietary habits for a few days to get through a hurdle so I was in the 170s
Anyways, I went out to a concert and had some gin and soda waters and this morning my fasting sugar was actually better down in the 140s
I’ve read that drinking too much can lower blood sugar but I only had 3-4 drinks 
Can someone help me understand why this is?
Thanks!</t>
        </is>
      </c>
      <c r="D6394" t="n">
        <v>9</v>
      </c>
      <c r="E6394" t="n">
        <v>10</v>
      </c>
      <c r="F6394">
        <f>HYPERLINK("https://www.reddit.com/r/diabetes/comments/b6t792/blood_sugar_better_with_alcohol/")</f>
        <v/>
      </c>
      <c r="G6394" t="inlineStr">
        <is>
          <t>2019-03-28 22:02:07</t>
        </is>
      </c>
      <c r="H6394" t="inlineStr">
        <is>
          <t>Type 2</t>
        </is>
      </c>
    </row>
    <row r="6395">
      <c r="A6395" t="inlineStr">
        <is>
          <t>b6ypcy</t>
        </is>
      </c>
      <c r="B6395" t="inlineStr">
        <is>
          <t>MiniMed™ 670G is at Version 4.10E, it changes login button press routine for the better.</t>
        </is>
      </c>
      <c r="C6395" t="inlineStr">
        <is>
          <t>Just an FYI. The serial number rubbed off of my 670G and they swapped it out for a new one. The Version of my new pump is 4.10E, found under Status / Pump.
I am sharing this with you because they made a change to the 'login' buttons. Where it used to take you all the way back when you hit the wrong random up down left right button and would frustrate the hell out of me, it now simply flashes the correct button to hit, reducing the button presses by about 7,000 (sarcasm). I called them to swap out my son's pump for this fix and they sent a new one for him as well.
Otherwise I still think it is too slow to respond and still requires way too many button presses to do the simplest of things. And it still won't warn you that you are not receiving insulin if you stop at "filling tube" and don't go to the next step "fill cannula" when changing the reservoir., which I think is a dangerous and major flaw with the pump.</t>
        </is>
      </c>
      <c r="D6395" t="n">
        <v>2</v>
      </c>
      <c r="E6395" t="n">
        <v>0</v>
      </c>
      <c r="F6395">
        <f>HYPERLINK("https://www.reddit.com/r/diabetes/comments/b6ypcy/minimed_670g_is_at_version_410e_it_changes_login/")</f>
        <v/>
      </c>
      <c r="G6395" t="inlineStr">
        <is>
          <t>2019-03-29 08:31:11</t>
        </is>
      </c>
      <c r="H6395" t="inlineStr">
        <is>
          <t>Type 1</t>
        </is>
      </c>
    </row>
    <row r="6396">
      <c r="A6396" t="inlineStr">
        <is>
          <t>b70hhv</t>
        </is>
      </c>
      <c r="B6396" t="inlineStr">
        <is>
          <t>Does anyone else feel much more "sharp" with slightly higher blood sugars?</t>
        </is>
      </c>
      <c r="C6396" t="inlineStr">
        <is>
          <t>So it's a weird question, but I will give some background:
&amp;amp;#x200B;
I have been a type 1 diabetic for the past 10 years, I am 29 years old now. During that time, my A1c has never been higher than 7.5, which is really good. During periods when my blood sugar is super stable I have A1C's in the 6.7-6.9 range, I find that I am foggy/sluggish (for lack of a better term) fairly often. I have noticed recently that on days when my blood sugars are in the 8-10mmol/L (144-180mg/dL) range I am much sharper, I feel like I should be feeling. Has anyone else experienced this? I ask my Endocrinologist all the time and she looks at me like I am crazy. I go to the gym 3-4 times a week and I eat relatively healthy, I don't think it could be anything else... 
&amp;amp;#x200B;
&amp;amp;#x200B;</t>
        </is>
      </c>
      <c r="D6396" t="n">
        <v>4</v>
      </c>
      <c r="E6396" t="n">
        <v>1</v>
      </c>
      <c r="F6396">
        <f>HYPERLINK("https://www.reddit.com/r/diabetes/comments/b70hhv/does_anyone_else_feel_much_more_sharp_with/")</f>
        <v/>
      </c>
      <c r="G6396" t="inlineStr">
        <is>
          <t>2019-03-29 10:58:49</t>
        </is>
      </c>
      <c r="H6396" t="inlineStr">
        <is>
          <t>Type 1</t>
        </is>
      </c>
    </row>
    <row r="6397">
      <c r="A6397" t="inlineStr">
        <is>
          <t>b71iqx</t>
        </is>
      </c>
      <c r="B6397" t="inlineStr">
        <is>
          <t>OmniPod Dash</t>
        </is>
      </c>
      <c r="C6397" t="inlineStr">
        <is>
          <t xml:space="preserve">Do we have any release dates for the dash? </t>
        </is>
      </c>
      <c r="D6397" t="n">
        <v>2</v>
      </c>
      <c r="E6397" t="n">
        <v>3</v>
      </c>
      <c r="F6397">
        <f>HYPERLINK("https://www.reddit.com/r/diabetes/comments/b71iqx/omnipod_dash/")</f>
        <v/>
      </c>
      <c r="G6397" t="inlineStr">
        <is>
          <t>2019-03-29 12:24:59</t>
        </is>
      </c>
      <c r="H6397" t="inlineStr">
        <is>
          <t>Type 1</t>
        </is>
      </c>
    </row>
    <row r="6398">
      <c r="A6398" t="inlineStr">
        <is>
          <t>b7c121</t>
        </is>
      </c>
      <c r="B6398" t="inlineStr">
        <is>
          <t>Diabetic Kids Study Participants Needed</t>
        </is>
      </c>
      <c r="C6398" t="inlineStr">
        <is>
          <t xml:space="preserve">If anyone has a diabetic child between the ages of 7-17 a national company is in desperate need of study participants in St Louis for a study on either April 14/15 or April 15/16. They may be in other locations but I am unsure about that as I am in St Louis. Study pays between $150-$275 and requires two hours the first day and 90 minutes the following day. This is a one time thing and is with a market research company. I'm a part of this study and it is legitimate. PM me for details and contact info for the study coordinator. Thanks &amp;lt;3 </t>
        </is>
      </c>
      <c r="D6398" t="n">
        <v>2</v>
      </c>
      <c r="E6398" t="n">
        <v>0</v>
      </c>
      <c r="F6398">
        <f>HYPERLINK("https://www.reddit.com/r/diabetes/comments/b7c121/diabetic_kids_study_participants_needed/")</f>
        <v/>
      </c>
      <c r="G6398" t="inlineStr">
        <is>
          <t>2019-03-30 07:43:12</t>
        </is>
      </c>
      <c r="H6398" t="inlineStr">
        <is>
          <t>Type 1</t>
        </is>
      </c>
    </row>
    <row r="6399">
      <c r="A6399" t="inlineStr">
        <is>
          <t>b7c4qx</t>
        </is>
      </c>
      <c r="B6399" t="inlineStr">
        <is>
          <t>Dexcom g6 or Freestyle Libre system?</t>
        </is>
      </c>
      <c r="C6399" t="inlineStr">
        <is>
          <t xml:space="preserve">What is the best Continuous Glucose monitoring system to have Dexcom g6 or Freestyle Libre system? 
</t>
        </is>
      </c>
      <c r="D6399" t="n">
        <v>2</v>
      </c>
      <c r="E6399" t="n">
        <v>7</v>
      </c>
      <c r="F6399">
        <f>HYPERLINK("https://www.reddit.com/r/diabetes/comments/b7c4qx/dexcom_g6_or_freestyle_libre_system/")</f>
        <v/>
      </c>
      <c r="G6399" t="inlineStr">
        <is>
          <t>2019-03-30 07:53:06</t>
        </is>
      </c>
      <c r="H6399" t="inlineStr">
        <is>
          <t>Type 1</t>
        </is>
      </c>
    </row>
    <row r="6400">
      <c r="A6400" t="inlineStr">
        <is>
          <t>b7dkhj</t>
        </is>
      </c>
      <c r="B6400" t="inlineStr">
        <is>
          <t>Multiple lows in a day, and treatment is a lot less effective</t>
        </is>
      </c>
      <c r="C6400" t="inlineStr">
        <is>
          <t>I recently started going to the gym every day, and my blood sugar was in range most if the time, but recently I started getting lows. I'm assuming workout causes this, but going low is nothing to worry about, as I could just have a starburst or a glucose tab and it would be fixed.
Though these past 2 days I went low during the night, and the usual treatment was didn't raise my blood sugar much at all. Today I was at 54, and after eating 3 Starbursts with tiny intervals my blood sugar nearly didn't change. I decided to drink a cup of milk with another starburst, which luckily raised my blood sugar to 140. The fact that Starbursts aren't increasing my blood sugar anywhere near as much as they used to is very worrying.
Besides this, I blood sugar now is an 80. Even though I haven't eaten anything or worked out or taken insulin. It went from 140 to 80 without me doing anything, and that is really worrying to me. Why is my blood sugar at an 80 even though I've consumed like 50 carbs with no insulin?
I would really appreciate some advice, thank you!</t>
        </is>
      </c>
      <c r="D6400" t="n">
        <v>2</v>
      </c>
      <c r="E6400" t="n">
        <v>21</v>
      </c>
      <c r="F6400">
        <f>HYPERLINK("https://www.reddit.com/r/diabetes/comments/b7dkhj/multiple_lows_in_a_day_and_treatment_is_a_lot/")</f>
        <v/>
      </c>
      <c r="G6400" t="inlineStr">
        <is>
          <t>2019-03-30 10:14:54</t>
        </is>
      </c>
      <c r="H6400" t="inlineStr">
        <is>
          <t>Type 1</t>
        </is>
      </c>
    </row>
    <row r="6401">
      <c r="A6401" t="inlineStr">
        <is>
          <t>b7fb7u</t>
        </is>
      </c>
      <c r="B6401" t="inlineStr">
        <is>
          <t>Android App to track insulin dose?</t>
        </is>
      </c>
      <c r="C6401" t="inlineStr">
        <is>
          <t xml:space="preserve">Hey team, 
My 14 year old has had some crazy numbers the past month or so, and I know part of it is being 14 and not wanting to make her life about diabetes (no need to comment about it being important and better to learn now, blah blah blah, she does that best she can with the hand she's been dealt, she is 14, we get it) For the most part she does a really great job of managing her care, but I am hoping to find an app that is easy to log her rapid dose through out the day. Something that is easy to navigate and can be accessed without data. 
&amp;amp;#x200B;
Is this magic app out there? </t>
        </is>
      </c>
      <c r="D6401" t="n">
        <v>2</v>
      </c>
      <c r="E6401" t="n">
        <v>3</v>
      </c>
      <c r="F6401">
        <f>HYPERLINK("https://www.reddit.com/r/diabetes/comments/b7fb7u/android_app_to_track_insulin_dose/")</f>
        <v/>
      </c>
      <c r="G6401" t="inlineStr">
        <is>
          <t>2019-03-30 12:58:44</t>
        </is>
      </c>
      <c r="H6401" t="inlineStr">
        <is>
          <t>Type 1</t>
        </is>
      </c>
    </row>
    <row r="6402">
      <c r="A6402" t="inlineStr">
        <is>
          <t>b7fe4f</t>
        </is>
      </c>
      <c r="B6402" t="inlineStr">
        <is>
          <t>Survey</t>
        </is>
      </c>
      <c r="C6402" t="inlineStr">
        <is>
          <t>A quick survey for a project. Will take under five mins. More info in the link.
[https://docs.google.com/forms/d/e/1FAIpQLSfZsxKUTApulqnsnWE8KBSrcIRt81kadAR\_fNRHtMCqMDPHeg/viewform?usp=sf\_link](https://docs.google.com/forms/d/e/1FAIpQLSfZsxKUTApulqnsnWE8KBSrcIRt81kadAR_fNRHtMCqMDPHeg/viewform?usp=sf_link)</t>
        </is>
      </c>
      <c r="D6402" t="n">
        <v>2</v>
      </c>
      <c r="E6402" t="n">
        <v>1</v>
      </c>
      <c r="F6402">
        <f>HYPERLINK("https://www.reddit.com/r/diabetes/comments/b7fe4f/survey/")</f>
        <v/>
      </c>
      <c r="G6402" t="inlineStr">
        <is>
          <t>2019-03-30 13:06:26</t>
        </is>
      </c>
      <c r="H6402" t="inlineStr">
        <is>
          <t>Type 1</t>
        </is>
      </c>
    </row>
    <row r="6403">
      <c r="A6403" t="inlineStr">
        <is>
          <t>b7gmiy</t>
        </is>
      </c>
      <c r="B6403" t="inlineStr">
        <is>
          <t>Does this mean my i:c ratio is off?</t>
        </is>
      </c>
      <c r="C6403" t="inlineStr">
        <is>
          <t>I have my i:c ratio at 1:5 right now, and I had assumed  it was working for a long time. But now that I really look at the trends on my libre, it seems that a lot of times I would dip low around 4-6 hours after eating. I always thought it was a good ratio because i stayed within range for so long after eating without spiking too high (I pre-bolus too). 
So for example, today I had pizza. 
I bolus at 2:00pm with BG of 136.
I start eating at 2:30pm and finish relatively quickly. 
By 4:00pm I'm spiking in the 180s. 
At 5:45pm I'm at 129 but going steadily down. 
At 6:00pm I'm at 111 and going down.
The pizza I ate was one of those prepackaged frozen ones that I've been experimenting a lot with. When I had a higher I;c ratio, I was spiking in the 200s. I'm wondering if this all just means that I shold pre-bolus even earlier and raise my ratio?
&amp;amp;#x200B;
Also, I've ruled out my basal being a problem because it remains very steady throughout the night. 
&amp;amp;#x200B;
&amp;amp;#x200B;</t>
        </is>
      </c>
      <c r="D6403" t="n">
        <v>3</v>
      </c>
      <c r="E6403" t="n">
        <v>2</v>
      </c>
      <c r="F6403">
        <f>HYPERLINK("https://www.reddit.com/r/diabetes/comments/b7gmiy/does_this_mean_my_ic_ratio_is_off/")</f>
        <v/>
      </c>
      <c r="G6403" t="inlineStr">
        <is>
          <t>2019-03-30 15:07:43</t>
        </is>
      </c>
      <c r="H6403" t="inlineStr">
        <is>
          <t>Type 1</t>
        </is>
      </c>
    </row>
    <row r="6404">
      <c r="A6404" t="inlineStr">
        <is>
          <t>b7ka2e</t>
        </is>
      </c>
      <c r="B6404" t="inlineStr">
        <is>
          <t>I know I can’t force compliance. My dad (45M) has had type two diabetes for 15 years. He does not take ANY medications, never checks his blood sugar. I’m so worried about him but have no idea what I could do for him</t>
        </is>
      </c>
      <c r="C6404" t="inlineStr">
        <is>
          <t>I think he’s in denial. The first year he had it, he took it very seriously. Took meds, checked his blood sugar multiple times a day, and ate right. 
He does not even own anything to check his blood sugar anymore. He hasn’t seen a doctor in years. He eats multiple packs of cookies per day. Every time he gets gas, he has to stop and get a candy bar, or an ice cream, or something. 
I’m a nurse. I work in a facility with both short term care for people who just got out of the hospital and long term care. During my last shift, I was doing wound care on a 55 year old’s foot. He had two toes cut off due to gangrene. It could have been a lot worse. I see situations like this and worse every single day. I know this is going to be my dad before he knows it if he doesn’t take action yesterday. 
He has noticeable pitting edema in both of his feet. This is not serious enough for him to see a doctor. Nothing to him is serious enough. 
I don’t know what I can do to help him. I share stories like the one I mentioned above to him. I’ve also shared stories about patients I’ve met with T2D who did what they had to do to manage it and lived relatively normal lives. This doesn’t work. 
Like I said in my title, I completely understand that I can’t force compliance into him. But I don’t want to spend years watching diabetes literally eat him away. I don’t know what to do</t>
        </is>
      </c>
      <c r="D6404" t="n">
        <v>6</v>
      </c>
      <c r="E6404" t="n">
        <v>7</v>
      </c>
      <c r="F6404">
        <f>HYPERLINK("https://www.reddit.com/r/diabetes/comments/b7ka2e/i_know_i_cant_force_compliance_my_dad_45m_has_had/")</f>
        <v/>
      </c>
      <c r="G6404" t="inlineStr">
        <is>
          <t>2019-03-30 22:18:14</t>
        </is>
      </c>
      <c r="H6404" t="inlineStr">
        <is>
          <t>Type 2</t>
        </is>
      </c>
    </row>
    <row r="6405">
      <c r="A6405" t="inlineStr">
        <is>
          <t>b7rra8</t>
        </is>
      </c>
      <c r="B6405" t="inlineStr">
        <is>
          <t>[Academic Survey] User Experience with Insulin Pumps</t>
        </is>
      </c>
      <c r="C6405" t="inlineStr">
        <is>
          <t>Hello everyone, my name is Alex and I am currently studying biomedical engineering at the University of Waterloo in Ontario, Canada. Myself and 3 others are doing a course project on the current issues with insulin pumps. I created this survey to get some feedback from pump users to see their experiences. Your participation in this survey would be greatly appreciated and will help us develop redesign options for insulin pumps. The survey should only take 5 minutes and is completely anonymous. More information about the survey can be found on the survey's cover statement.
If you have any questions or suggestions about the survey, please feel free to e-mail me at [ajfricke@edu.waterloo.ca](mailto:ajfricke@edu.waterloo.ca) or simply comment below. Thank you in advance for your participation!</t>
        </is>
      </c>
      <c r="D6405" t="n">
        <v>10</v>
      </c>
      <c r="E6405" t="n">
        <v>14</v>
      </c>
      <c r="F6405">
        <f>HYPERLINK("https://www.reddit.com/r/diabetes/comments/b7rra8/academic_survey_user_experience_with_insulin_pumps/")</f>
        <v/>
      </c>
      <c r="G6405" t="inlineStr">
        <is>
          <t>2019-03-31 12:40:03</t>
        </is>
      </c>
      <c r="H6405" t="inlineStr">
        <is>
          <t>Type 1</t>
        </is>
      </c>
    </row>
    <row r="6406">
      <c r="A6406" t="inlineStr">
        <is>
          <t>b7sk7a</t>
        </is>
      </c>
      <c r="B6406" t="inlineStr">
        <is>
          <t>Sudden insulin resistance</t>
        </is>
      </c>
      <c r="C6406" t="inlineStr">
        <is>
          <t xml:space="preserve">For the last day or so I haven’t been able to get my sugar under 120. I know that’s not high, but bolusing and treating highs aren’t having any effect on my sugar either. I bolused with 4.5 units of Humalog (a brand new pen) before I had a bowl of cereal, and I still spiked to &amp;lt;250. Treated it about an hour later, conservatively with 2 units, still nothing. I just cannot get my levels down. I’m not sick and nothing else with my diet or lifestyle has changed in the period of time since this has started (or the last month+). Has this happened to anyone else? Should I be concerned? </t>
        </is>
      </c>
      <c r="D6406" t="n">
        <v>2</v>
      </c>
      <c r="E6406" t="n">
        <v>6</v>
      </c>
      <c r="F6406">
        <f>HYPERLINK("https://www.reddit.com/r/diabetes/comments/b7sk7a/sudden_insulin_resistance/")</f>
        <v/>
      </c>
      <c r="G6406" t="inlineStr">
        <is>
          <t>2019-03-31 13:48:19</t>
        </is>
      </c>
      <c r="H6406" t="inlineStr">
        <is>
          <t>Type 1</t>
        </is>
      </c>
    </row>
    <row r="6407">
      <c r="A6407" t="inlineStr">
        <is>
          <t>b7ste0</t>
        </is>
      </c>
      <c r="B6407" t="inlineStr">
        <is>
          <t>Recently diabetic and looking for some advice</t>
        </is>
      </c>
      <c r="C6407" t="inlineStr">
        <is>
          <t>I \[m31\] became type 1 diabetic about a month ago. There wasn’t any lead up to it. I found out a week ago when my girlfriend found me on the bathroom floor with a blood sugar of 1089. This came about due to pancreatic necrosis and me losing a portion of my pancreas and liver. The Surgeon said the liver should recover but the pancreas will not.  
I have a couple of questions and was looking for advice. I’ve been doing as much reading here and elsewhere that I can, and I was looking for advice.
1. Restaurant eating – I’m having a hard time finding information about what is advised for restaurants and what I should avoid. My family wanted to take me out for dinner and I’m trying to find any nutritional information on menus. Is there any rule of thumb about eating out other than avoid carbs?
2. My blood sugar hovers around 140 and 280. It has dropped to 100 a couple of times, but I feel shaky when this happens. Is blood sugar levels something that varies person to person or is this something I should be worried about?</t>
        </is>
      </c>
      <c r="D6407" t="n">
        <v>16</v>
      </c>
      <c r="E6407" t="n">
        <v>25</v>
      </c>
      <c r="F6407">
        <f>HYPERLINK("https://www.reddit.com/r/diabetes/comments/b7ste0/recently_diabetic_and_looking_for_some_advice/")</f>
        <v/>
      </c>
      <c r="G6407" t="inlineStr">
        <is>
          <t>2019-03-31 14:10:36</t>
        </is>
      </c>
      <c r="H6407" t="inlineStr">
        <is>
          <t>Type 1</t>
        </is>
      </c>
    </row>
    <row r="6408">
      <c r="A6408" t="inlineStr">
        <is>
          <t>b7tkbs</t>
        </is>
      </c>
      <c r="B6408" t="inlineStr">
        <is>
          <t>What are some life changing technologies are you using?</t>
        </is>
      </c>
      <c r="C6408" t="inlineStr">
        <is>
          <t>Hey,
&amp;amp;#x200B;
I'm a type 1 diabetic; I live in a country where we get new medical tech relatively late.
I started using the FreeStyle Libre about a year ago and it completely changed my life for the better.
Last night I heard about the MiaoMiao and ordered it as well.
&amp;amp;#x200B;
I was wondering what new tech are you using that changed your life, as I probably don't know it even exists :)
&amp;amp;#x200B;
Thanks</t>
        </is>
      </c>
      <c r="D6408" t="n">
        <v>3</v>
      </c>
      <c r="E6408" t="n">
        <v>8</v>
      </c>
      <c r="F6408">
        <f>HYPERLINK("https://www.reddit.com/r/diabetes/comments/b7tkbs/what_are_some_life_changing_technologies_are_you/")</f>
        <v/>
      </c>
      <c r="G6408" t="inlineStr">
        <is>
          <t>2019-03-31 15:17:36</t>
        </is>
      </c>
      <c r="H6408" t="inlineStr">
        <is>
          <t>Type 1</t>
        </is>
      </c>
    </row>
    <row r="6409">
      <c r="A6409" t="inlineStr">
        <is>
          <t>b7tud0</t>
        </is>
      </c>
      <c r="B6409" t="inlineStr">
        <is>
          <t>Now a certified type 1, will be going on a pump.</t>
        </is>
      </c>
      <c r="C6409" t="inlineStr">
        <is>
          <t>Evening chaps,
So I’ve been diabetic for three years just about, and have been classified as a type 1.5. Recently my sugars have been so bad, that my endo has reevaluated what type i am. Since he thinks im more in type one territory now (as well as making it easier to get me on a pump) i will be ditching the insulin pens of old, and become a new and improved diabetic.
Since I’ve been using insulin pens this whole time, the insulin pumps are a wee bit intimidating to me. Any and all hell or advice on making the switch would be lovely.
Cheers, and thanks for reading.</t>
        </is>
      </c>
      <c r="D6409" t="n">
        <v>2</v>
      </c>
      <c r="E6409" t="n">
        <v>2</v>
      </c>
      <c r="F6409">
        <f>HYPERLINK("https://www.reddit.com/r/diabetes/comments/b7tud0/now_a_certified_type_1_will_be_going_on_a_pump/")</f>
        <v/>
      </c>
      <c r="G6409" t="inlineStr">
        <is>
          <t>2019-03-31 15:44:35</t>
        </is>
      </c>
      <c r="H6409" t="inlineStr">
        <is>
          <t>Type 1</t>
        </is>
      </c>
    </row>
    <row r="6410">
      <c r="A6410" t="inlineStr">
        <is>
          <t>b7wja1</t>
        </is>
      </c>
      <c r="B6410" t="inlineStr">
        <is>
          <t>Pump Rocker</t>
        </is>
      </c>
      <c r="C6410" t="inlineStr">
        <is>
          <t xml:space="preserve">We were listening to music in the car and Sheena is a Punk Rocker by The Ramones came on. My 7 year old listens for a while and then very proudly says “That’s me!! I’m a pump Rocker!” 
That made my day :-) </t>
        </is>
      </c>
      <c r="D6410" t="n">
        <v>52</v>
      </c>
      <c r="E6410" t="n">
        <v>4</v>
      </c>
      <c r="F6410">
        <f>HYPERLINK("https://www.reddit.com/r/diabetes/comments/b7wja1/pump_rocker/")</f>
        <v/>
      </c>
      <c r="G6410" t="inlineStr">
        <is>
          <t>2019-03-31 20:05:51</t>
        </is>
      </c>
      <c r="H6410" t="inlineStr">
        <is>
          <t>Type 1</t>
        </is>
      </c>
    </row>
    <row r="6411">
      <c r="A6411" t="inlineStr">
        <is>
          <t>b7y0dn</t>
        </is>
      </c>
      <c r="B6411" t="inlineStr">
        <is>
          <t>Type 1 Carbs VS calories insulin calculations READ</t>
        </is>
      </c>
      <c r="C6411" t="inlineStr">
        <is>
          <t xml:space="preserve">About a year ago I made a post about how I’d learned to calculate in calories versus carbs and got a lot of heat, since learning how to switch over to my dosage to carbs I see where that criticism comes from. A main difference I have seen is the lows and average blood sugar readings. I don’t know why my doctor (when first diagnosed as type 1) put me on a calorie counting dosing but it seemed to work for me so I thought. When I ended up switching over to the carb counting regimen I was skeptical and scared as I’m sure any type 1 would be as far as taking more or less insulin dosages as I was not knowledgeable on this. COMPLETE 180, blood sugars are more stable, lows and highs are irregular and it’s much easier to know you can just eat meat (for any keto type 1’s) and keep a stable in my case blood sugar without using any insulin (Still have to use your 24 hr acting insulin). Really just wanted to post this in some small chance some type 1’s are still using the cals vs carbs would scroll across this post as they may be oblivious to an easier way of living with this disease, trust me; IT GETS EASIER.                                                         </t>
        </is>
      </c>
      <c r="D6411" t="n">
        <v>9</v>
      </c>
      <c r="E6411" t="n">
        <v>10</v>
      </c>
      <c r="F6411">
        <f>HYPERLINK("https://www.reddit.com/r/diabetes/comments/b7y0dn/type_1_carbs_vs_calories_insulin_calculations_read/")</f>
        <v/>
      </c>
      <c r="G6411" t="inlineStr">
        <is>
          <t>2019-03-31 22:40:51</t>
        </is>
      </c>
      <c r="H6411" t="inlineStr">
        <is>
          <t>Type 1</t>
        </is>
      </c>
    </row>
    <row r="6412">
      <c r="A6412" t="inlineStr">
        <is>
          <t>b7yqge</t>
        </is>
      </c>
      <c r="B6412" t="inlineStr">
        <is>
          <t>Hard To Control Blood Sugars. Should I Ask My Doctor About Victoza? A Pump?</t>
        </is>
      </c>
      <c r="C6412" t="inlineStr">
        <is>
          <t xml:space="preserve">I've posted in here before and the community is generally very understanding and helpful. I'm male/ 30 years old/ T1 and in fairly good health otherwise. I have had years of difficult to control blood sugars, and at this point it feels like I'm beating my head against a wall. My A1C's are ALWAYS high, even though I cook my own meals, exercise everyday (I walk 3-5 miles a day),  and try to avoid processed and fast food. I'll go some weeks (or months) where my blood sugar levels will be pretty easy to control and I will not require as much insulin, however the rest of the time it is an unending cycle of testing, injecting, and correcting low blood sugars after I've finally bludgeoned my numbers down. I swear it's like I look at a loaf of bread my my numbers jump 100 points. I'm taking massive amounts of insulin before and after meals with little to no effect. I'm on Lantus, Humalog and oral medicine already. Would Victoza help me get my numbers down? I'm living in Korea right now and it's pretty difficult to get a CGM here, but I'm looking into it. I feel beaten down and mentally exhausted. I'm trying my best and it's just never enough. </t>
        </is>
      </c>
      <c r="D6412" t="n">
        <v>3</v>
      </c>
      <c r="E6412" t="n">
        <v>3</v>
      </c>
      <c r="F6412">
        <f>HYPERLINK("https://www.reddit.com/r/diabetes/comments/b7yqge/hard_to_control_blood_sugars_should_i_ask_my/")</f>
        <v/>
      </c>
      <c r="G6412" t="inlineStr">
        <is>
          <t>2019-04-01 00:01:23</t>
        </is>
      </c>
      <c r="H6412" t="inlineStr">
        <is>
          <t>Type 1</t>
        </is>
      </c>
    </row>
    <row r="6413">
      <c r="A6413" t="inlineStr">
        <is>
          <t>b83emj</t>
        </is>
      </c>
      <c r="B6413" t="inlineStr">
        <is>
          <t>Relatively new diabetic</t>
        </is>
      </c>
      <c r="C6413" t="inlineStr">
        <is>
          <t xml:space="preserve">
https://imgur.com/a/kuuAnBW
The past couple of days I’ve had a great big spike in the middle of the night  (according to the device) but I don’t have anything to eat before bed so I was curious if anyone who uses this system has experienced this and if I should dismiss these as inaccuracies </t>
        </is>
      </c>
      <c r="D6413" t="n">
        <v>2</v>
      </c>
      <c r="E6413" t="n">
        <v>3</v>
      </c>
      <c r="F6413">
        <f>HYPERLINK("https://www.reddit.com/r/diabetes/comments/b83emj/relatively_new_diabetic/")</f>
        <v/>
      </c>
      <c r="G6413" t="inlineStr">
        <is>
          <t>2019-04-01 07:53:45</t>
        </is>
      </c>
      <c r="H6413" t="inlineStr">
        <is>
          <t>Type 1</t>
        </is>
      </c>
    </row>
    <row r="6414">
      <c r="A6414" t="inlineStr">
        <is>
          <t>b84tsx</t>
        </is>
      </c>
      <c r="B6414" t="inlineStr">
        <is>
          <t>Saturated Fat and Type 2 Diabetes</t>
        </is>
      </c>
      <c r="C6414" t="inlineStr">
        <is>
          <t>[https://ucdintegrativemedicine.com/2016/09/diet-diabetes-saturated-fats-real-enemy/#gs.3ekjwk](https://ucdintegrativemedicine.com/2016/09/diet-diabetes-saturated-fats-real-enemy/#gs.3ekjwk)</t>
        </is>
      </c>
      <c r="D6414" t="n">
        <v>0</v>
      </c>
      <c r="E6414" t="n">
        <v>3</v>
      </c>
      <c r="F6414">
        <f>HYPERLINK("https://www.reddit.com/r/diabetes/comments/b84tsx/saturated_fat_and_type_2_diabetes/")</f>
        <v/>
      </c>
      <c r="G6414" t="inlineStr">
        <is>
          <t>2019-04-01 09:43:06</t>
        </is>
      </c>
      <c r="H6414" t="inlineStr">
        <is>
          <t>Type 2</t>
        </is>
      </c>
    </row>
    <row r="6415">
      <c r="A6415" t="inlineStr">
        <is>
          <t>b877x3</t>
        </is>
      </c>
      <c r="B6415" t="inlineStr">
        <is>
          <t>I am so afraid of going blind from Diabetes, please help I'm panicking.</t>
        </is>
      </c>
      <c r="C6415" t="inlineStr">
        <is>
          <t>Hi, I have type 1 Diabetes I'm 22f. I've had it for 12 years. Over the last year and a half I developed eye floaters and flashes which 6 eye doctors (including a diabetes eye specialist) said are related to my dry eyes/migraines. My a1c is a 6.1. But the other day my blood sugar was VERY high overnight from eating before bed and I woke up with scary floaters, which went away when my blood sugar went down. And sometimes I get those floaters when I wake up after a night of heavy drinking which it was (which is occasional for me).
&amp;amp;#x200B;
Anyway I've been to the eye doctor SIX times as I said. I am so fucking terrified of developing retinopathy and going blind and I don't know what to do and I'm panicking and crying right now reading up on it.</t>
        </is>
      </c>
      <c r="D6415" t="n">
        <v>2</v>
      </c>
      <c r="E6415" t="n">
        <v>17</v>
      </c>
      <c r="F6415">
        <f>HYPERLINK("https://www.reddit.com/r/diabetes/comments/b877x3/i_am_so_afraid_of_going_blind_from_diabetes/")</f>
        <v/>
      </c>
      <c r="G6415" t="inlineStr">
        <is>
          <t>2019-04-01 12:13:39</t>
        </is>
      </c>
      <c r="H6415" t="inlineStr">
        <is>
          <t>Type 1</t>
        </is>
      </c>
    </row>
    <row r="6416">
      <c r="A6416" t="inlineStr">
        <is>
          <t>b878z4</t>
        </is>
      </c>
      <c r="B6416" t="inlineStr">
        <is>
          <t>Switching from 1 daily dose to split dose on long-acting</t>
        </is>
      </c>
      <c r="C6416" t="inlineStr">
        <is>
          <t>I take 16 units of lantus nightly around 9 pm. So if i wanted to switch to a split dose, should i still take the 16 tonight and then take 8 units at 9 am? Or should i start the split tonight and only take 8 units at 9 pm, with the insulin from the night before being completely worn off?</t>
        </is>
      </c>
      <c r="D6416" t="n">
        <v>7</v>
      </c>
      <c r="E6416" t="n">
        <v>3</v>
      </c>
      <c r="F6416">
        <f>HYPERLINK("https://www.reddit.com/r/diabetes/comments/b878z4/switching_from_1_daily_dose_to_split_dose_on/")</f>
        <v/>
      </c>
      <c r="G6416" t="inlineStr">
        <is>
          <t>2019-04-01 12:15:38</t>
        </is>
      </c>
      <c r="H6416" t="inlineStr">
        <is>
          <t>Type 1</t>
        </is>
      </c>
    </row>
    <row r="6417">
      <c r="A6417" t="inlineStr">
        <is>
          <t>b87rhv</t>
        </is>
      </c>
      <c r="B6417" t="inlineStr">
        <is>
          <t>What was it like for you?</t>
        </is>
      </c>
      <c r="C6417" t="inlineStr">
        <is>
          <t>Parents of type 1s or type 1s, how did it feel when you first got diagnosed?
I've had this disease since I was 4 and I am currently 22. My family has always been supportive and my father has always paid for my medicine and supplies. However, I'd imagine it's a source of stress for him as well. Not just because of the costs, but the effect it has had on my temperament.
Were you hurt? Disappointed?</t>
        </is>
      </c>
      <c r="D6417" t="n">
        <v>5</v>
      </c>
      <c r="E6417" t="n">
        <v>12</v>
      </c>
      <c r="F6417">
        <f>HYPERLINK("https://www.reddit.com/r/diabetes/comments/b87rhv/what_was_it_like_for_you/")</f>
        <v/>
      </c>
      <c r="G6417" t="inlineStr">
        <is>
          <t>2019-04-01 12:49:24</t>
        </is>
      </c>
      <c r="H6417" t="inlineStr">
        <is>
          <t>Type 1</t>
        </is>
      </c>
    </row>
    <row r="6418">
      <c r="A6418" t="inlineStr">
        <is>
          <t>b8cw73</t>
        </is>
      </c>
      <c r="B6418" t="inlineStr">
        <is>
          <t>Dexcom G5 transmitter won’t pair?</t>
        </is>
      </c>
      <c r="C6418" t="inlineStr">
        <is>
          <t xml:space="preserve">I haven’t worn my CGM in over a month. My supplier was very late and I had no sensors left. I finally got sensors today and put one on. When I went to pair it made me connect to Bluetooth (even though I had already used this transmitter). I have done that then paired with the app. It says it takes 30 minutes to complete, however both times it did not finish. When I go to check on the app it starts everything over again. Entering the transmitter SN, waiting 30 minutes to pair, etc.. I’ve never had this happen before so I’m not sure what this issue is. Has this happened to anyone else? My transmitter has about 2 weeks left btw. 
If anyone knows how to fix this please let me know! This is my last transmitter until I switch to the G6 and a new supplier (hopefully will be receiving it this month). </t>
        </is>
      </c>
      <c r="D6418" t="n">
        <v>2</v>
      </c>
      <c r="E6418" t="n">
        <v>2</v>
      </c>
      <c r="F6418">
        <f>HYPERLINK("https://www.reddit.com/r/diabetes/comments/b8cw73/dexcom_g5_transmitter_wont_pair/")</f>
        <v/>
      </c>
      <c r="G6418" t="inlineStr">
        <is>
          <t>2019-04-01 18:56:37</t>
        </is>
      </c>
      <c r="H6418" t="inlineStr">
        <is>
          <t>Type 1</t>
        </is>
      </c>
    </row>
    <row r="6419">
      <c r="A6419" t="inlineStr">
        <is>
          <t>b8d5pq</t>
        </is>
      </c>
      <c r="B6419" t="inlineStr">
        <is>
          <t>Is there a difference in how you feel with a high or low A1c?</t>
        </is>
      </c>
      <c r="C6419" t="inlineStr">
        <is>
          <t>I have had T1 diabetes for 26 years and have never really had good control. I also never feel like I am at 100%, which makes sense given my diabetes. My A1c numbers are usually 10 or more. I have never had a good one. I just really hate checking my blood sugar. It is not because it hurts or anything like that, I just hate stopping to do it. I often guess on how much insulin to take.
Anyway, what I would like is to hear from someone, or others, who have had similarly high A1c numbers and gotten them down. Do you feel better physically and/or mentally? Is there a change for the better?</t>
        </is>
      </c>
      <c r="D6419" t="n">
        <v>5</v>
      </c>
      <c r="E6419" t="n">
        <v>10</v>
      </c>
      <c r="F6419">
        <f>HYPERLINK("https://www.reddit.com/r/diabetes/comments/b8d5pq/is_there_a_difference_in_how_you_feel_with_a_high/")</f>
        <v/>
      </c>
      <c r="G6419" t="inlineStr">
        <is>
          <t>2019-04-01 19:20:37</t>
        </is>
      </c>
      <c r="H6419" t="inlineStr">
        <is>
          <t>Type 1</t>
        </is>
      </c>
    </row>
    <row r="6420">
      <c r="A6420" t="inlineStr">
        <is>
          <t>b8iplz</t>
        </is>
      </c>
      <c r="B6420" t="inlineStr">
        <is>
          <t>Success reversing neuropathy?</t>
        </is>
      </c>
      <c r="C6420" t="inlineStr">
        <is>
          <t>I was diagnosed type 2 diabetic at 31 3 months ago. I've made major changes with diet and exercise, managed to lose 40 lbs, no longer obese, now close to normal bmi, and gotten my blood sugar mostly under control (still hasn't been enough time to retest my a1c, but my doctor is floored by my improvement). Despite the improvement my neuropathy seems to be getting worse. The pain can be excruciating at times, especially when I'm sleeping. I was hoping to at least stop the progress of my neuropathy, if not possibly reverse it, but it doesn't seem to be happening. 
&amp;amp;#x200B;
If I keep doing what I'm doing, continue reversing my diabetes and improving my health, can I expect my neuropathy to improve at all? I know it's supposed to be permanent, but I've heard of cases where people were able to reverse their neuropathy. Have any of you had any success with this, and if so, how long did it take?</t>
        </is>
      </c>
      <c r="D6420" t="n">
        <v>6</v>
      </c>
      <c r="E6420" t="n">
        <v>3</v>
      </c>
      <c r="F6420">
        <f>HYPERLINK("https://www.reddit.com/r/diabetes/comments/b8iplz/success_reversing_neuropathy/")</f>
        <v/>
      </c>
      <c r="G6420" t="inlineStr">
        <is>
          <t>2019-04-02 05:42:26</t>
        </is>
      </c>
      <c r="H6420" t="inlineStr">
        <is>
          <t>Type 2</t>
        </is>
      </c>
    </row>
    <row r="6421">
      <c r="A6421" t="inlineStr">
        <is>
          <t>b8kyf5</t>
        </is>
      </c>
      <c r="B6421" t="inlineStr">
        <is>
          <t>What blood glucose reading do you consider too low / hypoglycemic?</t>
        </is>
      </c>
      <c r="C6421" t="inlineStr">
        <is>
          <t>I've read that anything below 70 mg/dl (3.9mmol/L)  is considered too low.  I've also read that anything below 60 (3.3 mmol/L)  mg/dl is considered too low in different articles/blogs.
&amp;amp;#x200B;
Not sure which value to use, just wondering if there's a consensus among this subreddit's users?
&amp;amp;#x200B;
Background: Type 2 - treated with Glipizide, Metformin, carb reduction and exercise.  
I've recently reduced my Glipizide from 10mg 2\*day to 5mg 2\*day but am still getting readings between 60 mg/dl (3.3 mmol/L) and 70 mg/dl (3.9 mmol/L) between meals and trying to determine if I should reduce my Metformin (1000 mg 2\*day) or eliminate my Glipizide.</t>
        </is>
      </c>
      <c r="D6421" t="n">
        <v>2</v>
      </c>
      <c r="E6421" t="n">
        <v>7</v>
      </c>
      <c r="F6421">
        <f>HYPERLINK("https://www.reddit.com/r/diabetes/comments/b8kyf5/what_blood_glucose_reading_do_you_consider_too/")</f>
        <v/>
      </c>
      <c r="G6421" t="inlineStr">
        <is>
          <t>2019-04-02 08:50:06</t>
        </is>
      </c>
      <c r="H6421" t="inlineStr">
        <is>
          <t>Type 2</t>
        </is>
      </c>
    </row>
    <row r="6422">
      <c r="A6422" t="inlineStr">
        <is>
          <t>b8op8a</t>
        </is>
      </c>
      <c r="B6422" t="inlineStr">
        <is>
          <t>Realistically how long can i use an insulin pen thats already been opened?</t>
        </is>
      </c>
      <c r="C6422" t="inlineStr">
        <is>
          <t>I have a levemir pen that i want to use and its been open for probably 45 days. How much of its potency has been lost at this point? Could i up my dose by a unit to compensate?</t>
        </is>
      </c>
      <c r="D6422" t="n">
        <v>2</v>
      </c>
      <c r="E6422" t="n">
        <v>4</v>
      </c>
      <c r="F6422">
        <f>HYPERLINK("https://www.reddit.com/r/diabetes/comments/b8op8a/realistically_how_long_can_i_use_an_insulin_pen/")</f>
        <v/>
      </c>
      <c r="G6422" t="inlineStr">
        <is>
          <t>2019-04-02 13:47:45</t>
        </is>
      </c>
      <c r="H6422" t="inlineStr">
        <is>
          <t>Type 1</t>
        </is>
      </c>
    </row>
    <row r="6423">
      <c r="A6423" t="inlineStr">
        <is>
          <t>b8q0m8</t>
        </is>
      </c>
      <c r="B6423" t="inlineStr">
        <is>
          <t>Taking a break from my CGM</t>
        </is>
      </c>
      <c r="C6423" t="inlineStr">
        <is>
          <t>I started wearing a CGM last summer (Dexcom G6). Everything started out well enough, but as time went on it almost felt to me that my sugars were more out of whack then they were when I was pricking my finger. 
I dont know if it was the constant looking at my apple watch to see my number....seeing the rollercoaster on a graph....seeing it going up, freaking out and bolus’ing when a correction wasnt really needed, and then bottoming out....but it just stressed me out. 
So, when my last sensor finished, I decided not to replace it and just take a few days and do it the “old fashioned” way with my One Touch Ultra.  I gotta say, I feel less stressed and when I check my sugars the numbers seem better to me as well. 
Has anyone else felt this way about their CGM?</t>
        </is>
      </c>
      <c r="D6423" t="n">
        <v>6</v>
      </c>
      <c r="E6423" t="n">
        <v>5</v>
      </c>
      <c r="F6423">
        <f>HYPERLINK("https://www.reddit.com/r/diabetes/comments/b8q0m8/taking_a_break_from_my_cgm/")</f>
        <v/>
      </c>
      <c r="G6423" t="inlineStr">
        <is>
          <t>2019-04-02 15:38:15</t>
        </is>
      </c>
      <c r="H6423" t="inlineStr">
        <is>
          <t>Type 1</t>
        </is>
      </c>
    </row>
    <row r="6424">
      <c r="A6424" t="inlineStr">
        <is>
          <t>b8u6ss</t>
        </is>
      </c>
      <c r="B6424" t="inlineStr">
        <is>
          <t>How long should your bloodsugars be elevated after getting sick?</t>
        </is>
      </c>
      <c r="C6424" t="inlineStr">
        <is>
          <t>Hey dia-fam.
I recently went on a weekend trip, that ended up in me getting a cold right after I got home. That was a week and a bit ago, but I’m still needing to run 120% Basel. 
At what point should I just change my Basel to be permanently higher? Is there a standard as to how long your bg should be raised?</t>
        </is>
      </c>
      <c r="D6424" t="n">
        <v>2</v>
      </c>
      <c r="E6424" t="n">
        <v>6</v>
      </c>
      <c r="F6424">
        <f>HYPERLINK("https://www.reddit.com/r/diabetes/comments/b8u6ss/how_long_should_your_bloodsugars_be_elevated/")</f>
        <v/>
      </c>
      <c r="G6424" t="inlineStr">
        <is>
          <t>2019-04-02 22:56:50</t>
        </is>
      </c>
      <c r="H6424" t="inlineStr">
        <is>
          <t>Type 1</t>
        </is>
      </c>
    </row>
    <row r="6425">
      <c r="A6425" t="inlineStr">
        <is>
          <t>b8xi1a</t>
        </is>
      </c>
      <c r="B6425" t="inlineStr">
        <is>
          <t>Getting a CGM on Friday - I have a question</t>
        </is>
      </c>
      <c r="C6425" t="inlineStr">
        <is>
          <t>I am morbidly obese and I carry a lot of my weight in my stomach so it really pooches out there.  Will it be okay for me to put my GCM somewhere on my stomach area?  Will the meter work okay if it has a bunch of fat that it's going into?  Would it be better for me to try putting it on a different area of my body, and if yes, which area should I put it on?</t>
        </is>
      </c>
      <c r="D6425" t="n">
        <v>3</v>
      </c>
      <c r="E6425" t="n">
        <v>9</v>
      </c>
      <c r="F6425">
        <f>HYPERLINK("https://www.reddit.com/r/diabetes/comments/b8xi1a/getting_a_cgm_on_friday_i_have_a_question/")</f>
        <v/>
      </c>
      <c r="G6425" t="inlineStr">
        <is>
          <t>2019-04-03 05:46:46</t>
        </is>
      </c>
      <c r="H6425" t="inlineStr">
        <is>
          <t>Type 2</t>
        </is>
      </c>
    </row>
    <row r="6426">
      <c r="A6426" t="inlineStr">
        <is>
          <t>b9187z</t>
        </is>
      </c>
      <c r="B6426" t="inlineStr">
        <is>
          <t>Healthcare Coverage Help</t>
        </is>
      </c>
      <c r="C6426" t="inlineStr">
        <is>
          <t>Hi everyone, 25 year old living in California. 
Got diagnosed with Type 1 a few months ago. 
Healthcare through parents expires in August when I turn 26. No idea how I should be looking for the best healthcare plan that's good for diabetics. 
Does anybody have any advice, thoughts on healthcare providers that treat diabetics the best in terms of costs + the best way for me to go about doing research as a diabetic for new healthcare providers?
Any insights would be greatly appreciated :)</t>
        </is>
      </c>
      <c r="D6426" t="n">
        <v>3</v>
      </c>
      <c r="E6426" t="n">
        <v>11</v>
      </c>
      <c r="F6426">
        <f>HYPERLINK("https://www.reddit.com/r/diabetes/comments/b9187z/healthcare_coverage_help/")</f>
        <v/>
      </c>
      <c r="G6426" t="inlineStr">
        <is>
          <t>2019-04-03 10:51:03</t>
        </is>
      </c>
      <c r="H6426" t="inlineStr">
        <is>
          <t>Type 1</t>
        </is>
      </c>
    </row>
    <row r="6427">
      <c r="A6427" t="inlineStr">
        <is>
          <t>b9437x</t>
        </is>
      </c>
      <c r="B6427" t="inlineStr">
        <is>
          <t>Tandem Clip Questions???</t>
        </is>
      </c>
      <c r="C6427" t="inlineStr">
        <is>
          <t>Hello there,
I am begin insulin pump therapy in a couple of weeks on the tandem Tslim. As I made my decision on what pump I would want, it seemed like every pump had a clip that is not very good. What are you recommendations for the Tslim? Does the pump come with a clip, or should I buy I case?
&amp;amp;#x200B;
Thanks everyone!</t>
        </is>
      </c>
      <c r="D6427" t="n">
        <v>2</v>
      </c>
      <c r="E6427" t="n">
        <v>3</v>
      </c>
      <c r="F6427">
        <f>HYPERLINK("https://www.reddit.com/r/diabetes/comments/b9437x/tandem_clip_questions/")</f>
        <v/>
      </c>
      <c r="G6427" t="inlineStr">
        <is>
          <t>2019-04-03 14:37:12</t>
        </is>
      </c>
      <c r="H6427" t="inlineStr">
        <is>
          <t>Type 1</t>
        </is>
      </c>
    </row>
    <row r="6428">
      <c r="A6428" t="inlineStr">
        <is>
          <t>b96hya</t>
        </is>
      </c>
      <c r="B6428" t="inlineStr">
        <is>
          <t>Follow Up with Dexcom G6 Users</t>
        </is>
      </c>
      <c r="C6428" t="inlineStr">
        <is>
          <t>Hey Dexcom G6 users, a few months ago I inquired about how folks were liking they G6 set up over the G5.  A lot of the feedback revolves around failing sensors and limited supply of sensors.  
I’m wondering if Dexcom has worked out the kinks yet?  Also, now that more time has passed I’d love to hear additional feedback.
Thanks  in advance!</t>
        </is>
      </c>
      <c r="D6428" t="n">
        <v>1</v>
      </c>
      <c r="E6428" t="n">
        <v>7</v>
      </c>
      <c r="F6428">
        <f>HYPERLINK("https://www.reddit.com/r/diabetes/comments/b96hya/follow_up_with_dexcom_g6_users/")</f>
        <v/>
      </c>
      <c r="G6428" t="inlineStr">
        <is>
          <t>2019-04-03 18:24:18</t>
        </is>
      </c>
      <c r="H6428" t="inlineStr">
        <is>
          <t>Type 1</t>
        </is>
      </c>
    </row>
    <row r="6429">
      <c r="A6429" t="inlineStr">
        <is>
          <t>b96i72</t>
        </is>
      </c>
      <c r="B6429" t="inlineStr">
        <is>
          <t>Lucky hypo event</t>
        </is>
      </c>
      <c r="C6429" t="inlineStr">
        <is>
          <t xml:space="preserve">I'm posting this as more of a cautionary tale than anything, I got extremely lucky today and experienced things I've never experienced before in regards to a hypo. I apologise for the length. 
Lately, I've been very busy at work/outside of work. As such, diabetic things have kind of taken a back seat and my room is an absolute state. Things like ensuring I have enough Glucogel/Hypostop on me at all times. For the past few weeks, I haven't had any and haven't bought any Dextro Energy tablets. I live alone in a room by myself as part of a house-share. I guess I've become complacent with T1 diabetes. 
Anyway, I actually picked up a prescription containing Glucogel today right before this hypo happened which was incredibly fortunate. I didn't feel any obvious symptoms, which seems to be becoming a more common issue with me and one I've noticed at work too. I walked home and went upstairs to my room, and within seconds of reaching the top of the stairs and getting into my room it happened. 
I quickly became confused. At first I my thoughts were dwelling on something unimportant someone had said to me earlier in the day, and for some reason that's all I could focus on and was getting very frustrated about because I knew I needed to do something else (i.e. take something for this hypo) but felt I needed to reach a conclusion on this first thought - I didn't and attribute this to the mental confusion one can get during a hypo. 
I finally realized what I needed to do after a few precious seconds, but didn't want to take the Glucogel because I had something else to take, but couldn't quite remember what. My vision is unfocused at this point and I'm finding it difficult to stand, think and move. Must have looked hilarious because my legs were wobbling all over the damn place. I finally remembered there was something my bag, but because my room is an absolute state I couldn't remember -in this small room- where my bag was, or what it was I just knew that it would help. 
I tried walking over to my bed where I thought my bag was and couldn't make it across (&amp;lt; 3 metres). I fell backwards into the door and slammed my mouth on my desk in some weird apple-bob motion, but didn't fall over. I grabbed my desk and the entire thing came away from the wall - monitor and speakers included.  I slid my back down the door hinge or something and have a nice cut on my back and in the process really hurt my foot -no idea how- to the point now where I can't walk on it or do exercise. All this in the space of a few seconds. 
On the floor, I finally grab the Glucogel as I'm completely disoriented and consume it. I'm shaking all over the floor and can remember feeling panicked. I don't know how long I'm on the floor doing my best impression of a salt shaker at a busy restaurant, but the Glucogel works quickly and within 30 seconds or so I'm regaining my mental state. Get into my desk chair, remember the thing about my bag - ah yes! Sweets! and eat a few of them. 
So what I learned from this might be obvious, but honestly:
1. Don't get complacent, always have your low medicine on you in your pocket. 
2. Keep sweets and things in obvious places, not away in bags or drawers because I would not have been able to find them in the state I was in so you might not either. 
3. This happened so quickly it caught me completely off guard, if I hadn't picked up the Glucogel earlier I don;t know what would have happened. 
4. Don't try to save your or substitute something else for your medicine if you need it.
5. Keep your room tidy :D (Imagine if a paramedic had come around and seen it!)
6. You can injure yourself very quickly, I'm lucky I still have all my teeth and didn't hit the corner of my hard wooden desk. Not to mention damage your belongings. 
7. Monitor your glucose levels (I was using the Freestyle Libre but didn't have one on because it took a little longer than expected to arrive). </t>
        </is>
      </c>
      <c r="D6429" t="n">
        <v>18</v>
      </c>
      <c r="E6429" t="n">
        <v>9</v>
      </c>
      <c r="F6429">
        <f>HYPERLINK("https://www.reddit.com/r/diabetes/comments/b96i72/lucky_hypo_event/")</f>
        <v/>
      </c>
      <c r="G6429" t="inlineStr">
        <is>
          <t>2019-04-03 18:24:59</t>
        </is>
      </c>
      <c r="H6429" t="inlineStr">
        <is>
          <t>Type 1</t>
        </is>
      </c>
    </row>
    <row r="6430">
      <c r="A6430" t="inlineStr">
        <is>
          <t>b9hmlt</t>
        </is>
      </c>
      <c r="B6430" t="inlineStr">
        <is>
          <t>Question about Minimed 630g</t>
        </is>
      </c>
      <c r="C6430" t="inlineStr">
        <is>
          <t>I have a question regarding my Medtronic 630 g, that someone maybe can help me with.
My 630g this morning had a small pinhead size white dot above the battery icon, it appears to me is like a tiny light, but I am not sure.
I called Medtronic and I was told is nothing.
Does anyone have any idea what it could be?</t>
        </is>
      </c>
      <c r="D6430" t="n">
        <v>2</v>
      </c>
      <c r="E6430" t="n">
        <v>2</v>
      </c>
      <c r="F6430">
        <f>HYPERLINK("https://www.reddit.com/r/diabetes/comments/b9hmlt/question_about_minimed_630g/")</f>
        <v/>
      </c>
      <c r="G6430" t="inlineStr">
        <is>
          <t>2019-04-04 13:04:10</t>
        </is>
      </c>
      <c r="H6430" t="inlineStr">
        <is>
          <t>Type 1</t>
        </is>
      </c>
    </row>
    <row r="6431">
      <c r="A6431" t="inlineStr">
        <is>
          <t>b9idc8</t>
        </is>
      </c>
      <c r="B6431" t="inlineStr">
        <is>
          <t>New to Dexcom - a few question</t>
        </is>
      </c>
      <c r="C6431" t="inlineStr">
        <is>
          <t>Hello,
My newly T1D diagnosed daughter just received her Dexcom G6, and I'm hoping you all can help me answer some questions - being new to T1D/new to Dexcom/new to Apple Watch.
She has an iPhone, and I bought her an Apple Watch in preparation for the Dexcom.  She also has the Dexcom receiver.  I know that the watch cannot be used exclusively without the phone (yet).
I am looking to be able to track her numbers with the Dexcom follow app.  We are also hoping for her to receive alerts (during the day) on her watch (with her phone nearby).  The endo mentioned that she can pair the Dexcom receiver AND the phone to the sensor - so while sleeping, for example, she can silence her phone and simply rely on the Dexcom receiver for alarms instead of the phone/watch.
&amp;amp;#x200B;
From what I have read, the watch complication cannot show the Dexcom data from the Dexcom app, and she would need a third party app, such as Spike or Sugarmate?   What does that mean exactly?  That she would need to open the Dexcom app on the watch in order to read her numbers vs. displaying on the main screen?  Does that go for the alerts as well, or would the watch still alert with the native Dexcom app?
&amp;amp;#x200B;
In order for me to use Dexcom follow, does my daughter NEED the Dexcom app, or would she still be able to use Spike or Sugarmate?  Could she use both the Dexcom app AND a third party app together?  Not being able to read her numbers would be a dealbreaker.
If going the third-party route - is there a recommendation of one over the other?
&amp;amp;#x200B;
Basically, I'm just trying to understand the ideal setup using iPhone/Watch/Dexcom, with parents having access to the numbers and my daughter being able to get alerts on her watch during the day, and her receiver at night...
&amp;amp;#x200B;
Thank you all in advance!
&amp;amp;#x200B;</t>
        </is>
      </c>
      <c r="D6431" t="n">
        <v>3</v>
      </c>
      <c r="E6431" t="n">
        <v>9</v>
      </c>
      <c r="F6431">
        <f>HYPERLINK("https://www.reddit.com/r/diabetes/comments/b9idc8/new_to_dexcom_a_few_question/")</f>
        <v/>
      </c>
      <c r="G6431" t="inlineStr">
        <is>
          <t>2019-04-04 14:04:40</t>
        </is>
      </c>
      <c r="H6431" t="inlineStr">
        <is>
          <t>Type 1</t>
        </is>
      </c>
    </row>
    <row r="6432">
      <c r="A6432" t="inlineStr">
        <is>
          <t>b9imk9</t>
        </is>
      </c>
      <c r="B6432" t="inlineStr">
        <is>
          <t>Does anyone have a spreadsheet of BG logs I could use?</t>
        </is>
      </c>
      <c r="C6432" t="inlineStr">
        <is>
          <t>Long story short, I switched insurance and they’re requiring a ton of paperwork and documentation in order to get new Dexcom supplies. One thing they want is a month’s worth of blood glucose logs - the old school spreadsheet kind with morning, evening, and pre/post readings for breakfast, lunch and dinner. 
Normally, this wouldn’t be a problem since I have the Dexcom g5 CGM. The trouble is, they’ve already taken so long to get this far, that I’ve run out of Dexcom supplies. I don’t have any old logs myself, since I’ve been on Dexcom g5 for a couple years now. If I start a new log now, it’ll be another month after that before they approve anything and I can get my Dexcom supplies. 
Ordinarily I’d follow the rules, but it’s already been nearly two months with my Dexcom, and I’m getting pretty frustrated with this whole process. I don’t really want to spend another month of filling out glucose logs for some insurance adjuster to glance at it, stick it in a file, and go, “yep, dudes a diabetic.”
So if any of you guys have a spreadsheet of BG logs lying around you could share with me so I can get my supplies, I’d surely appreciate it!</t>
        </is>
      </c>
      <c r="D6432" t="n">
        <v>1</v>
      </c>
      <c r="E6432" t="n">
        <v>21</v>
      </c>
      <c r="F6432">
        <f>HYPERLINK("https://www.reddit.com/r/diabetes/comments/b9imk9/does_anyone_have_a_spreadsheet_of_bg_logs_i_could/")</f>
        <v/>
      </c>
      <c r="G6432" t="inlineStr">
        <is>
          <t>2019-04-04 14:26:13</t>
        </is>
      </c>
      <c r="H6432" t="inlineStr">
        <is>
          <t>Type 1</t>
        </is>
      </c>
    </row>
    <row r="6433">
      <c r="A6433" t="inlineStr">
        <is>
          <t>b9k7eo</t>
        </is>
      </c>
      <c r="B6433" t="inlineStr">
        <is>
          <t>New dexcom update</t>
        </is>
      </c>
      <c r="C6433" t="inlineStr">
        <is>
          <t>Dexcom Follow updated today and I *hate* it. I used to be able to select the graph for 3, 6, 12 or 24 hours and now I can only see my daughter’s last 2-3 hours? Is there a setting I’m missing???</t>
        </is>
      </c>
      <c r="D6433" t="n">
        <v>4</v>
      </c>
      <c r="E6433" t="n">
        <v>9</v>
      </c>
      <c r="F6433">
        <f>HYPERLINK("https://www.reddit.com/r/diabetes/comments/b9k7eo/new_dexcom_update/")</f>
        <v/>
      </c>
      <c r="G6433" t="inlineStr">
        <is>
          <t>2019-04-04 16:55:05</t>
        </is>
      </c>
      <c r="H6433" t="inlineStr">
        <is>
          <t>Type 1</t>
        </is>
      </c>
    </row>
    <row r="6434">
      <c r="A6434" t="inlineStr">
        <is>
          <t>b9ktkp</t>
        </is>
      </c>
      <c r="B6434" t="inlineStr">
        <is>
          <t>What's the difference between Levemir and Lantus?</t>
        </is>
      </c>
      <c r="C6434" t="inlineStr">
        <is>
          <t>I moved to Australia recently, and Levemir isn't available so it's been suggested I move to Lantus.  Is there anything I should know in advance about the change?</t>
        </is>
      </c>
      <c r="D6434" t="n">
        <v>5</v>
      </c>
      <c r="E6434" t="n">
        <v>14</v>
      </c>
      <c r="F6434">
        <f>HYPERLINK("https://www.reddit.com/r/diabetes/comments/b9ktkp/whats_the_difference_between_levemir_and_lantus/")</f>
        <v/>
      </c>
      <c r="G6434" t="inlineStr">
        <is>
          <t>2019-04-04 17:57:23</t>
        </is>
      </c>
      <c r="H6434" t="inlineStr">
        <is>
          <t>Type 1</t>
        </is>
      </c>
    </row>
    <row r="6435">
      <c r="A6435" t="inlineStr">
        <is>
          <t>b9mpr9</t>
        </is>
      </c>
      <c r="B6435" t="inlineStr">
        <is>
          <t>I cried at work today...</t>
        </is>
      </c>
      <c r="C6435" t="inlineStr">
        <is>
          <t xml:space="preserve">I got a call and was told my insurance denied me the G5 monitoring system. Everyone up until that point approved me. I was waiting for the box to arrive in the mail. I had such high hopes! I’m completely crushed and honestly give up trying. </t>
        </is>
      </c>
      <c r="D6435" t="n">
        <v>14</v>
      </c>
      <c r="E6435" t="n">
        <v>11</v>
      </c>
      <c r="F6435">
        <f>HYPERLINK("https://www.reddit.com/r/diabetes/comments/b9mpr9/i_cried_at_work_today/")</f>
        <v/>
      </c>
      <c r="G6435" t="inlineStr">
        <is>
          <t>2019-04-04 21:19:08</t>
        </is>
      </c>
      <c r="H6435" t="inlineStr">
        <is>
          <t>Type 1</t>
        </is>
      </c>
    </row>
    <row r="6436">
      <c r="A6436" t="inlineStr">
        <is>
          <t>b9okdi</t>
        </is>
      </c>
      <c r="B6436" t="inlineStr">
        <is>
          <t>Confusing low carb reaction</t>
        </is>
      </c>
      <c r="C6436" t="inlineStr">
        <is>
          <t>I've recently gotten my first CGM (dexcom) and have been working on getting my sugars under as tight of control as I'm able. My endo suggested I try out Fiasp instead of Humalog (that I've been using for years) and I've had some unusual reactions with it.
Tonight I ate a simple meal with some chicken and carrots and about 20g of carbs (fries) and dosed what I thought was enough Fiasp about 10m beforehand. I had very level sugars for about 2 hours after eating and then I spiked over the next hour from 92 to 173 for no apparent reason. I ended up having to correct about 3 hours after eating to get it to stop.
I think the CGM readings are getting me to pay a lot more attention to this than I would have in the past, but I can't figure out what happened here. Especially given the relatively low amount of carbs in this meal. Does anyone have any insights or similar experiences with this delayed of a spike?</t>
        </is>
      </c>
      <c r="D6436" t="n">
        <v>7</v>
      </c>
      <c r="E6436" t="n">
        <v>20</v>
      </c>
      <c r="F6436">
        <f>HYPERLINK("https://www.reddit.com/r/diabetes/comments/b9okdi/confusing_low_carb_reaction/")</f>
        <v/>
      </c>
      <c r="G6436" t="inlineStr">
        <is>
          <t>2019-04-05 01:25:59</t>
        </is>
      </c>
      <c r="H6436" t="inlineStr">
        <is>
          <t>Type 1</t>
        </is>
      </c>
    </row>
    <row r="6437">
      <c r="A6437" t="inlineStr">
        <is>
          <t>b9s7ep</t>
        </is>
      </c>
      <c r="B6437" t="inlineStr">
        <is>
          <t>Do any Type 1's have sleep apnea?</t>
        </is>
      </c>
      <c r="C6437" t="inlineStr">
        <is>
          <t xml:space="preserve">I think I might have sleep apnea, and I was wondering what the symptoms were for other diabetics. 
For background, I broke my nose pretty badly when I was young and never went to the hospital to get it properly set. As a result, my septum is severely deviated which has made me a mouth breather my whole life, unfortunately. In addition, I've always snored during sleep. 
I also have been waking up in the middle of the night completely drenched in sweat, with my blood sugar in the 200's and even has high as 300. I've never had that problem up until this year, but it seems it has coincided with my breathing getting worse.
I have read online that the cortisol response from poor breathing during sleep can spike blood sugars and cause excessive night sweats. 
Has anyone had an experience similar to this? I had an appointment with a doctor, and I'm being referred to another one. In the meantime, I  figured I'd reach out to see if anyone else could offer anything constructive. </t>
        </is>
      </c>
      <c r="D6437" t="n">
        <v>2</v>
      </c>
      <c r="E6437" t="n">
        <v>1</v>
      </c>
      <c r="F6437">
        <f>HYPERLINK("https://www.reddit.com/r/diabetes/comments/b9s7ep/do_any_type_1s_have_sleep_apnea/")</f>
        <v/>
      </c>
      <c r="G6437" t="inlineStr">
        <is>
          <t>2019-04-05 07:56:45</t>
        </is>
      </c>
      <c r="H6437" t="inlineStr">
        <is>
          <t>Type 1</t>
        </is>
      </c>
    </row>
    <row r="6438">
      <c r="A6438" t="inlineStr">
        <is>
          <t>b9sll3</t>
        </is>
      </c>
      <c r="B6438" t="inlineStr">
        <is>
          <t>I have a Medtronic 722 insukin pump for sale.</t>
        </is>
      </c>
      <c r="C6438" t="inlineStr">
        <is>
          <t>Just got a new pump. Selling my Medtronic 722. make me an offer. Thanks!
&amp;amp;#x200B;</t>
        </is>
      </c>
      <c r="D6438" t="n">
        <v>0</v>
      </c>
      <c r="E6438" t="n">
        <v>3</v>
      </c>
      <c r="F6438">
        <f>HYPERLINK("https://www.reddit.com/r/diabetes/comments/b9sll3/i_have_a_medtronic_722_insukin_pump_for_sale/")</f>
        <v/>
      </c>
      <c r="G6438" t="inlineStr">
        <is>
          <t>2019-04-05 08:29:25</t>
        </is>
      </c>
      <c r="H6438" t="inlineStr">
        <is>
          <t>Type 1</t>
        </is>
      </c>
    </row>
    <row r="6439">
      <c r="A6439" t="inlineStr">
        <is>
          <t>b9teos</t>
        </is>
      </c>
      <c r="B6439" t="inlineStr">
        <is>
          <t>Is Milk good for raising blood sugar?</t>
        </is>
      </c>
      <c r="C6439" t="inlineStr">
        <is>
          <t>Ive read conflicting information everywhere. The internet says milk is a low glycemic index food, yet it is always recommended to raise blood sugar quickly during hypoglycemia....which would mean it is not a low glycemic index food. Does anyone know....which is it??</t>
        </is>
      </c>
      <c r="D6439" t="n">
        <v>3</v>
      </c>
      <c r="E6439" t="n">
        <v>11</v>
      </c>
      <c r="F6439">
        <f>HYPERLINK("https://www.reddit.com/r/diabetes/comments/b9teos/is_milk_good_for_raising_blood_sugar/")</f>
        <v/>
      </c>
      <c r="G6439" t="inlineStr">
        <is>
          <t>2019-04-05 09:34:18</t>
        </is>
      </c>
      <c r="H6439" t="inlineStr">
        <is>
          <t>Type 1</t>
        </is>
      </c>
    </row>
    <row r="6440">
      <c r="A6440" t="inlineStr">
        <is>
          <t>b9v11w</t>
        </is>
      </c>
      <c r="B6440" t="inlineStr">
        <is>
          <t>How to get rid of excess belly fat/lose weight</t>
        </is>
      </c>
      <c r="C6440" t="inlineStr">
        <is>
          <t>I was diagnosed about 3 months ago with type 1 and since using insulin have gained 30 pounds, from 165-195 lbs, 6'2" tall
Its really blowing my stomach up and ive had to switch to larger clothes that fit more comfortably
My understanding is that the key is to use less insulin by reducing carb intake and increasing activity level..
Do you guys around the sub have any tips or routines that really helped you? What did your eating habits look like while losing weight? Do you like to stay away from certain foods because you found they cause bloating or another problem? Any advice is appreciated</t>
        </is>
      </c>
      <c r="D6440" t="n">
        <v>3</v>
      </c>
      <c r="E6440" t="n">
        <v>12</v>
      </c>
      <c r="F6440">
        <f>HYPERLINK("https://www.reddit.com/r/diabetes/comments/b9v11w/how_to_get_rid_of_excess_belly_fatlose_weight/")</f>
        <v/>
      </c>
      <c r="G6440" t="inlineStr">
        <is>
          <t>2019-04-05 11:47:14</t>
        </is>
      </c>
      <c r="H6440" t="inlineStr">
        <is>
          <t>Type 1</t>
        </is>
      </c>
    </row>
    <row r="6441">
      <c r="A6441" t="inlineStr">
        <is>
          <t>ba1w6m</t>
        </is>
      </c>
      <c r="B6441" t="inlineStr">
        <is>
          <t>Went out last night and woke up this morning with 18.9 (UK)</t>
        </is>
      </c>
      <c r="C6441" t="inlineStr">
        <is>
          <t xml:space="preserve">I usually wake up with a near-perfect blood sugar level. I went out, had supper and (lots, lots and) lots of drinks and woke up just now with a humongous headache that I just know isn’t hangover. 
I’ve flooded my body with insulin to come down (not enough to hypo, of course) but what else can I do to feel better? </t>
        </is>
      </c>
      <c r="D6441" t="n">
        <v>4</v>
      </c>
      <c r="E6441" t="n">
        <v>6</v>
      </c>
      <c r="F6441">
        <f>HYPERLINK("https://www.reddit.com/r/diabetes/comments/ba1w6m/went_out_last_night_and_woke_up_this_morning_with/")</f>
        <v/>
      </c>
      <c r="G6441" t="inlineStr">
        <is>
          <t>2019-04-06 00:19:02</t>
        </is>
      </c>
      <c r="H6441" t="inlineStr">
        <is>
          <t>Type 1</t>
        </is>
      </c>
    </row>
    <row r="6442">
      <c r="A6442" t="inlineStr">
        <is>
          <t>ba49c2</t>
        </is>
      </c>
      <c r="B6442" t="inlineStr">
        <is>
          <t>I was diagnosed with T2 this week. I'm angry with myself</t>
        </is>
      </c>
      <c r="C6442" t="inlineStr">
        <is>
          <t xml:space="preserve">I guess 23 years of heavy soda use finally caught up with me. The day I got the diagnosis I quit soda entirely. I won't even drink the the diet stuff. I radically changed my diet. My AC1 was 9.3. All my other numbers are excellent like my  triglycerides. I'm overweight, by 70 pounds. I do wear it well. I have been prescribed Janumet which i've been taking the last two days. The doctor has started me on once a day with that and next week it will up to twice a day. 
My fasting blood sugar has gone from 254 to 139 in those few days. I've lost about 3 pounds so far, which in the big scheme of things is nothing. I've set the goal that i'd like to lose 30-40 pounds in the next 90 days before we check my AC1 again. I honestly hate myself for doing myself in like this. </t>
        </is>
      </c>
      <c r="D6442" t="n">
        <v>0</v>
      </c>
      <c r="E6442" t="n">
        <v>3</v>
      </c>
      <c r="F6442">
        <f>HYPERLINK("https://www.reddit.com/r/diabetes/comments/ba49c2/i_was_diagnosed_with_t2_this_week_im_angry_with/")</f>
        <v/>
      </c>
      <c r="G6442" t="inlineStr">
        <is>
          <t>2019-04-06 06:24:15</t>
        </is>
      </c>
      <c r="H6442" t="inlineStr">
        <is>
          <t>Type 2</t>
        </is>
      </c>
    </row>
    <row r="6443">
      <c r="A6443" t="inlineStr">
        <is>
          <t>ba5218</t>
        </is>
      </c>
      <c r="B6443" t="inlineStr">
        <is>
          <t>At what blood sugar levels does dka happen?</t>
        </is>
      </c>
      <c r="C6443" t="inlineStr">
        <is>
          <t>What is the real range to avoid? Also, does there need to be zero active insulin in your body for this to happen? Or can it happen to someone who is actively taking their insulin but still struggling with 200+ bg frequently?</t>
        </is>
      </c>
      <c r="D6443" t="n">
        <v>6</v>
      </c>
      <c r="E6443" t="n">
        <v>23</v>
      </c>
      <c r="F6443">
        <f>HYPERLINK("https://www.reddit.com/r/diabetes/comments/ba5218/at_what_blood_sugar_levels_does_dka_happen/")</f>
        <v/>
      </c>
      <c r="G6443" t="inlineStr">
        <is>
          <t>2019-04-06 07:52:01</t>
        </is>
      </c>
      <c r="H6443" t="inlineStr">
        <is>
          <t>Type 1</t>
        </is>
      </c>
    </row>
    <row r="6444">
      <c r="A6444" t="inlineStr">
        <is>
          <t>ba7wmn</t>
        </is>
      </c>
      <c r="B6444" t="inlineStr">
        <is>
          <t>Carbohydrate and Fat confusion</t>
        </is>
      </c>
      <c r="C6444" t="inlineStr">
        <is>
          <t>So I am a recently diagnosed type 1 (2 days ago) and I am slowly getting educated about keeping my blood sugar below 200. So I'm obviously supposed to take 1 unit of novolog for every 15ish carbs, but I've been researching and I read that fat also raises blood sugar but like more slowly? So my question is how do I measure how the fat will affect my blood sugar since my novolog is quick acting and will burn off the carbs and how do I counteract the long term glucose of the fat?</t>
        </is>
      </c>
      <c r="D6444" t="n">
        <v>9</v>
      </c>
      <c r="E6444" t="n">
        <v>29</v>
      </c>
      <c r="F6444">
        <f>HYPERLINK("https://www.reddit.com/r/diabetes/comments/ba7wmn/carbohydrate_and_fat_confusion/")</f>
        <v/>
      </c>
      <c r="G6444" t="inlineStr">
        <is>
          <t>2019-04-06 12:22:25</t>
        </is>
      </c>
      <c r="H6444" t="inlineStr">
        <is>
          <t>Type 1</t>
        </is>
      </c>
    </row>
    <row r="6445">
      <c r="A6445" t="inlineStr">
        <is>
          <t>ba7y51</t>
        </is>
      </c>
      <c r="B6445" t="inlineStr">
        <is>
          <t>Please Help, I don’t know what I’m doing!</t>
        </is>
      </c>
      <c r="C6445" t="inlineStr">
        <is>
          <t>Hi I’m Rosa and I don’t know what I’m doing,  
Ok back story as concise as I can: 	
	-When I was 15 in was diagnosed with PCOS and was told that I would have insulin resistance because of it.
	-I was put on metformin to help with it but I can’t tolerate it, I’m constantly sick to my stomach on it
	-Fast forward 10 years or so, and other than the occasional blood test or A1C test nothing much is done.
	-At 28 or 29 (maybe 28.5 i forget) I get a new primary care, he is the first person to be proactive, he says I have type 2 diabetes and we try a bunch of different pills.
	-Which brings us to last year right after i turned 30, he is not happy with my A1C levels so he sends me to an endocrinologist, I’m lucky because my father in law is a 	doctor so I was able to get in to the best one in town (who was not taking new patients) at first she ran a ton of her own labs and right away put me on bydureon 	and told me to keep taking my pioglitazone that i was already on.
	-After the first six weeks or so and after the labs she said that basically my problem is late onset type 1 diabetes (I didn’t even know that was a thing) so since I’ve 	been seeing her I’ve been testing my glucose daily (no one else ever had me do that) and she also put me on insulin (toujeo) which I’m not gonna lie threw me for a 	loop and I can honestly say I’ve been in funk since i was officially “Branded Diabetic”.
Wow that was not very concise, but moving on... Our first goal for me was to get my morning glucose under 150 starting at 10 units of insulin and slowly adding a couple of units until it was under that consistently and i did that, but now she ideally wants me to be under 120 somewhere between 90 and 120 when fasting in the morning and i just can not seem to get there. I keep adding units of insulin but my levels are always in the 140s... and I feel lost, I don’t know what I’m doing. I don’t know how many units of insulin are too much because i keep adding but it’s not getting better. 
This is all so new to me, and i just don’t know i feel so lost and overwhelmed... Please help.</t>
        </is>
      </c>
      <c r="D6445" t="n">
        <v>30</v>
      </c>
      <c r="E6445" t="n">
        <v>15</v>
      </c>
      <c r="F6445">
        <f>HYPERLINK("https://www.reddit.com/r/diabetes/comments/ba7y51/please_help_i_dont_know_what_im_doing/")</f>
        <v/>
      </c>
      <c r="G6445" t="inlineStr">
        <is>
          <t>2019-04-06 12:26:40</t>
        </is>
      </c>
      <c r="H6445" t="inlineStr">
        <is>
          <t>Type 1.5/LADA</t>
        </is>
      </c>
    </row>
    <row r="6446">
      <c r="A6446" t="inlineStr">
        <is>
          <t>badpk2</t>
        </is>
      </c>
      <c r="B6446" t="inlineStr">
        <is>
          <t>App to display gluocse readings on the Apple watch without iPhone?</t>
        </is>
      </c>
      <c r="C6446" t="inlineStr">
        <is>
          <t>I wan to use the FreeStyle Libre sensor without the Reader or phone. is it possible to se readings on my Apple watch?</t>
        </is>
      </c>
      <c r="D6446" t="n">
        <v>2</v>
      </c>
      <c r="E6446" t="n">
        <v>3</v>
      </c>
      <c r="F6446">
        <f>HYPERLINK("https://www.reddit.com/r/diabetes/comments/badpk2/app_to_display_gluocse_readings_on_the_apple/")</f>
        <v/>
      </c>
      <c r="G6446" t="inlineStr">
        <is>
          <t>2019-04-06 23:43:47</t>
        </is>
      </c>
      <c r="H6446" t="inlineStr">
        <is>
          <t>Type 1</t>
        </is>
      </c>
    </row>
    <row r="6447">
      <c r="A6447" t="inlineStr">
        <is>
          <t>bahv4x</t>
        </is>
      </c>
      <c r="B6447" t="inlineStr">
        <is>
          <t>Luggage tag for my handbag</t>
        </is>
      </c>
      <c r="C6447" t="inlineStr">
        <is>
          <t xml:space="preserve">Hey guys. I've bought a luggage tag for my handbag that i want to write something on saying "this bag contains insulin and other medical equiptment. Without it i could die. Please return" but wanted to ask if anyone had any good ideas on how to word it. 
I'm a very forgetful person and worry that something like this might be necessary for me. </t>
        </is>
      </c>
      <c r="D6447" t="n">
        <v>6</v>
      </c>
      <c r="E6447" t="n">
        <v>2</v>
      </c>
      <c r="F6447">
        <f>HYPERLINK("https://www.reddit.com/r/diabetes/comments/bahv4x/luggage_tag_for_my_handbag/")</f>
        <v/>
      </c>
      <c r="G6447" t="inlineStr">
        <is>
          <t>2019-04-07 09:13:03</t>
        </is>
      </c>
      <c r="H6447" t="inlineStr">
        <is>
          <t>Type 1</t>
        </is>
      </c>
    </row>
    <row r="6448">
      <c r="A6448" t="inlineStr">
        <is>
          <t>bal7xx</t>
        </is>
      </c>
      <c r="B6448" t="inlineStr">
        <is>
          <t>Dexcom G6 sensor error</t>
        </is>
      </c>
      <c r="C6448" t="inlineStr">
        <is>
          <t>So basically I’ve been getting the “sensor error, temporary issue, wait up to 3 hours” message on the G6 for most of the day. I’m on day 6 of this current sensor and I just don’t know what causes the error, the transmitter is properly inserted into its place, I have it on a good site, the adhesive isn’t peeling off, etc.  If I need to I’ll just put a new sensor on but I’d like to get the 4 more days out of this one. Any advice?</t>
        </is>
      </c>
      <c r="D6448" t="n">
        <v>2</v>
      </c>
      <c r="E6448" t="n">
        <v>2</v>
      </c>
      <c r="F6448">
        <f>HYPERLINK("https://www.reddit.com/r/diabetes/comments/bal7xx/dexcom_g6_sensor_error/")</f>
        <v/>
      </c>
      <c r="G6448" t="inlineStr">
        <is>
          <t>2019-04-07 14:14:41</t>
        </is>
      </c>
      <c r="H6448" t="inlineStr">
        <is>
          <t>Type 1</t>
        </is>
      </c>
    </row>
    <row r="6449">
      <c r="A6449" t="inlineStr">
        <is>
          <t>bamwwd</t>
        </is>
      </c>
      <c r="B6449" t="inlineStr">
        <is>
          <t>Lantus vs Basaglar</t>
        </is>
      </c>
      <c r="C6449" t="inlineStr">
        <is>
          <t>Question to those who have switched from Lantus to Basaglar.
Did it seem to you that Basaglar is kinda ''weaker'' than Lantus? I mean, it seems to work less effectively, so I need to increase my dosage, i.e. I was using on average 20 units of Lantus (14-24 depending on my workout and/or work schedules). Now with Basaglar, I cannot go lower than 24, otherwise my glucose levels increase dramatically during the night. So this ''cheap'' alternative basically is a crap?</t>
        </is>
      </c>
      <c r="D6449" t="n">
        <v>3</v>
      </c>
      <c r="E6449" t="n">
        <v>1</v>
      </c>
      <c r="F6449">
        <f>HYPERLINK("https://www.reddit.com/r/diabetes/comments/bamwwd/lantus_vs_basaglar/")</f>
        <v/>
      </c>
      <c r="G6449" t="inlineStr">
        <is>
          <t>2019-04-07 16:59:43</t>
        </is>
      </c>
      <c r="H6449" t="inlineStr">
        <is>
          <t>Type 1</t>
        </is>
      </c>
    </row>
    <row r="6450">
      <c r="A6450" t="inlineStr">
        <is>
          <t>bano6z</t>
        </is>
      </c>
      <c r="B6450" t="inlineStr">
        <is>
          <t>Is there any way to send data in Nightscout Data to Apple Health app?</t>
        </is>
      </c>
      <c r="C6450" t="inlineStr">
        <is>
          <t xml:space="preserve">
**TL;DR: Is there any way to send data from Nightscout (BG, insulin, carbs) to Apple Health and/or Directly to Tidepool?**
I use the Dexcom G5 and Omnipod. I hate the official Dexcom app and love Spike, but as many know, Spike has run into some issues and may soon be extinct. I use Tidepool to aggregate all my data and generate reports, and also have a Nightscout site set up. 
Because Spike has been a bit unstable lately, I no longer connect my Dexcom transmitter to Spike but instead connect it to the official Dexcom app (which sends data to Nightscout) and use Spike in “follower” mode. With this set up:
-	Dexcom data goes into Nightscout
-	Spike “follows” Nightscout and syncs info (so whatever I add to Spike appears in Nightscout and vice versa - i generally enter boluses and temp basals into Spike)
-	Apple Health “reads” data from Spike and imports all BG, insulin, and carb data into Apple Health
-	Tidepool “reads” data from Apple Health and imports all data (BG, insulin, carbs) into Tidepool. 
If Spike goes away for good, I will just be using the official Dexcom app, Nightscout, and Tidepool. While Dexcom can send BGs to Apple Health and Tidepool can read the BG data in Apple Health, it cannot send insulin or carbs to Apple Health and there’s also an annoying 3 hour delay. 
**I am looking for a way for Apple Health to “read” my data from Nightscout (BG, insulin, carbs). Does anyone know of any workaround to get data from Nightscout into Apple Health? Or to send data from Nightscout to Tidepool directly?** 
</t>
        </is>
      </c>
      <c r="D6450" t="n">
        <v>3</v>
      </c>
      <c r="E6450" t="n">
        <v>4</v>
      </c>
      <c r="F6450">
        <f>HYPERLINK("https://www.reddit.com/r/diabetes/comments/bano6z/is_there_any_way_to_send_data_in_nightscout_data/")</f>
        <v/>
      </c>
      <c r="G6450" t="inlineStr">
        <is>
          <t>2019-04-07 18:20:29</t>
        </is>
      </c>
      <c r="H6450" t="inlineStr">
        <is>
          <t>Type 1</t>
        </is>
      </c>
    </row>
    <row r="6451">
      <c r="A6451" t="inlineStr">
        <is>
          <t>bans33</t>
        </is>
      </c>
      <c r="B6451" t="inlineStr">
        <is>
          <t>How necessary is it to have a glucagon injection?</t>
        </is>
      </c>
      <c r="C6451" t="inlineStr">
        <is>
          <t>Ended my first month with the diabetes two days ago, yet I still haven't got one. Should I put the effort into getting one or sweets and glucose tablets are enough to carry around?</t>
        </is>
      </c>
      <c r="D6451" t="n">
        <v>2</v>
      </c>
      <c r="E6451" t="n">
        <v>6</v>
      </c>
      <c r="F6451">
        <f>HYPERLINK("https://www.reddit.com/r/diabetes/comments/bans33/how_necessary_is_it_to_have_a_glucagon_injection/")</f>
        <v/>
      </c>
      <c r="G6451" t="inlineStr">
        <is>
          <t>2019-04-07 18:32:24</t>
        </is>
      </c>
      <c r="H6451" t="inlineStr">
        <is>
          <t>Type 1</t>
        </is>
      </c>
    </row>
    <row r="6452">
      <c r="A6452" t="inlineStr">
        <is>
          <t>baqsfh</t>
        </is>
      </c>
      <c r="B6452" t="inlineStr">
        <is>
          <t>Crazily different readings within minutes of each other?</t>
        </is>
      </c>
      <c r="C6452" t="inlineStr">
        <is>
          <t>I have had a OneTouch Ultra Mini for ages, and was recently given a OneTouch Ultra Verio. I am trying to use up my Ultra strips as strips are so expensive, so I've still been using it, although I've used the Verio a few times when I can't get enough blood out as it requires a much smaller droplet. Tonight I ate food that spiked me and was worried about my sugar levels -- 245 2 hours after eating which is very high for me -- so tested in 30 min increments while chugging water. The first, on the Ultra, showed that I was at 210. Cool, I thought, it's coming down, I'll keep drinking water and do one more test at 30 mins and if it's still coming down I'll go to sleep. Tested 30 mins later on the Ultra, and it was 258. Wtf!
&amp;amp;#x200B;
I wanted to check it so I tested on the Verio. That showed a reading of 190. I went a little nuts, alternating between the two in the space of a few minutes. Ultra: 230. Verio: 200. Verio: 170.
&amp;amp;#x200B;
I mean, I know meters can be off, but from 170 - 258 feels like a HUGE difference. Does anyone have any advice or experience with this??</t>
        </is>
      </c>
      <c r="D6452" t="n">
        <v>4</v>
      </c>
      <c r="E6452" t="n">
        <v>4</v>
      </c>
      <c r="F6452">
        <f>HYPERLINK("https://www.reddit.com/r/diabetes/comments/baqsfh/crazily_different_readings_within_minutes_of_each/")</f>
        <v/>
      </c>
      <c r="G6452" t="inlineStr">
        <is>
          <t>2019-04-08 00:24:59</t>
        </is>
      </c>
      <c r="H6452" t="inlineStr">
        <is>
          <t>Type 2</t>
        </is>
      </c>
    </row>
    <row r="6453">
      <c r="A6453" t="inlineStr">
        <is>
          <t>bayuy3</t>
        </is>
      </c>
      <c r="B6453" t="inlineStr">
        <is>
          <t>Probably a stupid question: why doesn't glucagon secreted by the pancreas (effectively?) correct hypoglycemia for diabetics?</t>
        </is>
      </c>
      <c r="C6453" t="inlineStr">
        <is>
          <t>If my understanding is correct, the alpha cells of the pancreas will secrete glucagon in response to low blood glucose. In a non-diabetic, this will prevent really bad hypoglycemia, as the liver will dump glucose into the blood stream and raise BG. Why doesn't this work the same for diabetics?
Using me and an imaginary non-diabetic as an example: let's say I and a non-diabetic both went for a run. We both last had a meal 4 hours ago (so there's no active insulin in my body). Somehow, both of our BG's are at 120mg/dL. Both of our blood glucose levels will begin to go down, but in the non-diabetic runner, the release of glucagon by the pancreas will keep them stable. For me however, my BG will continue to drop unless I eat some sugar to account for the exercise. 
So why doesn't the glucagon released by my pancreas promote a similar effect to that of the non-diabetic? Is it just because fast-acting insulin (whatever small basal amount is in my body prior to the run) is way more effective at pulling glucose into the cells than my glucagon is effective at promoting glucose release from the liver?</t>
        </is>
      </c>
      <c r="D6453" t="n">
        <v>10</v>
      </c>
      <c r="E6453" t="n">
        <v>9</v>
      </c>
      <c r="F6453">
        <f>HYPERLINK("https://www.reddit.com/r/diabetes/comments/bayuy3/probably_a_stupid_question_why_doesnt_glucagon/")</f>
        <v/>
      </c>
      <c r="G6453" t="inlineStr">
        <is>
          <t>2019-04-08 13:41:15</t>
        </is>
      </c>
      <c r="H6453" t="inlineStr">
        <is>
          <t>Type 1</t>
        </is>
      </c>
    </row>
    <row r="6454">
      <c r="A6454" t="inlineStr">
        <is>
          <t>bb1ugy</t>
        </is>
      </c>
      <c r="B6454" t="inlineStr">
        <is>
          <t>Honestly, fuck this shit.</t>
        </is>
      </c>
      <c r="C6454" t="inlineStr">
        <is>
          <t>I’ve had diabetes since Halloween, and like I’ve always tried my hardest to maintain it. But recently everything’s been bad. I’ve just not cared. 
I don’t know what’s wrong with me it’s just like I don’t care anymore. I know that’s stupid but it’s just how it feels. I know I need to take care of myself better I just can’t right now. 
I’m just not in a great place. I don’t know where to go or who to turn to. I just don’t want to have to put up With this shit anymore</t>
        </is>
      </c>
      <c r="D6454" t="n">
        <v>10</v>
      </c>
      <c r="E6454" t="n">
        <v>22</v>
      </c>
      <c r="F6454">
        <f>HYPERLINK("https://www.reddit.com/r/diabetes/comments/bb1ugy/honestly_fuck_this_shit/")</f>
        <v/>
      </c>
      <c r="G6454" t="inlineStr">
        <is>
          <t>2019-04-08 18:16:51</t>
        </is>
      </c>
      <c r="H6454" t="inlineStr">
        <is>
          <t>Type 1</t>
        </is>
      </c>
    </row>
    <row r="6455">
      <c r="A6455" t="inlineStr">
        <is>
          <t>bb4agw</t>
        </is>
      </c>
      <c r="B6455" t="inlineStr">
        <is>
          <t>How long do you let your insulin warm up before you inject?</t>
        </is>
      </c>
      <c r="C6455" t="inlineStr">
        <is>
          <t>Theres probably nothing bad about injecting cold insulin but it seems strange to me.</t>
        </is>
      </c>
      <c r="D6455" t="n">
        <v>1</v>
      </c>
      <c r="E6455" t="n">
        <v>10</v>
      </c>
      <c r="F6455">
        <f>HYPERLINK("https://www.reddit.com/r/diabetes/comments/bb4agw/how_long_do_you_let_your_insulin_warm_up_before/")</f>
        <v/>
      </c>
      <c r="G6455" t="inlineStr">
        <is>
          <t>2019-04-08 22:52:30</t>
        </is>
      </c>
      <c r="H6455" t="inlineStr">
        <is>
          <t>Type 2</t>
        </is>
      </c>
    </row>
    <row r="6456">
      <c r="A6456" t="inlineStr">
        <is>
          <t>bb4bi4</t>
        </is>
      </c>
      <c r="B6456" t="inlineStr">
        <is>
          <t>276$ for one vile? Come on America!</t>
        </is>
      </c>
      <c r="C6456" t="inlineStr">
        <is>
          <t>I get 10 Novomix pens for free each month. If I didn't have special insurance, it would cost 3$. If I didn't have that either, it would cost 30$. That means 3$ per stick. Why 275$? What the hell? I feel like America banning my kind from going to America was kismet. I'm a freelance programmer, I don't plan on sucking some retard's dick for insurance and dental. I'll have to pay 275$ per vile, and i inject about 105 mml per day. Jesus. How much does a pen cost? 
&amp;amp;#x200B;
I'm also bipolar. How much does my pills cost in there? I take Depakote, Lithium, Gapabantin, and Respridone. About 28 a day. I also take other pills, such as Metphormin. Jesus Mohammad the Pedophile Christ.</t>
        </is>
      </c>
      <c r="D6456" t="n">
        <v>1</v>
      </c>
      <c r="E6456" t="n">
        <v>1</v>
      </c>
      <c r="F6456">
        <f>HYPERLINK("https://www.reddit.com/r/diabetes/comments/bb4bi4/276_for_one_vile_come_on_america/")</f>
        <v/>
      </c>
      <c r="G6456" t="inlineStr">
        <is>
          <t>2019-04-08 22:56:22</t>
        </is>
      </c>
      <c r="H6456" t="inlineStr">
        <is>
          <t>Type 1</t>
        </is>
      </c>
    </row>
    <row r="6457">
      <c r="A6457" t="inlineStr">
        <is>
          <t>bb5u4k</t>
        </is>
      </c>
      <c r="B6457" t="inlineStr">
        <is>
          <t>Libre Freestyle - Extended Use</t>
        </is>
      </c>
      <c r="C6457" t="inlineStr">
        <is>
          <t>My sensor just ran out so I set the date on phone 1 day back and now I have an extra 24 hours.
I'm wondering how long has someone used a 14 day sensor for by doing this?
I know that the sensors are supposed to lose accuracy after 14 days, but since my sensor was never accurate to begin with, what's the harm?</t>
        </is>
      </c>
      <c r="D6457" t="n">
        <v>5</v>
      </c>
      <c r="E6457" t="n">
        <v>5</v>
      </c>
      <c r="F6457">
        <f>HYPERLINK("https://www.reddit.com/r/diabetes/comments/bb5u4k/libre_freestyle_extended_use/")</f>
        <v/>
      </c>
      <c r="G6457" t="inlineStr">
        <is>
          <t>2019-04-09 02:28:25</t>
        </is>
      </c>
      <c r="H6457" t="inlineStr">
        <is>
          <t>Type 1</t>
        </is>
      </c>
    </row>
    <row r="6458">
      <c r="A6458" t="inlineStr">
        <is>
          <t>bbfrmt</t>
        </is>
      </c>
      <c r="B6458" t="inlineStr">
        <is>
          <t>Maybe accidentally threw out my guardian sensor chip</t>
        </is>
      </c>
      <c r="C6458" t="inlineStr">
        <is>
          <t>on a scale of one to bad how big of a mistake did I just make. Ive only had it for roughly 9 months so Im not sure what my options are. 
&amp;amp;#x200B;
thanks</t>
        </is>
      </c>
      <c r="D6458" t="n">
        <v>2</v>
      </c>
      <c r="E6458" t="n">
        <v>6</v>
      </c>
      <c r="F6458">
        <f>HYPERLINK("https://www.reddit.com/r/diabetes/comments/bbfrmt/maybe_accidentally_threw_out_my_guardian_sensor/")</f>
        <v/>
      </c>
      <c r="G6458" t="inlineStr">
        <is>
          <t>2019-04-09 17:47:48</t>
        </is>
      </c>
      <c r="H6458" t="inlineStr">
        <is>
          <t>Type 1</t>
        </is>
      </c>
    </row>
    <row r="6459">
      <c r="A6459" t="inlineStr">
        <is>
          <t>bbikfp</t>
        </is>
      </c>
      <c r="B6459" t="inlineStr">
        <is>
          <t>How do you tell someone you’re interested in that you’re a diabetic?</t>
        </is>
      </c>
      <c r="C6459" t="inlineStr">
        <is>
          <t>Pretty new to diabetes (8 months), maybe I’m over complicating things. Just not sure how to go about it, what if I bring it up wrong and it’s a put off?</t>
        </is>
      </c>
      <c r="D6459" t="n">
        <v>6</v>
      </c>
      <c r="E6459" t="n">
        <v>16</v>
      </c>
      <c r="F6459">
        <f>HYPERLINK("https://www.reddit.com/r/diabetes/comments/bbikfp/how_do_you_tell_someone_youre_interested_in_that/")</f>
        <v/>
      </c>
      <c r="G6459" t="inlineStr">
        <is>
          <t>2019-04-09 23:03:33</t>
        </is>
      </c>
      <c r="H6459" t="inlineStr">
        <is>
          <t>Type 1</t>
        </is>
      </c>
    </row>
    <row r="6460">
      <c r="A6460" t="inlineStr">
        <is>
          <t>bbj3kr</t>
        </is>
      </c>
      <c r="B6460" t="inlineStr">
        <is>
          <t>Basil IQ for Dexcom G5 and Tandem T Slim x2 ?</t>
        </is>
      </c>
      <c r="C6460" t="inlineStr">
        <is>
          <t>I read in another post that only the T-slims with older firmware will work with the Dexcom G5.
 Is this true? 
What level of integration can be achieved with a dexcom g5 and tandem t slim? (For example basil IQ, warnings, data sharing)
Unfortunately g6 isn't available in Australia yet so the dexcom g5 seems like the next best option . 
Any thread links or info to help me prepare would be greatly appreciated. 
Cheers sweeties</t>
        </is>
      </c>
      <c r="D6460" t="n">
        <v>2</v>
      </c>
      <c r="E6460" t="n">
        <v>5</v>
      </c>
      <c r="F6460">
        <f>HYPERLINK("https://www.reddit.com/r/diabetes/comments/bbj3kr/basil_iq_for_dexcom_g5_and_tandem_t_slim_x2/")</f>
        <v/>
      </c>
      <c r="G6460" t="inlineStr">
        <is>
          <t>2019-04-10 00:15:31</t>
        </is>
      </c>
      <c r="H6460" t="inlineStr">
        <is>
          <t>Type 1</t>
        </is>
      </c>
    </row>
    <row r="6461">
      <c r="A6461" t="inlineStr">
        <is>
          <t>bblys1</t>
        </is>
      </c>
      <c r="B6461" t="inlineStr">
        <is>
          <t>1/2 unit insulin pens.</t>
        </is>
      </c>
      <c r="C6461" t="inlineStr">
        <is>
          <t>Has anyone been prescribed 1/2 unit pens? Which ones were you prescribed?
&amp;amp;#x200B;
If you are managing half units, how are you doing it?
&amp;amp;#x200B;
My endo has never heard of the concept for adults. I wanted to provide him with suggestions next time I see him.</t>
        </is>
      </c>
      <c r="D6461" t="n">
        <v>2</v>
      </c>
      <c r="E6461" t="n">
        <v>8</v>
      </c>
      <c r="F6461">
        <f>HYPERLINK("https://www.reddit.com/r/diabetes/comments/bblys1/12_unit_insulin_pens/")</f>
        <v/>
      </c>
      <c r="G6461" t="inlineStr">
        <is>
          <t>2019-04-10 06:23:20</t>
        </is>
      </c>
      <c r="H6461" t="inlineStr">
        <is>
          <t>Type 1</t>
        </is>
      </c>
    </row>
    <row r="6462">
      <c r="A6462" t="inlineStr">
        <is>
          <t>bbn4p7</t>
        </is>
      </c>
      <c r="B6462" t="inlineStr">
        <is>
          <t>We launched a blog for people living diabetes</t>
        </is>
      </c>
      <c r="C6462" t="inlineStr">
        <is>
          <t>Hello everyone! We at Retina Risk, the app for Diabetic Retinopathy, have started a blog where we want to feature content for people with type 1 and type 2 diabetes and I wanted to share with you one of the first posts. I hope this and the following posts will be of use and don´t hesitate to comment and critique as this will help us refine our content.
&amp;amp;#x200B;
[https://retinarisk.com/hitchhikers-guide-to-diabetes-management/](https://retinarisk.com/hitchhikers-guide-to-diabetes-management/)</t>
        </is>
      </c>
      <c r="D6462" t="n">
        <v>2</v>
      </c>
      <c r="E6462" t="n">
        <v>7</v>
      </c>
      <c r="F6462">
        <f>HYPERLINK("https://www.reddit.com/r/diabetes/comments/bbn4p7/we_launched_a_blog_for_people_living_diabetes/")</f>
        <v/>
      </c>
      <c r="G6462" t="inlineStr">
        <is>
          <t>2019-04-10 08:10:11</t>
        </is>
      </c>
      <c r="H6462" t="inlineStr">
        <is>
          <t>Type 2</t>
        </is>
      </c>
    </row>
    <row r="6463">
      <c r="A6463" t="inlineStr">
        <is>
          <t>bbofg2</t>
        </is>
      </c>
      <c r="B6463" t="inlineStr">
        <is>
          <t>Very odd...Type 1 (JD) and Type 1.5, brothers, with no diabetic family history.</t>
        </is>
      </c>
      <c r="C6463" t="inlineStr">
        <is>
          <t>My brother was diagnoses Juvenile Type 1 in 1976 at age 10.  At the time it was very odd because we could trace our family back 3+ generations and there was zero diabetes of any type.
&amp;amp;#x200B;
Then I got my Type 1.5 LADA diagnosis just last month.
&amp;amp;#x200B;
Has anyone ever heard of two Type 1 siblings with no familial history of Diabetes?</t>
        </is>
      </c>
      <c r="D6463" t="n">
        <v>1</v>
      </c>
      <c r="E6463" t="n">
        <v>9</v>
      </c>
      <c r="F6463">
        <f>HYPERLINK("https://www.reddit.com/r/diabetes/comments/bbofg2/very_oddtype_1_jd_and_type_15_brothers_with_no/")</f>
        <v/>
      </c>
      <c r="G6463" t="inlineStr">
        <is>
          <t>2019-04-10 10:00:45</t>
        </is>
      </c>
      <c r="H6463" t="inlineStr">
        <is>
          <t>Type 1.5/LADA</t>
        </is>
      </c>
    </row>
    <row r="6464">
      <c r="A6464" t="inlineStr">
        <is>
          <t>bbpl70</t>
        </is>
      </c>
      <c r="B6464" t="inlineStr">
        <is>
          <t>I improved my A1C by 4 points!!</t>
        </is>
      </c>
      <c r="C6464" t="inlineStr">
        <is>
          <t>I had a really bad semester in the fall and lost control of my blood sugar. I ended up with an A1C of 13.4. Only a few months later and I’m thriving in school and I’m down to a 9.2! I’m gonna keep getting better and my next goal is a 7. I know it’s not much but I can’t even describe how much better I feel :)</t>
        </is>
      </c>
      <c r="D6464" t="n">
        <v>40</v>
      </c>
      <c r="E6464" t="n">
        <v>9</v>
      </c>
      <c r="F6464">
        <f>HYPERLINK("https://www.reddit.com/r/diabetes/comments/bbpl70/i_improved_my_a1c_by_4_points/")</f>
        <v/>
      </c>
      <c r="G6464" t="inlineStr">
        <is>
          <t>2019-04-10 11:34:50</t>
        </is>
      </c>
      <c r="H6464" t="inlineStr">
        <is>
          <t>Type 1</t>
        </is>
      </c>
    </row>
    <row r="6465">
      <c r="A6465" t="inlineStr">
        <is>
          <t>bbq6il</t>
        </is>
      </c>
      <c r="B6465" t="inlineStr">
        <is>
          <t>Looking at a new pump. Any pumpers out there that could give me advice?</t>
        </is>
      </c>
      <c r="C6465" t="inlineStr">
        <is>
          <t>I had been on the last iteration of the minimed pump for a long time (7-8 years). I usually take a pump vacation during the summer. Pump finally gave out this past one and I’ve been controlling pretty well/ too busy to go through the motions to get a new one. 
Decided that I want to go back on. I’ve sat through the trainer class, so I’m basically torn between the newer Medtronic 630G or 670G and the TSlim X2 pumps. 
If anyone had some experience with any of these and would be willing to share I would be very appreciative. 
Also I have never been on CGM before and am looking to try that out as well. I’ve always been hesitant to have two sites on me at once but I figured it would make things easier. 
Thanks in advance, guys.</t>
        </is>
      </c>
      <c r="D6465" t="n">
        <v>3</v>
      </c>
      <c r="E6465" t="n">
        <v>4</v>
      </c>
      <c r="F6465">
        <f>HYPERLINK("https://www.reddit.com/r/diabetes/comments/bbq6il/looking_at_a_new_pump_any_pumpers_out_there_that/")</f>
        <v/>
      </c>
      <c r="G6465" t="inlineStr">
        <is>
          <t>2019-04-10 12:23:56</t>
        </is>
      </c>
      <c r="H6465" t="inlineStr">
        <is>
          <t>Type 1</t>
        </is>
      </c>
    </row>
    <row r="6466">
      <c r="A6466" t="inlineStr">
        <is>
          <t>bbqrav</t>
        </is>
      </c>
      <c r="B6466" t="inlineStr">
        <is>
          <t>What A1c should we be aiming for to avoid any long-term complications?</t>
        </is>
      </c>
      <c r="C6466" t="inlineStr">
        <is>
          <t>I know that general recommendations for adults are to strive for &amp;lt;7.0, but I don't believe this is low enough to avoid long-term problems. Is it possible for type 1 diabetics to have good enough control to achieve this?</t>
        </is>
      </c>
      <c r="D6466" t="n">
        <v>4</v>
      </c>
      <c r="E6466" t="n">
        <v>6</v>
      </c>
      <c r="F6466">
        <f>HYPERLINK("https://www.reddit.com/r/diabetes/comments/bbqrav/what_a1c_should_we_be_aiming_for_to_avoid_any/")</f>
        <v/>
      </c>
      <c r="G6466" t="inlineStr">
        <is>
          <t>2019-04-10 13:12:39</t>
        </is>
      </c>
      <c r="H6466" t="inlineStr">
        <is>
          <t>Type 1</t>
        </is>
      </c>
    </row>
    <row r="6467">
      <c r="A6467" t="inlineStr">
        <is>
          <t>bbtl6s</t>
        </is>
      </c>
      <c r="B6467" t="inlineStr">
        <is>
          <t>Insulin Schedule Question</t>
        </is>
      </c>
      <c r="C6467" t="inlineStr">
        <is>
          <t>Hi everyone. So I am fairly new to this. I take insulin 3 times a day: 45 units of NPH at breakfast and dinner and 15 units of regular insulin at breakfast lunch and dinner. I am a night owl so I usually wake up and have breakfast around 12:30 to 1pm and eat dinner from 12:30 to 1 am. I have to be awake by 6 am tomorrow to take my cats to a spay and neuter clinic at 8 am. I have to leave at 7 am and I will probably be home at around 9 am. My question is should I have a morning snack and still have my breakfast and insulin at my usual time or should I have breakfast and morning insulin at 9am? I am worried about taking the NPH to close together. I was told they should be taken 12 hours apart.</t>
        </is>
      </c>
      <c r="D6467" t="n">
        <v>4</v>
      </c>
      <c r="E6467" t="n">
        <v>14</v>
      </c>
      <c r="F6467">
        <f>HYPERLINK("https://www.reddit.com/r/diabetes/comments/bbtl6s/insulin_schedule_question/")</f>
        <v/>
      </c>
      <c r="G6467" t="inlineStr">
        <is>
          <t>2019-04-10 17:24:52</t>
        </is>
      </c>
      <c r="H6467" t="inlineStr">
        <is>
          <t>Type 1</t>
        </is>
      </c>
    </row>
    <row r="6468">
      <c r="A6468" t="inlineStr">
        <is>
          <t>bbuir7</t>
        </is>
      </c>
      <c r="B6468" t="inlineStr">
        <is>
          <t>Looking for advice for overcoming the shame of being diagnosed with T2 Diabetes at 19</t>
        </is>
      </c>
      <c r="C6468" t="inlineStr">
        <is>
          <t>Hello, everyone. Not new to diabetes but have had type 2 since age 19. 19!
I have been heavy ever since age 8 when I was placed on steroids for severe asthma. I went from being normal sized to ballooning up to 132 pounds in a year. Coupled with an eating disorder related to my weight (starving and binging during the day) and repeated steroid use, I was prediabetic at 18 and diagnosed at 19 with an A1C of 13.  
I was/am in denial a lot, off and on. I am now 25 and my A1C is garbage due to other chronic illnesses that are moving and breathing difficult (severe Graves Disease) and depression but I know that’s not really an excuse. 
I am 200 lbs at 5’2 and doing small things to make myself feel better but the shame is deep and hitting me hard. I know I have a lot of work to do and management is serious but I cannot convince myself that this matters like my other illnesses do. It’s ridiculous. 
I’m going to  diabetes educator soon as I didn’t go to one when I was first diagnosed because my parents wouldn’t pay for it.  I am also looking to invest in s CGM as I tried one and it really helped me not ignore myself. 
How can I take advantage of my visit with the educator? And can anyone offer advice for the shame I feel with being young with T2? 
TIA</t>
        </is>
      </c>
      <c r="D6468" t="n">
        <v>6</v>
      </c>
      <c r="E6468" t="n">
        <v>8</v>
      </c>
      <c r="F6468">
        <f>HYPERLINK("https://www.reddit.com/r/diabetes/comments/bbuir7/looking_for_advice_for_overcoming_the_shame_of/")</f>
        <v/>
      </c>
      <c r="G6468" t="inlineStr">
        <is>
          <t>2019-04-10 18:59:33</t>
        </is>
      </c>
      <c r="H6468" t="inlineStr">
        <is>
          <t>Type 2</t>
        </is>
      </c>
    </row>
    <row r="6469">
      <c r="A6469" t="inlineStr">
        <is>
          <t>bbusg6</t>
        </is>
      </c>
      <c r="B6469" t="inlineStr">
        <is>
          <t>confused by my diagnosis</t>
        </is>
      </c>
      <c r="C6469" t="inlineStr">
        <is>
          <t>So like the title says, I am confused. Heres the abbreviated version of my story.
&amp;amp;#x200B;
Dec. 2017 I got diagnosed with diabetes. I am a 23 year old male now, 21 at the time of diagnosis. I was around 287 lbs at the time of diagnosis, and today I weighed in at 227 lbs (Go me!). I had an A1C of 8.6 and a BG of 375 at diagnosis. I had bronchitis and had gone in because it had been 6 weeks and I wasn't getting any better. Also had high blood pressure. I was given 1000mg of metformin and lisonopril for the high blood sugar. Come february, I have an A1C of 5.3 and fasting BG of 100 pretty much every morning. I didn't know that I should have had one done at the time, but no c-peptide test or antibody tests taken at this time. Either because of how Obese I was or my GP didn't even know to do that. 
&amp;amp;#x200B;
Since then, I had A1C's of 5.6, 6.4, 6.2. I'm due to get another A1c done soon but am in the middle of finishing my thesis for college and have just been putting it off. I test very regularly and have a good idea of what it might be if I got it done, but will still be getting one done soon. I managed to get off the metformin for a time, however now I am back on it. I was off the lisinopril within 6 months and have completely normal blood pressure now. 
&amp;amp;#x200B;
last fall (Nov. 2018) I went to a new GP as I was dealing with feeling terrible and excessively cold feet, just generally feeling horrible and that something wasnt right. It wasn't due to high BG as I was checking often to make sure that was the case. This new GP is great, he took my symptoms seriously and ordered comprehensive testing to see whats up. Turns out I have Hashimotos! My inflammation was seriously high, was seriously vitamin D deficient, plus some other stuff that was out of wack. Normal cholesterol. 
&amp;amp;#x200B;
Cut to now, I have been feeling much better in terms of the sick feeling I was feeling last fall. But it seems like my BG is getting harder and harder to control. Was having a conversation about my diabetes and he says something about my type 1.5 diabetes. I said "What? I was diagnosed type 2." He asks me what my antibody and c-peptide results were. I told him I never had it done. So we have the tests done. We also have a bunch of other antibodies tested at the same time because autoimmune conditions love to have friends. I am posting screenshots of my results below!
&amp;amp;#x200B;
&amp;amp;#x200B;
https://i.redd.it/sqbstm0snjr21.jpg
&amp;amp;#x200B;
https://i.redd.it/t7kvwtatnjr21.jpg
So based on what I could tell, C-peptide came back pretty much normal and my GAD and islet antibodies are not elevated. My GP still is pretty convinced I am type 1.5 because of my age and having another autoimmune condition. I am 23 (21 at diagnosis) and have Hasimoto's. My TSH is still hanging in there so I have not had to start hormones yet for that. 
&amp;amp;#x200B;
It just doesn't seem like the results support type 1.5...? I was under the impression you needed antibodies to be diagnosed really anything other than type 2. 
&amp;amp;#x200B;
Is it possible to be diagnosed type 1.5 without the presence of antibodies or a very low c-peptide? Has anyone else been dealing with a somewhat ambiguous diagnosis and have any tips?</t>
        </is>
      </c>
      <c r="D6469" t="n">
        <v>4</v>
      </c>
      <c r="E6469" t="n">
        <v>9</v>
      </c>
      <c r="F6469">
        <f>HYPERLINK("https://www.reddit.com/r/diabetes/comments/bbusg6/confused_by_my_diagnosis/")</f>
        <v/>
      </c>
      <c r="G6469" t="inlineStr">
        <is>
          <t>2019-04-10 19:27:02</t>
        </is>
      </c>
      <c r="H6469" t="inlineStr">
        <is>
          <t>Type 2</t>
        </is>
      </c>
    </row>
    <row r="6470">
      <c r="A6470" t="inlineStr">
        <is>
          <t>bbux06</t>
        </is>
      </c>
      <c r="B6470" t="inlineStr">
        <is>
          <t>T1D - Advanced Question (Beta/Alpha Cells)</t>
        </is>
      </c>
      <c r="C6470" t="inlineStr">
        <is>
          <t>(Beta cells produce insulin, Alpha cells produce glucagon)
I'm the father of a T1D child, and I have a question for T1D persons that have actually experimented with this. I say that because of my poor experience with medical professionals and nutritionist's understanding of T1D, plus just about everything you read online is regurgitated copy/paste from one site to another, and usually only applies to Type 2... Sorry for the mini-rant, it's all frustrating to deal with.
If you are a Type 1 taking insulin, and your meter reads less than 80 mg/dL the doctors advise you to "treat/prevent" that "low" with fast-acting simple carbs...
However, if you are a Type 1 and following a strict low-carb diet resulting in excellent control, and have enough beta cell function (honeymooning) to maintain healthy glucose readings without exogenous insulin - at what point, if ever, would you "treat" a hypo? I.E. you get a reading of 68 mg/dL, but aren't taking insulin and it's 2 hours until your next meal. Ignore it, or "treat" it?
The reason I ask is this:
1) A "normal" glucose level for healthy non-diabetics can actually be in the 60's and 70's. To my understanding these levels are only considered to be dangerous to diabetics because it's assuming they have exogenous insulin in their system at all times thanks to basal, and so their glucose will continue to drop down and cause problems. Also having bolus insulin in your system will cause that number to go down even faster, if perhaps you over-calculated your bolus at mealtime.
2) Current medical knowledge on how beta and alpha cells function and interact is poor, and hasn't changed much in the last 20 years, according to the National Health Institute. It's believed that diabetics suffer from hypos often and continue to suffer from hypos progressively more over time because the alpha cells also become disrupted as things progress.
To expand on the question: as the alpha cells start to become disrupted over time, those cells aren't always able to prevent a hypo from occurring. With that being said, is it possible that the alpha cells could become disrupted at a rate faster than the beta cells die off? Since the die off rate varies wildly from one T1D to another, they could be "honeymooning" for 2 month or 20 years. In that case, if say 5 years later a T1D is still practicing low carb and exercise, and still able to maintain good readings without exogenous insulin, will they be able to safely ignore "low" readings? Or by then would the alpha cells be disrupted enough that they won't signal glucagon production when your glucose levels are in a state of hypo?
If it were me with the T1D, I would test all of this on myself. However, since it's my child I am not going to take that risk, so I'm hoping someone with personal experience on this specific issue can advise.
Thank you all for your responses, and I wish you the best in dealing with the diabetes!</t>
        </is>
      </c>
      <c r="D6470" t="n">
        <v>1</v>
      </c>
      <c r="E6470" t="n">
        <v>1</v>
      </c>
      <c r="F6470">
        <f>HYPERLINK("https://www.reddit.com/r/diabetes/comments/bbux06/t1d_advanced_question_betaalpha_cells/")</f>
        <v/>
      </c>
      <c r="G6470" t="inlineStr">
        <is>
          <t>2019-04-10 19:40:10</t>
        </is>
      </c>
      <c r="H6470" t="inlineStr">
        <is>
          <t>Type 1</t>
        </is>
      </c>
    </row>
    <row r="6471">
      <c r="A6471" t="inlineStr">
        <is>
          <t>bbvreb</t>
        </is>
      </c>
      <c r="B6471" t="inlineStr">
        <is>
          <t>Sugar Levels Not Coming Down Despite Excessive Insulin Use</t>
        </is>
      </c>
      <c r="C6471" t="inlineStr">
        <is>
          <t>Pretty much all in the title. I'm T1/30/ Male. No other major health concerns. I'm using Humalog and Tujeo as well as oral medication. Usually I can take about 10-15 units of Humalog per meal and maintain decent control. However, for the past 2 months my blood sugar control has been like trying to babysit a rabid ferret on cocaine. I'll go to bed with  a BG of 150 and wake up with a reading of 220. I'll take 15 units of humalog and eat a banana for breakfast. By lunch my BG is 175. So far so good. I take 25 units of humalog before lunch. 45 minutes later 335! I take 20 more units to correct it and check again an hour later. 330. Fucking fantastic. I take another 20 units and check again an hour later. 275. Finally getting somewhere. I take 15 more units and by the time I'm done with work my blood sugars are finally at a decent level. By the time I get home and get out of my work clothes I'm down to 105. Good, but I want to exercise and that's too low, so I have some juice or a snack and my levels go up to about 145, I go for a 45 minute walk. Come home and my levels are still good. Take insulin before dinner and I can usually keep my levels at  a decent range before bed. Go to bed. Rinse and fucking repeat. Any ideas what is causing my levels to go insane like this? I don't eat fast food, processed food or anything like that. If I eat snacks it's usually an apple or banana. I feel like I'm losing my mind. Please help.</t>
        </is>
      </c>
      <c r="D6471" t="n">
        <v>3</v>
      </c>
      <c r="E6471" t="n">
        <v>23</v>
      </c>
      <c r="F6471">
        <f>HYPERLINK("https://www.reddit.com/r/diabetes/comments/bbvreb/sugar_levels_not_coming_down_despite_excessive/")</f>
        <v/>
      </c>
      <c r="G6471" t="inlineStr">
        <is>
          <t>2019-04-10 21:15:38</t>
        </is>
      </c>
      <c r="H6471" t="inlineStr">
        <is>
          <t>Type 1</t>
        </is>
      </c>
    </row>
    <row r="6472">
      <c r="A6472" t="inlineStr">
        <is>
          <t>bbwqsb</t>
        </is>
      </c>
      <c r="B6472" t="inlineStr">
        <is>
          <t>Pain following ejaculation- damaged nerves?</t>
        </is>
      </c>
      <c r="C6472" t="inlineStr">
        <is>
          <t>To keep it short, after masturbating I notice maybe 30 mins after and then following for a few hours after, I experience discomfort in the penis. Like it'll be difficult to sleep because of it. I don't have any kind of STI.. could it be related to poor glucose regulation?</t>
        </is>
      </c>
      <c r="D6472" t="n">
        <v>11</v>
      </c>
      <c r="E6472" t="n">
        <v>9</v>
      </c>
      <c r="F6472">
        <f>HYPERLINK("https://www.reddit.com/r/diabetes/comments/bbwqsb/pain_following_ejaculation_damaged_nerves/")</f>
        <v/>
      </c>
      <c r="G6472" t="inlineStr">
        <is>
          <t>2019-04-10 23:49:26</t>
        </is>
      </c>
      <c r="H6472" t="inlineStr">
        <is>
          <t>Type 1</t>
        </is>
      </c>
    </row>
    <row r="6473">
      <c r="A6473" t="inlineStr">
        <is>
          <t>bby28q</t>
        </is>
      </c>
      <c r="B6473" t="inlineStr">
        <is>
          <t>Weird Morning Blood Sugar Spikes</t>
        </is>
      </c>
      <c r="C6473" t="inlineStr">
        <is>
          <t>So for the last few days this has happened: I wake up, my blood sugar is like 6.0 m/mol, which is exactly what I want it to be. I skip breakfast (and by breakfast I kind of mean lunch - I only eat two meals a day) and take a brisk walk to work, and like an hour or so later my blood sugar is hitting 22.0m/mol. What the fuck! Any idea why this is happening?</t>
        </is>
      </c>
      <c r="D6473" t="n">
        <v>3</v>
      </c>
      <c r="E6473" t="n">
        <v>2</v>
      </c>
      <c r="F6473">
        <f>HYPERLINK("https://www.reddit.com/r/diabetes/comments/bby28q/weird_morning_blood_sugar_spikes/")</f>
        <v/>
      </c>
      <c r="G6473" t="inlineStr">
        <is>
          <t>2019-04-11 03:04:17</t>
        </is>
      </c>
      <c r="H6473" t="inlineStr">
        <is>
          <t>Type 1</t>
        </is>
      </c>
    </row>
    <row r="6474">
      <c r="A6474" t="inlineStr">
        <is>
          <t>bbytu0</t>
        </is>
      </c>
      <c r="B6474" t="inlineStr">
        <is>
          <t>How low or high would you have to be before you call an ambulance or go to the ER?</t>
        </is>
      </c>
      <c r="C6474" t="inlineStr">
        <is>
          <t>For you personally? How high would your ketones be before you made the trip, or how how the sugar?
Curious to see the responses.
For me if my Ketones are above 2.5 and not coning down or m sugar is above 600. And I called an ambulance last week because I was 32 for 90 mins and live alone. Had it been daytime. I wouldnt have bothered but at 3am I thought I might fall asleep again.</t>
        </is>
      </c>
      <c r="D6474" t="n">
        <v>5</v>
      </c>
      <c r="E6474" t="n">
        <v>15</v>
      </c>
      <c r="F6474">
        <f>HYPERLINK("https://www.reddit.com/r/diabetes/comments/bbytu0/how_low_or_high_would_you_have_to_be_before_you/")</f>
        <v/>
      </c>
      <c r="G6474" t="inlineStr">
        <is>
          <t>2019-04-11 04:39:15</t>
        </is>
      </c>
      <c r="H6474" t="inlineStr">
        <is>
          <t>Type 1</t>
        </is>
      </c>
    </row>
    <row r="6475">
      <c r="A6475" t="inlineStr">
        <is>
          <t>bc2t1i</t>
        </is>
      </c>
      <c r="B6475" t="inlineStr">
        <is>
          <t>drunk and high blood sugar</t>
        </is>
      </c>
      <c r="C6475" t="inlineStr">
        <is>
          <t>A lot of the understanding surrounding symptoms of diabetes is that people act like they confused or "drunk" when their sugars are super high. My a1c is around 9.7. When I get drunk, am I more susceptible to being more drunk than non diabetics / people with controlled sugars, or am I more likely to have a higher tolerance since I've been living in a drunk state my whole life? I have no clue of this makes sense.</t>
        </is>
      </c>
      <c r="D6475" t="n">
        <v>6</v>
      </c>
      <c r="E6475" t="n">
        <v>8</v>
      </c>
      <c r="F6475">
        <f>HYPERLINK("https://www.reddit.com/r/diabetes/comments/bc2t1i/drunk_and_high_blood_sugar/")</f>
        <v/>
      </c>
      <c r="G6475" t="inlineStr">
        <is>
          <t>2019-04-11 10:42:31</t>
        </is>
      </c>
      <c r="H6475" t="inlineStr">
        <is>
          <t>Type 1</t>
        </is>
      </c>
    </row>
    <row r="6476">
      <c r="A6476" t="inlineStr">
        <is>
          <t>bc4c41</t>
        </is>
      </c>
      <c r="B6476" t="inlineStr">
        <is>
          <t>Using Dexcom G6 without a transmitter?</t>
        </is>
      </c>
      <c r="C6476" t="inlineStr">
        <is>
          <t>So I wanted to get a Dexcom G6 CGM but apparently insurance will not cover the cost of the transmitters for the next 3 years because I am currently using the freestyle libre. They will, however, cover the cost of the dexcom receivers. Does that make sense? I was informed by the supplier that I am able to use just the receivers but I will need to download and app on my phone to get the readings. Is this normal? Anybody tried this? Is the app reliable? Any downfalls to using just my phone vs the actual transmitters? Also, my boyfriend just got me an Apple Watch to use with the dexcom G6. I will be really bummed if I can’t pair it my watch now either. Any advice, guys?</t>
        </is>
      </c>
      <c r="D6476" t="n">
        <v>2</v>
      </c>
      <c r="E6476" t="n">
        <v>2</v>
      </c>
      <c r="F6476">
        <f>HYPERLINK("https://www.reddit.com/r/diabetes/comments/bc4c41/using_dexcom_g6_without_a_transmitter/")</f>
        <v/>
      </c>
      <c r="G6476" t="inlineStr">
        <is>
          <t>2019-04-11 12:53:58</t>
        </is>
      </c>
      <c r="H6476" t="inlineStr">
        <is>
          <t>Type 1</t>
        </is>
      </c>
    </row>
    <row r="6477">
      <c r="A6477" t="inlineStr">
        <is>
          <t>bc8z2j</t>
        </is>
      </c>
      <c r="B6477" t="inlineStr">
        <is>
          <t>Should i go to the hospital for suspected undiagnosed diabetes?</t>
        </is>
      </c>
      <c r="C6477" t="inlineStr">
        <is>
          <t>My mom was recently diagnosed with diabetes type 2, her mother has it as well but she likes to keep it private. I've recently been having a lot of hunger pangs along with a dry mouth consistently for the past week. i haven't lived a sedentary lifestyle, i actually loving doing cardio, but at the same time, i have an impeccable sweet tooth so much so that i always eat a large pastry every day. 
&amp;amp;#x200B;
Im not asking for a diagnoses, but rather a suggestion over whether i should go to the hospital for suspected diabetes type 2, my appointment with my regular doctor isn't until 2 weeks from now and i dont want to let something as dangerous as diabetes go untreated.</t>
        </is>
      </c>
      <c r="D6477" t="n">
        <v>1</v>
      </c>
      <c r="E6477" t="n">
        <v>7</v>
      </c>
      <c r="F6477">
        <f>HYPERLINK("https://www.reddit.com/r/diabetes/comments/bc8z2j/should_i_go_to_the_hospital_for_suspected/")</f>
        <v/>
      </c>
      <c r="G6477" t="inlineStr">
        <is>
          <t>2019-04-11 20:25:33</t>
        </is>
      </c>
      <c r="H6477" t="inlineStr">
        <is>
          <t>Type 2</t>
        </is>
      </c>
    </row>
    <row r="6478">
      <c r="A6478" t="inlineStr">
        <is>
          <t>bc92px</t>
        </is>
      </c>
      <c r="B6478" t="inlineStr">
        <is>
          <t>Question about when to pre-treat for lows.</t>
        </is>
      </c>
      <c r="C6478" t="inlineStr">
        <is>
          <t>At 9:03 PM my blood sugar was high (324). I corrected and now at 11:31 PM it’s 101. Great, right? I’m not so sure. I use the Accu-Chek Aviva Expert, which does all my calculations for me (similar to a pump, just without the pump as I do manual injections). When I retested just now, it said I still have 1.6 units of active insulin in my body (“active” time is 3 hours, iirc). Should I eat something before I go to bed? I never know in these situations...if I do, I might wind up going high. If I don’t, I might wind up going low. Both have happened in the past, so I feel stuck. What has everyone else found success with in these types of situations? 
Ugh. I can’t wait for my Dexcom to finally arrive. :( I love the functionality of the Aviva Expert, but those high/low notifications are going to be a game-changer for me...</t>
        </is>
      </c>
      <c r="D6478" t="n">
        <v>2</v>
      </c>
      <c r="E6478" t="n">
        <v>10</v>
      </c>
      <c r="F6478">
        <f>HYPERLINK("https://www.reddit.com/r/diabetes/comments/bc92px/question_about_when_to_pretreat_for_lows/")</f>
        <v/>
      </c>
      <c r="G6478" t="inlineStr">
        <is>
          <t>2019-04-11 20:37:44</t>
        </is>
      </c>
      <c r="H6478" t="inlineStr">
        <is>
          <t>Type 1</t>
        </is>
      </c>
    </row>
    <row r="6479">
      <c r="A6479" t="inlineStr">
        <is>
          <t>bc9jot</t>
        </is>
      </c>
      <c r="B6479" t="inlineStr">
        <is>
          <t>google drive doc form is not working</t>
        </is>
      </c>
      <c r="C6479" t="inlineStr">
        <is>
          <t>This no longer gives the email doc because it says its against the TOS?   
Is this fixable? G5/G6 apps. Thanks.</t>
        </is>
      </c>
      <c r="D6479" t="n">
        <v>1</v>
      </c>
      <c r="E6479" t="n">
        <v>0</v>
      </c>
      <c r="F6479">
        <f>HYPERLINK("https://www.reddit.com/r/diabetes/comments/bc9jot/google_drive_doc_form_is_not_working/")</f>
        <v/>
      </c>
      <c r="G6479" t="inlineStr">
        <is>
          <t>2019-04-11 21:35:09</t>
        </is>
      </c>
      <c r="H6479" t="inlineStr">
        <is>
          <t>Type 1</t>
        </is>
      </c>
    </row>
    <row r="6480">
      <c r="A6480" t="inlineStr">
        <is>
          <t>bcafuk</t>
        </is>
      </c>
      <c r="B6480" t="inlineStr">
        <is>
          <t>Lymph node pain and chest pain with high blood sugar?</t>
        </is>
      </c>
      <c r="C6480" t="inlineStr">
        <is>
          <t>I have type 1 diabetes, I'm a 26 yo male.
I've noticed when my blood sugar is really high (in the 300's) my lymph nodes in my armpits start to hurt, also I get a chest/shoulder pain. 
Has anyone ever experienced this before?</t>
        </is>
      </c>
      <c r="D6480" t="n">
        <v>1</v>
      </c>
      <c r="E6480" t="n">
        <v>0</v>
      </c>
      <c r="F6480">
        <f>HYPERLINK("https://www.reddit.com/r/diabetes/comments/bcafuk/lymph_node_pain_and_chest_pain_with_high_blood/")</f>
        <v/>
      </c>
      <c r="G6480" t="inlineStr">
        <is>
          <t>2019-04-11 23:37:24</t>
        </is>
      </c>
      <c r="H6480" t="inlineStr">
        <is>
          <t>Type 1</t>
        </is>
      </c>
    </row>
    <row r="6481">
      <c r="A6481" t="inlineStr">
        <is>
          <t>bce8q8</t>
        </is>
      </c>
      <c r="B6481" t="inlineStr">
        <is>
          <t>Disappointed</t>
        </is>
      </c>
      <c r="C6481" t="inlineStr">
        <is>
          <t>Two days ago, I had the best fasting blood sugar I've had since October! In Oct, my new PCP had put me on Tresiba, which worked well except diarrhea. Old insurance company sent the pens but failed to send the needles. So I wasn't able to take it once my current supply had been used. 
I also had blood work done yesterday, so I had to fast for 12 hours (seems like an awfully long time for a1c, cholesterol, triglycerides and basic metabolic panel). My FBS was 184 yesterday morning, this morning 125. 
I should say that my "landlord" is extremely slow to wake up... And/or either doesn't know or doesn't care/realize how glucose works in the body, even though I've tried to explain to him. (He's not necessarily the most "open-minded" person in the world!)</t>
        </is>
      </c>
      <c r="D6481" t="n">
        <v>3</v>
      </c>
      <c r="E6481" t="n">
        <v>10</v>
      </c>
      <c r="F6481">
        <f>HYPERLINK("https://www.reddit.com/r/diabetes/comments/bce8q8/disappointed/")</f>
        <v/>
      </c>
      <c r="G6481" t="inlineStr">
        <is>
          <t>2019-04-12 07:32:56</t>
        </is>
      </c>
      <c r="H6481" t="inlineStr">
        <is>
          <t>Type 2</t>
        </is>
      </c>
    </row>
    <row r="6482">
      <c r="A6482" t="inlineStr">
        <is>
          <t>bcfdpq</t>
        </is>
      </c>
      <c r="B6482" t="inlineStr">
        <is>
          <t>Ok folks, newly diagnosed today. 7.6 A1C and 158 fasting BG. :(</t>
        </is>
      </c>
      <c r="C6482" t="inlineStr">
        <is>
          <t>Will be starting metformin today, review in 6 weeks. I was bummed also to learn my microalbumin and protein level also slightly high so I have to now start protecting my kidneys religiously as well. Fuck this disease.
Any suggestions, motivation mojo, guidance, tips, are welcome. Not a great a day for me, but I know this community is there for me.</t>
        </is>
      </c>
      <c r="D6482" t="n">
        <v>6</v>
      </c>
      <c r="E6482" t="n">
        <v>20</v>
      </c>
      <c r="F6482">
        <f>HYPERLINK("https://www.reddit.com/r/diabetes/comments/bcfdpq/ok_folks_newly_diagnosed_today_76_a1c_and_158/")</f>
        <v/>
      </c>
      <c r="G6482" t="inlineStr">
        <is>
          <t>2019-04-12 09:12:14</t>
        </is>
      </c>
      <c r="H6482" t="inlineStr">
        <is>
          <t>Type 2</t>
        </is>
      </c>
    </row>
    <row r="6483">
      <c r="A6483" t="inlineStr">
        <is>
          <t>bchwib</t>
        </is>
      </c>
      <c r="B6483" t="inlineStr">
        <is>
          <t>Interested in T1 Diabetes Research</t>
        </is>
      </c>
      <c r="C6483" t="inlineStr">
        <is>
          <t>Hi there - I'm working on a project in which I'm trying to learn how children with T1 diabetes learn about diabetes and manage their daily lives in a way that they're not bothered by their diabetes. I have a few questions that I'd love for people in this community to help answer.
1. How do people with Diabetes ultimately get diagnosed and learn the steps involved in managing their T1 Diabetes? I assume this diagnoses usually happens in childhood -- how do parents realize their child is suffering and react?
2. How does the newly diagnosed person begin incorporating their new habits into their lifestyle? What are some habits they must include in their lives that they didn't need to do beforehand? How do kids learn what to do?
3. How do newly diagnosed people track their efforts and how do they react to taking insulin, measuring insulin, and leading hyper-healthy lives?
4. What motivates people to stay on track and continue living in a healthy way? Are there any tools or motivating factors that keep people on track?
5. Is there any technology that helps onboard you to the disorder and manage your rituals and outcomes?
Thanks!!</t>
        </is>
      </c>
      <c r="D6483" t="n">
        <v>3</v>
      </c>
      <c r="E6483" t="n">
        <v>9</v>
      </c>
      <c r="F6483">
        <f>HYPERLINK("https://www.reddit.com/r/diabetes/comments/bchwib/interested_in_t1_diabetes_research/")</f>
        <v/>
      </c>
      <c r="G6483" t="inlineStr">
        <is>
          <t>2019-04-12 12:43:37</t>
        </is>
      </c>
      <c r="H6483" t="inlineStr">
        <is>
          <t>Type 1</t>
        </is>
      </c>
    </row>
    <row r="6484">
      <c r="A6484" t="inlineStr">
        <is>
          <t>bci5sy</t>
        </is>
      </c>
      <c r="B6484" t="inlineStr">
        <is>
          <t>Diabetes levels? Wondering</t>
        </is>
      </c>
      <c r="C6484" t="inlineStr">
        <is>
          <t>This morning with fasting I tested the blood sugar level and it showed as 159
After 2 hrs of lunch, I checked again. Its showing as 109
I am of mixed emotions. Suprise. Happy. Confuse. Wonder. Shock</t>
        </is>
      </c>
      <c r="D6484" t="n">
        <v>3</v>
      </c>
      <c r="E6484" t="n">
        <v>10</v>
      </c>
      <c r="F6484">
        <f>HYPERLINK("https://www.reddit.com/r/diabetes/comments/bci5sy/diabetes_levels_wondering/")</f>
        <v/>
      </c>
      <c r="G6484" t="inlineStr">
        <is>
          <t>2019-04-12 13:06:02</t>
        </is>
      </c>
      <c r="H6484" t="inlineStr">
        <is>
          <t>Type 2</t>
        </is>
      </c>
    </row>
    <row r="6485">
      <c r="A6485" t="inlineStr">
        <is>
          <t>bcl023</t>
        </is>
      </c>
      <c r="B6485" t="inlineStr">
        <is>
          <t>Some @$$ at religion class (Someone told me I could vent here)</t>
        </is>
      </c>
      <c r="C6485" t="inlineStr">
        <is>
          <t>So the other day at my religion class we were sitting in the church while the priest was talking to us about the year because it was the last day (which we were all waiting for) and it was 10 minutes till the end when this JERK tapped me on the shoulder and told me my Mr.Beast sweatshirt (pls sub) was stupid, but I just ignored him. About a minute later he told me my fanny pack (which was just my diabetes bag and was not a fanny pack but a lunch box) was stupid and that I was a little girl when I’m a 7th grade guy. For some context I was diagnosed 2 months ago and am still adjusting and can get pretty emotional about it. So this guy says my bag is girly and I flip him off. One of the volunteers notices this the next part is a little blurry but the next thing I remember is running to the bathroom in tears and crying in there for ten minutes .After I came out I ran pst the teacher that saw me flip the kid off and ran home crying but my mom came up to my room and comforted me and that made me feel better. Anyway I will give that made fun of me the benefit of the doubt because he probably didn’t know that I had diabetes but still, NOT COOL MAN! Any advice on what to do in a situation like that would really be appreciated. Thanks for reading this and hope your numbers are good today!👌🏻</t>
        </is>
      </c>
      <c r="D6485" t="n">
        <v>15</v>
      </c>
      <c r="E6485" t="n">
        <v>13</v>
      </c>
      <c r="F6485">
        <f>HYPERLINK("https://www.reddit.com/r/diabetes/comments/bcl023/some_at_religion_class_someone_told_me_i_could/")</f>
        <v/>
      </c>
      <c r="G6485" t="inlineStr">
        <is>
          <t>2019-04-12 17:39:59</t>
        </is>
      </c>
      <c r="H6485" t="inlineStr">
        <is>
          <t>Type 1</t>
        </is>
      </c>
    </row>
    <row r="6486">
      <c r="A6486" t="inlineStr">
        <is>
          <t>bcpz04</t>
        </is>
      </c>
      <c r="B6486" t="inlineStr">
        <is>
          <t>Anyone just fast to stop being diabetic?</t>
        </is>
      </c>
      <c r="C6486" t="inlineStr">
        <is>
          <t>I’m assuming this forum for type ii diabetes as well as type I because i didn’t read otherwise in the rules.
I’ve been following fasting forums and it got me thinking 
If someone were type ii diabetic
And it was an emergency situation that they stop being that 
Let’s say they’re 5’10 250 lbs and their A1C is 8.5
Could they just fast for a month to get down to &amp;lt;6.5 A1C or whatever the cutoff is?
The 90-day moving average thing is confusing but the point I’m trying to get at is
If someone had to stop being diabetic AASSAAPP, could they just fast until they stopped being diabetic?</t>
        </is>
      </c>
      <c r="D6486" t="n">
        <v>0</v>
      </c>
      <c r="E6486" t="n">
        <v>14</v>
      </c>
      <c r="F6486">
        <f>HYPERLINK("https://www.reddit.com/r/diabetes/comments/bcpz04/anyone_just_fast_to_stop_being_diabetic/")</f>
        <v/>
      </c>
      <c r="G6486" t="inlineStr">
        <is>
          <t>2019-04-13 05:25:58</t>
        </is>
      </c>
      <c r="H6486" t="inlineStr">
        <is>
          <t>Type 2</t>
        </is>
      </c>
    </row>
    <row r="6487">
      <c r="A6487" t="inlineStr">
        <is>
          <t>bctr31</t>
        </is>
      </c>
      <c r="B6487" t="inlineStr">
        <is>
          <t>BG high for long periods after healthy food: what gives? (T2)</t>
        </is>
      </c>
      <c r="C6487" t="inlineStr">
        <is>
          <t>Hi all, bit of a mystery here. I'm a T2 on metformin &amp;amp; glyburide who eats very low carb and does periodic 24-48hr fasting (I go off the glybu ahead of a fast to avoid hypos). Trouble is, though BG tends to be great once I'm (well) into a fast, when I do eat the BG peak is very delayed (3 - 5hrs post), then remains relatively high (7.0/126+) for a  ridiculous amount of time, eventually returning to  my 5.0/90-6.0/108 target range something like 12hrs later. Typical meal is highish fat, high protein, veggies, and very few to no carbs: slow to digest, but *that* slow? Jeebis, Diabeetis!
I realize more and better timed exercise could help here (I'd generally prefer rectal dentistry with wooden stakes to physical activity, which isn't good), but removing exercise as a variable for the moment, what's the mechanism here that delays the peaks and prolongs the highs?
Well I'm off to mitigate this crap with a grumpy walk and recalcitrant squats. Any insights are much appreciated - thanks for the read!</t>
        </is>
      </c>
      <c r="D6487" t="n">
        <v>4</v>
      </c>
      <c r="E6487" t="n">
        <v>17</v>
      </c>
      <c r="F6487">
        <f>HYPERLINK("https://www.reddit.com/r/diabetes/comments/bctr31/bg_high_for_long_periods_after_healthy_food_what/")</f>
        <v/>
      </c>
      <c r="G6487" t="inlineStr">
        <is>
          <t>2019-04-13 11:47:11</t>
        </is>
      </c>
      <c r="H6487" t="inlineStr">
        <is>
          <t>Type 2</t>
        </is>
      </c>
    </row>
    <row r="6488">
      <c r="A6488" t="inlineStr">
        <is>
          <t>bcufla</t>
        </is>
      </c>
      <c r="B6488" t="inlineStr">
        <is>
          <t>I already have complications from my diabetes and now my kidneys are starting to fail. How do I get my act together?</t>
        </is>
      </c>
      <c r="C6488" t="inlineStr">
        <is>
          <t>I've had type 1 diabetes for 9 years now but I feel like I still haven't gotten any better at it.
&amp;amp;#x200B;
I've had neuropathy since before I was diagnosed with diabetes, but a year or so ago it  got to the point where it's painful to do anything physically for a long time so I started taking gabapentin.
&amp;amp;#x200B;
Now my kidneys are failing. My gfr or something like that (I don't remember exactly) is at 69 but it's supposed to be above 90.
&amp;amp;#x200B;
I don't have any retinopathy at all but I don't know how long that's going to last
&amp;amp;#x200B;
I don't know how to take care of myself.  At college or when I'm outside it's easy to check my blood sugar and take insulin and make sure my blood sugar stays normal. At home though, it's really hard to push myself to check my blood sugar and take insulin. I'm not even sure how much to take anymore. Most of the time if I take 1 unit for every 10 g of carbs then my bs is normal 2 hours later but sometimes it seems like the insulin isn't even working. My morning blood sugars are all over the place even when my bedtime blood sugar is normal.
&amp;amp;#x200B;
I just don't know what to do. I'm terrible at calculating and I just wish I could have a robotic insulin delivery system that takes of my blood sugar on my own.</t>
        </is>
      </c>
      <c r="D6488" t="n">
        <v>18</v>
      </c>
      <c r="E6488" t="n">
        <v>54</v>
      </c>
      <c r="F6488">
        <f>HYPERLINK("https://www.reddit.com/r/diabetes/comments/bcufla/i_already_have_complications_from_my_diabetes_and/")</f>
        <v/>
      </c>
      <c r="G6488" t="inlineStr">
        <is>
          <t>2019-04-13 12:48:27</t>
        </is>
      </c>
      <c r="H6488" t="inlineStr">
        <is>
          <t>Type 1</t>
        </is>
      </c>
    </row>
    <row r="6489">
      <c r="A6489" t="inlineStr">
        <is>
          <t>bcvbs5</t>
        </is>
      </c>
      <c r="B6489" t="inlineStr">
        <is>
          <t>struggling a lot</t>
        </is>
      </c>
      <c r="C6489" t="inlineStr">
        <is>
          <t>I've had type 1 for about 8 years and I'm just really tired of doing this everyday. I feel like it's all I think about, I test my blood sugars like 10 times a day and recently they're high like 70% of the time regardless of how diligently I count my carbs and how "good" I eat. I just want to eat a chocolate bar, I want to go on a date and order lasagne, I want to leave my house with just my keys in my pocket without bringing my entire insulin/monitor kit, I want to just go for a run and not worry, I want to not have a headache from high blood sugars, I want to not have to force myself to finish a meal because I already took the insulin I need to cover it, I just want to not have to deal with all this anymore. I worry about my diabetes all day and I just can't stop.</t>
        </is>
      </c>
      <c r="D6489" t="n">
        <v>21</v>
      </c>
      <c r="E6489" t="n">
        <v>12</v>
      </c>
      <c r="F6489">
        <f>HYPERLINK("https://www.reddit.com/r/diabetes/comments/bcvbs5/struggling_a_lot/")</f>
        <v/>
      </c>
      <c r="G6489" t="inlineStr">
        <is>
          <t>2019-04-13 14:12:15</t>
        </is>
      </c>
      <c r="H6489" t="inlineStr">
        <is>
          <t>Type 1</t>
        </is>
      </c>
    </row>
    <row r="6490">
      <c r="A6490" t="inlineStr">
        <is>
          <t>bcxa9q</t>
        </is>
      </c>
      <c r="B6490" t="inlineStr">
        <is>
          <t>Dexcom G5: New transmitter, old sensor</t>
        </is>
      </c>
      <c r="C6490" t="inlineStr">
        <is>
          <t>Is there any way to pair a new transmitter with an old sensor? I have at least a week left on this sensor, but my transmitter just died. I tried pairing it and it doesn't seem to be working. Not sure if this is because of the older sensor (although I'm not sure how it would know it's old) but it's the first time I have tried this, so it seems like the logical problem. 
&amp;amp;#x200B;
Thanks.</t>
        </is>
      </c>
      <c r="D6490" t="n">
        <v>2</v>
      </c>
      <c r="E6490" t="n">
        <v>14</v>
      </c>
      <c r="F6490">
        <f>HYPERLINK("https://www.reddit.com/r/diabetes/comments/bcxa9q/dexcom_g5_new_transmitter_old_sensor/")</f>
        <v/>
      </c>
      <c r="G6490" t="inlineStr">
        <is>
          <t>2019-04-13 17:33:55</t>
        </is>
      </c>
      <c r="H6490" t="inlineStr">
        <is>
          <t>Type 1</t>
        </is>
      </c>
    </row>
    <row r="6491">
      <c r="A6491" t="inlineStr">
        <is>
          <t>bd0548</t>
        </is>
      </c>
      <c r="B6491" t="inlineStr">
        <is>
          <t>Little question</t>
        </is>
      </c>
      <c r="C6491" t="inlineStr">
        <is>
          <t>I have got the dexcom g6 transferred from g5 and have found it much less accurate, anyone else have the same problem? Also, why can you not calibrate it **according to the nurse**</t>
        </is>
      </c>
      <c r="D6491" t="n">
        <v>1</v>
      </c>
      <c r="E6491" t="n">
        <v>2</v>
      </c>
      <c r="F6491">
        <f>HYPERLINK("https://www.reddit.com/r/diabetes/comments/bd0548/little_question/")</f>
        <v/>
      </c>
      <c r="G6491" t="inlineStr">
        <is>
          <t>2019-04-13 23:42:57</t>
        </is>
      </c>
      <c r="H6491" t="inlineStr">
        <is>
          <t>Type 1</t>
        </is>
      </c>
    </row>
    <row r="6492">
      <c r="A6492" t="inlineStr">
        <is>
          <t>bd062s</t>
        </is>
      </c>
      <c r="B6492" t="inlineStr">
        <is>
          <t>anyone good at math?</t>
        </is>
      </c>
      <c r="C6492" t="inlineStr">
        <is>
          <t>I'm type 1 diabetic and born in London Ontario where Banting lived who discovered insulin.  His house is still there and out front is a 24/7 flame that stays lit.  The idea is they will put it out when the cure is found.  I've passed there hundreds of times and the flame is always there.  My birthday is feb 21 which is the date Banting died.  I always think of how impossibly unlikely that is.  I wonder what the % chance of that is.</t>
        </is>
      </c>
      <c r="D6492" t="n">
        <v>2</v>
      </c>
      <c r="E6492" t="n">
        <v>3</v>
      </c>
      <c r="F6492">
        <f>HYPERLINK("https://www.reddit.com/r/diabetes/comments/bd062s/anyone_good_at_math/")</f>
        <v/>
      </c>
      <c r="G6492" t="inlineStr">
        <is>
          <t>2019-04-13 23:47:13</t>
        </is>
      </c>
      <c r="H6492" t="inlineStr">
        <is>
          <t>Type 1</t>
        </is>
      </c>
    </row>
    <row r="6493">
      <c r="A6493" t="inlineStr">
        <is>
          <t>bd0jv3</t>
        </is>
      </c>
      <c r="B6493" t="inlineStr">
        <is>
          <t>Newly Diagnosed with Type 2</t>
        </is>
      </c>
      <c r="C6493" t="inlineStr">
        <is>
          <t>So I was just diagnosed with Type 2 a little over a week ago. My A1c was 9.7. Ive cut out the soda and candy. As soda was definitely my main problem. Ive been put on metformin at 750mg one a day. I have some questions. How long does it take before this starts to affect my levels? And do I have to significantly change my diet? I was drinking 4-6 20 oz a day and eating a lot of sweets. My levels were 204 at fasting at the time of diagnosis. Since Ive cut that out, they have been between 177 and 139 and thats just having been on the medicine 2 days. Im really freaking out about this. But I also know I cant do some huge change in what I eat. Both from a willpower reason as well as a financial one. Right now Im trying to cut out the things I know are a problem. The sodas. The candy. White bread. I know I need to do better as Ive had family members die from complications in the past. They've lost feet and whole legs. Im just lookign for any advice. Thank you.</t>
        </is>
      </c>
      <c r="D6493" t="n">
        <v>10</v>
      </c>
      <c r="E6493" t="n">
        <v>24</v>
      </c>
      <c r="F6493">
        <f>HYPERLINK("https://www.reddit.com/r/diabetes/comments/bd0jv3/newly_diagnosed_with_type_2/")</f>
        <v/>
      </c>
      <c r="G6493" t="inlineStr">
        <is>
          <t>2019-04-14 00:50:38</t>
        </is>
      </c>
      <c r="H6493" t="inlineStr">
        <is>
          <t>Type 2</t>
        </is>
      </c>
    </row>
    <row r="6494">
      <c r="A6494" t="inlineStr">
        <is>
          <t>bd8hou</t>
        </is>
      </c>
      <c r="B6494" t="inlineStr">
        <is>
          <t>Pins and needles feeling after eating sweets.</t>
        </is>
      </c>
      <c r="C6494" t="inlineStr">
        <is>
          <t>Hey everyone, I’ve been monitoring my blood sugar for the past 3 years. I’m classified and overweight (was obese a few months ago 😌 making some progress in my weight loss journey). Anyway, I’ve always been worried about getting diabetes since I was always a chubby kid and my mother has diabetes type 2.
I’ve done a few blood tests to check my levels. My blood sugar is in the high normal range (not prediabetic level). Anyway I’ve realized the days I eat a lot/more than usual sweets I get pins and needles feeling on my fingers and toes. Does this indicate prediabetes? why does this happen?</t>
        </is>
      </c>
      <c r="D6494" t="n">
        <v>1</v>
      </c>
      <c r="E6494" t="n">
        <v>4</v>
      </c>
      <c r="F6494">
        <f>HYPERLINK("https://www.reddit.com/r/diabetes/comments/bd8hou/pins_and_needles_feeling_after_eating_sweets/")</f>
        <v/>
      </c>
      <c r="G6494" t="inlineStr">
        <is>
          <t>2019-04-14 15:26:17</t>
        </is>
      </c>
      <c r="H6494" t="inlineStr">
        <is>
          <t>Type 2</t>
        </is>
      </c>
    </row>
    <row r="6495">
      <c r="A6495" t="inlineStr">
        <is>
          <t>bd92dy</t>
        </is>
      </c>
      <c r="B6495" t="inlineStr">
        <is>
          <t>[Noob questions] Regarding insulin pens.</t>
        </is>
      </c>
      <c r="C6495" t="inlineStr">
        <is>
          <t>1) It didn't use to sting when I used the pen for a month but now when pen is end of life, I feel a distinct sting while I am administering the shot. Any problems related to pen as my technique hasnt changed?
&amp;amp;#x200B;
2) I can see huge bubbles in pen, is it normal? If yes, do I get rid of them, if yes, how? Are the bubbles causing the sting? 
&amp;amp;#x200B;
3) How do I be sure that I am not injecting air instead of insulin?
&amp;amp;#x200B;
Thanks in advance.</t>
        </is>
      </c>
      <c r="D6495" t="n">
        <v>4</v>
      </c>
      <c r="E6495" t="n">
        <v>23</v>
      </c>
      <c r="F6495">
        <f>HYPERLINK("https://www.reddit.com/r/diabetes/comments/bd92dy/noob_questions_regarding_insulin_pens/")</f>
        <v/>
      </c>
      <c r="G6495" t="inlineStr">
        <is>
          <t>2019-04-14 16:23:18</t>
        </is>
      </c>
      <c r="H6495" t="inlineStr">
        <is>
          <t>Type 1</t>
        </is>
      </c>
    </row>
    <row r="6496">
      <c r="A6496" t="inlineStr">
        <is>
          <t>bdavik</t>
        </is>
      </c>
      <c r="B6496" t="inlineStr">
        <is>
          <t>M/18/T1 Help</t>
        </is>
      </c>
      <c r="C6496" t="inlineStr">
        <is>
          <t>Hey guys I was just recently diagnosed, currently I’m on the Kwik Pens ademlog and baseglar. I’m having trouble with injecting I have gotten a bruise both on my right and left thigh with a lot of blood in the past week and I’ve gotten a bruise on the right side of my lower stomach near the abdomen. I don’t know why this keeps happening I’m doing everything my endocrinologist taught me to do and it’s frustrating that I’m getting this bruising and blood. Any tips or advice on what I should do? Should I stop injecting at these sites?</t>
        </is>
      </c>
      <c r="D6496" t="n">
        <v>4</v>
      </c>
      <c r="E6496" t="n">
        <v>8</v>
      </c>
      <c r="F6496">
        <f>HYPERLINK("https://www.reddit.com/r/diabetes/comments/bdavik/m18t1_help/")</f>
        <v/>
      </c>
      <c r="G6496" t="inlineStr">
        <is>
          <t>2019-04-14 19:28:51</t>
        </is>
      </c>
      <c r="H6496" t="inlineStr">
        <is>
          <t>Type 1</t>
        </is>
      </c>
    </row>
    <row r="6497">
      <c r="A6497" t="inlineStr">
        <is>
          <t>bdbrpl</t>
        </is>
      </c>
      <c r="B6497" t="inlineStr">
        <is>
          <t>Metformin</t>
        </is>
      </c>
      <c r="C6497" t="inlineStr">
        <is>
          <t>Hi, I (24F) was given metformin this past week by my new endo. I knew the side effects but as I’m writing this, I am dizzy, nauseous and cold. Is that common? My mom says that’s my body getting used to. She couldn’t take it and was given glipezide. Anyone else experience this?</t>
        </is>
      </c>
      <c r="D6497" t="n">
        <v>2</v>
      </c>
      <c r="E6497" t="n">
        <v>15</v>
      </c>
      <c r="F6497">
        <f>HYPERLINK("https://www.reddit.com/r/diabetes/comments/bdbrpl/metformin/")</f>
        <v/>
      </c>
      <c r="G6497" t="inlineStr">
        <is>
          <t>2019-04-14 21:05:27</t>
        </is>
      </c>
      <c r="H6497" t="inlineStr">
        <is>
          <t>Type 2</t>
        </is>
      </c>
    </row>
    <row r="6498">
      <c r="A6498" t="inlineStr">
        <is>
          <t>bddu8y</t>
        </is>
      </c>
      <c r="B6498" t="inlineStr">
        <is>
          <t>When your body decides to go "F the rules!"</t>
        </is>
      </c>
      <c r="C6498" t="inlineStr">
        <is>
          <t>I get so annoyed.  
Wake up with a steady BG of 6. Two hours later, haven't eaten anything and only had a cup of black coffee which usually doesn't make my BG spike at all, and it decides "I'll rather go up just for the hell of it!" forcing me to take insulin to get it down. How much do you want to bet in an hour I'll be low?  
I hate it when that happens.</t>
        </is>
      </c>
      <c r="D6498" t="n">
        <v>3</v>
      </c>
      <c r="E6498" t="n">
        <v>9</v>
      </c>
      <c r="F6498">
        <f>HYPERLINK("https://www.reddit.com/r/diabetes/comments/bddu8y/when_your_body_decides_to_go_f_the_rules/")</f>
        <v/>
      </c>
      <c r="G6498" t="inlineStr">
        <is>
          <t>2019-04-15 02:09:02</t>
        </is>
      </c>
      <c r="H6498" t="inlineStr">
        <is>
          <t>Type 1</t>
        </is>
      </c>
    </row>
    <row r="6499">
      <c r="A6499" t="inlineStr">
        <is>
          <t>bdfbr3</t>
        </is>
      </c>
      <c r="B6499" t="inlineStr">
        <is>
          <t>Are Type 2 Diabetics Lazy?</t>
        </is>
      </c>
      <c r="C6499" t="inlineStr">
        <is>
          <t>I have type 1 diabetes and I would do absolutely anything to make it go away, and if type 2 is caused by obesity and apparently cured by diet, exercise and losing weight - I don't understand why there are so many type 2 diabetics and why you'd chose to take drugs instead of just losing the weight. 
&amp;amp;#x200B;
I sympathise with those who got type 2 because of some other illness that's out of their control, but I just have difficulty sympathising with people who brought it upon themselves with poor food choices and poor weight control.</t>
        </is>
      </c>
      <c r="D6499" t="n">
        <v>0</v>
      </c>
      <c r="E6499" t="n">
        <v>33</v>
      </c>
      <c r="F6499">
        <f>HYPERLINK("https://www.reddit.com/r/diabetes/comments/bdfbr3/are_type_2_diabetics_lazy/")</f>
        <v/>
      </c>
      <c r="G6499" t="inlineStr">
        <is>
          <t>2019-04-15 05:22:21</t>
        </is>
      </c>
      <c r="H6499" t="inlineStr">
        <is>
          <t>Type 2</t>
        </is>
      </c>
    </row>
    <row r="6500">
      <c r="A6500" t="inlineStr">
        <is>
          <t>bdi9wc</t>
        </is>
      </c>
      <c r="B6500" t="inlineStr">
        <is>
          <t>Please help if you can spare a moment!</t>
        </is>
      </c>
      <c r="C6500" t="inlineStr">
        <is>
          <t>Hi, everyone! I am a 3rd year student at university and need people with type 1 diabetes to fill in this form to help finish off my dissertation. This is not a low quality survey, all guidelines given in the community rules have been met on the information sheet which will be shown before the survey. 
This research is very close to my heart as myself and a few family members are also diabetic. 
It will only take about 15 minutes and I'd be really grateful if you could help out.
https://forms.gle/XGDipfvCDXgjqD6V9</t>
        </is>
      </c>
      <c r="D6500" t="n">
        <v>6</v>
      </c>
      <c r="E6500" t="n">
        <v>13</v>
      </c>
      <c r="F6500">
        <f>HYPERLINK("https://www.reddit.com/r/diabetes/comments/bdi9wc/please_help_if_you_can_spare_a_moment/")</f>
        <v/>
      </c>
      <c r="G6500" t="inlineStr">
        <is>
          <t>2019-04-15 09:46:23</t>
        </is>
      </c>
      <c r="H6500" t="inlineStr">
        <is>
          <t>Type 1</t>
        </is>
      </c>
    </row>
    <row r="6501">
      <c r="A6501" t="inlineStr">
        <is>
          <t>bdk66f</t>
        </is>
      </c>
      <c r="B6501" t="inlineStr">
        <is>
          <t>Libre vs Dexcom vs Medtronic</t>
        </is>
      </c>
      <c r="C6501" t="inlineStr">
        <is>
          <t>Hi, I am a 15-year-old, male, type 1 diabetic looking into getting a Monitoring system. My fingers have been getting some damage due to the finger pricks, I am using injections (Humalog and Lantus) and my doctor recommended getting the Libre.  I am just wondering which one would you recommend? I was also on the Omnipod in the past and gotten really bad allergic reactions to the adhesive. Also, what is the difference between Flash and Continuous monitoring system?</t>
        </is>
      </c>
      <c r="D6501" t="n">
        <v>3</v>
      </c>
      <c r="E6501" t="n">
        <v>7</v>
      </c>
      <c r="F6501">
        <f>HYPERLINK("https://www.reddit.com/r/diabetes/comments/bdk66f/libre_vs_dexcom_vs_medtronic/")</f>
        <v/>
      </c>
      <c r="G6501" t="inlineStr">
        <is>
          <t>2019-04-15 12:18:19</t>
        </is>
      </c>
      <c r="H6501" t="inlineStr">
        <is>
          <t>Type 1</t>
        </is>
      </c>
    </row>
    <row r="6502">
      <c r="A6502" t="inlineStr">
        <is>
          <t>bdkce3</t>
        </is>
      </c>
      <c r="B6502" t="inlineStr">
        <is>
          <t>How to calculate basal insulin dose?</t>
        </is>
      </c>
      <c r="C6502" t="inlineStr">
        <is>
          <t>I’m using 18 units of lantus currently, sort of just adjusting up and down for the past 6 years but is there an actual mathematic formula for how much you need?</t>
        </is>
      </c>
      <c r="D6502" t="n">
        <v>3</v>
      </c>
      <c r="E6502" t="n">
        <v>8</v>
      </c>
      <c r="F6502">
        <f>HYPERLINK("https://www.reddit.com/r/diabetes/comments/bdkce3/how_to_calculate_basal_insulin_dose/")</f>
        <v/>
      </c>
      <c r="G6502" t="inlineStr">
        <is>
          <t>2019-04-15 12:32:03</t>
        </is>
      </c>
      <c r="H6502" t="inlineStr">
        <is>
          <t>Type 1</t>
        </is>
      </c>
    </row>
    <row r="6503">
      <c r="A6503" t="inlineStr">
        <is>
          <t>bdmx6l</t>
        </is>
      </c>
      <c r="B6503" t="inlineStr">
        <is>
          <t>Freestyle Libre vs Dexcom</t>
        </is>
      </c>
      <c r="C6503" t="inlineStr">
        <is>
          <t>About a year ago I got the Dexcom, used for about 8 months and then my insurance decided they wouldn't cover it anymore. So now my Endo has me getting the Libre. What are your experience, the benefits, the differences, etc.?</t>
        </is>
      </c>
      <c r="D6503" t="n">
        <v>3</v>
      </c>
      <c r="E6503" t="n">
        <v>5</v>
      </c>
      <c r="F6503">
        <f>HYPERLINK("https://www.reddit.com/r/diabetes/comments/bdmx6l/freestyle_libre_vs_dexcom/")</f>
        <v/>
      </c>
      <c r="G6503" t="inlineStr">
        <is>
          <t>2019-04-15 16:34:56</t>
        </is>
      </c>
      <c r="H6503" t="inlineStr">
        <is>
          <t>Type 1</t>
        </is>
      </c>
    </row>
    <row r="6504">
      <c r="A6504" t="inlineStr">
        <is>
          <t>bdnxpw</t>
        </is>
      </c>
      <c r="B6504" t="inlineStr">
        <is>
          <t>He's brunnin what?</t>
        </is>
      </c>
      <c r="C6504" t="inlineStr">
        <is>
          <t>I have an 8 year old, who was diagnosed, at the end of February. He has been in the 100/200 range. He's had a few lows. Nothing we couldn't handle. His Dr wants us feeding him 60 carbs a meal, simply because he went from 59lbs to 48lbs. Trying to bring up his weight. Today while I was working he was up to 359. Then was 269, then when I got home he was 150. We dosed for food and for his reading. Started to see him get sluggish. Checked and he was at 340. We have changed nothing.  Everything is the same. Yesterday his usual dose is 2u. Today all day it's bee 3 or 3.5 Wondering if anyone had any ideas. He also has celiac. He is on strict gf diet.
Thanks</t>
        </is>
      </c>
      <c r="D6504" t="n">
        <v>1</v>
      </c>
      <c r="E6504" t="n">
        <v>0</v>
      </c>
      <c r="F6504">
        <f>HYPERLINK("https://www.reddit.com/r/diabetes/comments/bdnxpw/hes_brunnin_what/")</f>
        <v/>
      </c>
      <c r="G6504" t="inlineStr">
        <is>
          <t>2019-04-15 18:15:45</t>
        </is>
      </c>
      <c r="H6504" t="inlineStr">
        <is>
          <t>Type 1</t>
        </is>
      </c>
    </row>
    <row r="6505">
      <c r="A6505" t="inlineStr">
        <is>
          <t>bdomjj</t>
        </is>
      </c>
      <c r="B6505" t="inlineStr">
        <is>
          <t>My insulin resistance is starting to scare me. Can someone shed some light.</t>
        </is>
      </c>
      <c r="C6505" t="inlineStr">
        <is>
          <t xml:space="preserve"> https://imgur.com/gallery/JNDdEg1
I can't seem to get it to come down. It didn't use to be this way.
Why am I building such strong resistance.
I take basaglar 50 per night. 
I take admelog for fast acting bolus.
I take 1000 metformin 2 times per day.
I take ramipril and lovastatin.
This is crazy. Could I benefit from a cgm or pump?
How much insulin does a pump even hold.</t>
        </is>
      </c>
      <c r="D6505" t="n">
        <v>2</v>
      </c>
      <c r="E6505" t="n">
        <v>19</v>
      </c>
      <c r="F6505">
        <f>HYPERLINK("https://www.reddit.com/r/diabetes/comments/bdomjj/my_insulin_resistance_is_starting_to_scare_me_can/")</f>
        <v/>
      </c>
      <c r="G6505" t="inlineStr">
        <is>
          <t>2019-04-15 19:25:59</t>
        </is>
      </c>
      <c r="H6505" t="inlineStr">
        <is>
          <t>Type 2</t>
        </is>
      </c>
    </row>
    <row r="6506">
      <c r="A6506" t="inlineStr">
        <is>
          <t>bdqsj9</t>
        </is>
      </c>
      <c r="B6506" t="inlineStr">
        <is>
          <t>Keeping insulin cold during long flights?</t>
        </is>
      </c>
      <c r="C6506" t="inlineStr">
        <is>
          <t>So I travel a lot for work and by a lot I mean like 3-4 weeks a month every month. Right now I use an ice pack to keep my insulin (Tresiba)cool while I’m in route to my destinations. The problem I run into sometimes is that my hotel room does not have a freezer for me to re-freeze my ice pack. I’m typically able to get a fridge but sometimes without a freezer. Now I know Tresiba is very flexible when it comes to temperature but I like to play it safe and keep it cool. But there has to be a better solution than just an ice pack? Right? 
What do you guys who have similar situations as me do?</t>
        </is>
      </c>
      <c r="D6506" t="n">
        <v>3</v>
      </c>
      <c r="E6506" t="n">
        <v>9</v>
      </c>
      <c r="F6506">
        <f>HYPERLINK("https://www.reddit.com/r/diabetes/comments/bdqsj9/keeping_insulin_cold_during_long_flights/")</f>
        <v/>
      </c>
      <c r="G6506" t="inlineStr">
        <is>
          <t>2019-04-15 23:52:33</t>
        </is>
      </c>
      <c r="H6506" t="inlineStr">
        <is>
          <t>Type 2</t>
        </is>
      </c>
    </row>
    <row r="6507">
      <c r="A6507" t="inlineStr">
        <is>
          <t>bdvyq1</t>
        </is>
      </c>
      <c r="B6507" t="inlineStr">
        <is>
          <t>CGM VS PUMP which would you rather have.</t>
        </is>
      </c>
      <c r="C6507" t="inlineStr">
        <is>
          <t>Im type 2. I take a high dose of insulin. Around 150 of admelog and 50 of basaglar 
I can either get pump or cgm but not both... 
So which will help more.</t>
        </is>
      </c>
      <c r="D6507" t="n">
        <v>3</v>
      </c>
      <c r="E6507" t="n">
        <v>12</v>
      </c>
      <c r="F6507">
        <f>HYPERLINK("https://www.reddit.com/r/diabetes/comments/bdvyq1/cgm_vs_pump_which_would_you_rather_have/")</f>
        <v/>
      </c>
      <c r="G6507" t="inlineStr">
        <is>
          <t>2019-04-16 09:28:46</t>
        </is>
      </c>
      <c r="H6507" t="inlineStr">
        <is>
          <t>Type 2</t>
        </is>
      </c>
    </row>
    <row r="6508">
      <c r="A6508" t="inlineStr">
        <is>
          <t>bdxuw6</t>
        </is>
      </c>
      <c r="B6508" t="inlineStr">
        <is>
          <t>Is the Dexcom worth giving up Omnipod?</t>
        </is>
      </c>
      <c r="C6508" t="inlineStr">
        <is>
          <t>So, I recently got a call from Dexcom saying that my insurance will cover for the Dexcom under my pharmacy benefits (YAY!) but I am currently on the Omnipod. I'm not too keen on the idea of having two things attached to me (Trust me, I' way too clumsy so one is plenty). Omnipod has been such a blessing for me for the past few years but with my hectic schedule with school and work, my A1C and glucose checking has been slacking. I'm wondering if the CGM is worth giving up an insulin pump for? I'm okay with going back to insulin injections (plus it'll save me soooo much money because I always have to meet my deductible for Omnipod) but I'm iffy if it is worth the change? Any advice would be greatly appreciated! (:</t>
        </is>
      </c>
      <c r="D6508" t="n">
        <v>6</v>
      </c>
      <c r="E6508" t="n">
        <v>11</v>
      </c>
      <c r="F6508">
        <f>HYPERLINK("https://www.reddit.com/r/diabetes/comments/bdxuw6/is_the_dexcom_worth_giving_up_omnipod/")</f>
        <v/>
      </c>
      <c r="G6508" t="inlineStr">
        <is>
          <t>2019-04-16 12:09:31</t>
        </is>
      </c>
      <c r="H6508" t="inlineStr">
        <is>
          <t>Type 1</t>
        </is>
      </c>
    </row>
    <row r="6509">
      <c r="A6509" t="inlineStr">
        <is>
          <t>bdy47p</t>
        </is>
      </c>
      <c r="B6509" t="inlineStr">
        <is>
          <t>Do any diets actually work? I need to help my wife lose weight.</t>
        </is>
      </c>
      <c r="C6509" t="inlineStr">
        <is>
          <t>I'm a husband (35m) of a T1D. My wife (37f) has slowly gained weight from when we got married (170) 12 years ago and for the last few years has been 270. 
&amp;amp;#x200B;
We have been working on her weight for a year with no changes. Got her on a gluten free diet once we realized she had an allergy. She works out 3 times a week. We don't eat junk food. But her sugars are erratic and she has to eat up a low fairly often. Supposedly she has hormonal fluctuations that make it difficult to regulate her blood sugar. 
&amp;amp;#x200B;
She has and does have emotional eating problems. Supposedly these are fixed, and for the most part I believe her. She is in counseling and talks to a nutritionist a couple times a month to deal with her childhood issues. 
&amp;amp;#x200B;
I'm  at the end of my rope having a morbidly obese wife... To be blunt we can only have sex missionary or doggy style now, because she's too fat for anything else. I really, \*\*\*really\*\*\* wish I could look at her and think "damn, my wife is sexy." And yes, I think that from time to time, but only when she has clothes on. :( 
&amp;amp;#x200B;
I have maintained myself well over the years and get compliments on my looks. I never ever, ever wants to be the fit guy with a fat wife, but here I am. My wife finds me very attractive and we have a very active sex life (daily). I'm just tired of fantasizing about other women in order to finish. I don't want to tell her this and ruin her self esteem. 
&amp;amp;#x200B;
My father has gone Keto-crazy and keeps pushing it on us, saying it will work. My wife has zero interest, but I just don't know where to start to verify it.
&amp;amp;#x200B;
Any thoughts or suggestions would be helpful, thank you. :)</t>
        </is>
      </c>
      <c r="D6509" t="n">
        <v>1</v>
      </c>
      <c r="E6509" t="n">
        <v>41</v>
      </c>
      <c r="F6509">
        <f>HYPERLINK("https://www.reddit.com/r/diabetes/comments/bdy47p/do_any_diets_actually_work_i_need_to_help_my_wife/")</f>
        <v/>
      </c>
      <c r="G6509" t="inlineStr">
        <is>
          <t>2019-04-16 12:31:45</t>
        </is>
      </c>
      <c r="H6509" t="inlineStr">
        <is>
          <t>Type 1</t>
        </is>
      </c>
    </row>
    <row r="6510">
      <c r="A6510" t="inlineStr">
        <is>
          <t>bdy9tw</t>
        </is>
      </c>
      <c r="B6510" t="inlineStr">
        <is>
          <t>Anybody have an extra dexcom g6 sensor</t>
        </is>
      </c>
      <c r="C6510" t="inlineStr">
        <is>
          <t>Just wondering if anybody have an extra dexcom g6 sensor they could spare? I lost mine and can’t order another for 3 more months. Please let me know if you can spare one!</t>
        </is>
      </c>
      <c r="D6510" t="n">
        <v>2</v>
      </c>
      <c r="E6510" t="n">
        <v>5</v>
      </c>
      <c r="F6510">
        <f>HYPERLINK("https://www.reddit.com/r/diabetes/comments/bdy9tw/anybody_have_an_extra_dexcom_g6_sensor/")</f>
        <v/>
      </c>
      <c r="G6510" t="inlineStr">
        <is>
          <t>2019-04-16 12:45:10</t>
        </is>
      </c>
      <c r="H6510" t="inlineStr">
        <is>
          <t>Type 1</t>
        </is>
      </c>
    </row>
    <row r="6511">
      <c r="A6511" t="inlineStr">
        <is>
          <t>bdzwwk</t>
        </is>
      </c>
      <c r="B6511" t="inlineStr">
        <is>
          <t>First A1C Result Since Diagnosis</t>
        </is>
      </c>
      <c r="C6511" t="inlineStr">
        <is>
          <t>I was diagnosed with type 2 diabetes in early January after an A1C of 13.3.  I just went to the endocrinologist after three and a half months of medication and a modified diet. A1C is 6!  Can’t wait to lower it even further!</t>
        </is>
      </c>
      <c r="D6511" t="n">
        <v>25</v>
      </c>
      <c r="E6511" t="n">
        <v>16</v>
      </c>
      <c r="F6511">
        <f>HYPERLINK("https://www.reddit.com/r/diabetes/comments/bdzwwk/first_a1c_result_since_diagnosis/")</f>
        <v/>
      </c>
      <c r="G6511" t="inlineStr">
        <is>
          <t>2019-04-16 15:08:07</t>
        </is>
      </c>
      <c r="H6511" t="inlineStr">
        <is>
          <t>Type 2</t>
        </is>
      </c>
    </row>
    <row r="6512">
      <c r="A6512" t="inlineStr">
        <is>
          <t>be2ybf</t>
        </is>
      </c>
      <c r="B6512" t="inlineStr">
        <is>
          <t>W4 on Spirit Combo</t>
        </is>
      </c>
      <c r="C6512" t="inlineStr">
        <is>
          <t>Is there a way to bypass or reset this? I have had my pump for six years now, and I do not have the funds for a new one, even with insurance. My question for the tech savvy t1s is if there is a way to finagle the device to ignore its expirary date. The lady at Medtronic just told me to consult my doc and get a new one. I asked for coupons, no dice. Thanks in advance.
*I am not asking for money (reading rules before I post), and I tried looking this up. No one seems to talk about this.*</t>
        </is>
      </c>
      <c r="D6512" t="n">
        <v>2</v>
      </c>
      <c r="E6512" t="n">
        <v>5</v>
      </c>
      <c r="F6512">
        <f>HYPERLINK("https://www.reddit.com/r/diabetes/comments/be2ybf/w4_on_spirit_combo/")</f>
        <v/>
      </c>
      <c r="G6512" t="inlineStr">
        <is>
          <t>2019-04-16 20:09:24</t>
        </is>
      </c>
      <c r="H6512" t="inlineStr">
        <is>
          <t>Type 1</t>
        </is>
      </c>
    </row>
    <row r="6513">
      <c r="A6513" t="inlineStr">
        <is>
          <t>be3q56</t>
        </is>
      </c>
      <c r="B6513" t="inlineStr">
        <is>
          <t>blood sugars always high the first day I change my pump site</t>
        </is>
      </c>
      <c r="C6513" t="inlineStr">
        <is>
          <t>Does this happen to anyone else? I change my pump site roughly every 4 days and on the first day after I change it, I notice that I always run high, no matter what I do. Why does this happen??</t>
        </is>
      </c>
      <c r="D6513" t="n">
        <v>2</v>
      </c>
      <c r="E6513" t="n">
        <v>2</v>
      </c>
      <c r="F6513">
        <f>HYPERLINK("https://www.reddit.com/r/diabetes/comments/be3q56/blood_sugars_always_high_the_first_day_i_change/")</f>
        <v/>
      </c>
      <c r="G6513" t="inlineStr">
        <is>
          <t>2019-04-16 21:39:55</t>
        </is>
      </c>
      <c r="H6513" t="inlineStr">
        <is>
          <t>Type 1</t>
        </is>
      </c>
    </row>
    <row r="6514">
      <c r="A6514" t="inlineStr">
        <is>
          <t>be5lqd</t>
        </is>
      </c>
      <c r="B6514" t="inlineStr">
        <is>
          <t>How AI and Data Science can help manage diabetes in everyday life</t>
        </is>
      </c>
      <c r="C6514" t="inlineStr">
        <is>
          <t>People living with T1D need to make decisions about their treatment multiple times per day. Modern medical devices can collect data, show patterns, and suggest the next steps, but have an important limitation: *The current systems are not personalized: they do not adjust to individual variations in insulin requirements.*
New technology uses artificial intelligence in *Suguard app* to personalize diabetic therapy and help patients suffering from type 1 diabetes, because it requires intensive treatment and exceptional care, especially during sports activities: [How AI and Data Science can help manage diabetes in everyday life](https://dlabs.pl/blog/article/how-ai-and-data-science-can-help-manage-diabetes-in-everyday-life)
Through the analysis of health data, the application will allow you to set up a personalized treatment plan and suggest a schedule of physical activity to help patients achieve stable blood glucose levels.
[Suguard App - workflow](https://i.redd.it/dh06w7vqiss21.png)</t>
        </is>
      </c>
      <c r="D6514" t="n">
        <v>0</v>
      </c>
      <c r="E6514" t="n">
        <v>0</v>
      </c>
      <c r="F6514">
        <f>HYPERLINK("https://www.reddit.com/r/diabetes/comments/be5lqd/how_ai_and_data_science_can_help_manage_diabetes/")</f>
        <v/>
      </c>
      <c r="G6514" t="inlineStr">
        <is>
          <t>2019-04-17 02:07:32</t>
        </is>
      </c>
      <c r="H6514" t="inlineStr">
        <is>
          <t>Type 1</t>
        </is>
      </c>
    </row>
    <row r="6515">
      <c r="A6515" t="inlineStr">
        <is>
          <t>be5wtj</t>
        </is>
      </c>
      <c r="B6515" t="inlineStr">
        <is>
          <t>Information/Guidance book for my Grandad</t>
        </is>
      </c>
      <c r="C6515" t="inlineStr">
        <is>
          <t>Does anybody have recommendations of any good books or online resources which explain in simple terms what Type 2 Diabetes is, and the kind of diet you should follow whilst you have it? 
As a bit of background, the book will be for my grandad who is in his mid 60s. I genuinely don't think he understands how to manage his diabetes and I don't think he believes his current diet (small amounts of high GI sugary foods eg white bread, dried fruit, chocolate bars) is bad for him as he is "not eating much". I myself am a medical student in the late stages of my degree, and I'm concerned that my opinion will be tainted by this; I have a very thorough understanding and don't want to pick out a book that's too complex for him to understand. 
Any and all suggestions will be greatly appreciated! Also, any tips on what is likely to get him motivated to make a lifestyle change? He's just become acutely unwell and been to hospital so I'm hoping this will act as one motivational factor, but any others would be greatly appreciated!</t>
        </is>
      </c>
      <c r="D6515" t="n">
        <v>3</v>
      </c>
      <c r="E6515" t="n">
        <v>2</v>
      </c>
      <c r="F6515">
        <f>HYPERLINK("https://www.reddit.com/r/diabetes/comments/be5wtj/informationguidance_book_for_my_grandad/")</f>
        <v/>
      </c>
      <c r="G6515" t="inlineStr">
        <is>
          <t>2019-04-17 02:52:18</t>
        </is>
      </c>
      <c r="H6515" t="inlineStr">
        <is>
          <t>Type 2</t>
        </is>
      </c>
    </row>
    <row r="6516">
      <c r="A6516" t="inlineStr">
        <is>
          <t>be6vq6</t>
        </is>
      </c>
      <c r="B6516" t="inlineStr">
        <is>
          <t>Puberty and Diabetes</t>
        </is>
      </c>
      <c r="C6516" t="inlineStr">
        <is>
          <t>I heard that puberty and hormones make you more resistant to insulin and makes diabetes harder to control, I’m 18 currently, is that still affecting my blood sugars? When do hormones stabilise?</t>
        </is>
      </c>
      <c r="D6516" t="n">
        <v>2</v>
      </c>
      <c r="E6516" t="n">
        <v>4</v>
      </c>
      <c r="F6516">
        <f>HYPERLINK("https://www.reddit.com/r/diabetes/comments/be6vq6/puberty_and_diabetes/")</f>
        <v/>
      </c>
      <c r="G6516" t="inlineStr">
        <is>
          <t>2019-04-17 04:55:58</t>
        </is>
      </c>
      <c r="H6516" t="inlineStr">
        <is>
          <t>Type 1</t>
        </is>
      </c>
    </row>
    <row r="6517">
      <c r="A6517" t="inlineStr">
        <is>
          <t>be6vvg</t>
        </is>
      </c>
      <c r="B6517" t="inlineStr">
        <is>
          <t>New app for CGM users - testers wanted</t>
        </is>
      </c>
      <c r="C6517" t="inlineStr">
        <is>
          <t>I’m a maker of Undermyfork app, which matches blood glucose data from CGM or connected glucose meter with your meal photos, and gives simple insights about how a particular meal affects your blood glucose levels. 
The idea is to simplify safe eating for newly diagnosed. I’d appreciate your help with testing, to see if the app works fine with different devices and is overall useful. 
The app works on iPhones and connects to Dexcom, Freestyle Libre with MiaoMiao or BluCon transmitter, or finger-pricking bluetooth glucose meters via Apple Health. 
What do you think? 
Here’s the link to the app (with some gifs): [https://undermyfork.com/](https://undermyfork.com/)</t>
        </is>
      </c>
      <c r="D6517" t="n">
        <v>11</v>
      </c>
      <c r="E6517" t="n">
        <v>4</v>
      </c>
      <c r="F6517">
        <f>HYPERLINK("https://www.reddit.com/r/diabetes/comments/be6vvg/new_app_for_cgm_users_testers_wanted/")</f>
        <v/>
      </c>
      <c r="G6517" t="inlineStr">
        <is>
          <t>2019-04-17 04:56:21</t>
        </is>
      </c>
      <c r="H6517" t="inlineStr">
        <is>
          <t>Type 1</t>
        </is>
      </c>
    </row>
    <row r="6518">
      <c r="A6518" t="inlineStr">
        <is>
          <t>be703v</t>
        </is>
      </c>
      <c r="B6518" t="inlineStr">
        <is>
          <t>Should I be worried?</t>
        </is>
      </c>
      <c r="C6518" t="inlineStr">
        <is>
          <t>Hi!  
I was diagnosed with Type 2 in 2017, and I'm really awful at remembering things and knowing when I should be concerned. 
&amp;amp;#x200B;
My BG is rocking at a steady 14.9mmols (or 268.2mg) after taking my 2000mg of Metformin Hydrochloride. I've also not eaten yet today.....  
Am I right to be worried? Does anybody have any advice for me?
&amp;amp;#x200B;
Thanks guys</t>
        </is>
      </c>
      <c r="D6518" t="n">
        <v>2</v>
      </c>
      <c r="E6518" t="n">
        <v>3</v>
      </c>
      <c r="F6518">
        <f>HYPERLINK("https://www.reddit.com/r/diabetes/comments/be703v/should_i_be_worried/")</f>
        <v/>
      </c>
      <c r="G6518" t="inlineStr">
        <is>
          <t>2019-04-17 05:08:54</t>
        </is>
      </c>
      <c r="H6518" t="inlineStr">
        <is>
          <t>Type 2</t>
        </is>
      </c>
    </row>
    <row r="6519">
      <c r="A6519" t="inlineStr">
        <is>
          <t>be8drw</t>
        </is>
      </c>
      <c r="B6519" t="inlineStr">
        <is>
          <t>I:C Adjustments In Auto Mode 670G Medtronic?</t>
        </is>
      </c>
      <c r="C6519" t="inlineStr">
        <is>
          <t>I am getting a lot of lows in auto mode and I know it is because my basal rates or "micro boluses" are too high. How long should I give auto mode to make a course correction before I tweak my insulin to carb ratios? My basal rates were low in manual mode and I had smooth trend lines that worked with my current I:C ratios. I switched to auto mode hoping that its adaptability would help me out more on the days where my activity level deviates from the norm.
&amp;amp;#x200B;
I know the auto mode "micro boluses" are based on and adapt to your last 7 days of results. How much rope should I give it before I consider scaling back my I:C ratios to cut down on the lows? I am worried that when I change my I:C ratios that the auto mode "micro boluses" will also change and then I will get lots of high blood sugars and will end up getting caught in a constant adjustment cycle.</t>
        </is>
      </c>
      <c r="D6519" t="n">
        <v>2</v>
      </c>
      <c r="E6519" t="n">
        <v>4</v>
      </c>
      <c r="F6519">
        <f>HYPERLINK("https://www.reddit.com/r/diabetes/comments/be8drw/ic_adjustments_in_auto_mode_670g_medtronic/")</f>
        <v/>
      </c>
      <c r="G6519" t="inlineStr">
        <is>
          <t>2019-04-17 07:21:47</t>
        </is>
      </c>
      <c r="H6519" t="inlineStr">
        <is>
          <t>Type 1</t>
        </is>
      </c>
    </row>
    <row r="6520">
      <c r="A6520" t="inlineStr">
        <is>
          <t>be9a49</t>
        </is>
      </c>
      <c r="B6520" t="inlineStr">
        <is>
          <t>Best holser/strap for pump in wedding dress?</t>
        </is>
      </c>
      <c r="C6520" t="inlineStr">
        <is>
          <t>I'm getting married in a few weeks and still am not 100% sure what to do with my pump in my dress. My seamstress is sewing a pocket into the bottom but we tested it and it kind of pulls on the dress in a weird way so it's not ideal. I was thinking I might need some sort of holster but because of the fit of my dress, it would need to go around my calf. Does anyone know of anything like this?
&amp;amp;#x200B;
Thanks!</t>
        </is>
      </c>
      <c r="D6520" t="n">
        <v>2</v>
      </c>
      <c r="E6520" t="n">
        <v>7</v>
      </c>
      <c r="F6520">
        <f>HYPERLINK("https://www.reddit.com/r/diabetes/comments/be9a49/best_holserstrap_for_pump_in_wedding_dress/")</f>
        <v/>
      </c>
      <c r="G6520" t="inlineStr">
        <is>
          <t>2019-04-17 08:40:50</t>
        </is>
      </c>
      <c r="H6520" t="inlineStr">
        <is>
          <t>Type 1</t>
        </is>
      </c>
    </row>
    <row r="6521">
      <c r="A6521" t="inlineStr">
        <is>
          <t>beaich</t>
        </is>
      </c>
      <c r="B6521" t="inlineStr">
        <is>
          <t>This doesn't seem right</t>
        </is>
      </c>
      <c r="C6521" t="inlineStr">
        <is>
          <t>\- Saw regular old PCP today
\- Diagnosed me with Type 2 Diabetes. I asked if it was because of my elevated A1c. They said no, it was because I am overweight.
\- I asked if I need a glucose meter now to check my blood sugar. Told no.
\- I told PCP how upset I was about this diagnosis. PCP didn't "get" the gravity of the situation or my panic about the diagnosis or why I was crying about it.
\- PCP said Metformin won't really help me at all. Told to eat salads and walk 30 minutes a day despite explaining VERY clearly that I CANNOT stand for prolonged periods or walk for long distances. I just physically can't.
\- Mental health issues were not taken into consideration at all. Was told to cook at home despite me explaining I can't cook because I lack the concentration because I hear disembodied voices talking to me all day long and can't think properly. Also am basically bed bound by depression and lethargy. So I guess I have to live off of lettuce now.
\- Not even offered any advice really for the Diabetes.
\- Told it can be reversed (is this true?)
&amp;amp;#x200B;
***MOST IMPORTANTLY...***
I'M GETTING A SECOND OPINION FROM AN ACTUAL ENDOCRINOLOGIST.</t>
        </is>
      </c>
      <c r="D6521" t="n">
        <v>3</v>
      </c>
      <c r="E6521" t="n">
        <v>27</v>
      </c>
      <c r="F6521">
        <f>HYPERLINK("https://www.reddit.com/r/diabetes/comments/beaich/this_doesnt_seem_right/")</f>
        <v/>
      </c>
      <c r="G6521" t="inlineStr">
        <is>
          <t>2019-04-17 10:25:03</t>
        </is>
      </c>
      <c r="H6521" t="inlineStr">
        <is>
          <t>Type 2</t>
        </is>
      </c>
    </row>
    <row r="6522">
      <c r="A6522" t="inlineStr">
        <is>
          <t>bedfj2</t>
        </is>
      </c>
      <c r="B6522" t="inlineStr">
        <is>
          <t>Need to lower my A1C.</t>
        </is>
      </c>
      <c r="C6522" t="inlineStr">
        <is>
          <t>I need to lower my A1C and need to get right to it. I know there are several sources out there on how to do this but I need to streamline it to best plan/program and keep myself accountable in order to stick to it. What has worked best for people with type 2? 
Thanks</t>
        </is>
      </c>
      <c r="D6522" t="n">
        <v>2</v>
      </c>
      <c r="E6522" t="n">
        <v>10</v>
      </c>
      <c r="F6522">
        <f>HYPERLINK("https://www.reddit.com/r/diabetes/comments/bedfj2/need_to_lower_my_a1c/")</f>
        <v/>
      </c>
      <c r="G6522" t="inlineStr">
        <is>
          <t>2019-04-17 14:41:05</t>
        </is>
      </c>
      <c r="H6522" t="inlineStr">
        <is>
          <t>Type 2</t>
        </is>
      </c>
    </row>
    <row r="6523">
      <c r="A6523" t="inlineStr">
        <is>
          <t>beef3w</t>
        </is>
      </c>
      <c r="B6523" t="inlineStr">
        <is>
          <t>I’m 19 and I’m not sure if I have erectile dysfunction or it’s just performance anxiety.</t>
        </is>
      </c>
      <c r="C6523" t="inlineStr">
        <is>
          <t>So to give context I’m 19yo and I have type 1 diabetes. I was diagnosed when I was about 10. I can be quite socially awkward and get anxious at times but I still consider myself reasonably outgoing when I want to be. I’ve not had sex before but have come close 3 times. However, each time I’ve tried to have sex after pulling someone on a night out I’ve failed to get/maintain an erection and complete the job. I’m quite a heavy drinker on a night out and so I’m not sure if the alcohol plus anxiety is what is causing my problem or if it’s more to do with diabetes. Would love to know what other people’s thoughts are on my problem.</t>
        </is>
      </c>
      <c r="D6523" t="n">
        <v>1</v>
      </c>
      <c r="E6523" t="n">
        <v>22</v>
      </c>
      <c r="F6523">
        <f>HYPERLINK("https://www.reddit.com/r/diabetes/comments/beef3w/im_19_and_im_not_sure_if_i_have_erectile/")</f>
        <v/>
      </c>
      <c r="G6523" t="inlineStr">
        <is>
          <t>2019-04-17 16:12:28</t>
        </is>
      </c>
      <c r="H6523" t="inlineStr">
        <is>
          <t>Type 1</t>
        </is>
      </c>
    </row>
    <row r="6524">
      <c r="A6524" t="inlineStr">
        <is>
          <t>beeomn</t>
        </is>
      </c>
      <c r="B6524" t="inlineStr">
        <is>
          <t>One time insulin prescription</t>
        </is>
      </c>
      <c r="C6524" t="inlineStr">
        <is>
          <t>Hello, first time posting on this subreddit. I was recently(about 2 months ago) diagnosed with type 2 diabetes. My a1c was a 10.4 on diagnosis :0. However, within the last 2 months I have completely changed my lifestyle and have regained control of my blood sugar. My average blood glucose has been 107 mg/dl in the last 60 days. I feel healthy for the first time in a while and although not that overweight, ive cut about 7 pounds. 
I wanted to get a general consensus on if my doctor would be willing to prescribe me some insulin for a weeklong trip I am about to take. I am meeting up with friends from long ago and am going out of country and it would be great if I could eat what I wanted to and not be an inconvenience for a week. What are your thoughts?</t>
        </is>
      </c>
      <c r="D6524" t="n">
        <v>0</v>
      </c>
      <c r="E6524" t="n">
        <v>14</v>
      </c>
      <c r="F6524">
        <f>HYPERLINK("https://www.reddit.com/r/diabetes/comments/beeomn/one_time_insulin_prescription/")</f>
        <v/>
      </c>
      <c r="G6524" t="inlineStr">
        <is>
          <t>2019-04-17 16:38:33</t>
        </is>
      </c>
      <c r="H6524" t="inlineStr">
        <is>
          <t>Type 2</t>
        </is>
      </c>
    </row>
    <row r="6525">
      <c r="A6525" t="inlineStr">
        <is>
          <t>befkwq</t>
        </is>
      </c>
      <c r="B6525" t="inlineStr">
        <is>
          <t>Am I expecting too much too soon?</t>
        </is>
      </c>
      <c r="C6525" t="inlineStr">
        <is>
          <t>I was diagnosed just over two weeks ago and have been taking Janumet twice a day. I immediately quit soda and sugary drinks cold turkey. I've cut my calorie intake down to about 1500-1700 a day and half of that is protein, 1/25 veggies and 1/25 carbs. My liquid intake has been strictly water. When I started doing my morning fasting I was at 256 and have worked down to the 120's. I'm getting a little worried at this point that it should be lower. I've lost about 8 pounds thus far. I need to lose about 50 pounds to be at a normal BMI level. I was a heavy, heavy soda drinker for years. No diet or sugar free stuff either it had to be the real deal.
Am I expecting too much too soon?</t>
        </is>
      </c>
      <c r="D6525" t="n">
        <v>7</v>
      </c>
      <c r="E6525" t="n">
        <v>9</v>
      </c>
      <c r="F6525">
        <f>HYPERLINK("https://www.reddit.com/r/diabetes/comments/befkwq/am_i_expecting_too_much_too_soon/")</f>
        <v/>
      </c>
      <c r="G6525" t="inlineStr">
        <is>
          <t>2019-04-17 18:09:28</t>
        </is>
      </c>
      <c r="H6525" t="inlineStr">
        <is>
          <t>Type 2</t>
        </is>
      </c>
    </row>
    <row r="6526">
      <c r="A6526" t="inlineStr">
        <is>
          <t>beg1bb</t>
        </is>
      </c>
      <c r="B6526" t="inlineStr">
        <is>
          <t>New to omnipod</t>
        </is>
      </c>
      <c r="C6526" t="inlineStr">
        <is>
          <t>Hi! I've been a type one for almost 13 years and recently (the last two weeks) switched from daily injections to the omnipod. And for the most part I am obsessed and love it! But on my last two sites (back of arm and upper thigh) I've noticed after about a day and a half the absorption seems to drop off horribly (or I'm doing something to ruin the cannula maybe) My first day or so my numbers stay below 150 for the most part. For example today I was 100 after lunch bolused and ate a small snack. Jumped to 308 and then tested again after dinner and jumped to 425. For the majority of the 13 years I did injections in my stomach and had no issues with the pump there, but if anything I would imagine that site to be scared of damaged, not places I havent used.
Not sure if anyone else has had this issue, or experienced anything similar even with other pumps.</t>
        </is>
      </c>
      <c r="D6526" t="n">
        <v>5</v>
      </c>
      <c r="E6526" t="n">
        <v>7</v>
      </c>
      <c r="F6526">
        <f>HYPERLINK("https://www.reddit.com/r/diabetes/comments/beg1bb/new_to_omnipod/")</f>
        <v/>
      </c>
      <c r="G6526" t="inlineStr">
        <is>
          <t>2019-04-17 18:56:38</t>
        </is>
      </c>
      <c r="H6526" t="inlineStr">
        <is>
          <t>Type 1</t>
        </is>
      </c>
    </row>
    <row r="6527">
      <c r="A6527" t="inlineStr">
        <is>
          <t>begfdg</t>
        </is>
      </c>
      <c r="B6527" t="inlineStr">
        <is>
          <t>Large hard lump at insertion site</t>
        </is>
      </c>
      <c r="C6527" t="inlineStr">
        <is>
          <t>Hi everyone,
I’m a T1 Omnipod user, have been for 10 years. I’ve had very small bumps at the insertion site when I remove my Omnipods, probably a couple times a year. However tonight my pod expired and when I took it off there was a massive lump under the insertion site. Like an inch wide. Seems way too big to be normal and it’s freaking me out. I can call my endo first thing tomorrow, but has anyone had experience with this before and can assure me whether it just goes away or whether this needs immediate attention? 
Thanks so much!</t>
        </is>
      </c>
      <c r="D6527" t="n">
        <v>2</v>
      </c>
      <c r="E6527" t="n">
        <v>8</v>
      </c>
      <c r="F6527">
        <f>HYPERLINK("https://www.reddit.com/r/diabetes/comments/begfdg/large_hard_lump_at_insertion_site/")</f>
        <v/>
      </c>
      <c r="G6527" t="inlineStr">
        <is>
          <t>2019-04-17 19:37:57</t>
        </is>
      </c>
      <c r="H6527" t="inlineStr">
        <is>
          <t>Type 1</t>
        </is>
      </c>
    </row>
    <row r="6528">
      <c r="A6528" t="inlineStr">
        <is>
          <t>begrns</t>
        </is>
      </c>
      <c r="B6528" t="inlineStr">
        <is>
          <t>Question about cgm/doctor etiquette (nsfw?)</t>
        </is>
      </c>
      <c r="C6528" t="inlineStr">
        <is>
          <t>This is a serious question.
&amp;amp;#x200B;
My doctor put a temporary 2 week cgm on me to see what happens to my blood sugar and I return it after the two weeks.
&amp;amp;#x200B;
He also wants me to keep an activity log of when I eat, sleep, take insulin, or do anything else that could affect  my blood sugar.
&amp;amp;#x200B;
Should I write when I'm having sex? Or can I just label it as "physical activity"? Is my endo going to ask about what kind of physical activity it is?</t>
        </is>
      </c>
      <c r="D6528" t="n">
        <v>1</v>
      </c>
      <c r="E6528" t="n">
        <v>2</v>
      </c>
      <c r="F6528">
        <f>HYPERLINK("https://www.reddit.com/r/diabetes/comments/begrns/question_about_cgmdoctor_etiquette_nsfw/")</f>
        <v/>
      </c>
      <c r="G6528" t="inlineStr">
        <is>
          <t>2019-04-17 20:14:15</t>
        </is>
      </c>
      <c r="H6528" t="inlineStr">
        <is>
          <t>Type 1</t>
        </is>
      </c>
    </row>
    <row r="6529">
      <c r="A6529" t="inlineStr">
        <is>
          <t>bel8xr</t>
        </is>
      </c>
      <c r="B6529" t="inlineStr">
        <is>
          <t>Can the Freestyle Libre reader "break" sensors?</t>
        </is>
      </c>
      <c r="C6529" t="inlineStr">
        <is>
          <t>Hi all. I'm having a lot of faulty sensors, like 3 in a row. They always read a lot lower than the actual BS. Can this be caused by the reader? I dropped it a lot of times and it's pretty damaged right now. Any thoughts?</t>
        </is>
      </c>
      <c r="D6529" t="n">
        <v>3</v>
      </c>
      <c r="E6529" t="n">
        <v>3</v>
      </c>
      <c r="F6529">
        <f>HYPERLINK("https://www.reddit.com/r/diabetes/comments/bel8xr/can_the_freestyle_libre_reader_break_sensors/")</f>
        <v/>
      </c>
      <c r="G6529" t="inlineStr">
        <is>
          <t>2019-04-18 05:58:26</t>
        </is>
      </c>
      <c r="H6529" t="inlineStr">
        <is>
          <t>Type 1</t>
        </is>
      </c>
    </row>
    <row r="6530">
      <c r="A6530" t="inlineStr">
        <is>
          <t>bep0qt</t>
        </is>
      </c>
      <c r="B6530" t="inlineStr">
        <is>
          <t>Cream and Intermittent fasting</t>
        </is>
      </c>
      <c r="C6530" t="inlineStr">
        <is>
          <t>I'm Type 1 diabetic. I'm following Keto diet for 8+ months. For first some months I'm not going into Ketosis due to Insulin dosages. Now I have managed it.
I do 16 hours of fasting.  
I love cream in my tea or coffee.
When we eat and Insulin spikes then we get out of Ketosis, right?
Since I'm Type 1, I have lack of Insulin.
So if I taken tea or coffee with cream and won't taken any insulin. Will I go out of fasting state?
Thank you!</t>
        </is>
      </c>
      <c r="D6530" t="n">
        <v>2</v>
      </c>
      <c r="E6530" t="n">
        <v>13</v>
      </c>
      <c r="F6530">
        <f>HYPERLINK("https://www.reddit.com/r/diabetes/comments/bep0qt/cream_and_intermittent_fasting/")</f>
        <v/>
      </c>
      <c r="G6530" t="inlineStr">
        <is>
          <t>2019-04-18 11:32:19</t>
        </is>
      </c>
      <c r="H6530" t="inlineStr">
        <is>
          <t>Type 1</t>
        </is>
      </c>
    </row>
    <row r="6531">
      <c r="A6531" t="inlineStr">
        <is>
          <t>bep7h8</t>
        </is>
      </c>
      <c r="B6531" t="inlineStr">
        <is>
          <t>Does Christian Health Sharing Cover Diabetes Supplies?</t>
        </is>
      </c>
      <c r="C6531" t="inlineStr">
        <is>
          <t>I am self-employed and my own health coverage is through Medishare. My income is low enough that my children are covered through MNcare. The first problem with Medishare for covering my son with T1 is that you have to be enrolled for 3 years before any pre-existing conditions are covered. There are other options where you only need to be enrolled for 1 year though. My question to people is, does anyone else here use places like this as coverage for diabetes supplies? Will they pay for things like pumps and CGMs? What other options do self-employed people have?</t>
        </is>
      </c>
      <c r="D6531" t="n">
        <v>3</v>
      </c>
      <c r="E6531" t="n">
        <v>4</v>
      </c>
      <c r="F6531">
        <f>HYPERLINK("https://www.reddit.com/r/diabetes/comments/bep7h8/does_christian_health_sharing_cover_diabetes/")</f>
        <v/>
      </c>
      <c r="G6531" t="inlineStr">
        <is>
          <t>2019-04-18 11:48:43</t>
        </is>
      </c>
      <c r="H6531" t="inlineStr">
        <is>
          <t>Type 1</t>
        </is>
      </c>
    </row>
    <row r="6532">
      <c r="A6532" t="inlineStr">
        <is>
          <t>bes446</t>
        </is>
      </c>
      <c r="B6532" t="inlineStr">
        <is>
          <t>Hair I lost before and shortly after diagnosis is slowly growing back.</t>
        </is>
      </c>
      <c r="C6532" t="inlineStr">
        <is>
          <t>About 1 month before diagnosis, I start to notice a lot of loose hair around my pillow each day when i wake up. This continued even after my diagnosis after well. One month after my diagnosis, there is two very large bald patches on my head. I was so worried that I will be bald at age 27, so God it was hormone issue caused by thyroid disease. With medication to treat thyroid disease, my hair is getting thick day by day.</t>
        </is>
      </c>
      <c r="D6532" t="n">
        <v>3</v>
      </c>
      <c r="E6532" t="n">
        <v>2</v>
      </c>
      <c r="F6532">
        <f>HYPERLINK("https://www.reddit.com/r/diabetes/comments/bes446/hair_i_lost_before_and_shortly_after_diagnosis_is/")</f>
        <v/>
      </c>
      <c r="G6532" t="inlineStr">
        <is>
          <t>2019-04-18 16:09:53</t>
        </is>
      </c>
      <c r="H6532" t="inlineStr">
        <is>
          <t>Type 1</t>
        </is>
      </c>
    </row>
    <row r="6533">
      <c r="A6533" t="inlineStr">
        <is>
          <t>besiwl</t>
        </is>
      </c>
      <c r="B6533" t="inlineStr">
        <is>
          <t>Test Strips are not working, need alternate solution</t>
        </is>
      </c>
      <c r="C6533" t="inlineStr">
        <is>
          <t>Hello, as stated in the title, none of my test strips are working, they spilled out of the vial that contained them and into the box that contained the vial. My meter is not giving me any number except an Error message, and there is no way for me to obtain a more as I’m on vacation, is there a way for me to get a number without using a test strip?</t>
        </is>
      </c>
      <c r="D6533" t="n">
        <v>1</v>
      </c>
      <c r="E6533" t="n">
        <v>6</v>
      </c>
      <c r="F6533">
        <f>HYPERLINK("https://www.reddit.com/r/diabetes/comments/besiwl/test_strips_are_not_working_need_alternate/")</f>
        <v/>
      </c>
      <c r="G6533" t="inlineStr">
        <is>
          <t>2019-04-18 16:48:13</t>
        </is>
      </c>
      <c r="H6533" t="inlineStr">
        <is>
          <t>Type 1</t>
        </is>
      </c>
    </row>
    <row r="6534">
      <c r="A6534" t="inlineStr">
        <is>
          <t>beuff8</t>
        </is>
      </c>
      <c r="B6534" t="inlineStr">
        <is>
          <t>Type 1 Diabetic here, noticing after I prick my finger the pricked area isn't "closing up" as quickly as I remember, also blood rushes out much quicker?</t>
        </is>
      </c>
      <c r="C6534" t="inlineStr">
        <is>
          <t>Sorry if my question is confusing, basically I'm in my 20's and I've had diabetes for more than half my life and for as long as I could remember, whenever I'd prick my fingers the pricked finger would always heal within seconds (i.e. if I pricked my finger to check my blood sugar and needed to check again because of an error or something usually I'd need to prick again because if I tried to squeeze the same area blood wouldn't flow out).
Recently I've noticed a couple of things:
1) When I prick myself blood rushes out much faster than usual
2) The pricked areas can draw blood even hours after I checked my blood sugar. 
Should I be concerned?
Sorry again if this doesn't make sense, hopefully someone can help me. 
Will update with more info if it is needed!</t>
        </is>
      </c>
      <c r="D6534" t="n">
        <v>1</v>
      </c>
      <c r="E6534" t="n">
        <v>0</v>
      </c>
      <c r="F6534">
        <f>HYPERLINK("https://www.reddit.com/r/diabetes/comments/beuff8/type_1_diabetic_here_noticing_after_i_prick_my/")</f>
        <v/>
      </c>
      <c r="G6534" t="inlineStr">
        <is>
          <t>2019-04-18 20:07:22</t>
        </is>
      </c>
      <c r="H6534" t="inlineStr">
        <is>
          <t>Type 1</t>
        </is>
      </c>
    </row>
    <row r="6535">
      <c r="A6535" t="inlineStr">
        <is>
          <t>bevpl1</t>
        </is>
      </c>
      <c r="B6535" t="inlineStr">
        <is>
          <t>Help my dad is losing weight</t>
        </is>
      </c>
      <c r="C6535" t="inlineStr">
        <is>
          <t>Hi my dad was diagnosed with type 2 diabetes about 2 years ago and has been losing a ton of weight over that period (160lbs down to 128lbs today). We have tried dieticians but they told him to eat more fats but it didn't help much and he felt worse on that diet than before and has since switched to a mostly vegetarian diet and has been feeling better but still is not gaining any weight. Both my mother and I are really worried for him as he looks similar to, but not quite as thin, as the people in the world war 2 concentration camps. 
I would appreciate it if I could get some suggestions for what diets or medical tests to pursue.</t>
        </is>
      </c>
      <c r="D6535" t="n">
        <v>6</v>
      </c>
      <c r="E6535" t="n">
        <v>10</v>
      </c>
      <c r="F6535">
        <f>HYPERLINK("https://www.reddit.com/r/diabetes/comments/bevpl1/help_my_dad_is_losing_weight/")</f>
        <v/>
      </c>
      <c r="G6535" t="inlineStr">
        <is>
          <t>2019-04-18 22:46:14</t>
        </is>
      </c>
      <c r="H6535" t="inlineStr">
        <is>
          <t>Type 2</t>
        </is>
      </c>
    </row>
    <row r="6536">
      <c r="A6536" t="inlineStr">
        <is>
          <t>bey8od</t>
        </is>
      </c>
      <c r="B6536" t="inlineStr">
        <is>
          <t>Frequent Lumps and Bruises with Basal (Tresiba)</t>
        </is>
      </c>
      <c r="C6536" t="inlineStr">
        <is>
          <t>I've been T1 for about 6 years and have almost always injected my basal into my upper thighs. For the first 5 or so I was taking Lantus, but in the past year I've used Tresiba. Since a few months into switching to Tresiba, I've noticed that there feels like a slightly raised lumpy layer over a large portion of both thighs. It probably wouldn't be noticeable to anyone but me, and there's no scarring or otherwise obvious damage that I can tell. That said, I do get bruising at injection sites more frequently than with Lantus and generally have at least a couple on each leg at a time. I mentioned those to my endo shortly after the switch, and she said the bruising appears bad but is likely fine, and to try to split my dosage between sites to reduce the bruising.
&amp;amp;#x200B;
I do rotate sites,  though not with the clock method or anything precise, just generally between quadrants. But I haven't tried rotating to other body parts as I think arm injections are awkward, and stomach injections are left for my humalog.
&amp;amp;#x200B;
Other than the lumps and bruising, Tresiba works far better than Lantus ever did for me. I'm well controlled and have never had an A1C over 6.5%, and with Tresiba I've stayed within 5.7 - 6.0%.
&amp;amp;#x200B;
Has anyone experienced a similar phenomenon? I'm somewhat concerned that this is lipodystrophy, but I know I rotate. This almost seems Tresiba-specific to me given how quickly it started occurring once I switched to it.</t>
        </is>
      </c>
      <c r="D6536" t="n">
        <v>4</v>
      </c>
      <c r="E6536" t="n">
        <v>3</v>
      </c>
      <c r="F6536">
        <f>HYPERLINK("https://www.reddit.com/r/diabetes/comments/bey8od/frequent_lumps_and_bruises_with_basal_tresiba/")</f>
        <v/>
      </c>
      <c r="G6536" t="inlineStr">
        <is>
          <t>2019-04-19 04:53:51</t>
        </is>
      </c>
      <c r="H6536" t="inlineStr">
        <is>
          <t>Type 1</t>
        </is>
      </c>
    </row>
    <row r="6537">
      <c r="A6537" t="inlineStr">
        <is>
          <t>bf00gw</t>
        </is>
      </c>
      <c r="B6537" t="inlineStr">
        <is>
          <t>Not eating to bring down blood sugar-- newly diagnosed with limited information; x-post from r/diabetes_t1</t>
        </is>
      </c>
      <c r="C6537" t="inlineStr">
        <is>
          <t>x-post from r/diabetes_t1.  One of my friends (30 years old) was diagnosed with type 1 diabetes two days ago and is *extremely* overwhelmed. I asked her if I could try to find some answers to some of her questions, so she knows I'm looking into this for her. Long story short: after being diagnosed 2 days ago and being sent home with limited information, she thinks that not eating for 10+ hours is necessary to bring down her sugar levels. Is that correct? She has other questions, but that's the one at the top of her mind.
 She has an appointment with a dietician next week, but during the diagnosis appointment a couple days ago, her endocrinologist basically just gave her a meter, some insulin, a chart for how much to administer based on blood sugar levels, and a pamphlet. My friend also came away with the impression that she shouldn't eat if her blood sugar is high. With her sugar over 200, she went over 10 hours without eating, and the number did not dip at all. She finally broke down and ate a small salad, after which her blood sugar went even higher. She's absolutely panicked now but acknowledges that "never eat again" is probably not the answer. Her doctor's  office hasn't been returning messages, so here I am on reddit for her (she's going to get a new endocrinologist after she gets the immediate situation under control). Here are the questions she asked me to look into:
* Should she be skipping meals and snacks to that extent? Or should she just go ahead and eat her regular meals while sticking to low-carb foods, even if that will raise her blood sugar?
* As a new Type 1 diabetic, should she be focused on eating low carbs AND low cholesterol? That's what Google keeps telling her. If she doesn't cut cholesterol right away, is that a huge problem? She's just now trying to wrap her head around cutting carbs to get her sugar down. She is normal, if not under-weight, if that matters.
* And this one breaks my heart... if she goes to sleep with her blood sugar over 200, could she die in her sleep? She has been giving herself insulin based on the chart, but she hasn't been able to get her sugar below 200 so far, and she was terrified to go to sleep last night. Does high blood sugar like that just happen sometimes? Like you try your best to get the number down but it just doesn't happen right away? In the scheme of things, is temporarily having numbers in the 200-225 range an immediate threat if you're sleeping? 
* Does anyone have any tips or "hacks"-- not like "short cuts" since this doesn't seem like the kind of thing where there are any, but more like "things you wish your doctors and the books had told you at the beginning." 
&amp;amp;#x200B;
Thanks for any reassurance and information you can give.</t>
        </is>
      </c>
      <c r="D6537" t="n">
        <v>11</v>
      </c>
      <c r="E6537" t="n">
        <v>16</v>
      </c>
      <c r="F6537">
        <f>HYPERLINK("https://www.reddit.com/r/diabetes/comments/bf00gw/not_eating_to_bring_down_blood_sugar_newly/")</f>
        <v/>
      </c>
      <c r="G6537" t="inlineStr">
        <is>
          <t>2019-04-19 07:53:29</t>
        </is>
      </c>
      <c r="H6537" t="inlineStr">
        <is>
          <t>Type 1</t>
        </is>
      </c>
    </row>
    <row r="6538">
      <c r="A6538" t="inlineStr">
        <is>
          <t>bf0n9p</t>
        </is>
      </c>
      <c r="B6538" t="inlineStr">
        <is>
          <t>Creating an app/game for newly diagnosed Diabetes type 1 patients</t>
        </is>
      </c>
      <c r="C6538" t="inlineStr">
        <is>
          <t>Hello, I'm a Media design student and am currently creating a lifestyle app for people (focussing on teens) with diabetes type 1. What I've read is that the biggest problem are: constantly having to check your blood, taking insuline and the long term complications. In the app I'm focussing on the last part: the longterm complications, if left untreated. How would you tell or show a just diagnosed teen what could happen if he/she doesn't take his/her diabetes well through an app?</t>
        </is>
      </c>
      <c r="D6538" t="n">
        <v>0</v>
      </c>
      <c r="E6538" t="n">
        <v>5</v>
      </c>
      <c r="F6538">
        <f>HYPERLINK("https://www.reddit.com/r/diabetes/comments/bf0n9p/creating_an_appgame_for_newly_diagnosed_diabetes/")</f>
        <v/>
      </c>
      <c r="G6538" t="inlineStr">
        <is>
          <t>2019-04-19 08:48:16</t>
        </is>
      </c>
      <c r="H6538" t="inlineStr">
        <is>
          <t>Type 1</t>
        </is>
      </c>
    </row>
    <row r="6539">
      <c r="A6539" t="inlineStr">
        <is>
          <t>bf0z2k</t>
        </is>
      </c>
      <c r="B6539" t="inlineStr">
        <is>
          <t>Dexcom G6 saying son’s blood sugars are 20. Finger strip test says 14! Help please.</t>
        </is>
      </c>
      <c r="C6539" t="inlineStr">
        <is>
          <t>I’ve given him too much insulin now.
I inserted a new G6 sensor this morning roughly 9 hours ago.
Any advice please?</t>
        </is>
      </c>
      <c r="D6539" t="n">
        <v>1</v>
      </c>
      <c r="E6539" t="n">
        <v>25</v>
      </c>
      <c r="F6539">
        <f>HYPERLINK("https://www.reddit.com/r/diabetes/comments/bf0z2k/dexcom_g6_saying_sons_blood_sugars_are_20_finger/")</f>
        <v/>
      </c>
      <c r="G6539" t="inlineStr">
        <is>
          <t>2019-04-19 09:16:16</t>
        </is>
      </c>
      <c r="H6539" t="inlineStr">
        <is>
          <t>Type 1</t>
        </is>
      </c>
    </row>
    <row r="6540">
      <c r="A6540" t="inlineStr">
        <is>
          <t>bf1qxi</t>
        </is>
      </c>
      <c r="B6540" t="inlineStr">
        <is>
          <t>Need more insulin in the morning?</t>
        </is>
      </c>
      <c r="C6540" t="inlineStr">
        <is>
          <t>It seems like I need much more insulin in the morning than in the afternoon or at night. Like, double or even triple sometimes. I'll have the exact same meal in the morning and in the afternoon and the numbers are always completely different. And I'm already accounting for things like exercise, stress, etc... The one factor that seems to really be making a difference is the time at which I eat. Does anyone else experience this?</t>
        </is>
      </c>
      <c r="D6540" t="n">
        <v>3</v>
      </c>
      <c r="E6540" t="n">
        <v>11</v>
      </c>
      <c r="F6540">
        <f>HYPERLINK("https://www.reddit.com/r/diabetes/comments/bf1qxi/need_more_insulin_in_the_morning/")</f>
        <v/>
      </c>
      <c r="G6540" t="inlineStr">
        <is>
          <t>2019-04-19 10:21:08</t>
        </is>
      </c>
      <c r="H6540" t="inlineStr">
        <is>
          <t>Type 1</t>
        </is>
      </c>
    </row>
    <row r="6541">
      <c r="A6541" t="inlineStr">
        <is>
          <t>bf2efn</t>
        </is>
      </c>
      <c r="B6541" t="inlineStr">
        <is>
          <t>[HELP ME PLEASE]</t>
        </is>
      </c>
      <c r="C6541" t="inlineStr">
        <is>
          <t>Hello ALL, I am new to the board and group and have read how supportive you all have been with just the encouragement and information. I just recently, had an A1C of 10 and have been reluctant of taking the metformin suggested by my physician but with new motivation such as employment and family aspirations. I come to ask what are my best steps to lowering my A1C to a 7, can this be done within a month, two or three. I am desperate and open to great advice, please guide me in the right direction. Thank You!</t>
        </is>
      </c>
      <c r="D6541" t="n">
        <v>1</v>
      </c>
      <c r="E6541" t="n">
        <v>21</v>
      </c>
      <c r="F6541">
        <f>HYPERLINK("https://www.reddit.com/r/diabetes/comments/bf2efn/help_me_please/")</f>
        <v/>
      </c>
      <c r="G6541" t="inlineStr">
        <is>
          <t>2019-04-19 11:17:16</t>
        </is>
      </c>
      <c r="H6541" t="inlineStr">
        <is>
          <t>Type 2</t>
        </is>
      </c>
    </row>
    <row r="6542">
      <c r="A6542" t="inlineStr">
        <is>
          <t>bf9x6a</t>
        </is>
      </c>
      <c r="B6542" t="inlineStr">
        <is>
          <t>Diabetes and Drugs</t>
        </is>
      </c>
      <c r="C6542" t="inlineStr">
        <is>
          <t>Can we all just discuss some ways we've found to make drug use and Diabetes a little easier?  
**Lesson 1:**  While smoking weed, bring slim jims/ cheese sticks/ beef jerky because munchies are a serious problem when you don't feel like counting carbs.  
**Lesson 2:**  Always check sugar before drinking, because I don't know if it's just me, but I do not feel lows as well when I'm drunk and it's kinda scary, so I always check before I get crippled and try to keep it a little higher in case it starts slowly lowering.
**Lesson 3:**  Don't forget that stimulants (coke, adderall, caffeine) can really dehydrate your body so insulin can become less effective.  On the other side of stimulants they can also lower blood sugar because of increased heart rate, etc. so check often and force yourself to eat something. 
**Lesson 4:**  When doing Hallucinogens (acid, shrooms, DMT) even without Diabetes it's important to have a sober trip sitter, but with Diabetes it's a whole different ball game.  Make sure the person who's watching over you knows how to check blood sugar, deal with lows, and use a Glucagon.  Because nothing is scarier than going low while tripping on acid.  
&amp;amp;#x200B;
Drugs are dangerous and bad, but nobody is gonna stop us from doing drugs, so we might as well be safe.</t>
        </is>
      </c>
      <c r="D6542" t="n">
        <v>446</v>
      </c>
      <c r="E6542" t="n">
        <v>115</v>
      </c>
      <c r="F6542">
        <f>HYPERLINK("https://www.reddit.com/r/diabetes/comments/bf9x6a/diabetes_and_drugs/")</f>
        <v/>
      </c>
      <c r="G6542" t="inlineStr">
        <is>
          <t>2019-04-20 00:57:45</t>
        </is>
      </c>
      <c r="H6542" t="inlineStr">
        <is>
          <t>Type 1</t>
        </is>
      </c>
    </row>
    <row r="6543">
      <c r="A6543" t="inlineStr">
        <is>
          <t>bfca3m</t>
        </is>
      </c>
      <c r="B6543" t="inlineStr">
        <is>
          <t>G6 restart “transmitter not found”</t>
        </is>
      </c>
      <c r="C6543" t="inlineStr">
        <is>
          <t>I’m attempting my first restart of a Dexcom sensor (because edgepark screwed up my order again) and following the iPhone restart instructions. However, after removing all from Bluetooth and stating a sensor with “no code” all I see in the app is “transmitter not found” and it’s attempting to pair every 5 minutes.  Anyone know how to restart the sensor if this happens? Also, is there a different process to follow? 
Thank you!</t>
        </is>
      </c>
      <c r="D6543" t="n">
        <v>2</v>
      </c>
      <c r="E6543" t="n">
        <v>0</v>
      </c>
      <c r="F6543">
        <f>HYPERLINK("https://www.reddit.com/r/diabetes/comments/bfca3m/g6_restart_transmitter_not_found/")</f>
        <v/>
      </c>
      <c r="G6543" t="inlineStr">
        <is>
          <t>2019-04-20 06:39:29</t>
        </is>
      </c>
      <c r="H6543" t="inlineStr">
        <is>
          <t>Type 1</t>
        </is>
      </c>
    </row>
    <row r="6544">
      <c r="A6544" t="inlineStr">
        <is>
          <t>bffmug</t>
        </is>
      </c>
      <c r="B6544" t="inlineStr">
        <is>
          <t>Is it possible to lose weight?</t>
        </is>
      </c>
      <c r="C6544" t="inlineStr">
        <is>
          <t>I’ve been a diabetic 8 years and I’m only 20. Over the years my weight has crept up on me, and I’m now 150 lbs at 5’5. I’m not too terribly overweight but heavier than I’d like to be. Will eating low carb make me lose weight? Or will I end up having ketones? I’m just looking for any tips or advice from diabetics who have lost weight without having any side effects or  damage to their body/blood sugars.</t>
        </is>
      </c>
      <c r="D6544" t="n">
        <v>5</v>
      </c>
      <c r="E6544" t="n">
        <v>11</v>
      </c>
      <c r="F6544">
        <f>HYPERLINK("https://www.reddit.com/r/diabetes/comments/bffmug/is_it_possible_to_lose_weight/")</f>
        <v/>
      </c>
      <c r="G6544" t="inlineStr">
        <is>
          <t>2019-04-20 11:49:39</t>
        </is>
      </c>
      <c r="H6544" t="inlineStr">
        <is>
          <t>Type 1</t>
        </is>
      </c>
    </row>
    <row r="6545">
      <c r="A6545" t="inlineStr">
        <is>
          <t>bfhglf</t>
        </is>
      </c>
      <c r="B6545" t="inlineStr">
        <is>
          <t>Extra Medtronic Minimed Pump Supplies</t>
        </is>
      </c>
      <c r="C6545" t="inlineStr">
        <is>
          <t>Hi,
I have a few boxes of extra pump supplies that I don't need. They've been sitting on a shelf for a couple years but some still have a little time before the expiration date. I also have some expired ones if anyone is in desperate need.
&amp;amp;#x200B;
I have the following:
* Minimed Reservoirs
* Minimed Silhouette
* Medtronic Silhouette Infusion Sets (older/expired)
* Medtronic Paradigm Reservoirs (older/expired)
&amp;amp;#x200B;
I checked the lot #s and they appear to be recall-free as well. Will cover the shipping anywhere to someone in need. Here's a pic of the different boxes (I have more than just the 4 I used for the picture).
https://i.redd.it/sdythldkmht21.jpg</t>
        </is>
      </c>
      <c r="D6545" t="n">
        <v>9</v>
      </c>
      <c r="E6545" t="n">
        <v>2</v>
      </c>
      <c r="F6545">
        <f>HYPERLINK("https://www.reddit.com/r/diabetes/comments/bfhglf/extra_medtronic_minimed_pump_supplies/")</f>
        <v/>
      </c>
      <c r="G6545" t="inlineStr">
        <is>
          <t>2019-04-20 14:42:06</t>
        </is>
      </c>
      <c r="H6545" t="inlineStr">
        <is>
          <t>Type 1</t>
        </is>
      </c>
    </row>
    <row r="6546">
      <c r="A6546" t="inlineStr">
        <is>
          <t>bfiju3</t>
        </is>
      </c>
      <c r="B6546" t="inlineStr">
        <is>
          <t>Can depression and stress partnered with difficulty controlling blood sugar levels lead the body to experience STD/HIV like symptoms?</t>
        </is>
      </c>
      <c r="C6546" t="inlineStr">
        <is>
          <t>I'm a diabetic and have been for about 20 years now. 
I'm currently unemployed and dealing with a lot emotionally, so I suffer from depression and major anxiety.
Ever since I left my first ever job of 5 years I noticed I began to experience STD like symptoms. I was sexually active (and still am right now) so I decided to go to the clinic to get tested for HIV and STDs. The results all came back as negative (thank God) but I am currently experiencing some symptoms such as:
Enlarged lymph nodes in the arm pits
**Jock itch**
**Sores in my mouth**
**White tongue**
**Occasional face rash**
**Brain fog**
**Weird bowel movements/excessive (and smelly) gassiness**  
Because I've been so stressed out this past year I've also found it very difficult to eat or sleep and also difficult to manage my blood sugar levels. I wake up in the middle of the night with low blood sugars at least 2-3 times a week, and also experience high blood sugar as well. 
Right now has been such a rollercoaster of emotions and the symptoms I'm experiencing are a bit unhinging. 
I thought for sure I had some sort of STD or even HIV but they ran all kinds of tests and found I was clear of everything. 
So I know there could be other things that are wrong, but I was wondering if it is a possibility for stress+depression+poorly managed diabetes to cause these types of symptoms?
I just got a job and will be starting soon (thank god) but it will be some time before I am back on my feet. I currently have no money and do not have insurance (parents are helping with getting medication), so I will within the next few months plan a trip to the doctors to see if there is anything seriously wrong with me. 
Just wanted to post on here to see if this could all be just because of my currently stressful situation. Hoping to hear from people who have maybe experienced this before... 
Thank you.</t>
        </is>
      </c>
      <c r="D6546" t="n">
        <v>7</v>
      </c>
      <c r="E6546" t="n">
        <v>14</v>
      </c>
      <c r="F6546">
        <f>HYPERLINK("https://www.reddit.com/r/diabetes/comments/bfiju3/can_depression_and_stress_partnered_with/")</f>
        <v/>
      </c>
      <c r="G6546" t="inlineStr">
        <is>
          <t>2019-04-20 16:34:47</t>
        </is>
      </c>
      <c r="H6546" t="inlineStr">
        <is>
          <t>Type 1</t>
        </is>
      </c>
    </row>
    <row r="6547">
      <c r="A6547" t="inlineStr">
        <is>
          <t>bfiu9p</t>
        </is>
      </c>
      <c r="B6547" t="inlineStr">
        <is>
          <t>Still kinda new to this, I have some questions</t>
        </is>
      </c>
      <c r="C6547" t="inlineStr">
        <is>
          <t>What are the long term effects of high blood sugar?
What are the long term effects of frequent spiking? What is classified as a spike, does it mean you go out of your recommended blood glucose range or does it just mean a sharp increase or both? 
Are spoke ok every now and then, if so then what should the minimum time interval in between spikes be to avoid long term effects?
I’ve heard about insulin resistance, what precautions should I take to avoid it ?</t>
        </is>
      </c>
      <c r="D6547" t="n">
        <v>2</v>
      </c>
      <c r="E6547" t="n">
        <v>4</v>
      </c>
      <c r="F6547">
        <f>HYPERLINK("https://www.reddit.com/r/diabetes/comments/bfiu9p/still_kinda_new_to_this_i_have_some_questions/")</f>
        <v/>
      </c>
      <c r="G6547" t="inlineStr">
        <is>
          <t>2019-04-20 17:04:18</t>
        </is>
      </c>
      <c r="H6547" t="inlineStr">
        <is>
          <t>Type 1</t>
        </is>
      </c>
    </row>
    <row r="6548">
      <c r="A6548" t="inlineStr">
        <is>
          <t>bfkdw2</t>
        </is>
      </c>
      <c r="B6548" t="inlineStr">
        <is>
          <t>Thinking about trying out the Freestyle Libre</t>
        </is>
      </c>
      <c r="C6548" t="inlineStr">
        <is>
          <t>I've been living with T1D for 20 years now, and I've done my research and the Libre looks like the best option for me. My one question for ones who have or is currently using it is, how well does the 14 day sensor stay on with working out and working in a physical demanding work environment?</t>
        </is>
      </c>
      <c r="D6548" t="n">
        <v>2</v>
      </c>
      <c r="E6548" t="n">
        <v>5</v>
      </c>
      <c r="F6548">
        <f>HYPERLINK("https://www.reddit.com/r/diabetes/comments/bfkdw2/thinking_about_trying_out_the_freestyle_libre/")</f>
        <v/>
      </c>
      <c r="G6548" t="inlineStr">
        <is>
          <t>2019-04-20 19:53:49</t>
        </is>
      </c>
      <c r="H6548" t="inlineStr">
        <is>
          <t>Type 1</t>
        </is>
      </c>
    </row>
    <row r="6549">
      <c r="A6549" t="inlineStr">
        <is>
          <t>bfkve7</t>
        </is>
      </c>
      <c r="B6549" t="inlineStr">
        <is>
          <t>Trying to help my 67yr. Old Mum with her T2.</t>
        </is>
      </c>
      <c r="C6549" t="inlineStr">
        <is>
          <t>She has had diabetes for about 11 years now and is taking medication and insulin to control it. Her latest test was 8 A1c.
She has also had a heart bypass about 10 years ago and our GP has said that makes it more concerning with this high A1c of 8
&amp;amp;#x200B;
\*\*Need help with:\*\*
&amp;amp;#x200B;
\- Her diet: She currently eats a fair bit of carbs on a regular basis (bread, rice, bananas etc) as well as an ice cream/ chocolate about once a week.
I am trying to understand if a bit of sweet and carbs is ok or should it be reduced to nil.
&amp;amp;#x200B;
\- Her sugar level drops real low at times (2.6 ish) and she gets light headed. This seems to happen quite often - about once a week.
Not sure why this happens and how to prevent it.</t>
        </is>
      </c>
      <c r="D6549" t="n">
        <v>3</v>
      </c>
      <c r="E6549" t="n">
        <v>6</v>
      </c>
      <c r="F6549">
        <f>HYPERLINK("https://www.reddit.com/r/diabetes/comments/bfkve7/trying_to_help_my_67yr_old_mum_with_her_t2/")</f>
        <v/>
      </c>
      <c r="G6549" t="inlineStr">
        <is>
          <t>2019-04-20 20:51:52</t>
        </is>
      </c>
      <c r="H6549" t="inlineStr">
        <is>
          <t>Type 2</t>
        </is>
      </c>
    </row>
    <row r="6550">
      <c r="A6550" t="inlineStr">
        <is>
          <t>bfm97j</t>
        </is>
      </c>
      <c r="B6550" t="inlineStr">
        <is>
          <t>3 questions:</t>
        </is>
      </c>
      <c r="C6550" t="inlineStr">
        <is>
          <t>Question one: what is your highest bg value (American or english) you’ve ever had
Question two: what is the stupidest and most outrageous question you’ve ever been asked about t1d
Question three: what is your lowest bg value (american or english) youve ever had</t>
        </is>
      </c>
      <c r="D6550" t="n">
        <v>4</v>
      </c>
      <c r="E6550" t="n">
        <v>15</v>
      </c>
      <c r="F6550">
        <f>HYPERLINK("https://www.reddit.com/r/diabetes/comments/bfm97j/3_questions/")</f>
        <v/>
      </c>
      <c r="G6550" t="inlineStr">
        <is>
          <t>2019-04-21 00:03:25</t>
        </is>
      </c>
      <c r="H6550" t="inlineStr">
        <is>
          <t>Type 1</t>
        </is>
      </c>
    </row>
    <row r="6551">
      <c r="A6551" t="inlineStr">
        <is>
          <t>bfnl2y</t>
        </is>
      </c>
      <c r="B6551" t="inlineStr">
        <is>
          <t>Lifestyle app/game for teens with newly diabetes</t>
        </is>
      </c>
      <c r="C6551" t="inlineStr">
        <is>
          <t>Hello! Im a Computer Science &amp;amp; Media Design student and for school we have to create an app/game to improve the lives of teens with diabetes Type 1. Before anyone judges me, I have an auto immune disease myself, so I know how it feels like when someone talks about your health like they know everything, which is why I'm here for advice and feedback. 
This is the idea for the app:
So right now I'm focussing on the beginning part, when you just get diagnosed. I did some interviews with people who have Diabetes T1 and they told me the first few months are the most hectic. So I'm trying to focus on that.
Right now the idea is to have an app that reminds you when to measure and when to take insuline. By doing that you can 'grow/win' one item per day (the gamify aspect). The item will reflect how your day was&amp;amp;values and will be saved. So when you have more items, it's basically a little diary of data.
Another part I want to have the app to have, is a personalized experience. So the app will learn from your data and gives you advice based upon that for example: When you're low &amp;amp; high and to recognize patterns.
Something else is that teens usually feel left out, like they are the only ones especially with a chronic disease. So a little community will be build in it. Where you can see other people their item/object of the day so you can see how they are doing. For example if you're having a bad day with a high bloodsugar level, you see you're not the only one.
I would love some feedback and how you guys think about this. It's a really tough assignment and I don't just wanna take it lightly, and wanna try to make something good out of it. Thanks in advance</t>
        </is>
      </c>
      <c r="D6551" t="n">
        <v>0</v>
      </c>
      <c r="E6551" t="n">
        <v>5</v>
      </c>
      <c r="F6551">
        <f>HYPERLINK("https://www.reddit.com/r/diabetes/comments/bfnl2y/lifestyle_appgame_for_teens_with_newly_diabetes/")</f>
        <v/>
      </c>
      <c r="G6551" t="inlineStr">
        <is>
          <t>2019-04-21 03:44:32</t>
        </is>
      </c>
      <c r="H6551" t="inlineStr">
        <is>
          <t>Type 1</t>
        </is>
      </c>
    </row>
    <row r="6552">
      <c r="A6552" t="inlineStr">
        <is>
          <t>bfoobr</t>
        </is>
      </c>
      <c r="B6552" t="inlineStr">
        <is>
          <t>Diabetes app for reminders?</t>
        </is>
      </c>
      <c r="C6552" t="inlineStr">
        <is>
          <t>Hey r/diabetes!
I've had type 1 diabetes for about 14 years and have never really used any sort of program to keep track of my insulin and glucose. It's been working fine for the most part and the reminders I get from my pump is usually enough. I have however realised pretty recently that I tend to ignore my reminders and go several hours without even checking my glucose. 
&amp;amp;#x200B;
So I'm wondering if there are any apps or other devices you guys use to remind yourself to take insulin etc. I live in Sweden if that is worth any consideration.
&amp;amp;#x200B;
Thanks!</t>
        </is>
      </c>
      <c r="D6552" t="n">
        <v>2</v>
      </c>
      <c r="E6552" t="n">
        <v>4</v>
      </c>
      <c r="F6552">
        <f>HYPERLINK("https://www.reddit.com/r/diabetes/comments/bfoobr/diabetes_app_for_reminders/")</f>
        <v/>
      </c>
      <c r="G6552" t="inlineStr">
        <is>
          <t>2019-04-21 06:14:35</t>
        </is>
      </c>
      <c r="H6552" t="inlineStr">
        <is>
          <t>Type 1</t>
        </is>
      </c>
    </row>
    <row r="6553">
      <c r="A6553" t="inlineStr">
        <is>
          <t>bfpusz</t>
        </is>
      </c>
      <c r="B6553" t="inlineStr">
        <is>
          <t>Birth Control and BG</t>
        </is>
      </c>
      <c r="C6553" t="inlineStr">
        <is>
          <t>I recently found out that I have PCOS so I have had to go back on birth control to regularize my period. Since I have been back on it my BG has been out of control. I spike to 300+ following every meal and need to take double of my usual correction dose to bring it down a little. My basal has increased by ~25% and ill have to tinker with that because it’s still not great. 
Basically I’ve become super insulin resistant since going back on birth control. I take ortho-tricycle lo. My gyno also recommended that I just take a 10 day course of progesterone every 3 months to induce bleeding. But I wanted to try to BC first since it’s something I was more familiar with. Have any of you had issues with BG control while on BC? How about Progesterone only?? I’m prob going to have to switch to that now, so any info on that would be great!!!</t>
        </is>
      </c>
      <c r="D6553" t="n">
        <v>8</v>
      </c>
      <c r="E6553" t="n">
        <v>19</v>
      </c>
      <c r="F6553">
        <f>HYPERLINK("https://www.reddit.com/r/diabetes/comments/bfpusz/birth_control_and_bg/")</f>
        <v/>
      </c>
      <c r="G6553" t="inlineStr">
        <is>
          <t>2019-04-21 08:17:57</t>
        </is>
      </c>
      <c r="H6553" t="inlineStr">
        <is>
          <t>Type 1</t>
        </is>
      </c>
    </row>
    <row r="6554">
      <c r="A6554" t="inlineStr">
        <is>
          <t>bfspxl</t>
        </is>
      </c>
      <c r="B6554" t="inlineStr">
        <is>
          <t>Feeling like a burden</t>
        </is>
      </c>
      <c r="C6554" t="inlineStr">
        <is>
          <t>No matter what, I always feel like a burden, to my family at first, then I moved to uni. Now my girlfreind. I just always feel like my illness shouldnt make other people worry or panic about anything. My family still worry and text me to check but not as much as they used too. But my partner. Damn. Shes so caring and considerate always asking what my sugar level is and asking if I've recently done insulin but when she does I just feel so bad. I'ts meant to be me dealing with it day in day out but instead she's always thinking about it.
I think its down to my lack of control. Makes her worrybut I really find it hard to control my sugars. I dunno. Just thought I would ask for some advice. Thanks for reading.</t>
        </is>
      </c>
      <c r="D6554" t="n">
        <v>10</v>
      </c>
      <c r="E6554" t="n">
        <v>7</v>
      </c>
      <c r="F6554">
        <f>HYPERLINK("https://www.reddit.com/r/diabetes/comments/bfspxl/feeling_like_a_burden/")</f>
        <v/>
      </c>
      <c r="G6554" t="inlineStr">
        <is>
          <t>2019-04-21 12:41:31</t>
        </is>
      </c>
      <c r="H6554" t="inlineStr">
        <is>
          <t>Type 1</t>
        </is>
      </c>
    </row>
    <row r="6555">
      <c r="A6555" t="inlineStr">
        <is>
          <t>bfx653</t>
        </is>
      </c>
      <c r="B6555" t="inlineStr">
        <is>
          <t>Diagnosed with Type 2 last Monday-</t>
        </is>
      </c>
      <c r="C6555" t="inlineStr">
        <is>
          <t>Hi everyone, I am new member of the community, I was diagnosed with Type 2, and I would like your suggestions, advice on many things. 
My A1C was 12.6, and the Doctor has prescribed me a 20 unit of Insulin every night before bed time, and a Pravastatin 1 tablet/ day. Moreover I have been asked to monitor my fasting sugar. I have my diabetes education class tomorrow. 
I am still getting used to these things, as this is a big change for me. Having said that, reading a lot of posts on this community gives me hope, and optimism. I have a few questions, I wish to seek answers- 
1. I like to sample beers (not an alcoholic, or abuse alcohol in any way), but with my recent diagnosis, how’s it going to affect this hobby of mine? (I haven’t drank since last week since I want to get educated). Can I still drink? Provided the fact that I am taking insulin shots? 
2. I am also someone who likes to camp, and go on long road trips, so, how do I manage my new medicinal regimen while doing the things I love. 
3. What type of physical exercises I should do? Currently I spend around 210 mins per week working out (includes Swimming, cardio, strength exercises). 
Any other recommendations. Thank you in advance.</t>
        </is>
      </c>
      <c r="D6555" t="n">
        <v>7</v>
      </c>
      <c r="E6555" t="n">
        <v>7</v>
      </c>
      <c r="F6555">
        <f>HYPERLINK("https://www.reddit.com/r/diabetes/comments/bfx653/diagnosed_with_type_2_last_monday/")</f>
        <v/>
      </c>
      <c r="G6555" t="inlineStr">
        <is>
          <t>2019-04-21 20:02:07</t>
        </is>
      </c>
      <c r="H6555" t="inlineStr">
        <is>
          <t>Type 2</t>
        </is>
      </c>
    </row>
    <row r="6556">
      <c r="A6556" t="inlineStr">
        <is>
          <t>bg2xwb</t>
        </is>
      </c>
      <c r="B6556" t="inlineStr">
        <is>
          <t>Help gaining mass</t>
        </is>
      </c>
      <c r="C6556" t="inlineStr">
        <is>
          <t>I know this isn't what this subreddit is meant for but I'll appreciate any advice.
I'm a tall (187 cm) and skinny (67kg) 24 year old with fast metabolism. I've been going to the gym regularly since I was 17 and I was making significant progress with my body but then, at the age of 19 I was diagnosed with diabetes and lost all my progress. Since then I've made new progress but recently I've started to feel stuck. I know that because of my complexion, metabolism and condition I can't become the rock or something like that but I would love to gain 7-8 kg more. My eating habits are determined by my condition, that means not a lot of carbs (only at main meals), zero sugar, not hyper caloric protein shakes or non isolated supplements. I have good sleeping habits, don't drink a lot, don't smoke. Plus I gotta do cardio at least 3 times a week to maintain my sugar levels, but I would like to know if it's better at the beginning of my training or at the end.
Thanks in advance</t>
        </is>
      </c>
      <c r="D6556" t="n">
        <v>3</v>
      </c>
      <c r="E6556" t="n">
        <v>18</v>
      </c>
      <c r="F6556">
        <f>HYPERLINK("https://www.reddit.com/r/diabetes/comments/bg2xwb/help_gaining_mass/")</f>
        <v/>
      </c>
      <c r="G6556" t="inlineStr">
        <is>
          <t>2019-04-22 07:46:53</t>
        </is>
      </c>
      <c r="H6556" t="inlineStr">
        <is>
          <t>Type 1</t>
        </is>
      </c>
    </row>
    <row r="6557">
      <c r="A6557" t="inlineStr">
        <is>
          <t>bgb5vn</t>
        </is>
      </c>
      <c r="B6557" t="inlineStr">
        <is>
          <t>What apps do you use for t: slim x2 and g6 Dexcom?</t>
        </is>
      </c>
      <c r="C6557" t="inlineStr">
        <is>
          <t>Hi All,
Just got hooked up to t:slim2 and was wondering what do people use to combine the data from t: slim and Dexcom to view it in one spot?
Thanks!</t>
        </is>
      </c>
      <c r="D6557" t="n">
        <v>3</v>
      </c>
      <c r="E6557" t="n">
        <v>2</v>
      </c>
      <c r="F6557">
        <f>HYPERLINK("https://www.reddit.com/r/diabetes/comments/bgb5vn/what_apps_do_you_use_for_t_slim_x2_and_g6_dexcom/")</f>
        <v/>
      </c>
      <c r="G6557" t="inlineStr">
        <is>
          <t>2019-04-22 19:57:43</t>
        </is>
      </c>
      <c r="H6557" t="inlineStr">
        <is>
          <t>Type 1</t>
        </is>
      </c>
    </row>
    <row r="6558">
      <c r="A6558" t="inlineStr">
        <is>
          <t>bgdgqw</t>
        </is>
      </c>
      <c r="B6558" t="inlineStr">
        <is>
          <t>What should I do?</t>
        </is>
      </c>
      <c r="C6558" t="inlineStr">
        <is>
          <t>Hello everyone. First post hereso sorry for any mistakes. So i've been a disbetic for almost 3 years nows and i'm still preety young. Due to how bad my school nurse was I switched to homeschool so I can control my numbers better, it was all nice until 2 week after I switched... I had a high number (I think like 230) and my mom threatened me to put me back in public school,it took her about an hour to calm me down and my situation has just gotten worse. I stared to hear this "second guessing" voice in my head and just everything is painful. My family and I are trying to get me a CGM but i'm not sure due to doctors telling me I could go into DKA. Also with that I had some family issues so I didn't do schoolwork for a little. For the past 2 months i've been catching up and my mental state has just been slowly getting worse. I'm going to threay but it's still every little prick to check or shot to take almost puts me in tears sometimes. I haven't been able to do anything that's "fun" for me either, idk what to do at this point. To get my numbers low I'm thinking of just not eating, you guys got any way to help with any of this? If you can't it's okay.</t>
        </is>
      </c>
      <c r="D6558" t="n">
        <v>1</v>
      </c>
      <c r="E6558" t="n">
        <v>3</v>
      </c>
      <c r="F6558">
        <f>HYPERLINK("https://www.reddit.com/r/diabetes/comments/bgdgqw/what_should_i_do/")</f>
        <v/>
      </c>
      <c r="G6558" t="inlineStr">
        <is>
          <t>2019-04-23 00:23:39</t>
        </is>
      </c>
      <c r="H6558" t="inlineStr">
        <is>
          <t>Type 1</t>
        </is>
      </c>
    </row>
    <row r="6559">
      <c r="A6559" t="inlineStr">
        <is>
          <t>bgekiu</t>
        </is>
      </c>
      <c r="B6559" t="inlineStr">
        <is>
          <t>TIL that exercise is a REAL alternative to insulin - hear me out</t>
        </is>
      </c>
      <c r="C6559" t="inlineStr">
        <is>
          <t>I'm concerned that people will think I'm saying that diabetics can do without insulin COMPLETELY here.  I'm not though, so hear me out.
Diabetics (especially type 2s, but also type 1s) often hear about the importance of exercise in stabilising blood sugars vs insulin resistance etc.  I always thought this was a secondary effect kind of thing: that exercise isn't really an alternative to insulin, but might help improve blood flow or something like that.
Turns out, what ACTUALLY happens is that GLUT4, the "transporters" that get glucose into cells, can be activated by insulin OR exercise.  So it's exactly true that the more exercise you do, the less insulin you need.
I'm not saying that type 1s no longer need insulin if they exercise a lot, but needing to inject LESS insulin is really important, because less injected insulin means less chance of hypos, etc.  If we can do more exercise, then the body is regulating that glucose uptake more, taking more of the burden off us as diabetics.
I really wish I'd probed this more when told to exercise, because now it seems like much less of a wishy-washy "oh, exercise is good for you" thing, and much more of a "Do this, and you'll directly improve your condition" thing.
 [https://en.wikipedia.org/wiki/GLUT4](https://en.wikipedia.org/wiki/GLUT4)</t>
        </is>
      </c>
      <c r="D6559" t="n">
        <v>0</v>
      </c>
      <c r="E6559" t="n">
        <v>15</v>
      </c>
      <c r="F6559">
        <f>HYPERLINK("https://www.reddit.com/r/diabetes/comments/bgekiu/til_that_exercise_is_a_real_alternative_to/")</f>
        <v/>
      </c>
      <c r="G6559" t="inlineStr">
        <is>
          <t>2019-04-23 03:01:08</t>
        </is>
      </c>
      <c r="H6559" t="inlineStr">
        <is>
          <t>Type 1</t>
        </is>
      </c>
    </row>
    <row r="6560">
      <c r="A6560" t="inlineStr">
        <is>
          <t>bghp6h</t>
        </is>
      </c>
      <c r="B6560" t="inlineStr">
        <is>
          <t>Tight control pays off :)</t>
        </is>
      </c>
      <c r="C6560" t="inlineStr">
        <is>
          <t xml:space="preserve"> For those of us who worry about the inevitability of complications and their progression.  
Had to visit the Opthalmic clinic today for a Retinopathy check up.  
Been every 6 months for the last couple of years.  
Today...  
The beautiful Dr Olga, discharged me fully from the clinic and back into the normal screening service!  
I know it sounds small, but I've gone from having a rapid onset of retinopathy in both eyes, to no change over the last 18months! 📷
My HbA1c in the same period has been between 42 and 47.  
I'm bloody delighted!!!  
Tight control and little changes can and do make a big difference.</t>
        </is>
      </c>
      <c r="D6560" t="n">
        <v>58</v>
      </c>
      <c r="E6560" t="n">
        <v>17</v>
      </c>
      <c r="F6560">
        <f>HYPERLINK("https://www.reddit.com/r/diabetes/comments/bghp6h/tight_control_pays_off/")</f>
        <v/>
      </c>
      <c r="G6560" t="inlineStr">
        <is>
          <t>2019-04-23 08:27:40</t>
        </is>
      </c>
      <c r="H6560" t="inlineStr">
        <is>
          <t>Type 1.5/LADA</t>
        </is>
      </c>
    </row>
    <row r="6561">
      <c r="A6561" t="inlineStr">
        <is>
          <t>bghvt8</t>
        </is>
      </c>
      <c r="B6561" t="inlineStr">
        <is>
          <t>Tresiba and weight gain? Does lowering Tresiba does decrease weight?</t>
        </is>
      </c>
      <c r="C6561" t="inlineStr">
        <is>
          <t>Hey,
&amp;amp;#x200B;
Anyone have experience od Tresiba and weight gain? Does lowering the Tresiba dose also helps weight loss?</t>
        </is>
      </c>
      <c r="D6561" t="n">
        <v>2</v>
      </c>
      <c r="E6561" t="n">
        <v>6</v>
      </c>
      <c r="F6561">
        <f>HYPERLINK("https://www.reddit.com/r/diabetes/comments/bghvt8/tresiba_and_weight_gain_does_lowering_tresiba/")</f>
        <v/>
      </c>
      <c r="G6561" t="inlineStr">
        <is>
          <t>2019-04-23 08:43:21</t>
        </is>
      </c>
      <c r="H6561" t="inlineStr">
        <is>
          <t>Type 1</t>
        </is>
      </c>
    </row>
    <row r="6562">
      <c r="A6562" t="inlineStr">
        <is>
          <t>bgjmzt</t>
        </is>
      </c>
      <c r="B6562" t="inlineStr">
        <is>
          <t>Aww crap, messed up my lunch bolus</t>
        </is>
      </c>
      <c r="C6562" t="inlineStr">
        <is>
          <t>Using my pen at lunch, I prime with two units, and needed 4 to cover lunch (crepes). Primed, then loaded 2 units (to prime)instead of the 4. Been floating around 8.5 mmol all afternoon... sigh</t>
        </is>
      </c>
      <c r="D6562" t="n">
        <v>4</v>
      </c>
      <c r="E6562" t="n">
        <v>2</v>
      </c>
      <c r="F6562">
        <f>HYPERLINK("https://www.reddit.com/r/diabetes/comments/bgjmzt/aww_crap_messed_up_my_lunch_bolus/")</f>
        <v/>
      </c>
      <c r="G6562" t="inlineStr">
        <is>
          <t>2019-04-23 11:08:57</t>
        </is>
      </c>
      <c r="H6562" t="inlineStr">
        <is>
          <t>Type 1.5/LADA</t>
        </is>
      </c>
    </row>
    <row r="6563">
      <c r="A6563" t="inlineStr">
        <is>
          <t>bgot5i</t>
        </is>
      </c>
      <c r="B6563" t="inlineStr">
        <is>
          <t>Questions for freestyle libre users</t>
        </is>
      </c>
      <c r="C6563" t="inlineStr">
        <is>
          <t>Hey all! 
I just got set up with my Freestyle Libre today (just waiting for the sensor to finish setting up) and I just thought of a few questions that I didn't have a chance to ask. Hopefully I can get some insight here. 
&amp;amp;#x200B;
First question: Do I have to take any extra precaution when showering? It seems weird to me that I would have to, but also weird to me if I didn't have to. 
Second: I just started going for runs and I sweat a lot. Will that be a problem for the sensor? 
That's all I've got right now, thanks for your help!</t>
        </is>
      </c>
      <c r="D6563" t="n">
        <v>2</v>
      </c>
      <c r="E6563" t="n">
        <v>14</v>
      </c>
      <c r="F6563">
        <f>HYPERLINK("https://www.reddit.com/r/diabetes/comments/bgot5i/questions_for_freestyle_libre_users/")</f>
        <v/>
      </c>
      <c r="G6563" t="inlineStr">
        <is>
          <t>2019-04-23 18:53:25</t>
        </is>
      </c>
      <c r="H6563" t="inlineStr">
        <is>
          <t>Type 1</t>
        </is>
      </c>
    </row>
    <row r="6564">
      <c r="A6564" t="inlineStr">
        <is>
          <t>bgp4se</t>
        </is>
      </c>
      <c r="B6564" t="inlineStr">
        <is>
          <t>So am I wrong? Military Health Care</t>
        </is>
      </c>
      <c r="C6564" t="inlineStr">
        <is>
          <t>My husband is currently stationed at a base where we are 3 hours from an Endocrinologist. 
The base claims I can have all my diabetes care done through my primary care provider on base.  I'm just not comfortable with that.
I'm 30. Diagnosed at 26. MDI and Dexcom. A1c before moving here was 5.5 now, a year later, is a 7.2. I have Gastroparesis but no other complications. 
My husband and I want to start a family but I dont think that is possible without a tighter blood sugar control and access to an Endo and a high risk OB.
Is it wrong to request a medical transfer to a base closer to medical care?
I know I meet the criteria, but do you think that's morally wrong? Should I just tough it out?
Husband is supportive,  friends are not.</t>
        </is>
      </c>
      <c r="D6564" t="n">
        <v>7</v>
      </c>
      <c r="E6564" t="n">
        <v>3</v>
      </c>
      <c r="F6564">
        <f>HYPERLINK("https://www.reddit.com/r/diabetes/comments/bgp4se/so_am_i_wrong_military_health_care/")</f>
        <v/>
      </c>
      <c r="G6564" t="inlineStr">
        <is>
          <t>2019-04-23 19:24:14</t>
        </is>
      </c>
      <c r="H6564" t="inlineStr">
        <is>
          <t>Type 1</t>
        </is>
      </c>
    </row>
    <row r="6565">
      <c r="A6565" t="inlineStr">
        <is>
          <t>bgpp10</t>
        </is>
      </c>
      <c r="B6565" t="inlineStr">
        <is>
          <t>Just ordered my first Dexcom!!</t>
        </is>
      </c>
      <c r="C6565" t="inlineStr">
        <is>
          <t>It’s in the mail and on it’s way and I’m so excited! I’ve been struggling with a Medtronic CGM for the last year and am finally making the switch. Any advice for a first time Dexcom user? Anything I should know? And what’s the best place to get those cute decorated patches that go around the sensor, they look awesome.</t>
        </is>
      </c>
      <c r="D6565" t="n">
        <v>4</v>
      </c>
      <c r="E6565" t="n">
        <v>3</v>
      </c>
      <c r="F6565">
        <f>HYPERLINK("https://www.reddit.com/r/diabetes/comments/bgpp10/just_ordered_my_first_dexcom/")</f>
        <v/>
      </c>
      <c r="G6565" t="inlineStr">
        <is>
          <t>2019-04-23 20:19:29</t>
        </is>
      </c>
      <c r="H6565" t="inlineStr">
        <is>
          <t>Type 1</t>
        </is>
      </c>
    </row>
    <row r="6566">
      <c r="A6566" t="inlineStr">
        <is>
          <t>bgpyoc</t>
        </is>
      </c>
      <c r="B6566" t="inlineStr">
        <is>
          <t>Question about pump and Bolus rate for carb consumption</t>
        </is>
      </c>
      <c r="C6566" t="inlineStr">
        <is>
          <t>So I’ve been T1 for a year now, and just received my first pump (T-Slim whatever thing). When I used short-acting pens, before a meal, they’d usually do a decent job of covering whatever carbs I’d be eating. But, now when I count carbs and do the same for the Bolus in my pump, it’s spread out over 3 hours. So if I eat some carbs, my sugar immediately shoots up to 300, then slowly goes back down, instead of “here’s a bunch of insulin to cover the carbs you’ll be consuming now”. Is there anything I’m missing? It’s really pissing me off, and my sugar is just high most of the time where it used to be much better controlled.</t>
        </is>
      </c>
      <c r="D6566" t="n">
        <v>2</v>
      </c>
      <c r="E6566" t="n">
        <v>3</v>
      </c>
      <c r="F6566">
        <f>HYPERLINK("https://www.reddit.com/r/diabetes/comments/bgpyoc/question_about_pump_and_bolus_rate_for_carb/")</f>
        <v/>
      </c>
      <c r="G6566" t="inlineStr">
        <is>
          <t>2019-04-23 20:48:10</t>
        </is>
      </c>
      <c r="H6566" t="inlineStr">
        <is>
          <t>Type 1</t>
        </is>
      </c>
    </row>
    <row r="6567">
      <c r="A6567" t="inlineStr">
        <is>
          <t>bgqi8g</t>
        </is>
      </c>
      <c r="B6567" t="inlineStr">
        <is>
          <t>Can irregular blood sugar levels cause arthritis like pain (or actual arthritis) in the arm/wrist/hand?</t>
        </is>
      </c>
      <c r="C6567" t="inlineStr">
        <is>
          <t>Recently I've noticed I've been experiencing intense pains in my left arm, hand, and wrist. 
The pain in my hand is in my knuckles and is a painful throbbing. The pain in my wrist feels like I slept on it for hours (it's not throbbing but very sore), and the pain in my arm is like a warm burning sensation (it starts in my elbow, then works its way down my arm toward my hand). 
For a long time I wasn't sure what was causing this pain, but I realized whenever my blood sugar went either really high or really low it triggered these pains.
I also noticed when I have really high blood sugars my shoulder starts hurting and the pain travels up my neck.
Can anyone please confirm or maybe correct me about whether the irregular blood sugar levels are causing this pain?</t>
        </is>
      </c>
      <c r="D6567" t="n">
        <v>3</v>
      </c>
      <c r="E6567" t="n">
        <v>4</v>
      </c>
      <c r="F6567">
        <f>HYPERLINK("https://www.reddit.com/r/diabetes/comments/bgqi8g/can_irregular_blood_sugar_levels_cause_arthritis/")</f>
        <v/>
      </c>
      <c r="G6567" t="inlineStr">
        <is>
          <t>2019-04-23 21:50:05</t>
        </is>
      </c>
      <c r="H6567" t="inlineStr">
        <is>
          <t>Type 1</t>
        </is>
      </c>
    </row>
    <row r="6568">
      <c r="A6568" t="inlineStr">
        <is>
          <t>bgu424</t>
        </is>
      </c>
      <c r="B6568" t="inlineStr">
        <is>
          <t>Interesting for T2's?</t>
        </is>
      </c>
      <c r="C6568" t="inlineStr">
        <is>
          <t>I just watched this and thought this might be interesting. I looked and it's been posted on this reddit before, but many years ago so I think there may be lot's of new people who don't know this. at least I didn't!</t>
        </is>
      </c>
      <c r="D6568" t="n">
        <v>2</v>
      </c>
      <c r="E6568" t="n">
        <v>0</v>
      </c>
      <c r="F6568">
        <f>HYPERLINK("https://www.reddit.com/r/diabetes/comments/bgu424/interesting_for_t2s/")</f>
        <v/>
      </c>
      <c r="G6568" t="inlineStr">
        <is>
          <t>2019-04-24 05:39:35</t>
        </is>
      </c>
      <c r="H6568" t="inlineStr">
        <is>
          <t>Type 2</t>
        </is>
      </c>
    </row>
    <row r="6569">
      <c r="A6569" t="inlineStr">
        <is>
          <t>bh1w8o</t>
        </is>
      </c>
      <c r="B6569" t="inlineStr">
        <is>
          <t>My first "Oh, Fork" moment with a low</t>
        </is>
      </c>
      <c r="C6569" t="inlineStr">
        <is>
          <t>I'm not really sure what happened today. I was doing okay, sugars under control. I had an outbreak of cold sores and with my crohn's disease acting up, they had been running a bit higher for the last few days (Since last Thursday). Today is a warmer day, though not hot yet (only 90F or so), so I had lunch. As my numbers were decent before eating, so I took my usual dose of 4 units to cover a gyro sandwich. 20 minutes later my sugars crashed. I couldn't walk, I was shaking all over, sweating, couldn't think right. I was lucky that I decided to go to class instead of home.  Classmates got me a soda and candy. (one of my classmates husband has diabetes and she carries around candies for him). Almost four hours later and I'm still feeling shaky and now have a headache to go with it.
How long does it take you all to recover?  I'm still scared shitless (easy feat with crohn's hehehe). I don't know what happened. Am I still supposed to be feeling shaky and just 'off'?  On my other lows were somewhat gradual, where I didn't even feel it at 42, but not like this.</t>
        </is>
      </c>
      <c r="D6569" t="n">
        <v>11</v>
      </c>
      <c r="E6569" t="n">
        <v>8</v>
      </c>
      <c r="F6569">
        <f>HYPERLINK("https://www.reddit.com/r/diabetes/comments/bh1w8o/my_first_oh_fork_moment_with_a_low/")</f>
        <v/>
      </c>
      <c r="G6569" t="inlineStr">
        <is>
          <t>2019-04-24 17:01:30</t>
        </is>
      </c>
      <c r="H6569" t="inlineStr">
        <is>
          <t>Type 1.5/LADA</t>
        </is>
      </c>
    </row>
    <row r="6570">
      <c r="A6570" t="inlineStr">
        <is>
          <t>bh6tx2</t>
        </is>
      </c>
      <c r="B6570" t="inlineStr">
        <is>
          <t>Newly diagnosed T2 Diabetes</t>
        </is>
      </c>
      <c r="C6570" t="inlineStr">
        <is>
          <t>Diagnosed recently with an A1c of 7.5%
Doc told me I don't need to test my blood sugar at all, is this true? Do I need to get a new doc who will prescribe me supplies to test my blood sugar?
I'm taking Metformin- 500 mg once per day.
Anything else I should be doing besides working on changing my diet and taking my Metformin?
&amp;amp;#x200B;
P.S. Very devastated over this diagnosis.</t>
        </is>
      </c>
      <c r="D6570" t="n">
        <v>2</v>
      </c>
      <c r="E6570" t="n">
        <v>10</v>
      </c>
      <c r="F6570">
        <f>HYPERLINK("https://www.reddit.com/r/diabetes/comments/bh6tx2/newly_diagnosed_t2_diabetes/")</f>
        <v/>
      </c>
      <c r="G6570" t="inlineStr">
        <is>
          <t>2019-04-25 03:06:06</t>
        </is>
      </c>
      <c r="H6570" t="inlineStr">
        <is>
          <t>Type 2</t>
        </is>
      </c>
    </row>
    <row r="6571">
      <c r="A6571" t="inlineStr">
        <is>
          <t>bh8tw2</t>
        </is>
      </c>
      <c r="B6571" t="inlineStr">
        <is>
          <t>Am I putting myself in danger if I inject expired insulin...?</t>
        </is>
      </c>
      <c r="C6571" t="inlineStr">
        <is>
          <t>Hey, everyone. My name's Vivian and I'm a 20 year old, type-1 diabetic, and I was wondering if I could get a little advice.
See, I have about one full day's worth of insulin left, and that's it. I cannot afford more and probably won't be able to for at least a couple of days. Obviously, I cannot go days without my insulin...
Well, in a panic I searched through all of my stuff, hoping against hope I'd have something. Sure enough, I found an old-- very old-- bottle of Insulin that expired in March of 2018. Obviously, using this insulin would be less than optimal, and I'm fully aware that it probably won't be very good for me-- but will it work at all? Is it better than nothing? Am I putting my life in danger by using it?
It has at least three or four days worth of insulin left in it. You need to understand-- this isn't something I *want* to do, but I don't have a choice. I have, literally, zero dollars to my name at this moment, and insulin costs several hundred dollars per bottle where I live. Even with insurance, it's still well over what I can afford right now.</t>
        </is>
      </c>
      <c r="D6571" t="n">
        <v>9</v>
      </c>
      <c r="E6571" t="n">
        <v>21</v>
      </c>
      <c r="F6571">
        <f>HYPERLINK("https://www.reddit.com/r/diabetes/comments/bh8tw2/am_i_putting_myself_in_danger_if_i_inject_expired/")</f>
        <v/>
      </c>
      <c r="G6571" t="inlineStr">
        <is>
          <t>2019-04-25 06:47:09</t>
        </is>
      </c>
      <c r="H6571" t="inlineStr">
        <is>
          <t>Type 1</t>
        </is>
      </c>
    </row>
    <row r="6572">
      <c r="A6572" t="inlineStr">
        <is>
          <t>bh9nya</t>
        </is>
      </c>
      <c r="B6572" t="inlineStr">
        <is>
          <t>Is it okay to take the dosage for an entire day together?</t>
        </is>
      </c>
      <c r="C6572" t="inlineStr">
        <is>
          <t>I'm on Metformin 1000 extended release twice a day.
My pharmacist says i could take both the doses together considering its extended release. would this be okay or do i follow the schedule.
&amp;amp;#x200B;
TIA</t>
        </is>
      </c>
      <c r="D6572" t="n">
        <v>2</v>
      </c>
      <c r="E6572" t="n">
        <v>5</v>
      </c>
      <c r="F6572">
        <f>HYPERLINK("https://www.reddit.com/r/diabetes/comments/bh9nya/is_it_okay_to_take_the_dosage_for_an_entire_day/")</f>
        <v/>
      </c>
      <c r="G6572" t="inlineStr">
        <is>
          <t>2019-04-25 08:02:29</t>
        </is>
      </c>
      <c r="H6572" t="inlineStr">
        <is>
          <t>Type 2</t>
        </is>
      </c>
    </row>
    <row r="6573">
      <c r="A6573" t="inlineStr">
        <is>
          <t>bh9u61</t>
        </is>
      </c>
      <c r="B6573" t="inlineStr">
        <is>
          <t>Gaining weight as a T1Dic</t>
        </is>
      </c>
      <c r="C6573" t="inlineStr">
        <is>
          <t>good day/night redditors
How do you gain weight as a T1Diabetic?
What are your high calorie and healthy and easy to made meals that you prefer the most?</t>
        </is>
      </c>
      <c r="D6573" t="n">
        <v>5</v>
      </c>
      <c r="E6573" t="n">
        <v>2</v>
      </c>
      <c r="F6573">
        <f>HYPERLINK("https://www.reddit.com/r/diabetes/comments/bh9u61/gaining_weight_as_a_t1dic/")</f>
        <v/>
      </c>
      <c r="G6573" t="inlineStr">
        <is>
          <t>2019-04-25 08:17:06</t>
        </is>
      </c>
      <c r="H6573" t="inlineStr">
        <is>
          <t>Type 1</t>
        </is>
      </c>
    </row>
    <row r="6574">
      <c r="A6574" t="inlineStr">
        <is>
          <t>bhd4m2</t>
        </is>
      </c>
      <c r="B6574" t="inlineStr">
        <is>
          <t>Should I stop eating bananas?</t>
        </is>
      </c>
      <c r="C6574" t="inlineStr">
        <is>
          <t>It has so many carbs.</t>
        </is>
      </c>
      <c r="D6574" t="n">
        <v>4</v>
      </c>
      <c r="E6574" t="n">
        <v>12</v>
      </c>
      <c r="F6574">
        <f>HYPERLINK("https://www.reddit.com/r/diabetes/comments/bhd4m2/should_i_stop_eating_bananas/")</f>
        <v/>
      </c>
      <c r="G6574" t="inlineStr">
        <is>
          <t>2019-04-25 13:00:16</t>
        </is>
      </c>
      <c r="H6574" t="inlineStr">
        <is>
          <t>Type 2</t>
        </is>
      </c>
    </row>
    <row r="6575">
      <c r="A6575" t="inlineStr">
        <is>
          <t>bhh3oj</t>
        </is>
      </c>
      <c r="B6575" t="inlineStr">
        <is>
          <t>Omnipod Thread</t>
        </is>
      </c>
      <c r="C6575" t="inlineStr">
        <is>
          <t>The omnipod is a tubeless insulin pump. The pod can hold up to 200u. The pump is controlled via the PDM. This thread talks about the Eros version of the pump.
——————————————————————————
Insertion
——————————————————————————
[This video ](https://youtu.be/cM8r4Uu8Xss) explains how to put on the pod. The pod application process is very easy.
——————————————————————————
Is it good?
——————————————————————————
The omnipod is made for everyone, especially children, as it is easy to put on and bolus. The pod itself is waterproof for 60 mins up to 10 feet. The pdm not.  The pdm is a meter also, allowing you to check and respond easily.
——————————————————————————
Cons
——————————————————————————
**Low Unit Capacity** The pod can only hold up to 200 units, then it needs to be replaced. For some people, replacing the pump every two days is not ideal.</t>
        </is>
      </c>
      <c r="D6575" t="n">
        <v>0</v>
      </c>
      <c r="E6575" t="n">
        <v>0</v>
      </c>
      <c r="F6575">
        <f>HYPERLINK("https://www.reddit.com/r/diabetes/comments/bhh3oj/omnipod_thread/")</f>
        <v/>
      </c>
      <c r="G6575" t="inlineStr">
        <is>
          <t>2019-04-25 19:23:47</t>
        </is>
      </c>
      <c r="H6575" t="inlineStr">
        <is>
          <t>Type 1</t>
        </is>
      </c>
    </row>
    <row r="6576">
      <c r="A6576" t="inlineStr">
        <is>
          <t>bhh5g8</t>
        </is>
      </c>
      <c r="B6576" t="inlineStr">
        <is>
          <t>Mental Health of Diabetes</t>
        </is>
      </c>
      <c r="C6576" t="inlineStr">
        <is>
          <t xml:space="preserve">  I'm T2.
 \[rant\]  
 How come with the dealing of this disease, the mental health isn't taken into account? Go to your endocrinologist and its numbers and medication. Your pharmacist, the medication. Go to your podiatrist, your feet condition. Your eye physician, your eyes. Diabetic educator, food and numbers. Dentist, your teeth (maybe an oral surgeon here) Diabetic support group... everything but the mental health issues. By the way, go to a therapist and they only understand the disease from 50,000 feet.  
What's up with this? Doesn't anyone but a diabetic understand how mentally deliberating this disease is? Can't eat this or that. Chasing numbers like being blind folded and trying to strike a pinata. Because in reality looking at numbers is the equivalent of driving your car by only looking in the rear view mirror. Medications which may not work or trying medications like it's a buffet table. Spending the rest of your life performing needle sticks to the ends of your fingers? Can't anyone but us see how exhausting this is?  
I've grown weary. I'm 4 years into this and I’m tired of this.  
 \[/rant\]  
I really feel the mental health issues really get ignored in this disease. Or best, brushed off. You are constantly chasing a number of what's happened; you maybe purposefully eating some low carb diet with little effect of the numbers while maintaining meds and some type of physical activity. You can move from specialist to specialist, yet the mental health issues rarely gets broached. Exercise and food and medication and numbers and finger sticks and numbers and medication and food and exercise. You see a trend here? At 160 pound I don’t have any more fingers left for the amount of times I have been told, “How can *you* be diabetic?”, because I don’t fit the stereotype.
It's exhausting.
I'm at a place where I want to say F-it.
I'm going to get an ice cream sundae.</t>
        </is>
      </c>
      <c r="D6576" t="n">
        <v>17</v>
      </c>
      <c r="E6576" t="n">
        <v>24</v>
      </c>
      <c r="F6576">
        <f>HYPERLINK("https://www.reddit.com/r/diabetes/comments/bhh5g8/mental_health_of_diabetes/")</f>
        <v/>
      </c>
      <c r="G6576" t="inlineStr">
        <is>
          <t>2019-04-25 19:28:57</t>
        </is>
      </c>
      <c r="H6576" t="inlineStr">
        <is>
          <t>Type 2</t>
        </is>
      </c>
    </row>
    <row r="6577">
      <c r="A6577" t="inlineStr">
        <is>
          <t>bhhzpu</t>
        </is>
      </c>
      <c r="B6577" t="inlineStr">
        <is>
          <t>What would happen to you if your blood sugar was over 400 for a whole day?</t>
        </is>
      </c>
      <c r="C6577" t="inlineStr">
        <is>
          <t>My blood sugar wasn’t this bad today but it was pretty rough and it got me thinking how bad would it be if your blood sugar was that high for a full day without ever coming down</t>
        </is>
      </c>
      <c r="D6577" t="n">
        <v>2</v>
      </c>
      <c r="E6577" t="n">
        <v>8</v>
      </c>
      <c r="F6577">
        <f>HYPERLINK("https://www.reddit.com/r/diabetes/comments/bhhzpu/what_would_happen_to_you_if_your_blood_sugar_was/")</f>
        <v/>
      </c>
      <c r="G6577" t="inlineStr">
        <is>
          <t>2019-04-25 21:02:47</t>
        </is>
      </c>
      <c r="H6577" t="inlineStr">
        <is>
          <t>Type 1</t>
        </is>
      </c>
    </row>
    <row r="6578">
      <c r="A6578" t="inlineStr">
        <is>
          <t>bhi9po</t>
        </is>
      </c>
      <c r="B6578" t="inlineStr">
        <is>
          <t>Today, Thursday 4/25/19, I had my first panretinal photocoagulation laser therapy session for proliferative diabetic retinopathy.</t>
        </is>
      </c>
      <c r="C6578" t="inlineStr">
        <is>
          <t>I went to see my retinal specialist today and she suggested that I start panretinal photocoagulation laser therapy for my left eye - right there, unexpectedly. It was something that I dreaded but it needed to be done, so I followed through with it.  It was intense but I was done in 15 minutes.  So far, I have no peripheral vision loss and no night blindness.  I still need one more session on my left eye before moving on to my right eye.  Nonetheless, so far so good.</t>
        </is>
      </c>
      <c r="D6578" t="n">
        <v>10</v>
      </c>
      <c r="E6578" t="n">
        <v>6</v>
      </c>
      <c r="F6578">
        <f>HYPERLINK("https://www.reddit.com/r/diabetes/comments/bhi9po/today_thursday_42519_i_had_my_first_panretinal/")</f>
        <v/>
      </c>
      <c r="G6578" t="inlineStr">
        <is>
          <t>2019-04-25 21:34:51</t>
        </is>
      </c>
      <c r="H6578" t="inlineStr">
        <is>
          <t>Type 1</t>
        </is>
      </c>
    </row>
    <row r="6579">
      <c r="A6579" t="inlineStr">
        <is>
          <t>bhlvia</t>
        </is>
      </c>
      <c r="B6579" t="inlineStr">
        <is>
          <t>Starting Fiasp today! Anything I should know?</t>
        </is>
      </c>
      <c r="C6579" t="inlineStr">
        <is>
          <t>My endo recommended I try Fiasp to help manage my blood sugars since I have gastroparesis and T1D. She says it has added B3 vitamin which helps the insulin work faster but also for a shorter duration of time. I'm also on the Omnipod, she said it's not approved for pumps but more specifically pumps with tubes and she said she wasn't worried because I'm on a tubeless pump. I'm mostly curious what has been other folks experience using Fiasp? My pharmacist didn't even know what it was.</t>
        </is>
      </c>
      <c r="D6579" t="n">
        <v>5</v>
      </c>
      <c r="E6579" t="n">
        <v>9</v>
      </c>
      <c r="F6579">
        <f>HYPERLINK("https://www.reddit.com/r/diabetes/comments/bhlvia/starting_fiasp_today_anything_i_should_know/")</f>
        <v/>
      </c>
      <c r="G6579" t="inlineStr">
        <is>
          <t>2019-04-26 05:47:55</t>
        </is>
      </c>
      <c r="H6579" t="inlineStr">
        <is>
          <t>Type 1</t>
        </is>
      </c>
    </row>
    <row r="6580">
      <c r="A6580" t="inlineStr">
        <is>
          <t>bhp7ra</t>
        </is>
      </c>
      <c r="B6580" t="inlineStr">
        <is>
          <t>[Dexcom G6] Transmitter not found? It has been 2 hours and multiple tries, any suggestions?</t>
        </is>
      </c>
      <c r="C6580" t="inlineStr">
        <is>
          <t>I think I jinxed myself. The transmitter doesn't want to connect, iphone keeps searching for it and is not able to find it. Any suggestions?</t>
        </is>
      </c>
      <c r="D6580" t="n">
        <v>3</v>
      </c>
      <c r="E6580" t="n">
        <v>7</v>
      </c>
      <c r="F6580">
        <f>HYPERLINK("https://www.reddit.com/r/diabetes/comments/bhp7ra/dexcom_g6_transmitter_not_found_it_has_been_2/")</f>
        <v/>
      </c>
      <c r="G6580" t="inlineStr">
        <is>
          <t>2019-04-26 10:45:56</t>
        </is>
      </c>
      <c r="H6580" t="inlineStr">
        <is>
          <t>Type 1</t>
        </is>
      </c>
    </row>
    <row r="6581">
      <c r="A6581" t="inlineStr">
        <is>
          <t>bhp8v4</t>
        </is>
      </c>
      <c r="B6581" t="inlineStr">
        <is>
          <t>New to Tandem TSlim x2</t>
        </is>
      </c>
      <c r="C6581" t="inlineStr">
        <is>
          <t>Hey all. I just started on the Tandem pump. In fact, I am new to pumping in general. I'm sure it'll get faster, but I feel like the whole cartridge refill/site change process takes so long...especially if your insulin runs out and you're in a rush! Does anyone pre-fill cartridges for the month? Is it safe to do that/effective? Would you keep them in the fridge or just leave it out since it would be used in a month anyways?
&amp;amp;#x200B;
Any tips/advice to get faster and more efficient would be great!</t>
        </is>
      </c>
      <c r="D6581" t="n">
        <v>3</v>
      </c>
      <c r="E6581" t="n">
        <v>11</v>
      </c>
      <c r="F6581">
        <f>HYPERLINK("https://www.reddit.com/r/diabetes/comments/bhp8v4/new_to_tandem_tslim_x2/")</f>
        <v/>
      </c>
      <c r="G6581" t="inlineStr">
        <is>
          <t>2019-04-26 10:48:36</t>
        </is>
      </c>
      <c r="H6581" t="inlineStr">
        <is>
          <t>Type 1</t>
        </is>
      </c>
    </row>
    <row r="6582">
      <c r="A6582" t="inlineStr">
        <is>
          <t>bhrvk0</t>
        </is>
      </c>
      <c r="B6582" t="inlineStr">
        <is>
          <t>xDrip + new Dexcom G5 transmitter: cannot get new transmitter t work</t>
        </is>
      </c>
      <c r="C6582" t="inlineStr">
        <is>
          <t>I have tried twice now to start using a brand new Dexcom transmitter via xDrip, to no avail. Once two weeks ago, and once last night. Both times I eventually switched back to my old transmitter (day 118). 
The first time (2 weeks ago) was with an old sensor. Last night was new sensor + new transmitter. My husband spend 3+ hours troubleshooting last night and still couldn't figure out the problem (he is much more technically inclined than I am). We went through a two hour warm up period, then it got stuck on the "data collecting step" before calibration. We waited ~30 minutes for the data collection process to move forward, then started troubleshooting. Husband said the new transmitter never connected/ sent any data to xDrip, via the detailed logging he enabled in xDrip to troubleshoot. We finally gave up (it was 3am) and used the old transmitter and it immediately worked.
I can't test the transmitter with my official Dexcom receiver, as it shows error code ERR69/ ERR121.
I am using xDrip+ via my Moto G5S+. 
My questions are:
1. Is there something we are missing with the new transitter set up process? Or some setting that could be wrong? This is my first time setting up a new transmitter in xDrip.
2. The other explanation is that there is something wrong with the new transmitter. How likely is that? And will Dexcom even entertain my inquiry about getting a replacement since I am not using the official branded receiver?
Thanks!</t>
        </is>
      </c>
      <c r="D6582" t="n">
        <v>2</v>
      </c>
      <c r="E6582" t="n">
        <v>4</v>
      </c>
      <c r="F6582">
        <f>HYPERLINK("https://www.reddit.com/r/diabetes/comments/bhrvk0/xdrip_new_dexcom_g5_transmitter_cannot_get_new/")</f>
        <v/>
      </c>
      <c r="G6582" t="inlineStr">
        <is>
          <t>2019-04-26 14:45:31</t>
        </is>
      </c>
      <c r="H6582" t="inlineStr">
        <is>
          <t>Type 1</t>
        </is>
      </c>
    </row>
    <row r="6583">
      <c r="A6583" t="inlineStr">
        <is>
          <t>bhs9qo</t>
        </is>
      </c>
      <c r="B6583" t="inlineStr">
        <is>
          <t>Being sick and high bg</t>
        </is>
      </c>
      <c r="C6583" t="inlineStr">
        <is>
          <t>I usually get much higher bg when I’m feeling sick in any way, is there any tips on how I can have more of a  straight bg?</t>
        </is>
      </c>
      <c r="D6583" t="n">
        <v>2</v>
      </c>
      <c r="E6583" t="n">
        <v>1</v>
      </c>
      <c r="F6583">
        <f>HYPERLINK("https://www.reddit.com/r/diabetes/comments/bhs9qo/being_sick_and_high_bg/")</f>
        <v/>
      </c>
      <c r="G6583" t="inlineStr">
        <is>
          <t>2019-04-26 15:23:27</t>
        </is>
      </c>
      <c r="H6583" t="inlineStr">
        <is>
          <t>Type 1</t>
        </is>
      </c>
    </row>
    <row r="6584">
      <c r="A6584" t="inlineStr">
        <is>
          <t>bhsfe8</t>
        </is>
      </c>
      <c r="B6584" t="inlineStr">
        <is>
          <t>Type 2 Dexcom users?</t>
        </is>
      </c>
      <c r="C6584" t="inlineStr">
        <is>
          <t>Hi all, I am an insulin dependent type 2 diabetic. I use to have really great control over my diabetes but about 5 years ago I dropped the ball. I'm working on getting better control which means I'm testing more and these awful needle pricks hurt. I saw on here for the first time about Dexcom. I see my endocrinologist next week and I'd like to bring this up with him. Is the Dexcom ever approved by insurance or Type 2's or only Type 1? Thanks in advance!</t>
        </is>
      </c>
      <c r="D6584" t="n">
        <v>4</v>
      </c>
      <c r="E6584" t="n">
        <v>5</v>
      </c>
      <c r="F6584">
        <f>HYPERLINK("https://www.reddit.com/r/diabetes/comments/bhsfe8/type_2_dexcom_users/")</f>
        <v/>
      </c>
      <c r="G6584" t="inlineStr">
        <is>
          <t>2019-04-26 15:39:01</t>
        </is>
      </c>
      <c r="H6584" t="inlineStr">
        <is>
          <t>Type 2</t>
        </is>
      </c>
    </row>
    <row r="6585">
      <c r="A6585" t="inlineStr">
        <is>
          <t>bhuchg</t>
        </is>
      </c>
      <c r="B6585" t="inlineStr">
        <is>
          <t>Got my first ever CGM today, excited to start using it tomorrow</t>
        </is>
      </c>
      <c r="C6585" t="inlineStr">
        <is>
          <t>The past 6 months or so I haven’t felt my lows until they were in the low 40s or worse.  
Eversense was inserted today.  Has to warm up for 24 hours then away I go.  Really excited</t>
        </is>
      </c>
      <c r="D6585" t="n">
        <v>8</v>
      </c>
      <c r="E6585" t="n">
        <v>1</v>
      </c>
      <c r="F6585">
        <f>HYPERLINK("https://www.reddit.com/r/diabetes/comments/bhuchg/got_my_first_ever_cgm_today_excited_to_start/")</f>
        <v/>
      </c>
      <c r="G6585" t="inlineStr">
        <is>
          <t>2019-04-26 19:02:36</t>
        </is>
      </c>
      <c r="H6585" t="inlineStr">
        <is>
          <t>Type 1</t>
        </is>
      </c>
    </row>
    <row r="6586">
      <c r="A6586" t="inlineStr">
        <is>
          <t>bhuur7</t>
        </is>
      </c>
      <c r="B6586" t="inlineStr">
        <is>
          <t>So... I’m new...</t>
        </is>
      </c>
      <c r="C6586" t="inlineStr">
        <is>
          <t>I know, I know, you probably don’t want to hear about the new kid on the block, or in this case, subreddit, but I’d like to introduce myself, because I can.
*Freedom of speech and whatnot.*
So hi, my name is Jamie.
_**I’ve had type one diabetes since I was almost three years old**_ and have been living with it since. (obviously) 
So there. I’m introduced. Hi internet.</t>
        </is>
      </c>
      <c r="D6586" t="n">
        <v>28</v>
      </c>
      <c r="E6586" t="n">
        <v>19</v>
      </c>
      <c r="F6586">
        <f>HYPERLINK("https://www.reddit.com/r/diabetes/comments/bhuur7/so_im_new/")</f>
        <v/>
      </c>
      <c r="G6586" t="inlineStr">
        <is>
          <t>2019-04-26 20:02:51</t>
        </is>
      </c>
      <c r="H6586" t="inlineStr">
        <is>
          <t>Type 1</t>
        </is>
      </c>
    </row>
    <row r="6587">
      <c r="A6587" t="inlineStr">
        <is>
          <t>bhv50a</t>
        </is>
      </c>
      <c r="B6587" t="inlineStr">
        <is>
          <t>Endo in LA</t>
        </is>
      </c>
      <c r="C6587" t="inlineStr">
        <is>
          <t>Hi, y’all! (I say this like I’m popular lol) 
It me, back at it again, and I was wondering if anyone knew any good endos in the LA area. Mine just retired, and due to insurance and whatnot, I have to go to one I don’t really like. If anybody knows somebody, please lemme know.
okay thx bai</t>
        </is>
      </c>
      <c r="D6587" t="n">
        <v>3</v>
      </c>
      <c r="E6587" t="n">
        <v>8</v>
      </c>
      <c r="F6587">
        <f>HYPERLINK("https://www.reddit.com/r/diabetes/comments/bhv50a/endo_in_la/")</f>
        <v/>
      </c>
      <c r="G6587" t="inlineStr">
        <is>
          <t>2019-04-26 20:38:16</t>
        </is>
      </c>
      <c r="H6587" t="inlineStr">
        <is>
          <t>Type 1</t>
        </is>
      </c>
    </row>
    <row r="6588">
      <c r="A6588" t="inlineStr">
        <is>
          <t>bhwnj5</t>
        </is>
      </c>
      <c r="B6588" t="inlineStr">
        <is>
          <t>Continuous glucose monitoring</t>
        </is>
      </c>
      <c r="C6588" t="inlineStr">
        <is>
          <t>I've been using the freestyle libre for a few months now. Very useful device. But at higher values it really doesn't match my blood sugar level (I check it on OneTouch to verify). And the device can be worn for only 14 days. Is there any other device that lasts for more number of days and is more accurate?</t>
        </is>
      </c>
      <c r="D6588" t="n">
        <v>3</v>
      </c>
      <c r="E6588" t="n">
        <v>11</v>
      </c>
      <c r="F6588">
        <f>HYPERLINK("https://www.reddit.com/r/diabetes/comments/bhwnj5/continuous_glucose_monitoring/")</f>
        <v/>
      </c>
      <c r="G6588" t="inlineStr">
        <is>
          <t>2019-04-27 00:15:24</t>
        </is>
      </c>
      <c r="H6588" t="inlineStr">
        <is>
          <t>Type 1</t>
        </is>
      </c>
    </row>
    <row r="6589">
      <c r="A6589" t="inlineStr">
        <is>
          <t>bhx0cd</t>
        </is>
      </c>
      <c r="B6589" t="inlineStr">
        <is>
          <t>Stomach cramps</t>
        </is>
      </c>
      <c r="C6589" t="inlineStr">
        <is>
          <t>I've been taking Metformin ER 750MG AMN for three weeks. Everything was good the first week but these last two weeks I have had the worst stomach pain and cramps than I've ever had before. Is this normal or does anyone have any tips or experience with this.  As much as I love being glued to the toilet I kinda want to leave my house this week. 
Levels have been in the 90's to low 100's so far.</t>
        </is>
      </c>
      <c r="D6589" t="n">
        <v>7</v>
      </c>
      <c r="E6589" t="n">
        <v>18</v>
      </c>
      <c r="F6589">
        <f>HYPERLINK("https://www.reddit.com/r/diabetes/comments/bhx0cd/stomach_cramps/")</f>
        <v/>
      </c>
      <c r="G6589" t="inlineStr">
        <is>
          <t>2019-04-27 01:16:50</t>
        </is>
      </c>
      <c r="H6589" t="inlineStr">
        <is>
          <t>Type 2</t>
        </is>
      </c>
    </row>
    <row r="6590">
      <c r="A6590" t="inlineStr">
        <is>
          <t>bhz8yt</t>
        </is>
      </c>
      <c r="B6590" t="inlineStr">
        <is>
          <t>The right mindset</t>
        </is>
      </c>
      <c r="C6590" t="inlineStr">
        <is>
          <t>So a thought popped into my head that I would like to share! 
The people you surround yourself with are a direct reflection of where your at in life. So look carefully at those in your life, and ask yourself is this the person you want to be? When you get people together with like minds, that is POWERFUL! No matter the intention, good or bad. So step back and look at who you are,  strive to be and surround yourself with those who compliment who you are trying to become.
Even with Diabetes, are you insecure or afraid of sharing your story and helping others? Why is that? Because you have let the people around you, determine how you feel about yourself, even at a subconscious level! 
Surround yourself with people with the same mindset as you, but first look at your mindset and ask yourself is that the person I want to become? If it is then keep those people in your life because when great minds come together, you can change the world!  
Reach out today to the ones that lift you up! It's amazing the people who have your back that you never even realized until you fix your mindset, sometimes the right people are right in front of you but if your mindset isn't right then they will fall through the cracks! 
Remember you are in control of your life. No one else!</t>
        </is>
      </c>
      <c r="D6590" t="n">
        <v>2</v>
      </c>
      <c r="E6590" t="n">
        <v>2</v>
      </c>
      <c r="F6590">
        <f>HYPERLINK("https://www.reddit.com/r/diabetes/comments/bhz8yt/the_right_mindset/")</f>
        <v/>
      </c>
      <c r="G6590" t="inlineStr">
        <is>
          <t>2019-04-27 06:50:25</t>
        </is>
      </c>
      <c r="H6590" t="inlineStr">
        <is>
          <t>Type 1</t>
        </is>
      </c>
    </row>
    <row r="6591">
      <c r="A6591" t="inlineStr">
        <is>
          <t>bi0f6p</t>
        </is>
      </c>
      <c r="B6591" t="inlineStr">
        <is>
          <t>Sad</t>
        </is>
      </c>
      <c r="C6591" t="inlineStr">
        <is>
          <t>Axios: Express Scripts won't cover Eli Lilly's new generic insulin.
https://www.axios.com/express-scripts-wont-cover-eli-lilly-insulin-lispro-37c347da-9383-425c-b3f2-8af755f7a1ae.html</t>
        </is>
      </c>
      <c r="D6591" t="n">
        <v>4</v>
      </c>
      <c r="E6591" t="n">
        <v>1</v>
      </c>
      <c r="F6591">
        <f>HYPERLINK("https://www.reddit.com/r/diabetes/comments/bi0f6p/sad/")</f>
        <v/>
      </c>
      <c r="G6591" t="inlineStr">
        <is>
          <t>2019-04-27 08:53:21</t>
        </is>
      </c>
      <c r="H6591" t="inlineStr">
        <is>
          <t>Type 2</t>
        </is>
      </c>
    </row>
    <row r="6592">
      <c r="A6592" t="inlineStr">
        <is>
          <t>bi0hen</t>
        </is>
      </c>
      <c r="B6592" t="inlineStr">
        <is>
          <t>Just inserted my first Dexcom sensor!! Here we go...</t>
        </is>
      </c>
      <c r="C6592" t="inlineStr">
        <is>
          <t>There was a very small amount of bleeding at the site but decided to attach the transmitter and forge ahead anyway. I’m switching from the Medtronic 670G sensor, and can’t wait to say goodbye to fingersticks and inaccurate sensor readings that trick me into eating or giving insulin when I didn’t really need to!
Wish me luck!!</t>
        </is>
      </c>
      <c r="D6592" t="n">
        <v>6</v>
      </c>
      <c r="E6592" t="n">
        <v>5</v>
      </c>
      <c r="F6592">
        <f>HYPERLINK("https://www.reddit.com/r/diabetes/comments/bi0hen/just_inserted_my_first_dexcom_sensor_here_we_go/")</f>
        <v/>
      </c>
      <c r="G6592" t="inlineStr">
        <is>
          <t>2019-04-27 08:59:35</t>
        </is>
      </c>
      <c r="H6592" t="inlineStr">
        <is>
          <t>Type 1</t>
        </is>
      </c>
    </row>
    <row r="6593">
      <c r="A6593" t="inlineStr">
        <is>
          <t>bi4oel</t>
        </is>
      </c>
      <c r="B6593" t="inlineStr">
        <is>
          <t>Best Countries To Live In?</t>
        </is>
      </c>
      <c r="C6593" t="inlineStr">
        <is>
          <t>So I'm looking to move to a different country and I'd like to hear what all of you have to say on different countries and their stances on Type 1 Diabetes. Now I know that countries like India have controversial health care practices but what about the following countries:
* Britain
* Japan
* China
* Sweden
* Switzerland</t>
        </is>
      </c>
      <c r="D6593" t="n">
        <v>7</v>
      </c>
      <c r="E6593" t="n">
        <v>13</v>
      </c>
      <c r="F6593">
        <f>HYPERLINK("https://www.reddit.com/r/diabetes/comments/bi4oel/best_countries_to_live_in/")</f>
        <v/>
      </c>
      <c r="G6593" t="inlineStr">
        <is>
          <t>2019-04-27 15:53:47</t>
        </is>
      </c>
      <c r="H6593" t="inlineStr">
        <is>
          <t>Type 1</t>
        </is>
      </c>
    </row>
    <row r="6594">
      <c r="A6594" t="inlineStr">
        <is>
          <t>bi5aiw</t>
        </is>
      </c>
      <c r="B6594" t="inlineStr">
        <is>
          <t>Quick survey please :D</t>
        </is>
      </c>
      <c r="C6594" t="inlineStr">
        <is>
          <t>Hey guys! I have recently been working on a project and it will really help if you could take this quick survey. 
[https://docs.google.com/forms/d/e/1FAIpQLSfZsxKUTApulqnsnWE8KBSrcIRt81kadAR\_fNRHtMCqMDPHeg/viewform?usp=sf\_link](https://docs.google.com/forms/d/e/1FAIpQLSfZsxKUTApulqnsnWE8KBSrcIRt81kadAR_fNRHtMCqMDPHeg/viewform?usp=sf_link)</t>
        </is>
      </c>
      <c r="D6594" t="n">
        <v>17</v>
      </c>
      <c r="E6594" t="n">
        <v>10</v>
      </c>
      <c r="F6594">
        <f>HYPERLINK("https://www.reddit.com/r/diabetes/comments/bi5aiw/quick_survey_please_d/")</f>
        <v/>
      </c>
      <c r="G6594" t="inlineStr">
        <is>
          <t>2019-04-27 16:59:15</t>
        </is>
      </c>
      <c r="H6594" t="inlineStr">
        <is>
          <t>Type 1</t>
        </is>
      </c>
    </row>
    <row r="6595">
      <c r="A6595" t="inlineStr">
        <is>
          <t>bi6aex</t>
        </is>
      </c>
      <c r="B6595" t="inlineStr">
        <is>
          <t>Dexcom G5 Issues</t>
        </is>
      </c>
      <c r="C6595" t="inlineStr">
        <is>
          <t>Getting so frustrated with my Dexcom G5. It recently took me 5 sensor insertions before I could get a sensor to work. Every time I inserted the sensor, during the warm up period I would get an hourglass symbol about 5 minutes in and then a "sensor fail" alert about 10 minutes after that. Every. Single. Time. I've had plenty of sensors work without any issue prior to this - I'm fairly certain that it isn't anything I'm doing wrong.
Dex finally sent me a new transmitter and voila! The next sensor worked (and for over three weeks). However, that sensor just finished and I tried putting in a sensor and same thing happened - hourglass and then sensor fail. I tried another sensor - and the same thing again!! This is with a new transmitter so I'm starting to wonder if it's my iphone app or something?? At a real loss. I love Dexcom when it's working but the sensor insertion process is starting to get really frustrating and stressful. Wondering if anyone else has had this happen or if anyone has any tips/suggestions/etc.</t>
        </is>
      </c>
      <c r="D6595" t="n">
        <v>3</v>
      </c>
      <c r="E6595" t="n">
        <v>3</v>
      </c>
      <c r="F6595">
        <f>HYPERLINK("https://www.reddit.com/r/diabetes/comments/bi6aex/dexcom_g5_issues/")</f>
        <v/>
      </c>
      <c r="G6595" t="inlineStr">
        <is>
          <t>2019-04-27 18:51:39</t>
        </is>
      </c>
      <c r="H6595" t="inlineStr">
        <is>
          <t>Type 1</t>
        </is>
      </c>
    </row>
    <row r="6596">
      <c r="A6596" t="inlineStr">
        <is>
          <t>bi6q0c</t>
        </is>
      </c>
      <c r="B6596" t="inlineStr">
        <is>
          <t>Please help! Having pump problems and not sure what to do.</t>
        </is>
      </c>
      <c r="C6596" t="inlineStr">
        <is>
          <t>I was diagnosed about 9 months ago. Ive had a relatively easy time controlling my blood sugar on multiple daily injections. We worked a little bit and got me a TSlim x2 about a month ago. At first I really liked it, but I've been having some problems. Ive always had a big aversion to using different sites for injections. When I got the pump, I was really unsure of where I would start putting my sites, and in my training class, I put a site on my side. I was very stressed about it and almost passed out. I had to take it off and the nurse there said that we would have to probably use a different type of infusion site. On my live start, I tried for the first time putting a site on my leg. I really liked it and ive been doing it ONLY on my legs since then. I just can't convince my self to do it anywhere else. During my whole time using the pump, ive almost always had to change my site after two days of wearing it because of pain. Ive had a couple infected sites, and many times my sites don't work(as in my bg just starts going up, and whenever I bolus it does nothing.). Over the last week or so, I've been high, and I've changes my site three times because I couldn't seem to get my numbers down. My legs don't seem like they are physically worn, and I have no idea what to do. Could my numbers be because of doing my sites on my legs so much? Any tips on how to convince myself to be able to move my sites around? As of right now, I'm at 327, going up. I just took off another site. Ive been considering going back to injections.</t>
        </is>
      </c>
      <c r="D6596" t="n">
        <v>3</v>
      </c>
      <c r="E6596" t="n">
        <v>1</v>
      </c>
      <c r="F6596">
        <f>HYPERLINK("https://www.reddit.com/r/diabetes/comments/bi6q0c/please_help_having_pump_problems_and_not_sure/")</f>
        <v/>
      </c>
      <c r="G6596" t="inlineStr">
        <is>
          <t>2019-04-27 19:41:14</t>
        </is>
      </c>
      <c r="H6596" t="inlineStr">
        <is>
          <t>Type 1</t>
        </is>
      </c>
    </row>
    <row r="6597">
      <c r="A6597" t="inlineStr">
        <is>
          <t>biakrp</t>
        </is>
      </c>
      <c r="B6597" t="inlineStr">
        <is>
          <t>Freestyle Libre not working</t>
        </is>
      </c>
      <c r="C6597" t="inlineStr">
        <is>
          <t>I use my Android phone to use my freestyle libre. But today the app wants to me to connect to my account.
And it's telling me my password is wrong. When I try to recover my account it's telling me this account doesn't exist.
I tried to create a new account but the app is telling me my country isn't corresponding to the app (!?)
I found I way to make the app work again : uninstall and reinstall. But I've lost all my data...</t>
        </is>
      </c>
      <c r="D6597" t="n">
        <v>3</v>
      </c>
      <c r="E6597" t="n">
        <v>6</v>
      </c>
      <c r="F6597">
        <f>HYPERLINK("https://www.reddit.com/r/diabetes/comments/biakrp/freestyle_libre_not_working/")</f>
        <v/>
      </c>
      <c r="G6597" t="inlineStr">
        <is>
          <t>2019-04-28 05:07:10</t>
        </is>
      </c>
      <c r="H6597" t="inlineStr">
        <is>
          <t>Type 1</t>
        </is>
      </c>
    </row>
    <row r="6598">
      <c r="A6598" t="inlineStr">
        <is>
          <t>bibtg1</t>
        </is>
      </c>
      <c r="B6598" t="inlineStr">
        <is>
          <t>Need some running advice</t>
        </is>
      </c>
      <c r="C6598" t="inlineStr">
        <is>
          <t>So I've been a bit overweight for basically all my life. Since my diagnosis of type 1 two years ago I've decided to lose some weight (it's always been a struggle but I'm a bit more determined now I'm a student). I know about the diet stuff when losing weight and I've lost a good 3 kilos so far. I've also started running which worked for me pretty well. I'm now beginning to get better to the point where just my evening meal isn't enough to fuel my run (I'm trying to go further every time). How do I maximize the amount of calories that I burn on a run while not going low on sugar? Any other advice would be welcome too!</t>
        </is>
      </c>
      <c r="D6598" t="n">
        <v>9</v>
      </c>
      <c r="E6598" t="n">
        <v>6</v>
      </c>
      <c r="F6598">
        <f>HYPERLINK("https://www.reddit.com/r/diabetes/comments/bibtg1/need_some_running_advice/")</f>
        <v/>
      </c>
      <c r="G6598" t="inlineStr">
        <is>
          <t>2019-04-28 07:33:04</t>
        </is>
      </c>
      <c r="H6598" t="inlineStr">
        <is>
          <t>Type 1</t>
        </is>
      </c>
    </row>
    <row r="6599">
      <c r="A6599" t="inlineStr">
        <is>
          <t>biethn</t>
        </is>
      </c>
      <c r="B6599" t="inlineStr">
        <is>
          <t>Poor Absorption on One Side of Body?</t>
        </is>
      </c>
      <c r="C6599" t="inlineStr">
        <is>
          <t>I have been using Medtronic/MiniMed pumps for about 20 years, almost always into either side of my abdomen. The few times I've tried thighs the insulin delay is just way too long. Over the past year, I have found that my absorption on my left abdomen is far worse and less predictable than on my right. I rotate reasonably well, though if I'm going to be limited to my right side, it's going to be a lot harder to give sites a good break. Has anyone else noticed a similar issue? What did you do?</t>
        </is>
      </c>
      <c r="D6599" t="n">
        <v>2</v>
      </c>
      <c r="E6599" t="n">
        <v>4</v>
      </c>
      <c r="F6599">
        <f>HYPERLINK("https://www.reddit.com/r/diabetes/comments/biethn/poor_absorption_on_one_side_of_body/")</f>
        <v/>
      </c>
      <c r="G6599" t="inlineStr">
        <is>
          <t>2019-04-28 12:15:51</t>
        </is>
      </c>
      <c r="H6599" t="inlineStr">
        <is>
          <t>Type 1</t>
        </is>
      </c>
    </row>
    <row r="6600">
      <c r="A6600" t="inlineStr">
        <is>
          <t>bigs8c</t>
        </is>
      </c>
      <c r="B6600" t="inlineStr">
        <is>
          <t>What's the absolute best diet for those living with Type 1 Diabetics? Hoping to change my diet and live a healthier life. Anyone have any experience with the keto diet?</t>
        </is>
      </c>
      <c r="C6600" t="inlineStr">
        <is>
          <t>I've been living with type 1 diabetes for about 20 years now and have never really made an effort to eat a diabetes-friendly diet. The older I get, the more I am noticing the food I am consuming is having a bad effect on my body. I'm multi-ethnic and both of my cultures (though the food is incredible) are known to have cuisines that are not the best, and this is for all people in general, so I'm sure it's having an even bigger impact on my body as a type-1 diabetic.
I'm getting really tired and worried about the affects the food I'm consuming is having on my body so I am dedicated now toward changing my diet in the hopes the effects will go away. 
Can anyone please help me understand what are the best diets for diabetics? 
I did some minimal research so far but have come across articles that say the keto diet is the best, but literally everything I put into my "keto" app tells me it has an "F" rating and is bad if you are on the keto diet. And I'm not just talking about obvious foods like junk food, fast food, or white bread, it's also saying most fruits are bad too (bananas, strawberries, oranges, plums, etc.).
Is this the only diet that is acceptable for diabetics? 
All advice is greatly appreciated!</t>
        </is>
      </c>
      <c r="D6600" t="n">
        <v>2</v>
      </c>
      <c r="E6600" t="n">
        <v>19</v>
      </c>
      <c r="F6600">
        <f>HYPERLINK("https://www.reddit.com/r/diabetes/comments/bigs8c/whats_the_absolute_best_diet_for_those_living/")</f>
        <v/>
      </c>
      <c r="G6600" t="inlineStr">
        <is>
          <t>2019-04-28 15:14:50</t>
        </is>
      </c>
      <c r="H6600" t="inlineStr">
        <is>
          <t>Type 1</t>
        </is>
      </c>
    </row>
    <row r="6601">
      <c r="A6601" t="inlineStr">
        <is>
          <t>biilpa</t>
        </is>
      </c>
      <c r="B6601" t="inlineStr">
        <is>
          <t>Survey, sorry for repost, ALL information in description.</t>
        </is>
      </c>
      <c r="C6601" t="inlineStr">
        <is>
          <t>This survey is for a project that I'm working on. I am creating a organization for support and donations for diabetics. This project should be done in a couple months at most. You can contact me via pm if you have any questions or suggestions. Sorry and i thank all of you that have already taken the survey. Feel free to give me any suggestions in comments. Thanks again! The link is [https://forms.gle/vDS7ShyQ6xoVdVrx9](https://forms.gle/vDS7ShyQ6xoVdVrx9)</t>
        </is>
      </c>
      <c r="D6601" t="n">
        <v>2</v>
      </c>
      <c r="E6601" t="n">
        <v>3</v>
      </c>
      <c r="F6601">
        <f>HYPERLINK("https://www.reddit.com/r/diabetes/comments/biilpa/survey_sorry_for_repost_all_information_in/")</f>
        <v/>
      </c>
      <c r="G6601" t="inlineStr">
        <is>
          <t>2019-04-28 18:23:07</t>
        </is>
      </c>
      <c r="H6601" t="inlineStr">
        <is>
          <t>Type 1</t>
        </is>
      </c>
    </row>
    <row r="6602">
      <c r="A6602" t="inlineStr">
        <is>
          <t>biit9y</t>
        </is>
      </c>
      <c r="B6602" t="inlineStr">
        <is>
          <t>T1D Mom @ IMAX, missed connection</t>
        </is>
      </c>
      <c r="C6602" t="inlineStr">
        <is>
          <t>I know this is far stretch, but I met you and your husband  yesterday at the Sac IMAX Avengers showing when you asked me about the over tape I use on my dexcom. You told me your 2 year old was just diagnosed and I’ve been thinking of you  and your family since! If you happen to see this and are interested in chatting more, please PM me! 🙂</t>
        </is>
      </c>
      <c r="D6602" t="n">
        <v>28</v>
      </c>
      <c r="E6602" t="n">
        <v>0</v>
      </c>
      <c r="F6602">
        <f>HYPERLINK("https://www.reddit.com/r/diabetes/comments/biit9y/t1d_mom_imax_missed_connection/")</f>
        <v/>
      </c>
      <c r="G6602" t="inlineStr">
        <is>
          <t>2019-04-28 18:46:56</t>
        </is>
      </c>
      <c r="H6602" t="inlineStr">
        <is>
          <t>Type 1</t>
        </is>
      </c>
    </row>
    <row r="6603">
      <c r="A6603" t="inlineStr">
        <is>
          <t>biiywj</t>
        </is>
      </c>
      <c r="B6603" t="inlineStr">
        <is>
          <t>I did bad (ate a not-so-friendly meal)</t>
        </is>
      </c>
      <c r="C6603" t="inlineStr">
        <is>
          <t>My dinner today was a single portion of shrimp scampi pasta. It contained shrimp, chopped tomatoes, and chopped asparagus on top. I had a cream-based chicken soup as my side dish and I finished the meal off with a single portion of Tiramisu. I also had a glass of regular Sprite.
My stomach is very angry with me right now and I'm having several attacks diarrhea thanks to my lack of gallbladder.</t>
        </is>
      </c>
      <c r="D6603" t="n">
        <v>1</v>
      </c>
      <c r="E6603" t="n">
        <v>5</v>
      </c>
      <c r="F6603">
        <f>HYPERLINK("https://www.reddit.com/r/diabetes/comments/biiywj/i_did_bad_ate_a_notsofriendly_meal/")</f>
        <v/>
      </c>
      <c r="G6603" t="inlineStr">
        <is>
          <t>2019-04-28 19:04:28</t>
        </is>
      </c>
      <c r="H6603" t="inlineStr">
        <is>
          <t>Type 2</t>
        </is>
      </c>
    </row>
    <row r="6604">
      <c r="A6604" t="inlineStr">
        <is>
          <t>bij1kw</t>
        </is>
      </c>
      <c r="B6604" t="inlineStr">
        <is>
          <t>Question on the Libre</t>
        </is>
      </c>
      <c r="C6604" t="inlineStr">
        <is>
          <t>Hi there! Sooooo 10 days ago I finally got my libre and have loved it since. But as most of you know the tape starts to wear at about this time. It fell of today after i bumped my arm on a door, and i was wondering if i can restart it or if i have to wait the rest if the 4 days to restart it. Thanks!</t>
        </is>
      </c>
      <c r="D6604" t="n">
        <v>3</v>
      </c>
      <c r="E6604" t="n">
        <v>9</v>
      </c>
      <c r="F6604">
        <f>HYPERLINK("https://www.reddit.com/r/diabetes/comments/bij1kw/question_on_the_libre/")</f>
        <v/>
      </c>
      <c r="G6604" t="inlineStr">
        <is>
          <t>2019-04-28 19:12:49</t>
        </is>
      </c>
      <c r="H6604" t="inlineStr">
        <is>
          <t>Type 1</t>
        </is>
      </c>
    </row>
    <row r="6605">
      <c r="A6605" t="inlineStr">
        <is>
          <t>bimpdu</t>
        </is>
      </c>
      <c r="B6605" t="inlineStr">
        <is>
          <t>My libre is not giving me correct nimbers</t>
        </is>
      </c>
      <c r="C6605" t="inlineStr">
        <is>
          <t>So I've only been diagnosed a few weeks ago but my sister has had type 1 diabetes for a long time so she's been helping me. We got the freestyle for me cause it works just fine with my sister. At the start of was working just fine was checking with both the manual and the freestyle but after a week of having the censor in it started going off by 50-70 then after a few more days 100+ it was about to end anyway so I just took it off. We put in another censor and the same thing happens it was fine then after a week it was off by 100+. Idk if it's my device or the censors themselves should I just stop using the libre?</t>
        </is>
      </c>
      <c r="D6605" t="n">
        <v>2</v>
      </c>
      <c r="E6605" t="n">
        <v>0</v>
      </c>
      <c r="F6605">
        <f>HYPERLINK("https://www.reddit.com/r/diabetes/comments/bimpdu/my_libre_is_not_giving_me_correct_nimbers/")</f>
        <v/>
      </c>
      <c r="G6605" t="inlineStr">
        <is>
          <t>2019-04-29 00:26:55</t>
        </is>
      </c>
      <c r="H6605" t="inlineStr">
        <is>
          <t>Type 1</t>
        </is>
      </c>
    </row>
    <row r="6606">
      <c r="A6606" t="inlineStr">
        <is>
          <t>bio440</t>
        </is>
      </c>
      <c r="B6606" t="inlineStr">
        <is>
          <t>Question about lows.</t>
        </is>
      </c>
      <c r="C6606" t="inlineStr">
        <is>
          <t>Hey guys, I have a question about nighttime lows. Does anyone else get a really dry mouth/funny taste after eating/drinking when low at night? And if so, do you know what it is? It happens to me nearly every time. Thanks!</t>
        </is>
      </c>
      <c r="D6606" t="n">
        <v>2</v>
      </c>
      <c r="E6606" t="n">
        <v>2</v>
      </c>
      <c r="F6606">
        <f>HYPERLINK("https://www.reddit.com/r/diabetes/comments/bio440/question_about_lows/")</f>
        <v/>
      </c>
      <c r="G6606" t="inlineStr">
        <is>
          <t>2019-04-29 03:56:26</t>
        </is>
      </c>
      <c r="H6606" t="inlineStr">
        <is>
          <t>Type 1</t>
        </is>
      </c>
    </row>
    <row r="6607">
      <c r="A6607" t="inlineStr">
        <is>
          <t>biotr1</t>
        </is>
      </c>
      <c r="B6607" t="inlineStr">
        <is>
          <t>How does a type 2 diabetes libre/dexcom graph look?</t>
        </is>
      </c>
      <c r="C6607" t="inlineStr">
        <is>
          <t>I'm just interested, I have type one and a libre and if I didn't inject insulin, I could see the direct spikes of my carb intake. How does it look like for a type 2 diabetic? (On insulin and on pills)</t>
        </is>
      </c>
      <c r="D6607" t="n">
        <v>3</v>
      </c>
      <c r="E6607" t="n">
        <v>3</v>
      </c>
      <c r="F6607">
        <f>HYPERLINK("https://www.reddit.com/r/diabetes/comments/biotr1/how_does_a_type_2_diabetes_libredexcom_graph_look/")</f>
        <v/>
      </c>
      <c r="G6607" t="inlineStr">
        <is>
          <t>2019-04-29 05:20:07</t>
        </is>
      </c>
      <c r="H6607" t="inlineStr">
        <is>
          <t>Type 2</t>
        </is>
      </c>
    </row>
    <row r="6608">
      <c r="A6608" t="inlineStr">
        <is>
          <t>biqhah</t>
        </is>
      </c>
      <c r="B6608" t="inlineStr">
        <is>
          <t>My mom was diagnosed as diabetic and I dont know what she should eat</t>
        </is>
      </c>
      <c r="C6608" t="inlineStr">
        <is>
          <t>She loves white rice, vege and fruit, eats VERY little meat. What is a good filling substitute for white rice? She kept saying she is hungry and going crazy without white rice. I have gotten into serious argument with her and its taking a toll on my mental health.</t>
        </is>
      </c>
      <c r="D6608" t="n">
        <v>5</v>
      </c>
      <c r="E6608" t="n">
        <v>12</v>
      </c>
      <c r="F6608">
        <f>HYPERLINK("https://www.reddit.com/r/diabetes/comments/biqhah/my_mom_was_diagnosed_as_diabetic_and_i_dont_know/")</f>
        <v/>
      </c>
      <c r="G6608" t="inlineStr">
        <is>
          <t>2019-04-29 08:02:42</t>
        </is>
      </c>
      <c r="H6608" t="inlineStr">
        <is>
          <t>Type 2</t>
        </is>
      </c>
    </row>
    <row r="6609">
      <c r="A6609" t="inlineStr">
        <is>
          <t>bisppf</t>
        </is>
      </c>
      <c r="B6609" t="inlineStr">
        <is>
          <t>Dexcom on leg. Issue with blood</t>
        </is>
      </c>
      <c r="C6609" t="inlineStr">
        <is>
          <t>So i tried putting my dexcom on my leg yesterday and when i woke up this morning it seems like there is a abnormally large amount of blood under the unit and on the sticky part. is this an issue i should be worried about or not? I never had this issue when i had it on my stomach</t>
        </is>
      </c>
      <c r="D6609" t="n">
        <v>2</v>
      </c>
      <c r="E6609" t="n">
        <v>6</v>
      </c>
      <c r="F6609">
        <f>HYPERLINK("https://www.reddit.com/r/diabetes/comments/bisppf/dexcom_on_leg_issue_with_blood/")</f>
        <v/>
      </c>
      <c r="G6609" t="inlineStr">
        <is>
          <t>2019-04-29 11:12:40</t>
        </is>
      </c>
      <c r="H6609" t="inlineStr">
        <is>
          <t>Type 1</t>
        </is>
      </c>
    </row>
    <row r="6610">
      <c r="A6610" t="inlineStr">
        <is>
          <t>bitizy</t>
        </is>
      </c>
      <c r="B6610" t="inlineStr">
        <is>
          <t>Someone had similar experience?</t>
        </is>
      </c>
      <c r="C6610" t="inlineStr">
        <is>
          <t>Hi sweet people! Tomorrow I'll be in a theme park, you know the ones with rollercoaster and  bla bla bla. My concern is, since I use the 640g insulin pump, will I face some problems with my glycaemia? 
I really don't know what to expect, some suggestions? Thanks to everyone</t>
        </is>
      </c>
      <c r="D6610" t="n">
        <v>2</v>
      </c>
      <c r="E6610" t="n">
        <v>5</v>
      </c>
      <c r="F6610">
        <f>HYPERLINK("https://www.reddit.com/r/diabetes/comments/bitizy/someone_had_similar_experience/")</f>
        <v/>
      </c>
      <c r="G6610" t="inlineStr">
        <is>
          <t>2019-04-29 12:22:08</t>
        </is>
      </c>
      <c r="H6610" t="inlineStr">
        <is>
          <t>Type 1</t>
        </is>
      </c>
    </row>
    <row r="6611">
      <c r="A6611" t="inlineStr">
        <is>
          <t>biw4xg</t>
        </is>
      </c>
      <c r="B6611" t="inlineStr">
        <is>
          <t>Stomach Cramp guy update.</t>
        </is>
      </c>
      <c r="C6611" t="inlineStr">
        <is>
          <t>I was watching what I ate as I thought my medication was causing these symptoms. It seems as though my stomach does not like aspartame and whatever else goes into sugar free food items.
But I did talk to a doctor today and go back in a few days. He did mention that he would like to cut my dosage to twice a day 500mg instead of the one 750 metformin. 
He also prescribed Lisinopril.
So we will see how this goes.</t>
        </is>
      </c>
      <c r="D6611" t="n">
        <v>6</v>
      </c>
      <c r="E6611" t="n">
        <v>5</v>
      </c>
      <c r="F6611">
        <f>HYPERLINK("https://www.reddit.com/r/diabetes/comments/biw4xg/stomach_cramp_guy_update/")</f>
        <v/>
      </c>
      <c r="G6611" t="inlineStr">
        <is>
          <t>2019-04-29 16:12:09</t>
        </is>
      </c>
      <c r="H6611" t="inlineStr">
        <is>
          <t>Type 2</t>
        </is>
      </c>
    </row>
    <row r="6612">
      <c r="A6612" t="inlineStr">
        <is>
          <t>biwxos</t>
        </is>
      </c>
      <c r="B6612" t="inlineStr">
        <is>
          <t>Diabetic Survey</t>
        </is>
      </c>
      <c r="C6612" t="inlineStr">
        <is>
          <t>Diabetic socks are a problem for me and my family. I'd like to solve that problem, I've made a survey (5 quick questions) to see if you can help me solve that problem. 
&amp;amp;#x200B;
I appreciate your help :) 
&amp;amp;#x200B;
[https://docs.google.com/forms/d/e/1FAIpQLSc8jEfTgelx0HgqFaNCBT5c6uNl4Ys0LNHhmqTNFmiZDaQPAA/viewform?usp=sf\_link](https://docs.google.com/forms/d/e/1FAIpQLSc8jEfTgelx0HgqFaNCBT5c6uNl4Ys0LNHhmqTNFmiZDaQPAA/viewform?usp=sf_link)</t>
        </is>
      </c>
      <c r="D6612" t="n">
        <v>1</v>
      </c>
      <c r="E6612" t="n">
        <v>1</v>
      </c>
      <c r="F6612">
        <f>HYPERLINK("https://www.reddit.com/r/diabetes/comments/biwxos/diabetic_survey/")</f>
        <v/>
      </c>
      <c r="G6612" t="inlineStr">
        <is>
          <t>2019-04-29 17:32:27</t>
        </is>
      </c>
      <c r="H6612" t="inlineStr">
        <is>
          <t>Type 1</t>
        </is>
      </c>
    </row>
    <row r="6613">
      <c r="A6613" t="inlineStr">
        <is>
          <t>biy1z8</t>
        </is>
      </c>
      <c r="B6613" t="inlineStr">
        <is>
          <t>please convince me not to fall into diabulimia</t>
        </is>
      </c>
      <c r="C6613" t="inlineStr">
        <is>
          <t>It's been 2 months seen I have been diagnosed with type 1 diabetes. I was rushed into the ICU with blood sugar over 700 and weighing 95 pounds. I had lost nearly 30 pounds from dehydration and DKA (i used to be 120-125). Now although my blood sugars are better, I weigh 134 pounds. I know that some of it was from my body recovering from the DKA weight loss but I hate how fat I have become. My clothes have grown tighter and my mom keeps teasing my body. I hate how fat I've become. I was almost borderline anorexic about two years ago (I believe OFSED is the correct term). Now I can't even starve myself without my blood sugar plummeting. When I exercise, my blood sugar can fall from the 190s to the 60s within 30 minutes. I hate eating to treat lows (even though I typically use high sugar fruits to treat lows). I've read stories of diabulimia. How easy it is to lose weight just by not taking insulin. I know that the insulin isn't causing me to be fat but it's the calories. I've been trying to stay under 1350 calories each day but it still seems like it's not working, despite my increased exercise (I never exercised beforehand). I keep looking at a picture in February (about 2 weeks before i was rushed into the ICU) when I was at my skinniest and I miss that body so much. I was sick and I didn't know it but god I miss being that skinny.  I looked so good. Even when I got out of the hospital at 110  lb I didn't want to gain weight but I was so hungry that I gained it all back so quickly and now I weigh more than I used to. I hate this weight gain. I've also been limiting my carbs, having only around 32-40 carbs a meal. I just want to be skinny again. I'm trying so hard to lose weight the right way but the thought of diabulimia is so tempting. I almost wish I could be anorexic again because at least it'll take longer to do significant damage on my body. I can't skip meals because I still have to log my blood sugars and doses. I feel myself falling back into an eating disorder and I'm so scared but I'm so tempted to. It would be so easy.  All I would have to do is lie on my charts and skip the insulin. Please convince me not to do that. I hate my body so much right now.</t>
        </is>
      </c>
      <c r="D6613" t="n">
        <v>7</v>
      </c>
      <c r="E6613" t="n">
        <v>13</v>
      </c>
      <c r="F6613">
        <f>HYPERLINK("https://www.reddit.com/r/diabetes/comments/biy1z8/please_convince_me_not_to_fall_into_diabulimia/")</f>
        <v/>
      </c>
      <c r="G6613" t="inlineStr">
        <is>
          <t>2019-04-29 19:26:00</t>
        </is>
      </c>
      <c r="H6613" t="inlineStr">
        <is>
          <t>Type 1</t>
        </is>
      </c>
    </row>
    <row r="6614">
      <c r="A6614" t="inlineStr">
        <is>
          <t>bj1qx9</t>
        </is>
      </c>
      <c r="B6614" t="inlineStr">
        <is>
          <t>When my blood sugar is low i become kinder</t>
        </is>
      </c>
      <c r="C6614" t="inlineStr">
        <is>
          <t>I don't know hwy that happens, but its very noticable, i become much kinder when my blood sugar is low. I don't mean normal by low. i mean when i get Hypoglycemia.</t>
        </is>
      </c>
      <c r="D6614" t="n">
        <v>5</v>
      </c>
      <c r="E6614" t="n">
        <v>9</v>
      </c>
      <c r="F6614">
        <f>HYPERLINK("https://www.reddit.com/r/diabetes/comments/bj1qx9/when_my_blood_sugar_is_low_i_become_kinder/")</f>
        <v/>
      </c>
      <c r="G6614" t="inlineStr">
        <is>
          <t>2019-04-30 03:32:23</t>
        </is>
      </c>
      <c r="H6614" t="inlineStr">
        <is>
          <t>Type 1</t>
        </is>
      </c>
    </row>
    <row r="6615">
      <c r="A6615" t="inlineStr">
        <is>
          <t>bj2mf8</t>
        </is>
      </c>
      <c r="B6615" t="inlineStr">
        <is>
          <t>Please may you lovely people give me some advice?</t>
        </is>
      </c>
      <c r="C6615" t="inlineStr">
        <is>
          <t>Hello, I am new to Reddit, so not sure how this works.   
I was recently diagnosed with Type 2 diabetes. I live in Zimbabwe and there are no facilities that specialise in diabetes. My sugar level tends to stay between 7 mmol/L . and 8.5 mmol/L . I find if I go below 6.5 I feel terrible. I have been told 2 different things by different nurses. One was I may have to go onto insulin because my sugar is so high and the other was that I am fine and my sugar can go as high as 10 and I will be fine.   
Also another problem is we don't get all the fancy fruits, veggies and food here. So my diet is pretty boring. Chicken, veggies, tea and apples. I am not sure what I can and cannot have.   
Another question is my weight, I have lost 47kg in about 18 months and do gym. I just cannot budge the last bit to get to my target :-(  
Sorry for all the questions :-)</t>
        </is>
      </c>
      <c r="D6615" t="n">
        <v>14</v>
      </c>
      <c r="E6615" t="n">
        <v>32</v>
      </c>
      <c r="F6615">
        <f>HYPERLINK("https://www.reddit.com/r/diabetes/comments/bj2mf8/please_may_you_lovely_people_give_me_some_advice/")</f>
        <v/>
      </c>
      <c r="G6615" t="inlineStr">
        <is>
          <t>2019-04-30 05:18:16</t>
        </is>
      </c>
      <c r="H6615" t="inlineStr">
        <is>
          <t>Type 2</t>
        </is>
      </c>
    </row>
    <row r="6616">
      <c r="A6616" t="inlineStr">
        <is>
          <t>bj6jqm</t>
        </is>
      </c>
      <c r="B6616" t="inlineStr">
        <is>
          <t>dka and nearly dead 6 months ago (type 2) , stopped taking my insulin and only focused on eating right after 3 weeks of leaving the icu. got my a1c test back today</t>
        </is>
      </c>
      <c r="C6616" t="inlineStr">
        <is>
          <t>im at a fucking 4.9 a1c  absolutely blew my fucking mind 
&amp;amp;#x200B;
I was 400+lbs (before hitting dka, as i dropped 50lbs in 2 months while having symptoms) , ate like complete and utter shit (like 75% of a large pizza for dinner, king size candy bars every day, tons of mtn dew) when i was in the er they told me my a1c was 13.4.  all i do now is run maybe twice a week (im 21 years old and played football at 370-400lbs all throgh highschool) and keep my carbs per meal to under 50 3 times a day. i know im pretty much a miracle to not have to take any insulin, im just very lucky. 
&amp;amp;#x200B;
oh yeah, im also down to 312lb! been a great start to the year lmao</t>
        </is>
      </c>
      <c r="D6616" t="n">
        <v>37</v>
      </c>
      <c r="E6616" t="n">
        <v>21</v>
      </c>
      <c r="F6616">
        <f>HYPERLINK("https://www.reddit.com/r/diabetes/comments/bj6jqm/dka_and_nearly_dead_6_months_ago_type_2_stopped/")</f>
        <v/>
      </c>
      <c r="G6616" t="inlineStr">
        <is>
          <t>2019-04-30 11:10:21</t>
        </is>
      </c>
      <c r="H6616" t="inlineStr">
        <is>
          <t>Type 2</t>
        </is>
      </c>
    </row>
    <row r="6617">
      <c r="A6617" t="inlineStr">
        <is>
          <t>bj8p5g</t>
        </is>
      </c>
      <c r="B6617" t="inlineStr">
        <is>
          <t>How to stop finger tips hardening.</t>
        </is>
      </c>
      <c r="C6617" t="inlineStr">
        <is>
          <t>So my blood sugars have been out of control recently and so I have had to do a lot more finger prick tests. Due to this my finger tips have been becoming a lot harder and i'm finding getting blood to be a lot more difficult. I was wondering if any of you had any tips on how to counteract this. (Live in the UK so American products aren't the best option).</t>
        </is>
      </c>
      <c r="D6617" t="n">
        <v>3</v>
      </c>
      <c r="E6617" t="n">
        <v>15</v>
      </c>
      <c r="F6617">
        <f>HYPERLINK("https://www.reddit.com/r/diabetes/comments/bj8p5g/how_to_stop_finger_tips_hardening/")</f>
        <v/>
      </c>
      <c r="G6617" t="inlineStr">
        <is>
          <t>2019-04-30 14:10:36</t>
        </is>
      </c>
      <c r="H6617" t="inlineStr">
        <is>
          <t>Type 1</t>
        </is>
      </c>
    </row>
    <row r="6618">
      <c r="A6618" t="inlineStr">
        <is>
          <t>bjaz9k</t>
        </is>
      </c>
      <c r="B6618" t="inlineStr">
        <is>
          <t>Stomach filling food for diabetic - tropical region</t>
        </is>
      </c>
      <c r="C6618" t="inlineStr">
        <is>
          <t>I live in asiatic tropical region, what stomach filling diabetic friendly food can I find? Cheap and abundant and not expensive or exotic.</t>
        </is>
      </c>
      <c r="D6618" t="n">
        <v>11</v>
      </c>
      <c r="E6618" t="n">
        <v>12</v>
      </c>
      <c r="F6618">
        <f>HYPERLINK("https://www.reddit.com/r/diabetes/comments/bjaz9k/stomach_filling_food_for_diabetic_tropical_region/")</f>
        <v/>
      </c>
      <c r="G6618" t="inlineStr">
        <is>
          <t>2019-04-30 17:36:38</t>
        </is>
      </c>
      <c r="H6618" t="inlineStr">
        <is>
          <t>Type 2</t>
        </is>
      </c>
    </row>
    <row r="6619">
      <c r="A6619" t="inlineStr">
        <is>
          <t>bjbp1f</t>
        </is>
      </c>
      <c r="B6619" t="inlineStr">
        <is>
          <t>Freestyle libre scan not working anymore</t>
        </is>
      </c>
      <c r="C6619" t="inlineStr">
        <is>
          <t>Just woke up tried to scan my libre with my phone but it doesn't seem to work at all.
I have restarted  phone don't know what else I can do I can't use the original freestyle scanner thingy to scan it because it's already conected to my phone I never had such an issue, can anyone help?</t>
        </is>
      </c>
      <c r="D6619" t="n">
        <v>2</v>
      </c>
      <c r="E6619" t="n">
        <v>4</v>
      </c>
      <c r="F6619">
        <f>HYPERLINK("https://www.reddit.com/r/diabetes/comments/bjbp1f/freestyle_libre_scan_not_working_anymore/")</f>
        <v/>
      </c>
      <c r="G6619" t="inlineStr">
        <is>
          <t>2019-04-30 18:48:22</t>
        </is>
      </c>
      <c r="H6619" t="inlineStr">
        <is>
          <t>Type 1</t>
        </is>
      </c>
    </row>
    <row r="6620">
      <c r="A6620" t="inlineStr">
        <is>
          <t>bjbxi2</t>
        </is>
      </c>
      <c r="B6620" t="inlineStr">
        <is>
          <t>Are doctors just terrible these days?</t>
        </is>
      </c>
      <c r="C6620" t="inlineStr">
        <is>
          <t>I don't know if this is the right place for this, forgive me if it's not. I've been type-2 diabetic for more than 25 years and am healthy. I've been on the same kind of medications for years. It works great. My numbers are excellent and I have no issues. But the problem I have is that all of the doctors in this area, all of them want to hold prescriptions hostage. Even for someone like me with a long established drug regimen, they want to see blood tests and an office visit every 3 months, regardless of what they say. They just want that sweet, sweet insurance money and therefore, won't write prescriptions for longer than 3 months at a time.  Of course, my insurance wants to send me drugs, 3-months at a time and I can never do that because by the time I see the doctor, I'm scraping the bottom of the barrel. I have to get that prescription to a local pharmacy because I won't make it the 2-3 weeks it takes for the mail prescriptions to arrive the first time. I think this is terribly abusive. I have to pay more for my medications because the doctors are money-grubbing. And yes, I've talked to them and my insurance company and the insurance company confirms that a lot of doctors are that way and they can't do anything to stop them.
&amp;amp;#x200B;
Anyone else have this problem? It's everyone in this area. I have tried at least half a dozen doctors in the past couple of years and they're all that way. One guy wouldn't let more than 2 months go before getting all the testing done. It isn't like my tests come out with problems, they never do. My A1C hasn't been remotely near 7 in years, yet I still have to go in every three months to get stabbed. It's ridiculous.</t>
        </is>
      </c>
      <c r="D6620" t="n">
        <v>10</v>
      </c>
      <c r="E6620" t="n">
        <v>13</v>
      </c>
      <c r="F6620">
        <f>HYPERLINK("https://www.reddit.com/r/diabetes/comments/bjbxi2/are_doctors_just_terrible_these_days/")</f>
        <v/>
      </c>
      <c r="G6620" t="inlineStr">
        <is>
          <t>2019-04-30 19:12:34</t>
        </is>
      </c>
      <c r="H6620" t="inlineStr">
        <is>
          <t>Type 2</t>
        </is>
      </c>
    </row>
    <row r="6621">
      <c r="A6621" t="inlineStr">
        <is>
          <t>bjcj6i</t>
        </is>
      </c>
      <c r="B6621" t="inlineStr">
        <is>
          <t>Sick</t>
        </is>
      </c>
      <c r="C6621" t="inlineStr">
        <is>
          <t>My son(8) was diagnosed in late February. He was doing great, until he got head cold last Thursday. He has been between 250/425. We have been doing all the same foods carbs between 20/40ish. Been the same for 2 months.  We left house to take out the Mt bikes, we were riding for about 1 and a half. He dropped to 280. We moved to a dif spot to ride he went up to 311. We get him down he goes back up, without any carbs. He was drinking  gaterade zero.So tonight he's high again, we dosed a half dose more the usual and he dropped to 90. This is the first time under 100, in a week. When you guys get sick are you dosing a little more? We have a Dr that sucks, we are waiting on referal to another. Just curious how you treat yourself when your sick.</t>
        </is>
      </c>
      <c r="D6621" t="n">
        <v>3</v>
      </c>
      <c r="E6621" t="n">
        <v>11</v>
      </c>
      <c r="F6621">
        <f>HYPERLINK("https://www.reddit.com/r/diabetes/comments/bjcj6i/sick/")</f>
        <v/>
      </c>
      <c r="G6621" t="inlineStr">
        <is>
          <t>2019-04-30 20:18:04</t>
        </is>
      </c>
      <c r="H6621" t="inlineStr">
        <is>
          <t>Type 1</t>
        </is>
      </c>
    </row>
    <row r="6622">
      <c r="A6622" t="inlineStr">
        <is>
          <t>bjckyi</t>
        </is>
      </c>
      <c r="B6622" t="inlineStr">
        <is>
          <t>Whole30 with Type 1 - anyone done it? Tips?</t>
        </is>
      </c>
      <c r="C6622" t="inlineStr">
        <is>
          <t>Hi everyone!
My girlfriend (type 1) and I are starting the Whole30 on Saturday. It seems like many of the foods are right up her alley (she LOVES eggs and meat and veggies). I will probably struggle more than she will - but I was wondering if she might have extreme highs or lows due to this new diet? Has anyone done it as a type 1? I realize everyone is different, but it would still be interesting.</t>
        </is>
      </c>
      <c r="D6622" t="n">
        <v>2</v>
      </c>
      <c r="E6622" t="n">
        <v>4</v>
      </c>
      <c r="F6622">
        <f>HYPERLINK("https://www.reddit.com/r/diabetes/comments/bjckyi/whole30_with_type_1_anyone_done_it_tips/")</f>
        <v/>
      </c>
      <c r="G6622" t="inlineStr">
        <is>
          <t>2019-04-30 20:23:41</t>
        </is>
      </c>
      <c r="H6622" t="inlineStr">
        <is>
          <t>Type 1</t>
        </is>
      </c>
    </row>
    <row r="6623">
      <c r="A6623" t="inlineStr">
        <is>
          <t>bjneqi</t>
        </is>
      </c>
      <c r="B6623" t="inlineStr">
        <is>
          <t>Blood sugar dangerously low - no food to eat</t>
        </is>
      </c>
      <c r="C6623" t="inlineStr">
        <is>
          <t>Hello, all. So I have been without a job for a few months now, and have been relying on a single food pantry for nutrition. I live in a rural community, with the nearest food pantry (mentioned above) being 59 miles away. I can only visit the food pantry once every 30 days, and they only provide a one week supply of food. I have no family or friends that can help. I do not drive. I am ineligible for food stamps, as I am determined able-bodied to work, and yet I can't find a job because I live in such a remote area. My sugars are dipping dangerously low; my meter has been fluctuating between 62 and 73 today, which is VERY low for me. The last thing I had to eat was a package of ramen noodles (my last pack) 3 days ago. I am scared. Any ideas?</t>
        </is>
      </c>
      <c r="D6623" t="n">
        <v>4</v>
      </c>
      <c r="E6623" t="n">
        <v>6</v>
      </c>
      <c r="F6623">
        <f>HYPERLINK("https://www.reddit.com/r/diabetes/comments/bjneqi/blood_sugar_dangerously_low_no_food_to_eat/")</f>
        <v/>
      </c>
      <c r="G6623" t="inlineStr">
        <is>
          <t>2019-05-01 15:26:51</t>
        </is>
      </c>
      <c r="H6623" t="inlineStr">
        <is>
          <t>Type 2</t>
        </is>
      </c>
    </row>
    <row r="6624">
      <c r="A6624" t="inlineStr">
        <is>
          <t>bjq375</t>
        </is>
      </c>
      <c r="B6624" t="inlineStr">
        <is>
          <t>Berberine after getting A1C into "normal" range?</t>
        </is>
      </c>
      <c r="C6624" t="inlineStr">
        <is>
          <t>Hi all!  Over the past 6 months to a year, I've gotten my A1C from 6.9 (or around there, 6.9 was my highest) to 4.9 at the end of March.  It was at 5.3 when my doctor and I decided at the end of December (okay, I kind of decided and she just agreed, since she only finally was spending more than 90-120 seconds with me after I lost weight) to stop taking the metformin XR.  I was at 1000mg a day still.  There was about a week or so where I suffered through the weirdest "withdrawal" ever where I was hungrier than I've ever been in my life.  The signal that you get from your stomach saying it's hungry just never stopped and only got worse, even though I had just eaten, it was just still signalling more and more urgently for food.  I don't want to go back on the metformin ever, but even though my A1C is down so well, I know I've still got insulin resistance happening, and in spite of the A1C going down even more since December, I gained back a decent chunk of the 60 pounds I lost.  I'm not going to say I never ate any carbs, because I totally did, but even on militant stretches of super low carb, I still gained weight.  The endo said I should check my blood sugar at random once a day to see if I'm ever over 200, which I'm sure is absolutely possible, and that if that happens, I need to be back on the metformin no matter my A1C.  All I can say is NOOOOO.  I've been hunting around for something that isn't cinnamon (cause... we all know) but isn't metformin.  My acupuncturist told me I should take Golden Seal and I bought some of the Standard Process stuff he had in the office.  This stuff is expensive and I'm not sure how much to even take.  Could I be written a prescription for berberine?  If I have to buy over the counter, is there a better brand?  I have Hashimoto's, too, and I know that not all natural dessicated thyroid is created equal, so I figure that might happen with berberine, too.  
&amp;amp;#x200B;
If you have ever tried berberine and didn't like it or even have any anecdotal stories, I'd love to hear them.  Thanks! :)</t>
        </is>
      </c>
      <c r="D6624" t="n">
        <v>1</v>
      </c>
      <c r="E6624" t="n">
        <v>15</v>
      </c>
      <c r="F6624">
        <f>HYPERLINK("https://www.reddit.com/r/diabetes/comments/bjq375/berberine_after_getting_a1c_into_normal_range/")</f>
        <v/>
      </c>
      <c r="G6624" t="inlineStr">
        <is>
          <t>2019-05-01 20:00:36</t>
        </is>
      </c>
      <c r="H6624" t="inlineStr">
        <is>
          <t>Type 2</t>
        </is>
      </c>
    </row>
    <row r="6625">
      <c r="A6625" t="inlineStr">
        <is>
          <t>bjrxl3</t>
        </is>
      </c>
      <c r="B6625" t="inlineStr">
        <is>
          <t>Celebrating Progress</t>
        </is>
      </c>
      <c r="C6625" t="inlineStr">
        <is>
          <t>Today I met with my endo for a check up after being diagnosed almost 4 months ago. From February to May, my A1C has gone from 8.6% to 5.9% while on insulin and metformin (started with 500 mg and made it up to 2000 mg). I'm now starting trajenta and lowering my insulin down to 25 ml, with the hope of coming off of insulin completely by the end of August. 
I just want to thank this community for being here and being supportive by answering questions, and being here for one another.
You guys are the best. 
Here's to making the best of a shitty hand dealt, and working hard to try to control as much as we can.</t>
        </is>
      </c>
      <c r="D6625" t="n">
        <v>15</v>
      </c>
      <c r="E6625" t="n">
        <v>2</v>
      </c>
      <c r="F6625">
        <f>HYPERLINK("https://www.reddit.com/r/diabetes/comments/bjrxl3/celebrating_progress/")</f>
        <v/>
      </c>
      <c r="G6625" t="inlineStr">
        <is>
          <t>2019-05-01 23:58:56</t>
        </is>
      </c>
      <c r="H6625" t="inlineStr">
        <is>
          <t>Type 2</t>
        </is>
      </c>
    </row>
    <row r="6626">
      <c r="A6626" t="inlineStr">
        <is>
          <t>bjsgee</t>
        </is>
      </c>
      <c r="B6626" t="inlineStr">
        <is>
          <t>blood sugar dropping at night</t>
        </is>
      </c>
      <c r="C6626" t="inlineStr">
        <is>
          <t>so over the past week or two, my blood sugar drops quite a bit overnight - i eat something before bed like a piece of bread or fruit to raise my blood sugar to about 10mmol but then i’ll wake up with it being like 4mmol or even low sometimes.
I used to take like 18units of basal insulin (lantus) but i’ve been reducing it by 1-2 units every night, and i’m currently at 14units today - it’s a bit better, i don’t have to eat as much before bed but it still drops quite significantly. i feel like a really low basal dose is going to make me have highs during the day? i don’t know, i’ll keep experimenting and see what happens, it’s just annoying and i hate those glucose tablets so much.
i’m also currently losing weight, is that related?</t>
        </is>
      </c>
      <c r="D6626" t="n">
        <v>3</v>
      </c>
      <c r="E6626" t="n">
        <v>8</v>
      </c>
      <c r="F6626">
        <f>HYPERLINK("https://www.reddit.com/r/diabetes/comments/bjsgee/blood_sugar_dropping_at_night/")</f>
        <v/>
      </c>
      <c r="G6626" t="inlineStr">
        <is>
          <t>2019-05-02 01:19:10</t>
        </is>
      </c>
      <c r="H6626" t="inlineStr">
        <is>
          <t>Type 1</t>
        </is>
      </c>
    </row>
    <row r="6627">
      <c r="A6627" t="inlineStr">
        <is>
          <t>bjsjyo</t>
        </is>
      </c>
      <c r="B6627" t="inlineStr">
        <is>
          <t>Question about reversing diabetes</t>
        </is>
      </c>
      <c r="C6627" t="inlineStr">
        <is>
          <t>Hello people
So early February my doctor diagnosed me with type 2 diabetes, A1C was 8.4 and she prescribed me some Glucophage 1000mg. Ever since then, I've been eating better and lost about 12kg. My doctor said that there's a chance of me going into remission if i can manage to lower my A1C. A recent test showed that my A1C dropped to 5.7 but the doctor said I'm still kinda diabetic. So I just wanted to ask, has anyone here successfully reversed diabetes? If so, what was the process and how long did it take you?</t>
        </is>
      </c>
      <c r="D6627" t="n">
        <v>1</v>
      </c>
      <c r="E6627" t="n">
        <v>4</v>
      </c>
      <c r="F6627">
        <f>HYPERLINK("https://www.reddit.com/r/diabetes/comments/bjsjyo/question_about_reversing_diabetes/")</f>
        <v/>
      </c>
      <c r="G6627" t="inlineStr">
        <is>
          <t>2019-05-02 01:34:53</t>
        </is>
      </c>
      <c r="H6627" t="inlineStr">
        <is>
          <t>Type 2</t>
        </is>
      </c>
    </row>
    <row r="6628">
      <c r="A6628" t="inlineStr">
        <is>
          <t>bjtss2</t>
        </is>
      </c>
      <c r="B6628" t="inlineStr">
        <is>
          <t>Struggling with depression and anxiety disorders</t>
        </is>
      </c>
      <c r="C6628" t="inlineStr">
        <is>
          <t>I can't seem to get myself to eat right. I'm newly diagnosed but I've had clinical depression and various anxiety disorders for 8 years now. The psyche meds made me gain weight in the first place. I used to be really healthy and skinny and never had any kind of diagnosed health issues at all. I was more active physically too and my job at the time kept me on the move constantly. I was always walking and moving my body. Now I'm on disability because of my mental health status and I'm considered morbidly obese and I was also told I have metabolic syndrome and PCOS. I have a problem with comfort eating for my depression and anxiety. I love pasta and bread products and I love me a nice dessert sometimes too (mmmm cake or pie).
For dinner yesterday I had 4 slices of turkey covered in gravy, a scoop of stuffing, a scoop of mashed potatoes and gravy, green beens cooked with bacon, and some cranberry sauce and a cup of regular ole Sprite. I'm going really terrible with trying to diet. 
At home, I drink only water mixed with blueberry lemonade Mio or I'll have a cup of Sprite Zero and I hardly eat at home. I eat out a lot because I don't have any energy or motivation to cook and I don't like having to eat salad all the time.</t>
        </is>
      </c>
      <c r="D6628" t="n">
        <v>20</v>
      </c>
      <c r="E6628" t="n">
        <v>14</v>
      </c>
      <c r="F6628">
        <f>HYPERLINK("https://www.reddit.com/r/diabetes/comments/bjtss2/struggling_with_depression_and_anxiety_disorders/")</f>
        <v/>
      </c>
      <c r="G6628" t="inlineStr">
        <is>
          <t>2019-05-02 04:25:00</t>
        </is>
      </c>
      <c r="H6628" t="inlineStr">
        <is>
          <t>Type 2</t>
        </is>
      </c>
    </row>
    <row r="6629">
      <c r="A6629" t="inlineStr">
        <is>
          <t>bjusan</t>
        </is>
      </c>
      <c r="B6629" t="inlineStr">
        <is>
          <t>Adjusting basal rate with a pump</t>
        </is>
      </c>
      <c r="C6629" t="inlineStr">
        <is>
          <t>Hey all, I just started on t-slim x2. Already posted a question on here since starting, but here’s another one for you! How do I go about setting a temp basal increase for the dawn affect I experience in the morning. My BG is not shooting up come morning, but it slowly starts to increase from around 6am and starts returns to normal after breakfast (930am).
1) How do I figure out what % increase I need without overdoing it?
2) when should I initiate the increase so that it takes effect at the right time?</t>
        </is>
      </c>
      <c r="D6629" t="n">
        <v>3</v>
      </c>
      <c r="E6629" t="n">
        <v>13</v>
      </c>
      <c r="F6629">
        <f>HYPERLINK("https://www.reddit.com/r/diabetes/comments/bjusan/adjusting_basal_rate_with_a_pump/")</f>
        <v/>
      </c>
      <c r="G6629" t="inlineStr">
        <is>
          <t>2019-05-02 06:12:27</t>
        </is>
      </c>
      <c r="H6629" t="inlineStr">
        <is>
          <t>Type 1</t>
        </is>
      </c>
    </row>
    <row r="6630">
      <c r="A6630" t="inlineStr">
        <is>
          <t>bjy5a3</t>
        </is>
      </c>
      <c r="B6630" t="inlineStr">
        <is>
          <t>Is 125 fasting BG good?</t>
        </is>
      </c>
      <c r="C6630" t="inlineStr">
        <is>
          <t>I am getting 125 BG fasting. Is this good? 
Should I take more long acting?
I see my endo in a month.. but till then should I increase my basaglar?</t>
        </is>
      </c>
      <c r="D6630" t="n">
        <v>3</v>
      </c>
      <c r="E6630" t="n">
        <v>2</v>
      </c>
      <c r="F6630">
        <f>HYPERLINK("https://www.reddit.com/r/diabetes/comments/bjy5a3/is_125_fasting_bg_good/")</f>
        <v/>
      </c>
      <c r="G6630" t="inlineStr">
        <is>
          <t>2019-05-02 11:10:52</t>
        </is>
      </c>
      <c r="H6630" t="inlineStr">
        <is>
          <t>Type 2</t>
        </is>
      </c>
    </row>
    <row r="6631">
      <c r="A6631" t="inlineStr">
        <is>
          <t>bk2g46</t>
        </is>
      </c>
      <c r="B6631" t="inlineStr">
        <is>
          <t>Dealing with exercise lows</t>
        </is>
      </c>
      <c r="C6631" t="inlineStr">
        <is>
          <t>First time poster, longtime lurker.
I’ve never actively worked out, so now that my nutriologist has asked me to do so, I’m getting constant lows during exercise. (At night as well.) She wants to me lose a few kilos, so I don’t think drinking juice and sugar pills is ideal. How do you guys deal with this?</t>
        </is>
      </c>
      <c r="D6631" t="n">
        <v>4</v>
      </c>
      <c r="E6631" t="n">
        <v>6</v>
      </c>
      <c r="F6631">
        <f>HYPERLINK("https://www.reddit.com/r/diabetes/comments/bk2g46/dealing_with_exercise_lows/")</f>
        <v/>
      </c>
      <c r="G6631" t="inlineStr">
        <is>
          <t>2019-05-02 17:50:17</t>
        </is>
      </c>
      <c r="H6631" t="inlineStr">
        <is>
          <t>Type 1</t>
        </is>
      </c>
    </row>
    <row r="6632">
      <c r="A6632" t="inlineStr">
        <is>
          <t>bk2pj2</t>
        </is>
      </c>
      <c r="B6632" t="inlineStr">
        <is>
          <t>Do you guys ever get a taste of insulin in your mouth, after injecting?</t>
        </is>
      </c>
      <c r="C6632" t="inlineStr">
        <is>
          <t>It has happened a couple of times to me. I inject in my stomach and i can taste insulin in my mouth. anyone else has this happen to them?</t>
        </is>
      </c>
      <c r="D6632" t="n">
        <v>3</v>
      </c>
      <c r="E6632" t="n">
        <v>5</v>
      </c>
      <c r="F6632">
        <f>HYPERLINK("https://www.reddit.com/r/diabetes/comments/bk2pj2/do_you_guys_ever_get_a_taste_of_insulin_in_your/")</f>
        <v/>
      </c>
      <c r="G6632" t="inlineStr">
        <is>
          <t>2019-05-02 18:17:58</t>
        </is>
      </c>
      <c r="H6632" t="inlineStr">
        <is>
          <t>Type 2</t>
        </is>
      </c>
    </row>
    <row r="6633">
      <c r="A6633" t="inlineStr">
        <is>
          <t>bk2ty3</t>
        </is>
      </c>
      <c r="B6633" t="inlineStr">
        <is>
          <t>Convinced my doc to script me a CGM</t>
        </is>
      </c>
      <c r="C6633" t="inlineStr">
        <is>
          <t>BUT.... there's always a but... the general provincial medical might not cover me because 1: I'm not insulin dependent, 2, I haven't had any ER visits due to hypo issues, 3: I don't match any of the other criteria other than wanting to get ahead of my sugar control before I NEED to take insulin.
I had a scare yesterday.  Work called me in early, and I felt impaired driving around.  This is the main reason why I need a CGM - driving while impaired will cost my license.  Driving while a sugar crash is happening is driving impaired.  I need something to warn me it's happening because, although I can be good with keep my sugars more or less level, the spike yesterday scared me.  I couldn't get enough protein in me to counter the swings that were happening, even when I wasn't eating anything blatantly sugary!
Serves me right for having popcorn and pop and candy at the last showing of Avengers Endgame on Tuesday...  It's looking more and more like I'm a lada.</t>
        </is>
      </c>
      <c r="D6633" t="n">
        <v>3</v>
      </c>
      <c r="E6633" t="n">
        <v>2</v>
      </c>
      <c r="F6633">
        <f>HYPERLINK("https://www.reddit.com/r/diabetes/comments/bk2ty3/convinced_my_doc_to_script_me_a_cgm/")</f>
        <v/>
      </c>
      <c r="G6633" t="inlineStr">
        <is>
          <t>2019-05-02 18:30:47</t>
        </is>
      </c>
      <c r="H6633" t="inlineStr">
        <is>
          <t>Type 1.5/LADA</t>
        </is>
      </c>
    </row>
    <row r="6634">
      <c r="A6634" t="inlineStr">
        <is>
          <t>bk9jea</t>
        </is>
      </c>
      <c r="B6634" t="inlineStr">
        <is>
          <t>xbird is a health Startup with an ongoing internal project to improve our software! Are you willing to contribute actively to the future of Diabetes 1 management?</t>
        </is>
      </c>
      <c r="C6634" t="inlineStr">
        <is>
          <t>Get involved in our project!  We want to improve our software and actively help avoid hypoglycemic and hyperglycemic events. To do so, we need anonymized data sets of activity data, blood glucose, and insulin data. The data will be used to test and train our machine learning algorithms. The data will be anonymized and will not be shared with anyone outside of xbird GmbH. The project is simple, takes 3 weeks and all we need is you to install our software in your phone and share with us your CGM and insulin pump generated data for those 3 weeks. To find out more please take a look in our internal project webpage, or feel free to contact us directly. We compensate you for your participation and time (150 EUR Amazon Voucher). 
Project :  [http://www.xbird.io/diabetes-study](http://www.xbird.io/diabetes-study)</t>
        </is>
      </c>
      <c r="D6634" t="n">
        <v>0</v>
      </c>
      <c r="E6634" t="n">
        <v>2</v>
      </c>
      <c r="F6634">
        <f>HYPERLINK("https://www.reddit.com/r/diabetes/comments/bk9jea/xbird_is_a_health_startup_with_an_ongoing/")</f>
        <v/>
      </c>
      <c r="G6634" t="inlineStr">
        <is>
          <t>2019-05-03 08:08:55</t>
        </is>
      </c>
      <c r="H6634" t="inlineStr">
        <is>
          <t>Type 1</t>
        </is>
      </c>
    </row>
    <row r="6635">
      <c r="A6635" t="inlineStr">
        <is>
          <t>bk9sv3</t>
        </is>
      </c>
      <c r="B6635" t="inlineStr">
        <is>
          <t>"bad" a1c??</t>
        </is>
      </c>
      <c r="C6635" t="inlineStr">
        <is>
          <t>hey all!! so I had my a1c done recently and just got my results back for it. I'm at a 6.4!! 
not the lowest I've had it, but after this past year (breakup, lost my job, and then homeless), I'm really proud of myself. I know it could be lower but I'm damn happy.
my endo, however, seems to think a 6.4 a1c is incredibly high. literally every other doc in my team of docs is ecstatic about my a1c, but my endo keeps pushing to get it to a 5.8 or lower. 
the lowest I've got my a1c to was a 6.2 several years ago at the height of my health. I've been a type1 for almost 24 years to give some context. 
is my doctor crazy?? I've been having some other problems with her not related to my diabetes and considering switching if she hounds me about my a1c again.</t>
        </is>
      </c>
      <c r="D6635" t="n">
        <v>6</v>
      </c>
      <c r="E6635" t="n">
        <v>30</v>
      </c>
      <c r="F6635">
        <f>HYPERLINK("https://www.reddit.com/r/diabetes/comments/bk9sv3/bad_a1c/")</f>
        <v/>
      </c>
      <c r="G6635" t="inlineStr">
        <is>
          <t>2019-05-03 08:32:49</t>
        </is>
      </c>
      <c r="H6635" t="inlineStr">
        <is>
          <t>Type 1</t>
        </is>
      </c>
    </row>
    <row r="6636">
      <c r="A6636" t="inlineStr">
        <is>
          <t>bkdlpp</t>
        </is>
      </c>
      <c r="B6636" t="inlineStr">
        <is>
          <t>Diabetes and keto</t>
        </is>
      </c>
      <c r="C6636" t="inlineStr">
        <is>
          <t>Hey there. Type 1 diabetes of 12 years here. Ive been hearing a lot about the keto diet and how it's actually helped diabetics improve their blood sugar levels. I've been somewhat curious to try this diet and see what happens. My only issue is I have a problem with going low too much so I'm not sure if keto would be very safe in those regards. Has anyone on keto had lower blood sugars or are you just staying in one range more often than not?</t>
        </is>
      </c>
      <c r="D6636" t="n">
        <v>6</v>
      </c>
      <c r="E6636" t="n">
        <v>12</v>
      </c>
      <c r="F6636">
        <f>HYPERLINK("https://www.reddit.com/r/diabetes/comments/bkdlpp/diabetes_and_keto/")</f>
        <v/>
      </c>
      <c r="G6636" t="inlineStr">
        <is>
          <t>2019-05-03 14:16:27</t>
        </is>
      </c>
      <c r="H6636" t="inlineStr">
        <is>
          <t>Type 1</t>
        </is>
      </c>
    </row>
    <row r="6637">
      <c r="A6637" t="inlineStr">
        <is>
          <t>bkdsiz</t>
        </is>
      </c>
      <c r="B6637" t="inlineStr">
        <is>
          <t>The feeling of being low but not actually low for an entire day - anyone else experience this?</t>
        </is>
      </c>
      <c r="C6637" t="inlineStr">
        <is>
          <t>Hi everyone. I had a super strange diabetes day yesterday that I've never experienced before and am wondering if anyone else has had this experience. I have type 1 and am on the 630G. I had a low in the morning, fixed it, and then about an hour later felt low again, but I checked several times and I was in range of 130-150. I went and ate but still felt the same way after eating! I purposefully lessened the carbs to try to make myself higher but even at 250+ I had that weird low feeling - it felt like a haze. It would come and go for the rest of my day every hour or so? Even eating didn't seem to have an affect on it. 
&amp;amp;#x200B;
I flew to a different location for work that is two hours behind my home timezone and did not change the time on my pump. However, I had been there for several days at that point without any issues. So I don't think it was that.  I thought maybe I was dehydrated but I have been dehydrated before and it didn't feel like that was the cause. 
&amp;amp;#x200B;
Has anyone else ever experienced this? Or thoughts as to what caused it because I sure do not want to ever have a day like yesterday ever again.</t>
        </is>
      </c>
      <c r="D6637" t="n">
        <v>6</v>
      </c>
      <c r="E6637" t="n">
        <v>4</v>
      </c>
      <c r="F6637">
        <f>HYPERLINK("https://www.reddit.com/r/diabetes/comments/bkdsiz/the_feeling_of_being_low_but_not_actually_low_for/")</f>
        <v/>
      </c>
      <c r="G6637" t="inlineStr">
        <is>
          <t>2019-05-03 14:34:25</t>
        </is>
      </c>
      <c r="H6637" t="inlineStr">
        <is>
          <t>Type 1</t>
        </is>
      </c>
    </row>
    <row r="6638">
      <c r="A6638" t="inlineStr">
        <is>
          <t>bke0dd</t>
        </is>
      </c>
      <c r="B6638" t="inlineStr">
        <is>
          <t>Diabetic insomniac</t>
        </is>
      </c>
      <c r="C6638" t="inlineStr">
        <is>
          <t>I have Hard time sleeping because I worry about hypoglycemias. I can't sleep if my bloodsugar levels are not above certain point. And at the moment i'm super posses because I had a very Hard day fysically and I can't keep my levels up. Im so fucking tired and I just want To sleep but I can't because of bloodsugar levels. Any tips for staying awake or how not To worry about my levels so much?</t>
        </is>
      </c>
      <c r="D6638" t="n">
        <v>2</v>
      </c>
      <c r="E6638" t="n">
        <v>11</v>
      </c>
      <c r="F6638">
        <f>HYPERLINK("https://www.reddit.com/r/diabetes/comments/bke0dd/diabetic_insomniac/")</f>
        <v/>
      </c>
      <c r="G6638" t="inlineStr">
        <is>
          <t>2019-05-03 14:55:41</t>
        </is>
      </c>
      <c r="H6638" t="inlineStr">
        <is>
          <t>Type 1</t>
        </is>
      </c>
    </row>
    <row r="6639">
      <c r="A6639" t="inlineStr">
        <is>
          <t>bkgdue</t>
        </is>
      </c>
      <c r="B6639" t="inlineStr">
        <is>
          <t>Low carb/keto diet questions</t>
        </is>
      </c>
      <c r="C6639" t="inlineStr">
        <is>
          <t>I've seen a few posts from people here with pretty amazing blood sugar levels while on low carb/keto diet. 
Do you use any short acting insulin and has the low carb diet affected your daily amounts for the long acting insulin? And what happens if you decide to eat a lot of carbs on a meal all of a sudden?</t>
        </is>
      </c>
      <c r="D6639" t="n">
        <v>1</v>
      </c>
      <c r="E6639" t="n">
        <v>0</v>
      </c>
      <c r="F6639">
        <f>HYPERLINK("https://www.reddit.com/r/diabetes/comments/bkgdue/low_carbketo_diet_questions/")</f>
        <v/>
      </c>
      <c r="G6639" t="inlineStr">
        <is>
          <t>2019-05-03 19:09:47</t>
        </is>
      </c>
      <c r="H6639" t="inlineStr">
        <is>
          <t>Type 1</t>
        </is>
      </c>
    </row>
    <row r="6640">
      <c r="A6640" t="inlineStr">
        <is>
          <t>bkk3hj</t>
        </is>
      </c>
      <c r="B6640" t="inlineStr">
        <is>
          <t>Can diabetic drink fruit/vege smoothie?</t>
        </is>
      </c>
      <c r="C6640" t="inlineStr">
        <is>
          <t>My mom is diabetic and have weak gum, she prefers smoothie over chewing, can I prepare smoothie for her?</t>
        </is>
      </c>
      <c r="D6640" t="n">
        <v>1</v>
      </c>
      <c r="E6640" t="n">
        <v>22</v>
      </c>
      <c r="F6640">
        <f>HYPERLINK("https://www.reddit.com/r/diabetes/comments/bkk3hj/can_diabetic_drink_fruitvege_smoothie/")</f>
        <v/>
      </c>
      <c r="G6640" t="inlineStr">
        <is>
          <t>2019-05-04 04:13:34</t>
        </is>
      </c>
      <c r="H6640" t="inlineStr">
        <is>
          <t>Type 2</t>
        </is>
      </c>
    </row>
    <row r="6641">
      <c r="A6641" t="inlineStr">
        <is>
          <t>bklzeg</t>
        </is>
      </c>
      <c r="B6641" t="inlineStr">
        <is>
          <t>Newly diagnosed T2, New to reddit, I am stumbling...</t>
        </is>
      </c>
      <c r="C6641" t="inlineStr">
        <is>
          <t>Hello Reddit,
&amp;amp;#x200B;
I am newly diagnosed, about a month ago now. My doctor diagnosed me as type 2 with an A1C of 10.4. She has me taking 1000mg of Metformin twice a day with breakfast and dinner, and 25mg of Jardiance. Also waiting to see if insurance will cover Victoza. I am quickly learning that diabetes is a pretty expensive issue. The bonus part is that in this past month I have also lost 22 lbs...gotta like that.
&amp;amp;#x200B;
I have quickly gotten my blood sugar under control. When diagnosed it was 24.5, and within 3 days I was down to 6.0 which my doctor was very happy with. I started with an Accu-chek Guide meter and have been using it pretty religiously, and using it often. 5-7 times a day. I was just being hyper vigilant and wanting to know what items in my diet were still safe, and which were now off limits. I did some research and found the freestyle libre system, liked the convenience of it, and picked it up. I started using it yesterday, and applied the first patch to the back of my left arm. Readings throughout the day were good and verified with the accu-chek and found the numbers to be reasonably close to each other. Usually a difference of about 0.3mmol/L.  
Fast forward to this morning. I woke up with my kids and quickly passed my meter over the sensor and immediately had a panic attack as it displayed 2.7mmol/L. I immediately questioned this and ran downstairs to check using a finger stick and got a reading of 5.3, a difference of 2.6mmol/L! That calmed me down a lot, and I put the juice box back into the fridge, unopened. 2 hours after getting up, the numbers are better, but there is still a 2.2mmol/L difference...  
https://i.redd.it/1o3fytc9l7w21.jpg
What is going on? are these Libres prone to failures? Am I doing something wrong? Should I be ditching the Libre? Any help here would be greatly appreciated.</t>
        </is>
      </c>
      <c r="D6641" t="n">
        <v>4</v>
      </c>
      <c r="E6641" t="n">
        <v>12</v>
      </c>
      <c r="F6641">
        <f>HYPERLINK("https://www.reddit.com/r/diabetes/comments/bklzeg/newly_diagnosed_t2_new_to_reddit_i_am_stumbling/")</f>
        <v/>
      </c>
      <c r="G6641" t="inlineStr">
        <is>
          <t>2019-05-04 07:59:56</t>
        </is>
      </c>
      <c r="H6641" t="inlineStr">
        <is>
          <t>Type 2</t>
        </is>
      </c>
    </row>
    <row r="6642">
      <c r="A6642" t="inlineStr">
        <is>
          <t>bkojnx</t>
        </is>
      </c>
      <c r="B6642" t="inlineStr">
        <is>
          <t>First time diabetic here. Cant get my strips to suck up the blood.</t>
        </is>
      </c>
      <c r="C6642" t="inlineStr">
        <is>
          <t>Ok so i had no problem drawing blood when I was in the hospital to get a read on my blood sugar. Now that im home im finding it literally impossible to get my test strips to suck up the blood from my finger. Is there something im missing? Also, am I allowed to poke myself anywhere else to get a accurate read? I probably poked my self about 10 times in total on my finger tips last night attempting to get my blood to suck into my strip to no avail. Im probably just being stubborn and dont want to keep poking myself in the same spots when im not even getting any results. I was told you could use the bottom of your palm but im not sure if it will be as accurate as my finger tips.</t>
        </is>
      </c>
      <c r="D6642" t="n">
        <v>8</v>
      </c>
      <c r="E6642" t="n">
        <v>14</v>
      </c>
      <c r="F6642">
        <f>HYPERLINK("https://www.reddit.com/r/diabetes/comments/bkojnx/first_time_diabetic_here_cant_get_my_strips_to/")</f>
        <v/>
      </c>
      <c r="G6642" t="inlineStr">
        <is>
          <t>2019-05-04 12:04:56</t>
        </is>
      </c>
      <c r="H6642" t="inlineStr">
        <is>
          <t>Type 1</t>
        </is>
      </c>
    </row>
    <row r="6643">
      <c r="A6643" t="inlineStr">
        <is>
          <t>bkpaaa</t>
        </is>
      </c>
      <c r="B6643" t="inlineStr">
        <is>
          <t>Newly diagnosed, scared out of my mind-need some encouragement</t>
        </is>
      </c>
      <c r="C6643" t="inlineStr">
        <is>
          <t>Well, after fighting with my wife about seeing my doctor for feeling absolutely terribly each and every day, I caved last week and saw my doctor.  I received a call from the lab for my doctor's practice yesterday morning and was delivered quite the nerve-wracking news.
&amp;amp;#x200B;
I have Type 2 Diabetes, uncontrolled.
&amp;amp;#x200B;
I'm not going to lie, trying to sleep last night was difficult.  What am I going to do?  How am I going to navigate this?  Does everything I do have to change? - Sadly, I didn't have any decent answers yet, and the thing about getting the diagnosis on a Friday - is now I have to wait until Monday to get some answers or some assistance.
&amp;amp;#x200B;
I am a Navy Veteran, just hit 45 years old and have been dealing with back problems and PTSD as well, my exercise regimen was terrible, and working from home probably has not helped this much either.
&amp;amp;#x200B;
I have taken the time to throw out any sugary snacks (much to the wife's chagrin) as well as most of the breads and probably not-so-healthy snacks (good bye sourdough pretzels.. sob).  Salads really weren't much of a problem for me, but I get the feeling that everything is going to change for me.
&amp;amp;#x200B;
Any advice? Any words of encouragement or experiences that have worked well for you?  Things to watch out for?
&amp;amp;#x200B;
I apologize if this seems like pleading, I'm just not sure where to go from here and how to get a jump on this... any advice is appreciated.  I also know that experience is sometimes the best teacher, so I'd like to tap into what has worked or hasn't worked for some.
&amp;amp;#x200B;
My apologies for the rant - thanks for reading, and if you respond - thanks for helping me out here.</t>
        </is>
      </c>
      <c r="D6643" t="n">
        <v>11</v>
      </c>
      <c r="E6643" t="n">
        <v>11</v>
      </c>
      <c r="F6643">
        <f>HYPERLINK("https://www.reddit.com/r/diabetes/comments/bkpaaa/newly_diagnosed_scared_out_of_my_mindneed_some/")</f>
        <v/>
      </c>
      <c r="G6643" t="inlineStr">
        <is>
          <t>2019-05-04 13:13:54</t>
        </is>
      </c>
      <c r="H6643" t="inlineStr">
        <is>
          <t>Type 2</t>
        </is>
      </c>
    </row>
    <row r="6644">
      <c r="A6644" t="inlineStr">
        <is>
          <t>bkpo6y</t>
        </is>
      </c>
      <c r="B6644" t="inlineStr">
        <is>
          <t>Diabetes and Pregnancy</t>
        </is>
      </c>
      <c r="C6644" t="inlineStr">
        <is>
          <t>Is anyone on here pregnant or been through pregnancy as a diabetic? What was it like? 
There’s nothing I want more than kids and a family in the future and reading about stuff on the internet about higher risks of miscarriage and needing c sections honestly breaks my heart. My doctor said that the lower my hba1c the better and that most diabetic women have normal pregnancies  - is there anything else I can do to prepare (I don’t want kids for a few years but it’s good to know)? How difficult is blood glucose control? What was labour like? 
Also what’s the chance that my baby will have diabetes as well? (I’m type 1).</t>
        </is>
      </c>
      <c r="D6644" t="n">
        <v>6</v>
      </c>
      <c r="E6644" t="n">
        <v>19</v>
      </c>
      <c r="F6644">
        <f>HYPERLINK("https://www.reddit.com/r/diabetes/comments/bkpo6y/diabetes_and_pregnancy/")</f>
        <v/>
      </c>
      <c r="G6644" t="inlineStr">
        <is>
          <t>2019-05-04 13:51:53</t>
        </is>
      </c>
      <c r="H6644" t="inlineStr">
        <is>
          <t>Type 1</t>
        </is>
      </c>
    </row>
    <row r="6645">
      <c r="A6645" t="inlineStr">
        <is>
          <t>bkr8ys</t>
        </is>
      </c>
      <c r="B6645" t="inlineStr">
        <is>
          <t>Need some help making a meal plan for weightlifting and working out.</t>
        </is>
      </c>
      <c r="C6645" t="inlineStr">
        <is>
          <t>My college semester is almost over and this summer I’m wanting to hit the gym at least 4 days a week. I’ve been pretty consistent with going to the gym in the past, but this semester has been stressful so I took a step back from the gym. I’ve always sucked at sticking to a diet because I’m a fatass and love food, so this summer I want to stick to a diet on-top of working out.
I’m a 20 year old male, 5’7”, and I currently weigh 160 pounds (used to weigh up in the 230s). I’m a type 1.5 diabetic and my blood sugars are usually pretty good. My current prescriptions call for 10 units of Tresiba once a day and 4 units of Humalog 10 minutes before  meals (keep in mind, these current prescriptions are with me stress eating and NOT working out). 
As for what I’m planning on doing at the gym, I usually do 30 minutes of cardio at the start of my workout and then lift weights (3 or 4 sets of 10 with medium weights). 
If anyone can help with making a diabetic-friendly meal plan, that’d be amazing! :)</t>
        </is>
      </c>
      <c r="D6645" t="n">
        <v>10</v>
      </c>
      <c r="E6645" t="n">
        <v>2</v>
      </c>
      <c r="F6645">
        <f>HYPERLINK("https://www.reddit.com/r/diabetes/comments/bkr8ys/need_some_help_making_a_meal_plan_for/")</f>
        <v/>
      </c>
      <c r="G6645" t="inlineStr">
        <is>
          <t>2019-05-04 16:34:18</t>
        </is>
      </c>
      <c r="H6645" t="inlineStr">
        <is>
          <t>Type 1.5/LADA</t>
        </is>
      </c>
    </row>
    <row r="6646">
      <c r="A6646" t="inlineStr">
        <is>
          <t>bkuowj</t>
        </is>
      </c>
      <c r="B6646" t="inlineStr">
        <is>
          <t>Just got my labs back</t>
        </is>
      </c>
      <c r="C6646" t="inlineStr">
        <is>
          <t>I haven't seen my doctor yet but my A1C was so high I have no doubt I'm diabetic. Luckily I can see my doctor Tuesday. It won't be hard watching what I eat this weekend cuz I have a cold lol. Are there things I should look up on my own in the meantime?</t>
        </is>
      </c>
      <c r="D6646" t="n">
        <v>2</v>
      </c>
      <c r="E6646" t="n">
        <v>6</v>
      </c>
      <c r="F6646">
        <f>HYPERLINK("https://www.reddit.com/r/diabetes/comments/bkuowj/just_got_my_labs_back/")</f>
        <v/>
      </c>
      <c r="G6646" t="inlineStr">
        <is>
          <t>2019-05-04 23:30:53</t>
        </is>
      </c>
      <c r="H6646" t="inlineStr">
        <is>
          <t>Type 2</t>
        </is>
      </c>
    </row>
    <row r="6647">
      <c r="A6647" t="inlineStr">
        <is>
          <t>bl4jha</t>
        </is>
      </c>
      <c r="B6647" t="inlineStr">
        <is>
          <t>I need help...</t>
        </is>
      </c>
      <c r="C6647" t="inlineStr">
        <is>
          <t>I really need help guys, I've been diagnosed nearly 7 years now and I'm still no closer to "control". I found myself in hospital again today (1st time in 2 years but it's still not good), I was pre-DKA but had to be cautious. I never test my blood sugars, rarely do my insulin on time (I do it, just when it's too late and my BGL's are too high). I just don't know how to get into the routine, it's purely through awful memory and not remembering to do it, it's been 7 years, it should be something I remember! Plus, I'm really sick of worrying people, it feels awful, if anyone has any suggestions or tips for me I would really appreciate it!</t>
        </is>
      </c>
      <c r="D6647" t="n">
        <v>5</v>
      </c>
      <c r="E6647" t="n">
        <v>11</v>
      </c>
      <c r="F6647">
        <f>HYPERLINK("https://www.reddit.com/r/diabetes/comments/bl4jha/i_need_help/")</f>
        <v/>
      </c>
      <c r="G6647" t="inlineStr">
        <is>
          <t>2019-05-05 16:23:15</t>
        </is>
      </c>
      <c r="H6647" t="inlineStr">
        <is>
          <t>Type 1</t>
        </is>
      </c>
    </row>
    <row r="6648">
      <c r="A6648" t="inlineStr">
        <is>
          <t>bl4o7o</t>
        </is>
      </c>
      <c r="B6648" t="inlineStr">
        <is>
          <t>Ketoacidosis in 3 Hours Flat from Hypo</t>
        </is>
      </c>
      <c r="C6648" t="inlineStr">
        <is>
          <t>This is a rather bizarre series of events that happened to me more than a week ago. I had slept 14 hours an woken up on April  26th at 11 pm. (I had been awake 36 hours maybe previously). I was dazed and had knocked over some furniture, my pump was torn  off. I drank orange juice and ate  1/4th of a poptart. I checked my sugar and it was 66. So it was coming up.
&amp;amp;#x200B;
I watched some tv and then I was thirsty, so I tried to drink some diet pop.
&amp;amp;#x200B;
But...........I INSTANTLY vomited it up. I feel very, very sick some how. My brother gets up and goes to work at about 3 am. I tell him I am very ill. Now from 3am to 3pm, I only check my sugar TWICE while I lay on the couch. It goes to 300 and then 240.
&amp;amp;#x200B;
That's high/elevated but not BEYOND INSANE.
&amp;amp;#x200B;
I begin to feel worse and my heart is a little fast. 
&amp;amp;#x200B;
When my brother gets home I tell him I think I should go to the hospital. I've tried alka seltzer, peptobismal, they do nothing  but make me vomit. I dont feel hungry, only thirsty. On the way to the hospital I glug some gatorade because I think I need  electrolytes. Two hours into arriving (at 6:30?) they tell me I'm in "Decay" (DKA) and that my sugar is now somehow 650.
&amp;amp;#x200B;
I never ever figure out why or how. I'm there for 5 days. They make me wear a mask because of a phlegmy cough, but no blood  cultures or swabs turn up anything. 
&amp;amp;#x200B;
When I finally go home after being somewhat normal (perhaps 180 or 170 or so), my sugar spikes again for 2 days. It stays stuck  aroud 400 or 340, but I don't feel ill like before and I don't vomit. It comes down to 133 and 33 , but otherwise is stuck up  at about 400 or so. This is even after taking insulin with my pump AND using a syringe to take 25 units in EACH THIGH. (Near 65  units). I don't eat anything, don't want to. 
Eventually after those 2 days it BREAKS and suddenly my sugar becomes.......very ordinary. Even *better* than normal. 
&amp;amp;#x200B;
What in the world happened to me?</t>
        </is>
      </c>
      <c r="D6648" t="n">
        <v>10</v>
      </c>
      <c r="E6648" t="n">
        <v>3</v>
      </c>
      <c r="F6648">
        <f>HYPERLINK("https://www.reddit.com/r/diabetes/comments/bl4o7o/ketoacidosis_in_3_hours_flat_from_hypo/")</f>
        <v/>
      </c>
      <c r="G6648" t="inlineStr">
        <is>
          <t>2019-05-05 16:36:15</t>
        </is>
      </c>
      <c r="H6648" t="inlineStr">
        <is>
          <t>Type 1.5/LADA</t>
        </is>
      </c>
    </row>
    <row r="6649">
      <c r="A6649" t="inlineStr">
        <is>
          <t>bl4x59</t>
        </is>
      </c>
      <c r="B6649" t="inlineStr">
        <is>
          <t>Omnipod - Line Bump under skin</t>
        </is>
      </c>
      <c r="C6649" t="inlineStr">
        <is>
          <t>Okay so I'm not really sure how to explain this. When I place an omnipod on my stomach, and only on my stomach, I get this sort of lump under my skin in the shape of a straight line and it appears to come from the left side of the window where the vent hole thing is.
I have taken a few pictures of it if you're curious, the pictures are of the omnipod on my stomach and I am wearing underwear so there isn't really any nudity but please still beware I guess. The adhesive looks crappy in the picture but I'm in a pretty awkward position trying to get the pictures so ignore that.
[https://imgur.com/a/zl5cTE1](https://imgur.com/a/zl5cTE1)
It's not painful and I don't really feel it there ,(apart from the omnipod being itchy as always but that's bound to happen) ,but I'd still like to know what it is.
I'd really appreciate if anyone knew why the hell this happens, thanks!</t>
        </is>
      </c>
      <c r="D6649" t="n">
        <v>3</v>
      </c>
      <c r="E6649" t="n">
        <v>1</v>
      </c>
      <c r="F6649">
        <f>HYPERLINK("https://www.reddit.com/r/diabetes/comments/bl4x59/omnipod_line_bump_under_skin/")</f>
        <v/>
      </c>
      <c r="G6649" t="inlineStr">
        <is>
          <t>2019-05-05 17:00:41</t>
        </is>
      </c>
      <c r="H6649" t="inlineStr">
        <is>
          <t>Type 1</t>
        </is>
      </c>
    </row>
    <row r="6650">
      <c r="A6650" t="inlineStr">
        <is>
          <t>bl5noa</t>
        </is>
      </c>
      <c r="B6650" t="inlineStr">
        <is>
          <t>Insulin Pump suggestions?</t>
        </is>
      </c>
      <c r="C6650" t="inlineStr">
        <is>
          <t>Hiya! I’m new here, and I thought i’d be nice to ask some of you that have insulin pumps what kind of pump you have and what you like and dislike about it. Imm looking to get a insulin pump and I wanted to know the pros and cons of some of them!</t>
        </is>
      </c>
      <c r="D6650" t="n">
        <v>2</v>
      </c>
      <c r="E6650" t="n">
        <v>4</v>
      </c>
      <c r="F6650">
        <f>HYPERLINK("https://www.reddit.com/r/diabetes/comments/bl5noa/insulin_pump_suggestions/")</f>
        <v/>
      </c>
      <c r="G6650" t="inlineStr">
        <is>
          <t>2019-05-05 18:14:33</t>
        </is>
      </c>
      <c r="H6650" t="inlineStr">
        <is>
          <t>Type 1</t>
        </is>
      </c>
    </row>
    <row r="6651">
      <c r="A6651" t="inlineStr">
        <is>
          <t>bl7ffh</t>
        </is>
      </c>
      <c r="B6651" t="inlineStr">
        <is>
          <t>What’s a good “target range” to set for my freestyle libre?</t>
        </is>
      </c>
      <c r="C6651" t="inlineStr">
        <is>
          <t>Hey everyone I’m just wondering to see what everyone has their target range on their freestyle libre or i guess any other CGM. Mine is set to 85-150 but I know you can set it to 70-180. But I was wondering what other people had set their range</t>
        </is>
      </c>
      <c r="D6651" t="n">
        <v>3</v>
      </c>
      <c r="E6651" t="n">
        <v>7</v>
      </c>
      <c r="F6651">
        <f>HYPERLINK("https://www.reddit.com/r/diabetes/comments/bl7ffh/whats_a_good_target_range_to_set_for_my_freestyle/")</f>
        <v/>
      </c>
      <c r="G6651" t="inlineStr">
        <is>
          <t>2019-05-05 21:19:16</t>
        </is>
      </c>
      <c r="H6651" t="inlineStr">
        <is>
          <t>Type 1</t>
        </is>
      </c>
    </row>
    <row r="6652">
      <c r="A6652" t="inlineStr">
        <is>
          <t>bl98rz</t>
        </is>
      </c>
      <c r="B6652" t="inlineStr">
        <is>
          <t>Newly Diagnosed Type 1 Diabetic, In need of some tips.</t>
        </is>
      </c>
      <c r="C6652" t="inlineStr">
        <is>
          <t>Hi Reddit,
I’m a 21 years old guy from the UK and a newly diagnosed type 1 diabetic (I found out a month ago via DKA), and I feel overwhelmed by all the information being thrown at me;  I don’t feel like I fully understand what’s going on. On top of this my father passed away in March, this, combined with my new diagnosis has really got me down and I don’t feel comfortable speaking about this with friends/family. 
I’m constantly getting high blood sugars, even if I’m using insulin straight beforehand and trying to carb count, I keep getting blood sugars in the range of 25-33 mmol, and then when my sugars drop to anywhere below 6 mmol I’m getting symptoms of a hypo, even though I’m nowhere near being at hypo levels according to the information given to me.  Has anyone else experienced this?
I have put on 7kg since my diagnosis, and I used to go to the gym 5 times a week and ever since they diagnosed me, my doctors have said i'm not able to go to the gym as i will affect my BG levels, so if anyone is a gym goer with type 1 can you please give me some tips? 
Also, if anyone could give me any other advice they feel a new diabetic should know it would also be a massive help, as well as snacks or food that you’d recommend as all the old food/drink I used to drink was full of carbs or sugars. 
Thanks in advance and sorry for the long post :)</t>
        </is>
      </c>
      <c r="D6652" t="n">
        <v>10</v>
      </c>
      <c r="E6652" t="n">
        <v>18</v>
      </c>
      <c r="F6652">
        <f>HYPERLINK("https://www.reddit.com/r/diabetes/comments/bl98rz/newly_diagnosed_type_1_diabetic_in_need_of_some/")</f>
        <v/>
      </c>
      <c r="G6652" t="inlineStr">
        <is>
          <t>2019-05-06 00:59:40</t>
        </is>
      </c>
      <c r="H6652" t="inlineStr">
        <is>
          <t>Type 1</t>
        </is>
      </c>
    </row>
    <row r="6653">
      <c r="A6653" t="inlineStr">
        <is>
          <t>blcoxm</t>
        </is>
      </c>
      <c r="B6653" t="inlineStr">
        <is>
          <t>Can I report a doctor's office to the Better Business Bureau?</t>
        </is>
      </c>
      <c r="C6653" t="inlineStr">
        <is>
          <t>I've been seeing a doctor at one of these new Endocrinology clinic-type places that are popular now. You know, it's the kind of place that feels like Black Friday at Walmart every time I show up for a blood draw and a thrilling seven minutes with an Endocrinologist, on a Tuesday at 10am.
&amp;amp;#x200B;
Anyway, this place in particular isn't very good at working with insurance companies and DME vendors for prescriptions. I have been waiting four months for them to get one of my prescriptions phoned on. Last Friday, after waiting for half an hour to get someone on the phone, I was told, "Oh yeah, I just found all the faxes from the prescription service for that medicine in your file." So they get faxes, put them in folders, then forget about them, it seems. That person promised to call in my prescriptions on that day, but she did not. And I wouldn't be surprised if this clinic serves over 500 patients.
&amp;amp;#x200B;
I have had it with this place. I've already set up an appointment with a new Endocrinologist. But this place's incompetence with prescriptions borders on the criminal, and I'd like to know what I can do about it, or what reports I can file. 
&amp;amp;#x200B;
I am an engaged and active patient, because I know nobody else cares a rat's ass whether my prescription gets filled or not, and it's up to me to do the work and make the phone calls. But I shudder to think about how older, less able patients are dealt with.</t>
        </is>
      </c>
      <c r="D6653" t="n">
        <v>10</v>
      </c>
      <c r="E6653" t="n">
        <v>9</v>
      </c>
      <c r="F6653">
        <f>HYPERLINK("https://www.reddit.com/r/diabetes/comments/blcoxm/can_i_report_a_doctors_office_to_the_better/")</f>
        <v/>
      </c>
      <c r="G6653" t="inlineStr">
        <is>
          <t>2019-05-06 07:13:42</t>
        </is>
      </c>
      <c r="H6653" t="inlineStr">
        <is>
          <t>Type 1</t>
        </is>
      </c>
    </row>
    <row r="6654">
      <c r="A6654" t="inlineStr">
        <is>
          <t>ble8lh</t>
        </is>
      </c>
      <c r="B6654" t="inlineStr">
        <is>
          <t>What about the G5?</t>
        </is>
      </c>
      <c r="C6654" t="inlineStr">
        <is>
          <t>Can anyone confirm that the G5 works with the 9.0 yet? I have to always say no when the Samsung S8+ wants to upgrade the thing because I am afraid it won't work at all.</t>
        </is>
      </c>
      <c r="D6654" t="n">
        <v>2</v>
      </c>
      <c r="E6654" t="n">
        <v>4</v>
      </c>
      <c r="F6654">
        <f>HYPERLINK("https://www.reddit.com/r/diabetes/comments/ble8lh/what_about_the_g5/")</f>
        <v/>
      </c>
      <c r="G6654" t="inlineStr">
        <is>
          <t>2019-05-06 09:23:29</t>
        </is>
      </c>
      <c r="H6654" t="inlineStr">
        <is>
          <t>Type 1</t>
        </is>
      </c>
    </row>
    <row r="6655">
      <c r="A6655" t="inlineStr">
        <is>
          <t>blflxz</t>
        </is>
      </c>
      <c r="B6655" t="inlineStr">
        <is>
          <t>Aftermath of Hypo</t>
        </is>
      </c>
      <c r="C6655" t="inlineStr">
        <is>
          <t>Question for those with type 1. **How do you feel the next day after you had a hypo during the night?**
&amp;amp;#x200B;
Not always, but very often I have a horrible headache the next day, and I am also nauseous and end up vomiting at some point. This torture lasts for the whole day and ends around 9.00-10.00PM, so basically I suffer for 12 hours - that's a rule of thumb.  
The head aches only in the right part of the had, the pain is sharp and unbearable. No anti pain medicine ever helps. Feeling nauseous that I cannot eat anything, but still I must eat or drink since I need to vomit something out. 
&amp;amp;#x200B;
Now that I have sensor, I can see those low levels of glucose during the night. The thing is - there is no specific pattern for this painful consequence. There are cases when I have this headache and nauseousness when:
* the LO was lasting for hours, 
* I did not even have a LO, just, let's say, 47mg/dl for a few hours,
* I had LO or low whatever just for 30 minutes.
I was hoping that maybe someone has a detailed explanation for this, because I hope to find a solution how to treat this headache and/or nauseousness. I tried to research, I could not find results for this specific case. My next endo visit is not even planned yet, and it will take a month at least to see them here in US. 
As far as I understand, partially it is because of low glucose there was not enough oxygen going to the brain during the hypo. But why only one side of the head (brain?), and **why there is no pain medicine that can lessen it??????????????**
I will appreciate any feedback and other experiences.
&amp;amp;#x200B;
P.S. I am used to and can resist really high levels of pain due to my experiences, attitudes, and lifestyle, but this headache and nauseousness is something beyond. If I had a gun in possession, I would literally shoot myself in the head just to get away from that pain without thinking.</t>
        </is>
      </c>
      <c r="D6655" t="n">
        <v>6</v>
      </c>
      <c r="E6655" t="n">
        <v>25</v>
      </c>
      <c r="F6655">
        <f>HYPERLINK("https://www.reddit.com/r/diabetes/comments/blflxz/aftermath_of_hypo/")</f>
        <v/>
      </c>
      <c r="G6655" t="inlineStr">
        <is>
          <t>2019-05-06 11:14:57</t>
        </is>
      </c>
      <c r="H6655" t="inlineStr">
        <is>
          <t>Type 1</t>
        </is>
      </c>
    </row>
    <row r="6656">
      <c r="A6656" t="inlineStr">
        <is>
          <t>blfutl</t>
        </is>
      </c>
      <c r="B6656" t="inlineStr">
        <is>
          <t>Edgepark purgatory</t>
        </is>
      </c>
      <c r="C6656" t="inlineStr">
        <is>
          <t>How much trouble has it been for anyone out there to get pump supplies and sensors from Edgepark?  My insurance changed to BCBS Blue Edge and Medtronic's rep told me I have to go through Edgepark for my supplies now. It has been over a month since I placed an order with them and still nothing. 
I have no more sensors, and 1 box of infusion sets left. Through an ordering screwup I have plenty of reservoirs.  
What can I do to light a fire under their butts? Help!</t>
        </is>
      </c>
      <c r="D6656" t="n">
        <v>1</v>
      </c>
      <c r="E6656" t="n">
        <v>14</v>
      </c>
      <c r="F6656">
        <f>HYPERLINK("https://www.reddit.com/r/diabetes/comments/blfutl/edgepark_purgatory/")</f>
        <v/>
      </c>
      <c r="G6656" t="inlineStr">
        <is>
          <t>2019-05-06 11:35:21</t>
        </is>
      </c>
      <c r="H6656" t="inlineStr">
        <is>
          <t>Type 1.5/LADA</t>
        </is>
      </c>
    </row>
    <row r="6657">
      <c r="A6657" t="inlineStr">
        <is>
          <t>blgb93</t>
        </is>
      </c>
      <c r="B6657" t="inlineStr">
        <is>
          <t>Low- any advice?</t>
        </is>
      </c>
      <c r="C6657" t="inlineStr">
        <is>
          <t>This morning I woke up fine had small breakfast around 10am. A few hours later I could not stay awake and I felt weak and dizzy. I measured and I was at 60. I ate something and I dont feel as weak but still a little shaky.
I'm not really sure what happened because I've had pretty consistent levels for the last few weeks.
Anyone got any advice. I start a new job tomorrow and nervous about it happening while working.</t>
        </is>
      </c>
      <c r="D6657" t="n">
        <v>6</v>
      </c>
      <c r="E6657" t="n">
        <v>11</v>
      </c>
      <c r="F6657">
        <f>HYPERLINK("https://www.reddit.com/r/diabetes/comments/blgb93/low_any_advice/")</f>
        <v/>
      </c>
      <c r="G6657" t="inlineStr">
        <is>
          <t>2019-05-06 12:13:16</t>
        </is>
      </c>
      <c r="H6657" t="inlineStr">
        <is>
          <t>Type 2</t>
        </is>
      </c>
    </row>
    <row r="6658">
      <c r="A6658" t="inlineStr">
        <is>
          <t>blgx7l</t>
        </is>
      </c>
      <c r="B6658" t="inlineStr">
        <is>
          <t>Question for Male Diabetics</t>
        </is>
      </c>
      <c r="C6658" t="inlineStr">
        <is>
          <t>Does masterbation affect your blood sugar levels? I am currently having problems with my BS and wonder it that is affecting me at all</t>
        </is>
      </c>
      <c r="D6658" t="n">
        <v>4</v>
      </c>
      <c r="E6658" t="n">
        <v>7</v>
      </c>
      <c r="F6658">
        <f>HYPERLINK("https://www.reddit.com/r/diabetes/comments/blgx7l/question_for_male_diabetics/")</f>
        <v/>
      </c>
      <c r="G6658" t="inlineStr">
        <is>
          <t>2019-05-06 13:04:30</t>
        </is>
      </c>
      <c r="H6658" t="inlineStr">
        <is>
          <t>Type 1</t>
        </is>
      </c>
    </row>
    <row r="6659">
      <c r="A6659" t="inlineStr">
        <is>
          <t>bljwr1</t>
        </is>
      </c>
      <c r="B6659" t="inlineStr">
        <is>
          <t>What happened to all of the brand name Metformins?</t>
        </is>
      </c>
      <c r="C6659" t="inlineStr">
        <is>
          <t>For years I had been using Fortamet ER 1000 mg and Glucophage XR 500mg the brand. Now they are BOTH gone. As far as I know there are only these rather junky generics that do  not work as well as far as control and worse leech the B12 out of my system to the point that I am a zombie. Fortamet had a manufacturing problem that has kept it off the market. Bristol Myer Squibb just decided that they weren't selling enough and discontinued.  Forget about Glumetza. It is a rip off. Does anybody know of any brand name Metformins that are out there? Thanks for your time.</t>
        </is>
      </c>
      <c r="D6659" t="n">
        <v>2</v>
      </c>
      <c r="E6659" t="n">
        <v>2</v>
      </c>
      <c r="F6659">
        <f>HYPERLINK("https://www.reddit.com/r/diabetes/comments/bljwr1/what_happened_to_all_of_the_brand_name_metformins/")</f>
        <v/>
      </c>
      <c r="G6659" t="inlineStr">
        <is>
          <t>2019-05-06 17:24:40</t>
        </is>
      </c>
      <c r="H6659" t="inlineStr">
        <is>
          <t>Type 2</t>
        </is>
      </c>
    </row>
    <row r="6660">
      <c r="A6660" t="inlineStr">
        <is>
          <t>blkand</t>
        </is>
      </c>
      <c r="B6660" t="inlineStr">
        <is>
          <t>Today was my 1st “Diaversery”!</t>
        </is>
      </c>
      <c r="C6660" t="inlineStr">
        <is>
          <t>Yay!</t>
        </is>
      </c>
      <c r="D6660" t="n">
        <v>10</v>
      </c>
      <c r="E6660" t="n">
        <v>4</v>
      </c>
      <c r="F6660">
        <f>HYPERLINK("https://www.reddit.com/r/diabetes/comments/blkand/today_was_my_1st_diaversery/")</f>
        <v/>
      </c>
      <c r="G6660" t="inlineStr">
        <is>
          <t>2019-05-06 18:01:22</t>
        </is>
      </c>
      <c r="H6660" t="inlineStr">
        <is>
          <t>Type 1</t>
        </is>
      </c>
    </row>
    <row r="6661">
      <c r="A6661" t="inlineStr">
        <is>
          <t>blkc24</t>
        </is>
      </c>
      <c r="B6661" t="inlineStr">
        <is>
          <t>Bait-and-switch with Kaiser (SoCal) KwikPen coverage</t>
        </is>
      </c>
      <c r="C6661" t="inlineStr">
        <is>
          <t>tl;dr at bottom
I switched over to Kaiser insurance via the ACA exchange on January 1. Before I chose Kaiser, I called to double-check that they cover insulin pens, which are what I've always used. I was told they did. However, last week I tried to refill a Humalog Rx and was told the pens aren't on the formulary and are not covered. (A pharmacist told me that Kaiser has a 3-month grace period for new customers during which they treat all meds as covered, which is why I was fine when I filled the Rx in January.)
Multiple people I've spoken to at Kaiser have simply told me the formulary can change anytime. But I checked, and 2018 and 2019 are exactly the same re: Humalog. A Kaiser rep I spoke to actually told me the FDA must have told Kaiser they're no longer allowed to cover Humalog. Sure they did.
I double-checked with my endo, who confirmed and said she prescribed the cheapest ("cheapest") option available. Does anyone have any insight? Does Kaiser seriously not cover fast-acting pens at all? (They DO cover long-acting Lantus Solostar pens.) Is this a recent change or was I given incorrect information on the phone in November? I searched old posts and saw someone mentioned a 40-units-per-day max for Kaiser patients who want pens, which I think would be fine for me, but I can't tell if that's accurate.
I had been a fan of Kaiser before this, but I NEVER would have switched over to them if I had not been told explicitly that they cover fast-acting pens.
tl;dr: Does Kaiser really not cover any fast-acting insulin pens? Is this a new policy? Is there any way around it?</t>
        </is>
      </c>
      <c r="D6661" t="n">
        <v>2</v>
      </c>
      <c r="E6661" t="n">
        <v>4</v>
      </c>
      <c r="F6661">
        <f>HYPERLINK("https://www.reddit.com/r/diabetes/comments/blkc24/baitandswitch_with_kaiser_socal_kwikpen_coverage/")</f>
        <v/>
      </c>
      <c r="G6661" t="inlineStr">
        <is>
          <t>2019-05-06 18:05:10</t>
        </is>
      </c>
      <c r="H6661" t="inlineStr">
        <is>
          <t>Type 1</t>
        </is>
      </c>
    </row>
    <row r="6662">
      <c r="A6662" t="inlineStr">
        <is>
          <t>blkq9z</t>
        </is>
      </c>
      <c r="B6662" t="inlineStr">
        <is>
          <t>Could someone help with advice on basal rate testing?</t>
        </is>
      </c>
      <c r="C6662" t="inlineStr">
        <is>
          <t>I'm basically positive my insulin pump. Isn't calibrated right ive tried a few times. I mean what would you say is high-fat cheese and eggs. How do you fast while not eating a bunch of carbs to affect the test? I had like my last bolus 4 hours before at 6 pm. Then it went from 160 to like 295 by 2 am. Without eating or doing anything only water. I know fats and protein don't digest quickly. Any ideas on what will keep you not hungry while not spiking or affecting the test?</t>
        </is>
      </c>
      <c r="D6662" t="n">
        <v>3</v>
      </c>
      <c r="E6662" t="n">
        <v>9</v>
      </c>
      <c r="F6662">
        <f>HYPERLINK("https://www.reddit.com/r/diabetes/comments/blkq9z/could_someone_help_with_advice_on_basal_rate/")</f>
        <v/>
      </c>
      <c r="G6662" t="inlineStr">
        <is>
          <t>2019-05-06 18:43:26</t>
        </is>
      </c>
      <c r="H6662" t="inlineStr">
        <is>
          <t>Type 1</t>
        </is>
      </c>
    </row>
    <row r="6663">
      <c r="A6663" t="inlineStr">
        <is>
          <t>blugjd</t>
        </is>
      </c>
      <c r="B6663" t="inlineStr">
        <is>
          <t>Test results.</t>
        </is>
      </c>
      <c r="C6663" t="inlineStr">
        <is>
          <t>In January I was diagnosed diabetic. Metabolic syndrome. My fasting blood sugar was 178. My ac1 7.8. My doctor told me he wanted to prescribe insulin. I said I’d like to try metformin and lifestyle change. My test results were in this morning. My Ac1 is 4.9 my fasting blood sugar 80. All of my results were perfect. I stopped sugar, carbs and began exercising. Started I could barley walk two city blocks. Now I can do 2 miles in under 30 minutes. I weight train and and back doing my mma. I attribute this to diet and exercise with a healthy dose of discipline. If you are newly diagnosed please know you can do it! I usually lurk. But this sub has been such a part of my continued journey I had to share my good news. Be blessed.</t>
        </is>
      </c>
      <c r="D6663" t="n">
        <v>36</v>
      </c>
      <c r="E6663" t="n">
        <v>14</v>
      </c>
      <c r="F6663">
        <f>HYPERLINK("https://www.reddit.com/r/diabetes/comments/blugjd/test_results/")</f>
        <v/>
      </c>
      <c r="G6663" t="inlineStr">
        <is>
          <t>2019-05-07 11:44:14</t>
        </is>
      </c>
      <c r="H6663" t="inlineStr">
        <is>
          <t>Type 2</t>
        </is>
      </c>
    </row>
    <row r="6664">
      <c r="A6664" t="inlineStr">
        <is>
          <t>blygzw</t>
        </is>
      </c>
      <c r="B6664" t="inlineStr">
        <is>
          <t>Question for T1D who have periods and are on MDI.</t>
        </is>
      </c>
      <c r="C6664" t="inlineStr">
        <is>
          <t>Do you up your long lasting a few days before you period? 
I’m using tresiba and I have the dexcom. So I’m curious to see how this first period on MDI will go. 
What do you do? Do you change your dosage? Have you noticed any difference?</t>
        </is>
      </c>
      <c r="D6664" t="n">
        <v>4</v>
      </c>
      <c r="E6664" t="n">
        <v>2</v>
      </c>
      <c r="F6664">
        <f>HYPERLINK("https://www.reddit.com/r/diabetes/comments/blygzw/question_for_t1d_who_have_periods_and_are_on_mdi/")</f>
        <v/>
      </c>
      <c r="G6664" t="inlineStr">
        <is>
          <t>2019-05-07 17:21:25</t>
        </is>
      </c>
      <c r="H6664" t="inlineStr">
        <is>
          <t>Type 1</t>
        </is>
      </c>
    </row>
    <row r="6665">
      <c r="A6665" t="inlineStr">
        <is>
          <t>blyqfg</t>
        </is>
      </c>
      <c r="B6665" t="inlineStr">
        <is>
          <t>Not useful info at all, but I get a kick out of accidentally typing a super high or low reading into my BG tracking app &amp;amp; watching it freak out.</t>
        </is>
      </c>
      <c r="C6665" t="inlineStr">
        <is>
          <t>That is all. Apologies for the interruption.</t>
        </is>
      </c>
      <c r="D6665" t="n">
        <v>6</v>
      </c>
      <c r="E6665" t="n">
        <v>1</v>
      </c>
      <c r="F6665">
        <f>HYPERLINK("https://www.reddit.com/r/diabetes/comments/blyqfg/not_useful_info_at_all_but_i_get_a_kick_out_of/")</f>
        <v/>
      </c>
      <c r="G6665" t="inlineStr">
        <is>
          <t>2019-05-07 17:46:18</t>
        </is>
      </c>
      <c r="H6665" t="inlineStr">
        <is>
          <t>Type 2</t>
        </is>
      </c>
    </row>
    <row r="6666">
      <c r="A6666" t="inlineStr">
        <is>
          <t>blyvj9</t>
        </is>
      </c>
      <c r="B6666" t="inlineStr">
        <is>
          <t>Looking for advice about T1D bf</t>
        </is>
      </c>
      <c r="C6666" t="inlineStr">
        <is>
          <t>My (29f) boyfriend (40m) is T1D and has been since his early 20s. Before our relationship I didn’t know a lot about diabetes, however it had become quite apparent over the years that he doesn’t deal with it properly. He’s skinny, so not considered a high risk by the NHS system but he eats what he wants, usually high carb food, very rarely checks his sugar level and doesn’t seem to have a system for dosing with insulin. He avoids hospital and doctors appointments like the plague and until I pressured him a few months ago, he hadn’t had an eye test in over a decade. He has always been private about it, and that’s fair enough but it keeps me in the dark.
2 years ago he ended up in hospital in the high dependency unit because he was in DKA and his doctor told me she was shocked that he wasn’t in a coma with how high his keytones and sugars were. I thought this would give him a huge kick up the arse and it did for a few months but he’s slipped back into old routines and i get moaned at for bitching at him. Doesn’t help that his mood swings make it like walking on eggshells half the time...
Sometimes I wonder if he’s just fucking stupid? Or if he knows he’s gambling with his future and just doesn’t give a fuck. Either way it doesn’t feel like it should be my responsibility to be his carer.
Any advice you guys could give would be a huge help. Ta.</t>
        </is>
      </c>
      <c r="D6666" t="n">
        <v>4</v>
      </c>
      <c r="E6666" t="n">
        <v>5</v>
      </c>
      <c r="F6666">
        <f>HYPERLINK("https://www.reddit.com/r/diabetes/comments/blyvj9/looking_for_advice_about_t1d_bf/")</f>
        <v/>
      </c>
      <c r="G6666" t="inlineStr">
        <is>
          <t>2019-05-07 18:00:08</t>
        </is>
      </c>
      <c r="H6666" t="inlineStr">
        <is>
          <t>Type 1</t>
        </is>
      </c>
    </row>
    <row r="6667">
      <c r="A6667" t="inlineStr">
        <is>
          <t>bm5nlt</t>
        </is>
      </c>
      <c r="B6667" t="inlineStr">
        <is>
          <t>When you dont know you are T1 and drink 9 lemonades</t>
        </is>
      </c>
      <c r="C6667" t="inlineStr">
        <is>
          <t>&amp;amp;#x200B;
*Processing img m0ehy12puzw21...*</t>
        </is>
      </c>
      <c r="D6667" t="n">
        <v>0</v>
      </c>
      <c r="E6667" t="n">
        <v>2</v>
      </c>
      <c r="F6667">
        <f>HYPERLINK("https://www.reddit.com/r/diabetes/comments/bm5nlt/when_you_dont_know_you_are_t1_and_drink_9/")</f>
        <v/>
      </c>
      <c r="G6667" t="inlineStr">
        <is>
          <t>2019-05-08 07:03:34</t>
        </is>
      </c>
      <c r="H6667" t="inlineStr">
        <is>
          <t>Type 1</t>
        </is>
      </c>
    </row>
    <row r="6668">
      <c r="A6668" t="inlineStr">
        <is>
          <t>bm90z1</t>
        </is>
      </c>
      <c r="B6668" t="inlineStr">
        <is>
          <t>Hypothetical Question</t>
        </is>
      </c>
      <c r="C6668" t="inlineStr">
        <is>
          <t>In a hypothetical world (making sure this is out there so authorities can’t have a go at me), what if a friend of mine (or me) was flying to the Dominican Republic in 40days, with surplus type1 supplies.... and accidentally left them there? Would any of our Yankee Doodle friends be able to benefit from this completely hypothetical situation?</t>
        </is>
      </c>
      <c r="D6668" t="n">
        <v>5</v>
      </c>
      <c r="E6668" t="n">
        <v>3</v>
      </c>
      <c r="F6668">
        <f>HYPERLINK("https://www.reddit.com/r/diabetes/comments/bm90z1/hypothetical_question/")</f>
        <v/>
      </c>
      <c r="G6668" t="inlineStr">
        <is>
          <t>2019-05-08 11:42:03</t>
        </is>
      </c>
      <c r="H6668" t="inlineStr">
        <is>
          <t>Type 1</t>
        </is>
      </c>
    </row>
    <row r="6669">
      <c r="A6669" t="inlineStr">
        <is>
          <t>bmjk9l</t>
        </is>
      </c>
      <c r="B6669" t="inlineStr">
        <is>
          <t>A solution for CGM sensor adhesive coming unstuck</t>
        </is>
      </c>
      <c r="C6669" t="inlineStr">
        <is>
          <t>Dexcom G6 (CGM/continous glucose monitor) user here: Are you having trouble with your sensor adhesive coming loose? I found a cheap solution. I bought a bottle of Skin Tac from Amazon ($11.35 for a 4-ounce bottle). When the edges of my sensor start to lift a little, I dab on some of the Skin Tac with a Q-Tip and glue it back down. It works very well and it's a LOT cheaper than buying those patches. Seriously, this bottle is going to last me FOREVER. Check it out!</t>
        </is>
      </c>
      <c r="D6669" t="n">
        <v>38</v>
      </c>
      <c r="E6669" t="n">
        <v>35</v>
      </c>
      <c r="F6669">
        <f>HYPERLINK("https://www.reddit.com/r/diabetes/comments/bmjk9l/a_solution_for_cgm_sensor_adhesive_coming_unstuck/")</f>
        <v/>
      </c>
      <c r="G6669" t="inlineStr">
        <is>
          <t>2019-05-09 06:04:39</t>
        </is>
      </c>
      <c r="H6669" t="inlineStr">
        <is>
          <t>Type 2</t>
        </is>
      </c>
    </row>
    <row r="6670">
      <c r="A6670" t="inlineStr">
        <is>
          <t>bmkztu</t>
        </is>
      </c>
      <c r="B6670" t="inlineStr">
        <is>
          <t>Anyone with T2 fainted while on GLP-1 med (Victors, Trulicty, etc.?</t>
        </is>
      </c>
      <c r="C6670" t="inlineStr">
        <is>
          <t>I have been so appreciative of all of you here and I’m in the process of discussing type 1.5 with my PCP. I have been thinking of my diabetes and I am curious if this event while on Victoza is something T2s have experienced or what?
Before going on Victoza, I lost weight rapidly. Like I’m talking 30 pounds in a month or two. Found an A1C of nearly 14. C-peptide test shower I was producing insulin, so endocrinologist put me on Victoza. 
After a while on Victoza, I kept having events for weeks where I would throw up from low BG in the AM.  I didn’t know that I was having low blood sugar at the time, I just thought it was normal with the medication. I would eat something small and go back to work. This would happen a few hours after breakfast when I went to work ata coffee shop. I usually had a one of those healthy low carb multigrain breakfast sandwich or something. 
After a while of this going on, my endocrinologist lowered the dose. Still,I had the same thing happen. After a very violent session of vomiting, I had passed out at work and had to be treated with juice. 
My endocrinologist seemed confused by what happened and just took me off the medication. I stopped seeing her because I had lost 50 pounds by the time I was 20 and my BG was controlled well with metformin. 
Has anyone with T2 had an event? Is this of concern or normal? Does anyone have any input? I would love to hear from y’all.</t>
        </is>
      </c>
      <c r="D6670" t="n">
        <v>2</v>
      </c>
      <c r="E6670" t="n">
        <v>6</v>
      </c>
      <c r="F6670">
        <f>HYPERLINK("https://www.reddit.com/r/diabetes/comments/bmkztu/anyone_with_t2_fainted_while_on_glp1_med_victors/")</f>
        <v/>
      </c>
      <c r="G6670" t="inlineStr">
        <is>
          <t>2019-05-09 08:13:35</t>
        </is>
      </c>
      <c r="H6670" t="inlineStr">
        <is>
          <t>Type 2</t>
        </is>
      </c>
    </row>
    <row r="6671">
      <c r="A6671" t="inlineStr">
        <is>
          <t>bmlkpl</t>
        </is>
      </c>
      <c r="B6671" t="inlineStr">
        <is>
          <t>Normal fasting, high 0.5-1 hour postprandial and normal 2 hours post-prandial blood glucose levels</t>
        </is>
      </c>
      <c r="C6671" t="inlineStr">
        <is>
          <t xml:space="preserve"> 
**Maximum BMI**: **50** at **50% body fat**
**Gender:** male
**Age:** &amp;lt;30 years old
2 hours postprandial bgl composed of 400-500 simple carbs meal at 50 BMI: **131 mg/dl**
Lost **more than 150 lbs** using a combination of long water fasts, short/intermediate water fasts, zero carbs (carnivore) OMAD diet and occasional cheat days (once every month-2 months)
Blood glucose level in the middle of the first long water fast when I was morbidly obese: **49-56 mg/dl**
**HA1C back then: 4%** 
**Current BMI:** fluctuates between **25.5** and **28**
**Waist circumference** fluctuates between **30 and 34 inches** (noting that I have heavy skeletal structure and large wrist/head circumferences)
The more weight I lost, the more challenging long duration water fasts became.
After losing the first 100 lbs, long water fasts became challenging due to frequent/strong hunger pangs. At that point, I started incorporating **coffee**\+**modafinil** and **cigarettes** later on to curb my appetite and complete successive medium-duration water fasts.
By the end of last year on a **terrible binge/cheat day**, I felt too high (felt more severe than drinking 10 shots of pure vodka). This happened after consuming large mass of pies, donuts, pizza, ...etc.
Randomly this year on one of cheat days full of greasy high simple carbs meals, I decided to measure my blood glucose level: **200/222 mg/dl** and after sleeping for 8+ hours it didn't go down by much: **160/180 mg/dl**!
Long ago due to my diabetophobic anxiety and since I am highly experienced when it comes to nutrition and endocrinology, I knew about physiological insulin resistance aka adaptive glucose sparring mode. (it has to do with hepatic glucokinase and peripheral hexakinase enzymes/receptors being in hibernation mode in addition to the downregulation of glut4 gene expression caused by fat adaptation.)
But still this was something that I experienced for the first time since I usually used to depend heavily on metformin during other cheat days to minimize glycogenesis and de-novo lipogenesis in addition to avoiding glucocentricity.)
Hence, I decided to do an oral glucose tolerance test which requires 3 days of carb loading.
First day of carb loading: OMAD-style meal (180 grams of boiled lupins and 130 grams of  boiled chickpeas + 250 grams  of broad beans + 500 grams of chicken breast + 4 boiled eggs)  
Second day of carb loading: OMAD-style meal (500 grams of chickpeas + 500 grams of lupins + 200 grams of raw broad beans + 300-400 grams of chicken breast+50-100 grams of berries)
Third day of carb loading: OMAD-style meal (2 oranges+ 1 apple+ 200 grams of raw lentils+ 500 grams of boiled lupins+500 grams of boiled chickpeas + 200 grams of raw broad beans + 300-400 grams of chicken breast+50-100 grams of berries)
**Oral glucose tolerance test day:** 300 ml of 25% glucose/dextrose (**75 grams worth of glucose**)
Fasting blood glucose: **86 mg/dl**
15 minutes bgl: **146 mg/dl**
30 minutes bgl: **172 mg/dl**
45 minutes bgl: **203 mg/dl**
60 minutes bgl: **193 mg/dl**
90 minutes bgl: **136 mg/dl**
120 minutes bgl: **89 mg/dl**
Experience: After 60 minutes when the blood glucose was declining sharply, I felt some sort of a brain fog, my eyelids felt heavy but this feeling kept fading away as time passed (this feeling lasted for 10-15 minutes.) Weirdly, this happened not at **203 mg/dl** after 45 minutes but it happened after 60 minutes.)   15-30 minutes after the end of the test, I kept sweating heavily, probably this was a form of reactive hypoglycemia (I think after the end of the ogtt test, the bgl may have declined sharply **below 80 mg/dl** before it stabilized 1 hour after the end of the ogtt test at \~**82 mg/dl**)
Comments: both the fasting bgl and the 2 hours bgl were fine but the ogtt curve’s peak was very high at the 45th minute. The starting and ending bgl are neither **prediabetic** nor **diabetic**. 
A few hours after the end of the ogtt test, I had a massive cheat meal composed of a huge 15-16 inch pizza+wings with tennessee sauce (which is full of sugary bbq sauce/honey) + 2 large double chocolate cookies + tea with 2 teaspoons of sugar.
After sleeping for 4-5 hours after the aforementioned meal, my bgl was **111 mg/dl**. It is worth noting that I felt that the meal hadn’t been properly digested by then. After a cup of coffee (no sugar or sweeteners added) + 200 mg of modafinil: my bgl spiked to **146 mg/dl** which is weird! I decided to throw up and 15 minutes after doing so, my bgl was **93 mg/dl**.
It seems that my body handles glucose in ogtt tests more efficiently than massive meals of pizza and high white flour high fat meals. The reason remains ambiguous.
\_\_\_\_
Obviously, my body now isn’t more prone to **pathological insulin resistance and T2D** than when I was **150 lbs heavier**. Body fat mass and waist circumference (waist to hip ratio) usually are the major contributing factors towards developing T2D. Since I currently weigh almost half my maximum weight, IR is unlikely to happen.
I am not sure whether the **ketosis-induced** physiological insulin resistance was fully reversed during the 3 days of legumes and fruits based carb loading but it seems that the pancreas lags behind and takes a while to react. It seems that it reacts properly only after the beta cells sense that the body bgl is overwhelmingly high. (i.e. **impaired first phase insulin spike**.)
**Smoking** on water fasting days may have **damaged or desensitized** the **pancreatic beta cells** to an extent.
Reactive hyperglycemia was evident during half the duration of the ogtt test.
Traits of **gastroparesis** are evident to some extent after more than a year of **water fasting + keto refeeds and occasional cheat days**.
The body handles **direct ingestion of glucose** way more efficiently compared to the slowly digested massive **high carb high fat meals**.
Potential causes are:
1. **Partial physiological IR**
2. **LADA (type 1.5 diabetes)**
3. **MODY (Maturity onset diabetes of the young)**
Share your input/opinion/explanation
:</t>
        </is>
      </c>
      <c r="D6671" t="n">
        <v>0</v>
      </c>
      <c r="E6671" t="n">
        <v>5</v>
      </c>
      <c r="F6671">
        <f>HYPERLINK("https://www.reddit.com/r/diabetes/comments/bmlkpl/normal_fasting_high_051_hour_postprandial_and/")</f>
        <v/>
      </c>
      <c r="G6671" t="inlineStr">
        <is>
          <t>2019-05-09 09:02:47</t>
        </is>
      </c>
      <c r="H6671" t="inlineStr">
        <is>
          <t>Type 1.5/LADA</t>
        </is>
      </c>
    </row>
    <row r="6672">
      <c r="A6672" t="inlineStr">
        <is>
          <t>bmq7ze</t>
        </is>
      </c>
      <c r="B6672" t="inlineStr">
        <is>
          <t>Libre Control Solution</t>
        </is>
      </c>
      <c r="C6672" t="inlineStr">
        <is>
          <t>I'm a 15 year T2.  Brand new to Libre and I'm trying to do a control test on my meter.  I need help understanding the range for accuracy.  I've made the mistake of calling customer service twice.  Not only do that not understand their product, but the last guy I spoke with actually gave me a long, loud belch.  If it weren't so maddening, it would be comical.</t>
        </is>
      </c>
      <c r="D6672" t="n">
        <v>3</v>
      </c>
      <c r="E6672" t="n">
        <v>1</v>
      </c>
      <c r="F6672">
        <f>HYPERLINK("https://www.reddit.com/r/diabetes/comments/bmq7ze/libre_control_solution/")</f>
        <v/>
      </c>
      <c r="G6672" t="inlineStr">
        <is>
          <t>2019-05-09 15:24:17</t>
        </is>
      </c>
      <c r="H6672" t="inlineStr">
        <is>
          <t>Type 2</t>
        </is>
      </c>
    </row>
    <row r="6673">
      <c r="A6673" t="inlineStr">
        <is>
          <t>bmqq9e</t>
        </is>
      </c>
      <c r="B6673" t="inlineStr">
        <is>
          <t>The death of a Dexcom G6 (no zombies)</t>
        </is>
      </c>
      <c r="C6673" t="inlineStr">
        <is>
          <t>I saw a post on here talking about restarting a G6 by waiting 15 minutes and starting the sensor again. I had not done that before so I thought I would try. It started fine and was in the warm up phase but about an hour in it flipped out and told me “No Restarts.” Is there actually a way around this? How do you use a sensor beyond it’s 10 day lifespan limit?</t>
        </is>
      </c>
      <c r="D6673" t="n">
        <v>3</v>
      </c>
      <c r="E6673" t="n">
        <v>3</v>
      </c>
      <c r="F6673">
        <f>HYPERLINK("https://www.reddit.com/r/diabetes/comments/bmqq9e/the_death_of_a_dexcom_g6_no_zombies/")</f>
        <v/>
      </c>
      <c r="G6673" t="inlineStr">
        <is>
          <t>2019-05-09 16:08:49</t>
        </is>
      </c>
      <c r="H6673" t="inlineStr">
        <is>
          <t>Type 1</t>
        </is>
      </c>
    </row>
    <row r="6674">
      <c r="A6674" t="inlineStr">
        <is>
          <t>bmsfv2</t>
        </is>
      </c>
      <c r="B6674" t="inlineStr">
        <is>
          <t>Type 1 - BS Won't Go Down After Hours With Insulin?</t>
        </is>
      </c>
      <c r="C6674" t="inlineStr">
        <is>
          <t>Has anyone else had this happen before - where it seems like no matter how much insulin you inject to try to counter the high BS it just WON'T go down? And any explanation as to why?
&amp;amp;#x200B;
I'm a type 1 diabetic and normally stick to a 5carbs-1unit conversion rate (for injected insulin) and roughly 3/4carbs-1unit (for inhaled insulin), and eat keto-ish (low-carb). For adjustments in cases of high blood sugar - I normally do 1/2units for a decrease of about 30-50mg/dL in BS.
Today - I had chipotle for lunch (as I normally do) at 2:54 and observed the following:
Time:     BS:     Insulin Administered:     Notes:
2:54        193    4                                        (Afrezza - right before lunch)
3:47        209    2                                        (Afrezza - hour after lunch with suspicions that initial dose was not enough)
4:35        189    0                                        (seemed to have worked)
5:10        194    2                                        (Afrezza - confused... given the timespan)
6:20        181    2                                        (Afrezza - 2 more units because at this point BS should have been way lower)
7:24        191    1                                        (Humalog - now I'm just shocked, whipped out a fresh Humalog out of fridge)
8:14        217    2                                        (Afrezza - it's literally time for dinner soon and this make 0 sense to me)
&amp;amp;#x200B;
Has anyone experienced anything similar? The only things that I found with a quick Google search was that insulin can lose its potency over time (or in extreme heat). I've had diabetes for about 10 years and I know quit well about this - but for the Afrezza - it was working just fine yesterday and I tried several different cartridges today. Plus - the Humalog was fresh out of the fridge and practically always works.</t>
        </is>
      </c>
      <c r="D6674" t="n">
        <v>4</v>
      </c>
      <c r="E6674" t="n">
        <v>12</v>
      </c>
      <c r="F6674">
        <f>HYPERLINK("https://www.reddit.com/r/diabetes/comments/bmsfv2/type_1_bs_wont_go_down_after_hours_with_insulin/")</f>
        <v/>
      </c>
      <c r="G6674" t="inlineStr">
        <is>
          <t>2019-05-09 18:54:10</t>
        </is>
      </c>
      <c r="H6674" t="inlineStr">
        <is>
          <t>Type 1</t>
        </is>
      </c>
    </row>
    <row r="6675">
      <c r="A6675" t="inlineStr">
        <is>
          <t>bmuctw</t>
        </is>
      </c>
      <c r="B6675" t="inlineStr">
        <is>
          <t>Anyone have blurry vision with blood glucose in range?</t>
        </is>
      </c>
      <c r="C6675" t="inlineStr">
        <is>
          <t>Hi! I'm type 2 and I've had a rocky relationship with diabetes. This past March, I was finally able to become compliant with all my meds and have been med compliant since about March 13. I take Victoza, Basaglar insulin, and Metformin.
Before that time, I was experiencing blurry vision because my blood sugar was high. But now, the blurriness has somehow intensified. It's much worse than what it was before. I have never had this level of blurriness and I can barely make out anything without my glasses. With my glasses it's still there but not as bad. My normal sight is 20/30 and I wear glasses mainly for strabismus, so I don't usually have them on at home.
I have discussed this issue with my doctor and a pharmacist who are at a loss. I've gone to the ER for a floater, where I also mentioned blurry vision, and they ruled out things like an infection (the floater went away after about 4 days). I saw the ophthalmologist and a resident who said my retinas and eyes in general were fine, and saw an optometrist earlier this year who also said my eyes are fine.
Also my glucose readings have been in my ok range, from like 110-140 on average.
Someone mentioned to me that getting blood sugar under control can also cause blurriness as your body gets used to the change, but it's been almost 2 months now so I'm just confused.
Has anyone had an experience like this? Thanks for reading.</t>
        </is>
      </c>
      <c r="D6675" t="n">
        <v>3</v>
      </c>
      <c r="E6675" t="n">
        <v>2</v>
      </c>
      <c r="F6675">
        <f>HYPERLINK("https://www.reddit.com/r/diabetes/comments/bmuctw/anyone_have_blurry_vision_with_blood_glucose_in/")</f>
        <v/>
      </c>
      <c r="G6675" t="inlineStr">
        <is>
          <t>2019-05-09 22:21:32</t>
        </is>
      </c>
      <c r="H6675" t="inlineStr">
        <is>
          <t>Type 2</t>
        </is>
      </c>
    </row>
    <row r="6676">
      <c r="A6676" t="inlineStr">
        <is>
          <t>bmvwh9</t>
        </is>
      </c>
      <c r="B6676" t="inlineStr">
        <is>
          <t>Would love to have help on finding more vegetarian recipes!</t>
        </is>
      </c>
      <c r="C6676" t="inlineStr">
        <is>
          <t>Hello all, first time posting here! I've been a type one diabetic for around a decade now and I'm looking for some help with meals. I haven't tried many foods throughout my life because I grew up being picky about what I eat BUT I have gotten over it mostly. (I know, try new stuff. I'm trying man!) I'm looking for more vegetarian options for meals to help improve my health much more. I don't care much for meats, including fish, so I'm wanting to go a vegetarian route to see how it goes. I'm just looking for some good recipes that I can cook up and try to hopefully live a better life. Do any of you guys have a favorite veggie dish, websites, or cookbooks? I'd love to hear any input, it's greatly appreciated!
&amp;amp;#x200B;
TL;DR
&amp;amp;#x200B;
Looking for everyone's favorite vegetarian dishes, websites for recipes, and possibly cookbooks to improve my overall health. Thanks!</t>
        </is>
      </c>
      <c r="D6676" t="n">
        <v>1</v>
      </c>
      <c r="E6676" t="n">
        <v>2</v>
      </c>
      <c r="F6676">
        <f>HYPERLINK("https://www.reddit.com/r/diabetes/comments/bmvwh9/would_love_to_have_help_on_finding_more/")</f>
        <v/>
      </c>
      <c r="G6676" t="inlineStr">
        <is>
          <t>2019-05-10 01:51:31</t>
        </is>
      </c>
      <c r="H6676" t="inlineStr">
        <is>
          <t>Type 1</t>
        </is>
      </c>
    </row>
    <row r="6677">
      <c r="A6677" t="inlineStr">
        <is>
          <t>bmz3rx</t>
        </is>
      </c>
      <c r="B6677" t="inlineStr">
        <is>
          <t>Doubling/halving of insulin sensitivity</t>
        </is>
      </c>
      <c r="C6677" t="inlineStr">
        <is>
          <t>Hi there, I'm Type 1 and basically just inquiring as to whether any of you have had the same experience as me and whether there was any particular technique that you used to ensure that your sensitivity remained consistent, and I suppose hope that what I'm dealing with isn't particularly abnormal/uncommon.
&amp;amp;#x200B;
I've found over the last year or so that my insulin sensitivity will exactly double or halve (sometimes quadrupling or dividing by 4 over the past 6 months) on a meal to meal basis, contrary to what I've had over the rest of my life of continuous changes that are able to be controlled through changes to basal insulin, and a (seemingly)more-or-less constant 1:10 ratio of bolus. I've been of the opinion previously that the cause for this has been exercise and quantity of carbohydrate/sugar consumed, though the sort of instability I've been dealing with has lead me to question these causes. I have typically found that plenty of running + weights has been able to move my bolus sensitivity up to 1:40, or 1:20 from 1:10, but staying at the maximum sensitivity I've found has been mostly impossible, even with regular exercise. This is since I've found that within a couple of days of having a calorie surplus again, the sensitivity goes down, and while testing my sensitivity I've naturally not wanted to eat much so as to be able to handle massive two/four fold errors, resulting in a calorie deficit. So essentially I'm wondering if any of you have had this experience before and found that a 1:40 or even 1:20 ratio is sustainable long term rather than an artefact of e.g. excessive muscle depletion, or whether you've even found that some other factor was what was actually driving it for you.
Thanks!</t>
        </is>
      </c>
      <c r="D6677" t="n">
        <v>3</v>
      </c>
      <c r="E6677" t="n">
        <v>8</v>
      </c>
      <c r="F6677">
        <f>HYPERLINK("https://www.reddit.com/r/diabetes/comments/bmz3rx/doublinghalving_of_insulin_sensitivity/")</f>
        <v/>
      </c>
      <c r="G6677" t="inlineStr">
        <is>
          <t>2019-05-10 07:41:11</t>
        </is>
      </c>
      <c r="H6677" t="inlineStr">
        <is>
          <t>Type 1</t>
        </is>
      </c>
    </row>
    <row r="6678">
      <c r="A6678" t="inlineStr">
        <is>
          <t>bmzouy</t>
        </is>
      </c>
      <c r="B6678" t="inlineStr">
        <is>
          <t>Do-It-Yourself Artificial Pancreas Systems – what they are, how they work and how you can build one yourself today</t>
        </is>
      </c>
      <c r="C6678" t="inlineStr">
        <is>
          <t>So, every now and then I see that someone mentions the word „Loop“ on this subreddit. However, this happens in the comment section of other threads most of the time and it’s hard to explain these systems in a few comments. I’ve noticed that most diabetics here on Reddit don’t know about so-called “DIY Closed Loop Systems” and that’s why I created this thread: To spread awareness about these systems and how you can take advantage of them.
&amp;amp;#x200B;
&amp;amp;#x200B;
**Do I need to be tech-savvy if I want to continue reading?**
No! I tried to explain everything as easy as possible and even if you decide to build such a system yourself you don’t need any knowledge of programming and co.!
&amp;amp;#x200B;
&amp;amp;#x200B;
**What are Closed Loop Systems?**
Maybe you’ve already heard about Closed Loop Systems in the media – diabetics and doctors have been dreaming about them for decades, let me explain why: Imagine your diabetes control as an Open Loop with 3 parts.
Part 1: Insulin Delivery – This is done by your insulin pump or by multiple daily injections  
 Part 2: Glucose Monitoring – This is done by a blood glucose meter or a CGM  
 Part 3: Therapy Management – This is done by your endo and especially you (calculating insulin needs, monitoring the glucose, giving insulin, …)
As the name of Closed Loop Systems suggests they’re all about closing this loop you just imagined. Your CGM should always communicate your blood glucose value to your pump, your insulin pump then analyzes the data, thinks of the best treatment decision and automatically gives you the necessary amount of insulin or suspends your basal insulin. It’s all about eliminating the “You” in the Therapy Management part of your diabetes control, so that you have to invest less time in controlling your diabetes and have more time to just have fun and enjoy life.
&amp;amp;#x200B;
&amp;amp;#x200B;
**What are Do-It-Yourself Closed Loop Systems?**
As you probably know, above-mentioned systems do not exist yet commercially. Huge companies like Medtronic and others have been failing terribly at innovating and bringing such products to the mass market. That’s why some tech-savvy people were like: “Ok, so we have CGMs, we have insulin pumps and everyone of us carries a smartphone that could run an algorithm. Why isn’t there a system yet that makes these various products talk to each other and automate my diabetes management?”  
 Because companies did not invent, they decided to do so and started programming their own Closed-Loop-System that can automatically manage their diabetes. Now there’s a whole community under the hashtag #WeAreNotWaiting that doesn’t want to wait for companies to innovate but has decided to build such systems themselves.
&amp;amp;#x200B;
**How do Do-It-Yourself Closed Loop Systems work?**
Another excellent question (whoever is asking them all must be a genius!). Do-It-Yourself Closed Loop Systems usually run on your phone and communicate to your CGM and insulin pump at all times. They know your blood glucose, how much carbs you’ve eaten, how much IOB you have and much, much more. They then use this data to calculate a mathematical model of how your blood glucose level will develop in the upcoming hours. Based on this model the system will then decide to suspend insulin delivery (e.g. if you’re trending low) or give more insulin (e.g. if you’re trending high).
The only problem is that most of the commercially available insulin pumps don’t allow you to remotely control your pump. (The algorithm would have to remotely control your pump to automate insulin delivery – On most pumps you have to enter everything yourself) This is why only some insulin pumps are compatible with Do-It-Yourself Closed Loop Systems. They need to have security breaches that can be used to remotely control them. Therefore, only some insulin pumps can be used with these systems. More on that later.
&amp;amp;#x200B;
**Why would I want to use such a system?**
Because it is awesome! We all hate that we have to manage our diabetes 24/7 (especially at night time), so it would be great if a computer algorithm would assist you, wouldn’t it? I’ve been using such a system myself and I can tell you: It’s absolutely amazing, especially nighttime. I wake up in target range basically every day since the system keeps my blood sugar levels nice and steady overnight (I don’t have to wake up anymore, I can sleep through every night!) and are a nice assistance during day time. You will also have more stable, nicer blood sugar levels --&amp;gt; better HbA1c / more time in range --&amp;gt; less risk for diabetic complications and other bullshit.
&amp;amp;#x200B;
**That sounds great! So I don’t have to care about my diabetes anymore at all, right?**
No! While these systems might be able to fulfill this dream one day, we aren’t there yet. These systems aren’t there to replace you managing your diabetes but to assist you. You will still have to count carbs and enter them into the system, you will still experience highs and lows sometimes and you will still have to test your Carb-Ratio, Basal-Rates and co.
&amp;amp;#x200B;
**Are these systems save?**
This depends on what you define as “save”. Is living with diabetes save? Is it safe to wake up every night because of a low or a high blood glucose value? Is it safe to experience multiple lows a day?
But the answer you’re probably looking for is “Yes, these systems are safe” and indeed they are. The code has a lot of safety features so that the system won’t give you insulin when you’re trending low or your blood glucose is low already. You will still experience some highs and lows with the system but they will be much less severe than if you haven’t been using these systems.
**BUT** keep in mind that these systems aren’t approved by the FDA or the EMA. There have not been any studies to confirm the safety of these systems and you won’t be able to make anyone liable if you run into some sort of malfunction. Please read more about the safety of these systems at the **DISCLAIMER** at the bottom of this post. 
&amp;amp;#x200B;
**What happens if the system fails?**
Well, normally: Nothing. These systems work by adjusting your basal rate by using Temporary basals – these are always set to a duration of 30 minutes but will be updated every 5 minutes if the systems is working properly. Now, let’s suppose the system crashes: The current temporary basal rate will run out within 30 minutes and your insulin pump will then continue to give you your normal basal rate – just as if you wouldn’t be using the system. It will stay this way until you have time to resolve the problem with the system or the system manages to restart itself.
&amp;amp;#x200B;
**Ok, I’m convinced. Where can I buy one of these systems?**
You can’t. Like I have already mentioned these systems aren’t approved by the FDA or EMA and thus are not allowed to be sold. You’ll have to build one of them yourself, that’s why they are called **Do-It-Yourself** Closed Loop Systems.
&amp;amp;#x200B;
**Ok, then: How can I build one of these systems?**
First of all, you have to decide which system you want to build since there are various projects out there. I will now give you a small overview of the 3 most important projects so that you can easily decide which one might be the right one for you:
* **Loop**
   * works with the following insulin pumps:
      * very old Medtronic Insulin pumps (more information on its website)
      * OmniPod (not dash, the older ones)
   * only works on iPhones
      * supports Apple Watch (You can use your watch to bolus and enter carbs – isn’t that cool!?)
* **OpenAPS**
   * works with the following insulin pumps:
      * very old Medtronic Insulin pumps (more information on its website)
      * OmniPod (not dash, the older ones) – not yet, but “soon”
   * only works on a so-called “rig”, e.g. a Raspberry Pi or an Intel Edison Explorer Board
      * If you're tech-savvy you will also be able to control the system using your phone / smartwatch
* **AndroidAPS**
   * Works with the following insulin pumps:
      * Accu-Check Combo
      * Accu-Check Insight
      * DanaR
      * DanaRS
      * OmniPod (not dash, the older ones) - not yet, but "soon"
   * only works on Android Phones
&amp;amp;#x200B;
These systems have much more differences but I think that these are the most important ones. If you have an iPhone, you’ll probably want to use Loop. If you have an Android Phone, you’ll probably want to use AndroidAPS. I would recommend OpenAPS only to more tech-savvy users.  
 Also, your choice can of course depend on the insulin pumps compatible with each system. Some of them aren’t commercially available anymore and can only be bought used (this can be very expensive) while others like the OmniPod are still commercially available and can easily be used with these systems.   
 Please note that these systems don’t compete with each other. You will get nice results with any of them and you will be amazed by any of them. Please think about the systems for a moment and then continue reading.
&amp;amp;#x200B;
**It’s time to build the system!**
So you have decided which system you want to build – Great. However, I will not guide you through the whole process of building the system since this has been documented by others already very well. Therefore, I will just link you to the relevant pages that have so much more information than my relatively “short” (considering how huge this topic is) thread.   
 Please read through the whole documentation of your system before you start using it. I mean it for real. Nobody seems to listen to that. Before asking any question or starting to use your system… READ EVERYTHING.
&amp;amp;#x200B;
&amp;gt;So, if you’ve decided to go with Loop, then please visit these websites:
[https://loopkit.github.io/loopdocs/](https://loopkit.github.io/loopdocs/) (for building the system and general information)
[https://kdisimone.github.io/looptips/](https://kdisimone.github.io/looptips/) (read this if you have built the system and want some more information on how to properly operate it)
&amp;amp;#x200B;
&amp;gt;If you’ve decided to go with OpenAPS, please follow this link:
[https://openaps.readthedocs.io/en/latest/index.html](https://openaps.readthedocs.io/en/latest/index.html)
&amp;amp;#x200B;
&amp;gt;Last but not least: If you’re going for AndroidAPS, this is the way to go:
[https://androidaps.readthedocs.io/en/latest/EN/](https://androidaps.readthedocs.io/en/latest/EN/)
&amp;amp;#x200B;
**Wait, don’t leave yet!**
These websites will guide you through the process of building your own Do-It-Yourself Closed Loop Systems. However, you might have some technical questions or get stuck at a certain step and need help. If you’ve decided to build such a system (even if you haven’t built it yet) please join this Facebook-Group:
[https://www.facebook.com/groups/TheLoopedGroup/](https://www.facebook.com/groups/TheLoopedGroup/)
There you can ask any technical question and people will be there to help you out if you run into any problems. HOWEVER, PLEASE read through the whole documentation of your system before asking any questions in this group. Many of your questions will be resolved by reading the documentation, I promise. If you can’t find the answer to your question in the docs, then feel free to ask in the Facebook-Group.
&amp;amp;#x200B;
**Who do I have to thank for this?**
That’s another excellent question. Well, certainly not me. I didn’t write a single line of code on these various projects. I just want to spread awareness on these exciting projects since I think most people here on Reddit don’t know that they exist, I’m literally writing this post on the shoulders of giants.
Yet, there are tons of people that you can say thank you to. The programmers, the community managers in the Facebook-Group and everyone who is investing time in helping others with building these systems and operating them. If you want to say “Thank you” to the people that deserve to hear it, feel free to do so in the Facebook-Group. The programmers and everyone else will be there to hear it!
&amp;amp;#x200B;
**DISCLAIMER**
So, I don’t want to sound negative now in this section of the post but it’s something I have to do in order to protect me and others from getting into trouble… So please be aware of the following facts:
You are building this system on your own behalf. You will have to take full responsibility if anything should happen to you. Neither I nor the programmers of these systems can be made liable if your system fails or has any malfunctions. You built this system yourself and thus you take full responsibility. You freely decided to use an experimental piece of software and therefore must take full liability. Thank you! 
&amp;amp;#x200B;
**Do you have anything else to say?**
Ha, you bet! I might edit this thread a few times in the future to correct any potential mistakes or clarify some things that might not be straightforward to anyone, so feel free to always come back to this thread. To the other users of DIY-APS systems out there: If you feel something in this thread is wrong or misleading or you think something should be added, feel free to contact me and I’ll be sure to make the necessary changes to this thread. Also feel free to link to this thread if you see that someone mentions “Loop” or something like this in the comments of another thread and people ask what they’re referring to. Also, if you have some general questions feel free to write a comment to this thread. I’m currently having my final exams and I really should be studying for them instead of writing this post but naah. However, I will try to answer any questions as fast as possible. If there are too many I will try to get some other Loop-Users on this thread too… or maybe no one cares about this thread and there won’t be any questions – we’ll see. BUT please keep questions regarding on how to build these systems, how to operate them and troubleshooting to the Looped-Facebook-Group.
So… that’s it. Thanks for reading this quite long text. Maybe, by now, you’ve started to like (or hate) me but I fear it’s time to say goodbye now. I wish you the best of luck building one of these systems if you have decided to do so and good luck with your diabetes. It’s a terrible disease that can really get on one’s nerves but it’s nice to know that there are people and technology out there making it suck a lot less. I have been using a Closed Loop System for half a year now already and this was probably the best time of my life. I wake up in range every day, I have so much more time to concentrate on non-diabetes things and I can live a much healthier life. It’s truly indescribable.  
So… keep your blood sugars nice and steady and have a great day!</t>
        </is>
      </c>
      <c r="D6678" t="n">
        <v>68</v>
      </c>
      <c r="E6678" t="n">
        <v>60</v>
      </c>
      <c r="F6678">
        <f>HYPERLINK("https://www.reddit.com/r/diabetes/comments/bmzouy/doityourself_artificial_pancreas_systems_what/")</f>
        <v/>
      </c>
      <c r="G6678" t="inlineStr">
        <is>
          <t>2019-05-10 08:30:32</t>
        </is>
      </c>
      <c r="H6678" t="inlineStr">
        <is>
          <t>Type 1</t>
        </is>
      </c>
    </row>
    <row r="6679">
      <c r="A6679" t="inlineStr">
        <is>
          <t>bmzwux</t>
        </is>
      </c>
      <c r="B6679" t="inlineStr">
        <is>
          <t>I'm very confused with my test results...</t>
        </is>
      </c>
      <c r="C6679" t="inlineStr">
        <is>
          <t>Three weeks ago I had a blood test and my glucose was 136. A day later I was sent in for a A1C test and I was 6.3.
I got put on Metformin (500mg x 2 per day).
I got a glucose meter and the next day I was 106 fasting. Then 98 the following day, then 89, 89, 86, 96.
How the hell could I be A1C 6.3?</t>
        </is>
      </c>
      <c r="D6679" t="n">
        <v>1</v>
      </c>
      <c r="E6679" t="n">
        <v>8</v>
      </c>
      <c r="F6679">
        <f>HYPERLINK("https://www.reddit.com/r/diabetes/comments/bmzwux/im_very_confused_with_my_test_results/")</f>
        <v/>
      </c>
      <c r="G6679" t="inlineStr">
        <is>
          <t>2019-05-10 08:48:29</t>
        </is>
      </c>
      <c r="H6679" t="inlineStr">
        <is>
          <t>Type 2</t>
        </is>
      </c>
    </row>
    <row r="6680">
      <c r="A6680" t="inlineStr">
        <is>
          <t>bn03g1</t>
        </is>
      </c>
      <c r="B6680" t="inlineStr">
        <is>
          <t>Just diagnosed</t>
        </is>
      </c>
      <c r="C6680" t="inlineStr">
        <is>
          <t>A regular checkup turned into getting bloodwork,  and now I've been told I've got type 2. My mom passed away from complications of type 1, and even though I know they're different,  I'm scared.  Doctor didn't give me anything to do, since she's just the university clinic doctor and not my  PCP. What do I do now? Can somebody assure me that this isn't a death sentence?</t>
        </is>
      </c>
      <c r="D6680" t="n">
        <v>9</v>
      </c>
      <c r="E6680" t="n">
        <v>12</v>
      </c>
      <c r="F6680">
        <f>HYPERLINK("https://www.reddit.com/r/diabetes/comments/bn03g1/just_diagnosed/")</f>
        <v/>
      </c>
      <c r="G6680" t="inlineStr">
        <is>
          <t>2019-05-10 09:03:58</t>
        </is>
      </c>
      <c r="H6680" t="inlineStr">
        <is>
          <t>Type 2</t>
        </is>
      </c>
    </row>
    <row r="6681">
      <c r="A6681" t="inlineStr">
        <is>
          <t>bn2dx1</t>
        </is>
      </c>
      <c r="B6681" t="inlineStr">
        <is>
          <t>possible neuropathy in foot</t>
        </is>
      </c>
      <c r="C6681" t="inlineStr">
        <is>
          <t>hi i don’t post here often i’ve been a type one for about two years now with pretty good control (A1C around 6.5-7 the whole time) but the past couple days my big toe has gotten kinda numb and now i’m having trouble supporting my weight with my right foot (i believe it’s drop foot after a quick google search). all signs point to neuropathy but it just seems weird because i have decent control and it really hasn’t been too long. wondering what everyone thinks. calling my endo soon</t>
        </is>
      </c>
      <c r="D6681" t="n">
        <v>3</v>
      </c>
      <c r="E6681" t="n">
        <v>3</v>
      </c>
      <c r="F6681">
        <f>HYPERLINK("https://www.reddit.com/r/diabetes/comments/bn2dx1/possible_neuropathy_in_foot/")</f>
        <v/>
      </c>
      <c r="G6681" t="inlineStr">
        <is>
          <t>2019-05-10 12:09:41</t>
        </is>
      </c>
      <c r="H6681" t="inlineStr">
        <is>
          <t>Type 1</t>
        </is>
      </c>
    </row>
    <row r="6682">
      <c r="A6682" t="inlineStr">
        <is>
          <t>bn3e0b</t>
        </is>
      </c>
      <c r="B6682" t="inlineStr">
        <is>
          <t>Sudden change in insulin sensitivity</t>
        </is>
      </c>
      <c r="C6682" t="inlineStr">
        <is>
          <t>Am a 17 Y/O, Male, diabetes type 1 since 12 Y/O. In the last week, my body started to respond 25% to what it usually do when i take insulin, And when i eat it sky rocketing unusually, goes up even when i don't eat anything, and i also started gaining wight. Anyone knows what is happening to me?</t>
        </is>
      </c>
      <c r="D6682" t="n">
        <v>4</v>
      </c>
      <c r="E6682" t="n">
        <v>8</v>
      </c>
      <c r="F6682">
        <f>HYPERLINK("https://www.reddit.com/r/diabetes/comments/bn3e0b/sudden_change_in_insulin_sensitivity/")</f>
        <v/>
      </c>
      <c r="G6682" t="inlineStr">
        <is>
          <t>2019-05-10 13:31:02</t>
        </is>
      </c>
      <c r="H6682" t="inlineStr">
        <is>
          <t>Type 1</t>
        </is>
      </c>
    </row>
    <row r="6683">
      <c r="A6683" t="inlineStr">
        <is>
          <t>bn6r1m</t>
        </is>
      </c>
      <c r="B6683" t="inlineStr">
        <is>
          <t>Just been diagnosed with Type 1 Diabetes.</t>
        </is>
      </c>
      <c r="C6683" t="inlineStr">
        <is>
          <t>Fucking scared out of my mind. 
&amp;amp;#x200B;
Yes, I'm overweight. I'm scared.. I know that Type 1 is reversible.. Apparently with this.. I have high blood pressure. FML. 
&amp;amp;#x200B;
Anyone have any good tips or tricks? I'm not insulin dependent, just on metformin.. but I do not want to become insulin dependent.</t>
        </is>
      </c>
      <c r="D6683" t="n">
        <v>3</v>
      </c>
      <c r="E6683" t="n">
        <v>11</v>
      </c>
      <c r="F6683">
        <f>HYPERLINK("https://www.reddit.com/r/diabetes/comments/bn6r1m/just_been_diagnosed_with_type_1_diabetes/")</f>
        <v/>
      </c>
      <c r="G6683" t="inlineStr">
        <is>
          <t>2019-05-10 18:55:50</t>
        </is>
      </c>
      <c r="H6683" t="inlineStr">
        <is>
          <t>Type 1</t>
        </is>
      </c>
    </row>
    <row r="6684">
      <c r="A6684" t="inlineStr">
        <is>
          <t>bn6z1r</t>
        </is>
      </c>
      <c r="B6684" t="inlineStr">
        <is>
          <t>Bored rn</t>
        </is>
      </c>
      <c r="C6684" t="inlineStr">
        <is>
          <t>Just lying in bed watching random YouTube vids at 3 am whilst I wait for my blood sugar to drop from fucking 15 mmol/L to something more respectable. Been coming down from 18 for about an hour and a half now.
Top tip: late night pizza does not a healthy sleep schedule make.</t>
        </is>
      </c>
      <c r="D6684" t="n">
        <v>8</v>
      </c>
      <c r="E6684" t="n">
        <v>1</v>
      </c>
      <c r="F6684">
        <f>HYPERLINK("https://www.reddit.com/r/diabetes/comments/bn6z1r/bored_rn/")</f>
        <v/>
      </c>
      <c r="G6684" t="inlineStr">
        <is>
          <t>2019-05-10 19:21:08</t>
        </is>
      </c>
      <c r="H6684" t="inlineStr">
        <is>
          <t>Type 1</t>
        </is>
      </c>
    </row>
    <row r="6685">
      <c r="A6685" t="inlineStr">
        <is>
          <t>bn7rfs</t>
        </is>
      </c>
      <c r="B6685" t="inlineStr">
        <is>
          <t>New to diabetes, some concerns about cholesterol</t>
        </is>
      </c>
      <c r="C6685" t="inlineStr">
        <is>
          <t>I was diagnosed with Type 2 around three months ago. I cut sugar out of my diet, reduced carbs and added more protein and veggies. I take 500mg of metformin 2x/day. At my last visit my doc said I'd lost ten lbs and that my a1c was in normal range. 
My cholesterol and blood pressure were always borderline bad but never enough to prescribe medication, but my doc says with the diabetes you have to be much more careful.
Right now in addition to the metformin I'm taking an antidepressant, and antihypertensive and an otc antihistamine every day. These meds are all working well for me but they're not without side effects.
My doc has also prescribed a statin for the blood pressure but I had some friends in the past who worked in the medical industry who had very negative feelings about statins. This experience combined with the fact that I'm taking several pills and living with side effects already has caused me to feel a little trepidatious about adding another medication. 
I'd like to make an informed decision before I start taking it. My questions are:
(a) are statins as hard on the body/liver as my friends led me to believe? 
(b) what sorts of complications would affect a diabetic with high cholesterol (ie why is it a bigger deal for diabetics)?
(c) I was surprised that the initial changes I made had the effect they did. How realistic is it to think I could lower my cholesterol though dietary changes without going full keto or something like that?</t>
        </is>
      </c>
      <c r="D6685" t="n">
        <v>2</v>
      </c>
      <c r="E6685" t="n">
        <v>12</v>
      </c>
      <c r="F6685">
        <f>HYPERLINK("https://www.reddit.com/r/diabetes/comments/bn7rfs/new_to_diabetes_some_concerns_about_cholesterol/")</f>
        <v/>
      </c>
      <c r="G6685" t="inlineStr">
        <is>
          <t>2019-05-10 20:52:23</t>
        </is>
      </c>
      <c r="H6685" t="inlineStr">
        <is>
          <t>Type 2</t>
        </is>
      </c>
    </row>
    <row r="6686">
      <c r="A6686" t="inlineStr">
        <is>
          <t>bnehzp</t>
        </is>
      </c>
      <c r="B6686" t="inlineStr">
        <is>
          <t>Prolonged working out/long bike rides (looking at you long distance runners and bike riders!)</t>
        </is>
      </c>
      <c r="C6686" t="inlineStr">
        <is>
          <t>I have a longish bike “race” coming up (100 mile) and looking for ideas on how y’all others control your blood sugar during something like like this, I’m considering just not doing my triseba the night before or just doing something like 10 or less units and haveing a steady card day the day before with lots of water.</t>
        </is>
      </c>
      <c r="D6686" t="n">
        <v>5</v>
      </c>
      <c r="E6686" t="n">
        <v>6</v>
      </c>
      <c r="F6686">
        <f>HYPERLINK("https://www.reddit.com/r/diabetes/comments/bnehzp/prolonged_working_outlong_bike_rides_looking_at/")</f>
        <v/>
      </c>
      <c r="G6686" t="inlineStr">
        <is>
          <t>2019-05-11 10:18:49</t>
        </is>
      </c>
      <c r="H6686" t="inlineStr">
        <is>
          <t>Type 1</t>
        </is>
      </c>
    </row>
    <row r="6687">
      <c r="A6687" t="inlineStr">
        <is>
          <t>bnj97u</t>
        </is>
      </c>
      <c r="B6687" t="inlineStr">
        <is>
          <t>So. Many. Hypos. Let's theorize.</t>
        </is>
      </c>
      <c r="C6687" t="inlineStr">
        <is>
          <t>Hello, I'm type 2 with 25 years old. Wait...I mean the opposite. Jeeze, these hypos. From the point of diagnosis until about three weeks ago, my BG ran high and I'd use medicine to bring me back to earth. My diet is clean with just lean protein and veggies. I drink water with lemon most days and dilluted juice when I need a pick me up. HOWEVER....Over the past three weeks, I have been so. Annoyingly. Low. The brain fog and need to constantly snack to keep me in range has been a struggle. I haven't used my meds the entire time. I haven't changed anything over the entire two years I've been diagnosed. What the flipping heck could be going on? I never thought I'd say this but I'm so tired of eating and drinking! Why can't my sugars stay in a normal range? Lowest went to 45 and highest has been 140. Normally run 140 to 190.</t>
        </is>
      </c>
      <c r="D6687" t="n">
        <v>1</v>
      </c>
      <c r="E6687" t="n">
        <v>16</v>
      </c>
      <c r="F6687">
        <f>HYPERLINK("https://www.reddit.com/r/diabetes/comments/bnj97u/so_many_hypos_lets_theorize/")</f>
        <v/>
      </c>
      <c r="G6687" t="inlineStr">
        <is>
          <t>2019-05-11 17:49:52</t>
        </is>
      </c>
      <c r="H6687" t="inlineStr">
        <is>
          <t>Type 2</t>
        </is>
      </c>
    </row>
    <row r="6688">
      <c r="A6688" t="inlineStr">
        <is>
          <t>bnjuva</t>
        </is>
      </c>
      <c r="B6688" t="inlineStr">
        <is>
          <t>Why is my blood sugar so high?!</t>
        </is>
      </c>
      <c r="C6688" t="inlineStr">
        <is>
          <t>I just got off a shift of working as a server, and it was a really busy day since a lot of people are coming in for mother's day celebrations and apparently prom???
I logged like 11k steps in just for this shift haha.
So when i finally got my lunch break, i had to get something easy to eat so I ordered a kids portion of pasta. I also took my vitamin pills and 2 metformin pills. This was probably... 4 hours ago?
I just got home and checked my blood sugar, which read as 191! Whyyyyy? I know I ate pasta, but it shouldn't be THAT bad, right? Lately, though, I've been having problems with not being able to have a low blood sugar reading...
Does anyone know why this could be? Or experienced this? I just don't understand. 191 blood sugar and all I've eaten today is a kids pasta. Ahhhh</t>
        </is>
      </c>
      <c r="D6688" t="n">
        <v>2</v>
      </c>
      <c r="E6688" t="n">
        <v>9</v>
      </c>
      <c r="F6688">
        <f>HYPERLINK("https://www.reddit.com/r/diabetes/comments/bnjuva/why_is_my_blood_sugar_so_high/")</f>
        <v/>
      </c>
      <c r="G6688" t="inlineStr">
        <is>
          <t>2019-05-11 18:53:23</t>
        </is>
      </c>
      <c r="H6688" t="inlineStr">
        <is>
          <t>Type 2</t>
        </is>
      </c>
    </row>
    <row r="6689">
      <c r="A6689" t="inlineStr">
        <is>
          <t>bnkmrf</t>
        </is>
      </c>
      <c r="B6689" t="inlineStr">
        <is>
          <t>Question: Cost of Insulin Pumps in your country</t>
        </is>
      </c>
      <c r="C6689" t="inlineStr">
        <is>
          <t>Just received an email from Medtronic announcing their pump prices increase... again.. And giving a vague reason like 'labor costs' to blindly justify their prices. Am wondering, what are the costs of the pumps in other countries?  
As a comparison (prices in SGD): 
Minimed 640g (4 year warranty) + Guardian 2 link (1 year warranty) + Bayer Blood Glucose 3-in-1 device = $9,400 
Paradigm 715 (4 year warranty) = $4,000</t>
        </is>
      </c>
      <c r="D6689" t="n">
        <v>2</v>
      </c>
      <c r="E6689" t="n">
        <v>19</v>
      </c>
      <c r="F6689">
        <f>HYPERLINK("https://www.reddit.com/r/diabetes/comments/bnkmrf/question_cost_of_insulin_pumps_in_your_country/")</f>
        <v/>
      </c>
      <c r="G6689" t="inlineStr">
        <is>
          <t>2019-05-11 20:18:35</t>
        </is>
      </c>
      <c r="H6689" t="inlineStr">
        <is>
          <t>Type 1</t>
        </is>
      </c>
    </row>
    <row r="6690">
      <c r="A6690" t="inlineStr">
        <is>
          <t>bnl15a</t>
        </is>
      </c>
      <c r="B6690" t="inlineStr">
        <is>
          <t>Just Got Diagnosed With Diabetes at 20. Need Advice</t>
        </is>
      </c>
      <c r="C6690" t="inlineStr">
        <is>
          <t>Hey just needed some advice its a long story but will make it short as possible. I'm 20 year old 250 lbs and 6 Ft tall i had my blood test done and was told i was pre diabetic i controlled for a bit got my test done again and it came back normal and i went back to eating shit again. I had 2 months off from uni which i spent eating out everyday with and most of it being pizza, burger, cake and rice. I have depression went on meds twice went off cold turkey both time cuz it just made me more lazy. Food became my medicine. I was sleeping and eating for 2 months. end of the second month I was getting up at night to pee a lot, dry mouth and lost some weight i went to get my blood test done it came back at 17.5 and was put on metformin for diabetes and also was put on meds for blood pressure and cholesterol. I cut out all the sugar food and drinks and tried to eat healthy my fasting is usually under 7 and after food under 10. From today i also Joined the gym and have made my aim to lose weight and be under 175 lbs. Now i have few questions i have researched a lot have found that it is reversible or you could go in remission. Is that true? Can i get off my medication? Also i like the healthy lifestyle and working out so if i get off my meds can i have a cheat meal once a while? 
&amp;amp;#x200B;
&amp;amp;#x200B;
Now diabetes is in my family both dad and moms side but i don't put any of this on my dna because i came to this point because of my choices and treating my body like shit for so long i guess i didn't get it before because im young and i was pretty active because i play for the football team at my uni but having the two months off and eating garbage and just sleeping with 0 physical movement led me to this stage. Sometimes i get mad as to how i got here because i have been trying to lose weight for so long thankfully i have learned not to stress about things that have happened in the past and focus on how to make my future better. Now i just take it as a wake up call to treat my body better and live a healthier lifestyle.</t>
        </is>
      </c>
      <c r="D6690" t="n">
        <v>10</v>
      </c>
      <c r="E6690" t="n">
        <v>26</v>
      </c>
      <c r="F6690">
        <f>HYPERLINK("https://www.reddit.com/r/diabetes/comments/bnl15a/just_got_diagnosed_with_diabetes_at_20_need_advice/")</f>
        <v/>
      </c>
      <c r="G6690" t="inlineStr">
        <is>
          <t>2019-05-11 21:07:22</t>
        </is>
      </c>
      <c r="H6690" t="inlineStr">
        <is>
          <t>Type 2</t>
        </is>
      </c>
    </row>
    <row r="6691">
      <c r="A6691" t="inlineStr">
        <is>
          <t>bnmg4e</t>
        </is>
      </c>
      <c r="B6691" t="inlineStr">
        <is>
          <t>Suggestion for those who think of doing psychology related research about type 1 diabetes</t>
        </is>
      </c>
      <c r="C6691" t="inlineStr">
        <is>
          <t>I've seen posts here about R&amp;amp;D topics. Most of these are about diabetic complications.
But, what I miss is a project to help type 1 diabetics _mentally_. I am not talking about diabetic burnout - that one is probably somewhat covered already. No, I am talking about research into the daily struggle between obsessing over controlling the blood sugars (which makes you prone to anxiety and OCD) and not taking your disease seriously (which makes you prone to developing complications). 
It is a fine balancing act that has do be performed all the time, and we have very little to go on. We have to figure out by ourselves how to keep that balance between management and being able to truly live. Research on how to do achieve this backed with all we know about human psychology would be a great help. I bet there are many psychological and neurological tools we don't know about we could use in our daily struggles. It is for example interesting to be aware about what role the amygdala plays when we develop fears of lows or fears of highs, or how to activate your parasympathetic nervous system to calm yourself down (for example by means of breathing exercises) etc.
We got great tools for measuring our blood sugars, and great insulin analogs for keeping them in check. What's missing are tools for our mental health.</t>
        </is>
      </c>
      <c r="D6691" t="n">
        <v>4</v>
      </c>
      <c r="E6691" t="n">
        <v>2</v>
      </c>
      <c r="F6691">
        <f>HYPERLINK("https://www.reddit.com/r/diabetes/comments/bnmg4e/suggestion_for_those_who_think_of_doing/")</f>
        <v/>
      </c>
      <c r="G6691" t="inlineStr">
        <is>
          <t>2019-05-12 00:28:33</t>
        </is>
      </c>
      <c r="H6691" t="inlineStr">
        <is>
          <t>Type 1</t>
        </is>
      </c>
    </row>
    <row r="6692">
      <c r="A6692" t="inlineStr">
        <is>
          <t>bnsmm2</t>
        </is>
      </c>
      <c r="B6692" t="inlineStr">
        <is>
          <t>Dexcom G6 become inaccurate the last day</t>
        </is>
      </c>
      <c r="C6692" t="inlineStr">
        <is>
          <t>I'm quite new on the Dexcom G6 (first sensor ran out today) and in the past days when I "checked" it was quite accurate. An hour again when I was switching sensors I checked again and this time it was quite off (G6: 120, Blood: 180). That's quite a difference. 
&amp;amp;#x200B;
Does your Dexcom become inaccurate on the last day too?</t>
        </is>
      </c>
      <c r="D6692" t="n">
        <v>2</v>
      </c>
      <c r="E6692" t="n">
        <v>8</v>
      </c>
      <c r="F6692">
        <f>HYPERLINK("https://www.reddit.com/r/diabetes/comments/bnsmm2/dexcom_g6_become_inaccurate_the_last_day/")</f>
        <v/>
      </c>
      <c r="G6692" t="inlineStr">
        <is>
          <t>2019-05-12 11:58:32</t>
        </is>
      </c>
      <c r="H6692" t="inlineStr">
        <is>
          <t>Type 1</t>
        </is>
      </c>
    </row>
    <row r="6693">
      <c r="A6693" t="inlineStr">
        <is>
          <t>bnsz6w</t>
        </is>
      </c>
      <c r="B6693" t="inlineStr">
        <is>
          <t>Hacks</t>
        </is>
      </c>
      <c r="C6693" t="inlineStr">
        <is>
          <t>My son has t1d. He was just diagnosed. There is a lot we were not told. Like prednisone will make your monitor tell you your high, and not give you a number. I would like to know hacks  you all do either to prevent the flu. Or 
Hacks you all use when you have gotten the flu.
Note to self, unless he is dieing, don't use prednisone.</t>
        </is>
      </c>
      <c r="D6693" t="n">
        <v>2</v>
      </c>
      <c r="E6693" t="n">
        <v>9</v>
      </c>
      <c r="F6693">
        <f>HYPERLINK("https://www.reddit.com/r/diabetes/comments/bnsz6w/hacks/")</f>
        <v/>
      </c>
      <c r="G6693" t="inlineStr">
        <is>
          <t>2019-05-12 12:25:44</t>
        </is>
      </c>
      <c r="H6693" t="inlineStr">
        <is>
          <t>Type 1</t>
        </is>
      </c>
    </row>
    <row r="6694">
      <c r="A6694" t="inlineStr">
        <is>
          <t>bntbeq</t>
        </is>
      </c>
      <c r="B6694" t="inlineStr">
        <is>
          <t>Reading timings</t>
        </is>
      </c>
      <c r="C6694" t="inlineStr">
        <is>
          <t>When do you check sugar post meal after 1 hr or 2 hrs ? What should be the readings in both cases ?</t>
        </is>
      </c>
      <c r="D6694" t="n">
        <v>2</v>
      </c>
      <c r="E6694" t="n">
        <v>5</v>
      </c>
      <c r="F6694">
        <f>HYPERLINK("https://www.reddit.com/r/diabetes/comments/bntbeq/reading_timings/")</f>
        <v/>
      </c>
      <c r="G6694" t="inlineStr">
        <is>
          <t>2019-05-12 12:52:15</t>
        </is>
      </c>
      <c r="H6694" t="inlineStr">
        <is>
          <t>Type 2</t>
        </is>
      </c>
    </row>
    <row r="6695">
      <c r="A6695" t="inlineStr">
        <is>
          <t>bnttal</t>
        </is>
      </c>
      <c r="B6695" t="inlineStr">
        <is>
          <t>Diabetes the mountain of life!</t>
        </is>
      </c>
      <c r="C6695" t="inlineStr">
        <is>
          <t>Diabetes can feel like a mountain that unfortunately, we can never conquer. We struggle our whole life just to never reach the top &amp;amp; just like climbing a mountain, along the way we face multiple elements.
These elements are there to distract us from our goals, they are meant to discourage us to the point of breaking, leaving us nothing but despair. It's up to you to keep pushing forward! 
But remember, no one has ever climbed Mt. Everest in a days unprepared. In fact, the average person takes 2 months to reach the top. 
So face every day a warrior, for you are brave! You not only continue to climb the mountain but you don't lose hope during the storm! 
Every day you keep pushing forward, you chip away at that mountain, until that mountain that once seemed so intimidating turns into a hill, then that hill into a rock, then a pebble. Take that pebble and with a little pressure you can turn it into a grain of sand. 
Do this process for every mountain you face and watch your mountain range of life turn into the sandy beautiful beach you deserve. Relax and observe all you have conqured, for those maintains are now beneath you! 
Remember with a little hard work and dedication you can move mountains! Don't give up hope, for you are strong. You are a warrior, and together we make DIABETIC ARMY!! 
A final draft for a upcoming Diabetic Army video!! Let me know what you guys think and look out for the new video at www.diabeticarmy.com or check out our YouTube channel: https://www.youtube.com/channel/UCkiM6CEC6IScJsPRxXWTZFg</t>
        </is>
      </c>
      <c r="D6695" t="n">
        <v>2</v>
      </c>
      <c r="E6695" t="n">
        <v>0</v>
      </c>
      <c r="F6695">
        <f>HYPERLINK("https://www.reddit.com/r/diabetes/comments/bnttal/diabetes_the_mountain_of_life/")</f>
        <v/>
      </c>
      <c r="G6695" t="inlineStr">
        <is>
          <t>2019-05-12 13:34:05</t>
        </is>
      </c>
      <c r="H6695" t="inlineStr">
        <is>
          <t>Type 1</t>
        </is>
      </c>
    </row>
    <row r="6696">
      <c r="A6696" t="inlineStr">
        <is>
          <t>bnv6wn</t>
        </is>
      </c>
      <c r="B6696" t="inlineStr">
        <is>
          <t>Having a phobia of needles and need some suggestions</t>
        </is>
      </c>
      <c r="C6696" t="inlineStr">
        <is>
          <t>Hi, a totally new person yep. Diagnosed in 2016/2017, type 2 so far.
So, to put it simple: I have a really awful phobia of needles. LIKE REAL BAD. Measuring myself is really hard and I usually have to ask my boyfriend to do it.
Anyone having suggestions of what to do? are you facing diabetes with a phobia yourself and it kinda sucks?
Would love to know I'm not the only one feeling so darn stupid for being unable to press the button of my "stabby stab pen" (I call it Mr Stabby, let me laugh at my disgrace lol)</t>
        </is>
      </c>
      <c r="D6696" t="n">
        <v>1</v>
      </c>
      <c r="E6696" t="n">
        <v>9</v>
      </c>
      <c r="F6696">
        <f>HYPERLINK("https://www.reddit.com/r/diabetes/comments/bnv6wn/having_a_phobia_of_needles_and_need_some/")</f>
        <v/>
      </c>
      <c r="G6696" t="inlineStr">
        <is>
          <t>2019-05-12 15:38:15</t>
        </is>
      </c>
      <c r="H6696" t="inlineStr">
        <is>
          <t>Type 2</t>
        </is>
      </c>
    </row>
    <row r="6697">
      <c r="A6697" t="inlineStr">
        <is>
          <t>bnw2jt</t>
        </is>
      </c>
      <c r="B6697" t="inlineStr">
        <is>
          <t>Shirataki Rice and Noodles</t>
        </is>
      </c>
      <c r="C6697" t="inlineStr">
        <is>
          <t>So hi there. As I said previously. Im recently diagnosed Type 2. And Ive been looking for foods to help keep my BS low. I found the  Shirataki rice and spaghetti noodles. They both have zero net carbs. I havent tried the rice yet. But, today we had spaghetti, and I used the noodles. After a very large bowl, my BS was only 111. And that was with 2 pieces of toasted garlic bread with it. To me they was no taste to the noodles. All I could taste was the sauce. They seemed a little bit chewier than regular noodles. But nothing too out of the way. Hope this helps someone.</t>
        </is>
      </c>
      <c r="D6697" t="n">
        <v>1</v>
      </c>
      <c r="E6697" t="n">
        <v>2</v>
      </c>
      <c r="F6697">
        <f>HYPERLINK("https://www.reddit.com/r/diabetes/comments/bnw2jt/shirataki_rice_and_noodles/")</f>
        <v/>
      </c>
      <c r="G6697" t="inlineStr">
        <is>
          <t>2019-05-12 17:05:50</t>
        </is>
      </c>
      <c r="H6697" t="inlineStr">
        <is>
          <t>Type 2</t>
        </is>
      </c>
    </row>
    <row r="6698">
      <c r="A6698" t="inlineStr">
        <is>
          <t>bnx9u2</t>
        </is>
      </c>
      <c r="B6698" t="inlineStr">
        <is>
          <t>New to readdit and this group.</t>
        </is>
      </c>
      <c r="C6698" t="inlineStr">
        <is>
          <t>Hi!  I am Jeannette and I am a type two diabetic.  I have to take oral medication and insulin to my diabetes.  I would like to make friends with others who know what it is like to be a diabetic.</t>
        </is>
      </c>
      <c r="D6698" t="n">
        <v>9</v>
      </c>
      <c r="E6698" t="n">
        <v>13</v>
      </c>
      <c r="F6698">
        <f>HYPERLINK("https://www.reddit.com/r/diabetes/comments/bnx9u2/new_to_readdit_and_this_group/")</f>
        <v/>
      </c>
      <c r="G6698" t="inlineStr">
        <is>
          <t>2019-05-12 19:06:16</t>
        </is>
      </c>
      <c r="H6698" t="inlineStr">
        <is>
          <t>Type 2</t>
        </is>
      </c>
    </row>
    <row r="6699">
      <c r="A6699" t="inlineStr">
        <is>
          <t>bnxw2i</t>
        </is>
      </c>
      <c r="B6699" t="inlineStr">
        <is>
          <t>I am I got a t-shirt from my endocrinologist that read "I strive for 8.5" old!</t>
        </is>
      </c>
      <c r="C6699" t="inlineStr">
        <is>
          <t>I told my current endo that story and he looked at me like I was crazy. I told it's ok, I'm old school, I'm like grandfathered in!  Well, it was the early 80s....
I have seen quite a lot of progress in diabetes treatment. When I was 6 I had a pump almost as big as a VHS tape. Anywhoo, today is my 40th diaversary!</t>
        </is>
      </c>
      <c r="D6699" t="n">
        <v>8</v>
      </c>
      <c r="E6699" t="n">
        <v>2</v>
      </c>
      <c r="F6699">
        <f>HYPERLINK("https://www.reddit.com/r/diabetes/comments/bnxw2i/i_am_i_got_a_tshirt_from_my_endocrinologist_that/")</f>
        <v/>
      </c>
      <c r="G6699" t="inlineStr">
        <is>
          <t>2019-05-12 19:58:45</t>
        </is>
      </c>
      <c r="H6699" t="inlineStr">
        <is>
          <t>Type 1</t>
        </is>
      </c>
    </row>
    <row r="6700">
      <c r="A6700" t="inlineStr">
        <is>
          <t>bny0ew</t>
        </is>
      </c>
      <c r="B6700" t="inlineStr">
        <is>
          <t>Dexcom G6 patch alternatives</t>
        </is>
      </c>
      <c r="C6700" t="inlineStr">
        <is>
          <t>I used the simpatch patches for my dexcom G6 for a month or two and they worked great. But the last several times it has resulted it a pretty severe skin reaction, which seems to get worse each time.
 Does anyone have any suggestions for alternatives? I've been using tegaderms but those don't breathe and water gets trapped underneath.
Thanks friends!</t>
        </is>
      </c>
      <c r="D6700" t="n">
        <v>2</v>
      </c>
      <c r="E6700" t="n">
        <v>3</v>
      </c>
      <c r="F6700">
        <f>HYPERLINK("https://www.reddit.com/r/diabetes/comments/bny0ew/dexcom_g6_patch_alternatives/")</f>
        <v/>
      </c>
      <c r="G6700" t="inlineStr">
        <is>
          <t>2019-05-12 20:08:38</t>
        </is>
      </c>
      <c r="H6700" t="inlineStr">
        <is>
          <t>Type 1</t>
        </is>
      </c>
    </row>
    <row r="6701">
      <c r="A6701" t="inlineStr">
        <is>
          <t>bnz43n</t>
        </is>
      </c>
      <c r="B6701" t="inlineStr">
        <is>
          <t>The new Omnipod Dash</t>
        </is>
      </c>
      <c r="C6701" t="inlineStr">
        <is>
          <t>So I’ve been using the omnipod insulin pump for a while now and my doctor recently told be about the new dash PDM. Has anyone used it yet or recommend whether or not it’s a good idea? Thanks</t>
        </is>
      </c>
      <c r="D6701" t="n">
        <v>3</v>
      </c>
      <c r="E6701" t="n">
        <v>7</v>
      </c>
      <c r="F6701">
        <f>HYPERLINK("https://www.reddit.com/r/diabetes/comments/bnz43n/the_new_omnipod_dash/")</f>
        <v/>
      </c>
      <c r="G6701" t="inlineStr">
        <is>
          <t>2019-05-12 21:56:38</t>
        </is>
      </c>
      <c r="H6701" t="inlineStr">
        <is>
          <t>Type 1</t>
        </is>
      </c>
    </row>
    <row r="6702">
      <c r="A6702" t="inlineStr">
        <is>
          <t>bnzgu6</t>
        </is>
      </c>
      <c r="B6702" t="inlineStr">
        <is>
          <t>Been T1D for 4.5 years and got my latest A1C back...</t>
        </is>
      </c>
      <c r="C6702" t="inlineStr">
        <is>
          <t>And I got a 5.9! I don’t know how! I thought I was running high a lot so I’m stunned and super excited!</t>
        </is>
      </c>
      <c r="D6702" t="n">
        <v>1</v>
      </c>
      <c r="E6702" t="n">
        <v>0</v>
      </c>
      <c r="F6702">
        <f>HYPERLINK("https://www.reddit.com/r/diabetes/comments/bnzgu6/been_t1d_for_45_years_and_got_my_latest_a1c_back/")</f>
        <v/>
      </c>
      <c r="G6702" t="inlineStr">
        <is>
          <t>2019-05-12 22:35:31</t>
        </is>
      </c>
      <c r="H6702" t="inlineStr">
        <is>
          <t>Type 1</t>
        </is>
      </c>
    </row>
    <row r="6703">
      <c r="A6703" t="inlineStr">
        <is>
          <t>bnzja2</t>
        </is>
      </c>
      <c r="B6703" t="inlineStr">
        <is>
          <t>Sometimes I miss the bad old days(diet wise)</t>
        </is>
      </c>
      <c r="C6703" t="inlineStr">
        <is>
          <t>So far my bg is hanging in there at 136, but the bacon I was looking forward to at dinner tonight made me so 🤬queasy that I threw it up along with the Belgian waffle and eggs. Got a bottle of powerade waiting for the maybe low ...</t>
        </is>
      </c>
      <c r="D6703" t="n">
        <v>3</v>
      </c>
      <c r="E6703" t="n">
        <v>1</v>
      </c>
      <c r="F6703">
        <f>HYPERLINK("https://www.reddit.com/r/diabetes/comments/bnzja2/sometimes_i_miss_the_bad_old_daysdiet_wise/")</f>
        <v/>
      </c>
      <c r="G6703" t="inlineStr">
        <is>
          <t>2019-05-12 22:43:12</t>
        </is>
      </c>
      <c r="H6703" t="inlineStr">
        <is>
          <t>Type 1.5/LADA</t>
        </is>
      </c>
    </row>
    <row r="6704">
      <c r="A6704" t="inlineStr">
        <is>
          <t>bnzmka</t>
        </is>
      </c>
      <c r="B6704" t="inlineStr">
        <is>
          <t>Have been T1D for 5.5 years now and got my latest a1c back...</t>
        </is>
      </c>
      <c r="C6704" t="inlineStr">
        <is>
          <t>And it was 5.9!!! I’m stoked! My last one was 7.5 and have been working hard to keep it down! I feel great!</t>
        </is>
      </c>
      <c r="D6704" t="n">
        <v>19</v>
      </c>
      <c r="E6704" t="n">
        <v>3</v>
      </c>
      <c r="F6704">
        <f>HYPERLINK("https://www.reddit.com/r/diabetes/comments/bnzmka/have_been_t1d_for_55_years_now_and_got_my_latest/")</f>
        <v/>
      </c>
      <c r="G6704" t="inlineStr">
        <is>
          <t>2019-05-12 22:53:53</t>
        </is>
      </c>
      <c r="H6704" t="inlineStr">
        <is>
          <t>Type 1</t>
        </is>
      </c>
    </row>
    <row r="6705">
      <c r="A6705" t="inlineStr">
        <is>
          <t>bo3w8z</t>
        </is>
      </c>
      <c r="B6705" t="inlineStr">
        <is>
          <t>(screams)</t>
        </is>
      </c>
      <c r="C6705" t="inlineStr">
        <is>
          <t>I have had this pump for only a year, and it ALWAYS falls of my pants, yanking my site out, then it cracks.....
https://i.redd.it/y8yiyr0djzx21.jpg</t>
        </is>
      </c>
      <c r="D6705" t="n">
        <v>15</v>
      </c>
      <c r="E6705" t="n">
        <v>25</v>
      </c>
      <c r="F6705">
        <f>HYPERLINK("https://www.reddit.com/r/diabetes/comments/bo3w8z/screams/")</f>
        <v/>
      </c>
      <c r="G6705" t="inlineStr">
        <is>
          <t>2019-05-13 07:05:02</t>
        </is>
      </c>
      <c r="H6705" t="inlineStr">
        <is>
          <t>Type 1</t>
        </is>
      </c>
    </row>
    <row r="6706">
      <c r="A6706" t="inlineStr">
        <is>
          <t>boe6k4</t>
        </is>
      </c>
      <c r="B6706" t="inlineStr">
        <is>
          <t>I fucked up royally</t>
        </is>
      </c>
      <c r="C6706" t="inlineStr">
        <is>
          <t>Hello everyone, I'm gonna get straight to the point.
So I'm a 14 y/o with type 1. My clinic appointment is at 8:00 AM and I am scared as fuck, here's why.
So I have a problem with not checking my blood sugar if I think it's high. It gives me anxiety and honestly I just get really angry whenever I see a high number. I try to keep it under control but it's just super bad.
Anyway, when I go to the clinic they're gonna check my meter and look at the numbers for the past month. I'm supposed to be checking it 4 times a day, but they're gonna see maybe 2-4 days where I haven't checked it at all and some days where I've only checked it 2-3 times. My mom is going to be with me and she's going to be super angry with me and I'm scared the doctors will too. I don't want to make a scene but I'm scared that they'll be like "this is the last straw" or whatever and they'll do something drastic (I have no idea what that might be, maybe it's just the anxiety speaking).
I just got on a pump not even 2 months ago, what if they take it away? It's been helping my blood sugars a lot but I am just so scared that they'll take it if they see that's it's making me check my sugars less or whatever. 
Can someone please tell me what they think? Maybe I'm being over-dramatic, I don't know.</t>
        </is>
      </c>
      <c r="D6706" t="n">
        <v>18</v>
      </c>
      <c r="E6706" t="n">
        <v>22</v>
      </c>
      <c r="F6706">
        <f>HYPERLINK("https://www.reddit.com/r/diabetes/comments/boe6k4/i_fucked_up_royally/")</f>
        <v/>
      </c>
      <c r="G6706" t="inlineStr">
        <is>
          <t>2019-05-13 21:35:48</t>
        </is>
      </c>
      <c r="H6706" t="inlineStr">
        <is>
          <t>Type 1</t>
        </is>
      </c>
    </row>
    <row r="6707">
      <c r="A6707" t="inlineStr">
        <is>
          <t>bohpb2</t>
        </is>
      </c>
      <c r="B6707" t="inlineStr">
        <is>
          <t>Endo Confession - Something Bad I Used To Do.</t>
        </is>
      </c>
      <c r="C6707" t="inlineStr">
        <is>
          <t>I just wanted to confess something pretty bad I used to do. So when I was 12-16 years old I didn't have the motivation to test my Blood Glucose level often so I ended up having 1 BG test per day or less, and they wouldn't be good BGs either. To add to this I would be terrified of getting told off by my strict parents and endo during the appointment when they download the results from the meter, and see how infrequent they were.
&amp;amp;#x200B;
So, my cunning teenage self came up with a clever workaround to my anxiety inducing problem... The night before the appointment I would wait until my BG level was in a good range, and then I would change the date/time of my meter and test my BG for each day in the past month, rinse repeat, rinse repeat. I would continue this until an additional 75-100 records had been added for the past 2 months. Yes my fingers were sore... So, when they downloaded the data it looked like I'd taken multiple readings per day in range, which was far from true.
&amp;amp;#x200B;
During the appointments the endos were always completely baffled as to why my sugar levels were being recorded as excellent, and yet my HBA1C was around 8.5%-9%.
&amp;amp;#x200B;
I'm not sure whether I should be proud of myself for being so cunning or should have been more open. I was a scared teenager what can I say. I think endos should make a point of being more understanding, I've no doubt many others were anxious about their appointments and so weren't completely honest, perhaps not to my level of deception...
&amp;amp;#x200B;
Don't worry about me now, I have a pump and G6 using the OpenAPS closed loop on a keto diet and my HBA1C is 6.1%!</t>
        </is>
      </c>
      <c r="D6707" t="n">
        <v>10</v>
      </c>
      <c r="E6707" t="n">
        <v>6</v>
      </c>
      <c r="F6707">
        <f>HYPERLINK("https://www.reddit.com/r/diabetes/comments/bohpb2/endo_confession_something_bad_i_used_to_do/")</f>
        <v/>
      </c>
      <c r="G6707" t="inlineStr">
        <is>
          <t>2019-05-14 04:29:53</t>
        </is>
      </c>
      <c r="H6707" t="inlineStr">
        <is>
          <t>Type 1</t>
        </is>
      </c>
    </row>
    <row r="6708">
      <c r="A6708" t="inlineStr">
        <is>
          <t>boiuzi</t>
        </is>
      </c>
      <c r="B6708" t="inlineStr">
        <is>
          <t>Lost my Freestyle Libre 10-Day Reader on an overseas trip, Abbot no help. Any suggestions?</t>
        </is>
      </c>
      <c r="C6708" t="inlineStr">
        <is>
          <t>I'm a T2 with pretty aggressive insulin resistance, and  my reader somehow fell out of my bag somewhere at the airport in the US and is now long gone, I'm in Sweden now.
I had been planning to get the free upgrade to the 14 but now without a serial number I'm unable to.  I called Abbot but they said without the actual device they can't help me, and the serial number apparently isn't stored on their cloud site when updating.
Any suggestions?  I'm here for a month surrounded by unusual food so it's tough to guess what is safe to eat when I can't always have something I have had before and know what it will do to my levels.</t>
        </is>
      </c>
      <c r="D6708" t="n">
        <v>1</v>
      </c>
      <c r="E6708" t="n">
        <v>14</v>
      </c>
      <c r="F6708">
        <f>HYPERLINK("https://www.reddit.com/r/diabetes/comments/boiuzi/lost_my_freestyle_libre_10day_reader_on_an/")</f>
        <v/>
      </c>
      <c r="G6708" t="inlineStr">
        <is>
          <t>2019-05-14 06:21:48</t>
        </is>
      </c>
      <c r="H6708" t="inlineStr">
        <is>
          <t>Type 2</t>
        </is>
      </c>
    </row>
    <row r="6709">
      <c r="A6709" t="inlineStr">
        <is>
          <t>boo578</t>
        </is>
      </c>
      <c r="B6709" t="inlineStr">
        <is>
          <t>Spike App</t>
        </is>
      </c>
      <c r="C6709" t="inlineStr">
        <is>
          <t>If I download spike do I need to put on a new sensor?</t>
        </is>
      </c>
      <c r="D6709" t="n">
        <v>1</v>
      </c>
      <c r="E6709" t="n">
        <v>0</v>
      </c>
      <c r="F6709">
        <f>HYPERLINK("https://www.reddit.com/r/diabetes/comments/boo578/spike_app/")</f>
        <v/>
      </c>
      <c r="G6709" t="inlineStr">
        <is>
          <t>2019-05-14 13:31:29</t>
        </is>
      </c>
      <c r="H6709" t="inlineStr">
        <is>
          <t>Type 1</t>
        </is>
      </c>
    </row>
    <row r="6710">
      <c r="A6710" t="inlineStr">
        <is>
          <t>boq1ff</t>
        </is>
      </c>
      <c r="B6710" t="inlineStr">
        <is>
          <t>Recent progress in studies on the health benefits of pyrroloquinoline quinone</t>
        </is>
      </c>
      <c r="C6710" t="inlineStr">
        <is>
          <t>An excerpt from section IV: " Our findings clearly suggest that PQQ can be useful in anti-diabetic treatment for T2DM subjects."
[https://www.tandfonline.com/doi/full/10.1080/09168451.2015.1062715](https://www.tandfonline.com/doi/full/10.1080/09168451.2015.1062715)</t>
        </is>
      </c>
      <c r="D6710" t="n">
        <v>1</v>
      </c>
      <c r="E6710" t="n">
        <v>0</v>
      </c>
      <c r="F6710">
        <f>HYPERLINK("https://www.reddit.com/r/diabetes/comments/boq1ff/recent_progress_in_studies_on_the_health_benefits/")</f>
        <v/>
      </c>
      <c r="G6710" t="inlineStr">
        <is>
          <t>2019-05-14 16:13:34</t>
        </is>
      </c>
      <c r="H6710" t="inlineStr">
        <is>
          <t>Type 2</t>
        </is>
      </c>
    </row>
    <row r="6711">
      <c r="A6711" t="inlineStr">
        <is>
          <t>borua4</t>
        </is>
      </c>
      <c r="B6711" t="inlineStr">
        <is>
          <t>Feeling low when not low?</t>
        </is>
      </c>
      <c r="C6711" t="inlineStr">
        <is>
          <t>So earlier, I started shaking really badly. I felt faint, how I feel specifically when 50 mg/dL range. I tested and was at 103. Wtf?
I had some applesauce anyway and it helped a little bit but I still feel low despite being at a really good level. This hasn’t happened before and I’m really confused. Anyone know what this could be?</t>
        </is>
      </c>
      <c r="D6711" t="n">
        <v>6</v>
      </c>
      <c r="E6711" t="n">
        <v>9</v>
      </c>
      <c r="F6711">
        <f>HYPERLINK("https://www.reddit.com/r/diabetes/comments/borua4/feeling_low_when_not_low/")</f>
        <v/>
      </c>
      <c r="G6711" t="inlineStr">
        <is>
          <t>2019-05-14 19:00:25</t>
        </is>
      </c>
      <c r="H6711" t="inlineStr">
        <is>
          <t>Type 1</t>
        </is>
      </c>
    </row>
    <row r="6712">
      <c r="A6712" t="inlineStr">
        <is>
          <t>bou2la</t>
        </is>
      </c>
      <c r="B6712" t="inlineStr">
        <is>
          <t>Going to a college far from home and I’m terrified.</t>
        </is>
      </c>
      <c r="C6712" t="inlineStr">
        <is>
          <t>Hi I’m new to this subreddit and as of today I’ve been a diabetic for about 19 years, practically born with it. I’m transferring to a big college far from where I currently live and everyday I panic at the thought of actually being on my own once the fall comes around. 
I do manage my diabetes decent well, having an A1C of 7.1 however, I have this nagging feeling that I’m not ready to take care of myself yet. I feel as though something will go wrong.
Felt as though I needed to get this out with people that understand me. I guess what I’m hoping to gain from this post is some advice on how I should approach this because any insight would help.</t>
        </is>
      </c>
      <c r="D6712" t="n">
        <v>5</v>
      </c>
      <c r="E6712" t="n">
        <v>8</v>
      </c>
      <c r="F6712">
        <f>HYPERLINK("https://www.reddit.com/r/diabetes/comments/bou2la/going_to_a_college_far_from_home_and_im_terrified/")</f>
        <v/>
      </c>
      <c r="G6712" t="inlineStr">
        <is>
          <t>2019-05-14 22:55:56</t>
        </is>
      </c>
      <c r="H6712" t="inlineStr">
        <is>
          <t>Type 1</t>
        </is>
      </c>
    </row>
    <row r="6713">
      <c r="A6713" t="inlineStr">
        <is>
          <t>boyqat</t>
        </is>
      </c>
      <c r="B6713" t="inlineStr">
        <is>
          <t>Question About Managing Morning Blood Sugars (T1)</t>
        </is>
      </c>
      <c r="C6713" t="inlineStr">
        <is>
          <t>Hey diabetes fam,
&amp;amp;#x200B;
I just had a quick question about how (if any of you deal with this) you all keep you morning blood sugars stable. I always wake up in range but no matter how much insulin I give my blood sugar will stay stable till lunch. If I eat any (and I mean ANY) break fast it seems as though my sugars will shoot above 200 in an instant. I've been trying to figure out tricks to beat this but I haven't come up with anything so far.
&amp;amp;#x200B;
I'm particularly concerned because I'm about to start working in the Operating Room where I wont have access to my pump while scrubbed in, but would also really like to be able to have breakfast before going in for long surgeries.
&amp;amp;#x200B;
Any tips would be great!!!</t>
        </is>
      </c>
      <c r="D6713" t="n">
        <v>4</v>
      </c>
      <c r="E6713" t="n">
        <v>23</v>
      </c>
      <c r="F6713">
        <f>HYPERLINK("https://www.reddit.com/r/diabetes/comments/boyqat/question_about_managing_morning_blood_sugars_t1/")</f>
        <v/>
      </c>
      <c r="G6713" t="inlineStr">
        <is>
          <t>2019-05-15 07:38:58</t>
        </is>
      </c>
      <c r="H6713" t="inlineStr">
        <is>
          <t>Type 1</t>
        </is>
      </c>
    </row>
    <row r="6714">
      <c r="A6714" t="inlineStr">
        <is>
          <t>bozwry</t>
        </is>
      </c>
      <c r="B6714" t="inlineStr">
        <is>
          <t>Can't get xdrip+ and G6 to keep working</t>
        </is>
      </c>
      <c r="C6714" t="inlineStr">
        <is>
          <t>Hello all!
&amp;amp;#x200B;
I'm really stressed out. I just got my G6 sensors and transmitter, and I just can't get it to work with my xdrip+ app (have been working with the freestyle libre and blucon). It works if I turn off Setting &amp;gt; G5/G6 Debug Settings &amp;gt; Native Algorithm. But it only does for one or two readings and then xDrip turns it back on automatically. How do I stop this from happening?
Any help is greatly appreciated!!</t>
        </is>
      </c>
      <c r="D6714" t="n">
        <v>3</v>
      </c>
      <c r="E6714" t="n">
        <v>8</v>
      </c>
      <c r="F6714">
        <f>HYPERLINK("https://www.reddit.com/r/diabetes/comments/bozwry/cant_get_xdrip_and_g6_to_keep_working/")</f>
        <v/>
      </c>
      <c r="G6714" t="inlineStr">
        <is>
          <t>2019-05-15 09:15:23</t>
        </is>
      </c>
      <c r="H6714" t="inlineStr">
        <is>
          <t>Type 1</t>
        </is>
      </c>
    </row>
    <row r="6715">
      <c r="A6715" t="inlineStr">
        <is>
          <t>bp21l4</t>
        </is>
      </c>
      <c r="B6715" t="inlineStr">
        <is>
          <t>Calculating Insulin on Board with Tresiba?</t>
        </is>
      </c>
      <c r="C6715" t="inlineStr">
        <is>
          <t>I'm just curious how you would go about figuring your basal Insulin on Board with an extremely long acting basal insulin like Tresiba that stays active for upwards of 40 hours after injection. I've been taking 20 units a day and it was working great, but I've lost a lot of weight and with Summer approaching I'm more active, so I need to back off the dosage because it's started trending down while fasting. What I'm unsure of is the math. If I cut back to 18 units per day, it that dropping my actual basal insulin per day by 2 units, or closer to 4 (since each dose can stay active for 42 hours)? I wanted to ease it down to 19 first but my endo said she has lots of patients who have to drop by 2-4 during the summer, so I decided to follow her advice go with 18 today.</t>
        </is>
      </c>
      <c r="D6715" t="n">
        <v>2</v>
      </c>
      <c r="E6715" t="n">
        <v>6</v>
      </c>
      <c r="F6715">
        <f>HYPERLINK("https://www.reddit.com/r/diabetes/comments/bp21l4/calculating_insulin_on_board_with_tresiba/")</f>
        <v/>
      </c>
      <c r="G6715" t="inlineStr">
        <is>
          <t>2019-05-15 12:07:25</t>
        </is>
      </c>
      <c r="H6715" t="inlineStr">
        <is>
          <t>Type 1</t>
        </is>
      </c>
    </row>
    <row r="6716">
      <c r="A6716" t="inlineStr">
        <is>
          <t>bp21qs</t>
        </is>
      </c>
      <c r="B6716" t="inlineStr">
        <is>
          <t>Post prandial</t>
        </is>
      </c>
      <c r="C6716" t="inlineStr">
        <is>
          <t>Success
Post prandial is 128 🥰</t>
        </is>
      </c>
      <c r="D6716" t="n">
        <v>2</v>
      </c>
      <c r="E6716" t="n">
        <v>10</v>
      </c>
      <c r="F6716">
        <f>HYPERLINK("https://www.reddit.com/r/diabetes/comments/bp21qs/post_prandial/")</f>
        <v/>
      </c>
      <c r="G6716" t="inlineStr">
        <is>
          <t>2019-05-15 12:07:47</t>
        </is>
      </c>
      <c r="H6716" t="inlineStr">
        <is>
          <t>Type 2</t>
        </is>
      </c>
    </row>
    <row r="6717">
      <c r="A6717" t="inlineStr">
        <is>
          <t>bp2oxd</t>
        </is>
      </c>
      <c r="B6717" t="inlineStr">
        <is>
          <t>just chilling hungover...</t>
        </is>
      </c>
      <c r="C6717" t="inlineStr">
        <is>
          <t>was having a bad day, had probably the WORST low blood sugar ever, panicked, ate 2 bowls of cereal, only took insulin for 1, blood sugar went up to 320 and now I'm having a high blood sugar hangover...
https://i.redd.it/s22nwbdskfy21.jpg</t>
        </is>
      </c>
      <c r="D6717" t="n">
        <v>4</v>
      </c>
      <c r="E6717" t="n">
        <v>2</v>
      </c>
      <c r="F6717">
        <f>HYPERLINK("https://www.reddit.com/r/diabetes/comments/bp2oxd/just_chilling_hungover/")</f>
        <v/>
      </c>
      <c r="G6717" t="inlineStr">
        <is>
          <t>2019-05-15 12:59:40</t>
        </is>
      </c>
      <c r="H6717" t="inlineStr">
        <is>
          <t>Type 1</t>
        </is>
      </c>
    </row>
    <row r="6718">
      <c r="A6718" t="inlineStr">
        <is>
          <t>bp49ai</t>
        </is>
      </c>
      <c r="B6718" t="inlineStr">
        <is>
          <t>I am just beside myself.</t>
        </is>
      </c>
      <c r="C6718" t="inlineStr">
        <is>
          <t>So, I have a pump (530g minimed) and it's still within warranty. I'm in the process of getting a CGM, and my doctor wants records of my bgs. So I've been going at it hard. Testing 6+ times a day, even. Well, starting Saturday, my BG hasn't been below 200. That's odd for me. I changed my site, changed location thinking it was scared tissue, changed insulin, opened a new bottle of insulin, changed reservoir, tubing, everything. I've fasted. I've adjusted my basal. I've done absolutely everything. I've trouble shooted the pump w/ Medtronic over the phone, I've called my doctor who said "there is nothing we can do for you at this time." And my BG is out of control. For five days now, I've had 13+ units of insulin on board because I'm severely over compensating because insulin is not working. I don't know what to do. My bf suggested I hit up the urgent Care to see if they can put me on an insulin drip to see if it's an extreme case of insulin resistance or if it's my pump malfunctioning. I feel like that's dramatic. I'm just irritated, both because my blood sugar is high and that's a side effect, but also because I'm exhausted and I've tried everything. Help!!!</t>
        </is>
      </c>
      <c r="D6718" t="n">
        <v>4</v>
      </c>
      <c r="E6718" t="n">
        <v>8</v>
      </c>
      <c r="F6718">
        <f>HYPERLINK("https://www.reddit.com/r/diabetes/comments/bp49ai/i_am_just_beside_myself/")</f>
        <v/>
      </c>
      <c r="G6718" t="inlineStr">
        <is>
          <t>2019-05-15 15:01:27</t>
        </is>
      </c>
      <c r="H6718" t="inlineStr">
        <is>
          <t>Type 1</t>
        </is>
      </c>
    </row>
    <row r="6719">
      <c r="A6719" t="inlineStr">
        <is>
          <t>bp740b</t>
        </is>
      </c>
      <c r="B6719" t="inlineStr">
        <is>
          <t>I'm guessing this means the LADA honeymoon is over?</t>
        </is>
      </c>
      <c r="C6719" t="inlineStr">
        <is>
          <t>I'm current at a conference in Traverse City, MI from CA for a week.  I'm only 3 months into a LADA diagnosis which I received on my 50th birthday  (yay!).  I'm doing well and adjusting from a fairly libertine lifestyle to having discipline in keeping myself healthy, tested and injected.
Tonight was a comedy of errors for my Lantus injection.  The injection went fine, but after I withdrew the needle, I dropped it and it stuck into my right thigh before falling out and onto the floor.  
Then when I retrieved it, I went to put the cap back on before I realized the pen was turned opposite of the way I thought, and I stabbed myself in the palm of the hand as well.
Can anyone beat three stabs with a single short needle?</t>
        </is>
      </c>
      <c r="D6719" t="n">
        <v>5</v>
      </c>
      <c r="E6719" t="n">
        <v>6</v>
      </c>
      <c r="F6719">
        <f>HYPERLINK("https://www.reddit.com/r/diabetes/comments/bp740b/im_guessing_this_means_the_lada_honeymoon_is_over/")</f>
        <v/>
      </c>
      <c r="G6719" t="inlineStr">
        <is>
          <t>2019-05-15 19:30:45</t>
        </is>
      </c>
      <c r="H6719" t="inlineStr">
        <is>
          <t>Type 1.5/LADA</t>
        </is>
      </c>
    </row>
    <row r="6720">
      <c r="A6720" t="inlineStr">
        <is>
          <t>bp8pn5</t>
        </is>
      </c>
      <c r="B6720" t="inlineStr">
        <is>
          <t>6 years type 1 diabetic, I can’t do this</t>
        </is>
      </c>
      <c r="C6720" t="inlineStr">
        <is>
          <t>Diagnosed when I was 13, never been able to keep my blood sugars in a normal range... spikes all day long. 
Just got off work and checked my blood sugar... 442, guess I didn’t need that snack. I was too tired to be active enough to lower my blood sugar. 
I can’t ever focus enough to regularly take insulin and check sugars. My days are too busy. 
I don’t know what to do any more.</t>
        </is>
      </c>
      <c r="D6720" t="n">
        <v>5</v>
      </c>
      <c r="E6720" t="n">
        <v>17</v>
      </c>
      <c r="F6720">
        <f>HYPERLINK("https://www.reddit.com/r/diabetes/comments/bp8pn5/6_years_type_1_diabetic_i_cant_do_this/")</f>
        <v/>
      </c>
      <c r="G6720" t="inlineStr">
        <is>
          <t>2019-05-15 22:22:08</t>
        </is>
      </c>
      <c r="H6720" t="inlineStr">
        <is>
          <t>Type 1</t>
        </is>
      </c>
    </row>
    <row r="6721">
      <c r="A6721" t="inlineStr">
        <is>
          <t>bpar3t</t>
        </is>
      </c>
      <c r="B6721" t="inlineStr">
        <is>
          <t>Dark circles under eyes common for Diabetics?</t>
        </is>
      </c>
      <c r="C6721" t="inlineStr">
        <is>
          <t>Hey,
During the last few years, I have got dark circles under my eyes. I have diabetes 1. My average blood sugar levels are around 7. And during periods of good sugar, I still have dark circles.
&amp;amp;#x200B;
Any solution to get rid of these?</t>
        </is>
      </c>
      <c r="D6721" t="n">
        <v>6</v>
      </c>
      <c r="E6721" t="n">
        <v>8</v>
      </c>
      <c r="F6721">
        <f>HYPERLINK("https://www.reddit.com/r/diabetes/comments/bpar3t/dark_circles_under_eyes_common_for_diabetics/")</f>
        <v/>
      </c>
      <c r="G6721" t="inlineStr">
        <is>
          <t>2019-05-16 03:15:07</t>
        </is>
      </c>
      <c r="H6721" t="inlineStr">
        <is>
          <t>Type 1</t>
        </is>
      </c>
    </row>
    <row r="6722">
      <c r="A6722" t="inlineStr">
        <is>
          <t>bpbkdc</t>
        </is>
      </c>
      <c r="B6722" t="inlineStr">
        <is>
          <t>Help for a newbie</t>
        </is>
      </c>
      <c r="C6722" t="inlineStr">
        <is>
          <t>Hi all,
&amp;amp;#x200B;
I just got diagnosed with Type 2 this past Monday. Was wondering if anyone had some advice for someone who's still grappling with all of this?</t>
        </is>
      </c>
      <c r="D6722" t="n">
        <v>2</v>
      </c>
      <c r="E6722" t="n">
        <v>6</v>
      </c>
      <c r="F6722">
        <f>HYPERLINK("https://www.reddit.com/r/diabetes/comments/bpbkdc/help_for_a_newbie/")</f>
        <v/>
      </c>
      <c r="G6722" t="inlineStr">
        <is>
          <t>2019-05-16 04:50:31</t>
        </is>
      </c>
      <c r="H6722" t="inlineStr">
        <is>
          <t>Type 2</t>
        </is>
      </c>
    </row>
    <row r="6723">
      <c r="A6723" t="inlineStr">
        <is>
          <t>bpf20j</t>
        </is>
      </c>
      <c r="B6723" t="inlineStr">
        <is>
          <t>Dating anxiety with Diabetes</t>
        </is>
      </c>
      <c r="C6723" t="inlineStr">
        <is>
          <t>Hey,
My most anxious situations with my Diabetes type 1  is dating. First, i have to calibrate my sugar to be perfect before the date and make sure it is not swinging during the date. This, in turn, leads to even more anxiety on first dates. Not only am i trying to make a good first impression but I also have to think about my blood sugars at the same time which causes anxiety. 
&amp;amp;#x200B;
Anyone else experiences this? tips?</t>
        </is>
      </c>
      <c r="D6723" t="n">
        <v>7</v>
      </c>
      <c r="E6723" t="n">
        <v>4</v>
      </c>
      <c r="F6723">
        <f>HYPERLINK("https://www.reddit.com/r/diabetes/comments/bpf20j/dating_anxiety_with_diabetes/")</f>
        <v/>
      </c>
      <c r="G6723" t="inlineStr">
        <is>
          <t>2019-05-16 09:59:19</t>
        </is>
      </c>
      <c r="H6723" t="inlineStr">
        <is>
          <t>Type 1</t>
        </is>
      </c>
    </row>
    <row r="6724">
      <c r="A6724" t="inlineStr">
        <is>
          <t>bpfr4i</t>
        </is>
      </c>
      <c r="B6724" t="inlineStr">
        <is>
          <t>Making progress!!</t>
        </is>
      </c>
      <c r="C6724" t="inlineStr">
        <is>
          <t>T1D newly diagnosed in March with HBA1C of 116, which is obviously really out of range. Just had an appointment with my consultant in which they did another test, bearing in mind that this includes roughly a month of me being undiagnosed; 56!!! Almost exactly halved my initial result and I’m so happy that the results I’m getting are showing the effort I’m putting in to it!</t>
        </is>
      </c>
      <c r="D6724" t="n">
        <v>4</v>
      </c>
      <c r="E6724" t="n">
        <v>5</v>
      </c>
      <c r="F6724">
        <f>HYPERLINK("https://www.reddit.com/r/diabetes/comments/bpfr4i/making_progress/")</f>
        <v/>
      </c>
      <c r="G6724" t="inlineStr">
        <is>
          <t>2019-05-16 10:55:55</t>
        </is>
      </c>
      <c r="H6724" t="inlineStr">
        <is>
          <t>Type 1</t>
        </is>
      </c>
    </row>
    <row r="6725">
      <c r="A6725" t="inlineStr">
        <is>
          <t>bpg84x</t>
        </is>
      </c>
      <c r="B6725" t="inlineStr">
        <is>
          <t>The 780g has the potential to be the best pump system ever!</t>
        </is>
      </c>
      <c r="C6725" t="inlineStr">
        <is>
          <t>https://diatribe.org/medtronic-minimed-670g-2-6-year-old-data-and-next-gen-products
If you scroll down it gives you information about the upcoming 780g, which is planned to release in April 2020.</t>
        </is>
      </c>
      <c r="D6725" t="n">
        <v>0</v>
      </c>
      <c r="E6725" t="n">
        <v>13</v>
      </c>
      <c r="F6725">
        <f>HYPERLINK("https://www.reddit.com/r/diabetes/comments/bpg84x/the_780g_has_the_potential_to_be_the_best_pump/")</f>
        <v/>
      </c>
      <c r="G6725" t="inlineStr">
        <is>
          <t>2019-05-16 11:33:18</t>
        </is>
      </c>
      <c r="H6725" t="inlineStr">
        <is>
          <t>Type 1</t>
        </is>
      </c>
    </row>
    <row r="6726">
      <c r="A6726" t="inlineStr">
        <is>
          <t>bpijwu</t>
        </is>
      </c>
      <c r="B6726" t="inlineStr">
        <is>
          <t>Just found out I have an A1C of 6.1 so happy!😁🥳</t>
        </is>
      </c>
      <c r="C6726" t="inlineStr">
        <is>
          <t>There is nothing down here
( ͡° ͜ʖ ͡°)
Hello friend</t>
        </is>
      </c>
      <c r="D6726" t="n">
        <v>173</v>
      </c>
      <c r="E6726" t="n">
        <v>28</v>
      </c>
      <c r="F6726">
        <f>HYPERLINK("https://www.reddit.com/r/diabetes/comments/bpijwu/just_found_out_i_have_an_a1c_of_61_so_happy/")</f>
        <v/>
      </c>
      <c r="G6726" t="inlineStr">
        <is>
          <t>2019-05-16 14:39:50</t>
        </is>
      </c>
      <c r="H6726" t="inlineStr">
        <is>
          <t>Type 1</t>
        </is>
      </c>
    </row>
    <row r="6727">
      <c r="A6727" t="inlineStr">
        <is>
          <t>bpma3p</t>
        </is>
      </c>
      <c r="B6727" t="inlineStr">
        <is>
          <t>Im a type 2 Diabetic and I want to kill myself with an overdose of Novomix</t>
        </is>
      </c>
      <c r="C6727" t="inlineStr">
        <is>
          <t>Does anyone know how much Novomix I need to take to die?</t>
        </is>
      </c>
      <c r="D6727" t="n">
        <v>0</v>
      </c>
      <c r="E6727" t="n">
        <v>6</v>
      </c>
      <c r="F6727">
        <f>HYPERLINK("https://www.reddit.com/r/diabetes/comments/bpma3p/im_a_type_2_diabetic_and_i_want_to_kill_myself/")</f>
        <v/>
      </c>
      <c r="G6727" t="inlineStr">
        <is>
          <t>2019-05-16 20:37:21</t>
        </is>
      </c>
      <c r="H6727" t="inlineStr">
        <is>
          <t>Type 2</t>
        </is>
      </c>
    </row>
    <row r="6728">
      <c r="A6728" t="inlineStr">
        <is>
          <t>bpnq04</t>
        </is>
      </c>
      <c r="B6728" t="inlineStr">
        <is>
          <t>Creating a diabetic community</t>
        </is>
      </c>
      <c r="C6728" t="inlineStr">
        <is>
          <t>**Hey I'm looking for a truly supportive diabetes community with others having diabetes type 1 on how to become healthier and treat diabetes. I am SO excited to share and acquire knowledge and SO much more! Comment if you're in.**
**Sincerely**</t>
        </is>
      </c>
      <c r="D6728" t="n">
        <v>0</v>
      </c>
      <c r="E6728" t="n">
        <v>1</v>
      </c>
      <c r="F6728">
        <f>HYPERLINK("https://www.reddit.com/r/diabetes/comments/bpnq04/creating_a_diabetic_community/")</f>
        <v/>
      </c>
      <c r="G6728" t="inlineStr">
        <is>
          <t>2019-05-16 23:26:02</t>
        </is>
      </c>
      <c r="H6728" t="inlineStr">
        <is>
          <t>Type 2</t>
        </is>
      </c>
    </row>
    <row r="6729">
      <c r="A6729" t="inlineStr">
        <is>
          <t>bpod7d</t>
        </is>
      </c>
      <c r="B6729" t="inlineStr">
        <is>
          <t>I had Few Questions? (20) Newly Diagnosed With Diabetes Type 2 with A1C being 17.5</t>
        </is>
      </c>
      <c r="C6729" t="inlineStr">
        <is>
          <t>Can Losing Weight Increase Your Insulin Sensitivity? I mean If you lost weight and reduced your fat will your insulin sensitivity improve? also what is your usual reading on fasting and after food?  I'm 20 Newly Diagnosed With Diabetes Type 2 with A1C being 17.5 so sorry if these question sound dumb dont know much about diabetes. do you think this can be reversed or put in remission? 
&amp;amp;#x200B;
I was diagnosed with a1c being 17.5 
was put on metformin cholesterol and blood pressure medication 
my reading when fasting is mostly 5.4 but always below 7 
my reading after food is below 10 mostly 
I am 250 lbs 5'10 
&amp;amp;#x200B;
My day is usually spent sleeping with almost zero physical movement and i was eating a lot and a lot of junk food before but i have been eating healthy and in a more human serving size :P Diabetes was like a wake up call to me so I am going to lose weight regardless and treat my body better but do you think losing weight would help? can i reverse this? Just any advice would be helpful?</t>
        </is>
      </c>
      <c r="D6729" t="n">
        <v>2</v>
      </c>
      <c r="E6729" t="n">
        <v>6</v>
      </c>
      <c r="F6729">
        <f>HYPERLINK("https://www.reddit.com/r/diabetes/comments/bpod7d/i_had_few_questions_20_newly_diagnosed_with/")</f>
        <v/>
      </c>
      <c r="G6729" t="inlineStr">
        <is>
          <t>2019-05-17 00:51:01</t>
        </is>
      </c>
      <c r="H6729" t="inlineStr">
        <is>
          <t>Type 2</t>
        </is>
      </c>
    </row>
    <row r="6730">
      <c r="A6730" t="inlineStr">
        <is>
          <t>bppb2n</t>
        </is>
      </c>
      <c r="B6730" t="inlineStr">
        <is>
          <t>Omnipod DASH</t>
        </is>
      </c>
      <c r="C6730" t="inlineStr">
        <is>
          <t>Can anyone who’s on the Dash can speak to the pros/cons vs. the older eros pods? I’d like to know what to expect aside from the technical details they’ve released...</t>
        </is>
      </c>
      <c r="D6730" t="n">
        <v>2</v>
      </c>
      <c r="E6730" t="n">
        <v>3</v>
      </c>
      <c r="F6730">
        <f>HYPERLINK("https://www.reddit.com/r/diabetes/comments/bppb2n/omnipod_dash/")</f>
        <v/>
      </c>
      <c r="G6730" t="inlineStr">
        <is>
          <t>2019-05-17 03:01:16</t>
        </is>
      </c>
      <c r="H6730" t="inlineStr">
        <is>
          <t>Type 1.5/LADA</t>
        </is>
      </c>
    </row>
    <row r="6731">
      <c r="A6731" t="inlineStr">
        <is>
          <t>bpvoix</t>
        </is>
      </c>
      <c r="B6731" t="inlineStr">
        <is>
          <t>So... anyone get OmniPod Dash running on an Android phone yet?</t>
        </is>
      </c>
      <c r="C6731" t="inlineStr">
        <is>
          <t>I'm sorting stuff out with insurance and hoping to order an OmniPod Dash system in the next little bit. (Current happy OmniPod user.) I know with the Dexcom app on Android, it didn't take long before brilliant people had cracked it open and posted a working APK for phones that weren't explicitly approved by Dexcom. And it worked absolutely flawlessly. I know the same development for the Dash can't be too far away, and I'm really really looking forward to carrying one less thing around. Anyone know of any developments?</t>
        </is>
      </c>
      <c r="D6731" t="n">
        <v>2</v>
      </c>
      <c r="E6731" t="n">
        <v>2</v>
      </c>
      <c r="F6731">
        <f>HYPERLINK("https://www.reddit.com/r/diabetes/comments/bpvoix/so_anyone_get_omnipod_dash_running_on_an_android/")</f>
        <v/>
      </c>
      <c r="G6731" t="inlineStr">
        <is>
          <t>2019-05-17 12:36:17</t>
        </is>
      </c>
      <c r="H6731" t="inlineStr">
        <is>
          <t>Type 1</t>
        </is>
      </c>
    </row>
    <row r="6732">
      <c r="A6732" t="inlineStr">
        <is>
          <t>bpxnn6</t>
        </is>
      </c>
      <c r="B6732" t="inlineStr">
        <is>
          <t>so, what reading am I supposed to believe here...</t>
        </is>
      </c>
      <c r="C6732" t="inlineStr">
        <is>
          <t>So, not sure what is going on here. I am about 6 weeks diagnosed as T2, and there are still so many things I am learning. But this one has me stumped. Why am I getting such a wide range of readings? I am really confused.
From left to right
Blood test, blood test, libre sensor scan... 
&amp;amp;#x200B;
Why is there such a big discrepancy in the readings?
&amp;amp;#x200B;
https://i.redd.it/5f72fh3skuy21.jpg</t>
        </is>
      </c>
      <c r="D6732" t="n">
        <v>3</v>
      </c>
      <c r="E6732" t="n">
        <v>8</v>
      </c>
      <c r="F6732">
        <f>HYPERLINK("https://www.reddit.com/r/diabetes/comments/bpxnn6/so_what_reading_am_i_supposed_to_believe_here/")</f>
        <v/>
      </c>
      <c r="G6732" t="inlineStr">
        <is>
          <t>2019-05-17 15:26:45</t>
        </is>
      </c>
      <c r="H6732" t="inlineStr">
        <is>
          <t>Type 2</t>
        </is>
      </c>
    </row>
    <row r="6733">
      <c r="A6733" t="inlineStr">
        <is>
          <t>bpxy7g</t>
        </is>
      </c>
      <c r="B6733" t="inlineStr">
        <is>
          <t>Hyplogicemias/hyperglycemias and mental harm</t>
        </is>
      </c>
      <c r="C6733" t="inlineStr">
        <is>
          <t>Are there studies between hyplogicemias/hyperglycemias and mental harm?</t>
        </is>
      </c>
      <c r="D6733" t="n">
        <v>2</v>
      </c>
      <c r="E6733" t="n">
        <v>2</v>
      </c>
      <c r="F6733">
        <f>HYPERLINK("https://www.reddit.com/r/diabetes/comments/bpxy7g/hyplogicemiashyperglycemias_and_mental_harm/")</f>
        <v/>
      </c>
      <c r="G6733" t="inlineStr">
        <is>
          <t>2019-05-17 15:54:03</t>
        </is>
      </c>
      <c r="H6733" t="inlineStr">
        <is>
          <t>Type 1</t>
        </is>
      </c>
    </row>
    <row r="6734">
      <c r="A6734" t="inlineStr">
        <is>
          <t>bq42iq</t>
        </is>
      </c>
      <c r="B6734" t="inlineStr">
        <is>
          <t>Cured Diabetes is just really well controlled Diabetes, how restrictive is it?</t>
        </is>
      </c>
      <c r="C6734" t="inlineStr">
        <is>
          <t>Ok, so i have had Diabetes Type II for a long time (10+ years). I have tried to work on it in spurts, get really strict, relapse and so on.
I'm getting older, and it's getting harder and harder to work out, get healthy ... none of this is really news. When i was younger, i saw people proclaiming that they have cured their diabetes. As i get older, and just a slightly bit wiser, i realize that there really isn't a way to truly cure Diabetes. It's just a really well controlled diabetes with strict diet &amp;amp; exercise.
I signed up for a Gym the other day, and the guy asked me why i want to work out. And instead of blurting out the usual answer (buff, weight loss, ....) i thought about it for a minute, and really the main reason i want to work out is so i can eat what i want. I don't mean to just pig out, but more to eat whatever i'm jonesing for at the moment. I still want all the other stuff like look buff, lose weight, but being able to eat what i want i my main focus.
I live in Tampa, and Tampa has been turning into a up and coming food destination in my opinion. There are new restaurants and food spots popping up almost daily. Tennessee Fried Chicken, Real Hamburgers, Ramen spots, Rice bowl spots, ...... i could go on.
I live a pretty singular live, so good food is one of the few things that bring me joy these days.
I'm really going to try to get a hold of my diabetes this time around, and keep it well managed. I'm very much overweight so it will take me some time to reach that point, but it's nice to have something positive to look forward to.
&amp;amp;#x200B;
**My question is this (finally), once diabetes is well controlled, how restrictive is it? How often do people that have reached that level allow themselves to order whatever they want? I understand everybody is different, i'd just like to get an idea of what i can expect in the future. When i mean eat whatever strikes my fancy, i'm not looking for alternatives to carbs, i can do that when i'm eating breakfast, lunch, snacks at home or at work.**</t>
        </is>
      </c>
      <c r="D6734" t="n">
        <v>7</v>
      </c>
      <c r="E6734" t="n">
        <v>12</v>
      </c>
      <c r="F6734">
        <f>HYPERLINK("https://www.reddit.com/r/diabetes/comments/bq42iq/cured_diabetes_is_just_really_well_controlled/")</f>
        <v/>
      </c>
      <c r="G6734" t="inlineStr">
        <is>
          <t>2019-05-18 06:35:52</t>
        </is>
      </c>
      <c r="H6734" t="inlineStr">
        <is>
          <t>Type 2</t>
        </is>
      </c>
    </row>
    <row r="6735">
      <c r="A6735" t="inlineStr">
        <is>
          <t>bq4hy3</t>
        </is>
      </c>
      <c r="B6735" t="inlineStr">
        <is>
          <t>traitement de la neuropathie diabétique</t>
        </is>
      </c>
      <c r="C6735" t="inlineStr">
        <is>
          <t xml:space="preserve"> 
**La neuropathie diabétique** est une complication du[ diabète](http://santedesdiabetiques.com/difference-entre-le-diabete-de-type-1-et-le-diabete-de-type-2/) entraînant **des lésions du système nerveux**. C’est une maladie progressive et les symptômes s’aggravent avec le temps.
***La neuropathie se produit lorsque des niveaux élevés de graisses ou de sucre dans le sang endommagent les nerfs du corps***. Il peut toucher pratiquement tous les nerfs du corps, avec une vaste gamme de symptômes.source: [ici](https://www.santedesdiabetiques.com)</t>
        </is>
      </c>
      <c r="D6735" t="n">
        <v>0</v>
      </c>
      <c r="E6735" t="n">
        <v>1</v>
      </c>
      <c r="F6735">
        <f>HYPERLINK("https://www.reddit.com/r/diabetes/comments/bq4hy3/traitement_de_la_neuropathie_diabétique/")</f>
        <v/>
      </c>
      <c r="G6735" t="inlineStr">
        <is>
          <t>2019-05-18 07:21:28</t>
        </is>
      </c>
      <c r="H6735" t="inlineStr">
        <is>
          <t>Type 2</t>
        </is>
      </c>
    </row>
    <row r="6736">
      <c r="A6736" t="inlineStr">
        <is>
          <t>bq53rp</t>
        </is>
      </c>
      <c r="B6736" t="inlineStr">
        <is>
          <t>Anyone else feels like high or low blood sugars causes a feeling of social anxiety?</t>
        </is>
      </c>
      <c r="C6736" t="inlineStr">
        <is>
          <t>Hey,
&amp;amp;#x200B;
Sometimes I feel like my sugars affect my ability to be sharp and think clearly in social situations and I get anxious in social settings.  Anyone else experienced this or is it purely an affect of social anxiety for the most part?</t>
        </is>
      </c>
      <c r="D6736" t="n">
        <v>17</v>
      </c>
      <c r="E6736" t="n">
        <v>9</v>
      </c>
      <c r="F6736">
        <f>HYPERLINK("https://www.reddit.com/r/diabetes/comments/bq53rp/anyone_else_feels_like_high_or_low_blood_sugars/")</f>
        <v/>
      </c>
      <c r="G6736" t="inlineStr">
        <is>
          <t>2019-05-18 08:20:37</t>
        </is>
      </c>
      <c r="H6736" t="inlineStr">
        <is>
          <t>Type 1</t>
        </is>
      </c>
    </row>
    <row r="6737">
      <c r="A6737" t="inlineStr">
        <is>
          <t>bq6g01</t>
        </is>
      </c>
      <c r="B6737" t="inlineStr">
        <is>
          <t>I ate a whole large thin crust BBQ chicken pizza last night</t>
        </is>
      </c>
      <c r="C6737" t="inlineStr">
        <is>
          <t>Don't know what I was thinking.  Just kept eating.  Took correction doses all evening and still ended up near 300.  
&amp;amp;#x200B;
What's your worst meal moment of instant regret?</t>
        </is>
      </c>
      <c r="D6737" t="n">
        <v>6</v>
      </c>
      <c r="E6737" t="n">
        <v>10</v>
      </c>
      <c r="F6737">
        <f>HYPERLINK("https://www.reddit.com/r/diabetes/comments/bq6g01/i_ate_a_whole_large_thin_crust_bbq_chicken_pizza/")</f>
        <v/>
      </c>
      <c r="G6737" t="inlineStr">
        <is>
          <t>2019-05-18 10:25:15</t>
        </is>
      </c>
      <c r="H6737" t="inlineStr">
        <is>
          <t>Type 1</t>
        </is>
      </c>
    </row>
    <row r="6738">
      <c r="A6738" t="inlineStr">
        <is>
          <t>bq6uhe</t>
        </is>
      </c>
      <c r="B6738" t="inlineStr">
        <is>
          <t>Tried Intermittent Fasting for the first time since diagnosed with Type1</t>
        </is>
      </c>
      <c r="C6738" t="inlineStr">
        <is>
          <t>Been diagnosed with Type1 about 2 weeks ago, currently doing a lot of experimenting with foods and exercising. 
First day in the blue range feels good.
Trying to figure out what spikes me and to reduce the need for insulin day by day. 
&amp;amp;#x200B;
Some numbers :
\- 10 units of Tresiba yesterday before bed
\- 8 units of Apidra for the first meal + 3 units of Apidra second meal
\- 2 meals divided in early and late afternoon
\- 30 minutes walk in the morning to counter dawn phemonemon. 
&amp;amp;#x200B;
What i ate today :
https://i.redd.it/7brruet690z21.png</t>
        </is>
      </c>
      <c r="D6738" t="n">
        <v>5</v>
      </c>
      <c r="E6738" t="n">
        <v>2</v>
      </c>
      <c r="F6738">
        <f>HYPERLINK("https://www.reddit.com/r/diabetes/comments/bq6uhe/tried_intermittent_fasting_for_the_first_time/")</f>
        <v/>
      </c>
      <c r="G6738" t="inlineStr">
        <is>
          <t>2019-05-18 11:01:32</t>
        </is>
      </c>
      <c r="H6738" t="inlineStr">
        <is>
          <t>Type 1</t>
        </is>
      </c>
    </row>
    <row r="6739">
      <c r="A6739" t="inlineStr">
        <is>
          <t>bq9dvp</t>
        </is>
      </c>
      <c r="B6739" t="inlineStr">
        <is>
          <t>Question about openaps CGM compatability</t>
        </is>
      </c>
      <c r="C6739" t="inlineStr">
        <is>
          <t>Hi, I've been researching the whole home brew closed loop systems that are out there.  I have an older medtronic 722 that seems to be compatible but I'm not sure about the CGM side of things.  I have a Guardian 2 transmitter that works with my 640G but I can't figure out if that will work with the 722.  Has anyone tried this combo or should I be hitting ebay looking for an older transmitter?</t>
        </is>
      </c>
      <c r="D6739" t="n">
        <v>2</v>
      </c>
      <c r="E6739" t="n">
        <v>4</v>
      </c>
      <c r="F6739">
        <f>HYPERLINK("https://www.reddit.com/r/diabetes/comments/bq9dvp/question_about_openaps_cgm_compatability/")</f>
        <v/>
      </c>
      <c r="G6739" t="inlineStr">
        <is>
          <t>2019-05-18 14:59:10</t>
        </is>
      </c>
      <c r="H6739" t="inlineStr">
        <is>
          <t>Type 1</t>
        </is>
      </c>
    </row>
    <row r="6740">
      <c r="A6740" t="inlineStr">
        <is>
          <t>bqdt8r</t>
        </is>
      </c>
      <c r="B6740" t="inlineStr">
        <is>
          <t>Argh</t>
        </is>
      </c>
      <c r="C6740" t="inlineStr">
        <is>
          <t>Argh. Grilling with the family. Sausages, Rice salad, Pasta salad, Potato salad, white bread. I actually didn't eat all that much, sugar levels were okay all evening.. then I drive home.
Almost four hours after eating, of course in the middle of the autobahn where you can't just inject some insulin, my BG decides to go boom. Hit 250 before it finally stopped rising.
&amp;amp;#x200B;
https://i.redd.it/bwl4io9j64z21.png
&amp;amp;#x200B;
Took me roughly 100% extra insulin to what I had already injected for dinner to just get it to move down at all once I got home, and even then it stuck higher than usual all night.</t>
        </is>
      </c>
      <c r="D6740" t="n">
        <v>3</v>
      </c>
      <c r="E6740" t="n">
        <v>4</v>
      </c>
      <c r="F6740">
        <f>HYPERLINK("https://www.reddit.com/r/diabetes/comments/bqdt8r/argh/")</f>
        <v/>
      </c>
      <c r="G6740" t="inlineStr">
        <is>
          <t>2019-05-18 23:47:00</t>
        </is>
      </c>
      <c r="H6740" t="inlineStr">
        <is>
          <t>Type 1</t>
        </is>
      </c>
    </row>
    <row r="6741">
      <c r="A6741" t="inlineStr">
        <is>
          <t>bqfyay</t>
        </is>
      </c>
      <c r="B6741" t="inlineStr">
        <is>
          <t>has some people decided not to do treatment</t>
        </is>
      </c>
      <c r="C6741" t="inlineStr">
        <is>
          <t>Ive told my doctors and said im not doing insulin therapy, or medicine. i have no interest in their help and i think they get that im serious because im not coming back to the practice. I've been thinking about this decision for 6 months, half a year and i know now that i couldnt give a fuck about this disease. kill me. i always said if i got diabetes, i wouldnt treat it. lol saved me a shit load of money
anyone decided to reject treatment?</t>
        </is>
      </c>
      <c r="D6741" t="n">
        <v>0</v>
      </c>
      <c r="E6741" t="n">
        <v>15</v>
      </c>
      <c r="F6741">
        <f>HYPERLINK("https://www.reddit.com/r/diabetes/comments/bqfyay/has_some_people_decided_not_to_do_treatment/")</f>
        <v/>
      </c>
      <c r="G6741" t="inlineStr">
        <is>
          <t>2019-05-19 04:38:07</t>
        </is>
      </c>
      <c r="H6741" t="inlineStr">
        <is>
          <t>Type 2</t>
        </is>
      </c>
    </row>
    <row r="6742">
      <c r="A6742" t="inlineStr">
        <is>
          <t>bqirdr</t>
        </is>
      </c>
      <c r="B6742" t="inlineStr">
        <is>
          <t>I have a story. What's yours?</t>
        </is>
      </c>
      <c r="C6742" t="inlineStr">
        <is>
          <t>I had a dream. I had a goal. I had strong determination to do something. I wanted to join the military. I was so obsessed with it. I used to read about howitzers and artillery when girls my age would gossip about the Lady Gaga and Katy Perry's new outrageous outfit. Military was my sole aim and purpose in life. I worked out for it, trained my body for it. Soon I lost a lot of weight. I thought it was because of my fitness regime. 6 months later, I was diagnosed with T1D and my world came crashing down. I frantically googled to read articles about diabetic military personnel. There was only one thing all the articles said - no diabetics are allowed to apply. 
Initially I was in denial. It took me months and months to accept the reality. I'm much better now. I understand there is a world beyond my dreams and that not everything goes according to your plan. I'm coping with it and slowly pulling myself out of the abyss I was in. I am looking for a different goal and purpose in life. It's not easy but one has to move on. 
What's your story?</t>
        </is>
      </c>
      <c r="D6742" t="n">
        <v>19</v>
      </c>
      <c r="E6742" t="n">
        <v>21</v>
      </c>
      <c r="F6742">
        <f>HYPERLINK("https://www.reddit.com/r/diabetes/comments/bqirdr/i_have_a_story_whats_yours/")</f>
        <v/>
      </c>
      <c r="G6742" t="inlineStr">
        <is>
          <t>2019-05-19 09:19:44</t>
        </is>
      </c>
      <c r="H6742" t="inlineStr">
        <is>
          <t>Type 1</t>
        </is>
      </c>
    </row>
    <row r="6743">
      <c r="A6743" t="inlineStr">
        <is>
          <t>bqp70m</t>
        </is>
      </c>
      <c r="B6743" t="inlineStr">
        <is>
          <t>Thinking about getting a pump what should y’all recommend?</t>
        </is>
      </c>
      <c r="C6743" t="inlineStr">
        <is>
          <t>YEEEEEEEEEEEEEEEEEEEEEEEEEEEET</t>
        </is>
      </c>
      <c r="D6743" t="n">
        <v>5</v>
      </c>
      <c r="E6743" t="n">
        <v>4</v>
      </c>
      <c r="F6743">
        <f>HYPERLINK("https://www.reddit.com/r/diabetes/comments/bqp70m/thinking_about_getting_a_pump_what_should_yall/")</f>
        <v/>
      </c>
      <c r="G6743" t="inlineStr">
        <is>
          <t>2019-05-19 19:01:49</t>
        </is>
      </c>
      <c r="H6743" t="inlineStr">
        <is>
          <t>Type 1</t>
        </is>
      </c>
    </row>
    <row r="6744">
      <c r="A6744" t="inlineStr">
        <is>
          <t>bqqs24</t>
        </is>
      </c>
      <c r="B6744" t="inlineStr">
        <is>
          <t>Weird thing with an OmniPod</t>
        </is>
      </c>
      <c r="C6744" t="inlineStr">
        <is>
          <t>My daughter (5) suddenly complained about pain with her cannula tonight as we were just finishing up the bedtime routine. When we checked the cannula it was full of blood so we did a pod change. BG was high today and we had doubled her basal and bolus amounts. We thought it was a growth spurt which usually goes with higher insulin needs but now we’re not so sure. We’ve been using OmniPod for 2.5 years with minimal hiccups until now. Any thoughts? It seems weird it would suddenly happen. No roughhousing at bedtime and the pod had been in since the night before.</t>
        </is>
      </c>
      <c r="D6744" t="n">
        <v>2</v>
      </c>
      <c r="E6744" t="n">
        <v>3</v>
      </c>
      <c r="F6744">
        <f>HYPERLINK("https://www.reddit.com/r/diabetes/comments/bqqs24/weird_thing_with_an_omnipod/")</f>
        <v/>
      </c>
      <c r="G6744" t="inlineStr">
        <is>
          <t>2019-05-19 21:22:05</t>
        </is>
      </c>
      <c r="H6744" t="inlineStr">
        <is>
          <t>Type 1</t>
        </is>
      </c>
    </row>
    <row r="6745">
      <c r="A6745" t="inlineStr">
        <is>
          <t>bqv1g3</t>
        </is>
      </c>
      <c r="B6745" t="inlineStr">
        <is>
          <t>Has anyone had a similar experience? My insulin requirements reduced significantly seemingly overnight, and for no obvious reason.</t>
        </is>
      </c>
      <c r="C6745" t="inlineStr">
        <is>
          <t>I've been diabetic for 30 years, recently started using a CGM (Dexcom G6), and have settled in nicely with a 1:8 carb to insulin ratio, with a correction factor of about 35-40.  My last A1C was around 6.3 so it's been working pretty well with a bit of room for improvement. 
A couple of days ago I ate a two of slices of pizza and took my normal dose of insulin. 30 minutes later by sugar levels are in the 30's. WTF? I had a similar experience my next couple of meals, but was monitoring more closely and was able to avoid the lows. So, for the last couple of days I've been closer to a 1:20 carb to insulin ratio, and correction factor of 1:100 (my best guess, I'm still working it out).  My activity levels have *slightly* increased, but not that much. Has anyone experienced anything similar? I'm enjoying not having to take as much insulin, but wondering if this is just short term??? Basically, I have no idea why this has happened, lol.</t>
        </is>
      </c>
      <c r="D6745" t="n">
        <v>7</v>
      </c>
      <c r="E6745" t="n">
        <v>11</v>
      </c>
      <c r="F6745">
        <f>HYPERLINK("https://www.reddit.com/r/diabetes/comments/bqv1g3/has_anyone_had_a_similar_experience_my_insulin/")</f>
        <v/>
      </c>
      <c r="G6745" t="inlineStr">
        <is>
          <t>2019-05-20 05:40:55</t>
        </is>
      </c>
      <c r="H6745" t="inlineStr">
        <is>
          <t>Type 1</t>
        </is>
      </c>
    </row>
    <row r="6746">
      <c r="A6746" t="inlineStr">
        <is>
          <t>bqwrga</t>
        </is>
      </c>
      <c r="B6746" t="inlineStr">
        <is>
          <t>Retinopathy and laser vs injections</t>
        </is>
      </c>
      <c r="C6746" t="inlineStr">
        <is>
          <t>Has anyone had experiences with retinopathy and the various treatments for it? How much does the laser therapy take away from your sight? If anyone has had the injections, when did you begin to see the bleeding slow down? 
My background: A month and a half ago I had a hemorrhage in my right eye and have been getting them more and more frequently. I’ve had a single injection of anti-VEGF 2 weeks ago and am due for a second in another 2 weeks. However the same day I had the injection I had a large hemorrhage that hasn’t cleared. My vision has been so cloudy that I’m effectively blind in that eye, though my periphery hasn’t suffered as much as my central vision. I immediately had this checked out to make sure it wasn’t anything more serious (like retinal detachment), and it’s apparently just more bleeding. But I’m worried about it, nonetheless. The cloudiness will clear slightly for a few hours to a day. Same goes for large black floaters and small dots. It seems to me like the bleeding is continuing and even increasing in rate.
I will continue to address this with my retina specialist, but would love to hear some personal experiences as well - thanks.</t>
        </is>
      </c>
      <c r="D6746" t="n">
        <v>4</v>
      </c>
      <c r="E6746" t="n">
        <v>6</v>
      </c>
      <c r="F6746">
        <f>HYPERLINK("https://www.reddit.com/r/diabetes/comments/bqwrga/retinopathy_and_laser_vs_injections/")</f>
        <v/>
      </c>
      <c r="G6746" t="inlineStr">
        <is>
          <t>2019-05-20 08:10:40</t>
        </is>
      </c>
      <c r="H6746" t="inlineStr">
        <is>
          <t>Type 1</t>
        </is>
      </c>
    </row>
    <row r="6747">
      <c r="A6747" t="inlineStr">
        <is>
          <t>br12wq</t>
        </is>
      </c>
      <c r="B6747" t="inlineStr">
        <is>
          <t>670g Question</t>
        </is>
      </c>
      <c r="C6747" t="inlineStr">
        <is>
          <t>I just started using the 670g (about 10 days ago) and it is working pretty well for me, I had a couple of questions and wanted to see if anyone had any insight before I try calling Medtronic (always a last resort).
&amp;amp;#x200B;
1. More of a rant than anything - why would this system not come with the GC sensor so I could see my BG levels on my phone - this is just dumb.
2. Actual question - I have been using AutoMode, and I like it, but it seems to be content to keep me around 140 all day, when I would much rather be hanging around 100 to 110.  I cannot find a setting to tell it to keep me lower than it is, anybody know how to do this?
Thanks.</t>
        </is>
      </c>
      <c r="D6747" t="n">
        <v>4</v>
      </c>
      <c r="E6747" t="n">
        <v>16</v>
      </c>
      <c r="F6747">
        <f>HYPERLINK("https://www.reddit.com/r/diabetes/comments/br12wq/670g_question/")</f>
        <v/>
      </c>
      <c r="G6747" t="inlineStr">
        <is>
          <t>2019-05-20 13:45:23</t>
        </is>
      </c>
      <c r="H6747" t="inlineStr">
        <is>
          <t>Type 1</t>
        </is>
      </c>
    </row>
    <row r="6748">
      <c r="A6748" t="inlineStr">
        <is>
          <t>br2e92</t>
        </is>
      </c>
      <c r="B6748" t="inlineStr">
        <is>
          <t>My diabetes educator told me to triple my carb intake when I'm barely meeting my goals as it is and then referred me to a different educator when I explained this. This is the third time this has happened...</t>
        </is>
      </c>
      <c r="C6748" t="inlineStr">
        <is>
          <t>The title says most of it. I went to my diabetes educator/nutritionist today for a follow up appointment. At my last appointment she told me to start carb counting, so I did. Every time I ate any carbohydrates, I wrote it down. She gave me the goal of eating 30 grams of carbs per meal, which I tried with some success, averaging about 75-85 grams per day. I managed to stay within my goal range (albeit on the higher side), and I was rather proud of myself.  When I brought her my records, she told me that I wasn't eating enough carbs and that I needed to eat 200-240 grams per day. I told her that I couldn't do that; my blood sugar would skyrocket. I'm on a fixed amount of basal insulin, so I can't correct my meals with it. She told me if that was the case, then I needed to be on bolus insulin as well. This is the exact opposite of what my endocrinologist said after seeing the the same numbers (HA1C, blood sugars, and carb intake), which was that I was doing really well and we could try switching over to Metformin (I decided to wait til our next appointment to do that).
&amp;amp;#x200B;
After trying to explain this to her, she said that she recommended me seeing another educator/ nutritionist in their hospital. I asked if she specialized in type 1.5, to which she replied "No, she usually has type 1 patients but she may be able to answer more of your questions." That is almost exactly what the last nutritionist I had said to me a month ago, and the one before that a month earlier. Am I being difficult or doing something wrong? So far, every medical professional has said something contradictory to the last, which is less helpful than getting nothing at all. I'm very frustrated with the whole situation, and I don't want to pay to go to another nutritionist that will just continue this trend. I'll still go to my endo, since she prescribes my insulin, but I'm thinking of dropping these extra services that haven't gone anywhere.</t>
        </is>
      </c>
      <c r="D6748" t="n">
        <v>6</v>
      </c>
      <c r="E6748" t="n">
        <v>15</v>
      </c>
      <c r="F6748">
        <f>HYPERLINK("https://www.reddit.com/r/diabetes/comments/br2e92/my_diabetes_educator_told_me_to_triple_my_carb/")</f>
        <v/>
      </c>
      <c r="G6748" t="inlineStr">
        <is>
          <t>2019-05-20 15:35:23</t>
        </is>
      </c>
      <c r="H6748" t="inlineStr">
        <is>
          <t>Type 1.5/LADA</t>
        </is>
      </c>
    </row>
    <row r="6749">
      <c r="A6749" t="inlineStr">
        <is>
          <t>brd0k4</t>
        </is>
      </c>
      <c r="B6749" t="inlineStr">
        <is>
          <t>My new documentary on T1D NHL forward Cory Conacher</t>
        </is>
      </c>
      <c r="C6749" t="inlineStr">
        <is>
          <t>&amp;amp;#x200B;
[I produced this film with Cory to help educated newly diagnosed families on what is means to have T1D, manage it and to keep living your dreams. It's going into to preview screening partnered diabetes hospitals across Canada this summer. First stop, Vancouver partnered with the BC Diabetes Research Network and the BC Children's Hospital. DM is there's interest in bringing the film to your community. C. Hud.](https://i.redd.it/0wmvnz8kilz21.jpg)</t>
        </is>
      </c>
      <c r="D6749" t="n">
        <v>4</v>
      </c>
      <c r="E6749" t="n">
        <v>3</v>
      </c>
      <c r="F6749">
        <f>HYPERLINK("https://www.reddit.com/r/diabetes/comments/brd0k4/my_new_documentary_on_t1d_nhl_forward_cory/")</f>
        <v/>
      </c>
      <c r="G6749" t="inlineStr">
        <is>
          <t>2019-05-21 10:09:15</t>
        </is>
      </c>
      <c r="H6749" t="inlineStr">
        <is>
          <t>Type 1</t>
        </is>
      </c>
    </row>
    <row r="6750">
      <c r="A6750" t="inlineStr">
        <is>
          <t>brg962</t>
        </is>
      </c>
      <c r="B6750" t="inlineStr">
        <is>
          <t>My (M26) shocking experience with my mother (58)</t>
        </is>
      </c>
      <c r="C6750" t="inlineStr">
        <is>
          <t>We live in Botswana and it began with dementia-like symptoms (forgetting where home is, repeating herself, trembling hand). Public hospitals have a shortage of specialists so it took her more than a week after all that and still without specialist attention before my dad (after such an emotional debate with me and the hospital staff) decided to drive her 2.5 hours to the nearest private hospital.
I called all my 4 sisters:  2 were in favor, 1 against and 1 too nervous to advice! I was crying telling them that the way mom looks, she might die (I'm the baby). It was the most frightening thing to go through and I felt powerless because dad was panicking and it seemed like a horror movie before one drastic decision leads to something irreversibly bad! During this time (7 p.m.), she was supposed to take some drugs (I don't know what the cocktail was but she also had an alarming BP) so we and the nurses forgot to give her some after her dinner!
On the road from around 2 a.m.! She had the most uncontrollable seizures I have ever seen and this is despite having volunteered in hospitals and a hospice. It would begin with her hand shaking endlessly at the writs and her jaw twisting in the most shocking way, as she suffocates! Dad had noticed that when her hand shakes, massaging it stabilized her. So he'd stop the car in the middle of the nowhere at 2-5.30 a.m. begin, massaging her as I try to straighten her face. (What was supposed to be a 2.5 hours became at least 3.5 hours).
We arrive at the private hospital, emergency room, 90 minutes or so later the doctor tells us that she has a blood glucose level of **67 mmol/L ( 1206 mg/DL)** and was in some kind of an induced coma? I wasn't sure but they said they were sedating her. (They also found she might have a broken blood vessel in the head).
She normally ate very well (no granulated sugar or salt, no red meat or overeating) except in festive season where she'd have bowls and bowls of her favorite dessert: trifle. 3 to five meals'  worth daily over two weeks, so it dawned on that could have been the trigger as this was January though that seemed ironic as she'd lost so much weight suddenly! It didn't help that we bought liters of fruit juice and that's all she drank on the way to the private hospital!
She was in the ICU for 5 days! All my sisters cried for the first when they saw her because they now understood why I said she might die! She looked dead! The first three days I was just worn out without any emotions. I began my exercise as usual and I remember missing one of the chances to see her at the ICU because I was jogging. 
That night I cried more that I ever have in my life. It truly sunk in what had happened, what I saw, and worse still, that I chose jogging at some point over my mother. I was a mess!
I'm still working through the trauma. I now realize that I'm not really ready to lose her (although spiritually speaking I thought I was ready for any death in the family) but I'm glad she's doing fine now (although she uses a needle for her diabetes). I'll be seeing her again over the weekend :D 
Has anyone heard of a glucose level of that range? It seems too unbelievable.</t>
        </is>
      </c>
      <c r="D6750" t="n">
        <v>7</v>
      </c>
      <c r="E6750" t="n">
        <v>13</v>
      </c>
      <c r="F6750">
        <f>HYPERLINK("https://www.reddit.com/r/diabetes/comments/brg962/my_m26_shocking_experience_with_my_mother_58/")</f>
        <v/>
      </c>
      <c r="G6750" t="inlineStr">
        <is>
          <t>2019-05-21 14:35:22</t>
        </is>
      </c>
      <c r="H6750" t="inlineStr">
        <is>
          <t>Type 2</t>
        </is>
      </c>
    </row>
    <row r="6751">
      <c r="A6751" t="inlineStr">
        <is>
          <t>brkiwb</t>
        </is>
      </c>
      <c r="B6751" t="inlineStr">
        <is>
          <t>High BG, Tslim Malfunction?</t>
        </is>
      </c>
      <c r="C6751" t="inlineStr">
        <is>
          <t>Hi All! I've been a T1 for a little over 6 years now, and I've been on the Tslim pump for about 3 years on and off.
I just got a Dexcom G6 in March and I've been monitoring my BG levels throughout the day; it's been great and super helpful!
Since March I've been noticing an ever-increasing dependency on my bolus (Novolog) and correcting my highs. I was using about 5 units of Novolog a day (10 units Lantus in the morning), and then it went up to 9-11 units a day, and now I'm pushing 16 to 20 units.
I thought perhaps the vial had gone bad, so I swapped out for a new one, but no luck.
Has anyone experienced issues with the Tslim failing to give you the full amount of insulin? Or any ideas about why this might be happening to me?
&amp;amp;#x200B;
Cheers!</t>
        </is>
      </c>
      <c r="D6751" t="n">
        <v>3</v>
      </c>
      <c r="E6751" t="n">
        <v>12</v>
      </c>
      <c r="F6751">
        <f>HYPERLINK("https://www.reddit.com/r/diabetes/comments/brkiwb/high_bg_tslim_malfunction/")</f>
        <v/>
      </c>
      <c r="G6751" t="inlineStr">
        <is>
          <t>2019-05-21 21:50:19</t>
        </is>
      </c>
      <c r="H6751" t="inlineStr">
        <is>
          <t>Type 1</t>
        </is>
      </c>
    </row>
    <row r="6752">
      <c r="A6752" t="inlineStr">
        <is>
          <t>brl11v</t>
        </is>
      </c>
      <c r="B6752" t="inlineStr">
        <is>
          <t>When do cravings go away?</t>
        </is>
      </c>
      <c r="C6752" t="inlineStr">
        <is>
          <t>Hey all.  I know how super early it is for me to be asking, since I was only diagnosed roughly two weeks ago (originally thought it was type 2, but I have GAD antibodies so now it's type 1/lada), but does the desire to eat "bad" things ever go away? Like yeah,  I could eat whatever, in theory,  but they've got me on less than 60 carbs per meal,  and so many things are just over that.  On top of it,  sometimes I just wanna gorge myself on ice cream or fries or something,  just out of frustration of "losing my old life". Does it ever go away?</t>
        </is>
      </c>
      <c r="D6752" t="n">
        <v>7</v>
      </c>
      <c r="E6752" t="n">
        <v>7</v>
      </c>
      <c r="F6752">
        <f>HYPERLINK("https://www.reddit.com/r/diabetes/comments/brl11v/when_do_cravings_go_away/")</f>
        <v/>
      </c>
      <c r="G6752" t="inlineStr">
        <is>
          <t>2019-05-21 22:54:34</t>
        </is>
      </c>
      <c r="H6752" t="inlineStr">
        <is>
          <t>Type 1</t>
        </is>
      </c>
    </row>
    <row r="6753">
      <c r="A6753" t="inlineStr">
        <is>
          <t>brlu24</t>
        </is>
      </c>
      <c r="B6753" t="inlineStr">
        <is>
          <t>Anyone else with "Secondary Diabetes" here?</t>
        </is>
      </c>
      <c r="C6753" t="inlineStr">
        <is>
          <t>Years ago I became Diabetic literally overnight... I was diagnosed with Hemachromatosis (iron overload disease)  HH tends to attack organs and you can develop things like Diabetes that quick.  The day before I ended up in hospital close to a coma I had an A1C done and it was 5.1.  The very next day........ 28.5  (I'm Canadian) Initially due to my age they assumed I was Type 2 and put me on orals which honestly was a NIGHTMARE!  Blood sugars all over the map with multiple hypo's daily. After 8 months of this struggle I demanded they put me on insulin (yes I was just so done with it)  WHAT A CHANGE!  within 2 weeks my blood sugars were finally in normal ranges.  Fast forward.... my endo thought I was the perfect candidate for an insulin pump which I used for 4.5 years then suddenly everything goes hell in a handbasket again.  Seems my pancreas started making insulin again and the pump was giving me too much insulin even at the lowest dosage.  So back on needles it was a bit more of a struggle since my pancreas sometimes worked normally then other days I was "diabetic"  HH patients tend to be rather "brittle diabetics"  A few more years pass by and I am diet controlled with a 10 year history of A1c's of 5.2... HOORAY my endo has retired and referred me to a "high risk" endo for follow up.  The first endo diagnosed me a Type 1 LADA, the high risk endo calls me "Secondary Diabetes due to Hemachromatosis"  when I mention this in ER for medical background I get odd looks from the staff thou my High Risk Endo is the top of his field for my province in Canada.  Fast track again ... end up at Emerg sick as a dog I had noticed that things were going super bad again tho I had not done anything different.. they do an A1C and it's 18.5 (sighs) the doctor's tell me I am the worse Diabetic patient in the province and it's "all your fault"  yes it was my fault but not the reason they thought.  Seems I had a mass on my adrenal gland that was playing havoc on me... (high/low blood pressure, high/low blood sugars and other lovely symptoms)  so my endo refers me to a surgeon to have it removed.. the surgeon doesn't think it's that bad in spite of the fact that it was the largest adrenal mass he has ever seen.... books me 6 months later for surgery. Two days later I have a stroke ... caused by the mass (sigh)  The doctor's at the previous ER visit had sent me for some specialized tests.... guess what... I have  *Gastroparesis*  oh joy.... after years of perfect A1c's I am sick as a dog and feeling like something the cat dragged in.   I finally get the mass taken out.. it was suppose to be a "day surgery" but I was in hospital for 6 days.  Now my GP is trying to get me into a Gastro doctor that specializes in gastroparesis because it seems my kidney's are not working well and we think they might be getting paralyzed due to their close proximity to my stomach.  So anyone else here with a somewhat similar story?  If you do perhaps we could compare horror stories?</t>
        </is>
      </c>
      <c r="D6753" t="n">
        <v>2</v>
      </c>
      <c r="E6753" t="n">
        <v>7</v>
      </c>
      <c r="F6753">
        <f>HYPERLINK("https://www.reddit.com/r/diabetes/comments/brlu24/anyone_else_with_secondary_diabetes_here/")</f>
        <v/>
      </c>
      <c r="G6753" t="inlineStr">
        <is>
          <t>2019-05-22 00:43:54</t>
        </is>
      </c>
      <c r="H6753" t="inlineStr">
        <is>
          <t>Type 1.5/LADA</t>
        </is>
      </c>
    </row>
    <row r="6754">
      <c r="A6754" t="inlineStr">
        <is>
          <t>brrvyb</t>
        </is>
      </c>
      <c r="B6754" t="inlineStr">
        <is>
          <t>Rash on body after significant change</t>
        </is>
      </c>
      <c r="C6754" t="inlineStr">
        <is>
          <t>hey!
i was was wondering about this rash that i get on my body that has to do with diabetes, and wondering if Anyone else had similar experiences.
5 years ago i was diagnosed with type 1 diabetes, when i came into emergency my glucose was 37.5 mmol/l which is insanely high, after they gave me insulin and my sugar started restoring to somewhat normal numbers, a rash spread around my body mainly on my stomach, my chest and i think my upper arms..
when the doc saw it they didn't give too much attention, and after i complained sent me to a dermatologist, by the time i got the appointment the rash subsided.
since then, every time there is a major turn in my glucose levels as well as my insulin injections. the rash appears.
so for example when my sugar was high at around 315 for around a week straight, when i increased my insulin dose, it appeared again it usually comes in slowly and after around 3 days it is subsides...
similarly about 3 months ago i went off carbs for around a week and a half, after around 6 days the rash came back and got worse every day. until i started eating carbs again...
what confuses me is that it happens whenever there is significant change and not after just one type of episode.
i should mention that this is happening with different insulin's which would probably rule out being allergic to one type.
if anyone ever heard about, or experienced something similar i would love to hear.</t>
        </is>
      </c>
      <c r="D6754" t="n">
        <v>3</v>
      </c>
      <c r="E6754" t="n">
        <v>6</v>
      </c>
      <c r="F6754">
        <f>HYPERLINK("https://www.reddit.com/r/diabetes/comments/brrvyb/rash_on_body_after_significant_change/")</f>
        <v/>
      </c>
      <c r="G6754" t="inlineStr">
        <is>
          <t>2019-05-22 10:53:38</t>
        </is>
      </c>
      <c r="H6754" t="inlineStr">
        <is>
          <t>Type 1</t>
        </is>
      </c>
    </row>
    <row r="6755">
      <c r="A6755" t="inlineStr">
        <is>
          <t>brxrz1</t>
        </is>
      </c>
      <c r="B6755" t="inlineStr">
        <is>
          <t>New Diabetic Need Help?? (20 Year old)</t>
        </is>
      </c>
      <c r="C6755" t="inlineStr">
        <is>
          <t>Hey so im newly diabetic was diagnosed a month ago with 17.8 and i know i didnt have diabetes for long a time because i had my blood test done 6 months prior to that and i was told everything is fine. For 3 months before i was diagnosed i i dont know if it was my depression or just me but i had zero energy and i was eating junk food like crazy and right before sleeping and when i wasnt eating i was sleeping. so i definitely did the damage than for those 3 months had a dry mouth and went to pee a lot so decided to get a blood test and was diagnosed a diabetic and was prescribed metformin blood pressure and cholesterol medication. Now the thing is you know having a a1c of 17.8 i thought it would be really difficult to bring blood sugar reading to normal but within a week my fasting reading was below 7 and after food it was mostly under 10 if i ate like a human being. I cut out all the sugar and was eating healthy and was just drinking water but did no exercise (will start but have uni exams right now) now here is the thing today i kinda fell off after my exams went out to a restaurant had a plate of rice with half a chicken with 2 pita breads and with 2 different sauces i was bloated went home had a metformin (500 mg)  and i walked about 4000 steps (on my health app in phone) which is less than normal. I had the big meal at 1 pm and than before dinner at 8:30 pm i decided to check my blood sugar and the reading was 3.1. before my night metformin med. Today was the first time i was a little worried to check my reading because i thought it would be high but it was low. Now i am just a little confused is it normal? i dont understand i ate like shit and didnt really have any physical movement but had a low reading? Should i get my a1c done again? or should i lose weight and have it dont 3 months after since it was just done a month ago? 
&amp;amp;#x200B;
btw my doctor just prescribed with metformin but didnt really tell me what type i was but i went after 2 weeks of diagnose to show him my readings and he said its good keep doing that so i considered i was type 2.
now type 2 diabetes is in my family but i dont blame my genetics because i had been treating my body like shit i weight 240lbs and my body fast is 35% 
I am hoping to lose weight and go below 170 and have body fat less than 15% do you think that will help with my diabetes? do you think i can get off my medication?</t>
        </is>
      </c>
      <c r="D6755" t="n">
        <v>3</v>
      </c>
      <c r="E6755" t="n">
        <v>3</v>
      </c>
      <c r="F6755">
        <f>HYPERLINK("https://www.reddit.com/r/diabetes/comments/brxrz1/new_diabetic_need_help_20_year_old/")</f>
        <v/>
      </c>
      <c r="G6755" t="inlineStr">
        <is>
          <t>2019-05-22 19:35:08</t>
        </is>
      </c>
      <c r="H6755" t="inlineStr">
        <is>
          <t>Type 2</t>
        </is>
      </c>
    </row>
    <row r="6756">
      <c r="A6756" t="inlineStr">
        <is>
          <t>bryrbu</t>
        </is>
      </c>
      <c r="B6756" t="inlineStr">
        <is>
          <t>Low GI foods</t>
        </is>
      </c>
      <c r="C6756" t="inlineStr">
        <is>
          <t>So my folks are both diabetic and I hear the complaint often that they don’t know what you eat that won’t spike their BG. (Latin parents, high carb diet). Anyways what treats and meals do you enjoy that have a low glycemic index? Names of stores would help also thank you</t>
        </is>
      </c>
      <c r="D6756" t="n">
        <v>3</v>
      </c>
      <c r="E6756" t="n">
        <v>11</v>
      </c>
      <c r="F6756">
        <f>HYPERLINK("https://www.reddit.com/r/diabetes/comments/bryrbu/low_gi_foods/")</f>
        <v/>
      </c>
      <c r="G6756" t="inlineStr">
        <is>
          <t>2019-05-22 21:18:58</t>
        </is>
      </c>
      <c r="H6756" t="inlineStr">
        <is>
          <t>Type 2</t>
        </is>
      </c>
    </row>
    <row r="6757">
      <c r="A6757" t="inlineStr">
        <is>
          <t>brz9jk</t>
        </is>
      </c>
      <c r="B6757" t="inlineStr">
        <is>
          <t>Any easy way to get leftover adhesive and gunk off from a dexcom g6?</t>
        </is>
      </c>
      <c r="C6757" t="inlineStr">
        <is>
          <t>So I’ve had the dexcom for a while but have always had an issue getting whatever is left from it after taking it off, off of my body. I eventually just have to scratch it off with a washcloth but that leaves bloody marks usually. Any alternatives???</t>
        </is>
      </c>
      <c r="D6757" t="n">
        <v>2</v>
      </c>
      <c r="E6757" t="n">
        <v>7</v>
      </c>
      <c r="F6757">
        <f>HYPERLINK("https://www.reddit.com/r/diabetes/comments/brz9jk/any_easy_way_to_get_leftover_adhesive_and_gunk/")</f>
        <v/>
      </c>
      <c r="G6757" t="inlineStr">
        <is>
          <t>2019-05-22 22:18:37</t>
        </is>
      </c>
      <c r="H6757" t="inlineStr">
        <is>
          <t>Type 1</t>
        </is>
      </c>
    </row>
    <row r="6758">
      <c r="A6758" t="inlineStr">
        <is>
          <t>bs0lnl</t>
        </is>
      </c>
      <c r="B6758" t="inlineStr">
        <is>
          <t>Donating plasma?</t>
        </is>
      </c>
      <c r="C6758" t="inlineStr">
        <is>
          <t>I went to donate plasma, as I’m saving up for an apartment and need the money. I went to the center and they said I could never donate and am deferred permanently due to having “sensitive fluid levels” and it would be extremely dangerous for me to donate. 
I was wondering if anyone else had this same response? I really need to extra income, but the center refused to take any from me despite having donated blood at the Red Cross beforehand.</t>
        </is>
      </c>
      <c r="D6758" t="n">
        <v>0</v>
      </c>
      <c r="E6758" t="n">
        <v>10</v>
      </c>
      <c r="F6758">
        <f>HYPERLINK("https://www.reddit.com/r/diabetes/comments/bs0lnl/donating_plasma/")</f>
        <v/>
      </c>
      <c r="G6758" t="inlineStr">
        <is>
          <t>2019-05-23 02:01:08</t>
        </is>
      </c>
      <c r="H6758" t="inlineStr">
        <is>
          <t>Type 1</t>
        </is>
      </c>
    </row>
    <row r="6759">
      <c r="A6759" t="inlineStr">
        <is>
          <t>bs2gbi</t>
        </is>
      </c>
      <c r="B6759" t="inlineStr">
        <is>
          <t>Diagnosed diabetes at 20 need help!</t>
        </is>
      </c>
      <c r="C6759" t="inlineStr">
        <is>
          <t xml:space="preserve"> Hey so im newly diabetic was diagnosed a month ago with 17.8 and i know i didnt have diabetes for long a time because i had my blood test done 6 months prior to that and i was told everything is fine. For 3 months before i was diagnosed i i dont know if it was my depression or just me but i had zero energy and i was eating junk food like crazy and right before sleeping and when i wasnt eating i was sleeping. so i definitely did the damage than for those 3 months had a dry mouth and went to pee a lot so decided to get a blood test and was diagnosed a diabetic and was prescribed metformin blood pressure and cholesterol medication. Now the thing is you know having a a1c of 17.8 i thought it would be really difficult to bring blood sugar reading to normal but within a week my fasting reading was below 7 and after food it was mostly under 10 if i ate like a human being. I cut out all the sugar and was eating healthy and was just drinking water but did no exercise (will start but have uni exams right now) now here is the thing today i kinda fell off after my exams went out to a restaurant had a plate of rice with half a chicken with 2 pita breads and with 2 different sauces i was bloated went home had a metformin (500 mg) and i walked about 4000 steps (on my health app in phone) which is less than normal. I had the big meal at 1 pm and than before dinner at 8:30 pm i decided to check my blood sugar and the reading was 3.1. before my night metformin med. Today was the first time i was a little worried to check my reading because i thought it would be high but it was low. Now i am just a little confused is it normal? i dont understand i ate like shit and didnt really have any physical movement but had a low reading? Should i get my a1c done again? or should i lose weight and have it dont 3 months after since it was just done a month ago?
btw my doctor just prescribed with metformin but didnt really tell me what type i was but i went after 2 weeks of diagnose to show him my readings and he said its good keep doing that so i considered i was type 2.
now type 2 diabetes is in my family but i dont blame my genetics because i had been treating my body like shit i weight 240lbs and my body fast is 35%
I am hoping to lose weight and go below 170 and have body fat less than 15% do you think that will help with my diabetes? do you think i can get off my medication?</t>
        </is>
      </c>
      <c r="D6759" t="n">
        <v>4</v>
      </c>
      <c r="E6759" t="n">
        <v>11</v>
      </c>
      <c r="F6759">
        <f>HYPERLINK("https://www.reddit.com/r/diabetes/comments/bs2gbi/diagnosed_diabetes_at_20_need_help/")</f>
        <v/>
      </c>
      <c r="G6759" t="inlineStr">
        <is>
          <t>2019-05-23 05:39:55</t>
        </is>
      </c>
      <c r="H6759" t="inlineStr">
        <is>
          <t>Type 2</t>
        </is>
      </c>
    </row>
    <row r="6760">
      <c r="A6760" t="inlineStr">
        <is>
          <t>bs6mv1</t>
        </is>
      </c>
      <c r="B6760" t="inlineStr">
        <is>
          <t>having to fast for 6 hours , got another hour and a half to go for appointment and sugar is dropping and i'm stressing out</t>
        </is>
      </c>
      <c r="C6760" t="inlineStr">
        <is>
          <t>so. im kind of freaking out.
i have a doc app at 4 and it requires me to fast for 6 hours , i spiked my sugar up to 300 but its already at 130 and feels like its going down fast , i am now stressed out now and feel like freaking out
its to get an ultrasound on my gallbladder , like i need it done but i wanna eat some damn candy or something, juice even.. shit some sugar in water ... anything</t>
        </is>
      </c>
      <c r="D6760" t="n">
        <v>3</v>
      </c>
      <c r="E6760" t="n">
        <v>22</v>
      </c>
      <c r="F6760">
        <f>HYPERLINK("https://www.reddit.com/r/diabetes/comments/bs6mv1/having_to_fast_for_6_hours_got_another_hour_and_a/")</f>
        <v/>
      </c>
      <c r="G6760" t="inlineStr">
        <is>
          <t>2019-05-23 11:42:44</t>
        </is>
      </c>
      <c r="H6760" t="inlineStr">
        <is>
          <t>Type 1</t>
        </is>
      </c>
    </row>
    <row r="6761">
      <c r="A6761" t="inlineStr">
        <is>
          <t>bs7qps</t>
        </is>
      </c>
      <c r="B6761" t="inlineStr">
        <is>
          <t>Getting a new pump - X2 vs 670G</t>
        </is>
      </c>
      <c r="C6761" t="inlineStr">
        <is>
          <t>Hey /r/diabetes!
I'm currently using an Animas Vibe, along with a Dexcom G5 (not integrated with the pump).  As Animas is exiting the pump business, I'm in the market for a new pump.  I live in Ontario, Canada and there is government support for the following three companies: Medtronic, Omnipod, and (recently) Tandem.
I was keen to get set up with a t:slim X2 but I am still in warranty on my Animas pump (until Dec 2020) so I won't be able to get funding to cover the cost of the pump (they have a program that will cost C$1400 to transfer to an X2 for the remainder of my warranty).
Medtronic, on the other hand, has a free transfer program to get set up with the MiniMed 670G.  What does the community here think of the 670G compared to the X2?  How about Medtronic's Guardian CGM system, compared to the Dexcom?  I gather earlier versions of the Guardian CGM were much worse than the comparable Dexcom model, but have newer versions closed that gap?
I think in an ideal world, I would be using the t:slim X2 integrated with the Dexcom G6.  But I'm not sure it's worth the out-of-pocket expense for me at the moment.  I'm thinking of switching to the 670G in the meantime, then reconsidering when my pump is out of warranty in Dec 2020.  Thoughts?  Do you have a good reason to convince me otherwise?
Thanks for your comments :)
Cheers
(I have to admit that I haven't given much consideration to the Omnipod)</t>
        </is>
      </c>
      <c r="D6761" t="n">
        <v>3</v>
      </c>
      <c r="E6761" t="n">
        <v>16</v>
      </c>
      <c r="F6761">
        <f>HYPERLINK("https://www.reddit.com/r/diabetes/comments/bs7qps/getting_a_new_pump_x2_vs_670g/")</f>
        <v/>
      </c>
      <c r="G6761" t="inlineStr">
        <is>
          <t>2019-05-23 13:18:05</t>
        </is>
      </c>
      <c r="H6761" t="inlineStr">
        <is>
          <t>Type 1</t>
        </is>
      </c>
    </row>
    <row r="6762">
      <c r="A6762" t="inlineStr">
        <is>
          <t>bs8zqz</t>
        </is>
      </c>
      <c r="B6762" t="inlineStr">
        <is>
          <t>Nighttime unpreventable low trends</t>
        </is>
      </c>
      <c r="C6762" t="inlineStr">
        <is>
          <t>Around 2 and a half weeks ago I suddenly started having these weird low trends in the middle of the night according to me G6 GCM, starting around 1-2AM, that I can't seem to prevent at all in anyway. My BG just starts dropping extremely slowly over the course of the night(Around 20 points per hour or so) and if I attempt to put myself on a reduced basil rate it doesn't prevent it, even if I go down to 30% of my usual rate it continues to gradually drop. The juice I usually drink for lows seems to not work as effectively as it used to during these periods, as just the other night I took two juices at around 75, it bumped me to 130, and then I started falling again.  
Does anyone else experience this? Do you have any idea what might be a cause or how to stop it? My daily life has not changed at all before or after these trends began happening, and the only "solution" I have found is to stay up until 3AM or so, and eat something without bolusing it so I intentionally go high, and by the time I wake up in the morning my number hasn't gone low yet.  
According to my parents, when we tried to use a CGM device two times in the past, this pattern also would start happening each time, and stopped when we went off the CGM. Could this be a bug in the device? Doing manual checks, my numbers aren't always exactly what the CGM says during the night but they still do follow the dropping trend.</t>
        </is>
      </c>
      <c r="D6762" t="n">
        <v>2</v>
      </c>
      <c r="E6762" t="n">
        <v>6</v>
      </c>
      <c r="F6762">
        <f>HYPERLINK("https://www.reddit.com/r/diabetes/comments/bs8zqz/nighttime_unpreventable_low_trends/")</f>
        <v/>
      </c>
      <c r="G6762" t="inlineStr">
        <is>
          <t>2019-05-23 15:08:49</t>
        </is>
      </c>
      <c r="H6762" t="inlineStr">
        <is>
          <t>Type 1</t>
        </is>
      </c>
    </row>
    <row r="6763">
      <c r="A6763" t="inlineStr">
        <is>
          <t>bsajg7</t>
        </is>
      </c>
      <c r="B6763" t="inlineStr">
        <is>
          <t>I have Peripheral Artery Disease (Self diagnosed) - has anyone else experienced the same?</t>
        </is>
      </c>
      <c r="C6763" t="inlineStr">
        <is>
          <t>I seem to have lost all my hair on the outer side of both the legs. They look strikingly weird now that one halves of the leg has hair and the other halves doesn't. I'm also feeling tingling near my right ankle ALL THE TIME.   
Based on my research on the internet, it seems I definitely have PAD.   
I was diagnosed with Diabetes 4 years back, when I had just turned 31. I never showed any signs of Diabetes and suddenly I see this problem with my legs.   
How fast does this disease progress? Am i going to lose my legs soon?   
The Internet also says that if I have bad circulation in my legs then I definitely have some problem with my heart and brain as well, increasing the risk for Heart Attack and Stroke.   
I'm getting really depressed.   
Has anyone else experienced the same?   
My endocrinologist's appointment is on 10th June - but just wanted to talk to someone before that.</t>
        </is>
      </c>
      <c r="D6763" t="n">
        <v>1</v>
      </c>
      <c r="E6763" t="n">
        <v>11</v>
      </c>
      <c r="F6763">
        <f>HYPERLINK("https://www.reddit.com/r/diabetes/comments/bsajg7/i_have_peripheral_artery_disease_self_diagnosed/")</f>
        <v/>
      </c>
      <c r="G6763" t="inlineStr">
        <is>
          <t>2019-05-23 17:43:43</t>
        </is>
      </c>
      <c r="H6763" t="inlineStr">
        <is>
          <t>Type 2</t>
        </is>
      </c>
    </row>
    <row r="6764">
      <c r="A6764" t="inlineStr">
        <is>
          <t>bsbav3</t>
        </is>
      </c>
      <c r="B6764" t="inlineStr">
        <is>
          <t>Dexcom G6 + Tandem questions</t>
        </is>
      </c>
      <c r="C6764" t="inlineStr">
        <is>
          <t>I just inserted my first Dexcom G6 sensor and plugged the transmitter into my tandem pump for the first time. Very exciting!
&amp;amp;#x200B;
Have a couple questions for more experienced users.
1. Can/should I keep using it with my phone? 
2. How do I do that? I don't want to mess up the sensor I already have connected to the pump!
3. Can I set an alert schedule on my pump (so it doesn't beep all the time when I'm at work)?
Thanks!</t>
        </is>
      </c>
      <c r="D6764" t="n">
        <v>3</v>
      </c>
      <c r="E6764" t="n">
        <v>2</v>
      </c>
      <c r="F6764">
        <f>HYPERLINK("https://www.reddit.com/r/diabetes/comments/bsbav3/dexcom_g6_tandem_questions/")</f>
        <v/>
      </c>
      <c r="G6764" t="inlineStr">
        <is>
          <t>2019-05-23 19:03:35</t>
        </is>
      </c>
      <c r="H6764" t="inlineStr">
        <is>
          <t>Type 1</t>
        </is>
      </c>
    </row>
    <row r="6765">
      <c r="A6765" t="inlineStr">
        <is>
          <t>bsf6l8</t>
        </is>
      </c>
      <c r="B6765" t="inlineStr">
        <is>
          <t>Question About Sugar?</t>
        </is>
      </c>
      <c r="C6765" t="inlineStr">
        <is>
          <t>So I have this really frustrating problem. I'm a Type I and not one of my doctors agree on how sugar affects my body. My endocrinologist say that the carbs are what matters and sugar just changes how quickly they affect me. Namely high sugar is weird because it brings me up so quick that it works before insulin can kick in. Making it generally bad unless I need to bring it up quick.
&amp;amp;#x200B;
My doctor on the other hand says that I should never eat above ten grams of sugar a meal.
&amp;amp;#x200B;
How does sugar affect me? I need to know because my doctors are utterly incompetent.</t>
        </is>
      </c>
      <c r="D6765" t="n">
        <v>1</v>
      </c>
      <c r="E6765" t="n">
        <v>4</v>
      </c>
      <c r="F6765">
        <f>HYPERLINK("https://www.reddit.com/r/diabetes/comments/bsf6l8/question_about_sugar/")</f>
        <v/>
      </c>
      <c r="G6765" t="inlineStr">
        <is>
          <t>2019-05-24 03:21:30</t>
        </is>
      </c>
      <c r="H6765" t="inlineStr">
        <is>
          <t>Type 1</t>
        </is>
      </c>
    </row>
    <row r="6766">
      <c r="A6766" t="inlineStr">
        <is>
          <t>bshnzu</t>
        </is>
      </c>
      <c r="B6766" t="inlineStr">
        <is>
          <t>Anyone Else's Guardian Transmitter Randomly Disconnecting from Sensor for 10 Minutes at a Time?</t>
        </is>
      </c>
      <c r="C6766" t="inlineStr">
        <is>
          <t>Out of the blue my guardian transmitter for my Medtronic pump will randomly disconnect from the transmitter for a few minutes and sometimes as long as ten. It is happening once a week at random times and essentially the connection will be lost only to connect without a hitch on its own after some time. Is this happening to anyone else?</t>
        </is>
      </c>
      <c r="D6766" t="n">
        <v>3</v>
      </c>
      <c r="E6766" t="n">
        <v>3</v>
      </c>
      <c r="F6766">
        <f>HYPERLINK("https://www.reddit.com/r/diabetes/comments/bshnzu/anyone_elses_guardian_transmitter_randomly/")</f>
        <v/>
      </c>
      <c r="G6766" t="inlineStr">
        <is>
          <t>2019-05-24 07:35:10</t>
        </is>
      </c>
      <c r="H6766" t="inlineStr">
        <is>
          <t>Type 1</t>
        </is>
      </c>
    </row>
    <row r="6767">
      <c r="A6767" t="inlineStr">
        <is>
          <t>bsi0xy</t>
        </is>
      </c>
      <c r="B6767" t="inlineStr">
        <is>
          <t>Advice</t>
        </is>
      </c>
      <c r="C6767" t="inlineStr">
        <is>
          <t>Hello! As of lately I have been noticing that around 1030 pm my BG start creeping up on its own. I have been slowly increasing my basal around that time to account for that, but no luck so far. Any recommendations? What potential factors could be causing it? I typically eat dinner around 7 and its usually low carb. My basal increased is set to start at  around 830pm..... I talked to my doc but didn't find her advice very useful, which led me to post on here. 
&amp;amp;#x200B;
Maybe I should start increasing earlier in the evening??</t>
        </is>
      </c>
      <c r="D6767" t="n">
        <v>3</v>
      </c>
      <c r="E6767" t="n">
        <v>6</v>
      </c>
      <c r="F6767">
        <f>HYPERLINK("https://www.reddit.com/r/diabetes/comments/bsi0xy/advice/")</f>
        <v/>
      </c>
      <c r="G6767" t="inlineStr">
        <is>
          <t>2019-05-24 08:06:30</t>
        </is>
      </c>
      <c r="H6767" t="inlineStr">
        <is>
          <t>Type 1</t>
        </is>
      </c>
    </row>
    <row r="6768">
      <c r="A6768" t="inlineStr">
        <is>
          <t>bsmfkv</t>
        </is>
      </c>
      <c r="B6768" t="inlineStr">
        <is>
          <t>Administering insulin intravenously in case of 400mg/dl+ (22.2 mmol/L)</t>
        </is>
      </c>
      <c r="C6768" t="inlineStr">
        <is>
          <t>Hey party people..  
I hope you all don't mind me using a throwaway. I have received hate for posting controversial stuff like this before so i'm just gonna use this account..  
I am a T1 diabetic, 22 years of age, been diabetic for about ten years now..   
Unfortunately i am occasionally hitting BG's of 400+mg/dl (22.2 mmol/L) (dexcom G5 doesn't go higher than that). I know it's shite and i really try to avoid it, but i am a university student and sometimes it just happens..  
Now i am not a big fan of getting blind anytime soon and for me the waiting time until the insulin starts lowering my BG to an acceptable level is absolutely unbearable, especially when i know i am 400mg/dl+ (22.2 mmol/L) so i thought about injecting my insulin intravenously for a long time.. I asked my doctor about it and she was kinda sceptical. She is a good doctor, i don't want to trash talk her, but she is very neutral on the subject. When i asked her about it she said she knew diabetics who inject their insulin directly into a veine, she also thinks the risks are manageable but she obviously doesn't recommend me doing it.  
Now essentially, why i am making this post is to ask you guys if you have ever injected insulin intravenously. **I would never inject more than 2 units** regardless of how high i am, just out of fear of crashing into a non recoverable hypoglycemia.  
And if some of you have ever injected intravenously, **have you used a normal, small microfine needle (the ones you would use for a pen) or do you have extra syringes?**  
**Is there anything i should pay attention to if i were to inject it intravenously?** I am kinda afraid of air embolism but as far as i understand it, risks are very low.  
**What are the best spots to administer insulin intravenously?**  
My thoughts are, if heroin abusers and junkies can do it, why should I be unable to do it in a medically critical situation?  
Insulin is a safe substance and on mine at least it says "for subcutaneous and intravenous use", so why the fudge not?  
Please be so kind and keep it civil. I understand injecting anything intravenously is rather dangerous and in general tends to be frowned upon, however i am at a point where i have serious concerns about my health and slowly i am thinking the benefits outweigh the risks.</t>
        </is>
      </c>
      <c r="D6768" t="n">
        <v>7</v>
      </c>
      <c r="E6768" t="n">
        <v>18</v>
      </c>
      <c r="F6768">
        <f>HYPERLINK("https://www.reddit.com/r/diabetes/comments/bsmfkv/administering_insulin_intravenously_in_case_of/")</f>
        <v/>
      </c>
      <c r="G6768" t="inlineStr">
        <is>
          <t>2019-05-24 14:18:34</t>
        </is>
      </c>
      <c r="H6768" t="inlineStr">
        <is>
          <t>Type 1</t>
        </is>
      </c>
    </row>
    <row r="6769">
      <c r="A6769" t="inlineStr">
        <is>
          <t>bswzjk</t>
        </is>
      </c>
      <c r="B6769" t="inlineStr">
        <is>
          <t>Funky Nutrition Labels in Latin America</t>
        </is>
      </c>
      <c r="C6769" t="inlineStr">
        <is>
          <t>I just arrived for a 2 month stay in Santiago Chile for a consulting project. I speak very little Spanish. I went to the grocery store to get some low supplies, and what appears to be the carb counts for juice boxes had decimals. I purchased a 6 pack of approximately 7 oz orange juice boxes that are listed as having 9.4 carbs. Is this correct? It seems on the low side, but I haven't bought juice boxes in 10 years so I might be wrong there. It also seems weirdly specific. Is there something I am missing regarding periods versus commas, or some multiplier I am unaware of?
&amp;amp;#x200B;
tl;dr: I am in Latin America, don't speak Spanish, and am mildly concerned about my ability to read carb counts from a juice box. Any advice would be great!</t>
        </is>
      </c>
      <c r="D6769" t="n">
        <v>3</v>
      </c>
      <c r="E6769" t="n">
        <v>3</v>
      </c>
      <c r="F6769">
        <f>HYPERLINK("https://www.reddit.com/r/diabetes/comments/bswzjk/funky_nutrition_labels_in_latin_america/")</f>
        <v/>
      </c>
      <c r="G6769" t="inlineStr">
        <is>
          <t>2019-05-25 10:18:27</t>
        </is>
      </c>
      <c r="H6769" t="inlineStr">
        <is>
          <t>Type 1</t>
        </is>
      </c>
    </row>
    <row r="6770">
      <c r="A6770" t="inlineStr">
        <is>
          <t>bsx4yh</t>
        </is>
      </c>
      <c r="B6770" t="inlineStr">
        <is>
          <t>Is it normal to be repulsed by all food whilst on metformin?</t>
        </is>
      </c>
      <c r="C6770" t="inlineStr">
        <is>
          <t>I was recently diagnosed with type two diabetes and I’ve been on Metformin for a week. Lately every single food I enjoy, and even the ones I don’t, make me nauseous. Everything disgusts me to the point of not wanting to eat at all. Is this normal? 
I’ve completely cut out breads, pastas, rices, potatoes. I know that it’s not necessary to completely quit, but at the moment it seems like a more realistic goal than portion control. I don’t know if I could have just a little bit of those things right now. I’m a vegetarian, I’ve mostly been eating vegetables, soups, etc.</t>
        </is>
      </c>
      <c r="D6770" t="n">
        <v>5</v>
      </c>
      <c r="E6770" t="n">
        <v>20</v>
      </c>
      <c r="F6770">
        <f>HYPERLINK("https://www.reddit.com/r/diabetes/comments/bsx4yh/is_it_normal_to_be_repulsed_by_all_food_whilst_on/")</f>
        <v/>
      </c>
      <c r="G6770" t="inlineStr">
        <is>
          <t>2019-05-25 10:32:00</t>
        </is>
      </c>
      <c r="H6770" t="inlineStr">
        <is>
          <t>Type 2</t>
        </is>
      </c>
    </row>
    <row r="6771">
      <c r="A6771" t="inlineStr">
        <is>
          <t>bt0bu6</t>
        </is>
      </c>
      <c r="B6771" t="inlineStr">
        <is>
          <t>Is there any way to permanently cure very dry cracked/peely feet? Or is this something I will have to just deal with?</t>
        </is>
      </c>
      <c r="C6771" t="inlineStr">
        <is>
          <t>I've been a type 1 diabetic for about 20 years (I'm 27), and dry cracked/peely feet is something I've been dealing with for my entire life.
I was wondering if there was some sort of treatment or maybe something I should be doing to help this problem go away? 
I wear socks a lot, when I come home from work, and even when I go to bed. Could this be stopping my feet from healing completely? Or are my feet this way because of the diabetes?
I don't feel pain in my feet at all, they just peel a lot. 
I've tried scrubbing my feet with a pumice stone, soaking my feet, putting vaseline on my feet with socks every night, but this seems to just be "masking" my problem. The problem never goes away, these methods just make my feet look better.
This may be TMI, but when I was growing up, I used to peel my feet because it was very satisfying to me to peel the dead skin away (especially since there is no pain when I peel it away), but I tried to stop peeling my feet completely at one point and unfortunately this didn't work for me either. My feet never healed completely. 
I'm super insecure about my feet and hate it when I'm in a setting that requires me to wear sandals/slippers, or be barefoot, so I am hoping to get rid of this problem.
Anyone have any tips?</t>
        </is>
      </c>
      <c r="D6771" t="n">
        <v>3</v>
      </c>
      <c r="E6771" t="n">
        <v>9</v>
      </c>
      <c r="F6771">
        <f>HYPERLINK("https://www.reddit.com/r/diabetes/comments/bt0bu6/is_there_any_way_to_permanently_cure_very_dry/")</f>
        <v/>
      </c>
      <c r="G6771" t="inlineStr">
        <is>
          <t>2019-05-25 15:11:19</t>
        </is>
      </c>
      <c r="H6771" t="inlineStr">
        <is>
          <t>Type 1</t>
        </is>
      </c>
    </row>
    <row r="6772">
      <c r="A6772" t="inlineStr">
        <is>
          <t>bt2czl</t>
        </is>
      </c>
      <c r="B6772" t="inlineStr">
        <is>
          <t>Invention idea</t>
        </is>
      </c>
      <c r="C6772" t="inlineStr">
        <is>
          <t>Hey all you diabetics, 
My girlfriend and I were discussing inventing a cool looking fanny pack that could hold your pump when you’re just wearing boxer briefs or when you’re wearing lingerie. I’m so tired of tucking it in my waistband or in the little pouch in the front of my underwear. Is there anything out there currently? Like a fanny pack meant to be worn on skin? Also would any of you buy this if I invented it? (Verbal trademark, the Office reference)</t>
        </is>
      </c>
      <c r="D6772" t="n">
        <v>3</v>
      </c>
      <c r="E6772" t="n">
        <v>4</v>
      </c>
      <c r="F6772">
        <f>HYPERLINK("https://www.reddit.com/r/diabetes/comments/bt2czl/invention_idea/")</f>
        <v/>
      </c>
      <c r="G6772" t="inlineStr">
        <is>
          <t>2019-05-25 18:41:05</t>
        </is>
      </c>
      <c r="H6772" t="inlineStr">
        <is>
          <t>Type 1</t>
        </is>
      </c>
    </row>
    <row r="6773">
      <c r="A6773" t="inlineStr">
        <is>
          <t>bt4h8t</t>
        </is>
      </c>
      <c r="B6773" t="inlineStr">
        <is>
          <t>I have a question...</t>
        </is>
      </c>
      <c r="C6773" t="inlineStr">
        <is>
          <t>So i have had type one for 13 years, and i’m currently 15. I was wondering if the pancreas dissolves or like changes shape? I just wanna know what changes or makes it different when having type 1 for a while?</t>
        </is>
      </c>
      <c r="D6773" t="n">
        <v>2</v>
      </c>
      <c r="E6773" t="n">
        <v>2</v>
      </c>
      <c r="F6773">
        <f>HYPERLINK("https://www.reddit.com/r/diabetes/comments/bt4h8t/i_have_a_question/")</f>
        <v/>
      </c>
      <c r="G6773" t="inlineStr">
        <is>
          <t>2019-05-25 22:46:14</t>
        </is>
      </c>
      <c r="H6773" t="inlineStr">
        <is>
          <t>Type 1</t>
        </is>
      </c>
    </row>
    <row r="6774">
      <c r="A6774" t="inlineStr">
        <is>
          <t>btaxfj</t>
        </is>
      </c>
      <c r="B6774" t="inlineStr">
        <is>
          <t>I’m dating a diabetic. What do I need to know?</t>
        </is>
      </c>
      <c r="C6774" t="inlineStr">
        <is>
          <t>Titles says it all. I recently started dating this guy who’s absolutely fantastic. However, he’s a type 1 diabetic and I really don’t know much about the condition at all. I just know if he goes into shock I need to call 911. What else would you want your SO to know about it?</t>
        </is>
      </c>
      <c r="D6774" t="n">
        <v>5</v>
      </c>
      <c r="E6774" t="n">
        <v>13</v>
      </c>
      <c r="F6774">
        <f>HYPERLINK("https://www.reddit.com/r/diabetes/comments/btaxfj/im_dating_a_diabetic_what_do_i_need_to_know/")</f>
        <v/>
      </c>
      <c r="G6774" t="inlineStr">
        <is>
          <t>2019-05-26 10:56:53</t>
        </is>
      </c>
      <c r="H6774" t="inlineStr">
        <is>
          <t>Type 1</t>
        </is>
      </c>
    </row>
    <row r="6775">
      <c r="A6775" t="inlineStr">
        <is>
          <t>btb4zd</t>
        </is>
      </c>
      <c r="B6775" t="inlineStr">
        <is>
          <t>Vegan snack/meal ideas? Recently diagnosed T2.</t>
        </is>
      </c>
      <c r="C6775" t="inlineStr">
        <is>
          <t>Don't care about calories or anything, just want to focus on balancing my meals and snacks as much as I can so that I don't have high highs and low lows. I am a sweet tooth who could happily live on doughnuts if my blood sugar permitted, haha.
Examples of snacks I've been having:
\- apple or a banana with peanut butter and pumpkin seeds  
\- ryvita crackers with hummus and sesame seeds  
\- Yves fake meats 
Other than that just trying to add more veg and protein into every meal or snack. Just frustrating since a lot of vegan protein options (for example, beans) are high in carbs. Don't have any allergies, just don't eat meat/dairy/eggs.
Thanks!!</t>
        </is>
      </c>
      <c r="D6775" t="n">
        <v>4</v>
      </c>
      <c r="E6775" t="n">
        <v>22</v>
      </c>
      <c r="F6775">
        <f>HYPERLINK("https://www.reddit.com/r/diabetes/comments/btb4zd/vegan_snackmeal_ideas_recently_diagnosed_t2/")</f>
        <v/>
      </c>
      <c r="G6775" t="inlineStr">
        <is>
          <t>2019-05-26 11:14:18</t>
        </is>
      </c>
      <c r="H6775" t="inlineStr">
        <is>
          <t>Type 2</t>
        </is>
      </c>
    </row>
    <row r="6776">
      <c r="A6776" t="inlineStr">
        <is>
          <t>btdw80</t>
        </is>
      </c>
      <c r="B6776" t="inlineStr">
        <is>
          <t>Much worse blood sugars on the pump?</t>
        </is>
      </c>
      <c r="C6776" t="inlineStr">
        <is>
          <t>About a year and a half ago I got a Medtronic pump. My A1c is in the 7s, not going down. Literally nothing I ever fucking do (I'm sitting at 300 and I gave myself EXTRA insulin for my meal) prevents me from going high after meals. I took 12 units of toujeo when I was on mdi and now I use 25 units for my basal. 
Recently I had a piece of my pump break and I had to go back to mdi for a bit. I had to lower my carb ratio because it was SO MUCH more effective. I gave insulin at the exact same time, similar diets (I was on vacation and I was GONNA eat that burger) but it just worked so much better and I had no post meal spikes.
I have no clue why this happens on the pump but I'm at my wit's end. Anyone else have similar results?</t>
        </is>
      </c>
      <c r="D6776" t="n">
        <v>3</v>
      </c>
      <c r="E6776" t="n">
        <v>14</v>
      </c>
      <c r="F6776">
        <f>HYPERLINK("https://www.reddit.com/r/diabetes/comments/btdw80/much_worse_blood_sugars_on_the_pump/")</f>
        <v/>
      </c>
      <c r="G6776" t="inlineStr">
        <is>
          <t>2019-05-26 15:02:19</t>
        </is>
      </c>
      <c r="H6776" t="inlineStr">
        <is>
          <t>Type 1</t>
        </is>
      </c>
    </row>
    <row r="6777">
      <c r="A6777" t="inlineStr">
        <is>
          <t>bth04g</t>
        </is>
      </c>
      <c r="B6777" t="inlineStr">
        <is>
          <t>I need to rant about Apple Watch and Dexcom</t>
        </is>
      </c>
      <c r="C6777" t="inlineStr">
        <is>
          <t>Having a watch with a complication for he G6 defeats the purpose if I have to continually click on the fucking complication to get my bg reading. It’s so beyond annoying.</t>
        </is>
      </c>
      <c r="D6777" t="n">
        <v>8</v>
      </c>
      <c r="E6777" t="n">
        <v>5</v>
      </c>
      <c r="F6777">
        <f>HYPERLINK("https://www.reddit.com/r/diabetes/comments/bth04g/i_need_to_rant_about_apple_watch_and_dexcom/")</f>
        <v/>
      </c>
      <c r="G6777" t="inlineStr">
        <is>
          <t>2019-05-26 20:18:14</t>
        </is>
      </c>
      <c r="H6777" t="inlineStr">
        <is>
          <t>Type 1</t>
        </is>
      </c>
    </row>
    <row r="6778">
      <c r="A6778" t="inlineStr">
        <is>
          <t>btl38g</t>
        </is>
      </c>
      <c r="B6778" t="inlineStr">
        <is>
          <t>My t1 bf is alseep I need to change his inclin pump but</t>
        </is>
      </c>
      <c r="C6778" t="inlineStr">
        <is>
          <t>I’m super highhhh Can someone give me steps on how to do it right so I don’t mess up</t>
        </is>
      </c>
      <c r="D6778" t="n">
        <v>0</v>
      </c>
      <c r="E6778" t="n">
        <v>9</v>
      </c>
      <c r="F6778">
        <f>HYPERLINK("https://www.reddit.com/r/diabetes/comments/btl38g/my_t1_bf_is_alseep_i_need_to_change_his_inclin/")</f>
        <v/>
      </c>
      <c r="G6778" t="inlineStr">
        <is>
          <t>2019-05-27 04:49:08</t>
        </is>
      </c>
      <c r="H6778" t="inlineStr">
        <is>
          <t>Type 1</t>
        </is>
      </c>
    </row>
    <row r="6779">
      <c r="A6779" t="inlineStr">
        <is>
          <t>btoiza</t>
        </is>
      </c>
      <c r="B6779" t="inlineStr">
        <is>
          <t>Upload t:slim X2 G6 CGM data to Dexcom Clarity? Is this possible?</t>
        </is>
      </c>
      <c r="C6779" t="inlineStr">
        <is>
          <t>I haven't been able to find the answer to this elsewhere.
&amp;amp;#x200B;
There was a time where I wasn't using my smartphone to read my cgm.  In that time, I was using the T:Slim X2 as a receiver (so I could get the BasalIQ benefits).
Now, I want to merge my T:Slim X2 CGM data into my clarity account, but the only thing I can find is that you can use the dexcom receiver to upload to clarity.
&amp;amp;#x200B;
I tried installing the Clarity software, but it isn't recognizing my T:Slim as a "receiver."
&amp;amp;#x200B;
Does anyone have any idea if this is possible?
&amp;amp;#x200B;
Thanks</t>
        </is>
      </c>
      <c r="D6779" t="n">
        <v>3</v>
      </c>
      <c r="E6779" t="n">
        <v>7</v>
      </c>
      <c r="F6779">
        <f>HYPERLINK("https://www.reddit.com/r/diabetes/comments/btoiza/upload_tslim_x2_g6_cgm_data_to_dexcom_clarity_is/")</f>
        <v/>
      </c>
      <c r="G6779" t="inlineStr">
        <is>
          <t>2019-05-27 10:10:50</t>
        </is>
      </c>
      <c r="H6779" t="inlineStr">
        <is>
          <t>Type 1</t>
        </is>
      </c>
    </row>
    <row r="6780">
      <c r="A6780" t="inlineStr">
        <is>
          <t>btptmj</t>
        </is>
      </c>
      <c r="B6780" t="inlineStr">
        <is>
          <t>Tresiba not working for anyone else?</t>
        </is>
      </c>
      <c r="C6780" t="inlineStr">
        <is>
          <t>T1 Diabetic of about 6 years, for roughly the first 5 I was given Levemir and it worked fine. Then about a year and a half ago my doctor prescribed me Tresiba as a replacement. The way he explained it, he made it seem like it was just a better version of Levemir that lasts longer in your system, so I went with it. It seemed to work fine up until a few months ago when I would always (and I mean always) wake up with high blood sugar. Even if my blood sugar was fine when I went to bed and I didn’t eat anything it would be sky-high when I checked it in the morning. I’ve also noticed my daytime numbers are higher and I’m starting to suspect it’s fucking up my numbers over the rest of the day too. I’ve scheduled an appointment with my doctor and I think I’m going to request switching back to Levemir for good, I just don’t think Tresiba is working at all anymore. Is anyone else experiencing this as well?</t>
        </is>
      </c>
      <c r="D6780" t="n">
        <v>2</v>
      </c>
      <c r="E6780" t="n">
        <v>8</v>
      </c>
      <c r="F6780">
        <f>HYPERLINK("https://www.reddit.com/r/diabetes/comments/btptmj/tresiba_not_working_for_anyone_else/")</f>
        <v/>
      </c>
      <c r="G6780" t="inlineStr">
        <is>
          <t>2019-05-27 11:57:09</t>
        </is>
      </c>
      <c r="H6780" t="inlineStr">
        <is>
          <t>Type 1</t>
        </is>
      </c>
    </row>
    <row r="6781">
      <c r="A6781" t="inlineStr">
        <is>
          <t>btt89n</t>
        </is>
      </c>
      <c r="B6781" t="inlineStr">
        <is>
          <t>Diagnosed T1.5 ID LADA 3 months ago for my 50th birthday, 13.5 A1C...just got results back..</t>
        </is>
      </c>
      <c r="C6781" t="inlineStr">
        <is>
          <t>6 point fucking 9, I could not be more proud of myself.  I didn't freak out, completely changed my diet from day one, halved my drinking, tested like a fiend and never missed an injection of Lantus (1x daily 12-17 units).
It may be a honeymoon, but I am still in love.  Thanks to my wife for nagging the living shit out of me.  It means she wants me alive and not for the insurance money, which seems a lot sexier than me, the truth be told.</t>
        </is>
      </c>
      <c r="D6781" t="n">
        <v>31</v>
      </c>
      <c r="E6781" t="n">
        <v>11</v>
      </c>
      <c r="F6781">
        <f>HYPERLINK("https://www.reddit.com/r/diabetes/comments/btt89n/diagnosed_t15_id_lada_3_months_ago_for_my_50th/")</f>
        <v/>
      </c>
      <c r="G6781" t="inlineStr">
        <is>
          <t>2019-05-27 17:03:36</t>
        </is>
      </c>
      <c r="H6781" t="inlineStr">
        <is>
          <t>Type 1.5/LADA</t>
        </is>
      </c>
    </row>
    <row r="6782">
      <c r="A6782" t="inlineStr">
        <is>
          <t>bu0xod</t>
        </is>
      </c>
      <c r="B6782" t="inlineStr">
        <is>
          <t>Can stress affect BG? Mine often gets high after some stress</t>
        </is>
      </c>
      <c r="C6782" t="inlineStr">
        <is>
          <t>Can stress affect a BG? Just notice that after a stressful moments at work my BG may get high without any other reason.
For example today, I took a meal at lunch and injected a bolus insulin - checked after 2 hours, and my BG was 143.
Then, I had some crazy stressfull load / task at work, and then my BG skyrocketed to 400 in just half an hour.
Does anyone have the same BG behavior, or should I check something else other than strees, that affects it?</t>
        </is>
      </c>
      <c r="D6782" t="n">
        <v>20</v>
      </c>
      <c r="E6782" t="n">
        <v>23</v>
      </c>
      <c r="F6782">
        <f>HYPERLINK("https://www.reddit.com/r/diabetes/comments/bu0xod/can_stress_affect_bg_mine_often_gets_high_after/")</f>
        <v/>
      </c>
      <c r="G6782" t="inlineStr">
        <is>
          <t>2019-05-28 07:51:01</t>
        </is>
      </c>
      <c r="H6782" t="inlineStr">
        <is>
          <t>Type 1</t>
        </is>
      </c>
    </row>
    <row r="6783">
      <c r="A6783" t="inlineStr">
        <is>
          <t>bu2i9d</t>
        </is>
      </c>
      <c r="B6783" t="inlineStr">
        <is>
          <t>Blood Sugar under 100 for the first time in years</t>
        </is>
      </c>
      <c r="C6783" t="inlineStr">
        <is>
          <t>Tested my blood sugar this morning and it was at 98. Not sure if that’s good or bad but I definitely know that that it is the first time my blood sugar has been under 100 first thing in the morning in two years. Just wanted to share</t>
        </is>
      </c>
      <c r="D6783" t="n">
        <v>25</v>
      </c>
      <c r="E6783" t="n">
        <v>13</v>
      </c>
      <c r="F6783">
        <f>HYPERLINK("https://www.reddit.com/r/diabetes/comments/bu2i9d/blood_sugar_under_100_for_the_first_time_in_years/")</f>
        <v/>
      </c>
      <c r="G6783" t="inlineStr">
        <is>
          <t>2019-05-28 10:01:52</t>
        </is>
      </c>
      <c r="H6783" t="inlineStr">
        <is>
          <t>Type 2</t>
        </is>
      </c>
    </row>
    <row r="6784">
      <c r="A6784" t="inlineStr">
        <is>
          <t>bu3cx5</t>
        </is>
      </c>
      <c r="B6784" t="inlineStr">
        <is>
          <t>Blood Glucose Higher After Sleeping?</t>
        </is>
      </c>
      <c r="C6784" t="inlineStr">
        <is>
          <t>How common is this? I've noticed this a few times now, last night my BG was about 90 2 hours after eating dinner. I didn't have anything after that. This morning (before eating anything) I check again and it's 109.
Whatever is going on, this probably explains a lot. My A1C has been going up, but when I do spot checks (I don't check nearly enough) my BG has been mostly reasonable.</t>
        </is>
      </c>
      <c r="D6784" t="n">
        <v>5</v>
      </c>
      <c r="E6784" t="n">
        <v>5</v>
      </c>
      <c r="F6784">
        <f>HYPERLINK("https://www.reddit.com/r/diabetes/comments/bu3cx5/blood_glucose_higher_after_sleeping/")</f>
        <v/>
      </c>
      <c r="G6784" t="inlineStr">
        <is>
          <t>2019-05-28 11:09:51</t>
        </is>
      </c>
      <c r="H6784" t="inlineStr">
        <is>
          <t>Type 2</t>
        </is>
      </c>
    </row>
    <row r="6785">
      <c r="A6785" t="inlineStr">
        <is>
          <t>bu3g85</t>
        </is>
      </c>
      <c r="B6785" t="inlineStr">
        <is>
          <t>Omnipod users: Does the pod keep running when the PDM batteries die?</t>
        </is>
      </c>
      <c r="C6785" t="inlineStr">
        <is>
          <t>See title.
&amp;amp;#x200B;
My PDM is a little wonky in that when my PDM batteries die, and I swap in new batteries, it deactivates my pod. I currently have a pod running and my PDM batteries just died. I don't want to change the batteries because I don't want to deactivate it. Does anyone know if the pod is still running (i.e. the basal rate is still going and any IOB) while the PDM sits there dead? 
&amp;amp;#x200B;
In the future I'll plan my PDM battery changes around pod switches.
&amp;amp;#x200B;
Thanks!</t>
        </is>
      </c>
      <c r="D6785" t="n">
        <v>2</v>
      </c>
      <c r="E6785" t="n">
        <v>3</v>
      </c>
      <c r="F6785">
        <f>HYPERLINK("https://www.reddit.com/r/diabetes/comments/bu3g85/omnipod_users_does_the_pod_keep_running_when_the/")</f>
        <v/>
      </c>
      <c r="G6785" t="inlineStr">
        <is>
          <t>2019-05-28 11:17:18</t>
        </is>
      </c>
      <c r="H6785" t="inlineStr">
        <is>
          <t>Type 1</t>
        </is>
      </c>
    </row>
    <row r="6786">
      <c r="A6786" t="inlineStr">
        <is>
          <t>bu72ti</t>
        </is>
      </c>
      <c r="B6786" t="inlineStr">
        <is>
          <t>I experienced a seizure 2 nights ago and it was scary. Could have been much worse than it did.</t>
        </is>
      </c>
      <c r="C6786" t="inlineStr">
        <is>
          <t>I woke up in the middle of the night with a hypo, went to kitchen and took jelly babies. After that I only remember seeing ambulance crew. 
Hubby says our son started crying and he thought I was preparing his milk, but he got worried because it took a while. And I think that’s where I got lucky. 
He found me just about to collapse on the floor, so he caught me and placed me on the floor on my side and called an ambulance. (There’s more to the story but I’m trying to keep it short).
I ended up feeling quite sore due to muscle spasms, I bit my tongue and my lip. But luckily nothing worse. 
I’d love to know, for those who have experienced seizures, how was it for you? How did you feel afterwards? Have you hurt yourself somehow during the seizure?</t>
        </is>
      </c>
      <c r="D6786" t="n">
        <v>7</v>
      </c>
      <c r="E6786" t="n">
        <v>2</v>
      </c>
      <c r="F6786">
        <f>HYPERLINK("https://www.reddit.com/r/diabetes/comments/bu72ti/i_experienced_a_seizure_2_nights_ago_and_it_was/")</f>
        <v/>
      </c>
      <c r="G6786" t="inlineStr">
        <is>
          <t>2019-05-28 16:18:05</t>
        </is>
      </c>
      <c r="H6786" t="inlineStr">
        <is>
          <t>Type 1</t>
        </is>
      </c>
    </row>
    <row r="6787">
      <c r="A6787" t="inlineStr">
        <is>
          <t>bu81t6</t>
        </is>
      </c>
      <c r="B6787" t="inlineStr">
        <is>
          <t>Using multiple insulin viles</t>
        </is>
      </c>
      <c r="C6787" t="inlineStr">
        <is>
          <t>Evening chaps, 
So i went on the medtronic pump about three weeks ago, and need to get more insulin. I do however have a wee bit of insulin left in two of my insulin viles. Is there any way i can use insulin from both viles and extract it into the one reservoir?</t>
        </is>
      </c>
      <c r="D6787" t="n">
        <v>2</v>
      </c>
      <c r="E6787" t="n">
        <v>5</v>
      </c>
      <c r="F6787">
        <f>HYPERLINK("https://www.reddit.com/r/diabetes/comments/bu81t6/using_multiple_insulin_viles/")</f>
        <v/>
      </c>
      <c r="G6787" t="inlineStr">
        <is>
          <t>2019-05-28 17:46:31</t>
        </is>
      </c>
      <c r="H6787" t="inlineStr">
        <is>
          <t>Type 1</t>
        </is>
      </c>
    </row>
    <row r="6788">
      <c r="A6788" t="inlineStr">
        <is>
          <t>bugeap</t>
        </is>
      </c>
      <c r="B6788" t="inlineStr">
        <is>
          <t>I'm not feeling my lows any more...</t>
        </is>
      </c>
      <c r="C6788" t="inlineStr">
        <is>
          <t>For the past week or so, I haven't been feeling when I get a low blood sugar... at all.  Like, this morning, I came to work, did all the usual things I do, talked to all my coworkers, joked around, talked to customers on the phone, and was having an alright day.  Then I remembered, "oh crap, I forgot to eat the banana I had gotten out with my cereal for breakfast!"  I just got distracted this morning, watching YouTube videos as I was eating, then got up and brushed my teeth and came to work...
&amp;amp;#x200B;
It's been at least 3 hours, and I'm sitting here at work typing this.  I checked my blood sugar just now and it's 40.  I feel totally normal.  I'm not shaky or sweating...
&amp;amp;#x200B;
This weekend, I drove to the store with my daughter and shopped for stuff.  I felt a little tired and we drove home.  It was about dinner time, so I started making dinner and checked my blood sugar.  It was 39.  I didn't even feel it.
&amp;amp;#x200B;
What's going on?  I'm getting pretty worried as I sit here eating some gummy bears.  This is a brand new thing.  I should be sweating and panicking and shaking...</t>
        </is>
      </c>
      <c r="D6788" t="n">
        <v>3</v>
      </c>
      <c r="E6788" t="n">
        <v>6</v>
      </c>
      <c r="F6788">
        <f>HYPERLINK("https://www.reddit.com/r/diabetes/comments/bugeap/im_not_feeling_my_lows_any_more/")</f>
        <v/>
      </c>
      <c r="G6788" t="inlineStr">
        <is>
          <t>2019-05-29 08:56:33</t>
        </is>
      </c>
      <c r="H6788" t="inlineStr">
        <is>
          <t>Type 1</t>
        </is>
      </c>
    </row>
    <row r="6789">
      <c r="A6789" t="inlineStr">
        <is>
          <t>buh2fe</t>
        </is>
      </c>
      <c r="B6789" t="inlineStr">
        <is>
          <t>Sometimes I feel like crap even when sugar is not low - T1D</t>
        </is>
      </c>
      <c r="C6789" t="inlineStr">
        <is>
          <t>Hey friends,
&amp;amp;#x200B;
I did a search for this but couldn't find much. Was wondering what other peoples experiences are with this. 
&amp;amp;#x200B;
I have been type 1 for 4 years and I manage my blood sugar fairly well. 6.1 AIC as of last checkup. I'm on a Minimed 670G with FIASP. No CGM at the moment. Anyway, once in a while I will feel like crap like I am low but I check my sugar and it is not. This happened about an hour ago. Sugar was 143. 
&amp;amp;#x200B;
I know sometimes if it's dropping fast you'll feel low before it reads low, however I check it again in 30 mins and it's 138. That doesn't seem to be dropping fast to me. 
&amp;amp;#x200B;
I notice that this happens most often when I haven't eaten in a while - say 4 hours. Does anyone else have this happen? Is it just because I've gone too long without food even though I'm not low? I used to be one of those people that could go a long time without eating and then eat a big meal. (I don't do this anymore). 
&amp;amp;#x200B;
I feel like this turned into babbling so I'm going to end it here. Any advice is welcomed. Thanks!
&amp;amp;#x200B;
TL;DR
Feel low symptoms when sugar is fine and doesn't seem to be dropping fast. Usually when I go too long without eating. What gives?</t>
        </is>
      </c>
      <c r="D6789" t="n">
        <v>4</v>
      </c>
      <c r="E6789" t="n">
        <v>18</v>
      </c>
      <c r="F6789">
        <f>HYPERLINK("https://www.reddit.com/r/diabetes/comments/buh2fe/sometimes_i_feel_like_crap_even_when_sugar_is_not/")</f>
        <v/>
      </c>
      <c r="G6789" t="inlineStr">
        <is>
          <t>2019-05-29 09:49:35</t>
        </is>
      </c>
      <c r="H6789" t="inlineStr">
        <is>
          <t>Type 1</t>
        </is>
      </c>
    </row>
    <row r="6790">
      <c r="A6790" t="inlineStr">
        <is>
          <t>buk3o4</t>
        </is>
      </c>
      <c r="B6790" t="inlineStr">
        <is>
          <t>My diabetes nurse yesterday...</t>
        </is>
      </c>
      <c r="C6790" t="inlineStr">
        <is>
          <t>Nurse: "Oh wow! Your blood work is incredible! 39 HbA1c! We are gonna have to get you talking to some of our young patients about getting their bloods under control. What is it you do exactly?" 
Me: "I don't eat carbs"
Nurse: "Oh you really must not do that. Please talk to the doctor about that. You must eat carbs. You could be really hurting yourself"
&amp;amp;#x200B;
LOL.
&amp;amp;#x200B;
I know people here are going to say that HbA1c is too low for a t1 diabetic. But consider this - I only have long acting insulin, once a day before I go to sleep. I have the very occasional low, maybe once a month. Usually as a result of strenuous exercise during the day. Before when I was eating carbs and injecting mealtime insulin I would go low regularly, and my HbA1c was worse... Blood sugar levels sit around the 5.0 - 6.0 mmol/L basically always.</t>
        </is>
      </c>
      <c r="D6790" t="n">
        <v>11</v>
      </c>
      <c r="E6790" t="n">
        <v>20</v>
      </c>
      <c r="F6790">
        <f>HYPERLINK("https://www.reddit.com/r/diabetes/comments/buk3o4/my_diabetes_nurse_yesterday/")</f>
        <v/>
      </c>
      <c r="G6790" t="inlineStr">
        <is>
          <t>2019-05-29 13:58:01</t>
        </is>
      </c>
      <c r="H6790" t="inlineStr">
        <is>
          <t>Type 1</t>
        </is>
      </c>
    </row>
    <row r="6791">
      <c r="A6791" t="inlineStr">
        <is>
          <t>bukwzw</t>
        </is>
      </c>
      <c r="B6791" t="inlineStr">
        <is>
          <t>I had an eye exam today...</t>
        </is>
      </c>
      <c r="C6791" t="inlineStr">
        <is>
          <t>.  
.
.
And absolutely nothing was wrong... I was very worried but all is good.  
Now it's time to get better numbers.</t>
        </is>
      </c>
      <c r="D6791" t="n">
        <v>11</v>
      </c>
      <c r="E6791" t="n">
        <v>5</v>
      </c>
      <c r="F6791">
        <f>HYPERLINK("https://www.reddit.com/r/diabetes/comments/bukwzw/i_had_an_eye_exam_today/")</f>
        <v/>
      </c>
      <c r="G6791" t="inlineStr">
        <is>
          <t>2019-05-29 15:03:56</t>
        </is>
      </c>
      <c r="H6791" t="inlineStr">
        <is>
          <t>Type 1</t>
        </is>
      </c>
    </row>
    <row r="6792">
      <c r="A6792" t="inlineStr">
        <is>
          <t>bumgo1</t>
        </is>
      </c>
      <c r="B6792" t="inlineStr">
        <is>
          <t>Is anyone happy with their Diabetes control? What is it that has worked the best for you?</t>
        </is>
      </c>
      <c r="C6792" t="inlineStr">
        <is>
          <t>I was extremely happy with Dr. Jason Fung's intermittent fasting method.  With light exercise and skipping dinner, my morning blood sugar was actually going below 100 (with medication though - never tried without).  I thought I had found the cure and I started enjoying. I started telling myself, I'll start with a rigorous diet and exercise plan from next week, let me enjoy this week. And without me realizing it, 6 months passed.   
And all of a sudden, my diabetes is out of control. After lunch, it goes to 350 - 400 and just sits there. If I don't eat anything after 2 pm and exercise a lot (weights and high-intensity cardio), the blood sugar goes to something like 130 in the morning. This is not practical and I cannot live the rest of my life like this.  And even if I eat my last meal at 5 pm - my morning blood sugar goes to something like 240.  
It is so depressing. Can you tell me what worked for you?</t>
        </is>
      </c>
      <c r="D6792" t="n">
        <v>2</v>
      </c>
      <c r="E6792" t="n">
        <v>10</v>
      </c>
      <c r="F6792">
        <f>HYPERLINK("https://www.reddit.com/r/diabetes/comments/bumgo1/is_anyone_happy_with_their_diabetes_control_what/")</f>
        <v/>
      </c>
      <c r="G6792" t="inlineStr">
        <is>
          <t>2019-05-29 17:20:58</t>
        </is>
      </c>
      <c r="H6792" t="inlineStr">
        <is>
          <t>Type 2</t>
        </is>
      </c>
    </row>
    <row r="6793">
      <c r="A6793" t="inlineStr">
        <is>
          <t>bumkkq</t>
        </is>
      </c>
      <c r="B6793" t="inlineStr">
        <is>
          <t>Can walking alone be a great exercise for controlling diabetes?</t>
        </is>
      </c>
      <c r="C6793" t="inlineStr">
        <is>
          <t>I have recently developed this new found love for walking. I put my headphones on and listen to some podcasts and the weather is so good these days. But off lately, my sugar does not seem to go down with walking.  The other day, I walked for an hour and checked my sugar, and it was still at 326 (I don't know what it was before I started walking though).   
I can easily accommodate 2 - 2.5 hours of walking in a day (not at a stretch though). Do you think that would be enough, with no other exercise?</t>
        </is>
      </c>
      <c r="D6793" t="n">
        <v>5</v>
      </c>
      <c r="E6793" t="n">
        <v>8</v>
      </c>
      <c r="F6793">
        <f>HYPERLINK("https://www.reddit.com/r/diabetes/comments/bumkkq/can_walking_alone_be_a_great_exercise_for/")</f>
        <v/>
      </c>
      <c r="G6793" t="inlineStr">
        <is>
          <t>2019-05-29 17:30:58</t>
        </is>
      </c>
      <c r="H6793" t="inlineStr">
        <is>
          <t>Type 2</t>
        </is>
      </c>
    </row>
    <row r="6794">
      <c r="A6794" t="inlineStr">
        <is>
          <t>bumpr2</t>
        </is>
      </c>
      <c r="B6794" t="inlineStr">
        <is>
          <t>I think the worst complication of Diabetes is depression.</t>
        </is>
      </c>
      <c r="C6794" t="inlineStr">
        <is>
          <t>The frustration, the helplessness, the self-selection of the worst diagnosis for yourself after researching on the internet, the irresistible urge to search your new "symptoms" on the internet, the jealousy and the self-pity that comes with you see your friends enjoying life's great offerings (that life does not offer me anymore), the regret and the self-loathing that comes when you think this disease could have been avoided (I am type 2), the fear of the future, the lack of excitement in general - how do you deal with all this?</t>
        </is>
      </c>
      <c r="D6794" t="n">
        <v>74</v>
      </c>
      <c r="E6794" t="n">
        <v>25</v>
      </c>
      <c r="F6794">
        <f>HYPERLINK("https://www.reddit.com/r/diabetes/comments/bumpr2/i_think_the_worst_complication_of_diabetes_is/")</f>
        <v/>
      </c>
      <c r="G6794" t="inlineStr">
        <is>
          <t>2019-05-29 17:44:54</t>
        </is>
      </c>
      <c r="H6794" t="inlineStr">
        <is>
          <t>Type 2</t>
        </is>
      </c>
    </row>
    <row r="6795">
      <c r="A6795" t="inlineStr">
        <is>
          <t>bunuvc</t>
        </is>
      </c>
      <c r="B6795" t="inlineStr">
        <is>
          <t>Has anyone become a successful bodybuilder AFTER being diagnosed with Type 2 diabetes?</t>
        </is>
      </c>
      <c r="C6795" t="inlineStr">
        <is>
          <t>If I think of myself as a bodybuilder instead of a diabetic, it helps me follow all the rules with less depression than the others.  Does it make sense? Has anyone done it?</t>
        </is>
      </c>
      <c r="D6795" t="n">
        <v>3</v>
      </c>
      <c r="E6795" t="n">
        <v>6</v>
      </c>
      <c r="F6795">
        <f>HYPERLINK("https://www.reddit.com/r/diabetes/comments/bunuvc/has_anyone_become_a_successful_bodybuilder_after/")</f>
        <v/>
      </c>
      <c r="G6795" t="inlineStr">
        <is>
          <t>2019-05-29 19:37:12</t>
        </is>
      </c>
      <c r="H6795" t="inlineStr">
        <is>
          <t>Type 2</t>
        </is>
      </c>
    </row>
    <row r="6796">
      <c r="A6796" t="inlineStr">
        <is>
          <t>bup40c</t>
        </is>
      </c>
      <c r="B6796" t="inlineStr">
        <is>
          <t>Underground Railroad #Canada</t>
        </is>
      </c>
      <c r="C6796" t="inlineStr">
        <is>
          <t xml:space="preserve"> 
Are there any Canadian diabetics who might possibly have an extra one of those nonstick testing machines. I've been diabetic for 24 years throughout those years I've been using the finger stick process to regulate glucose control. I'm also in the final stages of kidney failure which makes me a "brittle diabetic." In a quick second, I can go from a normal glucose level to 37 and up to even around 500. I'm asking this of you Oh Canada because it was you who opened up your doors to my ancestors who were running away from the clutches of oppression and slavery. 
Thank you for your time.
I am O+ positive blood type just in case you were wondering if I'm taking any kidney donations.
thank you again
\-Noel</t>
        </is>
      </c>
      <c r="D6796" t="n">
        <v>2</v>
      </c>
      <c r="E6796" t="n">
        <v>7</v>
      </c>
      <c r="F6796">
        <f>HYPERLINK("https://www.reddit.com/r/diabetes/comments/bup40c/underground_railroad_canada/")</f>
        <v/>
      </c>
      <c r="G6796" t="inlineStr">
        <is>
          <t>2019-05-29 21:56:30</t>
        </is>
      </c>
      <c r="H6796" t="inlineStr">
        <is>
          <t>Type 1</t>
        </is>
      </c>
    </row>
    <row r="6797">
      <c r="A6797" t="inlineStr">
        <is>
          <t>buplkw</t>
        </is>
      </c>
      <c r="B6797" t="inlineStr">
        <is>
          <t>Frequency and timing of omnipod alerts</t>
        </is>
      </c>
      <c r="C6797" t="inlineStr">
        <is>
          <t>I’m looking for some help to better anticipate when to look out for annoying omnipod squeals and beeps.  
Particularly- 
1.	 For a new omnipod I will get the annoying check your blood sugar beep.  I can’t tell exactly when I will get this.  I thought it would be an hour ?  But sometimes it’s not?
2.	once a pod “expires” at 72hrs it keeps working for another 8... in between that time you will get the annoying change pod alerts.   How frequently do these come up following the official expiration alert ?</t>
        </is>
      </c>
      <c r="D6797" t="n">
        <v>2</v>
      </c>
      <c r="E6797" t="n">
        <v>3</v>
      </c>
      <c r="F6797">
        <f>HYPERLINK("https://www.reddit.com/r/diabetes/comments/buplkw/frequency_and_timing_of_omnipod_alerts/")</f>
        <v/>
      </c>
      <c r="G6797" t="inlineStr">
        <is>
          <t>2019-05-29 22:58:37</t>
        </is>
      </c>
      <c r="H6797" t="inlineStr">
        <is>
          <t>Type 1</t>
        </is>
      </c>
    </row>
    <row r="6798">
      <c r="A6798" t="inlineStr">
        <is>
          <t>bus2gf</t>
        </is>
      </c>
      <c r="B6798" t="inlineStr">
        <is>
          <t>New to Omnipod question</t>
        </is>
      </c>
      <c r="C6798" t="inlineStr">
        <is>
          <t>Received my Omnipod in the mail and have my appointment with the clinic for startup next week. What are some of the best locations to wear the pods to get use to it on?  I have a libre on my arm and hardly ever notice it but when I wore the test pod I found it got caught all the time when on my abdomen. 
Also this PDM sends me back to 2005 when I had a Palm trio, Omnipod is aware it's 2019?
I did trial a pump with tubing and could not get use to it. 
Any other poders could give me some advice starting would be helpful
Thanks</t>
        </is>
      </c>
      <c r="D6798" t="n">
        <v>3</v>
      </c>
      <c r="E6798" t="n">
        <v>6</v>
      </c>
      <c r="F6798">
        <f>HYPERLINK("https://www.reddit.com/r/diabetes/comments/bus2gf/new_to_omnipod_question/")</f>
        <v/>
      </c>
      <c r="G6798" t="inlineStr">
        <is>
          <t>2019-05-30 04:35:50</t>
        </is>
      </c>
      <c r="H6798" t="inlineStr">
        <is>
          <t>Type 1</t>
        </is>
      </c>
    </row>
    <row r="6799">
      <c r="A6799" t="inlineStr">
        <is>
          <t>buvajd</t>
        </is>
      </c>
      <c r="B6799" t="inlineStr">
        <is>
          <t>I think i have diabetes Type 2, i have questions about its symptoms</t>
        </is>
      </c>
      <c r="C6799" t="inlineStr">
        <is>
          <t>I've had my BMI measured couple of months ago and my doctor told me that i am 5% close to being obese, basically im 173cm and weigh 87kilos. I also started getting symptoms like being thirsty. I haven't had the time to go to the doctor to confirm it mainly because im scared. 
My thirst goes away sometimes, im not sure why, its really random and its associated with sore throat and a bit of mucous. Is this normal?</t>
        </is>
      </c>
      <c r="D6799" t="n">
        <v>1</v>
      </c>
      <c r="E6799" t="n">
        <v>0</v>
      </c>
      <c r="F6799">
        <f>HYPERLINK("https://www.reddit.com/r/diabetes/comments/buvajd/i_think_i_have_diabetes_type_2_i_have_questions/")</f>
        <v/>
      </c>
      <c r="G6799" t="inlineStr">
        <is>
          <t>2019-05-30 09:33:53</t>
        </is>
      </c>
      <c r="H6799" t="inlineStr">
        <is>
          <t>Type 2</t>
        </is>
      </c>
    </row>
    <row r="6800">
      <c r="A6800" t="inlineStr">
        <is>
          <t>buxfaa</t>
        </is>
      </c>
      <c r="B6800" t="inlineStr">
        <is>
          <t>just want to unleash</t>
        </is>
      </c>
      <c r="C6800" t="inlineStr">
        <is>
          <t>last night i tried to kill myself.  i woke in the hospital with tubes attached to my body.  i tried to tip them out and escqape the hospital but 2 security guards draggewd me back.  they toes my hand and feet the hospital bed.  ultilatte hell.  i couldn't mover.  then they injected me with some thing where i couldnt move at all and ouyt me in the pasych ward.  fuck diabetes and fucdk alcohol.  after that htey changed me into some hospital gown and puswhed me on the elevator into the third floor... the psych ward.  
luckily i got out.  diabetes a beat.  that was my second suicide attempt,</t>
        </is>
      </c>
      <c r="D6800" t="n">
        <v>1</v>
      </c>
      <c r="E6800" t="n">
        <v>0</v>
      </c>
      <c r="F6800">
        <f>HYPERLINK("https://www.reddit.com/r/diabetes/comments/buxfaa/just_want_to_unleash/")</f>
        <v/>
      </c>
      <c r="G6800" t="inlineStr">
        <is>
          <t>2019-05-30 12:31:21</t>
        </is>
      </c>
      <c r="H6800" t="inlineStr">
        <is>
          <t>Type 1</t>
        </is>
      </c>
    </row>
    <row r="6801">
      <c r="A6801" t="inlineStr">
        <is>
          <t>buxswd</t>
        </is>
      </c>
      <c r="B6801" t="inlineStr">
        <is>
          <t>Dating a type 1 diabetic</t>
        </is>
      </c>
      <c r="C6801" t="inlineStr">
        <is>
          <t>Hello,  I’m F  (19) dating a M (26)  we’ve been together 5months and I’m slowly starting to learn more and t1 diabetes from just questions and any research I’ve done for the last few months. 
Yesterday we had a long convo and he told me that he’s had t1 since 14? He’s only really been a good diabetic for about 1year ? And that was after he was first diagnosed.
After that he said he’s been winging it since then. Which really worries me a lot.
I lost my granny to t1 last year so it hurts to see him let himself go like this
I’m not really sure what I should do ? I don’t want to seem bossy or pushy or like I’m telling him what to do ? 
But I also want to help and encourage him and remind him without coming off that way 
I’m really new to this any advice will help thank you!</t>
        </is>
      </c>
      <c r="D6801" t="n">
        <v>2</v>
      </c>
      <c r="E6801" t="n">
        <v>3</v>
      </c>
      <c r="F6801">
        <f>HYPERLINK("https://www.reddit.com/r/diabetes/comments/buxswd/dating_a_type_1_diabetic/")</f>
        <v/>
      </c>
      <c r="G6801" t="inlineStr">
        <is>
          <t>2019-05-30 13:01:47</t>
        </is>
      </c>
      <c r="H6801" t="inlineStr">
        <is>
          <t>Type 1</t>
        </is>
      </c>
    </row>
    <row r="6802">
      <c r="A6802" t="inlineStr">
        <is>
          <t>buypcr</t>
        </is>
      </c>
      <c r="B6802" t="inlineStr">
        <is>
          <t>Just diagnosed t2 and I dont know where my blood sugar is supposed to be</t>
        </is>
      </c>
      <c r="C6802" t="inlineStr">
        <is>
          <t>I was diagnosed in the hospital. A lady came to talk to me and told me regular info about diet exercise and taking tm newly prescribed metformin 500 once a day. In the doc office I was 356 then at home the next day i got a glucose meter and it was 234. Now I looked and its 252 after a turkey sandwich and a mile long walk. About 30 mins after eating. I have changed my diet to not include any sugar basically and stay within normal carbs a day. Am I screwing up. I dont have an appointment for a whole and it was never explained to me when to test or what my level should be at. Thanks so much for the help.!</t>
        </is>
      </c>
      <c r="D6802" t="n">
        <v>3</v>
      </c>
      <c r="E6802" t="n">
        <v>22</v>
      </c>
      <c r="F6802">
        <f>HYPERLINK("https://www.reddit.com/r/diabetes/comments/buypcr/just_diagnosed_t2_and_i_dont_know_where_my_blood/")</f>
        <v/>
      </c>
      <c r="G6802" t="inlineStr">
        <is>
          <t>2019-05-30 14:19:27</t>
        </is>
      </c>
      <c r="H6802" t="inlineStr">
        <is>
          <t>Type 2</t>
        </is>
      </c>
    </row>
    <row r="6803">
      <c r="A6803" t="inlineStr">
        <is>
          <t>bv03r7</t>
        </is>
      </c>
      <c r="B6803" t="inlineStr">
        <is>
          <t>Exercise Question</t>
        </is>
      </c>
      <c r="C6803" t="inlineStr">
        <is>
          <t>Hey guys,
I’m new to the diabetes thing, it’s been three months since I was diagnosed, and I was under the impression that when you exercise you normally hit low. But, every time that I go for a walk or do any type of exercise my blood sugar seems to spike. I normally start around 130 and end at like 210 and have to correct. Is this normal? 
Thanks in advance!</t>
        </is>
      </c>
      <c r="D6803" t="n">
        <v>3</v>
      </c>
      <c r="E6803" t="n">
        <v>6</v>
      </c>
      <c r="F6803">
        <f>HYPERLINK("https://www.reddit.com/r/diabetes/comments/bv03r7/exercise_question/")</f>
        <v/>
      </c>
      <c r="G6803" t="inlineStr">
        <is>
          <t>2019-05-30 16:26:58</t>
        </is>
      </c>
      <c r="H6803" t="inlineStr">
        <is>
          <t>Type 1.5/LADA</t>
        </is>
      </c>
    </row>
    <row r="6804">
      <c r="A6804" t="inlineStr">
        <is>
          <t>bv28h0</t>
        </is>
      </c>
      <c r="B6804" t="inlineStr">
        <is>
          <t>What is US support?</t>
        </is>
      </c>
      <c r="C6804" t="inlineStr">
        <is>
          <t>Hi,
&amp;amp;#x200B;
I'm in Canada. Which version should I install?
&amp;amp;#x200B;
Thanks</t>
        </is>
      </c>
      <c r="D6804" t="n">
        <v>0</v>
      </c>
      <c r="E6804" t="n">
        <v>4</v>
      </c>
      <c r="F6804">
        <f>HYPERLINK("https://www.reddit.com/r/diabetes/comments/bv28h0/what_is_us_support/")</f>
        <v/>
      </c>
      <c r="G6804" t="inlineStr">
        <is>
          <t>2019-05-30 19:54:19</t>
        </is>
      </c>
      <c r="H6804" t="inlineStr">
        <is>
          <t>Type 1</t>
        </is>
      </c>
    </row>
    <row r="6805">
      <c r="A6805" t="inlineStr">
        <is>
          <t>bv2y23</t>
        </is>
      </c>
      <c r="B6805" t="inlineStr">
        <is>
          <t>Need guidance and assurance</t>
        </is>
      </c>
      <c r="C6805" t="inlineStr">
        <is>
          <t>I am 20 and still have my whole life ahead of me so i want to know is remission possible and sustainable for say next 20 years. My a1c was 12.9 and Fasting BG last saturday was 272 and PP BG was 388 but i have reacted really well to meds my BG today morning was 111. I intend to be off meds asap and maintain it. Doc said he will reduce my dose gradually and he intially prescribed two insulin shot but reduced it to one when i had good reaction to just oral meds. I want to know if remission is possible and sustainable</t>
        </is>
      </c>
      <c r="D6805" t="n">
        <v>3</v>
      </c>
      <c r="E6805" t="n">
        <v>11</v>
      </c>
      <c r="F6805">
        <f>HYPERLINK("https://www.reddit.com/r/diabetes/comments/bv2y23/need_guidance_and_assurance/")</f>
        <v/>
      </c>
      <c r="G6805" t="inlineStr">
        <is>
          <t>2019-05-30 21:10:58</t>
        </is>
      </c>
      <c r="H6805" t="inlineStr">
        <is>
          <t>Type 2</t>
        </is>
      </c>
    </row>
    <row r="6806">
      <c r="A6806" t="inlineStr">
        <is>
          <t>bv30vn</t>
        </is>
      </c>
      <c r="B6806" t="inlineStr">
        <is>
          <t>Diagnosed with T1D in Basic Training</t>
        </is>
      </c>
      <c r="C6806" t="inlineStr">
        <is>
          <t>I was in army basic training and I started getting symptoms a week after I got there and was in DKA for 2 weeks then finally convinced the drill sergeants I should go to the hospital, I had no clue what was going on with my health during that time. No knowledge of diabetes. No family history of it. I was diagnosed, discharged and sent home. No medical benefits or anything. My questions are can someone develop this disease out of nowhere with no family history at all? And could I be eligible for benefits or anything like that through the VA?</t>
        </is>
      </c>
      <c r="D6806" t="n">
        <v>11</v>
      </c>
      <c r="E6806" t="n">
        <v>15</v>
      </c>
      <c r="F6806">
        <f>HYPERLINK("https://www.reddit.com/r/diabetes/comments/bv30vn/diagnosed_with_t1d_in_basic_training/")</f>
        <v/>
      </c>
      <c r="G6806" t="inlineStr">
        <is>
          <t>2019-05-30 21:19:20</t>
        </is>
      </c>
      <c r="H6806" t="inlineStr">
        <is>
          <t>Type 1</t>
        </is>
      </c>
    </row>
    <row r="6807">
      <c r="A6807" t="inlineStr">
        <is>
          <t>bv6eig</t>
        </is>
      </c>
      <c r="B6807" t="inlineStr">
        <is>
          <t>I am travelling by air and have questions regarding how to carry insulin on plane.</t>
        </is>
      </c>
      <c r="C6807" t="inlineStr">
        <is>
          <t>I will be moving to another country and am taking insulin for 3 months along. I will be taking the insulin in checked luggage. I want to know if my insulin will survive temperatures in checked luggage for 16+ hours. Also if you have any suggestions for carrying insulin please tell. 
If it helps, the 2 planes I'll be on are 
Boeing-777 and
Airbus Industrie A380-800</t>
        </is>
      </c>
      <c r="D6807" t="n">
        <v>5</v>
      </c>
      <c r="E6807" t="n">
        <v>20</v>
      </c>
      <c r="F6807">
        <f>HYPERLINK("https://www.reddit.com/r/diabetes/comments/bv6eig/i_am_travelling_by_air_and_have_questions/")</f>
        <v/>
      </c>
      <c r="G6807" t="inlineStr">
        <is>
          <t>2019-05-31 04:34:00</t>
        </is>
      </c>
      <c r="H6807" t="inlineStr">
        <is>
          <t>Type 1</t>
        </is>
      </c>
    </row>
    <row r="6808">
      <c r="A6808" t="inlineStr">
        <is>
          <t>bv7msa</t>
        </is>
      </c>
      <c r="B6808" t="inlineStr">
        <is>
          <t>Diabetic anniversary ideas</t>
        </is>
      </c>
      <c r="C6808" t="inlineStr">
        <is>
          <t>Last night, my wife mentioned that next month marks her 20th year as a juvenile T1D. I joked that we should do something to celebrate. We laughed, and the conversation changed. The more I thought about it, the more I want to surprise her with something. Any gift or event ideas that are specific to T1D?</t>
        </is>
      </c>
      <c r="D6808" t="n">
        <v>3</v>
      </c>
      <c r="E6808" t="n">
        <v>10</v>
      </c>
      <c r="F6808">
        <f>HYPERLINK("https://www.reddit.com/r/diabetes/comments/bv7msa/diabetic_anniversary_ideas/")</f>
        <v/>
      </c>
      <c r="G6808" t="inlineStr">
        <is>
          <t>2019-05-31 06:38:38</t>
        </is>
      </c>
      <c r="H6808" t="inlineStr">
        <is>
          <t>Type 1</t>
        </is>
      </c>
    </row>
    <row r="6809">
      <c r="A6809" t="inlineStr">
        <is>
          <t>bv7o6r</t>
        </is>
      </c>
      <c r="B6809" t="inlineStr">
        <is>
          <t>A1c win!</t>
        </is>
      </c>
      <c r="C6809" t="inlineStr">
        <is>
          <t>So I felt the need to share my A1C journey and what I think is a win!
1 year ago I did a random health screening at work and was advised to see my MD immediately due to my blood sugar levels. Low and behold I get diagnosed with Type 2 with a 12.1 A1C. I saw my MD after 3 months and A1C was 8.4 and she said meh it could be better. But she wasn’t really giving me any good advice other than meds (metformin 2000mg and tradjenta 5mg). So I made an appointment with an Endo - took 4 months to get an appointment but saw him and A1C was 7.0. We talked about how I was “Keto” like 70% of the time (M-Th, and I make “better decisions” F-Su and on vacations...) and he didn’t think Keto was sustainable but gave me some positive feedback and advice and we agreed to follow up 5 months later after it had a 2 week international trip planned... well saw him last week and A1C was 6.6. He was super proud of me and said if I can maintain or reduce by our next visit, we can reduce the meds!! He was so encouraging and we discussed a more moderate diet that’s not so restrictive as keto. It was great. I felt good hearing that 12.1 to 6.6 in 1 year was impressive! :) and that with a lower carb not a no carb diet!</t>
        </is>
      </c>
      <c r="D6809" t="n">
        <v>20</v>
      </c>
      <c r="E6809" t="n">
        <v>7</v>
      </c>
      <c r="F6809">
        <f>HYPERLINK("https://www.reddit.com/r/diabetes/comments/bv7o6r/a1c_win/")</f>
        <v/>
      </c>
      <c r="G6809" t="inlineStr">
        <is>
          <t>2019-05-31 06:42:13</t>
        </is>
      </c>
      <c r="H6809" t="inlineStr">
        <is>
          <t>Type 2</t>
        </is>
      </c>
    </row>
    <row r="6810">
      <c r="A6810" t="inlineStr">
        <is>
          <t>bv7o88</t>
        </is>
      </c>
      <c r="B6810" t="inlineStr">
        <is>
          <t>Tiny question</t>
        </is>
      </c>
      <c r="C6810" t="inlineStr">
        <is>
          <t>Hey, I read that the daily recommended limit of sugar for diabetics is 30g-36g. Now I was wondering, would it actually heavily affect me if i consumed more than 36g in one day once in a while?   
P.S: my current A1C is 5.6</t>
        </is>
      </c>
      <c r="D6810" t="n">
        <v>4</v>
      </c>
      <c r="E6810" t="n">
        <v>11</v>
      </c>
      <c r="F6810">
        <f>HYPERLINK("https://www.reddit.com/r/diabetes/comments/bv7o88/tiny_question/")</f>
        <v/>
      </c>
      <c r="G6810" t="inlineStr">
        <is>
          <t>2019-05-31 06:42:19</t>
        </is>
      </c>
      <c r="H6810" t="inlineStr">
        <is>
          <t>Type 2</t>
        </is>
      </c>
    </row>
    <row r="6811">
      <c r="A6811" t="inlineStr">
        <is>
          <t>bv9c4i</t>
        </is>
      </c>
      <c r="B6811" t="inlineStr">
        <is>
          <t>Swimming with Insulin Pump?</t>
        </is>
      </c>
      <c r="C6811" t="inlineStr">
        <is>
          <t xml:space="preserve"> TLDR; How do you protect your insulin pump while swimming? If you take it off, how do you monitor your BS without bottoming out while exercising?
Hey y'all. I did do a search for this, but the only result was 2+ years ago, and didn't have many responses, so I'm hoping that this group has grown quite a bit since then and might have some new suggestions. :)
So I'm not the diabetic. My mama is, and she's got a LOT of medical problems. She's recently been told that she's going to be prescribed aqua therapy. She's diabetic, though, and has a lot of anxiety, and pretty much is a negative Nancy when it comes to problem-solving, so I want to know all I can about swimming with diabetes so I can help her when her time comes to get into the pool.
1. What do you do with your insulin pump while you're in the pool?
2. If you take it off, how do you make sure your blood sugar doesn't bottom out while you're exercising?
3. What type of swimwear do you use? Would board shorts work better than an actual swimsuit?
Any input would be GREATLY appreciated.</t>
        </is>
      </c>
      <c r="D6811" t="n">
        <v>3</v>
      </c>
      <c r="E6811" t="n">
        <v>7</v>
      </c>
      <c r="F6811">
        <f>HYPERLINK("https://www.reddit.com/r/diabetes/comments/bv9c4i/swimming_with_insulin_pump/")</f>
        <v/>
      </c>
      <c r="G6811" t="inlineStr">
        <is>
          <t>2019-05-31 09:01:08</t>
        </is>
      </c>
      <c r="H6811" t="inlineStr">
        <is>
          <t>Type 1</t>
        </is>
      </c>
    </row>
    <row r="6812">
      <c r="A6812" t="inlineStr">
        <is>
          <t>bv9j8c</t>
        </is>
      </c>
      <c r="B6812" t="inlineStr">
        <is>
          <t>My Girlfriend (20) just diagnosed</t>
        </is>
      </c>
      <c r="C6812" t="inlineStr">
        <is>
          <t>Hello all, to make this short and simple I noticed lots of warning signs and symptoms in my gf and suggested she get tested. She went to a clinic, they called the next day said her A1C was 13.5 her primary told her to go to the emergency room. They told her that her sugar was at 468. She stayed over night last night as they are starting her insulin and determining care.
This leads me to my part. I know a bit about diabetes. But I am clueless as to the diet and food. I’ve never really had to think that hard about it but with her being diagnosed I want to make this as easy a transition as possible for her. Any suggestions or tips on food would be appreciated ❤️</t>
        </is>
      </c>
      <c r="D6812" t="n">
        <v>8</v>
      </c>
      <c r="E6812" t="n">
        <v>26</v>
      </c>
      <c r="F6812">
        <f>HYPERLINK("https://www.reddit.com/r/diabetes/comments/bv9j8c/my_girlfriend_20_just_diagnosed/")</f>
        <v/>
      </c>
      <c r="G6812" t="inlineStr">
        <is>
          <t>2019-05-31 09:16:03</t>
        </is>
      </c>
      <c r="H6812" t="inlineStr">
        <is>
          <t>Type 1</t>
        </is>
      </c>
    </row>
    <row r="6813">
      <c r="A6813" t="inlineStr">
        <is>
          <t>bvcgpu</t>
        </is>
      </c>
      <c r="B6813" t="inlineStr">
        <is>
          <t>Advice on Lantus Dosing.</t>
        </is>
      </c>
      <c r="C6813" t="inlineStr">
        <is>
          <t>Hey guys, was hoping to get some opinions on my current situation.  Wall of text incoming!!!
First, a little background information. I’m a 35 year old man who is severely obese with sleep apnea and (until recently) uncontrolled type 2 diabetes. I take 1000mg of Metformin XR twice a day, 300mg of Invokana once a day, and 30mg of Januvia once a day.
Around the end of April / beginning of May I started Keto at 344lbs. That week I lost weight incredibly quickly, and by that Sunday I was already down 20lbs, which I thought was incredibly odd.
That weekend, my town hosted the state track meet, being a city employee I had to help out. This led to an incredibly tiring weekend, resulting in a little over 25 hours of overtime on top of the normal 40 hour work week. I also had a little nasal congestion, resulting in me not being able to use my CPAP effectively (Only have a nasal mask... my full face broke a couple of months ago).
Monday comes around, and I’m exhausted so I call in to work and stay in bed and sleep all day. Tuesday rolls around and I’m still not feeling well, so I call in again and sleep most of the day. Wednesday rolls around, and feel so weak and tired that I couldn’t even sit up... I’d fall over almost immediately. My friend calls me, and says I’m slurring my speech (I don’t remember doing this) and comes and picks me up and takes me to the emergency room.  
While at the ER they do a glucose check and my glucose level was 245. They immediately take me into a room and start treating me for a DKA (they claimed they could smell the sweetness across the waiting room). A couple of hours later they move me to intensive care, where I stayed for 6 days while they tried to get my Anion Gap below 12 (It started at near 20).
I don’t really remember the first few days, as I was a little loopy and overwhelmed, but once I was finally able to talk to the doctor I told him that I was on the Keto diet and he told me that he thought it was a combination of being in Ketosis, exhaustion from the weekend, being severely dehydrated from the weekend, and a UTI (which I didn’t even know I had) that put me in a DKA. He said it was rare for type 2’s to have DKA, but that they can, and that I just happened to have a “perfect concoction” to get one.
While at the hospital, they started me on Lantus, giving me 20 units a day. Once I got out, the prescribed me 10 units a day.
I made an appointment with my primary care doctor that next day, and he said that for my weight 10 units will be like “pissing in the wind” and that someone my size would need around 60-70 units for it to make a dent in anything, but we’ll try it for two weeks and see how it goes.
Since all that happened I have started checking my glucose and other than a slightly high post prandial (186 mg/dL max 1 hour after eating) once or twice my levels have been really good. I check fasting when I wake up, before meals, 1 hour after meals, and if that’s higher than normal two hours after as well. According to my meter (Contour Next One) my 1 week average is 126 mg/dL and my two week is 133 mg/dL.
Wednesday of this week I met with my doctor for my two week follow up, and he said he wants me to try backing off the Lantus by 2 units ever 2-3 days and see how it affects my glucose levels. He said once I get to 4 I can just stop it out right. Once I get off it for a week he wants me to come in for a c-peptide test.
Tonight will be my 3rd night doing 8 units, and so far I haven’t seen any change in my glucose levels. Is my doctor right that 10 units is way to little to do anything for someone my size (Now down to 310lbs)? I plugged my weight into the dosing calculator on the Lantus website, and it said that my minimum dosing should be 28 units.
Sorry for the wall of text. I’m trying hard to try and get everything in order, but the insulin side of things is new to me, and a little confusing honestly.</t>
        </is>
      </c>
      <c r="D6813" t="n">
        <v>2</v>
      </c>
      <c r="E6813" t="n">
        <v>10</v>
      </c>
      <c r="F6813">
        <f>HYPERLINK("https://www.reddit.com/r/diabetes/comments/bvcgpu/advice_on_lantus_dosing/")</f>
        <v/>
      </c>
      <c r="G6813" t="inlineStr">
        <is>
          <t>2019-05-31 13:25:50</t>
        </is>
      </c>
      <c r="H6813" t="inlineStr">
        <is>
          <t>Type 2</t>
        </is>
      </c>
    </row>
    <row r="6814">
      <c r="A6814" t="inlineStr">
        <is>
          <t>bvd5jb</t>
        </is>
      </c>
      <c r="B6814" t="inlineStr">
        <is>
          <t>Is pump training necessary</t>
        </is>
      </c>
      <c r="C6814" t="inlineStr">
        <is>
          <t>Long story short i used to produce insulin ... now I don't. 
i've been giving myself 4-6 injections every day (lantus and humolog) for the last year and a half, I've gotten very good at being my own pancreas. learning what kind of meals need extended bolus, keeping track of insulin on board (active insulin), I wear a Dexcom G6 but i can still feel lows, I just received my T:slim x2, they want me to wait another month to do my training which will only be a week and a half before I leave on a 10 day motorcycle road trip. i have learned a lot from experimenting on my self already and i really want to have the pump figured out before this trip. so i am considering using this pump before training. Its built in safety features seem like there really wont be a huge risk. I work from home so i am never far from carbs. it seams like the smart decision is to either wait until after the trip (which has its own complications if i continue with injections). Or start now and get failure before this massive road trip.   
So i guess my question is are these pumps really as simple as they seem? 
FYI this isn't just a few hundred miles every day with lots of breaks, its 8 hours a day on amazingly twisty roads at paces that really don't allow for stopping to mess with a pump, if i take a pump I need to be dialed in. also relying on injections means less time for things like filling up on water or grabbing a snack when we do stop.</t>
        </is>
      </c>
      <c r="D6814" t="n">
        <v>2</v>
      </c>
      <c r="E6814" t="n">
        <v>5</v>
      </c>
      <c r="F6814">
        <f>HYPERLINK("https://www.reddit.com/r/diabetes/comments/bvd5jb/is_pump_training_necessary/")</f>
        <v/>
      </c>
      <c r="G6814" t="inlineStr">
        <is>
          <t>2019-05-31 14:28:20</t>
        </is>
      </c>
      <c r="H6814" t="inlineStr">
        <is>
          <t>Type 1</t>
        </is>
      </c>
    </row>
    <row r="6815">
      <c r="A6815" t="inlineStr">
        <is>
          <t>bvdhd0</t>
        </is>
      </c>
      <c r="B6815" t="inlineStr">
        <is>
          <t>🤬🤬🤬🤬🤬🤬diabetes!</t>
        </is>
      </c>
      <c r="C6815" t="inlineStr">
        <is>
          <t>I like many of you all have had t1.5 D for a long time. I am getting really fed up with trying to carefully place my f@#$ing infusion set so that my insulin is getting where it needs to go. I am at work and can't change my needle placement until I get home in a couple hours. I have been a pumper for over 20 years and am wondering where else to put the !@$%! needle. What works?</t>
        </is>
      </c>
      <c r="D6815" t="n">
        <v>5</v>
      </c>
      <c r="E6815" t="n">
        <v>4</v>
      </c>
      <c r="F6815">
        <f>HYPERLINK("https://www.reddit.com/r/diabetes/comments/bvdhd0/diabetes/")</f>
        <v/>
      </c>
      <c r="G6815" t="inlineStr">
        <is>
          <t>2019-05-31 14:59:30</t>
        </is>
      </c>
      <c r="H6815" t="inlineStr">
        <is>
          <t>Type 1.5/LADA</t>
        </is>
      </c>
    </row>
    <row r="6816">
      <c r="A6816" t="inlineStr">
        <is>
          <t>bvgabu</t>
        </is>
      </c>
      <c r="B6816" t="inlineStr">
        <is>
          <t>Moving to the USA, any advice?</t>
        </is>
      </c>
      <c r="C6816" t="inlineStr">
        <is>
          <t>I have diabetes since I had 25 years (now 37), I have to use 2 types of insulin (NovoRapid and Tresiba) to stay in control.
I am a little worried about the price of insulin there, (I think the insurance cover it), but just wonder How I can continue my treatment? Do I have to go to the doctor so he figures out what do I need? (and a probable change)
Do you know if there is a way to keep my treatment as I have right now?
What can I bring to the doctor, to validate my doses?  
Thanks your time.</t>
        </is>
      </c>
      <c r="D6816" t="n">
        <v>3</v>
      </c>
      <c r="E6816" t="n">
        <v>6</v>
      </c>
      <c r="F6816">
        <f>HYPERLINK("https://www.reddit.com/r/diabetes/comments/bvgabu/moving_to_the_usa_any_advice/")</f>
        <v/>
      </c>
      <c r="G6816" t="inlineStr">
        <is>
          <t>2019-05-31 19:55:37</t>
        </is>
      </c>
      <c r="H6816" t="inlineStr">
        <is>
          <t>Type 2</t>
        </is>
      </c>
    </row>
    <row r="6817">
      <c r="A6817" t="inlineStr">
        <is>
          <t>bvgnle</t>
        </is>
      </c>
      <c r="B6817" t="inlineStr">
        <is>
          <t>Advice for Sugar Intake</t>
        </is>
      </c>
      <c r="C6817" t="inlineStr">
        <is>
          <t>I’ve recently been diagnosed with T2, and I can’t seem to be able to cut down on the amount of sugar I consume. I’m trying to slowly minimize the amount but I can’t seem to be able to get rid of the Starbucks that I drink. Are there any cold Starbucks drinks that wouldn’t make my sugar spike or would be considered “okay” to drink? Additionally, what drinks besides water would be a good choice of beverage? I’ve been drinking sugary sodas all my life and this rapid change is all so new to me.</t>
        </is>
      </c>
      <c r="D6817" t="n">
        <v>2</v>
      </c>
      <c r="E6817" t="n">
        <v>13</v>
      </c>
      <c r="F6817">
        <f>HYPERLINK("https://www.reddit.com/r/diabetes/comments/bvgnle/advice_for_sugar_intake/")</f>
        <v/>
      </c>
      <c r="G6817" t="inlineStr">
        <is>
          <t>2019-05-31 20:40:07</t>
        </is>
      </c>
      <c r="H6817" t="inlineStr">
        <is>
          <t>Type 2</t>
        </is>
      </c>
    </row>
    <row r="6818">
      <c r="A6818" t="inlineStr">
        <is>
          <t>bvp46a</t>
        </is>
      </c>
      <c r="B6818" t="inlineStr">
        <is>
          <t>Insulin pump casing defect</t>
        </is>
      </c>
      <c r="C6818" t="inlineStr">
        <is>
          <t>Last night I laid my insulin pump on the kitchen counter as I prepared to refill. As I was drawing insulin into a reservoir, I hear what sounds like plastic cracking and see my pump laying there, plastic case snapping for no reason.
&amp;amp;#x200B;
Bad news is that this is the second unit that has developed this same split and in the same place. For the thousands of dollars I spend for this thing to keep me alive, trust me when I say I treat it with kid gloves. I try to make sure it is never bumped, knocked, or otherwise.
&amp;amp;#x200B;
The good news is that I called the manufacturer and in less than 20 minutes they had a new unit in priority overnight.
&amp;amp;#x200B;
New pump arrived today. It took about 30 minutes for me to get all the programming setup - basal patterns, insulin sensitivity ratio, bolus defaults, etc.
&amp;amp;#x200B;
I got my glucometer reprogrammed to communicate with the new pump. Then I got my continuous glucose sensor/transmitter connected and started.
&amp;amp;#x200B;
The AI will take until 56 hours before I can go back to auto mode. Lots of extra testing in manual mode for best stability.
&amp;amp;#x200B;
Anyway, just sharing that the journey to be a healthy type 1 diabetic can sometimes be, well, as the kids say these days, EXTRA.
&amp;amp;#x200B;
Kudos to my amazing hubby who has been such an amazing support trooper. I couldn't do this as well without you Babe. 😘</t>
        </is>
      </c>
      <c r="D6818" t="n">
        <v>2</v>
      </c>
      <c r="E6818" t="n">
        <v>2</v>
      </c>
      <c r="F6818">
        <f>HYPERLINK("https://www.reddit.com/r/diabetes/comments/bvp46a/insulin_pump_casing_defect/")</f>
        <v/>
      </c>
      <c r="G6818" t="inlineStr">
        <is>
          <t>2019-06-01 13:24:22</t>
        </is>
      </c>
      <c r="H6818" t="inlineStr">
        <is>
          <t>Type 1</t>
        </is>
      </c>
    </row>
    <row r="6819">
      <c r="A6819" t="inlineStr">
        <is>
          <t>bvsagd</t>
        </is>
      </c>
      <c r="B6819" t="inlineStr">
        <is>
          <t>Is this Normal</t>
        </is>
      </c>
      <c r="C6819" t="inlineStr">
        <is>
          <t>I work overnight at a hotel on the weekends so I usually am asleep during most of the day on Saturday and Sunday. I took my meds and also had a small high carb, low calorie meal from a fast food place. I just woke up and checked my blood sugar and was ecstatic when I saw my blood sugar was at 88! But then I thought about it and concluded that it didn't make sense that my blood sugar was so low considering no physical activity and a high carb meal. So I checked it two more times in a span of ten minutes and it went up each time. Here is my meter record: [https://imgur.com/geW0lQA](https://imgur.com/geW0lQA) Is this normal BG behavior? Or might there be something wrong with my meter?</t>
        </is>
      </c>
      <c r="D6819" t="n">
        <v>2</v>
      </c>
      <c r="E6819" t="n">
        <v>9</v>
      </c>
      <c r="F6819">
        <f>HYPERLINK("https://www.reddit.com/r/diabetes/comments/bvsagd/is_this_normal/")</f>
        <v/>
      </c>
      <c r="G6819" t="inlineStr">
        <is>
          <t>2019-06-01 18:39:53</t>
        </is>
      </c>
      <c r="H6819" t="inlineStr">
        <is>
          <t>Type 2</t>
        </is>
      </c>
    </row>
    <row r="6820">
      <c r="A6820" t="inlineStr">
        <is>
          <t>bvteiz</t>
        </is>
      </c>
      <c r="B6820" t="inlineStr">
        <is>
          <t>Diabetic solution timing Novolog?</t>
        </is>
      </c>
      <c r="C6820" t="inlineStr">
        <is>
          <t xml:space="preserve"> 
I read the diabetic solution. A few months back. And I am now  really putting. The book into practice. I cut everything out of my diet  LOL. And have been type 1 since 2004. Also, I have an insulin pump its Medtronic. But I keep having 100 ups and downs. It doesn't want to stay constant. I think my basal rate is good. The proteins and fats are pretty hard to time. I think it takes a few hours to time. What has helped you get your Novolog timing down?   
So that it kicks in at the right time. With carbs, I feel I wanna start eating 45 min  after I take it. But I'm just so sick of even. Having it jump say 60  units per deciliter.  It affects my mental health. Does anyone have the  same problem?</t>
        </is>
      </c>
      <c r="D6820" t="n">
        <v>1</v>
      </c>
      <c r="E6820" t="n">
        <v>4</v>
      </c>
      <c r="F6820">
        <f>HYPERLINK("https://www.reddit.com/r/diabetes/comments/bvteiz/diabetic_solution_timing_novolog/")</f>
        <v/>
      </c>
      <c r="G6820" t="inlineStr">
        <is>
          <t>2019-06-01 20:46:59</t>
        </is>
      </c>
      <c r="H6820" t="inlineStr">
        <is>
          <t>Type 1</t>
        </is>
      </c>
    </row>
    <row r="6821">
      <c r="A6821" t="inlineStr">
        <is>
          <t>bvvunl</t>
        </is>
      </c>
      <c r="B6821" t="inlineStr">
        <is>
          <t>Blood sugar spike - HELP!</t>
        </is>
      </c>
      <c r="C6821" t="inlineStr">
        <is>
          <t>Hi all,
I'm hoping someone can help. I was diagnosed type 2 diabetic (26 y/o, F, 95kgs, 5'2" but around 100kgs when diagnosed) in March and I've been taking 500mg Metformin once daily ever since (I know the recommended is 3x daily but I tried that and due to diet and exercise changes that made my blood sugar plummet). My estimated current A1C from the blood sugars I've logged since (roughly twice a day) is 31. My blood sugar has rarely gone above 6 and sometimes has gone very low (3.2 lowest). 
This morning I went to the gym and worked really, really hard. I haven't taken my Metformin in two days as I've run out and thought I had more lying around (I'm going to get more, promise!) I took my blood sugar as soon as I got in and it's 7.7!! It hasn't been that high in months! I know exercise, especially fasting exercise, can cause a hike in blood sugar but this has never happened to me personally. I've read online on diabetesforecast.org (reputable site?) that taking 500mg alone isn't enough to see a real change in blood sugar, so I'm trying not to panic thinking that my efforts have been for nothing and I'm going to be tied to metformin forever, no matter how small the dose. 
My 3 month check up is next week and truly I was really hoping the blood test would come back and they'd be able to take me off metformin as I'm controlling my diabetes with diet and exercise. 
Feeling deflated and frustrated, please help! 
PS I've used UK measurements, not sure what the American measurements are guys, sorry!</t>
        </is>
      </c>
      <c r="D6821" t="n">
        <v>4</v>
      </c>
      <c r="E6821" t="n">
        <v>5</v>
      </c>
      <c r="F6821">
        <f>HYPERLINK("https://www.reddit.com/r/diabetes/comments/bvvunl/blood_sugar_spike_help/")</f>
        <v/>
      </c>
      <c r="G6821" t="inlineStr">
        <is>
          <t>2019-06-02 02:58:34</t>
        </is>
      </c>
      <c r="H6821" t="inlineStr">
        <is>
          <t>Type 2</t>
        </is>
      </c>
    </row>
    <row r="6822">
      <c r="A6822" t="inlineStr">
        <is>
          <t>bvz5mm</t>
        </is>
      </c>
      <c r="B6822" t="inlineStr">
        <is>
          <t>Traveling to the US</t>
        </is>
      </c>
      <c r="C6822" t="inlineStr">
        <is>
          <t>Hey fellow diabetics.
I am considering visiting the U.S., more specifically New York. Having read a lot of stories from people who had awful experiences with airport security I am somewhat frightened of my insulin pump being taken away or damaged. Considering the prices for medical supplies in the U.S. that could potentially result in a dangerous situation as you know. Safety is an important concern of mine when it comes to managing my diabetes. What are your experiences and opinions on that matter. Do I worry too much?</t>
        </is>
      </c>
      <c r="D6822" t="n">
        <v>5</v>
      </c>
      <c r="E6822" t="n">
        <v>15</v>
      </c>
      <c r="F6822">
        <f>HYPERLINK("https://www.reddit.com/r/diabetes/comments/bvz5mm/traveling_to_the_us/")</f>
        <v/>
      </c>
      <c r="G6822" t="inlineStr">
        <is>
          <t>2019-06-02 09:27:41</t>
        </is>
      </c>
      <c r="H6822" t="inlineStr">
        <is>
          <t>Type 1</t>
        </is>
      </c>
    </row>
    <row r="6823">
      <c r="A6823" t="inlineStr">
        <is>
          <t>bw1fxl</t>
        </is>
      </c>
      <c r="B6823" t="inlineStr">
        <is>
          <t>UPDATE: Type 1 Diabetic here, was experiencing STD/HIV like symptoms earlier in the year when my blood sugars were out of whack... Hope this post is helpful for anyone currently experiencing these symptoms.</t>
        </is>
      </c>
      <c r="C6823" t="inlineStr">
        <is>
          <t>Hi All,
I just wanted to post an update in regard to the STD/HIV like symptoms I was experiencing late last year/early this year. 
I'm actually not sure if anyone is interested lol, but I just thought I'd post just in case anyone here may be experiencing what I was experiencing and thought this post might be helpful. 
I posted to this subreddit a while back because I was freaking out about how my body was acting up and got some really helpful responses.
**Here are the symptoms I was experiencing:**
Enlarged lymph nodes in my armpits
Face rash
Jock itch + itchy patch on back
Cold sores in my mouth on my gums
Severe white tongue 
Really bad red rashes on my face
Brain fog
Arthritis-like pain in my left wrist and elbow (shooting pain/hot sensation for prolonged periods of time). 
Chest pains, shoulder pains. 
&amp;amp;#x200B;
At the time I was experiencing these symptoms, I was really depressed and going through really hard times. I was unemployed and my bank account was plummeting, I was also dealing with some mental illness problems (still am, but not as severe), all this made it hard for me to manage my diabetes properly. I wasn't counting carbs, instead taking an "estimated" amount of insulin. This resulted in my blood sugar either plummeting, or my blood sugar skyrocketing. 
&amp;amp;#x200B;
My symptoms were so concerning I actually went to the urgent care facility and got my heart checked out via an xray and EKG, I also weeks later went to the health clinic to get tested for HIV/STDs. They tested me multiple ways and when ALL the tests came back, I was cleared of everything. This was still confusing because even though my heart tests came back normal and my STDs/HIV tests all came back negative, I was still experiencing symptoms.
&amp;amp;#x200B;
Anyway, I recently got a new job and happened upon a carb counting app that helps me count carbs for foods, and so I've been much much more responsible about how I take my insulin. I've also been less stressed out.
I've noticed much of these symptoms have gone away &amp;amp; only come back when I am either experiencing a high blood sugar or a low blood sugar. 
I've yet to see my main doctor so I'm not 100% sure if these are all connected, but it seems like it is considering my symptoms only intensify when my blood sugars are all out of whack. 
Just thought I'd post this because I know on my previous posts people were commenting about how they were experiencing the same things too and never put 2 and 2 together. 
That being said, if you are sexually active or are experiencing chest/heart pains it is important to go the clinic/doctor first and get those ruled out. It was scary for me to go to the clinic at first because I was afraid of what the results would be, but once I did and got cleared it made me feel so much better. Even though there is a chance your symptoms are due to your diabetes, there's also a chance it could be something else.
Anyway, I hope this post was helpful. Thanks so much for all the support these past few months!</t>
        </is>
      </c>
      <c r="D6823" t="n">
        <v>1</v>
      </c>
      <c r="E6823" t="n">
        <v>0</v>
      </c>
      <c r="F6823">
        <f>HYPERLINK("https://www.reddit.com/r/diabetes/comments/bw1fxl/update_type_1_diabetic_here_was_experiencing/")</f>
        <v/>
      </c>
      <c r="G6823" t="inlineStr">
        <is>
          <t>2019-06-02 12:50:41</t>
        </is>
      </c>
      <c r="H6823" t="inlineStr">
        <is>
          <t>Type 1</t>
        </is>
      </c>
    </row>
    <row r="6824">
      <c r="A6824" t="inlineStr">
        <is>
          <t>bw56c5</t>
        </is>
      </c>
      <c r="B6824" t="inlineStr">
        <is>
          <t>sudden insulin resistance</t>
        </is>
      </c>
      <c r="C6824" t="inlineStr">
        <is>
          <t>hi so I'm about 10 months diagnosed with type 1 (I'm 23) and I've always been pretty insulin resistant to begin with (my ratio is about 1:5 all the time) but within the last 2 months I have not been able to keep my blood sugars under control. from watching my g6 I know that it's a problem with my basal level but what I'm mostly concerned about is that I seem to need to raise my basal level about once a week now. Amounts of insulin that before would have worked fine or been way too much, do nothing to me. My lifestyle hasn't changed and I eat less than 110 carbs every day. I'm not really sure what could be causing it, and I'm wondering if it could be something to do with my thyroid (my levels at diagnosis were fine but they haven't been checked since). I also have noticed myself being more moody/depressed/angry and having less energy. I'm just frustrated and tired. has anyone had something like this happen to them?</t>
        </is>
      </c>
      <c r="D6824" t="n">
        <v>3</v>
      </c>
      <c r="E6824" t="n">
        <v>4</v>
      </c>
      <c r="F6824">
        <f>HYPERLINK("https://www.reddit.com/r/diabetes/comments/bw56c5/sudden_insulin_resistance/")</f>
        <v/>
      </c>
      <c r="G6824" t="inlineStr">
        <is>
          <t>2019-06-02 18:53:05</t>
        </is>
      </c>
      <c r="H6824" t="inlineStr">
        <is>
          <t>Type 1</t>
        </is>
      </c>
    </row>
    <row r="6825">
      <c r="A6825" t="inlineStr">
        <is>
          <t>bw8inf</t>
        </is>
      </c>
      <c r="B6825" t="inlineStr">
        <is>
          <t>Advice wanted from UK Pumpers please!</t>
        </is>
      </c>
      <c r="C6825" t="inlineStr">
        <is>
          <t>Once I'm not pregnant anymore I'm thinking about possibly going back to a pump, it'll be a big decision that includes my mental health as well as whether I can even manage such a big change with a newborn, and I'll have to speak to my consutant (I'm under a completely different consultant during pregnancy and will be seeing my permenant/actual consultant a few weeks post birth). 
BUT I just want to research now (I'm 31 weeks so only 6 weeks or so til delivery) but I don't know which pumps are available on the NHS that I can look in to? Also I got my first pump when I was 15 or so so it's been years and years, if anyone who has recently got a pump through the NHS could let me know what the process of getting one is like that would be amazing.
I currently use the libre CGM too. 
&amp;amp;#x200B;
TIA!</t>
        </is>
      </c>
      <c r="D6825" t="n">
        <v>3</v>
      </c>
      <c r="E6825" t="n">
        <v>3</v>
      </c>
      <c r="F6825">
        <f>HYPERLINK("https://www.reddit.com/r/diabetes/comments/bw8inf/advice_wanted_from_uk_pumpers_please/")</f>
        <v/>
      </c>
      <c r="G6825" t="inlineStr">
        <is>
          <t>2019-06-03 02:01:01</t>
        </is>
      </c>
      <c r="H6825" t="inlineStr">
        <is>
          <t>Type 1</t>
        </is>
      </c>
    </row>
    <row r="6826">
      <c r="A6826" t="inlineStr">
        <is>
          <t>bwczvz</t>
        </is>
      </c>
      <c r="B6826" t="inlineStr">
        <is>
          <t>Numbness</t>
        </is>
      </c>
      <c r="C6826" t="inlineStr">
        <is>
          <t>So both my parents are diabetic now and often I notice they complain about numbness. My dad told me he leg was number for a few hours this past weekend.
My mother complains that her hands go numb. Her hands are often cold to the touch. Is there anything to this and does any one have any advice on what to do or say?
Thank you in advance</t>
        </is>
      </c>
      <c r="D6826" t="n">
        <v>2</v>
      </c>
      <c r="E6826" t="n">
        <v>8</v>
      </c>
      <c r="F6826">
        <f>HYPERLINK("https://www.reddit.com/r/diabetes/comments/bwczvz/numbness/")</f>
        <v/>
      </c>
      <c r="G6826" t="inlineStr">
        <is>
          <t>2019-06-03 09:57:10</t>
        </is>
      </c>
      <c r="H6826" t="inlineStr">
        <is>
          <t>Type 2</t>
        </is>
      </c>
    </row>
    <row r="6827">
      <c r="A6827" t="inlineStr">
        <is>
          <t>bwf8ys</t>
        </is>
      </c>
      <c r="B6827" t="inlineStr">
        <is>
          <t>I barely eat and im constantly bloated!</t>
        </is>
      </c>
      <c r="C6827" t="inlineStr">
        <is>
          <t>Holy crap this is annoying. It never ends. Constantly bloated to the point that my back hurts sometimes lol. The only thing i can find on this is gastroparesis. Im not so sure that is the case here.
I am recently diagnosed type 1 (about 5 months ago) and deal with constant bloating. After every meal my stomach just puffs up its so uncomfortable. I dont ever feel nauseous or vomit. Just big. Im not overweight either and i dont eat huge meals. 195 lbs at 6'2. Been trying to eat low fat but that doesnt seem to be helping much. i dont really know what to do here. I dont exactly eat clean. I eat what i want most of the time, but i try to stay within my means and never really go overboard. And ive been staying away from fried food. Can anyone give some advice on maybe a certain diet i should look into or some foods to definitely avoid? This is getting ridiculous.</t>
        </is>
      </c>
      <c r="D6827" t="n">
        <v>2</v>
      </c>
      <c r="E6827" t="n">
        <v>11</v>
      </c>
      <c r="F6827">
        <f>HYPERLINK("https://www.reddit.com/r/diabetes/comments/bwf8ys/i_barely_eat_and_im_constantly_bloated/")</f>
        <v/>
      </c>
      <c r="G6827" t="inlineStr">
        <is>
          <t>2019-06-03 13:01:59</t>
        </is>
      </c>
      <c r="H6827" t="inlineStr">
        <is>
          <t>Type 1</t>
        </is>
      </c>
    </row>
    <row r="6828">
      <c r="A6828" t="inlineStr">
        <is>
          <t>bwieer</t>
        </is>
      </c>
      <c r="B6828" t="inlineStr">
        <is>
          <t>WTF</t>
        </is>
      </c>
      <c r="C6828" t="inlineStr">
        <is>
          <t>Ok...so exercise is supposed to help keep your glucose down, yeah? That's why doctors keep drilling diet and exercise into your head...at least for T2-ers. So..pray tell....does my sugar....GO UP UP AND AWAY AFTER EXERCISING?!?!?!?!?!
It's not even a rise and then fall. Literally, I will have to take my meds just to get it to come down. Doin' me a heckin' bamboozle!</t>
        </is>
      </c>
      <c r="D6828" t="n">
        <v>8</v>
      </c>
      <c r="E6828" t="n">
        <v>13</v>
      </c>
      <c r="F6828">
        <f>HYPERLINK("https://www.reddit.com/r/diabetes/comments/bwieer/wtf/")</f>
        <v/>
      </c>
      <c r="G6828" t="inlineStr">
        <is>
          <t>2019-06-03 17:44:58</t>
        </is>
      </c>
      <c r="H6828" t="inlineStr">
        <is>
          <t>Type 2</t>
        </is>
      </c>
    </row>
    <row r="6829">
      <c r="A6829" t="inlineStr">
        <is>
          <t>bwij0y</t>
        </is>
      </c>
      <c r="B6829" t="inlineStr">
        <is>
          <t>Wellness programs: are they worth it?</t>
        </is>
      </c>
      <c r="C6829" t="inlineStr">
        <is>
          <t>Has anyone here gone to a wellness program to treat their T2 or prediabetes? Did it help? Drawbacks?</t>
        </is>
      </c>
      <c r="D6829" t="n">
        <v>2</v>
      </c>
      <c r="E6829" t="n">
        <v>2</v>
      </c>
      <c r="F6829">
        <f>HYPERLINK("https://www.reddit.com/r/diabetes/comments/bwij0y/wellness_programs_are_they_worth_it/")</f>
        <v/>
      </c>
      <c r="G6829" t="inlineStr">
        <is>
          <t>2019-06-03 17:57:49</t>
        </is>
      </c>
      <c r="H6829" t="inlineStr">
        <is>
          <t>Type 2</t>
        </is>
      </c>
    </row>
    <row r="6830">
      <c r="A6830" t="inlineStr">
        <is>
          <t>bwk9wb</t>
        </is>
      </c>
      <c r="B6830" t="inlineStr">
        <is>
          <t>WHY IS NOTHING WORKING???!!!😲😥</t>
        </is>
      </c>
      <c r="C6830" t="inlineStr">
        <is>
          <t xml:space="preserve"> Sticking to a good diet and exercising, but still not seeing results after a year of diligent change in habits. Anyone else dealing with something similar?</t>
        </is>
      </c>
      <c r="D6830" t="n">
        <v>7</v>
      </c>
      <c r="E6830" t="n">
        <v>15</v>
      </c>
      <c r="F6830">
        <f>HYPERLINK("https://www.reddit.com/r/diabetes/comments/bwk9wb/why_is_nothing_working/")</f>
        <v/>
      </c>
      <c r="G6830" t="inlineStr">
        <is>
          <t>2019-06-03 20:56:10</t>
        </is>
      </c>
      <c r="H6830" t="inlineStr">
        <is>
          <t>Type 2</t>
        </is>
      </c>
    </row>
    <row r="6831">
      <c r="A6831" t="inlineStr">
        <is>
          <t>bwnqie</t>
        </is>
      </c>
      <c r="B6831" t="inlineStr">
        <is>
          <t>My greatest victory in the battle with diabetes!</t>
        </is>
      </c>
      <c r="C6831" t="inlineStr">
        <is>
          <t>After 90 days of 1200 calorie dieting, meal tracking, and exercising daily, I've lowered my a1c from 9.6 to 7.0!!!  This is the lowest reading my doctor has on file in the ten years I've been seeing her.   I was elated, Doc was impressed, wife was relieved.  Yesterday was a fantastic day.  Just wanted to share my success with the community that has provided amazing support and information.</t>
        </is>
      </c>
      <c r="D6831" t="n">
        <v>228</v>
      </c>
      <c r="E6831" t="n">
        <v>35</v>
      </c>
      <c r="F6831">
        <f>HYPERLINK("https://www.reddit.com/r/diabetes/comments/bwnqie/my_greatest_victory_in_the_battle_with_diabetes/")</f>
        <v/>
      </c>
      <c r="G6831" t="inlineStr">
        <is>
          <t>2019-06-04 04:43:43</t>
        </is>
      </c>
      <c r="H6831" t="inlineStr">
        <is>
          <t>Type 1</t>
        </is>
      </c>
    </row>
    <row r="6832">
      <c r="A6832" t="inlineStr">
        <is>
          <t>bwojvc</t>
        </is>
      </c>
      <c r="B6832" t="inlineStr">
        <is>
          <t>New to T1 Diabetes, and am struggling. When do I get a handle on this?</t>
        </is>
      </c>
      <c r="C6832" t="inlineStr">
        <is>
          <t>Hello, first post (would much prefer to be a lurker on Reddit but diabetes happened). 
am 34 male, diagnosed with type 1 at Easter after being rushed to the hospital with "tiredness". I've grown up with Diabetes in my family as my sister was diagnosed when I was 4 and  I thought the adjustment to me having it would be better. I'm fine with the practical side, the injections and the finger pricks etc, though my sweet tooth needs to be curbed quickly!
I'm just struggling with how this affects me mentally. I am in a high stressed job, and since Easter, the stress has been really tough to deal with. Are stress and worry made worse by diabetes? should I be physically sick, have tremendous headaches and be visibly shaking? Is this down to diabetes? Before i could do anything that was required without any of these symptoms, but now I'm struggling. Any tips on how to deal with nerves and stress now would be appreciated.
Whilst lurking on this subreddit since Easter, it been really helpful and eye-opening to see how supportive everyone is. This makes me feel I am not alone in this fight.</t>
        </is>
      </c>
      <c r="D6832" t="n">
        <v>10</v>
      </c>
      <c r="E6832" t="n">
        <v>7</v>
      </c>
      <c r="F6832">
        <f>HYPERLINK("https://www.reddit.com/r/diabetes/comments/bwojvc/new_to_t1_diabetes_and_am_struggling_when_do_i/")</f>
        <v/>
      </c>
      <c r="G6832" t="inlineStr">
        <is>
          <t>2019-06-04 06:13:39</t>
        </is>
      </c>
      <c r="H6832" t="inlineStr">
        <is>
          <t>Type 1</t>
        </is>
      </c>
    </row>
    <row r="6833">
      <c r="A6833" t="inlineStr">
        <is>
          <t>bws54z</t>
        </is>
      </c>
      <c r="B6833" t="inlineStr">
        <is>
          <t>Why is my blood sugar high ALL day, EVERY day?</t>
        </is>
      </c>
      <c r="C6833" t="inlineStr">
        <is>
          <t>Foreword: I'm not asking to be judged for my mismanagement. I know I was an idiot and that ignoring my condition was playing with fire. I'm well aware. Looking for constructive advice and help.
I'm in a constant state of hyperglycemia.
So I was diagnosed with Type 2 diabetes when I was 12 years old. Currently 30. I've never been on insulin. Just diet, exercise, and, for a number of years, medication (Metformin mostly, but also Glimepiride for a time). In my teens, I had a good handle on it for the most part. My sugar levels ranged from 80-120 fasting and generally never went higher than 160 after a meal.
But then I left for college and I fell off the bandwagon. I virtually ignored my condition for years. I avoided sodas and candy and such (foods that are obviously horrendous), but didn't give much thought otherwise to what I was eating or in what quantities. I wasn't monitoring my sugar levels. I also lost my health insurance for a bit and failed to refill my prescriptions.
This year, however, was extremely stressful on a personal level. It culminated in a trip to the E.R. at the end of March after I spent a lethargic three days in bed. I was diagnosed with diabetic ketoacidosis and spent the night getting insulin treatment. They gave me a prescription for Metformin (500 mg twice daily) and I bought a new monitor.
I left with a renewed interest in my health. I knew I had to change. I've been taking my medicine, checking my sugar, eating a low carb diet, and exercising (usually 3 mile runs three times a week, plus long walks on off days).
Despite this, my resting sugar levels in the morning are approximately 240. After a meal, even a low carb one, I'm looking at close to 300.
My question is, what more can I do to get these numbers down faster? They're creeping down, but ever so slowly. I've just read about intermittent fasting and am testing out a 16/8 schedule, but haven't been doing it long enough to notice if there are positive results. Has anyone else been out of control like this? What did you do and how long did it take to see significant change?</t>
        </is>
      </c>
      <c r="D6833" t="n">
        <v>1</v>
      </c>
      <c r="E6833" t="n">
        <v>19</v>
      </c>
      <c r="F6833">
        <f>HYPERLINK("https://www.reddit.com/r/diabetes/comments/bws54z/why_is_my_blood_sugar_high_all_day_every_day/")</f>
        <v/>
      </c>
      <c r="G6833" t="inlineStr">
        <is>
          <t>2019-06-04 11:27:51</t>
        </is>
      </c>
      <c r="H6833" t="inlineStr">
        <is>
          <t>Type 2</t>
        </is>
      </c>
    </row>
    <row r="6834">
      <c r="A6834" t="inlineStr">
        <is>
          <t>bwthdg</t>
        </is>
      </c>
      <c r="B6834" t="inlineStr">
        <is>
          <t>Diabetic retinopathy</t>
        </is>
      </c>
      <c r="C6834" t="inlineStr">
        <is>
          <t>I've been going to the eye doctor once a year for Retina check. Since 2017, the doctor asked me to come twice a year due to the concern of "spots" in the back of my eyes. My A1C has been improved since then. I used to be in the 9 - 10 ranges and in the past 3 years I'm 7 - 8
Today, I started noticing little dots that randomly appear when I read text. I'm scared.
&amp;amp;#x200B;
How are your eyes right now? Were you close to retinopathy at any point in your life?</t>
        </is>
      </c>
      <c r="D6834" t="n">
        <v>8</v>
      </c>
      <c r="E6834" t="n">
        <v>25</v>
      </c>
      <c r="F6834">
        <f>HYPERLINK("https://www.reddit.com/r/diabetes/comments/bwthdg/diabetic_retinopathy/")</f>
        <v/>
      </c>
      <c r="G6834" t="inlineStr">
        <is>
          <t>2019-06-04 13:15:50</t>
        </is>
      </c>
      <c r="H6834" t="inlineStr">
        <is>
          <t>Type 1</t>
        </is>
      </c>
    </row>
    <row r="6835">
      <c r="A6835" t="inlineStr">
        <is>
          <t>bwtxti</t>
        </is>
      </c>
      <c r="B6835" t="inlineStr">
        <is>
          <t>Food recommendations</t>
        </is>
      </c>
      <c r="C6835" t="inlineStr">
        <is>
          <t>I just got diagnosed with Type 2, is there a good guide to which foods are good and which ones to avoid?</t>
        </is>
      </c>
      <c r="D6835" t="n">
        <v>1</v>
      </c>
      <c r="E6835" t="n">
        <v>5</v>
      </c>
      <c r="F6835">
        <f>HYPERLINK("https://www.reddit.com/r/diabetes/comments/bwtxti/food_recommendations/")</f>
        <v/>
      </c>
      <c r="G6835" t="inlineStr">
        <is>
          <t>2019-06-04 13:54:12</t>
        </is>
      </c>
      <c r="H6835" t="inlineStr">
        <is>
          <t>Type 2</t>
        </is>
      </c>
    </row>
    <row r="6836">
      <c r="A6836" t="inlineStr">
        <is>
          <t>bwvsd0</t>
        </is>
      </c>
      <c r="B6836" t="inlineStr">
        <is>
          <t>Freestyle Libre - I can't be in denial anymore</t>
        </is>
      </c>
      <c r="C6836" t="inlineStr">
        <is>
          <t>Hi there! I have been just on the edge of T2 - probably low level at this point for years and years. Fasting glucose at 99 and AIc in the normal range. I'm not great with all of the terms so forgive me if I get something wrong. I have a finger stick monitor but as long as I ate correctly my numbers were always in range so I hardly ever tested. I do know if I eat something like pasta my numbers jump really high though but I don't have insulin so my (stupid) thought is why bother I know it's high and to just eat better. My doc put me on metformin as a preventative. I still couldn't be bothered to stick (denial I guess) so I really don't know the exact state of where I am and my last fasting number was 106. I decided I couldn't completely ignore it anymore by just trying to eat right.
So today I stuck on my first freestlyle libre 14 day sensor. I'm a bit terrified to have concrete numbers that may conflict with my denial.  Wish me luck.</t>
        </is>
      </c>
      <c r="D6836" t="n">
        <v>1</v>
      </c>
      <c r="E6836" t="n">
        <v>6</v>
      </c>
      <c r="F6836">
        <f>HYPERLINK("https://www.reddit.com/r/diabetes/comments/bwvsd0/freestyle_libre_i_cant_be_in_denial_anymore/")</f>
        <v/>
      </c>
      <c r="G6836" t="inlineStr">
        <is>
          <t>2019-06-04 16:37:54</t>
        </is>
      </c>
      <c r="H6836" t="inlineStr">
        <is>
          <t>Type 2</t>
        </is>
      </c>
    </row>
    <row r="6837">
      <c r="A6837" t="inlineStr">
        <is>
          <t>bwye6a</t>
        </is>
      </c>
      <c r="B6837" t="inlineStr">
        <is>
          <t>What happens to insulin that is injected in a regular/slightly hardened injection site? I did this a couple of hours ago, took fast acting insulin for a meal, felt uneasy two hours later and realized my blood sugar was still 300+? More detail in post.</t>
        </is>
      </c>
      <c r="C6837" t="inlineStr">
        <is>
          <t>Sorry if the title of this post is weird, I tried as best as I could to give a brief description of what I was experiencing but it ended up sounding really awkward... 
&amp;amp;#x200B;
Anyway, for the past week I've been noticing a lot of times when I take fast acting insulin for a meal (even when I am counting carbs) and taking the precise amount of insulin for both my blood sugar and how many carbs I'm eating, I am still ending up with an extremely high (usually 300+) blood sugar. 
It's been bringing me down a lot because high blood sugars affect my body really badly and make me feel seriously ill. 
This is what happened to me just a couple of hours ago...
Before I ate my meal I checked my blood sugar and counted my carbs and took the right amount of insulin, a couple of hours go by since my meal &amp;amp; insulin injection and I notice I'm feeling really uneasy. I didn't even think it could be my blood sugar because I knew I took enough insulin for my meal, started to think I was getting sick, but then decided to check my bs just for the hell of it and to my surprise my bs was 300+? 
So I looked online to see why my insulin wasn't working properly and the first page that I clicked on explains how if you inject in a hardened area the insulin may not work. By hardened area I guess I mean a favorite injection site that is now no longer soft, I'm sure we've all been there, at least t1 diabetics. 
I feel silly asking this question because I've had diabetes for a very long time. I knew injecting in an area repeatedly  can cause it to stiffen up, but I had no idea this stops the insulin from working? Is this true? I'm about 99% I may be getting that wrong. 
So when I finally realized what the problem was I started to wonder, if I correct my hbs now will it stack onto the insulin that I took earlier? Or does the previous dosage not count anymore because of where I injected it? 
Sorry if this was worded awkwardly. Thanks to anyone who provides advice/an answer!</t>
        </is>
      </c>
      <c r="D6837" t="n">
        <v>2</v>
      </c>
      <c r="E6837" t="n">
        <v>3</v>
      </c>
      <c r="F6837">
        <f>HYPERLINK("https://www.reddit.com/r/diabetes/comments/bwye6a/what_happens_to_insulin_that_is_injected_in_a/")</f>
        <v/>
      </c>
      <c r="G6837" t="inlineStr">
        <is>
          <t>2019-06-04 21:12:32</t>
        </is>
      </c>
      <c r="H6837" t="inlineStr">
        <is>
          <t>Type 1</t>
        </is>
      </c>
    </row>
    <row r="6838">
      <c r="A6838" t="inlineStr">
        <is>
          <t>bx2jcv</t>
        </is>
      </c>
      <c r="B6838" t="inlineStr">
        <is>
          <t>How Could Blood Sugar Change So Much?!</t>
        </is>
      </c>
      <c r="C6838" t="inlineStr">
        <is>
          <t>I was recently diagnosed with type 2 diabetes, so I'm still trying to figure all this out.  I have a sugar meter and when I took my blood sugar last night, it was at 99.  When I woke up this morning, after not eating or drinking anything during that fasting period, my blood sugar had somehow jumped up to 125.  Is it common for blood sugar to rise after not eating anything?  I would have thought it would be the opposite.</t>
        </is>
      </c>
      <c r="D6838" t="n">
        <v>2</v>
      </c>
      <c r="E6838" t="n">
        <v>5</v>
      </c>
      <c r="F6838">
        <f>HYPERLINK("https://www.reddit.com/r/diabetes/comments/bx2jcv/how_could_blood_sugar_change_so_much/")</f>
        <v/>
      </c>
      <c r="G6838" t="inlineStr">
        <is>
          <t>2019-06-05 06:26:29</t>
        </is>
      </c>
      <c r="H6838" t="inlineStr">
        <is>
          <t>Type 2</t>
        </is>
      </c>
    </row>
    <row r="6839">
      <c r="A6839" t="inlineStr">
        <is>
          <t>bx3rp3</t>
        </is>
      </c>
      <c r="B6839" t="inlineStr">
        <is>
          <t>670g pump users</t>
        </is>
      </c>
      <c r="C6839" t="inlineStr">
        <is>
          <t>Hi fellow type 1’s. I have been a type one for almost 30 years. 
I have been on a Medtronic pump since 2002. 
I just started the 670g and I am having so many issues with it. 
My issues are at bed time I am now running a temp basal as it will go low during the night. Seemed to help but sugars are anywhere from 7.8.-11.0 night. 
Then when I wake up and switch back
To regular use all of sudden my bs go to 13.0 and won’t come down for hours. Then when it final comes down I end up going low. I just can’t win. 
Been on the pump for 3 weeks now. And I hate it. 
Any suggestions?
My active insulin had been changed to 5 hours.</t>
        </is>
      </c>
      <c r="D6839" t="n">
        <v>2</v>
      </c>
      <c r="E6839" t="n">
        <v>8</v>
      </c>
      <c r="F6839">
        <f>HYPERLINK("https://www.reddit.com/r/diabetes/comments/bx3rp3/670g_pump_users/")</f>
        <v/>
      </c>
      <c r="G6839" t="inlineStr">
        <is>
          <t>2019-06-05 08:20:22</t>
        </is>
      </c>
      <c r="H6839" t="inlineStr">
        <is>
          <t>Type 1</t>
        </is>
      </c>
    </row>
    <row r="6840">
      <c r="A6840" t="inlineStr">
        <is>
          <t>bx45iy</t>
        </is>
      </c>
      <c r="B6840" t="inlineStr">
        <is>
          <t>I dropped an insulin vial and it cracked</t>
        </is>
      </c>
      <c r="C6840" t="inlineStr">
        <is>
          <t>Is it still ok to inject? It didn’t spill</t>
        </is>
      </c>
      <c r="D6840" t="n">
        <v>4</v>
      </c>
      <c r="E6840" t="n">
        <v>6</v>
      </c>
      <c r="F6840">
        <f>HYPERLINK("https://www.reddit.com/r/diabetes/comments/bx45iy/i_dropped_an_insulin_vial_and_it_cracked/")</f>
        <v/>
      </c>
      <c r="G6840" t="inlineStr">
        <is>
          <t>2019-06-05 08:53:53</t>
        </is>
      </c>
      <c r="H6840" t="inlineStr">
        <is>
          <t>Type 1</t>
        </is>
      </c>
    </row>
    <row r="6841">
      <c r="A6841" t="inlineStr">
        <is>
          <t>bx5wa7</t>
        </is>
      </c>
      <c r="B6841" t="inlineStr">
        <is>
          <t>The price of being a type 1 diabetic?</t>
        </is>
      </c>
      <c r="C6841" t="inlineStr">
        <is>
          <t>I live in the UK and get all my diabetes stuff for free. I was wondering how much it costs to be type 1 in other parts of the world. e.g Spain,France,USA</t>
        </is>
      </c>
      <c r="D6841" t="n">
        <v>7</v>
      </c>
      <c r="E6841" t="n">
        <v>24</v>
      </c>
      <c r="F6841">
        <f>HYPERLINK("https://www.reddit.com/r/diabetes/comments/bx5wa7/the_price_of_being_a_type_1_diabetic/")</f>
        <v/>
      </c>
      <c r="G6841" t="inlineStr">
        <is>
          <t>2019-06-05 11:18:42</t>
        </is>
      </c>
      <c r="H6841" t="inlineStr">
        <is>
          <t>Type 1</t>
        </is>
      </c>
    </row>
    <row r="6842">
      <c r="A6842" t="inlineStr">
        <is>
          <t>bxd1bg</t>
        </is>
      </c>
      <c r="B6842" t="inlineStr">
        <is>
          <t>Keto and Type 1</t>
        </is>
      </c>
      <c r="C6842" t="inlineStr">
        <is>
          <t>How do type 1s actually get into Keto? 
I have spent months lowering my insulin intake by small increments and following patterns to confirm and I’m still going low ALL the time. Then once I’m low, I have to eat some form of carb and that happens so often that I’m eating more carbs than I want to. I’ve even tried suspending my pump but that only works to a certain extent. 
Yes, my insulin and carb intake is decreasing but...
How do people just jump in and have success? I just want to loose weight and feel beautiful.  
Post fueled by a late night low 😢</t>
        </is>
      </c>
      <c r="D6842" t="n">
        <v>1</v>
      </c>
      <c r="E6842" t="n">
        <v>5</v>
      </c>
      <c r="F6842">
        <f>HYPERLINK("https://www.reddit.com/r/diabetes/comments/bxd1bg/keto_and_type_1/")</f>
        <v/>
      </c>
      <c r="G6842" t="inlineStr">
        <is>
          <t>2019-06-05 22:40:30</t>
        </is>
      </c>
      <c r="H6842" t="inlineStr">
        <is>
          <t>Type 1</t>
        </is>
      </c>
    </row>
    <row r="6843">
      <c r="A6843" t="inlineStr">
        <is>
          <t>bxfr2z</t>
        </is>
      </c>
      <c r="B6843" t="inlineStr">
        <is>
          <t>Amazing couple doing an amazing thing for us T1D parents</t>
        </is>
      </c>
      <c r="C6843" t="inlineStr">
        <is>
          <t>I had the privileged to  meet this couple and hear their story. I think this course and app will help parents to have a life again. wish I had this when we got diagnosed.
&amp;amp;#x200B;
Please help them and share this</t>
        </is>
      </c>
      <c r="D6843" t="n">
        <v>0</v>
      </c>
      <c r="E6843" t="n">
        <v>2</v>
      </c>
      <c r="F6843">
        <f>HYPERLINK("https://www.reddit.com/r/diabetes/comments/bxfr2z/amazing_couple_doing_an_amazing_thing_for_us_t1d/")</f>
        <v/>
      </c>
      <c r="G6843" t="inlineStr">
        <is>
          <t>2019-06-06 04:43:09</t>
        </is>
      </c>
      <c r="H6843" t="inlineStr">
        <is>
          <t>Type 1</t>
        </is>
      </c>
    </row>
    <row r="6844">
      <c r="A6844" t="inlineStr">
        <is>
          <t>bxg3q9</t>
        </is>
      </c>
      <c r="B6844" t="inlineStr">
        <is>
          <t>Continuous Glucose Monitoring</t>
        </is>
      </c>
      <c r="C6844" t="inlineStr">
        <is>
          <t>Hello
&amp;amp;#x200B;
Recently my endocrinologist recommended a CGM for me to use to help with my diabetes. She has told me that most type 1's have moved away from the regular meter monitoring in favor for this.
&amp;amp;#x200B;
I feel terrible to ask this, as I know she knows better about these things than me, but is this the case? should I invest in one? I think deep down the only reason I ask is they seem detached from helping me with my issues with diabetes. Not looking at my readings for example or really listening to me in conversation. 
&amp;amp;#x200B;
Should I go ahead and get one sent to me?</t>
        </is>
      </c>
      <c r="D6844" t="n">
        <v>3</v>
      </c>
      <c r="E6844" t="n">
        <v>19</v>
      </c>
      <c r="F6844">
        <f>HYPERLINK("https://www.reddit.com/r/diabetes/comments/bxg3q9/continuous_glucose_monitoring/")</f>
        <v/>
      </c>
      <c r="G6844" t="inlineStr">
        <is>
          <t>2019-06-06 05:22:51</t>
        </is>
      </c>
      <c r="H6844" t="inlineStr">
        <is>
          <t>Type 1</t>
        </is>
      </c>
    </row>
    <row r="6845">
      <c r="A6845" t="inlineStr">
        <is>
          <t>bxhxy1</t>
        </is>
      </c>
      <c r="B6845" t="inlineStr">
        <is>
          <t>My first AC1 test since being diagnosed and....</t>
        </is>
      </c>
      <c r="C6845" t="inlineStr">
        <is>
          <t>Three months ago, I was diagnosed Type 2 (10.3 AC1 and 346 BG) with 1450 Triglycerides and high cholesterol; my Dr. put me on Metformin and advised that I exercise, lose weight, and do a very low carb diet. 
Just had my first blood work since then, and my **AC1 is 5.0**! My triglycerides were down to 130 and even my cholesterol was good. I am ecstatic. I've also lost 37 pounds altogether (some of that I lost before diagnosis) and feel healthier then I have in years. I'm eating healthy and exercising daily now. I wouldn't ever say that I'm glad that I have diabetes, but I do feel like it was a wake up call to get my act together.</t>
        </is>
      </c>
      <c r="D6845" t="n">
        <v>21</v>
      </c>
      <c r="E6845" t="n">
        <v>15</v>
      </c>
      <c r="F6845">
        <f>HYPERLINK("https://www.reddit.com/r/diabetes/comments/bxhxy1/my_first_ac1_test_since_being_diagnosed_and/")</f>
        <v/>
      </c>
      <c r="G6845" t="inlineStr">
        <is>
          <t>2019-06-06 08:20:48</t>
        </is>
      </c>
      <c r="H6845" t="inlineStr">
        <is>
          <t>Type 2</t>
        </is>
      </c>
    </row>
    <row r="6846">
      <c r="A6846" t="inlineStr">
        <is>
          <t>bxi87g</t>
        </is>
      </c>
      <c r="B6846" t="inlineStr">
        <is>
          <t>A1C Down!</t>
        </is>
      </c>
      <c r="C6846" t="inlineStr">
        <is>
          <t>So after a lot of hard work, a lot of complications related to Diabetes my HBA1C is the best it has been for a very long time. Back in November 2018 I was 90mmol (10.9%) and today I was 62mmol (7.8%).
&amp;amp;#x200B;
I have been offered the Freestyle Libre on prescription in the UK due to self funding it since january and it reducing my A1C to what it is today. I am also being referred for an insulin pump in July with the aim to be assessed and get one by October. I am so unbelievably happy right now!!!!!!!</t>
        </is>
      </c>
      <c r="D6846" t="n">
        <v>8</v>
      </c>
      <c r="E6846" t="n">
        <v>3</v>
      </c>
      <c r="F6846">
        <f>HYPERLINK("https://www.reddit.com/r/diabetes/comments/bxi87g/a1c_down/")</f>
        <v/>
      </c>
      <c r="G6846" t="inlineStr">
        <is>
          <t>2019-06-06 08:45:31</t>
        </is>
      </c>
      <c r="H6846" t="inlineStr">
        <is>
          <t>Type 1</t>
        </is>
      </c>
    </row>
    <row r="6847">
      <c r="A6847" t="inlineStr">
        <is>
          <t>bxi97q</t>
        </is>
      </c>
      <c r="B6847" t="inlineStr">
        <is>
          <t>I inserted a glucose strip blood-side first into my meter. Did I break my meter?</t>
        </is>
      </c>
      <c r="C6847" t="inlineStr">
        <is>
          <t>Recently got diagnosed, totally new to all this.  
I bought a blood glucose meter with some strips and wanted to do a test.  
The instructions only said "insert test strip into meter"  
I tried to redo what my doctor told me, put blood on the good side of the strip and then put it in the meter. I put it in upside down, so with the blood end going into the machinery. The moment I put the strip in, I realised I had fucked up badly. It gave an error and I quickly pulled the strip out.  
I then redid it the right way and it worked, gave a normal glucose level :) I watched some videos to make sure I did it right this time.   
I wanted to do a new test today, and it keeps giving me the "blood not applied correctly or not enough blood applied on strip"-error. I redid it 4 times, with fresh strips every time, and I am 100% sure it was enough blood. (fully covering the test field). The error kept repeating itself. I fear that the blood from yesterday has dried up and has ruined the meter from the inside. Do I have to buy a new one?  
The model is Glucofix tech 2k.
I know this is probably really stupid but man diabetes is difficult..</t>
        </is>
      </c>
      <c r="D6847" t="n">
        <v>2</v>
      </c>
      <c r="E6847" t="n">
        <v>4</v>
      </c>
      <c r="F6847">
        <f>HYPERLINK("https://www.reddit.com/r/diabetes/comments/bxi97q/i_inserted_a_glucose_strip_bloodside_first_into/")</f>
        <v/>
      </c>
      <c r="G6847" t="inlineStr">
        <is>
          <t>2019-06-06 08:47:55</t>
        </is>
      </c>
      <c r="H6847" t="inlineStr">
        <is>
          <t>Type 2</t>
        </is>
      </c>
    </row>
    <row r="6848">
      <c r="A6848" t="inlineStr">
        <is>
          <t>bxjo5o</t>
        </is>
      </c>
      <c r="B6848" t="inlineStr">
        <is>
          <t>Diabetes riskgroup</t>
        </is>
      </c>
      <c r="C6848" t="inlineStr">
        <is>
          <t>Hello, I'm part of type 2 diabetes riskgroup with really high risk of diabetes. I'm going to bloodsugar level tests start of next month. But, why I'm here is that I'd really would like to ask few things.
1. When you get diagnosed with diabetes, how does it change your life?
2. How much does diabetes limit your life?</t>
        </is>
      </c>
      <c r="D6848" t="n">
        <v>1</v>
      </c>
      <c r="E6848" t="n">
        <v>4</v>
      </c>
      <c r="F6848">
        <f>HYPERLINK("https://www.reddit.com/r/diabetes/comments/bxjo5o/diabetes_riskgroup/")</f>
        <v/>
      </c>
      <c r="G6848" t="inlineStr">
        <is>
          <t>2019-06-06 10:47:40</t>
        </is>
      </c>
      <c r="H6848" t="inlineStr">
        <is>
          <t>Type 2</t>
        </is>
      </c>
    </row>
    <row r="6849">
      <c r="A6849" t="inlineStr">
        <is>
          <t>bxk2hl</t>
        </is>
      </c>
      <c r="B6849" t="inlineStr">
        <is>
          <t>Newly diagnosed, blurry vision on text/etc - especially screens</t>
        </is>
      </c>
      <c r="C6849" t="inlineStr">
        <is>
          <t>So I recently got diagnosed, an A1C of 12+, and my new doctor has me on Synjardy 1000mg, and another BP pill I can't currently remember the name of. Anyway, after starting up, the last week or so, my vision in relation to smaller text and sometimes just in general is horrendously blurry. (Looking at my phone can be a chore). I've heard people say it gets like this for the first 2-3 weeks, but I just was curious to get some confirmation about it. It's really unsettling since I have only one eye to use (the other is basically blind from birth), and I'm just hoping this gets better. How long is this process? I remember my doc saying she didn't want to do an eye appointment for about 6 months when we started the process. Sorry for any blurry typos.</t>
        </is>
      </c>
      <c r="D6849" t="n">
        <v>2</v>
      </c>
      <c r="E6849" t="n">
        <v>14</v>
      </c>
      <c r="F6849">
        <f>HYPERLINK("https://www.reddit.com/r/diabetes/comments/bxk2hl/newly_diagnosed_blurry_vision_on_textetc/")</f>
        <v/>
      </c>
      <c r="G6849" t="inlineStr">
        <is>
          <t>2019-06-06 11:21:26</t>
        </is>
      </c>
      <c r="H6849" t="inlineStr">
        <is>
          <t>Type 2</t>
        </is>
      </c>
    </row>
    <row r="6850">
      <c r="A6850" t="inlineStr">
        <is>
          <t>bxlm3c</t>
        </is>
      </c>
      <c r="B6850" t="inlineStr">
        <is>
          <t>Done</t>
        </is>
      </c>
      <c r="C6850" t="inlineStr">
        <is>
          <t>Before I begin, my apologies. I need to vent here, as you people are the only ones who (might) understand. If the mods find this inappropiate, I'm sorry.
After being wrongly diagnosed with T2 for over a year, I was diagnosed with T1 last year. It may be the heaviest thing to have happened to me. 
I'm done, I'm fed up. I feel like my diabetes has fucked up my life. My girlfriend broke up with me and it feels like it's because the mood changes that come with diabetes. For the most part of our relationship I didnt know I had diabetes. She must've thought that I'm the biggest asshole on earth. But I couldnt do anything against it. 
Thats not the only thing. Some years ago, I was in treatment for social anxiety. Back then, it helped me a lot and it went away. Now, with the T1, it seems like it's back again. I'm afraid to go to events that take long, 'cause I'm afraid of what my blood sugars are going to be like. So instead I sit at home, lonely and alone with my games and music, while friends and family are out doing great and fun stuff with eachother. 
One month after my diagnoses of T1, I got a new job in landscaping. A fairly physical intensive job. Nobody wants to make a bad impression the first few months. But my diabetes made me make that bad impression. They said "you're lazy" and stuff like that. I'm not f^#&amp;amp;÷ lazy, its the curse we call diabetes. So that went well. 
Fairly often I think by myself "is life really worth it anymore?". And I say "no it is not" every single time. And that makes me really sad, hopeless and maybe even depressed. 
I dont know if I can keep up with diabetes for the rest of my life. Stabbing my fingertips to the point they're numb, sticking that needle in my stomach multiple times a day and always thinking and worrying. I really dont know if I can do it.
 I cant really find words for it all as English is not my native language. But I did my best to write down how I'm feeling. If you're reading this, thanks for reading it all.</t>
        </is>
      </c>
      <c r="D6850" t="n">
        <v>10</v>
      </c>
      <c r="E6850" t="n">
        <v>13</v>
      </c>
      <c r="F6850">
        <f>HYPERLINK("https://www.reddit.com/r/diabetes/comments/bxlm3c/done/")</f>
        <v/>
      </c>
      <c r="G6850" t="inlineStr">
        <is>
          <t>2019-06-06 13:32:59</t>
        </is>
      </c>
      <c r="H6850" t="inlineStr">
        <is>
          <t>Type 1</t>
        </is>
      </c>
    </row>
    <row r="6851">
      <c r="A6851" t="inlineStr">
        <is>
          <t>bxnj0s</t>
        </is>
      </c>
      <c r="B6851" t="inlineStr">
        <is>
          <t>What are people's dawn phenomenon tricks/advice?</t>
        </is>
      </c>
      <c r="C6851" t="inlineStr">
        <is>
          <t>Like the title says, what works best for you guys? I'm diagnosed type 2 about 1.5 years ago and used to have numbers around 95-110 waking up in the morning when I was on 1000mg metformin XR and a much higher weight about a year ago. A1c was 5.3 3 months after 8.6 at diagnosis. Still the same amount of medication and about 50 less pounds on me and I routinely wake up at 145. 125 is a good day. 23 years old and A1cs are slowly creeping up on me despite my best efforts into the upper 6's.
&amp;amp;#x200B;
I've tried not eating closer to bedtime, snack before bedtime, exercise before night time, taking meds later in the day, etc. 
I know this post has been made in the past, but people are constantly discovering new things and tricks that help them out!</t>
        </is>
      </c>
      <c r="D6851" t="n">
        <v>2</v>
      </c>
      <c r="E6851" t="n">
        <v>7</v>
      </c>
      <c r="F6851">
        <f>HYPERLINK("https://www.reddit.com/r/diabetes/comments/bxnj0s/what_are_peoples_dawn_phenomenon_tricksadvice/")</f>
        <v/>
      </c>
      <c r="G6851" t="inlineStr">
        <is>
          <t>2019-06-06 16:25:01</t>
        </is>
      </c>
      <c r="H6851" t="inlineStr">
        <is>
          <t>Type 2</t>
        </is>
      </c>
    </row>
    <row r="6852">
      <c r="A6852" t="inlineStr">
        <is>
          <t>bxovy4</t>
        </is>
      </c>
      <c r="B6852" t="inlineStr">
        <is>
          <t>Help - insulin left out of fridge</t>
        </is>
      </c>
      <c r="C6852" t="inlineStr">
        <is>
          <t>Wondering if my insulin is bad now .
Picked up my novalog pens today from pharmacy and set the down, had to rush out because if an emergency and I forgot to put them in the fridge. They sat in a room that was between 70-75 Fahrenheit for almost 6 hours. Just put them in the fridge. It's a 3 month supply. Do you think I'll have issues with them?</t>
        </is>
      </c>
      <c r="D6852" t="n">
        <v>2</v>
      </c>
      <c r="E6852" t="n">
        <v>9</v>
      </c>
      <c r="F6852">
        <f>HYPERLINK("https://www.reddit.com/r/diabetes/comments/bxovy4/help_insulin_left_out_of_fridge/")</f>
        <v/>
      </c>
      <c r="G6852" t="inlineStr">
        <is>
          <t>2019-06-06 18:44:06</t>
        </is>
      </c>
      <c r="H6852" t="inlineStr">
        <is>
          <t>Type 1</t>
        </is>
      </c>
    </row>
    <row r="6853">
      <c r="A6853" t="inlineStr">
        <is>
          <t>bxrj2x</t>
        </is>
      </c>
      <c r="B6853" t="inlineStr">
        <is>
          <t>Dear toe, NSFW</t>
        </is>
      </c>
      <c r="C6853" t="inlineStr">
        <is>
          <t>Sorry didn't take care of my diabetes the wayl should have, I promise to do better in the future.
 Love, Brian 
http://imgur.com/gallery/eFIjifBb
I have had type 1 diabetes for over 20 years now, and lately my sugars have been a little high. 
This all started in March with a infection under a callus on my right foot. Ended up getting an infection in the bone of my second toe. 
Tried everything even a hyperbaric chamber $100 a day. In the end we just had to remove the toe. 
Just a reminder to everyone check your feet daily..</t>
        </is>
      </c>
      <c r="D6853" t="n">
        <v>32</v>
      </c>
      <c r="E6853" t="n">
        <v>18</v>
      </c>
      <c r="F6853">
        <f>HYPERLINK("https://www.reddit.com/r/diabetes/comments/bxrj2x/dear_toe_nsfw/")</f>
        <v/>
      </c>
      <c r="G6853" t="inlineStr">
        <is>
          <t>2019-06-07 00:07:33</t>
        </is>
      </c>
      <c r="H6853" t="inlineStr">
        <is>
          <t>Type 1</t>
        </is>
      </c>
    </row>
    <row r="6854">
      <c r="A6854" t="inlineStr">
        <is>
          <t>bxujhr</t>
        </is>
      </c>
      <c r="B6854" t="inlineStr">
        <is>
          <t>Insulin not working in the morning?</t>
        </is>
      </c>
      <c r="C6854" t="inlineStr">
        <is>
          <t>T1, Omnipod user here.
&amp;amp;#x200B;
Anyone with a pump ever have the issue that giving a dose for breakfast doesn't actually do anything? But later in the day all my doses work fine. Meaning: I give the dose, I eat my meal \~10mins later, and I go super high. Have to correct with a shot. Then the next day I give my same morning bolus for the same breakfast meal, and I wait and watch my CGM to if my bg drops and wait to eat. I've been sitting here for 40 mins and no change in my bg! It's bizarre that this is happening 2 days in a row, yet my pump ended up working fine for lunch and dinner yesterday and worked all night as my bg didn't climb at all overnight.
&amp;amp;#x200B;
Thanks!</t>
        </is>
      </c>
      <c r="D6854" t="n">
        <v>2</v>
      </c>
      <c r="E6854" t="n">
        <v>5</v>
      </c>
      <c r="F6854">
        <f>HYPERLINK("https://www.reddit.com/r/diabetes/comments/bxujhr/insulin_not_working_in_the_morning/")</f>
        <v/>
      </c>
      <c r="G6854" t="inlineStr">
        <is>
          <t>2019-06-07 06:20:35</t>
        </is>
      </c>
      <c r="H6854" t="inlineStr">
        <is>
          <t>Type 1</t>
        </is>
      </c>
    </row>
    <row r="6855">
      <c r="A6855" t="inlineStr">
        <is>
          <t>bxuzdz</t>
        </is>
      </c>
      <c r="B6855" t="inlineStr">
        <is>
          <t>[Discussion] Newly diagnosed diabetic. Need some advice on endo relations and self tuning of the insulin dose.</t>
        </is>
      </c>
      <c r="C6855" t="inlineStr">
        <is>
          <t>Hi All, 
&amp;amp;#x200B;
I was dxd last year September. I recently(early March) got started on long acting(LA) insulin (5 units and then my endo increased the dose to 8 units after a week).  
&amp;amp;#x200B;
Recently, I noticed that with 8 units I couldn't keep the morning numbers as the same (my diet and exercise level hasn't changed). So I increased insulin by 1 unit every other day until I got the morning numbers back where they were and now I am at 11 units.
Couple of questions: 
1) Is it correct approach to tweaking LA insulin to keep the background numbers in range (more than 3 hrs after meal numbers or background numbers in certain range)? Am I doing this right or should I consult endo every time I get high numbers in morning and then only he can alter and I shouldn't be making these tweaks by myself? 
2) I am afraid my endo would be mad at me, should I report to him what is happening? Since, I am honeymooning, he thinks that premeal numbers are not high enough to warrant short acting insulin. I asked him if I could learn how to start short acting and he said no I don't need to and got slightly mad at me. I am not sure how he would react if I told him I have been tweaking the LA insulin.
&amp;amp;#x200B;
Thanks in advance,   
Falcon</t>
        </is>
      </c>
      <c r="D6855" t="n">
        <v>2</v>
      </c>
      <c r="E6855" t="n">
        <v>7</v>
      </c>
      <c r="F6855">
        <f>HYPERLINK("https://www.reddit.com/r/diabetes/comments/bxuzdz/discussion_newly_diagnosed_diabetic_need_some/")</f>
        <v/>
      </c>
      <c r="G6855" t="inlineStr">
        <is>
          <t>2019-06-07 07:03:29</t>
        </is>
      </c>
      <c r="H6855" t="inlineStr">
        <is>
          <t>Type 1</t>
        </is>
      </c>
    </row>
    <row r="6856">
      <c r="A6856" t="inlineStr">
        <is>
          <t>bxvhlj</t>
        </is>
      </c>
      <c r="B6856" t="inlineStr">
        <is>
          <t>Started Ozempic yesterday...</t>
        </is>
      </c>
      <c r="C6856" t="inlineStr">
        <is>
          <t>...and I wondered when it should start "working". Did you have any physical signs that it was working or that your body was reacting to it? I know about the side effects, but I'd like to know what others have experienced and what I can expect.</t>
        </is>
      </c>
      <c r="D6856" t="n">
        <v>5</v>
      </c>
      <c r="E6856" t="n">
        <v>4</v>
      </c>
      <c r="F6856">
        <f>HYPERLINK("https://www.reddit.com/r/diabetes/comments/bxvhlj/started_ozempic_yesterday/")</f>
        <v/>
      </c>
      <c r="G6856" t="inlineStr">
        <is>
          <t>2019-06-07 07:49:43</t>
        </is>
      </c>
      <c r="H6856" t="inlineStr">
        <is>
          <t>Type 2</t>
        </is>
      </c>
    </row>
    <row r="6857">
      <c r="A6857" t="inlineStr">
        <is>
          <t>bxvlke</t>
        </is>
      </c>
      <c r="B6857" t="inlineStr">
        <is>
          <t>Just got my A1C results back. Advice?</t>
        </is>
      </c>
      <c r="C6857" t="inlineStr">
        <is>
          <t>Just got my blood work back. My A1C is 6.7. 
I had gestational diabetes while pregnant with my daughter and I decided to hide my head in the sand for the past 5 years and ignore any follow up. But with my 35th birthday looming, and a desire to be a good role model and healthy influence for my daughter, I decided it's time to get my act together.
Of course I'm discussing everything with my doctor, but would like the support of a community. She stated we could either start metformin right away along with diet and exercise or try the diet and exercise route without medication first. Either way we'll retest in 3 months. 
How do you all feel about metformin? Should I start right away? Try only diet and exercise first? I do have a good glucose meter from when I was pregnant that I plan on utilizing. 
Thanks for any help/advice/support you can offer.
Bonus points if you link your favorite low carb recipe websites! 😁😂</t>
        </is>
      </c>
      <c r="D6857" t="n">
        <v>4</v>
      </c>
      <c r="E6857" t="n">
        <v>8</v>
      </c>
      <c r="F6857">
        <f>HYPERLINK("https://www.reddit.com/r/diabetes/comments/bxvlke/just_got_my_a1c_results_back_advice/")</f>
        <v/>
      </c>
      <c r="G6857" t="inlineStr">
        <is>
          <t>2019-06-07 07:59:53</t>
        </is>
      </c>
      <c r="H6857" t="inlineStr">
        <is>
          <t>Type 2</t>
        </is>
      </c>
    </row>
    <row r="6858">
      <c r="A6858" t="inlineStr">
        <is>
          <t>bxxq7u</t>
        </is>
      </c>
      <c r="B6858" t="inlineStr">
        <is>
          <t>Type Two Diabetes</t>
        </is>
      </c>
      <c r="C6858" t="inlineStr">
        <is>
          <t>Hello! My mother went to a doctors appointment a few days ago and recently found out she had diabetes. It came as no surprise because it’s genetic in our family(grandmother had it, her mother has it, and now her). Her BG is 251 and her A1C is 11.2. She definitely started on exercise, but we are having a hard time coming up with a diet. What types of food is she allowed to eat? What diet do you all use? Any general information will be useful:)</t>
        </is>
      </c>
      <c r="D6858" t="n">
        <v>1</v>
      </c>
      <c r="E6858" t="n">
        <v>0</v>
      </c>
      <c r="F6858">
        <f>HYPERLINK("https://www.reddit.com/r/diabetes/comments/bxxq7u/type_two_diabetes/")</f>
        <v/>
      </c>
      <c r="G6858" t="inlineStr">
        <is>
          <t>2019-06-07 11:01:58</t>
        </is>
      </c>
      <c r="H6858" t="inlineStr">
        <is>
          <t>Type 2</t>
        </is>
      </c>
    </row>
    <row r="6859">
      <c r="A6859" t="inlineStr">
        <is>
          <t>by0oue</t>
        </is>
      </c>
      <c r="B6859" t="inlineStr">
        <is>
          <t>Freestyle Libre app, amazing?</t>
        </is>
      </c>
      <c r="C6859" t="inlineStr">
        <is>
          <t>Hey guys! So I have been using the freestyle Libre for awhile today I saw an ad about a new freestyle app. Thinking it would be like every other diabetes apps I figured it would be mediocre. If you haven’t tried it yet I recommend it. You can also scan your sensor directly on your phone! Has anyone had any issues with it?</t>
        </is>
      </c>
      <c r="D6859" t="n">
        <v>8</v>
      </c>
      <c r="E6859" t="n">
        <v>8</v>
      </c>
      <c r="F6859">
        <f>HYPERLINK("https://www.reddit.com/r/diabetes/comments/by0oue/freestyle_libre_app_amazing/")</f>
        <v/>
      </c>
      <c r="G6859" t="inlineStr">
        <is>
          <t>2019-06-07 15:22:36</t>
        </is>
      </c>
      <c r="H6859" t="inlineStr">
        <is>
          <t>Type 1.5/LADA</t>
        </is>
      </c>
    </row>
    <row r="6860">
      <c r="A6860" t="inlineStr">
        <is>
          <t>by201e</t>
        </is>
      </c>
      <c r="B6860" t="inlineStr">
        <is>
          <t>Having trouble digesting food</t>
        </is>
      </c>
      <c r="C6860" t="inlineStr">
        <is>
          <t>Marking NSFW just in case. I was wondering if anyone else might have this problem. I've avoided discussing it with my doctor because it's kind of embarrassing. This does not happen all the time, but a majority of the time I've noticed that I don't digest all of the food I've eaten for breakfast. Usually, by the early afternoon most of the breakfast I have eaten is ejected in a bowel movement. I'm on Metformin and ever since I've been on it I've had an issue with runny bowel movements as well as the digestion issue. I worry that I may not be getting the ultimate nutrition because the food I eat is not completely digested. Has anyone else dealt with this?</t>
        </is>
      </c>
      <c r="D6860" t="n">
        <v>1</v>
      </c>
      <c r="E6860" t="n">
        <v>3</v>
      </c>
      <c r="F6860">
        <f>HYPERLINK("https://www.reddit.com/r/diabetes/comments/by201e/having_trouble_digesting_food/")</f>
        <v/>
      </c>
      <c r="G6860" t="inlineStr">
        <is>
          <t>2019-06-07 17:35:27</t>
        </is>
      </c>
      <c r="H6860" t="inlineStr">
        <is>
          <t>Type 2</t>
        </is>
      </c>
    </row>
    <row r="6861">
      <c r="A6861" t="inlineStr">
        <is>
          <t>by4x9r</t>
        </is>
      </c>
      <c r="B6861" t="inlineStr">
        <is>
          <t>First tattoo tomorrow</t>
        </is>
      </c>
      <c r="C6861" t="inlineStr">
        <is>
          <t>Hi friends! I’m very excited to be getting my first tattoo tomorrow (today- 6pm est) and I was wondering if any of you type 1s with ink have any advice going in? I’m nervous but very excited.</t>
        </is>
      </c>
      <c r="D6861" t="n">
        <v>3</v>
      </c>
      <c r="E6861" t="n">
        <v>3</v>
      </c>
      <c r="F6861">
        <f>HYPERLINK("https://www.reddit.com/r/diabetes/comments/by4x9r/first_tattoo_tomorrow/")</f>
        <v/>
      </c>
      <c r="G6861" t="inlineStr">
        <is>
          <t>2019-06-07 23:06:40</t>
        </is>
      </c>
      <c r="H6861" t="inlineStr">
        <is>
          <t>Type 1</t>
        </is>
      </c>
    </row>
    <row r="6862">
      <c r="A6862" t="inlineStr">
        <is>
          <t>byc6xv</t>
        </is>
      </c>
      <c r="B6862" t="inlineStr">
        <is>
          <t>Cheap food for diabetics</t>
        </is>
      </c>
      <c r="C6862" t="inlineStr">
        <is>
          <t>My wife has just been diagnosed with diabetes. What can she eat instead of ramen noodles?</t>
        </is>
      </c>
      <c r="D6862" t="n">
        <v>5</v>
      </c>
      <c r="E6862" t="n">
        <v>28</v>
      </c>
      <c r="F6862">
        <f>HYPERLINK("https://www.reddit.com/r/diabetes/comments/byc6xv/cheap_food_for_diabetics/")</f>
        <v/>
      </c>
      <c r="G6862" t="inlineStr">
        <is>
          <t>2019-06-08 13:27:52</t>
        </is>
      </c>
      <c r="H6862" t="inlineStr">
        <is>
          <t>Type 2</t>
        </is>
      </c>
    </row>
    <row r="6863">
      <c r="A6863" t="inlineStr">
        <is>
          <t>byd6uu</t>
        </is>
      </c>
      <c r="B6863" t="inlineStr">
        <is>
          <t>Hey I’ve been stalking you</t>
        </is>
      </c>
      <c r="C6863" t="inlineStr">
        <is>
          <t>Hey guys, I’ve been stalking this subreddit for a long time now, but haven’t said anything or liked anything because I felt almost ashamed of myself! It’s stupid I know but I’m getting better at coming to terms with my disease.
My names Max, I’m 19 and had T1 for about 3 months now and getting a long okay ish. I live in the UK and doing Camp America in 1 week - why did I do this to myself fml.
I will be in America for 12 weeks working and was wondering if anyone from America can recommend some low carb food I can snack on that I can buy from like Walmart or something - as we go weekly shopping. I’m not picky ;)
Anyway I’d love to talk to you guys, the memes made me smile for the first time in a while so that’s a start!
Love you all and I’m here for anyone xx</t>
        </is>
      </c>
      <c r="D6863" t="n">
        <v>5</v>
      </c>
      <c r="E6863" t="n">
        <v>16</v>
      </c>
      <c r="F6863">
        <f>HYPERLINK("https://www.reddit.com/r/diabetes/comments/byd6uu/hey_ive_been_stalking_you/")</f>
        <v/>
      </c>
      <c r="G6863" t="inlineStr">
        <is>
          <t>2019-06-08 15:06:25</t>
        </is>
      </c>
      <c r="H6863" t="inlineStr">
        <is>
          <t>Type 1</t>
        </is>
      </c>
    </row>
    <row r="6864">
      <c r="A6864" t="inlineStr">
        <is>
          <t>byfbts</t>
        </is>
      </c>
      <c r="B6864" t="inlineStr">
        <is>
          <t>Have to bragg, I can't at home.</t>
        </is>
      </c>
      <c r="C6864" t="inlineStr">
        <is>
          <t>Well, after being diagnosed with Type 2 at the end of March, I have had to turn my life around really quickly. I didn't dwell on the fact I now have an incurable disease, I instead focused on making it as hard as possible for the disease to beat me. When diagnosed, my initial BS level was 25.5, and within 2 days with the help of medication, I was able to get it under control, and since then, I haven't had a reading over 11, and that was after eating a couple of homemade waffles with corn syrup with my kids.
But on to why I am posting.
After going cold turkey with what I was eating before, and changing my lifestyle, I have noticed that I am losing weight like crazy. I work 3 days a week at a desk job doing 13 hour days, and 4 days a week as a general contractor doing decks/fences/home renos, building sheds or barns, etc... So I am pretty active all things considered. Having said that, despite being in good shape (round is a shape lol) I was also peaking at 324 pounds. No one ever believed I was that heavy, I carried it pretty well, but under all that fat is also a lot of heavy muscle.
I have been tracking my weight pretty closely since my diagnosis, and I finally broke through a barrier this morning. I am officially under 290lbs now. That means I have lost 34 pounds in 74 days. I am freaking ecstatic here. I tried to share my jubilation with my wife who ended up getting pretty upset with me. She isn't fat or really even overweight, but she has struggled with weight both physically and mentally. I felt really bad about it, and spent the day today trying to smooth things over with her. I have promised to keep quiet about my weight loss from here on out when she is around.
So Reddit, I have turned to you all, a bunch of strangers, trying to share my joy and excitement and how I have found a silver lining to this disease and how I am proud of myself. Sorry for the long read, and the bragging, but I just need to tell someone.</t>
        </is>
      </c>
      <c r="D6864" t="n">
        <v>12</v>
      </c>
      <c r="E6864" t="n">
        <v>5</v>
      </c>
      <c r="F6864">
        <f>HYPERLINK("https://www.reddit.com/r/diabetes/comments/byfbts/have_to_bragg_i_cant_at_home/")</f>
        <v/>
      </c>
      <c r="G6864" t="inlineStr">
        <is>
          <t>2019-06-08 18:56:20</t>
        </is>
      </c>
      <c r="H6864" t="inlineStr">
        <is>
          <t>Type 2</t>
        </is>
      </c>
    </row>
    <row r="6865">
      <c r="A6865" t="inlineStr">
        <is>
          <t>byluv6</t>
        </is>
      </c>
      <c r="B6865" t="inlineStr">
        <is>
          <t>GRANDMA WITH DIABETES</t>
        </is>
      </c>
      <c r="C6865" t="inlineStr">
        <is>
          <t>Hello, my grandma has type 2 diabetes I try really hard to manage it. Recently she has been sneaking glasses of my iced tea (which has sugar). She doesn't this because she is sick of water as that's the only thing I can give her. I am wondering if I could give her those flavor water juices, such as mio or any other brand that you squeeze into regular water. If anyone has any experience with doing this please let me know if I can or can't give her that, I really want her to have some flavor but she cannot be drinking sugary drinks. Thank you.</t>
        </is>
      </c>
      <c r="D6865" t="n">
        <v>3</v>
      </c>
      <c r="E6865" t="n">
        <v>17</v>
      </c>
      <c r="F6865">
        <f>HYPERLINK("https://www.reddit.com/r/diabetes/comments/byluv6/grandma_with_diabetes/")</f>
        <v/>
      </c>
      <c r="G6865" t="inlineStr">
        <is>
          <t>2019-06-09 09:15:07</t>
        </is>
      </c>
      <c r="H6865" t="inlineStr">
        <is>
          <t>Type 2</t>
        </is>
      </c>
    </row>
    <row r="6866">
      <c r="A6866" t="inlineStr">
        <is>
          <t>byqj7q</t>
        </is>
      </c>
      <c r="B6866" t="inlineStr">
        <is>
          <t>Anyone know a good way to keep your dexcom monitor from falling off?</t>
        </is>
      </c>
      <c r="C6866" t="inlineStr">
        <is>
          <t>I have tried most over the counter tapes and my skin really does not like them. If anyone has an inexpensive fix I am all ears. Thanks</t>
        </is>
      </c>
      <c r="D6866" t="n">
        <v>5</v>
      </c>
      <c r="E6866" t="n">
        <v>12</v>
      </c>
      <c r="F6866">
        <f>HYPERLINK("https://www.reddit.com/r/diabetes/comments/byqj7q/anyone_know_a_good_way_to_keep_your_dexcom/")</f>
        <v/>
      </c>
      <c r="G6866" t="inlineStr">
        <is>
          <t>2019-06-09 16:18:39</t>
        </is>
      </c>
      <c r="H6866" t="inlineStr">
        <is>
          <t>Type 1</t>
        </is>
      </c>
    </row>
    <row r="6867">
      <c r="A6867" t="inlineStr">
        <is>
          <t>byqvd9</t>
        </is>
      </c>
      <c r="B6867" t="inlineStr">
        <is>
          <t>Is diabetes camp a thing</t>
        </is>
      </c>
      <c r="C6867" t="inlineStr">
        <is>
          <t>So I got to diabetes camp but I don’t know if it’s a thing outside of Camp Hendon. I never knew if there were more camps like it.</t>
        </is>
      </c>
      <c r="D6867" t="n">
        <v>7</v>
      </c>
      <c r="E6867" t="n">
        <v>15</v>
      </c>
      <c r="F6867">
        <f>HYPERLINK("https://www.reddit.com/r/diabetes/comments/byqvd9/is_diabetes_camp_a_thing/")</f>
        <v/>
      </c>
      <c r="G6867" t="inlineStr">
        <is>
          <t>2019-06-09 16:51:42</t>
        </is>
      </c>
      <c r="H6867" t="inlineStr">
        <is>
          <t>Type 1</t>
        </is>
      </c>
    </row>
    <row r="6868">
      <c r="A6868" t="inlineStr">
        <is>
          <t>byt9st</t>
        </is>
      </c>
      <c r="B6868" t="inlineStr">
        <is>
          <t>How often do you see your endocrinologist?</t>
        </is>
      </c>
      <c r="C6868" t="inlineStr">
        <is>
          <t>I went to a t1d meetup this past weekend and was pretty shocked by the answers I received to this question when talking with other diabetics. All of my care is through Kaiser NorCal and it's like pulling teeth to get in with my endocrinologist. My last appointment was July 2018 and it's been crickets from her ever since (I get automated quarterly reminders from a random physician in diabetes research that prompt me to get in for an A1C% test but my endo never follows up with my results when they're posted). I messaged her last week to disclose some symptoms I've been having that I'd love to have her check out and rule out any other autoimmune conditions with a few blood labs but she told me that's not her domain and that I should follow up with my PCP. At this point, I'm just ordering the blood labs myself through everlywell (including my HBA1C% because I don't want KP to have my health data if I'm not receiving quality care).
&amp;amp;#x200B;
The t1ds I spoke to (many of which have been diagnosed for 10+ years) all were shocked by this, as they see their endos or diabetes educators on a quarterly basis. 
&amp;amp;#x200B;
So how often are you being seen? And if you're seen regularly in the Bay Area, who do you recommend within the Kaiser network? At this point, I'd even consider paying out of pocket for a CDE or other specialist outside of the KP network. TIA for the insight.</t>
        </is>
      </c>
      <c r="D6868" t="n">
        <v>2</v>
      </c>
      <c r="E6868" t="n">
        <v>18</v>
      </c>
      <c r="F6868">
        <f>HYPERLINK("https://www.reddit.com/r/diabetes/comments/byt9st/how_often_do_you_see_your_endocrinologist/")</f>
        <v/>
      </c>
      <c r="G6868" t="inlineStr">
        <is>
          <t>2019-06-09 21:06:50</t>
        </is>
      </c>
      <c r="H6868" t="inlineStr">
        <is>
          <t>Type 1</t>
        </is>
      </c>
    </row>
    <row r="6869">
      <c r="A6869" t="inlineStr">
        <is>
          <t>bytnex</t>
        </is>
      </c>
      <c r="B6869" t="inlineStr">
        <is>
          <t>Transplant Stuff</t>
        </is>
      </c>
      <c r="C6869" t="inlineStr">
        <is>
          <t>I’m a little horrified but I’ve been approved for a pancreas only transplant at Mayo Clinic. 
19 years old, 14 years of t1, my body was fucked when I went into DKA while traveling and a doctor gave me a cerebral edema before being lifeflighted to a major hospital because they wouldn’t follow protocol and weren’t “equipped” to handle DKA. Went into major organ failure and they lost me when I got to the major hospital. I have retinopathy, minor kidney problems, liver problems, and a sick heart arrhythmia because of that. My health was pretty much fine before the malpractice episode and it’s hard to sue because of the nature of DKA and malpractice laws in AL. I can’t get rid of ketones anymore and have been a shut in for over a year now. I miss living and I want to be okay again. 
I used to have and still have hypo anxiety and struggled with diabulimia for a long time. I took my body for granted for so long and still kick myself because of it. 
I’ve been waiting on a call for about two weeks now and know my nerves are going to go wild when I finally get the call. I’m so brittle that fasting for a few hours will either spike my ketones or send me LOW quickly. Don’t really know why I’m posting here other than for support because everyone around me is like, “don’t be scared! This is gonna fix everything!”. And it will in a way, but the anti-rejection meds are hard and the panc WILL fail at some point. 
I just miss living. I’m young and I’m scared. I had to leave my dream of going into medicine behind because of my health issues and I only had two years left on a premed route when this happened. I’m still fucking CRUSHED. 
I miss my body being okay. I miss type one not being that hard other than being sensitive to insulin. I’ve been so fucking depressed the past year and I’m hoping it’ll get better post transplant. I’ve struggled so much with suicidal thoughts the past year. There’s too many things I need to do before I die and I never thought t1 would turn into such a vile monster because of some idiot dr. 
Sorry if this is just me moping. Life has been so damn hard lately.</t>
        </is>
      </c>
      <c r="D6869" t="n">
        <v>13</v>
      </c>
      <c r="E6869" t="n">
        <v>15</v>
      </c>
      <c r="F6869">
        <f>HYPERLINK("https://www.reddit.com/r/diabetes/comments/bytnex/transplant_stuff/")</f>
        <v/>
      </c>
      <c r="G6869" t="inlineStr">
        <is>
          <t>2019-06-09 21:50:43</t>
        </is>
      </c>
      <c r="H6869" t="inlineStr">
        <is>
          <t>Type 1</t>
        </is>
      </c>
    </row>
    <row r="6870">
      <c r="A6870" t="inlineStr">
        <is>
          <t>byxtn4</t>
        </is>
      </c>
      <c r="B6870" t="inlineStr">
        <is>
          <t>Vent</t>
        </is>
      </c>
      <c r="C6870" t="inlineStr">
        <is>
          <t>After a week+ of continuously high blood sugars that I just can’t seem to get under control, I’m feeling so hopelessly frustrated with myself and this condition.
usually, diabetes is just a part of my daily routine. I don’t think about it much and my control and hba1c have always been really good. but for some reason things seem to have really gone up in smoke in the last week or so. I have bad days every now and then, usually with lots of lows rather than highs, but that’s about it. but recently, I’ve had highs that don’t come down when I correct them. I wake up high and it stays that way all day. I’ve not been eating properly because my blood won’t go down and I don’t want to risk making it any higher. I’m sick of burdening the people who care about me with this shit. I’m so so angry and frustrated and so scared of the complications that I’ll face if I can’t get this under control.
today I started tracking my blood sugar using an app, so I’m hoping this will help me figure out any patterns, but I’m just feeling fed up and wanted to vent to people who will understand. what can I do to fix this?</t>
        </is>
      </c>
      <c r="D6870" t="n">
        <v>9</v>
      </c>
      <c r="E6870" t="n">
        <v>12</v>
      </c>
      <c r="F6870">
        <f>HYPERLINK("https://www.reddit.com/r/diabetes/comments/byxtn4/vent/")</f>
        <v/>
      </c>
      <c r="G6870" t="inlineStr">
        <is>
          <t>2019-06-10 06:25:29</t>
        </is>
      </c>
      <c r="H6870" t="inlineStr">
        <is>
          <t>Type 1</t>
        </is>
      </c>
    </row>
    <row r="6871">
      <c r="A6871" t="inlineStr">
        <is>
          <t>byzm7g</t>
        </is>
      </c>
      <c r="B6871" t="inlineStr">
        <is>
          <t>I'm winning!</t>
        </is>
      </c>
      <c r="C6871" t="inlineStr">
        <is>
          <t>Well guys, it happened. My A1C is at the lowest it has been 6.1 and I haven't taken medicine since September. I've had consistent results every 3 months. Since my next appointment is in August, that will be almost a year of under control and my doctor will see me every 6 months. 
I'm not going to lie: it has been work! Diet (keto / LC) and exercising 6 days a week.  I've lost 43 pounds altogether, my diet is high protein, low carb and I gotta tell you, it worked!
I actually had regular ice cream for the first time in months, yesterday. I tested after 2 hours, just out of curiosity : 100 was my reading. 
What I wanted to say was guys: If I did it, you can too! I used to be an emotional eater, now my relationship with food is different. It's fuel and I only eat when I'm hungry. 
Keep up the fight! and make diabetes ask mercy of you!</t>
        </is>
      </c>
      <c r="D6871" t="n">
        <v>38</v>
      </c>
      <c r="E6871" t="n">
        <v>8</v>
      </c>
      <c r="F6871">
        <f>HYPERLINK("https://www.reddit.com/r/diabetes/comments/byzm7g/im_winning/")</f>
        <v/>
      </c>
      <c r="G6871" t="inlineStr">
        <is>
          <t>2019-06-10 09:03:43</t>
        </is>
      </c>
      <c r="H6871" t="inlineStr">
        <is>
          <t>Type 2</t>
        </is>
      </c>
    </row>
    <row r="6872">
      <c r="A6872" t="inlineStr">
        <is>
          <t>bz0jwx</t>
        </is>
      </c>
      <c r="B6872" t="inlineStr">
        <is>
          <t>New to xDrip+...</t>
        </is>
      </c>
      <c r="C6872" t="inlineStr">
        <is>
          <t>AND I'M TERRIFIED. 
Terrified of screwing up my phone, sensor, transmitter, you name it. I got a Fitbit Versa this morning specifically because of the fact that you can use the watchface to display your blood sugar from xDrip and I feel (a) overwhelmed, (b) terrified and (c) excited. I want it to work, but the warnings that show up when you first start the app have me literally quaking - "don't use it for medical treatment decisions" etc... am I going to die? Lol. 
Someone console me and tell me this is a good decision!</t>
        </is>
      </c>
      <c r="D6872" t="n">
        <v>5</v>
      </c>
      <c r="E6872" t="n">
        <v>14</v>
      </c>
      <c r="F6872">
        <f>HYPERLINK("https://www.reddit.com/r/diabetes/comments/bz0jwx/new_to_xdrip/")</f>
        <v/>
      </c>
      <c r="G6872" t="inlineStr">
        <is>
          <t>2019-06-10 10:20:13</t>
        </is>
      </c>
      <c r="H6872" t="inlineStr">
        <is>
          <t>Type 1</t>
        </is>
      </c>
    </row>
    <row r="6873">
      <c r="A6873" t="inlineStr">
        <is>
          <t>bz1oob</t>
        </is>
      </c>
      <c r="B6873" t="inlineStr">
        <is>
          <t>Injection anxiety</t>
        </is>
      </c>
      <c r="C6873" t="inlineStr">
        <is>
          <t>Hi, I've been recently having a lot of anxiety with injecting my lantus and I'm not sure how to make it go away and be able to do it normally again :( 
I had a mishap injecting last week Tuesday. I inject 22 units and as I was injecting, the pen seemed to get stuck at 16 and wouldnt go down. I thought it mightve been the way i was holding the pen so i tried adjusting my grip on it, which resulted in a lot of shaking while the needle was still in me. After adjusting, it was easier to inject but I think I pressed down way more fast than i usually do for the rest of the injection. As i removed the needle, i noticed what looked like a LOT of the lantus had leaked from where i injected in my abdomen and was leaking and down and reaching the waistline of my pants. I started freaking out worrying that i wouldnt have enough in me and would go into dka the next day. My bg did end up high throughout the next day, but nowhere near as high as i thought it was going to be.
My issue is that now since that day, whenever I inject I start panicking in fear that the same thing might happen and that more might leak out than had happened before and that i really qould end up in dka. Like I start having trouble breathing, my heart starts pounding, my hand starts shaking, and i get a sensation of something moving down my skin below my injection sites, when in reality every injection ive done since that day has been normal with no leaking. 
And now I'm just spending the day thinking about dreading my injection tonight :( any tips or advice to help me calm down and not worry about it would be really helpful</t>
        </is>
      </c>
      <c r="D6873" t="n">
        <v>7</v>
      </c>
      <c r="E6873" t="n">
        <v>8</v>
      </c>
      <c r="F6873">
        <f>HYPERLINK("https://www.reddit.com/r/diabetes/comments/bz1oob/injection_anxiety/")</f>
        <v/>
      </c>
      <c r="G6873" t="inlineStr">
        <is>
          <t>2019-06-10 11:51:26</t>
        </is>
      </c>
      <c r="H6873" t="inlineStr">
        <is>
          <t>Type 1</t>
        </is>
      </c>
    </row>
    <row r="6874">
      <c r="A6874" t="inlineStr">
        <is>
          <t>bz22tu</t>
        </is>
      </c>
      <c r="B6874" t="inlineStr">
        <is>
          <t>Multiple Questions</t>
        </is>
      </c>
      <c r="C6874" t="inlineStr">
        <is>
          <t>Hey Everyone!  I am a 21 year old, type 1 diabetic, and I was diagnosed 4 years ago.  I have a couple of questions regarding managing my type 1 diabetes as I  am  preparing to go to Graduate School.  Undergrad was not difficult but I did notice the impact of having type 1 diabetes for the first time as an undergrad student.  I was wondering if anybody has had similar experiences and has any advice?  
Current Status:  I am Male, 6'5'', and 200 lbs.  I try to eat 5 big meals a day and I usually work out everyday.
A1C varies over the years between 5.2 - 6.3
&amp;amp;#x200B;
1. An issue I have is studying for long periods of time.  I will try to study 5 hours a day.  During that time I have to eat but when I eat, I get the infamous diabetic FOOD COMA!!!  After I have consumed all the GAINZ, I will feel terrible and it's very hard to start studying again.
2. High Blood Sugar Rage! I have started to develop some anger issues when I notice I am getting a "high."  I get a weird feeling in my head(indescribable feeling).  When this happens I can not focus and it really upsets me.  I have put off many opportunities to develop a serious relationship with a woman because of this.  Not because I will get violent but because I will seem annoyed ALL the time.   
3. Insurance... I will be on my own insurance plan soon and want to know if there are any plans that work well for diabetics.  I am sick of paying 150 USD for my prescriptions.  
&amp;amp;#x200B;
All advice is appreciated, thanks!</t>
        </is>
      </c>
      <c r="D6874" t="n">
        <v>3</v>
      </c>
      <c r="E6874" t="n">
        <v>2</v>
      </c>
      <c r="F6874">
        <f>HYPERLINK("https://www.reddit.com/r/diabetes/comments/bz22tu/multiple_questions/")</f>
        <v/>
      </c>
      <c r="G6874" t="inlineStr">
        <is>
          <t>2019-06-10 12:23:00</t>
        </is>
      </c>
      <c r="H6874" t="inlineStr">
        <is>
          <t>Type 1</t>
        </is>
      </c>
    </row>
    <row r="6875">
      <c r="A6875" t="inlineStr">
        <is>
          <t>bz2js8</t>
        </is>
      </c>
      <c r="B6875" t="inlineStr">
        <is>
          <t>No more roller coasters</t>
        </is>
      </c>
      <c r="C6875" t="inlineStr">
        <is>
          <t xml:space="preserve"> [https://www.facebook.com/Type1Grit/](https://www.facebook.com/Type1Grit/) 
https://i.redd.it/1tzs8x6r4l331.jpg</t>
        </is>
      </c>
      <c r="D6875" t="n">
        <v>0</v>
      </c>
      <c r="E6875" t="n">
        <v>0</v>
      </c>
      <c r="F6875">
        <f>HYPERLINK("https://www.reddit.com/r/diabetes/comments/bz2js8/no_more_roller_coasters/")</f>
        <v/>
      </c>
      <c r="G6875" t="inlineStr">
        <is>
          <t>2019-06-10 13:01:56</t>
        </is>
      </c>
      <c r="H6875" t="inlineStr">
        <is>
          <t>Type 1</t>
        </is>
      </c>
    </row>
    <row r="6876">
      <c r="A6876" t="inlineStr">
        <is>
          <t>bz81cq</t>
        </is>
      </c>
      <c r="B6876" t="inlineStr">
        <is>
          <t>Advice again please</t>
        </is>
      </c>
      <c r="C6876" t="inlineStr">
        <is>
          <t>Does anyone have any sugar before bedtime to make sure levels dont go too low while sleeping. A few times I have set my alarm but just cant wake up. I'll try to wake up fully and then doze off off and on then hours later the same thing until I literally use every ounce of energy and roll off the bed. After that I am usually awake enough to determine that I am low and can correct. 
Has anyone else experienced this? I live alone so I cant really alert anyone that something is wrong. Any suggestions?</t>
        </is>
      </c>
      <c r="D6876" t="n">
        <v>3</v>
      </c>
      <c r="E6876" t="n">
        <v>5</v>
      </c>
      <c r="F6876">
        <f>HYPERLINK("https://www.reddit.com/r/diabetes/comments/bz81cq/advice_again_please/")</f>
        <v/>
      </c>
      <c r="G6876" t="inlineStr">
        <is>
          <t>2019-06-10 21:35:33</t>
        </is>
      </c>
      <c r="H6876" t="inlineStr">
        <is>
          <t>Type 2</t>
        </is>
      </c>
    </row>
    <row r="6877">
      <c r="A6877" t="inlineStr">
        <is>
          <t>bzfg63</t>
        </is>
      </c>
      <c r="B6877" t="inlineStr">
        <is>
          <t>Swimming with freestyle libre</t>
        </is>
      </c>
      <c r="C6877" t="inlineStr">
        <is>
          <t>Alright i am a diabetic type 1. And i have diabetes for 5 years. Now, i love have a libre sensor and a insulin pump. I love swimming, but libre is a problem when i am swimming. It comes off so easily. Now i know you can swim for 30 minutes safely but i would want to swim for longer. I have tried several things, like some stickers i bought online, they cannot last 2 damn seconds in the sea. And i tried one of those waterproof thingies when you have a open wound, they came off so easily. I live in croatia. The reason i made this post was so i could hear if you guys have any idea to keep my sensor alive. I will appreciate any help since i am despereate.</t>
        </is>
      </c>
      <c r="D6877" t="n">
        <v>5</v>
      </c>
      <c r="E6877" t="n">
        <v>5</v>
      </c>
      <c r="F6877">
        <f>HYPERLINK("https://www.reddit.com/r/diabetes/comments/bzfg63/swimming_with_freestyle_libre/")</f>
        <v/>
      </c>
      <c r="G6877" t="inlineStr">
        <is>
          <t>2019-06-11 10:28:52</t>
        </is>
      </c>
      <c r="H6877" t="inlineStr">
        <is>
          <t>Type 1</t>
        </is>
      </c>
    </row>
    <row r="6878">
      <c r="A6878" t="inlineStr">
        <is>
          <t>bziwt0</t>
        </is>
      </c>
      <c r="B6878" t="inlineStr">
        <is>
          <t>Can someone that uses xDrip lend a hand?</t>
        </is>
      </c>
      <c r="C6878" t="inlineStr">
        <is>
          <t>I have a giant favor to ask of any xDrip users out there. First of all, I am not proud that I have to resort to this, but I have no choice right now. I have an appointment with my endocrinologist tomorrow. I use a Dexcom G6 sensor and always have the CGM connected. Can somebody please export their xDrip history for me?
&amp;amp;#x200B;
The issue is, my last appointment with her there was an issue with blood work. I went to the diagnostics center of a large hospital right beside her office and they completely screwed me over. I remember while I was registering, the person assisting me was complaining of "computer issues". I work in the IT business, so I know that can literally mean anything. She seemed to not believe me (despite us having a three way conversation with the lab, and the lab being super confused). That and in combination not having my "units given" manually entered into xDrip each time I give an injection rubbed her the wrong way and I completely understand.
&amp;amp;#x200B;
Fast forward a few months as I am due for another appointment tomorrow. I went to the diagnostics center to get lab work done around 10 days ago, so that part is good to go. However I am currently working two full-time jobs (just temporary, I will be able to quit one of them in a few weeks - long story) and while entering "4 units for dinner", etc. is not difficult, I literally barely have 30 seconds of free time to do anything. This past week I was on call for work which I could not get out of. I drove hours away for a funeral of my favorite uncle and literally had to leave the funeral home to answer a call (if I do not return a call within 15 minutes my job is in jeopardy - could potentially cost company thousands or millions of dollars depending on the issue).
&amp;amp;#x200B;
I am just super drained. I am not trying to hide anything. My BG is not perfect, but it is pretty good overall. I've been a T1 since 2006 and my A1C has been in the 6.2-6.5 range for the past several years. So anyone that uses xDrip and also manually inputs the amount of insulin they inject, please assist me if you can and provide your export. I will send you mine to show I'm not like trying to sneak around becoming a pilot or something, haha.
&amp;amp;#x200B;
Thanks!</t>
        </is>
      </c>
      <c r="D6878" t="n">
        <v>3</v>
      </c>
      <c r="E6878" t="n">
        <v>3</v>
      </c>
      <c r="F6878">
        <f>HYPERLINK("https://www.reddit.com/r/diabetes/comments/bziwt0/can_someone_that_uses_xdrip_lend_a_hand/")</f>
        <v/>
      </c>
      <c r="G6878" t="inlineStr">
        <is>
          <t>2019-06-11 15:09:29</t>
        </is>
      </c>
      <c r="H6878" t="inlineStr">
        <is>
          <t>Type 1</t>
        </is>
      </c>
    </row>
    <row r="6879">
      <c r="A6879" t="inlineStr">
        <is>
          <t>bzj9e3</t>
        </is>
      </c>
      <c r="B6879" t="inlineStr">
        <is>
          <t>Just diagnosed T2</t>
        </is>
      </c>
      <c r="C6879" t="inlineStr">
        <is>
          <t>Ugh what a day. 
I had been feeling dizzy, nauseous, fatigued, and just overall terrible the last few days. My dr sent me for blood work and a bunch of tests and it turns out my blood sugar was at 27 and I was very dehydrated. 
I’ve been in the hospital all day and have had 3 doses of insulin at number 5 on my little pen, and two bags of saline. My BS is down to 20 now. 
Now I have prescriptions for what seems like everything under the sun. 
What a whirlwind.</t>
        </is>
      </c>
      <c r="D6879" t="n">
        <v>5</v>
      </c>
      <c r="E6879" t="n">
        <v>4</v>
      </c>
      <c r="F6879">
        <f>HYPERLINK("https://www.reddit.com/r/diabetes/comments/bzj9e3/just_diagnosed_t2/")</f>
        <v/>
      </c>
      <c r="G6879" t="inlineStr">
        <is>
          <t>2019-06-11 15:41:07</t>
        </is>
      </c>
      <c r="H6879" t="inlineStr">
        <is>
          <t>Type 2</t>
        </is>
      </c>
    </row>
    <row r="6880">
      <c r="A6880" t="inlineStr">
        <is>
          <t>bzliar</t>
        </is>
      </c>
      <c r="B6880" t="inlineStr">
        <is>
          <t>Very random question, but would it be safe for me to visit the Chernobyl Exclusion zone?</t>
        </is>
      </c>
      <c r="C6880" t="inlineStr">
        <is>
          <t>I have been interested in visiting this place for a while, and it seems i may have the chance to go in the next month or so. But i was wondering if my insulin pump and the insulin inside it would be safe from the higher levels of background radiation there? i have been told that it only reaches levels that are similar to the levels seen on long haul flights, but wanted to check with anyone who may have been there before.</t>
        </is>
      </c>
      <c r="D6880" t="n">
        <v>6</v>
      </c>
      <c r="E6880" t="n">
        <v>8</v>
      </c>
      <c r="F6880">
        <f>HYPERLINK("https://www.reddit.com/r/diabetes/comments/bzliar/very_random_question_but_would_it_be_safe_for_me/")</f>
        <v/>
      </c>
      <c r="G6880" t="inlineStr">
        <is>
          <t>2019-06-11 19:22:14</t>
        </is>
      </c>
      <c r="H6880" t="inlineStr">
        <is>
          <t>Type 1</t>
        </is>
      </c>
    </row>
    <row r="6881">
      <c r="A6881" t="inlineStr">
        <is>
          <t>bzlwxl</t>
        </is>
      </c>
      <c r="B6881" t="inlineStr">
        <is>
          <t>omnipod struggles</t>
        </is>
      </c>
      <c r="C6881" t="inlineStr">
        <is>
          <t>I have had allot of pain/ errors with my omnipods, I Mean really_ painful during bleeders the whole 3 days. can anyone give me resons why not to convert to a tslim?</t>
        </is>
      </c>
      <c r="D6881" t="n">
        <v>3</v>
      </c>
      <c r="E6881" t="n">
        <v>10</v>
      </c>
      <c r="F6881">
        <f>HYPERLINK("https://www.reddit.com/r/diabetes/comments/bzlwxl/omnipod_struggles/")</f>
        <v/>
      </c>
      <c r="G6881" t="inlineStr">
        <is>
          <t>2019-06-11 20:04:29</t>
        </is>
      </c>
      <c r="H6881" t="inlineStr">
        <is>
          <t>Type 1</t>
        </is>
      </c>
    </row>
    <row r="6882">
      <c r="A6882" t="inlineStr">
        <is>
          <t>bzqrc7</t>
        </is>
      </c>
      <c r="B6882" t="inlineStr">
        <is>
          <t>Drug that delay delayed progression to clinical type 1 diabetes in high-risk patients!</t>
        </is>
      </c>
      <c r="C6882" t="inlineStr">
        <is>
          <t>[https://www.nejm.org/doi/full/10.1056/NEJMoa1902226?query=featured\_home](https://www.nejm.org/doi/full/10.1056/NEJMoa1902226?query=featured_home)</t>
        </is>
      </c>
      <c r="D6882" t="n">
        <v>6</v>
      </c>
      <c r="E6882" t="n">
        <v>19</v>
      </c>
      <c r="F6882">
        <f>HYPERLINK("https://www.reddit.com/r/diabetes/comments/bzqrc7/drug_that_delay_delayed_progression_to_clinical/")</f>
        <v/>
      </c>
      <c r="G6882" t="inlineStr">
        <is>
          <t>2019-06-12 05:43:20</t>
        </is>
      </c>
      <c r="H6882" t="inlineStr">
        <is>
          <t>Type 1</t>
        </is>
      </c>
    </row>
    <row r="6883">
      <c r="A6883" t="inlineStr">
        <is>
          <t>bzrgyo</t>
        </is>
      </c>
      <c r="B6883" t="inlineStr">
        <is>
          <t>I gave up trying to get a dexcom</t>
        </is>
      </c>
      <c r="C6883" t="inlineStr">
        <is>
          <t>a while back I made a post about getting approved to get a dexcom, I think it was over 2 months ago. and yep, the representatives STILL have not had clear communication with me.
I keep getting bounced around between different reps because of my insurance (WA applehealth). They have NEVER called me at an appropriate time (either 8am or earlier I'm not even kidding or later at night past 5pm) and it's hardly ever the same phone number since they keep passing me around. Emailing has also been a huge failure because by the time that rep gets to that email, someone else is in charge of it!! &amp;gt;:(( 
I got my a1c back not too long ago - a 6.4!! - and after seeing that WITHOUT having a dexcom OR pump, I decided to give up on the dexcom. 
The only reason I was getting one in the first place is because my doctor really pushed it on me. I told her no for months - my previous doctor no for YEARS - until they finally insisted since "(my) your insurance takes it anyway so why not!!"
well now I'm in a circle of headaches over equipment I didn't want in the first place. maybe sometime in the future or when I'm 30 but if I've gone my whole life without one so far, I think I'm good for a little longer.</t>
        </is>
      </c>
      <c r="D6883" t="n">
        <v>5</v>
      </c>
      <c r="E6883" t="n">
        <v>10</v>
      </c>
      <c r="F6883">
        <f>HYPERLINK("https://www.reddit.com/r/diabetes/comments/bzrgyo/i_gave_up_trying_to_get_a_dexcom/")</f>
        <v/>
      </c>
      <c r="G6883" t="inlineStr">
        <is>
          <t>2019-06-12 06:50:22</t>
        </is>
      </c>
      <c r="H6883" t="inlineStr">
        <is>
          <t>Type 1</t>
        </is>
      </c>
    </row>
    <row r="6884">
      <c r="A6884" t="inlineStr">
        <is>
          <t>bzrqhs</t>
        </is>
      </c>
      <c r="B6884" t="inlineStr">
        <is>
          <t>My story so far</t>
        </is>
      </c>
      <c r="C6884" t="inlineStr">
        <is>
          <t>Hi everyone, so I've posted here a few times before but I just wanted to talk about my full story.
I was diagnosed with type 1 diabetes back in august after I had a hospital visit for DKA and my life has been a bit of a rollercoaster since :( once out of hospital, i was put on 22units of lantus and 8 unite of humalog each meal unless I was too low. I made the mistake of having my pcp manage it and he wanted to minimize my use of humalog cuz he kept saying it was dangerous and i believe Im still honeymooning so he kept increasing my lantus dose up to 35u, changer me to a dosage scale where i wouldnt take any humalog with meals unless my bg was above 180 and eventually put me on metformin back in November. 
Since then i have been have hypos almost everyday and even 1 severe incident at the end of november where my mom found me unresponsive in my room. When she tested my bg, it was at 27 and she had to give me a bunch of soda to bring it back up. I have no memory of the event.
I went back to my pcp and we began lowering my lantus dosages back down to 22u but i continued to have hypos a lot, especially upon waking up. Even if I did have a high, I became incredibly sensitive to my humalog to the point that if I was at 207mg and took 2units with a meal, I'd be at 55mg 4 hours later.
I finally got tired of dealing with my pcp last month and made an appointment with a diabetes educator and an endocrinologist. I had my appointment with the educator yesterday and she couldnt believe how my doctor had been managing my diabetes.
Consulting with an endo, she told me to stop taking metformin so I had my last dose of that yesterday, lowered my lantus to 12u and gave me a tighter scale for my humalog dosages so that i would pretty much be taking humalog at every meal starting at 4 units if im at 100-150mg and an extra unit for each 50 that im above that, with no humalog if im below 100.
She's also putting in an order for me to get a dexcom because I've become hypo unaware and said we could talk pumps if my insurance covers and allows me to get the dexcom since ive recently developed severe anxiety with injections.
My endocrinoligist appointment has also been moved up to Augest 12th. Im so glad im finally able to get help and start undoing the stuff my pcp had me doing.
It still is a very stressful time for me, because ive grown to fear my humalog so much because of how sensitive I was to it before and I'll be taking more now, the educator said that it should balance out cuz of the massuve decrease in my lantus, but i still feel a really scared of having a severe hypo.
I email her my bg numbers with the new insulin dosages on friday and see where we go from there.</t>
        </is>
      </c>
      <c r="D6884" t="n">
        <v>3</v>
      </c>
      <c r="E6884" t="n">
        <v>13</v>
      </c>
      <c r="F6884">
        <f>HYPERLINK("https://www.reddit.com/r/diabetes/comments/bzrqhs/my_story_so_far/")</f>
        <v/>
      </c>
      <c r="G6884" t="inlineStr">
        <is>
          <t>2019-06-12 07:13:21</t>
        </is>
      </c>
      <c r="H6884" t="inlineStr">
        <is>
          <t>Type 1</t>
        </is>
      </c>
    </row>
    <row r="6885">
      <c r="A6885" t="inlineStr">
        <is>
          <t>bzta1i</t>
        </is>
      </c>
      <c r="B6885" t="inlineStr">
        <is>
          <t>how do your introduce to your friends about you situation</t>
        </is>
      </c>
      <c r="C6885" t="inlineStr">
        <is>
          <t xml:space="preserve"> in a way that makes sence and without putting them off.</t>
        </is>
      </c>
      <c r="D6885" t="n">
        <v>4</v>
      </c>
      <c r="E6885" t="n">
        <v>15</v>
      </c>
      <c r="F6885">
        <f>HYPERLINK("https://www.reddit.com/r/diabetes/comments/bzta1i/how_do_your_introduce_to_your_friends_about_you/")</f>
        <v/>
      </c>
      <c r="G6885" t="inlineStr">
        <is>
          <t>2019-06-12 09:25:53</t>
        </is>
      </c>
      <c r="H6885" t="inlineStr">
        <is>
          <t>Type 1</t>
        </is>
      </c>
    </row>
    <row r="6886">
      <c r="A6886" t="inlineStr">
        <is>
          <t>bzvg2a</t>
        </is>
      </c>
      <c r="B6886" t="inlineStr">
        <is>
          <t>Best A1c Yet!</t>
        </is>
      </c>
      <c r="C6886" t="inlineStr">
        <is>
          <t>Yesterday I went to the endo and when I got my A1c back it was a 7.7! I know this thread has seen lower but this is the best number I can remember getting since I was diagnosed 11.5 years ago. There were times when doctors, family, friends, and even me myself were concerned about my health both long-term and short-term because I struggled to even manage my diabetes for so long and for the first time I feel like I can move on from those worries and celebrate a new chapter of health in my life.</t>
        </is>
      </c>
      <c r="D6886" t="n">
        <v>20</v>
      </c>
      <c r="E6886" t="n">
        <v>5</v>
      </c>
      <c r="F6886">
        <f>HYPERLINK("https://www.reddit.com/r/diabetes/comments/bzvg2a/best_a1c_yet/")</f>
        <v/>
      </c>
      <c r="G6886" t="inlineStr">
        <is>
          <t>2019-06-12 12:20:50</t>
        </is>
      </c>
      <c r="H6886" t="inlineStr">
        <is>
          <t>Type 1</t>
        </is>
      </c>
    </row>
    <row r="6887">
      <c r="A6887" t="inlineStr">
        <is>
          <t>bzwj8p</t>
        </is>
      </c>
      <c r="B6887" t="inlineStr">
        <is>
          <t>FreeStyle Libre 14 Day Reader</t>
        </is>
      </c>
      <c r="C6887" t="inlineStr">
        <is>
          <t>I've been using the 10-day reader and sensors for almost a year now and recently changed to the 14-day reader.   Put the first sensor on and scanned it with the reader.  Waited for an hour as the reader said to and then scanned the sensor again.  Received the result.  That's the last time it worked.  The reader doesn't read the sensor. 
For fun, I tried with the 10-day reader and it said the sensor was not compatible.  But it knew the sensor was there.
I called Abbot, waited for 45 minutes to get the call answered, walked through a ton of "troubleshooting" only to have them say the problem is with the sensor.   Experience tells me that arguing will get me nowhere.  T=Sbbott is sending me another Sensor.
I went home and replaced the sensor with another one I had and found that the reader still doesn't work.  Now I have to call them back to report my new findings.
Has anyone had to deal with Abbott support like this?</t>
        </is>
      </c>
      <c r="D6887" t="n">
        <v>3</v>
      </c>
      <c r="E6887" t="n">
        <v>2</v>
      </c>
      <c r="F6887">
        <f>HYPERLINK("https://www.reddit.com/r/diabetes/comments/bzwj8p/freestyle_libre_14_day_reader/")</f>
        <v/>
      </c>
      <c r="G6887" t="inlineStr">
        <is>
          <t>2019-06-12 13:49:05</t>
        </is>
      </c>
      <c r="H6887" t="inlineStr">
        <is>
          <t>Type 2</t>
        </is>
      </c>
    </row>
    <row r="6888">
      <c r="A6888" t="inlineStr">
        <is>
          <t>c013jp</t>
        </is>
      </c>
      <c r="B6888" t="inlineStr">
        <is>
          <t>Question about metformin</t>
        </is>
      </c>
      <c r="C6888" t="inlineStr">
        <is>
          <t>Short history, Diagnosed metabolic syndrome type 2. Bp issues cholesterol tri-g all high and bad. This was Dec. 18 flash forward after diet change and lifestyle changes ac1 from 7.8 to 4.9 all other number perfect. Doc lowered my meds. Specifically metformin from 2k per day to 1k. Is it ok to not take the whole 1k at once but split it? I find sometimes after my workout and such almost like I’m low. I check my blood it’s at 80 and I usually stay at 90. I wanted to split it 500 morn 500 evening an of this continues call my doc and possibly go even lower. Thank you I advance.</t>
        </is>
      </c>
      <c r="D6888" t="n">
        <v>2</v>
      </c>
      <c r="E6888" t="n">
        <v>2</v>
      </c>
      <c r="F6888">
        <f>HYPERLINK("https://www.reddit.com/r/diabetes/comments/c013jp/question_about_metformin/")</f>
        <v/>
      </c>
      <c r="G6888" t="inlineStr">
        <is>
          <t>2019-06-12 21:03:11</t>
        </is>
      </c>
      <c r="H6888" t="inlineStr">
        <is>
          <t>Type 2</t>
        </is>
      </c>
    </row>
    <row r="6889">
      <c r="A6889" t="inlineStr">
        <is>
          <t>c06onq</t>
        </is>
      </c>
      <c r="B6889" t="inlineStr">
        <is>
          <t>4 Month after diagnosis, my endocrinologist still not 100% sure what types of diabetes I have!</t>
        </is>
      </c>
      <c r="C6889" t="inlineStr">
        <is>
          <t>Okay, long story but I will try my best to make it concise. Around late November of 2018, I started to lose weight without even trying and I  was peeing a lot. I lost 50lbs from late November until early February. I started feeling really sick early February 2019 and I went to the hospital due to hyperglycemia. My blood sugar was over 400 and I was told that I have type 1 diabetes. I asked the doctor at the hospital why he is so sure I have type 1 instead of type 2 diabetes, he told me that there was a lot of ketones in my blood and I have DKA(which is unusual for type 2), also he tells me that I am a bit young for type 2 diabetes since I am only 25. Plus the fact that I lost 50lbs around 2.5 months before I was diagnosed(which is also unusual for type 2).
&amp;amp;#x200B;
When I went to see my endocrinologist a month later, he tells me that he is not 100% sure that I am type 1 but he is only 90% sure(lol?). He said I tested negative for the antibodies so he ordered a bunch of different blood test for me so he can be 100% certain what types of diabetes I have. Two months later, I had all the blood work done and I went to see him yesterday, he tells the same thing he told me last time. "well I will treat you as a type 1 for now but I am still not sure what types of diabetes you have because you tested negative for the antibodies again, I am 90% sure that you have type 1 but there is still a chance you are type 2". He also tells me that he approved me for a bump but I should wait until the next meeting with him before I order the pump.
&amp;amp;#x200B;
I guess I should get a second opinion from a different endo?</t>
        </is>
      </c>
      <c r="D6889" t="n">
        <v>6</v>
      </c>
      <c r="E6889" t="n">
        <v>11</v>
      </c>
      <c r="F6889">
        <f>HYPERLINK("https://www.reddit.com/r/diabetes/comments/c06onq/4_month_after_diagnosis_my_endocrinologist_still/")</f>
        <v/>
      </c>
      <c r="G6889" t="inlineStr">
        <is>
          <t>2019-06-13 07:44:33</t>
        </is>
      </c>
      <c r="H6889" t="inlineStr">
        <is>
          <t>Type 1</t>
        </is>
      </c>
    </row>
    <row r="6890">
      <c r="A6890" t="inlineStr">
        <is>
          <t>c0706q</t>
        </is>
      </c>
      <c r="B6890" t="inlineStr">
        <is>
          <t>Could my tendon pain be diabetes?</t>
        </is>
      </c>
      <c r="C6890" t="inlineStr">
        <is>
          <t>Okay, I know the answer ultimately will be 'see your GP' - and this is booked in for week after next - however, I wondered if anyone has experienced tendon and joint pain as an immediate reaction to diet?
&amp;amp;#x200B;
I've been having various issues with tendon pain over the last few years.  Most recently with a real bad case of tendonitis in both heels.  Now, it has progressed to pain in almost all joints -- elbows, knees, shoulders, fingers.  
&amp;amp;#x200B;
It also seems to be directly connected to what I eat and drink.  Within minutes of eating, I start to feel pain -- my shoulders seem to be the worst.  The more sugary or unhealthy the food, the more pronounced the pain. I also love a beer, but unfortunately alcohol particularly exacerbates the symptoms.  A big night and my tendons will be sore.
&amp;amp;#x200B;
Guess it could be age and wear &amp;amp; tear, but seems too closely linked to diet to be a coincidence..
&amp;amp;#x200B;
Also, I wondered if Type 2 diabetes could be picked up if my blood sugar is currently under control (I have been tested in the past with no symptoms, but I typically yo-yo in and out of good health).</t>
        </is>
      </c>
      <c r="D6890" t="n">
        <v>2</v>
      </c>
      <c r="E6890" t="n">
        <v>3</v>
      </c>
      <c r="F6890">
        <f>HYPERLINK("https://www.reddit.com/r/diabetes/comments/c0706q/could_my_tendon_pain_be_diabetes/")</f>
        <v/>
      </c>
      <c r="G6890" t="inlineStr">
        <is>
          <t>2019-06-13 08:11:19</t>
        </is>
      </c>
      <c r="H6890" t="inlineStr">
        <is>
          <t>Type 2</t>
        </is>
      </c>
    </row>
    <row r="6891">
      <c r="A6891" t="inlineStr">
        <is>
          <t>c07fvw</t>
        </is>
      </c>
      <c r="B6891" t="inlineStr">
        <is>
          <t>Experiences in France</t>
        </is>
      </c>
      <c r="C6891" t="inlineStr">
        <is>
          <t>Just thought I would post a quick note about my experiences in French for insulin and libre procurement.  First, realize that their pharmacies do not operate on hours that most American would recognize.  Most were closed on the weekend, which majorly sucked for me since I was in Normandie during the first couple of days and pharmacies were few and far between.  
I ended up getting one package of Levemir and one of Tresiba (Tresiba was MUCH harder to find).  However, I had to struggle to find them because most pharmacies recognized me as American and told me that I needed a prescription to buy them (though if I was German or pretty much anyone else, they would have given them to me).  Finally found two different places that didn't tell me that and I got Levemir 5 Pen U-100 for 46 euros and Tresiba 3 Pen U-200 for 60 euro.  But just one.  Fortunately I had enough Tresiba for me because I couldn't get it until the last day of the trip and find a pharmacy open on Whit Monday.  
Freestyle Libres, however, were available EVERYWHERE.  34 euros.  The hardest part was convincing my phone to let me download the French version of the Libre app (my Android phone screen cracked in the airport, so no Glimp).</t>
        </is>
      </c>
      <c r="D6891" t="n">
        <v>4</v>
      </c>
      <c r="E6891" t="n">
        <v>0</v>
      </c>
      <c r="F6891">
        <f>HYPERLINK("https://www.reddit.com/r/diabetes/comments/c07fvw/experiences_in_france/")</f>
        <v/>
      </c>
      <c r="G6891" t="inlineStr">
        <is>
          <t>2019-06-13 08:47:35</t>
        </is>
      </c>
      <c r="H6891" t="inlineStr">
        <is>
          <t>Type 1.5/LADA</t>
        </is>
      </c>
    </row>
    <row r="6892">
      <c r="A6892" t="inlineStr">
        <is>
          <t>c081ko</t>
        </is>
      </c>
      <c r="B6892" t="inlineStr">
        <is>
          <t>Woot! -T2 and got a script for Freestyle Libre - everything is so much better!</t>
        </is>
      </c>
      <c r="C6892" t="inlineStr">
        <is>
          <t>Even better - insurance is covering 100%.  
T2 non-insulin dependent - recently fallen off the wagon on management, ended up with an MI and getting a stent. . .now struggling to get back in control.   
Less than 24 hours in and this is a huge improvement.
&amp;amp;#x200B;
No more finger sticks, yea!  
Meter itself seems super accurate.  Very confidence inspiring. 
&amp;amp;#x200B;
So much more data now I can see what's happening over night, between meals, see how food, activity, sleep, stress impact BG levels in real time.  This is going to be a huge benefit in making decisions.  
&amp;amp;#x200B;
Freedom to being able to test whenever I want is just so great.  Honestly, if I had had this before it would have been so much easier to stay on track.    
I know these things aren't prescribed much for T2s who manage w/o insulin, but they really should consider giving more access to this tech.</t>
        </is>
      </c>
      <c r="D6892" t="n">
        <v>7</v>
      </c>
      <c r="E6892" t="n">
        <v>21</v>
      </c>
      <c r="F6892">
        <f>HYPERLINK("https://www.reddit.com/r/diabetes/comments/c081ko/woot_t2_and_got_a_script_for_freestyle_libre/")</f>
        <v/>
      </c>
      <c r="G6892" t="inlineStr">
        <is>
          <t>2019-06-13 09:35:23</t>
        </is>
      </c>
      <c r="H6892" t="inlineStr">
        <is>
          <t>Type 2</t>
        </is>
      </c>
    </row>
    <row r="6893">
      <c r="A6893" t="inlineStr">
        <is>
          <t>c0esrz</t>
        </is>
      </c>
      <c r="B6893" t="inlineStr">
        <is>
          <t>Just found out my A1C is 6.2, knowing 6.5 is diabetes. I'm scared!!! Wtf do I do? Can I reverse it? Am I doomed to get it?</t>
        </is>
      </c>
      <c r="C6893" t="inlineStr">
        <is>
          <t>I also have celiac disease too. I wanna lower my carb intake etc, but don't know how many is too many, whats a good amount? Etc. I know somewhat about fiber, and it's role with carbs. Complex vs simple etc. But not much. Like is just stopping eating ice cream and sugary snacks enough? Do I need to stop eating all carby foods like panda puffs cereal for breakfast? Can I still eat a sandwich for lunch with gluten free bread? Are potatoes ok? Sweet potatoes? Is brown rice bad now too?</t>
        </is>
      </c>
      <c r="D6893" t="n">
        <v>0</v>
      </c>
      <c r="E6893" t="n">
        <v>13</v>
      </c>
      <c r="F6893">
        <f>HYPERLINK("https://www.reddit.com/r/diabetes/comments/c0esrz/just_found_out_my_a1c_is_62_knowing_65_is/")</f>
        <v/>
      </c>
      <c r="G6893" t="inlineStr">
        <is>
          <t>2019-06-13 19:37:07</t>
        </is>
      </c>
      <c r="H6893" t="inlineStr">
        <is>
          <t>Type 2</t>
        </is>
      </c>
    </row>
    <row r="6894">
      <c r="A6894" t="inlineStr">
        <is>
          <t>c0os30</t>
        </is>
      </c>
      <c r="B6894" t="inlineStr">
        <is>
          <t>Youtube series</t>
        </is>
      </c>
      <c r="C6894" t="inlineStr">
        <is>
          <t>Hi, I'm a type 1 diabetic and for ages I've thought of ways to share information and advice about living with diabetes. I tried blogging and it didnt feel like it accomplished anything.
Do you guys think a series of videos based on living with T1D would be worth it and could help people?
For example the first would be about diagnosis and I would explain my diagnosis then give some advice for anyome going through it or anyone who knows someone who is.
I don't know if it would genuinely help people that's my problem.
Let me know!</t>
        </is>
      </c>
      <c r="D6894" t="n">
        <v>2</v>
      </c>
      <c r="E6894" t="n">
        <v>4</v>
      </c>
      <c r="F6894">
        <f>HYPERLINK("https://www.reddit.com/r/diabetes/comments/c0os30/youtube_series/")</f>
        <v/>
      </c>
      <c r="G6894" t="inlineStr">
        <is>
          <t>2019-06-14 13:18:48</t>
        </is>
      </c>
      <c r="H6894" t="inlineStr">
        <is>
          <t>Type 1</t>
        </is>
      </c>
    </row>
    <row r="6895">
      <c r="A6895" t="inlineStr">
        <is>
          <t>c0vvct</t>
        </is>
      </c>
      <c r="B6895" t="inlineStr">
        <is>
          <t>Minimed Mio Does *Not* Click Into Place with Reservoir</t>
        </is>
      </c>
      <c r="C6895" t="inlineStr">
        <is>
          <t>Has anyone else had this issue? I am traveling and have now gone through multiple reservoirs and Minimed Mio infusion sets where the reservoir turns and tightens onto the infusion set cap, but does not click. Is this safe to use? Have others experienced this? Getting frustrated and don't have that many sets left.</t>
        </is>
      </c>
      <c r="D6895" t="n">
        <v>6</v>
      </c>
      <c r="E6895" t="n">
        <v>4</v>
      </c>
      <c r="F6895">
        <f>HYPERLINK("https://www.reddit.com/r/diabetes/comments/c0vvct/minimed_mio_does_not_click_into_place_with/")</f>
        <v/>
      </c>
      <c r="G6895" t="inlineStr">
        <is>
          <t>2019-06-15 03:20:01</t>
        </is>
      </c>
      <c r="H6895" t="inlineStr">
        <is>
          <t>Type 1</t>
        </is>
      </c>
    </row>
    <row r="6896">
      <c r="A6896" t="inlineStr">
        <is>
          <t>c11ftk</t>
        </is>
      </c>
      <c r="B6896" t="inlineStr">
        <is>
          <t>how to lose weight with type 1 diabetes</t>
        </is>
      </c>
      <c r="C6896" t="inlineStr">
        <is>
          <t>Hi.
most of my life I have been a 180 lb person. I am 5'4.
For some reason, after taking many psych meds for a year I gained 50lbs which puts me at 230 lbs.
&amp;amp;#x200B;
Before, my a1c was always at a 8.0 which is an average of 190.
&amp;amp;#x200B;
Thanks to a new medication, jardiance, my glucose is more under control. my avg blood sugar is 139 which puts it at a 6.4.
&amp;amp;#x200B;
does anyone know how to lose weight like this?
&amp;amp;#x200B;
my a1c might be lower in the next couple of months like at a 5 thanks to the jardiance medication.
&amp;amp;#x200B;
anyone have any ideas on how to lose weight now that I have less inflamation and a much much better sugar control??</t>
        </is>
      </c>
      <c r="D6896" t="n">
        <v>2</v>
      </c>
      <c r="E6896" t="n">
        <v>9</v>
      </c>
      <c r="F6896">
        <f>HYPERLINK("https://www.reddit.com/r/diabetes/comments/c11ftk/how_to_lose_weight_with_type_1_diabetes/")</f>
        <v/>
      </c>
      <c r="G6896" t="inlineStr">
        <is>
          <t>2019-06-15 12:59:16</t>
        </is>
      </c>
      <c r="H6896" t="inlineStr">
        <is>
          <t>Type 1</t>
        </is>
      </c>
    </row>
    <row r="6897">
      <c r="A6897" t="inlineStr">
        <is>
          <t>c18659</t>
        </is>
      </c>
      <c r="B6897" t="inlineStr">
        <is>
          <t>Metformin side effects question</t>
        </is>
      </c>
      <c r="C6897" t="inlineStr">
        <is>
          <t>Hi, sorry if this has been asked before, I have recently been diagnosed as type 2 and have been prescribed Metformin. However I am getting side effects with my stomach such as nausea and diarrhoea. Does your body get used to Metformin after a while and the side effects reduce or will it be constant? Also will it be safe to take imodium while using Metformin?</t>
        </is>
      </c>
      <c r="D6897" t="n">
        <v>2</v>
      </c>
      <c r="E6897" t="n">
        <v>6</v>
      </c>
      <c r="F6897">
        <f>HYPERLINK("https://www.reddit.com/r/diabetes/comments/c18659/metformin_side_effects_question/")</f>
        <v/>
      </c>
      <c r="G6897" t="inlineStr">
        <is>
          <t>2019-06-16 02:31:35</t>
        </is>
      </c>
      <c r="H6897" t="inlineStr">
        <is>
          <t>Type 2</t>
        </is>
      </c>
    </row>
    <row r="6898">
      <c r="A6898" t="inlineStr">
        <is>
          <t>c1a96m</t>
        </is>
      </c>
      <c r="B6898" t="inlineStr">
        <is>
          <t>Newly minted T1.5/LADA seeking info/ books</t>
        </is>
      </c>
      <c r="C6898" t="inlineStr">
        <is>
          <t>A few months back I was diagnosed with T2, but after seeing the Endo recently, turns out I've leveled up to T1.5. I've done a bunch of homework already and have successfully changed my diet to reduce my A1C(8.2 at dx to 5.5 current). However, I know the next few months/years is gonna be a lil funky as my insulin factory slows production. Does anyone have a favorite book for T1 or LADA? I've seen a lot that are more T2 specific, but want to learn more about my personal diabetes brand. Also any tips would be appreciated!!</t>
        </is>
      </c>
      <c r="D6898" t="n">
        <v>2</v>
      </c>
      <c r="E6898" t="n">
        <v>6</v>
      </c>
      <c r="F6898">
        <f>HYPERLINK("https://www.reddit.com/r/diabetes/comments/c1a96m/newly_minted_t15lada_seeking_info_books/")</f>
        <v/>
      </c>
      <c r="G6898" t="inlineStr">
        <is>
          <t>2019-06-16 07:07:50</t>
        </is>
      </c>
      <c r="H6898" t="inlineStr">
        <is>
          <t>Type 1.5/LADA</t>
        </is>
      </c>
    </row>
    <row r="6899">
      <c r="A6899" t="inlineStr">
        <is>
          <t>c1gpe3</t>
        </is>
      </c>
      <c r="B6899" t="inlineStr">
        <is>
          <t>DKA is a wild ride</t>
        </is>
      </c>
      <c r="C6899" t="inlineStr">
        <is>
          <t>I’m 37, and I recently had my first (hopefully last) bout with DKA.
What shocked me most was how suddenly it came on, and how alert I was for it...it was almost like being paralyzed. Aware of surroundings but not able to do anything.
Here’s the sequence as I can remember:
Over the last few weeks, I noticed a change in my appetite, I wasn’t as hungry as I typically had been - I’d get hungry and want to eat, but I’d have something normal for me and find that I couldn’t eat half of it without feeling full.  Occasionally I’d eat and get this almost heartburn feeling.  I could rest, have some water, and be good.
It was Wednesday, I hadn’t felt great and didn’t feel like eating all day. The mistake I made was not constantly checking my numbers because I felt sick and rather knowing I wasn’t eating I let it go.  I went to sleep around 7pm so I could wake up and go to work in the morning.  I woke up at midnight not feeling right.  As soon as I got out of bed, I felt steady on my feet but my coordination was off, bouncing into the doorway on my way out of the room to get a glass of water. That heartburn feeling was intensifying and the water didn’t help.  I wound up vomiting and not able to catch my breath much.  All I wanted to do at that point was lay on the floor and not spend any energy moving at all.  I contemplated the situation and decided I should go to the hospital. In that moment, I was thinking of driving myself - I was alert, talking, able to move. I didn’t want to call an ambulance just for a ride.  It didn’t take long but I came to my senses....I was struggling to breath, but making a checklist and made a phone call to work that I wasn’t going to make it for my shift in the morning.  I woke my daughter up and told her to get dressed so we could go for a ride. I called for an ambulance, went outside and locked the door and sat in my driveway - still not understanding the situation I was in.  The fire guys showed up first, checked my sugar - they said it was 305. I knew I hadn’t eaten, but I’ve been 300’s before and never felt anything like this.  The ambulance got there and their meter had me at 600+ on multiple tests.  I remember getting in the ambulance and talking to the paramedic. But...I was in pain and not able to breath well.  We got to the ER and I remember a few nurses telling me to slow my breathing. That’s when I looked and my chest was jumping up and down...the monitors were beeping and it said I was in extreme tachycardia. I remember being aware of all these things....and all I could think was I’d get an IV and insulin and sent home in a few hours. The Doctor came in and I heard him say I was going to the ICU and that I was in pretty rough shape.  I was kept on liquids only for 3 days before I was allowed to have real food.  I was weak and struggled to move much for the first few days.  It was scary stuff.
Now I’m home and in no hurry to get back to the hospital for any reason.</t>
        </is>
      </c>
      <c r="D6899" t="n">
        <v>22</v>
      </c>
      <c r="E6899" t="n">
        <v>7</v>
      </c>
      <c r="F6899">
        <f>HYPERLINK("https://www.reddit.com/r/diabetes/comments/c1gpe3/dka_is_a_wild_ride/")</f>
        <v/>
      </c>
      <c r="G6899" t="inlineStr">
        <is>
          <t>2019-06-16 16:53:18</t>
        </is>
      </c>
      <c r="H6899" t="inlineStr">
        <is>
          <t>Type 1</t>
        </is>
      </c>
    </row>
    <row r="6900">
      <c r="A6900" t="inlineStr">
        <is>
          <t>c1l03j</t>
        </is>
      </c>
      <c r="B6900" t="inlineStr">
        <is>
          <t>Remotely testing blood sugar without having to use blood tester in public?</t>
        </is>
      </c>
      <c r="C6900" t="inlineStr">
        <is>
          <t>Hi Guys.
I've been diabetic for 12 years and one thing that gets me about being a Diabetic is having to test openly, and in most cases, in public.
I'm not sure if I'm making this up or not, but are there Glucose testers available which can transmit data from say, a patch on your person to a blood testing machine which you keep on you. Thus preventing the user from having to openly check and fingerprick in public areas?
Thanks for your help.</t>
        </is>
      </c>
      <c r="D6900" t="n">
        <v>9</v>
      </c>
      <c r="E6900" t="n">
        <v>6</v>
      </c>
      <c r="F6900">
        <f>HYPERLINK("https://www.reddit.com/r/diabetes/comments/c1l03j/remotely_testing_blood_sugar_without_having_to/")</f>
        <v/>
      </c>
      <c r="G6900" t="inlineStr">
        <is>
          <t>2019-06-17 01:17:13</t>
        </is>
      </c>
      <c r="H6900" t="inlineStr">
        <is>
          <t>Type 1</t>
        </is>
      </c>
    </row>
    <row r="6901">
      <c r="A6901" t="inlineStr">
        <is>
          <t>c1ldz8</t>
        </is>
      </c>
      <c r="B6901" t="inlineStr">
        <is>
          <t>How to exercise?</t>
        </is>
      </c>
      <c r="C6901" t="inlineStr">
        <is>
          <t>So I just found this sub and I’ve been meaning to ask my doctor about it. How can I lose weight while also eating enough carbs? Is it just counting calories or what?</t>
        </is>
      </c>
      <c r="D6901" t="n">
        <v>4</v>
      </c>
      <c r="E6901" t="n">
        <v>15</v>
      </c>
      <c r="F6901">
        <f>HYPERLINK("https://www.reddit.com/r/diabetes/comments/c1ldz8/how_to_exercise/")</f>
        <v/>
      </c>
      <c r="G6901" t="inlineStr">
        <is>
          <t>2019-06-17 02:13:34</t>
        </is>
      </c>
      <c r="H6901" t="inlineStr">
        <is>
          <t>Type 1</t>
        </is>
      </c>
    </row>
    <row r="6902">
      <c r="A6902" t="inlineStr">
        <is>
          <t>c1lfyv</t>
        </is>
      </c>
      <c r="B6902" t="inlineStr">
        <is>
          <t>Diabetes app prototype /T2</t>
        </is>
      </c>
      <c r="C6902" t="inlineStr">
        <is>
          <t>Hello diabetes community,
For a project I am currently working on at my university I am developing an app interface which should make keeping track of your data a bit more fun by adding small game elements (avatar, points, achievements). As I am no expert on living with diabetes, I hope some of you could take a look at my prototype and place some comments for improvement. Mention anything that comes to mind. This would really help me out, thanks in advance!</t>
        </is>
      </c>
      <c r="D6902" t="n">
        <v>3</v>
      </c>
      <c r="E6902" t="n">
        <v>2</v>
      </c>
      <c r="F6902">
        <f>HYPERLINK("https://www.reddit.com/r/diabetes/comments/c1lfyv/diabetes_app_prototype_t2/")</f>
        <v/>
      </c>
      <c r="G6902" t="inlineStr">
        <is>
          <t>2019-06-17 02:21:10</t>
        </is>
      </c>
      <c r="H6902" t="inlineStr">
        <is>
          <t>Type 2</t>
        </is>
      </c>
    </row>
    <row r="6903">
      <c r="A6903" t="inlineStr">
        <is>
          <t>c1mb5f</t>
        </is>
      </c>
      <c r="B6903" t="inlineStr">
        <is>
          <t>T1D and life expectancy</t>
        </is>
      </c>
      <c r="C6903" t="inlineStr">
        <is>
          <t>I’ve been a T1 since I was 23 (I’m now 38). 
Every now and then, I’ll read something that states T2 knocks about 10 yrs off your life, while T1 seems to knock about 20 years off your life. 
Is this assuming T1 was diagnosed as a child, so you’ve obviously been suffering with it for a lot longer than the average T2?
Also, 20 years is A LOT. If a T1 is able to maintain SOMEWHAT decent BG control over the course of their life, I dont see how 20 YEARS just gets wiped off your life. 
Maybe Im just feeling extra blah today, but was just curious on what other T1s think about this and if a 20 year cut is “common”.</t>
        </is>
      </c>
      <c r="D6903" t="n">
        <v>9</v>
      </c>
      <c r="E6903" t="n">
        <v>13</v>
      </c>
      <c r="F6903">
        <f>HYPERLINK("https://www.reddit.com/r/diabetes/comments/c1mb5f/t1d_and_life_expectancy/")</f>
        <v/>
      </c>
      <c r="G6903" t="inlineStr">
        <is>
          <t>2019-06-17 04:16:52</t>
        </is>
      </c>
      <c r="H6903" t="inlineStr">
        <is>
          <t>Type 1</t>
        </is>
      </c>
    </row>
    <row r="6904">
      <c r="A6904" t="inlineStr">
        <is>
          <t>c1rdwy</t>
        </is>
      </c>
      <c r="B6904" t="inlineStr">
        <is>
          <t>670G... Sensor Questions/Rant</t>
        </is>
      </c>
      <c r="C6904" t="inlineStr">
        <is>
          <t>"You need the 670G" my doc said.
"Artificial Pancreas" the world said.
I've adamantly been an anti-pumper.  Mostly because I didn't want a thing attached me at all times.  I had a Dexcom CGM though.  I loved that thing, but injections just didn't seem to be working for me.  So I took the leap, and for the most part I don't hate it.  I'm still not a fan of having a thing attached to me, but I'm learning to live with it.
What I do hate though... is the Guardian sensor. It doesn't stay in, or somehow the connection gets lost constantly.  For no reason the Isig History is just blank.  Blank for the last few hours.  Which means I'm going to have to insert a new one AGAIN.
And also... there's not a sticky enough tape in the world to hold this thing in place, and the tegaderm is leaving a square shaped rash on my arm. Only my arm which is weird.  
Looking for tape solutions and if anyone knows what a blank Isig means as apposed to a low one.</t>
        </is>
      </c>
      <c r="D6904" t="n">
        <v>3</v>
      </c>
      <c r="E6904" t="n">
        <v>6</v>
      </c>
      <c r="F6904">
        <f>HYPERLINK("https://www.reddit.com/r/diabetes/comments/c1rdwy/670g_sensor_questionsrant/")</f>
        <v/>
      </c>
      <c r="G6904" t="inlineStr">
        <is>
          <t>2019-06-17 11:46:52</t>
        </is>
      </c>
      <c r="H6904" t="inlineStr">
        <is>
          <t>Type 1</t>
        </is>
      </c>
    </row>
    <row r="6905">
      <c r="A6905" t="inlineStr">
        <is>
          <t>c1w5ym</t>
        </is>
      </c>
      <c r="B6905" t="inlineStr">
        <is>
          <t>android and dexcom</t>
        </is>
      </c>
      <c r="C6905" t="inlineStr">
        <is>
          <t>I was looking into getting a new android based phone. Based off of dexcoms website android smartwatches work as well. Not sure which ones, though. Any help?</t>
        </is>
      </c>
      <c r="D6905" t="n">
        <v>2</v>
      </c>
      <c r="E6905" t="n">
        <v>13</v>
      </c>
      <c r="F6905">
        <f>HYPERLINK("https://www.reddit.com/r/diabetes/comments/c1w5ym/android_and_dexcom/")</f>
        <v/>
      </c>
      <c r="G6905" t="inlineStr">
        <is>
          <t>2019-06-17 18:42:51</t>
        </is>
      </c>
      <c r="H6905" t="inlineStr">
        <is>
          <t>Type 1</t>
        </is>
      </c>
    </row>
    <row r="6906">
      <c r="A6906" t="inlineStr">
        <is>
          <t>c1z3tr</t>
        </is>
      </c>
      <c r="B6906" t="inlineStr">
        <is>
          <t>Question on Neuropathy</t>
        </is>
      </c>
      <c r="C6906" t="inlineStr">
        <is>
          <t>So I was diagnosed with Type 2 back in April. I had been experiencing numbness in my toes for nearly a year and my doctor said it was do to my swelling. My legs and feet stayed swollen. He said I needed to drop weight and give up the sodas. Well after my diagnosis Ive done that. I know too little too late. I asked about the numbness and he put me on Gabapentin 300mg twice a day. Its been a few weeks and I'm not feeling any different. From what Ive read this is mostly for pain. I don't have pain, just numbness. Is this the right kind of meds? Is there something else that would help. I go back to him next month, and we'll see how things go from there. I was just curious if anyone else had similar experiences.</t>
        </is>
      </c>
      <c r="D6906" t="n">
        <v>1</v>
      </c>
      <c r="E6906" t="n">
        <v>6</v>
      </c>
      <c r="F6906">
        <f>HYPERLINK("https://www.reddit.com/r/diabetes/comments/c1z3tr/question_on_neuropathy/")</f>
        <v/>
      </c>
      <c r="G6906" t="inlineStr">
        <is>
          <t>2019-06-18 00:11:43</t>
        </is>
      </c>
      <c r="H6906" t="inlineStr">
        <is>
          <t>Type 2</t>
        </is>
      </c>
    </row>
    <row r="6907">
      <c r="A6907" t="inlineStr">
        <is>
          <t>c23jtc</t>
        </is>
      </c>
      <c r="B6907" t="inlineStr">
        <is>
          <t>Is chapped lips a common thing?</t>
        </is>
      </c>
      <c r="C6907" t="inlineStr">
        <is>
          <t>Hey all! Non-diabetic here, however I'm dating someone who is a T1D and I've noticed she always has chapped lips and I also remembered my middle school friend who also has T1D had chapped lips all the time. I was wondering if that's a common thing for people with T1D and if so is there a way to battle it better than with just chapsticks every day? I'm wanting to help my girlfriend in anyway I can.</t>
        </is>
      </c>
      <c r="D6907" t="n">
        <v>1</v>
      </c>
      <c r="E6907" t="n">
        <v>9</v>
      </c>
      <c r="F6907">
        <f>HYPERLINK("https://www.reddit.com/r/diabetes/comments/c23jtc/is_chapped_lips_a_common_thing/")</f>
        <v/>
      </c>
      <c r="G6907" t="inlineStr">
        <is>
          <t>2019-06-18 08:22:35</t>
        </is>
      </c>
      <c r="H6907" t="inlineStr">
        <is>
          <t>Type 1</t>
        </is>
      </c>
    </row>
    <row r="6908">
      <c r="A6908" t="inlineStr">
        <is>
          <t>c2840i</t>
        </is>
      </c>
      <c r="B6908" t="inlineStr">
        <is>
          <t>Levemir</t>
        </is>
      </c>
      <c r="C6908" t="inlineStr">
        <is>
          <t>I am currently on Levemir, I have been since diagnosed 2 years ago. I had to break the dosage up to every 12 hours since it seemed to not last the full 24. I will be switching to Lantus soon, I know the ratio is the same. Just wanted to see which people preferred and hear what some thoughts are on the two.</t>
        </is>
      </c>
      <c r="D6908" t="n">
        <v>2</v>
      </c>
      <c r="E6908" t="n">
        <v>2</v>
      </c>
      <c r="F6908">
        <f>HYPERLINK("https://www.reddit.com/r/diabetes/comments/c2840i/levemir/")</f>
        <v/>
      </c>
      <c r="G6908" t="inlineStr">
        <is>
          <t>2019-06-18 14:25:30</t>
        </is>
      </c>
      <c r="H6908" t="inlineStr">
        <is>
          <t>Type 1</t>
        </is>
      </c>
    </row>
    <row r="6909">
      <c r="A6909" t="inlineStr">
        <is>
          <t>c2i80x</t>
        </is>
      </c>
      <c r="B6909" t="inlineStr">
        <is>
          <t>30th Diaversary today</t>
        </is>
      </c>
      <c r="C6909" t="inlineStr">
        <is>
          <t>Hi everyone, 
Today is my 30 year diaversary. In 4 days I will turn 32. It’s been a bumpy road to get here, but I survived and you all will, too!  Keep on keeping on, and hopefully one day we won’t need to worry about this stuff. 
Good vibes to all!</t>
        </is>
      </c>
      <c r="D6909" t="n">
        <v>44</v>
      </c>
      <c r="E6909" t="n">
        <v>28</v>
      </c>
      <c r="F6909">
        <f>HYPERLINK("https://www.reddit.com/r/diabetes/comments/c2i80x/30th_diaversary_today/")</f>
        <v/>
      </c>
      <c r="G6909" t="inlineStr">
        <is>
          <t>2019-06-19 08:07:52</t>
        </is>
      </c>
      <c r="H6909" t="inlineStr">
        <is>
          <t>Type 1</t>
        </is>
      </c>
    </row>
    <row r="6910">
      <c r="A6910" t="inlineStr">
        <is>
          <t>c2ijpr</t>
        </is>
      </c>
      <c r="B6910" t="inlineStr">
        <is>
          <t>Blood sugar rising after exercise + issues with Dexcom C6</t>
        </is>
      </c>
      <c r="C6910" t="inlineStr">
        <is>
          <t>So I went for a 30 minute bike ride about an hour ago.  I didn't eat before I went (I had just woke up). Instead of seeing it lowering,  it seems to be rising,  albeit slowly (from 111 before to about 134mg/dl).  Did I do something wrong or does that just happen?
Second thing: I just got my Dexcom yesterday! I'm excited,  but sometimes I get weird readings. I put it on my belly,  under the ribcage,  and have been calibrating it like crazy.  Anyone have any ideas why this might be happening?</t>
        </is>
      </c>
      <c r="D6910" t="n">
        <v>3</v>
      </c>
      <c r="E6910" t="n">
        <v>9</v>
      </c>
      <c r="F6910">
        <f>HYPERLINK("https://www.reddit.com/r/diabetes/comments/c2ijpr/blood_sugar_rising_after_exercise_issues_with/")</f>
        <v/>
      </c>
      <c r="G6910" t="inlineStr">
        <is>
          <t>2019-06-19 08:34:59</t>
        </is>
      </c>
      <c r="H6910" t="inlineStr">
        <is>
          <t>Type 1</t>
        </is>
      </c>
    </row>
    <row r="6911">
      <c r="A6911" t="inlineStr">
        <is>
          <t>c2k8qr</t>
        </is>
      </c>
      <c r="B6911" t="inlineStr">
        <is>
          <t>Best Dexcom G6 patches?</t>
        </is>
      </c>
      <c r="C6911" t="inlineStr">
        <is>
          <t>Hi All,
Just upgraded to G6 and will be starting it soon (waiting on my last G5 sensor to crap out). My last purchase for patches was Simpatch, which I hated. Literally started peeling within a day on my skin, with or without skintac. I tried really hard to make them work. I figured I would go back to Grifgrips, as they were my tried and true before trying Simpatch on a whim. But I see that Grifgrips doesn't make G6 specific patches. My usual method for application is alcohol, skintac, dexcom, wait until the dexcom sensor tape starts peeling a bit on the edges \~7 days, then alcohol, skintac, grifgrips patch. That used to reliably get me to 20 days on a G5.
&amp;amp;#x200B;
 \* Has anyone had success using GG with G6 and just stretching it around the differently shaped sensor?
&amp;amp;#x200B;
 \* A few recent reviews on Amaxzon say GG changed recently and are poor quality now, peeling after a few days. Anyone have this experience, or experience the same quality recently? It's been about a  year since I used GG.
&amp;amp;#x200B;
 \* I saw Skingrips, which look very similar to GG. Anyone have experience with those? They seem a bit newer. 
&amp;amp;#x200B;
 \* Any other suggestions?</t>
        </is>
      </c>
      <c r="D6911" t="n">
        <v>2</v>
      </c>
      <c r="E6911" t="n">
        <v>14</v>
      </c>
      <c r="F6911">
        <f>HYPERLINK("https://www.reddit.com/r/diabetes/comments/c2k8qr/best_dexcom_g6_patches/")</f>
        <v/>
      </c>
      <c r="G6911" t="inlineStr">
        <is>
          <t>2019-06-19 10:51:31</t>
        </is>
      </c>
      <c r="H6911" t="inlineStr">
        <is>
          <t>Type 1</t>
        </is>
      </c>
    </row>
    <row r="6912">
      <c r="A6912" t="inlineStr">
        <is>
          <t>c2omm5</t>
        </is>
      </c>
      <c r="B6912" t="inlineStr">
        <is>
          <t>Working as a nurse with T1D</t>
        </is>
      </c>
      <c r="C6912" t="inlineStr">
        <is>
          <t>Any type 1 diabetics here work as a nurse? I’m a nursing student and I start clinical rotations in Fall and I’m curious about blood glucose stability and night shift/demands of the job, and how you manage hypoglycemia. Thanks all</t>
        </is>
      </c>
      <c r="D6912" t="n">
        <v>4</v>
      </c>
      <c r="E6912" t="n">
        <v>13</v>
      </c>
      <c r="F6912">
        <f>HYPERLINK("https://www.reddit.com/r/diabetes/comments/c2omm5/working_as_a_nurse_with_t1d/")</f>
        <v/>
      </c>
      <c r="G6912" t="inlineStr">
        <is>
          <t>2019-06-19 16:50:30</t>
        </is>
      </c>
      <c r="H6912" t="inlineStr">
        <is>
          <t>Type 1</t>
        </is>
      </c>
    </row>
    <row r="6913">
      <c r="A6913" t="inlineStr">
        <is>
          <t>c2qm91</t>
        </is>
      </c>
      <c r="B6913" t="inlineStr">
        <is>
          <t>I feel so beat down..</t>
        </is>
      </c>
      <c r="C6913" t="inlineStr">
        <is>
          <t>I have been a diabetic since I was 7. I’ve had it for 10 years now. I’ve been experiencing black outs a lot lately. This morning I had a really bad one. I get very violent when I have them. It scares me knowing I could possibly seriously hurt someone and I wouldn’t know nor have consciousness of it. I think I might have had a seizure this morning when it happened. My body aches and I feel incredibly weak. Not to mention I have a very irregular ekg and heart murmur. But today my mom said she understood but she will never understand what it’s like to wake up at 500 or at 30.  Does anyone else feel this way? And does anyone else experience black outs?</t>
        </is>
      </c>
      <c r="D6913" t="n">
        <v>5</v>
      </c>
      <c r="E6913" t="n">
        <v>5</v>
      </c>
      <c r="F6913">
        <f>HYPERLINK("https://www.reddit.com/r/diabetes/comments/c2qm91/i_feel_so_beat_down/")</f>
        <v/>
      </c>
      <c r="G6913" t="inlineStr">
        <is>
          <t>2019-06-19 19:59:46</t>
        </is>
      </c>
      <c r="H6913" t="inlineStr">
        <is>
          <t>Type 1</t>
        </is>
      </c>
    </row>
    <row r="6914">
      <c r="A6914" t="inlineStr">
        <is>
          <t>c2r2c6</t>
        </is>
      </c>
      <c r="B6914" t="inlineStr">
        <is>
          <t>Gals with the IUD- which do you have, and are you happy with it?</t>
        </is>
      </c>
      <c r="C6914" t="inlineStr">
        <is>
          <t>I've been on oral BC (generic version of loloestrin) for years and I've convinced it has given me mild insulin resistance the entire time. I'm looking to switch to the IUD (although a gyno recommended I stick with oral bc because she claimed diabetics have a higher risk of infection with IUDs), but am unsure if a low hormone dose iud will still affect my blood sugar. I've heard better things about Mirena than ParaGard, but I want to choose whichever has the least affect on my blood sugar. Any anecdotes and advice welcome, thank you!!!</t>
        </is>
      </c>
      <c r="D6914" t="n">
        <v>4</v>
      </c>
      <c r="E6914" t="n">
        <v>11</v>
      </c>
      <c r="F6914">
        <f>HYPERLINK("https://www.reddit.com/r/diabetes/comments/c2r2c6/gals_with_the_iud_which_do_you_have_and_are_you/")</f>
        <v/>
      </c>
      <c r="G6914" t="inlineStr">
        <is>
          <t>2019-06-19 20:45:10</t>
        </is>
      </c>
      <c r="H6914" t="inlineStr">
        <is>
          <t>Type 1</t>
        </is>
      </c>
    </row>
    <row r="6915">
      <c r="A6915" t="inlineStr">
        <is>
          <t>c2ro37</t>
        </is>
      </c>
      <c r="B6915" t="inlineStr">
        <is>
          <t>Finally found a solution to my chocolate and dessert addiction!</t>
        </is>
      </c>
      <c r="C6915" t="inlineStr">
        <is>
          <t>So one of the hardest parts for me since being diagnosed with T2 last October has been my love for desserts and chocolate. I just can’t resist and constantly crave the chocolate. 
Well a few weeks ago I found a keto chocolate mug cake recipe and it’s really been a game changer. It’s got almond flour and erythritol for sweetener and only 3g net carbs. Doesn’t spike my blood sugar and totally satisfies my dessert craving. I sometimes add a small scoop of low(er) carb vanilla ice cream on top. Also the fact that it makes just one serving means I’m not going to overeat like I might if there was a whole cake in front of me. 
I can be diabetic and still enjoy delicious dessert things! 
[Mug Cake Recipe](https://jenniferbanz.com/keto-mug-cake)</t>
        </is>
      </c>
      <c r="D6915" t="n">
        <v>43</v>
      </c>
      <c r="E6915" t="n">
        <v>8</v>
      </c>
      <c r="F6915">
        <f>HYPERLINK("https://www.reddit.com/r/diabetes/comments/c2ro37/finally_found_a_solution_to_my_chocolate_and/")</f>
        <v/>
      </c>
      <c r="G6915" t="inlineStr">
        <is>
          <t>2019-06-19 21:49:21</t>
        </is>
      </c>
      <c r="H6915" t="inlineStr">
        <is>
          <t>Type 2</t>
        </is>
      </c>
    </row>
    <row r="6916">
      <c r="A6916" t="inlineStr">
        <is>
          <t>c2w3hy</t>
        </is>
      </c>
      <c r="B6916" t="inlineStr">
        <is>
          <t>Just out of curiosity, whats the most unhealthy, sugar filled thing you have ever eaten since becoming diabetic and how much insulin did you have to take for it?</t>
        </is>
      </c>
      <c r="C6916" t="inlineStr">
        <is>
          <t>think of this as a confession box!</t>
        </is>
      </c>
      <c r="D6916" t="n">
        <v>4</v>
      </c>
      <c r="E6916" t="n">
        <v>22</v>
      </c>
      <c r="F6916">
        <f>HYPERLINK("https://www.reddit.com/r/diabetes/comments/c2w3hy/just_out_of_curiosity_whats_the_most_unhealthy/")</f>
        <v/>
      </c>
      <c r="G6916" t="inlineStr">
        <is>
          <t>2019-06-20 06:34:51</t>
        </is>
      </c>
      <c r="H6916" t="inlineStr">
        <is>
          <t>Type 1</t>
        </is>
      </c>
    </row>
    <row r="6917">
      <c r="A6917" t="inlineStr">
        <is>
          <t>c2x7ix</t>
        </is>
      </c>
      <c r="B6917" t="inlineStr">
        <is>
          <t>transition to tslim</t>
        </is>
      </c>
      <c r="C6917" t="inlineStr">
        <is>
          <t>I'll soon be converting from omnipod to tslim. any advice?</t>
        </is>
      </c>
      <c r="D6917" t="n">
        <v>4</v>
      </c>
      <c r="E6917" t="n">
        <v>19</v>
      </c>
      <c r="F6917">
        <f>HYPERLINK("https://www.reddit.com/r/diabetes/comments/c2x7ix/transition_to_tslim/")</f>
        <v/>
      </c>
      <c r="G6917" t="inlineStr">
        <is>
          <t>2019-06-20 08:11:35</t>
        </is>
      </c>
      <c r="H6917" t="inlineStr">
        <is>
          <t>Type 1</t>
        </is>
      </c>
    </row>
    <row r="6918">
      <c r="A6918" t="inlineStr">
        <is>
          <t>c2x7r1</t>
        </is>
      </c>
      <c r="B6918" t="inlineStr">
        <is>
          <t>Can I have Diabetes if my Long term Blood sugar is normal?</t>
        </is>
      </c>
      <c r="C6918" t="inlineStr">
        <is>
          <t>I've went to the doctor 2 times over the last year and both times my Long term blood sugar was normal. Last time it was 5.2.
&amp;amp;#x200B;
Can I have Diabetes while my Long Term Blood sugar is normal?</t>
        </is>
      </c>
      <c r="D6918" t="n">
        <v>0</v>
      </c>
      <c r="E6918" t="n">
        <v>9</v>
      </c>
      <c r="F6918">
        <f>HYPERLINK("https://www.reddit.com/r/diabetes/comments/c2x7r1/can_i_have_diabetes_if_my_long_term_blood_sugar/")</f>
        <v/>
      </c>
      <c r="G6918" t="inlineStr">
        <is>
          <t>2019-06-20 08:12:09</t>
        </is>
      </c>
      <c r="H6918" t="inlineStr">
        <is>
          <t>Type 2</t>
        </is>
      </c>
    </row>
    <row r="6919">
      <c r="A6919" t="inlineStr">
        <is>
          <t>c30a5q</t>
        </is>
      </c>
      <c r="B6919" t="inlineStr">
        <is>
          <t>Is there any kind of loan forgiveness for Type 2 diabetics?</t>
        </is>
      </c>
      <c r="C6919" t="inlineStr">
        <is>
          <t>Trying to pay off my student debt as soon as possible, so I was wondering if there’s a disability forgiveness for diabetics?</t>
        </is>
      </c>
      <c r="D6919" t="n">
        <v>2</v>
      </c>
      <c r="E6919" t="n">
        <v>63</v>
      </c>
      <c r="F6919">
        <f>HYPERLINK("https://www.reddit.com/r/diabetes/comments/c30a5q/is_there_any_kind_of_loan_forgiveness_for_type_2/")</f>
        <v/>
      </c>
      <c r="G6919" t="inlineStr">
        <is>
          <t>2019-06-20 12:21:28</t>
        </is>
      </c>
      <c r="H6919" t="inlineStr">
        <is>
          <t>Type 2</t>
        </is>
      </c>
    </row>
    <row r="6920">
      <c r="A6920" t="inlineStr">
        <is>
          <t>c324nf</t>
        </is>
      </c>
      <c r="B6920" t="inlineStr">
        <is>
          <t>I'm really concerned about my mom's BSG levels</t>
        </is>
      </c>
      <c r="C6920" t="inlineStr">
        <is>
          <t>So I just came home today and my mom was laying on the floor. She had been laying there and was weakly asking for help. Immediately I tested her blood sugar and it just said HI. My meter's range is from 20 - 600. Her blood sugar is over 600!!! I immediately gave her 14 units in an attempt to lower her really high sugar. I also saw she had injured her wrists. 
It took me an hour to get her up because she's  a big woman, let alone super weak from her blood sugars being insanely high. It was like lifting dead weight. She's in her early 60s - so she isn't super old either, but her lack of exercise/any movement hasn't helped. 
I'm concerned about my mom. I'm not sure what to do and I have been dealing with this kinda situation since I was 10 (I'm 21 right now - working on becoming a nurse), but my mom has gotten much heavier and weaker over the years because of her uncontrolled type 2 diabetes. 
I feel really scared for her health. I feel like I can't do anything about this because I feel like parents don't want to listen to their kids most of the time or be berated. I don't like berating her about this because she will call family from her home country and complain how all I do is "boss her around". 
I think she's going to be okay now, but seeing her helpless on the floor like that makes me so worried. She said she didn't even eat anything and from the state she was in when I found her, she had been on the ground for a while. 
I'm wondering if any of you can give me advice on how to deal with this matter? I don't want to lose my mom from diabetes. It's frustrating because as a type 1 diabetic, I'm forced to comply with a stricter diet and everything but she does her own thing. She has went to the ER 4 times this year, because I couldnt manage what was going on at home with the knowledge I developed when I was learning about diabetes. I'm really worried and I want my mom to be okay even though she wasn't the best mom to me growing up. She's still my mom and I would do anything for her if it means she will live longer and healthier even though I feel really helpless in her decisions.</t>
        </is>
      </c>
      <c r="D6920" t="n">
        <v>6</v>
      </c>
      <c r="E6920" t="n">
        <v>13</v>
      </c>
      <c r="F6920">
        <f>HYPERLINK("https://www.reddit.com/r/diabetes/comments/c324nf/im_really_concerned_about_my_moms_bsg_levels/")</f>
        <v/>
      </c>
      <c r="G6920" t="inlineStr">
        <is>
          <t>2019-06-20 14:49:15</t>
        </is>
      </c>
      <c r="H6920" t="inlineStr">
        <is>
          <t>Type 2</t>
        </is>
      </c>
    </row>
    <row r="6921">
      <c r="A6921" t="inlineStr">
        <is>
          <t>c33kzr</t>
        </is>
      </c>
      <c r="B6921" t="inlineStr">
        <is>
          <t>Can you build up basal insulin in your body overtime?</t>
        </is>
      </c>
      <c r="C6921" t="inlineStr">
        <is>
          <t>So i take 16 units of basal daily split into 2 doses so every 12 hours i take 8 units. Is it possible that i could be taking a little too much and am building up more and more in my body so that when i exercise i might experience a large drop? Has this ever happened or anything similar?</t>
        </is>
      </c>
      <c r="D6921" t="n">
        <v>2</v>
      </c>
      <c r="E6921" t="n">
        <v>2</v>
      </c>
      <c r="F6921">
        <f>HYPERLINK("https://www.reddit.com/r/diabetes/comments/c33kzr/can_you_build_up_basal_insulin_in_your_body/")</f>
        <v/>
      </c>
      <c r="G6921" t="inlineStr">
        <is>
          <t>2019-06-20 17:22:30</t>
        </is>
      </c>
      <c r="H6921" t="inlineStr">
        <is>
          <t>Type 1</t>
        </is>
      </c>
    </row>
    <row r="6922">
      <c r="A6922" t="inlineStr">
        <is>
          <t>c36itv</t>
        </is>
      </c>
      <c r="B6922" t="inlineStr">
        <is>
          <t>My blood sugar is all over the place</t>
        </is>
      </c>
      <c r="C6922" t="inlineStr">
        <is>
          <t>Hello! I have a quick question. I checked my blood sugar maybe an hour and fifteen minutes after I ate. The first few times I tired I missed up getting the blood on the strip. Okay, that’s fine. I needed up getting a little blood on a strip but not enough for it to read. So I poke my finger again and put the blood on it. I got a reading of 184. 
So of course I freak out since that’s high and I try again with a clean strip. I get 135 and I calm down since that’s a lot better. However now I’m curious. I check one more time and get 169. I check again and get 147. Is it natural for my blood sugar to do this? Or is this perhaps a problem with my meter? I’m a bit confused.
Thank you in advance.</t>
        </is>
      </c>
      <c r="D6922" t="n">
        <v>3</v>
      </c>
      <c r="E6922" t="n">
        <v>5</v>
      </c>
      <c r="F6922">
        <f>HYPERLINK("https://www.reddit.com/r/diabetes/comments/c36itv/my_blood_sugar_is_all_over_the_place/")</f>
        <v/>
      </c>
      <c r="G6922" t="inlineStr">
        <is>
          <t>2019-06-20 22:16:42</t>
        </is>
      </c>
      <c r="H6922" t="inlineStr">
        <is>
          <t>Type 2</t>
        </is>
      </c>
    </row>
    <row r="6923">
      <c r="A6923" t="inlineStr">
        <is>
          <t>c37sjh</t>
        </is>
      </c>
      <c r="B6923" t="inlineStr">
        <is>
          <t>Steroid effect on blood sugars</t>
        </is>
      </c>
      <c r="C6923" t="inlineStr">
        <is>
          <t>I am 12 hours post op from an outpatient surgery that required general anesthesia. They administered a steroid in my IV and was wondering how long I could expect to see it impacting my blood sugars? I have no info on the dosage that was used, but could see the impact almost immediately post op on my CGM graph. I have never had a steroid before in my 19 years of being diabetic so I have no idea what to expect. Does anyone have any experience with being given a steroid and how long it impacted your sugars?</t>
        </is>
      </c>
      <c r="D6923" t="n">
        <v>2</v>
      </c>
      <c r="E6923" t="n">
        <v>3</v>
      </c>
      <c r="F6923">
        <f>HYPERLINK("https://www.reddit.com/r/diabetes/comments/c37sjh/steroid_effect_on_blood_sugars/")</f>
        <v/>
      </c>
      <c r="G6923" t="inlineStr">
        <is>
          <t>2019-06-21 00:54:35</t>
        </is>
      </c>
      <c r="H6923" t="inlineStr">
        <is>
          <t>Type 1</t>
        </is>
      </c>
    </row>
    <row r="6924">
      <c r="A6924" t="inlineStr">
        <is>
          <t>c390rd</t>
        </is>
      </c>
      <c r="B6924" t="inlineStr">
        <is>
          <t>Ok I need advice for my alarms.</t>
        </is>
      </c>
      <c r="C6924" t="inlineStr">
        <is>
          <t>So I’m a type one of 8 years and I’m still young and 14 but my parents won’t let me do anything I was invited to a sleepover and they said I wasn’t ready and it makes me angry because I know how to take care of myself and I don’t know how to convince them the only problem I have is with my alarms I don’t hear them when I’m asleep at all and my dad says I need to train myself to hear them but I have no clue where to start or how to do so can you guys give me some advice.</t>
        </is>
      </c>
      <c r="D6924" t="n">
        <v>3</v>
      </c>
      <c r="E6924" t="n">
        <v>8</v>
      </c>
      <c r="F6924">
        <f>HYPERLINK("https://www.reddit.com/r/diabetes/comments/c390rd/ok_i_need_advice_for_my_alarms/")</f>
        <v/>
      </c>
      <c r="G6924" t="inlineStr">
        <is>
          <t>2019-06-21 03:39:29</t>
        </is>
      </c>
      <c r="H6924" t="inlineStr">
        <is>
          <t>Type 1</t>
        </is>
      </c>
    </row>
    <row r="6925">
      <c r="A6925" t="inlineStr">
        <is>
          <t>c3bxhq</t>
        </is>
      </c>
      <c r="B6925" t="inlineStr">
        <is>
          <t>Ideas for making Dexcom alert louder during sleep?</t>
        </is>
      </c>
      <c r="C6925" t="inlineStr">
        <is>
          <t>Hey there -- I am somehow sleeping through my Dexcom alerts even though they are very loud on my iPhone speakers. Unfortunately, despite the volume, I still tend to oversleep and that is....scary. Do we know if a bluetooth speaker or another type of audio extension would help? Any tips?
&amp;amp;#x200B;
Thank you!!</t>
        </is>
      </c>
      <c r="D6925" t="n">
        <v>3</v>
      </c>
      <c r="E6925" t="n">
        <v>9</v>
      </c>
      <c r="F6925">
        <f>HYPERLINK("https://www.reddit.com/r/diabetes/comments/c3bxhq/ideas_for_making_dexcom_alert_louder_during_sleep/")</f>
        <v/>
      </c>
      <c r="G6925" t="inlineStr">
        <is>
          <t>2019-06-21 08:22:22</t>
        </is>
      </c>
      <c r="H6925" t="inlineStr">
        <is>
          <t>Type 1</t>
        </is>
      </c>
    </row>
    <row r="6926">
      <c r="A6926" t="inlineStr">
        <is>
          <t>c3c47p</t>
        </is>
      </c>
      <c r="B6926" t="inlineStr">
        <is>
          <t>New Type 1 Diabetic here, I have a question</t>
        </is>
      </c>
      <c r="C6926" t="inlineStr">
        <is>
          <t>If I eat a sugary snack once in a while and I take the correct insulin amount for it (by counting the carbs) does that mean my BG wont go up too much or will it still be high cuz it was a sugary snack?</t>
        </is>
      </c>
      <c r="D6926" t="n">
        <v>3</v>
      </c>
      <c r="E6926" t="n">
        <v>6</v>
      </c>
      <c r="F6926">
        <f>HYPERLINK("https://www.reddit.com/r/diabetes/comments/c3c47p/new_type_1_diabetic_here_i_have_a_question/")</f>
        <v/>
      </c>
      <c r="G6926" t="inlineStr">
        <is>
          <t>2019-06-21 08:36:57</t>
        </is>
      </c>
      <c r="H6926" t="inlineStr">
        <is>
          <t>Type 1</t>
        </is>
      </c>
    </row>
    <row r="6927">
      <c r="A6927" t="inlineStr">
        <is>
          <t>c3dnxk</t>
        </is>
      </c>
      <c r="B6927" t="inlineStr">
        <is>
          <t>Concerns about my legs</t>
        </is>
      </c>
      <c r="C6927" t="inlineStr">
        <is>
          <t>On the lower parts of my (between my calves and ankles). I've noticed that my legs have been losing hair. More recently though, I've been experiencing a bit of burning sensation in that area as well. Like (sorry, there's probably a better PC term for this) an indian burn feeling.
Has anyone experienced this? How concerned should I be? Is there anything I can do to help it?</t>
        </is>
      </c>
      <c r="D6927" t="n">
        <v>2</v>
      </c>
      <c r="E6927" t="n">
        <v>4</v>
      </c>
      <c r="F6927">
        <f>HYPERLINK("https://www.reddit.com/r/diabetes/comments/c3dnxk/concerns_about_my_legs/")</f>
        <v/>
      </c>
      <c r="G6927" t="inlineStr">
        <is>
          <t>2019-06-21 10:32:50</t>
        </is>
      </c>
      <c r="H6927" t="inlineStr">
        <is>
          <t>Type 2</t>
        </is>
      </c>
    </row>
    <row r="6928">
      <c r="A6928" t="inlineStr">
        <is>
          <t>c3dyzz</t>
        </is>
      </c>
      <c r="B6928" t="inlineStr">
        <is>
          <t>At lunch the other day, I told my co-workers a story...</t>
        </is>
      </c>
      <c r="C6928" t="inlineStr">
        <is>
          <t>...about how when I worked as a prep cook at a Vegan restaurant back in 2008, my then-boss told me straight-faced that she could CURE my diabetes with a "21 Day Raw Food Challenge." 
My co-workers all laughed at this, except for one of them. Instead, she turned to me with her finger pointed in my face and said "well, I've read articles about how raw food diets can do amazing things. You shouldn't dismiss the possibility that she was right."
The lunch table got VERY quiet. 
&amp;amp;#x200B;
Me: "Well, I'm Type 1. Which means that my pancreas stopped producing insulin a long time ago and a change of diet, no matter how healthy, isn't going to reverse that."
Her: "You should keep an open mind."
&amp;amp;#x200B;
Anyway, she right right and I'm cured now lololol.</t>
        </is>
      </c>
      <c r="D6928" t="n">
        <v>249</v>
      </c>
      <c r="E6928" t="n">
        <v>63</v>
      </c>
      <c r="F6928">
        <f>HYPERLINK("https://www.reddit.com/r/diabetes/comments/c3dyzz/at_lunch_the_other_day_i_told_my_coworkers_a_story/")</f>
        <v/>
      </c>
      <c r="G6928" t="inlineStr">
        <is>
          <t>2019-06-21 10:56:00</t>
        </is>
      </c>
      <c r="H6928" t="inlineStr">
        <is>
          <t>Type 1</t>
        </is>
      </c>
    </row>
    <row r="6929">
      <c r="A6929" t="inlineStr">
        <is>
          <t>c3esbx</t>
        </is>
      </c>
      <c r="B6929" t="inlineStr">
        <is>
          <t>How much has a pimp helped you?</t>
        </is>
      </c>
      <c r="C6929" t="inlineStr">
        <is>
          <t>Hi,
Getting a pump soon. The OmniPod DASH. Really excited but not sure what to expect. 
My hold on T1D has been really bad. Diagnosed only October of last year, I started out handling it really strong and brought my A1C down from 11 to 7.0, but these past few weeks I’ve been pretty bad with it. I have depression and it’s been pretty hard for me, and a week ago I was fed up with my numbers being out of wack (was sick) and stopped taking insulin entirely. I’m back to it now but I’m still not doing good, at 370. 
I often lose the motivation to do things, and that was mostly what happened this week when I had a lot of shit going on. I hated having to get needles and inject myself when I felt like I would just need to do it again in an hour or 2. Has anyone who had any similar experiences have a pump and would like to share?</t>
        </is>
      </c>
      <c r="D6929" t="n">
        <v>53</v>
      </c>
      <c r="E6929" t="n">
        <v>30</v>
      </c>
      <c r="F6929">
        <f>HYPERLINK("https://www.reddit.com/r/diabetes/comments/c3esbx/how_much_has_a_pimp_helped_you/")</f>
        <v/>
      </c>
      <c r="G6929" t="inlineStr">
        <is>
          <t>2019-06-21 11:57:10</t>
        </is>
      </c>
      <c r="H6929" t="inlineStr">
        <is>
          <t>Type 1</t>
        </is>
      </c>
    </row>
    <row r="6930">
      <c r="A6930" t="inlineStr">
        <is>
          <t>c3f2va</t>
        </is>
      </c>
      <c r="B6930" t="inlineStr">
        <is>
          <t>Type 2 for 10 years</t>
        </is>
      </c>
      <c r="C6930" t="inlineStr">
        <is>
          <t>Couldn’t tolerate Metformin when I was diagnosed ended up being tested for Crohns my stomach was so bad. Insulin resistant so much, have begun Metformin again my new Consultant says to try again four days in felt great but day 5 I am bloated like a 6 month pregnant woman with reflux and diarrhoea but I am told to stick it out. How long should I give it? I take proton pump inhibitors so shouldn’t have acid. I am stuck at home near the loo and feeling poo pardon the pun.</t>
        </is>
      </c>
      <c r="D6930" t="n">
        <v>2</v>
      </c>
      <c r="E6930" t="n">
        <v>2</v>
      </c>
      <c r="F6930">
        <f>HYPERLINK("https://www.reddit.com/r/diabetes/comments/c3f2va/type_2_for_10_years/")</f>
        <v/>
      </c>
      <c r="G6930" t="inlineStr">
        <is>
          <t>2019-06-21 12:19:13</t>
        </is>
      </c>
      <c r="H6930" t="inlineStr">
        <is>
          <t>Type 2</t>
        </is>
      </c>
    </row>
    <row r="6931">
      <c r="A6931" t="inlineStr">
        <is>
          <t>c3hbjv</t>
        </is>
      </c>
      <c r="B6931" t="inlineStr">
        <is>
          <t>Need advice for restaurants/carbs</t>
        </is>
      </c>
      <c r="C6931" t="inlineStr">
        <is>
          <t>As the title says, I need some advice regarding restaurants. When restaurants have a nutrition calculator I can determine how much insulin to take. But what do you all do about restaurants that don't have any carbs listed? Do you just guess at the card content of the food?
I was diagnosed as type 1 less than six months ago so I'm still learning about all this</t>
        </is>
      </c>
      <c r="D6931" t="n">
        <v>3</v>
      </c>
      <c r="E6931" t="n">
        <v>10</v>
      </c>
      <c r="F6931">
        <f>HYPERLINK("https://www.reddit.com/r/diabetes/comments/c3hbjv/need_advice_for_restaurantscarbs/")</f>
        <v/>
      </c>
      <c r="G6931" t="inlineStr">
        <is>
          <t>2019-06-21 15:16:19</t>
        </is>
      </c>
      <c r="H6931" t="inlineStr">
        <is>
          <t>Type 1</t>
        </is>
      </c>
    </row>
    <row r="6932">
      <c r="A6932" t="inlineStr">
        <is>
          <t>c3nb45</t>
        </is>
      </c>
      <c r="B6932" t="inlineStr">
        <is>
          <t>Almost went into a coma.(?)</t>
        </is>
      </c>
      <c r="C6932" t="inlineStr">
        <is>
          <t>So about an hour ago i was feeling sick like my blood sugar was low. So i go check it and it says Lo, which for my device is below 20 mg/dl. 
So i go eat probably 200 grams of sugar in juice, raw sugar , and maple syrup. I mostly dissovled the raw sugar under my tongue.
Checked it 8 minutes later and its at 180. Normally i would have just thought "oh a misread". Except a few things which make me think i might actually have been somewhere under 20. 
Number one is i felt low, low enough that i was compelled to check my blood sugar (also i have a high, low blood sugar "tolerence").
Second thing is my stomach was very empty , which means faster absorbtion , also i disolved lots sugar under my tongue which i guess hits your blood stream faster (right?).
So , can your blood sugar actually rise this fast or was it more likely a misread? Also its at 300 right now an hour later.</t>
        </is>
      </c>
      <c r="D6932" t="n">
        <v>1</v>
      </c>
      <c r="E6932" t="n">
        <v>10</v>
      </c>
      <c r="F6932">
        <f>HYPERLINK("https://www.reddit.com/r/diabetes/comments/c3nb45/almost_went_into_a_coma/")</f>
        <v/>
      </c>
      <c r="G6932" t="inlineStr">
        <is>
          <t>2019-06-22 01:37:13</t>
        </is>
      </c>
      <c r="H6932" t="inlineStr">
        <is>
          <t>Type 1</t>
        </is>
      </c>
    </row>
    <row r="6933">
      <c r="A6933" t="inlineStr">
        <is>
          <t>c3o9yq</t>
        </is>
      </c>
      <c r="B6933" t="inlineStr">
        <is>
          <t>Built myself a little USB powered BG display..</t>
        </is>
      </c>
      <c r="C6933" t="inlineStr">
        <is>
          <t>Gets my data via Wifi from Nightscout and shows it on a cheap display.. total cost with parts from china was &amp;lt;7$.
&amp;amp;#x200B;
https://i.redd.it/i4895dh20w531.jpg
Code is horrifyingly bad because I can't actually code, but it works.
If anyone wants to mess with it, build one, or improve on my code, it's available here:
[https://github.com/Arakon/Nightscout-TFT](https://github.com/Arakon/Nightscout-TFT)</t>
        </is>
      </c>
      <c r="D6933" t="n">
        <v>21</v>
      </c>
      <c r="E6933" t="n">
        <v>8</v>
      </c>
      <c r="F6933">
        <f>HYPERLINK("https://www.reddit.com/r/diabetes/comments/c3o9yq/built_myself_a_little_usb_powered_bg_display/")</f>
        <v/>
      </c>
      <c r="G6933" t="inlineStr">
        <is>
          <t>2019-06-22 03:44:24</t>
        </is>
      </c>
      <c r="H6933" t="inlineStr">
        <is>
          <t>Type 1</t>
        </is>
      </c>
    </row>
    <row r="6934">
      <c r="A6934" t="inlineStr">
        <is>
          <t>c3qib3</t>
        </is>
      </c>
      <c r="B6934" t="inlineStr">
        <is>
          <t>Animas pump supplies</t>
        </is>
      </c>
      <c r="C6934" t="inlineStr">
        <is>
          <t>Any ideas where I can donate non-expired Animas pump supplies?  Infusion sets and cartridges.  We are fortunate to have excellent insurance which ensures we always have supplies but just switched to T-Slim pump.  I've searched and can't seem to find a donation spot.  TIA!</t>
        </is>
      </c>
      <c r="D6934" t="n">
        <v>3</v>
      </c>
      <c r="E6934" t="n">
        <v>9</v>
      </c>
      <c r="F6934">
        <f>HYPERLINK("https://www.reddit.com/r/diabetes/comments/c3qib3/animas_pump_supplies/")</f>
        <v/>
      </c>
      <c r="G6934" t="inlineStr">
        <is>
          <t>2019-06-22 07:45:18</t>
        </is>
      </c>
      <c r="H6934" t="inlineStr">
        <is>
          <t>Type 1</t>
        </is>
      </c>
    </row>
    <row r="6935">
      <c r="A6935" t="inlineStr">
        <is>
          <t>c3qizh</t>
        </is>
      </c>
      <c r="B6935" t="inlineStr">
        <is>
          <t>Omnipod users - how many hours do you have after the pod says it has expired?</t>
        </is>
      </c>
      <c r="C6935" t="inlineStr">
        <is>
          <t>I've never been able to figure out and would love to know definitively. When it says "Pod exp 10:00am" on the PDM home page and then it gets to 10am and it beeps and says "Pod expiry alert, remove pod" or whatever, but the long beep / deactivation hasn't happened, how much longer do you have until it finally craps out?
&amp;amp;#x200B;
Thanks!</t>
        </is>
      </c>
      <c r="D6935" t="n">
        <v>3</v>
      </c>
      <c r="E6935" t="n">
        <v>5</v>
      </c>
      <c r="F6935">
        <f>HYPERLINK("https://www.reddit.com/r/diabetes/comments/c3qizh/omnipod_users_how_many_hours_do_you_have_after/")</f>
        <v/>
      </c>
      <c r="G6935" t="inlineStr">
        <is>
          <t>2019-06-22 07:46:53</t>
        </is>
      </c>
      <c r="H6935" t="inlineStr">
        <is>
          <t>Type 1</t>
        </is>
      </c>
    </row>
    <row r="6936">
      <c r="A6936" t="inlineStr">
        <is>
          <t>c3s6pq</t>
        </is>
      </c>
      <c r="B6936" t="inlineStr">
        <is>
          <t>confusing informatin about breakfast / oats</t>
        </is>
      </c>
      <c r="C6936" t="inlineStr">
        <is>
          <t>Been doing some googling and really confused about the breakfast options especially with oats
looks like there is 
steel cut oats, rolled oats, quick rolled oats, quick oatmeal, and instant oatmeal
I understand instant oatmeal is bad. so to have a balance between cooking time and getting the best oat, is rolled oats the way to go? I would probably get bob's red mill. I live in Toronto area, Canada.
&amp;amp;#x200B;
In the same way there is a lot of confusing information on brans and other things, so would appreciate if I can know what I can purchase.
&amp;amp;#x200B;
P.S. the person I am asking this for is also going vegan, so no eggs or dairy. But almond/soy milk is ok</t>
        </is>
      </c>
      <c r="D6936" t="n">
        <v>3</v>
      </c>
      <c r="E6936" t="n">
        <v>8</v>
      </c>
      <c r="F6936">
        <f>HYPERLINK("https://www.reddit.com/r/diabetes/comments/c3s6pq/confusing_informatin_about_breakfast_oats/")</f>
        <v/>
      </c>
      <c r="G6936" t="inlineStr">
        <is>
          <t>2019-06-22 10:09:29</t>
        </is>
      </c>
      <c r="H6936" t="inlineStr">
        <is>
          <t>Type 2</t>
        </is>
      </c>
    </row>
    <row r="6937">
      <c r="A6937" t="inlineStr">
        <is>
          <t>c3v54t</t>
        </is>
      </c>
      <c r="B6937" t="inlineStr">
        <is>
          <t>Freestly Libre Accuracy</t>
        </is>
      </c>
      <c r="C6937" t="inlineStr">
        <is>
          <t>Hi all!
&amp;amp;#x200B;
I just got my first Libre just a week ago, so I am finding all the ins and outs for this device. I am an android user (Galaxy S10) and have been experimenting with various apps for scanning the sensor. I have tested out Glimp, Diabetes: M, and the actual Freestyle scanner; however, I have noticed that the readings are kinda random when compared to my One Touch Verio meter.
ie:
Meter: 6.5 mmol/L
Libre:  6.6 mmol/L
Glimp/Diabetes: M: 5.6 mmol/L
&amp;amp;#x200B;
Sometimes even all three devices give all different/scattered readings. 
I understand the delay in ISF vs blood glucose and that this is part of the reason for variation. Firstly, is there one measurement app that you'd recommend? Or is the Freestyle Meter the best?
&amp;amp;#x200B;
Secondly, when taking this \~20 min delay into consideration, should I only rely on the Libre when there's minimal fast acting insulin on-board? Because what's the point of having a Libre if it's off by \~1 mmol/L? -- If you guys could give me some insight on this last point, that'd be great :D
&amp;amp;#x200B;
TLDR; What'd the best app for Libre? How to optimize Libre results?</t>
        </is>
      </c>
      <c r="D6937" t="n">
        <v>2</v>
      </c>
      <c r="E6937" t="n">
        <v>3</v>
      </c>
      <c r="F6937">
        <f>HYPERLINK("https://www.reddit.com/r/diabetes/comments/c3v54t/freestly_libre_accuracy/")</f>
        <v/>
      </c>
      <c r="G6937" t="inlineStr">
        <is>
          <t>2019-06-22 14:43:00</t>
        </is>
      </c>
      <c r="H6937" t="inlineStr">
        <is>
          <t>Type 1</t>
        </is>
      </c>
    </row>
    <row r="6938">
      <c r="A6938" t="inlineStr">
        <is>
          <t>c3vdsy</t>
        </is>
      </c>
      <c r="B6938" t="inlineStr">
        <is>
          <t>Just wasted $200 basically because the CGM Guardian 3 sensor won’t attach to the little prongs</t>
        </is>
      </c>
      <c r="C6938" t="inlineStr">
        <is>
          <t>Start rant here:
Went to use my new Guardian Sensor for the 670G and wasted two of the sensor attachments because the transmitter won’t click into place. Tried two spots, got the sensor attached, but the transmitter wouldn’t go all the way on and ripped out the patch/needle. I’m very frustrated because a single box of 5 is $600+ and now I’m afraid I’ll waste all of them. 
Tried attaching it to the first one that ripped to make sure I was going to do it the right way on the second attempt, but it’s not easy to push it into place because the prongs that anchor it on are so small and they don’t easily slide on. 
Don’t know if this is common but none of my friends are diabetic so they won’t get the frustration and fear due to the cost of the supplies. $600 is more than half of my paycheck at a time and I just feel defeated.</t>
        </is>
      </c>
      <c r="D6938" t="n">
        <v>17</v>
      </c>
      <c r="E6938" t="n">
        <v>8</v>
      </c>
      <c r="F6938">
        <f>HYPERLINK("https://www.reddit.com/r/diabetes/comments/c3vdsy/just_wasted_200_basically_because_the_cgm/")</f>
        <v/>
      </c>
      <c r="G6938" t="inlineStr">
        <is>
          <t>2019-06-22 15:04:45</t>
        </is>
      </c>
      <c r="H6938" t="inlineStr">
        <is>
          <t>Type 1</t>
        </is>
      </c>
    </row>
    <row r="6939">
      <c r="A6939" t="inlineStr">
        <is>
          <t>c3w6ku</t>
        </is>
      </c>
      <c r="B6939" t="inlineStr">
        <is>
          <t>Blood sugar questions</t>
        </is>
      </c>
      <c r="C6939" t="inlineStr">
        <is>
          <t>Hi reddit users. Im an 80 year old woman and this is my first reddit post!!! I was diagnosed with diabetes 40 years ago and have been taking insulin for 4 years. I have a question about the use of insulin when your blood sugar is between 90 and 101 this number is fasting (first thing in the am). Do you still inject insulin before a meal when it is that low?  The same amount , lower , or none at all?  I have never real known what is best to do.</t>
        </is>
      </c>
      <c r="D6939" t="n">
        <v>26</v>
      </c>
      <c r="E6939" t="n">
        <v>26</v>
      </c>
      <c r="F6939">
        <f>HYPERLINK("https://www.reddit.com/r/diabetes/comments/c3w6ku/blood_sugar_questions/")</f>
        <v/>
      </c>
      <c r="G6939" t="inlineStr">
        <is>
          <t>2019-06-22 16:20:16</t>
        </is>
      </c>
      <c r="H6939" t="inlineStr">
        <is>
          <t>Type 2</t>
        </is>
      </c>
    </row>
    <row r="6940">
      <c r="A6940" t="inlineStr">
        <is>
          <t>c3w6zw</t>
        </is>
      </c>
      <c r="B6940" t="inlineStr">
        <is>
          <t>Bolusing with a syringe</t>
        </is>
      </c>
      <c r="C6940" t="inlineStr">
        <is>
          <t>Hi all, I’m in a bit of a bind tonight and need to take my bolus with a syringe. I have a 1 ml syringe with measurement markings for 100 units within that 1 ml. What is the conversion rate for humalog coming from a vial or quickpen?
In other words, if I wanted to bolus 6 units with an omnipod, how much should I take from a syringe? 
TIA!</t>
        </is>
      </c>
      <c r="D6940" t="n">
        <v>3</v>
      </c>
      <c r="E6940" t="n">
        <v>3</v>
      </c>
      <c r="F6940">
        <f>HYPERLINK("https://www.reddit.com/r/diabetes/comments/c3w6zw/bolusing_with_a_syringe/")</f>
        <v/>
      </c>
      <c r="G6940" t="inlineStr">
        <is>
          <t>2019-06-22 16:21:30</t>
        </is>
      </c>
      <c r="H6940" t="inlineStr">
        <is>
          <t>Type 1</t>
        </is>
      </c>
    </row>
    <row r="6941">
      <c r="A6941" t="inlineStr">
        <is>
          <t>c3xegt</t>
        </is>
      </c>
      <c r="B6941" t="inlineStr">
        <is>
          <t>honeymoon period</t>
        </is>
      </c>
      <c r="C6941" t="inlineStr">
        <is>
          <t>hey guys i’m a recently diagnosed type 1 just came out of dka in icu ! , how long did your honeymoon period last? it seems that i’ve been lucky enough to have one now i’m just wondering how long it usually last. 
thanks in advance&amp;lt;3</t>
        </is>
      </c>
      <c r="D6941" t="n">
        <v>5</v>
      </c>
      <c r="E6941" t="n">
        <v>24</v>
      </c>
      <c r="F6941">
        <f>HYPERLINK("https://www.reddit.com/r/diabetes/comments/c3xegt/honeymoon_period/")</f>
        <v/>
      </c>
      <c r="G6941" t="inlineStr">
        <is>
          <t>2019-06-22 18:21:24</t>
        </is>
      </c>
      <c r="H6941" t="inlineStr">
        <is>
          <t>Type 1</t>
        </is>
      </c>
    </row>
    <row r="6942">
      <c r="A6942" t="inlineStr">
        <is>
          <t>c3zrqt</t>
        </is>
      </c>
      <c r="B6942" t="inlineStr">
        <is>
          <t>Wish it was always this pretty..</t>
        </is>
      </c>
      <c r="C6942" t="inlineStr">
        <is>
          <t>&amp;amp;#x200B;
https://i.redd.it/awu9gs6mm1631.png
&amp;amp;#x200B;
Highest value all day was 131, and due to the heat, I was constantly trending downwards, so I actually ate a ton of stuff.. bunch of fruit, bunch of chocolate, even some icecream.
Average was 104 for the entire day.</t>
        </is>
      </c>
      <c r="D6942" t="n">
        <v>82</v>
      </c>
      <c r="E6942" t="n">
        <v>10</v>
      </c>
      <c r="F6942">
        <f>HYPERLINK("https://www.reddit.com/r/diabetes/comments/c3zrqt/wish_it_was_always_this_pretty/")</f>
        <v/>
      </c>
      <c r="G6942" t="inlineStr">
        <is>
          <t>2019-06-22 22:39:40</t>
        </is>
      </c>
      <c r="H6942" t="inlineStr">
        <is>
          <t>Type 1</t>
        </is>
      </c>
    </row>
    <row r="6943">
      <c r="A6943" t="inlineStr">
        <is>
          <t>c4767h</t>
        </is>
      </c>
      <c r="B6943" t="inlineStr">
        <is>
          <t>Basaglar Opinions?</t>
        </is>
      </c>
      <c r="C6943" t="inlineStr">
        <is>
          <t>Hey, I've been a diabetic for years and have been on Lantus for much of that time. I recently moved and switched insurance providers. My newer insurance abruptly switched me from Lantus to Basaglar. I've been on Basaglar for several months.  
Initially, I didn't think much of it since the information I looked at said the two are functionally identical, but I swear my BG levels have been more out of control since I switched. I see reviews online from diabetics who seem to be having similar issues with Basaglar, but again, Basaglar and Lantus seem to be essentially the same thing, so I don't understand why there would be any difference.  
I can't even tell you the last time I woke up to a BG level under 200. I can take steps to help control it, but typically it's somewhere between 250-290. I've increased the amount I take at bedtime with largely the same result. It just doesn't seem to last as long as Lantus.   
It's incredibly frustrating and I'm planning on asking my doctor if she can't switch me back to Lantus, but I'm curious if anyone has had similar experiences with Basaglar or can suggest likely reasons why it seems ineffective? I had my A1C pretty under control when my insurance decided it knows better than my doctors and switched me over, but now it feels like that's completely out the window.</t>
        </is>
      </c>
      <c r="D6943" t="n">
        <v>3</v>
      </c>
      <c r="E6943" t="n">
        <v>7</v>
      </c>
      <c r="F6943">
        <f>HYPERLINK("https://www.reddit.com/r/diabetes/comments/c4767h/basaglar_opinions/")</f>
        <v/>
      </c>
      <c r="G6943" t="inlineStr">
        <is>
          <t>2019-06-23 09:23:42</t>
        </is>
      </c>
      <c r="H6943" t="inlineStr">
        <is>
          <t>Type 1</t>
        </is>
      </c>
    </row>
    <row r="6944">
      <c r="A6944" t="inlineStr">
        <is>
          <t>c48f20</t>
        </is>
      </c>
      <c r="B6944" t="inlineStr">
        <is>
          <t>Best method for weight loss?</t>
        </is>
      </c>
      <c r="C6944" t="inlineStr">
        <is>
          <t>Trying to lose weight but as you can imagine it's difficult without proper knowledge, the internet isn't so helpful, does anyone have any advice or tips?</t>
        </is>
      </c>
      <c r="D6944" t="n">
        <v>2</v>
      </c>
      <c r="E6944" t="n">
        <v>8</v>
      </c>
      <c r="F6944">
        <f>HYPERLINK("https://www.reddit.com/r/diabetes/comments/c48f20/best_method_for_weight_loss/")</f>
        <v/>
      </c>
      <c r="G6944" t="inlineStr">
        <is>
          <t>2019-06-23 10:46:14</t>
        </is>
      </c>
      <c r="H6944" t="inlineStr">
        <is>
          <t>Type 1</t>
        </is>
      </c>
    </row>
    <row r="6945">
      <c r="A6945" t="inlineStr">
        <is>
          <t>c4cyyb</t>
        </is>
      </c>
      <c r="B6945" t="inlineStr">
        <is>
          <t>Type 1 Pump break + exercise</t>
        </is>
      </c>
      <c r="C6945" t="inlineStr">
        <is>
          <t>Hey y’all! Thinking of taking a little summer break from my omnipod. But I’m trying to work out more so I’m worried about not being able to turn off my insulin while I work out to prevent lows. Thoughts or experiences?</t>
        </is>
      </c>
      <c r="D6945" t="n">
        <v>3</v>
      </c>
      <c r="E6945" t="n">
        <v>4</v>
      </c>
      <c r="F6945">
        <f>HYPERLINK("https://www.reddit.com/r/diabetes/comments/c4cyyb/type_1_pump_break_exercise/")</f>
        <v/>
      </c>
      <c r="G6945" t="inlineStr">
        <is>
          <t>2019-06-23 15:06:22</t>
        </is>
      </c>
      <c r="H6945" t="inlineStr">
        <is>
          <t>Type 1</t>
        </is>
      </c>
    </row>
    <row r="6946">
      <c r="A6946" t="inlineStr">
        <is>
          <t>c4i89g</t>
        </is>
      </c>
      <c r="B6946" t="inlineStr">
        <is>
          <t>Energy</t>
        </is>
      </c>
      <c r="C6946" t="inlineStr">
        <is>
          <t>Even though I’m on metformin and keeping my blood sugar regulated, my energy is low and I get tired easy. I was this way even worse before being diagnosed but 10 months later my energy has only improved some. Does anyone else have this problem of being weak and tired even when eating well and staying hydrated? Any tips</t>
        </is>
      </c>
      <c r="D6946" t="n">
        <v>2</v>
      </c>
      <c r="E6946" t="n">
        <v>13</v>
      </c>
      <c r="F6946">
        <f>HYPERLINK("https://www.reddit.com/r/diabetes/comments/c4i89g/energy/")</f>
        <v/>
      </c>
      <c r="G6946" t="inlineStr">
        <is>
          <t>2019-06-23 21:30:27</t>
        </is>
      </c>
      <c r="H6946" t="inlineStr">
        <is>
          <t>Type 2</t>
        </is>
      </c>
    </row>
    <row r="6947">
      <c r="A6947" t="inlineStr">
        <is>
          <t>c4j65t</t>
        </is>
      </c>
      <c r="B6947" t="inlineStr">
        <is>
          <t>Being Diagnosed with TYPE 2 probably added 10 yrs to my life.</t>
        </is>
      </c>
      <c r="C6947" t="inlineStr">
        <is>
          <t>Just sayin, 
&amp;amp;#x200B;
57(M), 260#, BP 140/85, then the blood test. A1C 6.8%, FBG 8.5 mmol/l, LDL high, eating a highly processed hi carb diet.
&amp;amp;#x200B;
Now 3 months later, A1C 5.1%, FBG 4 mmol/l, eating Low Carb to Keto range. Wt down 25#</t>
        </is>
      </c>
      <c r="D6947" t="n">
        <v>13</v>
      </c>
      <c r="E6947" t="n">
        <v>1</v>
      </c>
      <c r="F6947">
        <f>HYPERLINK("https://www.reddit.com/r/diabetes/comments/c4j65t/being_diagnosed_with_type_2_probably_added_10_yrs/")</f>
        <v/>
      </c>
      <c r="G6947" t="inlineStr">
        <is>
          <t>2019-06-23 23:17:36</t>
        </is>
      </c>
      <c r="H6947" t="inlineStr">
        <is>
          <t>Type 2</t>
        </is>
      </c>
    </row>
    <row r="6948">
      <c r="A6948" t="inlineStr">
        <is>
          <t>c4kju2</t>
        </is>
      </c>
      <c r="B6948" t="inlineStr">
        <is>
          <t>Do you count "Net carb" or "whole carb" when you calculate the insulin dose?</t>
        </is>
      </c>
      <c r="C6948" t="inlineStr">
        <is>
          <t>Do you count "Net carb" or "whole amount of carb" in a meal when you calculate the bolus insulin (in the contest of type 2 diabetes)? 
I will appreciate if somebody explains this! Thanks</t>
        </is>
      </c>
      <c r="D6948" t="n">
        <v>3</v>
      </c>
      <c r="E6948" t="n">
        <v>12</v>
      </c>
      <c r="F6948">
        <f>HYPERLINK("https://www.reddit.com/r/diabetes/comments/c4kju2/do_you_count_net_carb_or_whole_carb_when_you/")</f>
        <v/>
      </c>
      <c r="G6948" t="inlineStr">
        <is>
          <t>2019-06-24 02:09:52</t>
        </is>
      </c>
      <c r="H6948" t="inlineStr">
        <is>
          <t>Type 2</t>
        </is>
      </c>
    </row>
    <row r="6949">
      <c r="A6949" t="inlineStr">
        <is>
          <t>c4ua60</t>
        </is>
      </c>
      <c r="B6949" t="inlineStr">
        <is>
          <t>Food poisoning</t>
        </is>
      </c>
      <c r="C6949" t="inlineStr">
        <is>
          <t>First time I got food poisoning as a diabetic. What should I do? Cause if I don’t eat my blood sugar drops below 70 and I don’t want to go into a diabetic coma but if I eat I might throw up or have upset stomach. What food or drink would you recommend to service the next 24 to 48 hours? Thanks</t>
        </is>
      </c>
      <c r="D6949" t="n">
        <v>1</v>
      </c>
      <c r="E6949" t="n">
        <v>6</v>
      </c>
      <c r="F6949">
        <f>HYPERLINK("https://www.reddit.com/r/diabetes/comments/c4ua60/food_poisoning/")</f>
        <v/>
      </c>
      <c r="G6949" t="inlineStr">
        <is>
          <t>2019-06-24 12:42:33</t>
        </is>
      </c>
      <c r="H6949" t="inlineStr">
        <is>
          <t>Type 2</t>
        </is>
      </c>
    </row>
    <row r="6950">
      <c r="A6950" t="inlineStr">
        <is>
          <t>c4wwob</t>
        </is>
      </c>
      <c r="B6950" t="inlineStr">
        <is>
          <t>Do I need a doctor's note to fly with insulin from the US?</t>
        </is>
      </c>
      <c r="C6950" t="inlineStr">
        <is>
          <t>Or can I just take my medication w/o a doctor's note?</t>
        </is>
      </c>
      <c r="D6950" t="n">
        <v>2</v>
      </c>
      <c r="E6950" t="n">
        <v>7</v>
      </c>
      <c r="F6950">
        <f>HYPERLINK("https://www.reddit.com/r/diabetes/comments/c4wwob/do_i_need_a_doctors_note_to_fly_with_insulin_from/")</f>
        <v/>
      </c>
      <c r="G6950" t="inlineStr">
        <is>
          <t>2019-06-24 15:14:47</t>
        </is>
      </c>
      <c r="H6950" t="inlineStr">
        <is>
          <t>Type 1</t>
        </is>
      </c>
    </row>
    <row r="6951">
      <c r="A6951" t="inlineStr">
        <is>
          <t>c4yc72</t>
        </is>
      </c>
      <c r="B6951" t="inlineStr">
        <is>
          <t>Type 2 question</t>
        </is>
      </c>
      <c r="C6951" t="inlineStr">
        <is>
          <t>For the first time since November my levels have stayed pretty steady in the 150-200 range. The lowest I have gone is 148.  I was averaging about 250-300 and the doctor has been steadily increasing my basal insulin and making small changes to my bolus. But now that they are coming down I am noticing hypoglycemic issues at below 150 like fatigue, shakiness, being hangry, and lightheaded.  Is it weird to have those symptoms when the levels are clearly not low and are actually considered just barely high? I am thinking its because my body is so used to being high that it is reacting like this even though I am "normal".</t>
        </is>
      </c>
      <c r="D6951" t="n">
        <v>3</v>
      </c>
      <c r="E6951" t="n">
        <v>4</v>
      </c>
      <c r="F6951">
        <f>HYPERLINK("https://www.reddit.com/r/diabetes/comments/c4yc72/type_2_question/")</f>
        <v/>
      </c>
      <c r="G6951" t="inlineStr">
        <is>
          <t>2019-06-24 16:43:02</t>
        </is>
      </c>
      <c r="H6951" t="inlineStr">
        <is>
          <t>Type 2</t>
        </is>
      </c>
    </row>
    <row r="6952">
      <c r="A6952" t="inlineStr">
        <is>
          <t>c508p9</t>
        </is>
      </c>
      <c r="B6952" t="inlineStr">
        <is>
          <t>Thinking about getting a Dexcom G6</t>
        </is>
      </c>
      <c r="C6952" t="inlineStr">
        <is>
          <t>Hey everyone I’ve been a T1D for about 11 years now and I’ve never had a CGM. I was looking in at the dexcom G6. I love everything about it but the one thing that concerns me is cost. I know with different insurance plans there’s different cost people pay but either way is the cost pretty steep for dexcom G6?</t>
        </is>
      </c>
      <c r="D6952" t="n">
        <v>2</v>
      </c>
      <c r="E6952" t="n">
        <v>8</v>
      </c>
      <c r="F6952">
        <f>HYPERLINK("https://www.reddit.com/r/diabetes/comments/c508p9/thinking_about_getting_a_dexcom_g6/")</f>
        <v/>
      </c>
      <c r="G6952" t="inlineStr">
        <is>
          <t>2019-06-24 18:46:10</t>
        </is>
      </c>
      <c r="H6952" t="inlineStr">
        <is>
          <t>Type 1</t>
        </is>
      </c>
    </row>
    <row r="6953">
      <c r="A6953" t="inlineStr">
        <is>
          <t>c52b1t</t>
        </is>
      </c>
      <c r="B6953" t="inlineStr">
        <is>
          <t>Help? I don't know what's going on ..</t>
        </is>
      </c>
      <c r="C6953" t="inlineStr">
        <is>
          <t>I just got a call from my cardiologist because I had my annual blood test due to a heart condition. He said my glucose is at 189. He said I need to see my GP because I guess I'm diabetic. 
Here are my stats:
* 52 y.o. male
* 5'11", 205 lbs
* I lift weights for fitness primarily with very little cardio.
* I had a cardiac event about 10 years ago and on lipitor, losartan, and metoprolol. 
Is there anything you folks can give me advise on? I planning on losing weight and have incorporated running as part of my fitness routine (ran 1.2 miles today). I'm going to eliminate all the sugary stuff that I normally consume (soda, pastries, etc) and cut back on my carbs (bread, rice, etc.).
Thank you so much.</t>
        </is>
      </c>
      <c r="D6953" t="n">
        <v>3</v>
      </c>
      <c r="E6953" t="n">
        <v>6</v>
      </c>
      <c r="F6953">
        <f>HYPERLINK("https://www.reddit.com/r/diabetes/comments/c52b1t/help_i_dont_know_whats_going_on/")</f>
        <v/>
      </c>
      <c r="G6953" t="inlineStr">
        <is>
          <t>2019-06-24 21:17:39</t>
        </is>
      </c>
      <c r="H6953" t="inlineStr">
        <is>
          <t>Type 2</t>
        </is>
      </c>
    </row>
    <row r="6954">
      <c r="A6954" t="inlineStr">
        <is>
          <t>c54672</t>
        </is>
      </c>
      <c r="B6954" t="inlineStr">
        <is>
          <t>Question regarding amputations</t>
        </is>
      </c>
      <c r="C6954" t="inlineStr">
        <is>
          <t>I'm a newly diagnosed T1D as of last September, and I've been deathly afraid of the idea of my feet getting amputated (if it were to get to that point). Should I start taking any extra precautions besides cleaning properly and managing my bg?</t>
        </is>
      </c>
      <c r="D6954" t="n">
        <v>10</v>
      </c>
      <c r="E6954" t="n">
        <v>27</v>
      </c>
      <c r="F6954">
        <f>HYPERLINK("https://www.reddit.com/r/diabetes/comments/c54672/question_regarding_amputations/")</f>
        <v/>
      </c>
      <c r="G6954" t="inlineStr">
        <is>
          <t>2019-06-24 23:56:31</t>
        </is>
      </c>
      <c r="H6954" t="inlineStr">
        <is>
          <t>Type 1</t>
        </is>
      </c>
    </row>
    <row r="6955">
      <c r="A6955" t="inlineStr">
        <is>
          <t>c547ah</t>
        </is>
      </c>
      <c r="B6955" t="inlineStr">
        <is>
          <t>Weight gain from Tresiba?</t>
        </is>
      </c>
      <c r="C6955" t="inlineStr">
        <is>
          <t>Anyone experienced this? I saw mixed information on that so far. Since switching to Tresiba half a year back, I gained 7kg without major changes in food. I take 45 units a day (before, I took 55 units of Levemir, split).</t>
        </is>
      </c>
      <c r="D6955" t="n">
        <v>5</v>
      </c>
      <c r="E6955" t="n">
        <v>5</v>
      </c>
      <c r="F6955">
        <f>HYPERLINK("https://www.reddit.com/r/diabetes/comments/c547ah/weight_gain_from_tresiba/")</f>
        <v/>
      </c>
      <c r="G6955" t="inlineStr">
        <is>
          <t>2019-06-24 23:59:14</t>
        </is>
      </c>
      <c r="H6955" t="inlineStr">
        <is>
          <t>Type 1</t>
        </is>
      </c>
    </row>
    <row r="6956">
      <c r="A6956" t="inlineStr">
        <is>
          <t>c588de</t>
        </is>
      </c>
      <c r="B6956" t="inlineStr">
        <is>
          <t>Not feeling high</t>
        </is>
      </c>
      <c r="C6956" t="inlineStr">
        <is>
          <t>Hey so I don't really feel high but I do get thirsty do any of u guys fell high,if so please tell me what it feels like to be high, is it like felling low? because I defenetly feel low just wondering and thanks for the info</t>
        </is>
      </c>
      <c r="D6956" t="n">
        <v>2</v>
      </c>
      <c r="E6956" t="n">
        <v>4</v>
      </c>
      <c r="F6956">
        <f>HYPERLINK("https://www.reddit.com/r/diabetes/comments/c588de/not_feeling_high/")</f>
        <v/>
      </c>
      <c r="G6956" t="inlineStr">
        <is>
          <t>2019-06-25 06:01:55</t>
        </is>
      </c>
      <c r="H6956" t="inlineStr">
        <is>
          <t>Type 1</t>
        </is>
      </c>
    </row>
    <row r="6957">
      <c r="A6957" t="inlineStr">
        <is>
          <t>c59900</t>
        </is>
      </c>
      <c r="B6957" t="inlineStr">
        <is>
          <t>What range do you target for your glucose levels?</t>
        </is>
      </c>
      <c r="C6957" t="inlineStr">
        <is>
          <t>Just came back from my doctors and he was annoyed with my glucose levels, Clarity showed it was 112 (SD 34) for the past 6 months.
Granted I was 36 when my glucose was measured at the office... so should have eaten something.
But what blood glucose do you typically target? For your blood glucose levels?</t>
        </is>
      </c>
      <c r="D6957" t="n">
        <v>2</v>
      </c>
      <c r="E6957" t="n">
        <v>22</v>
      </c>
      <c r="F6957">
        <f>HYPERLINK("https://www.reddit.com/r/diabetes/comments/c59900/what_range_do_you_target_for_your_glucose_levels/")</f>
        <v/>
      </c>
      <c r="G6957" t="inlineStr">
        <is>
          <t>2019-06-25 07:19:22</t>
        </is>
      </c>
      <c r="H6957" t="inlineStr">
        <is>
          <t>Type 1</t>
        </is>
      </c>
    </row>
    <row r="6958">
      <c r="A6958" t="inlineStr">
        <is>
          <t>c59tnb</t>
        </is>
      </c>
      <c r="B6958" t="inlineStr">
        <is>
          <t>I really like this pots</t>
        </is>
      </c>
      <c r="C6958" t="inlineStr">
        <is>
          <t>[https://www.reddit.com/r/diabetes/comments/c5302c/positivity\_post/?utm\_so](https://www.reddit.com/r/diabetes/comments/c5302c/positivity_post/?utm_source=share&amp;amp;utm_medium=web2x)
[urce=share&amp;amp;utm\_medium=web2x](https://www.reddit.com/r/diabetes/comments/c5302c/positivity_post/?utm_source=share&amp;amp;utm_medium=web2x)</t>
        </is>
      </c>
      <c r="D6958" t="n">
        <v>0</v>
      </c>
      <c r="E6958" t="n">
        <v>4</v>
      </c>
      <c r="F6958">
        <f>HYPERLINK("https://www.reddit.com/r/diabetes/comments/c59tnb/i_really_like_this_pots/")</f>
        <v/>
      </c>
      <c r="G6958" t="inlineStr">
        <is>
          <t>2019-06-25 08:01:22</t>
        </is>
      </c>
      <c r="H6958" t="inlineStr">
        <is>
          <t>Type 2</t>
        </is>
      </c>
    </row>
    <row r="6959">
      <c r="A6959" t="inlineStr">
        <is>
          <t>c5b6l8</t>
        </is>
      </c>
      <c r="B6959" t="inlineStr">
        <is>
          <t>2 glucagons in 1 hour</t>
        </is>
      </c>
      <c r="C6959" t="inlineStr">
        <is>
          <t>My sister is T1D. Yesterday she was doing fieldwork on a mountain after which she had a meal heavy with carbs. Her glucose went up to 27 so in panic she injected 7 units of apidra (pump). In 20 minutes she started going into hypo and had 2 cokes and some other sugar. When her blood sugar still wouldn't go up she injected herself with a glucagon. Half an hour later she was still in hypo so in panic she injected herself with a second dose if glucagon (she was alone during all of this).
Realizing that her sugar still wasn't going up she called my parents they took her to a hospital and gave her an intravenous sugar solution, which finally helped stabilize her blood sugar. 
Now that the panic is over we are trying to figure out what happened. Does anyone know the effects of 2 doses of glucagon? She was vomitting yesterday which we read was a side-effect of gkucagon overdose but we don't know if there is any other risk.</t>
        </is>
      </c>
      <c r="D6959" t="n">
        <v>4</v>
      </c>
      <c r="E6959" t="n">
        <v>5</v>
      </c>
      <c r="F6959">
        <f>HYPERLINK("https://www.reddit.com/r/diabetes/comments/c5b6l8/2_glucagons_in_1_hour/")</f>
        <v/>
      </c>
      <c r="G6959" t="inlineStr">
        <is>
          <t>2019-06-25 09:34:39</t>
        </is>
      </c>
      <c r="H6959" t="inlineStr">
        <is>
          <t>Type 1</t>
        </is>
      </c>
    </row>
    <row r="6960">
      <c r="A6960" t="inlineStr">
        <is>
          <t>c5ibkn</t>
        </is>
      </c>
      <c r="B6960" t="inlineStr">
        <is>
          <t>Low after intense workout</t>
        </is>
      </c>
      <c r="C6960" t="inlineStr">
        <is>
          <t>I’ve been getting into lifting and just general fitness more over the past few months, but after really intense sessions my sugar will constantly plummet for the next 24-48 hours. Like last night I ate 74 carbs without a bolus because I knew I would drop and I woke up at 94 (kinda proud of that guess). Throughout the day, my sugar will drop if I don’t eat anything to bring it up, and after that it will just drop again right after. This wouldn’t have been a problem for me over the past few months but now I’m trying to lower some of my calorie intake just because I’m trying to lose a little bit of weight but I’m eating an extra 1000 calories just to keep my sugar above 70 during the day.
What I’m asking is how should I do to, or how do you, stop this problem from occurring?</t>
        </is>
      </c>
      <c r="D6960" t="n">
        <v>2</v>
      </c>
      <c r="E6960" t="n">
        <v>9</v>
      </c>
      <c r="F6960">
        <f>HYPERLINK("https://www.reddit.com/r/diabetes/comments/c5ibkn/low_after_intense_workout/")</f>
        <v/>
      </c>
      <c r="G6960" t="inlineStr">
        <is>
          <t>2019-06-25 17:35:12</t>
        </is>
      </c>
      <c r="H6960" t="inlineStr">
        <is>
          <t>Type 1</t>
        </is>
      </c>
    </row>
    <row r="6961">
      <c r="A6961" t="inlineStr">
        <is>
          <t>c5jzfh</t>
        </is>
      </c>
      <c r="B6961" t="inlineStr">
        <is>
          <t>About to give up on my pump...</t>
        </is>
      </c>
      <c r="C6961" t="inlineStr">
        <is>
          <t>I’ve been on the 670G for almost a year now and I’ve absolutely loved it for the most part. My A1c decreased 2% in the three months after starting auto mode. It was quite rough getting used to but I luckily had a great educator who knew the pump well. Once we found my calibration factor the sensor became virtually 100% accurate. I’ve finally started getting all these issues with both the pump and sensor that everyone’s been warning me about. I always thought I was the lucky one and refused to believe this could be a bad pump, that all these faults everyone was experiencing was user error. Going back on shots now would make my numbers terrible - my lowest A1c on shots was in the high 8s, and I’ve been on shots most of my life, pumping for only the last 3 years out of 17 years being a diabetic. My first pump was the 530G 3 years ago, which I loved (apart from the CGM, I used dexcom at that time), but I sent it back when I got my 670G. 
I’ve tried the OmniPod twice, once 10+ years ago when it was huge, and once 3 years ago when I was looking into pumping and didn’t like it either time, the T-Slim infusion sets don’t suit me (I’ve always used the quick set with my pumps, t slim doesn’t offer similar), and so there’s literally no other pump I can go on. Have any of you managed really good blood sugars on shots? If so, how?! My husband and I are starting to try to get pregnant, so I cannot afford my A1c to go up, though thanks to the 670G it has risen since these issues started a few months ago. Also, tell me what you love about your pumps, maybe I just need some convincing when it comes to the OmniPod and T-Slim.
Thank you!</t>
        </is>
      </c>
      <c r="D6961" t="n">
        <v>6</v>
      </c>
      <c r="E6961" t="n">
        <v>19</v>
      </c>
      <c r="F6961">
        <f>HYPERLINK("https://www.reddit.com/r/diabetes/comments/c5jzfh/about_to_give_up_on_my_pump/")</f>
        <v/>
      </c>
      <c r="G6961" t="inlineStr">
        <is>
          <t>2019-06-25 19:50:18</t>
        </is>
      </c>
      <c r="H6961" t="inlineStr">
        <is>
          <t>Type 1</t>
        </is>
      </c>
    </row>
    <row r="6962">
      <c r="A6962" t="inlineStr">
        <is>
          <t>c5r17b</t>
        </is>
      </c>
      <c r="B6962" t="inlineStr">
        <is>
          <t>Why does my sugar drop at 10 pm?</t>
        </is>
      </c>
      <c r="C6962" t="inlineStr">
        <is>
          <t>I take 12 units of novolin N at 7 am and 5 units at 8 pm previously 10 pm. Changed bc sugar want stop dropping at night at around 10 or 11pm (right when I have to sleep).  I also take novolin R for my meals. I also tried a night without any novolin N at night. Didnt help cause my sugar is high when I wake up so I need some while I sleep. I'm kinda skinny so eating alot or drinking alot before bed isn't ideal but I've figured out my sugar usually drops 300 or 400 points at this time. I don't have insurance for a doc either.</t>
        </is>
      </c>
      <c r="D6962" t="n">
        <v>3</v>
      </c>
      <c r="E6962" t="n">
        <v>28</v>
      </c>
      <c r="F6962">
        <f>HYPERLINK("https://www.reddit.com/r/diabetes/comments/c5r17b/why_does_my_sugar_drop_at_10_pm/")</f>
        <v/>
      </c>
      <c r="G6962" t="inlineStr">
        <is>
          <t>2019-06-26 08:14:21</t>
        </is>
      </c>
      <c r="H6962" t="inlineStr">
        <is>
          <t>Type 1</t>
        </is>
      </c>
    </row>
    <row r="6963">
      <c r="A6963" t="inlineStr">
        <is>
          <t>c5sl13</t>
        </is>
      </c>
      <c r="B6963" t="inlineStr">
        <is>
          <t>Insulin doseing for pure protein meals</t>
        </is>
      </c>
      <c r="C6963" t="inlineStr">
        <is>
          <t>Humor me 
&amp;amp;#x200B;
My endo isn't being helpful and I know that you should be eating carbs with every meal. Sometimes I like to just eat entire meals of steak with no sides. I can't dose straight away because my blood sugar will spike. I also can't dose later (1+ hours after) because the protein BS spike is kinda time inconsistent. I use a CGM(libre) and my BS trend doesn't match that of someone with gastroparesis. How do you guys go about doing this?</t>
        </is>
      </c>
      <c r="D6963" t="n">
        <v>3</v>
      </c>
      <c r="E6963" t="n">
        <v>12</v>
      </c>
      <c r="F6963">
        <f>HYPERLINK("https://www.reddit.com/r/diabetes/comments/c5sl13/insulin_doseing_for_pure_protein_meals/")</f>
        <v/>
      </c>
      <c r="G6963" t="inlineStr">
        <is>
          <t>2019-06-26 10:20:47</t>
        </is>
      </c>
      <c r="H6963" t="inlineStr">
        <is>
          <t>Type 1</t>
        </is>
      </c>
    </row>
    <row r="6964">
      <c r="A6964" t="inlineStr">
        <is>
          <t>c5smu3</t>
        </is>
      </c>
      <c r="B6964" t="inlineStr">
        <is>
          <t>Should you mention type 1 diabetes on a driver's license/learner's permit application in the USA?</t>
        </is>
      </c>
      <c r="C6964" t="inlineStr">
        <is>
          <t>I'm in NY, and the application for a learner's permit says this. " Have you received treatment, do you currently receive treatment, or do you      take medication for any condition that causes unconsciousness or      unawareness (for example, a convulsive disorder, epilepsy, fainting or      dizziness, or a heart condition)? "
&amp;amp;#x200B;
I've had 2 hypo attacks in my entire life, but I plan to triple check that my blood sugar is around 150 and that I'm at no risk of going into a hypo while driving.
&amp;amp;#x200B;
Can I just say no to the question then? If I don't then I'll have to wait another month and a half to get my learner's permit because I'll have to wait for my endo appointment to get him to fill out the medical form.</t>
        </is>
      </c>
      <c r="D6964" t="n">
        <v>5</v>
      </c>
      <c r="E6964" t="n">
        <v>8</v>
      </c>
      <c r="F6964">
        <f>HYPERLINK("https://www.reddit.com/r/diabetes/comments/c5smu3/should_you_mention_type_1_diabetes_on_a_drivers/")</f>
        <v/>
      </c>
      <c r="G6964" t="inlineStr">
        <is>
          <t>2019-06-26 10:24:46</t>
        </is>
      </c>
      <c r="H6964" t="inlineStr">
        <is>
          <t>Type 1</t>
        </is>
      </c>
    </row>
    <row r="6965">
      <c r="A6965" t="inlineStr">
        <is>
          <t>c5ypxp</t>
        </is>
      </c>
      <c r="B6965" t="inlineStr">
        <is>
          <t>Mother Diagnosed</t>
        </is>
      </c>
      <c r="C6965" t="inlineStr">
        <is>
          <t>Mother was taken to the hospital last week and upon admittance her blood sugar was 600, she also had an infection and another pretty serious issue. She was taken to icu because they couldnt get her sugar below 350 and they couldnt administer Insulin on the floor. Doctor prescribed her 35u/35u morning and night. Her sugar after eating is around 170-200. They gave her nothing to go off of and she takes the full 35 regardless of what her monitor says. Last night her sugar was 101 and she took 17 units of insulin, I found her the next morning in a diabetic coma, completely paralyzed and unable to move, call emt and they were able to IV her and bring her back up to a reasonable sugar..pre iv she was at 55 and dropping. Is there something I can tell her that can help her gauge how much to take? Like if its 170 pre bed how much does she take?? She is also on Metformin</t>
        </is>
      </c>
      <c r="D6965" t="n">
        <v>7</v>
      </c>
      <c r="E6965" t="n">
        <v>10</v>
      </c>
      <c r="F6965">
        <f>HYPERLINK("https://www.reddit.com/r/diabetes/comments/c5ypxp/mother_diagnosed/")</f>
        <v/>
      </c>
      <c r="G6965" t="inlineStr">
        <is>
          <t>2019-06-26 17:43:38</t>
        </is>
      </c>
      <c r="H6965" t="inlineStr">
        <is>
          <t>Type 2</t>
        </is>
      </c>
    </row>
    <row r="6966">
      <c r="A6966" t="inlineStr">
        <is>
          <t>c65kz9</t>
        </is>
      </c>
      <c r="B6966" t="inlineStr">
        <is>
          <t>eMeals subscription - any luck?</t>
        </is>
      </c>
      <c r="C6966" t="inlineStr">
        <is>
          <t>Has anyone subscribed to eMeals and used their diabetic meal plan with success? I am having a hard time putting new meal ideas together without getting bored so I wanted to give this a shot. If you sign up, it looks like you get 2 weeks for free. I would think this would be a great option to try out but wondering if anyone else has had any success with it.</t>
        </is>
      </c>
      <c r="D6966" t="n">
        <v>2</v>
      </c>
      <c r="E6966" t="n">
        <v>7</v>
      </c>
      <c r="F6966">
        <f>HYPERLINK("https://www.reddit.com/r/diabetes/comments/c65kz9/emeals_subscription_any_luck/")</f>
        <v/>
      </c>
      <c r="G6966" t="inlineStr">
        <is>
          <t>2019-06-27 06:33:49</t>
        </is>
      </c>
      <c r="H6966" t="inlineStr">
        <is>
          <t>Type 2</t>
        </is>
      </c>
    </row>
    <row r="6967">
      <c r="A6967" t="inlineStr">
        <is>
          <t>c68obo</t>
        </is>
      </c>
      <c r="B6967" t="inlineStr">
        <is>
          <t>Why do I just have random days of 200-300 level sugars?</t>
        </is>
      </c>
      <c r="C6967" t="inlineStr">
        <is>
          <t>It’s not like I have certain “cheat days” where I hoard all my carbs. Some days I eat very similar things and my sugar stays below 200, and others it’s way higher just out of the blue. I’ve been T1 for a year now.</t>
        </is>
      </c>
      <c r="D6967" t="n">
        <v>11</v>
      </c>
      <c r="E6967" t="n">
        <v>5</v>
      </c>
      <c r="F6967">
        <f>HYPERLINK("https://www.reddit.com/r/diabetes/comments/c68obo/why_do_i_just_have_random_days_of_200300_level/")</f>
        <v/>
      </c>
      <c r="G6967" t="inlineStr">
        <is>
          <t>2019-06-27 10:54:14</t>
        </is>
      </c>
      <c r="H6967" t="inlineStr">
        <is>
          <t>Type 1</t>
        </is>
      </c>
    </row>
    <row r="6968">
      <c r="A6968" t="inlineStr">
        <is>
          <t>c69wup</t>
        </is>
      </c>
      <c r="B6968" t="inlineStr">
        <is>
          <t>Does Anybody Have Advice On Hiking/Camping/Expedutioning With T1</t>
        </is>
      </c>
      <c r="C6968" t="inlineStr">
        <is>
          <t>Hi all, I have a fairly big expedition coming up (DofE Gold award for those few who will know what that is) and was looking for advice on how I will manage, ive found that on regular walks I do locally my blood sugar plumits so I need large amounts of carbs to keep me going, on one occasion I took about 200+g carbs on a 5 hour walk and still ended up very low, my upcoming expedition is a 4-5 day long treck in the lake district including camping.
Does anybody have any advice as to what is good food to take or how to go about meals/snacks??</t>
        </is>
      </c>
      <c r="D6968" t="n">
        <v>1</v>
      </c>
      <c r="E6968" t="n">
        <v>8</v>
      </c>
      <c r="F6968">
        <f>HYPERLINK("https://www.reddit.com/r/diabetes/comments/c69wup/does_anybody_have_advice_on/")</f>
        <v/>
      </c>
      <c r="G6968" t="inlineStr">
        <is>
          <t>2019-06-27 12:34:22</t>
        </is>
      </c>
      <c r="H6968" t="inlineStr">
        <is>
          <t>Type 1</t>
        </is>
      </c>
    </row>
    <row r="6969">
      <c r="A6969" t="inlineStr">
        <is>
          <t>c6iorm</t>
        </is>
      </c>
      <c r="B6969" t="inlineStr">
        <is>
          <t>I'm scared 30 yo M</t>
        </is>
      </c>
      <c r="C6969" t="inlineStr">
        <is>
          <t>I'm lying here in the hospital, having just been diagnosed as diabetic at age 30. I had been feeling I'll for a week, having to pee constantly. Dry mouth. First reading was 570ish when I checked myself into the ER after work at 10pm. It seems like my life is over. Cant even eat right. Gave myself diabetes at 30. Does life get better? Please help me understand what to do.</t>
        </is>
      </c>
      <c r="D6969" t="n">
        <v>41</v>
      </c>
      <c r="E6969" t="n">
        <v>78</v>
      </c>
      <c r="F6969">
        <f>HYPERLINK("https://www.reddit.com/r/diabetes/comments/c6iorm/im_scared_30_yo_m/")</f>
        <v/>
      </c>
      <c r="G6969" t="inlineStr">
        <is>
          <t>2019-06-28 03:43:53</t>
        </is>
      </c>
      <c r="H6969" t="inlineStr">
        <is>
          <t>Type 2</t>
        </is>
      </c>
    </row>
    <row r="6970">
      <c r="A6970" t="inlineStr">
        <is>
          <t>c6k3wl</t>
        </is>
      </c>
      <c r="B6970" t="inlineStr">
        <is>
          <t>Hba1c of 5.6</t>
        </is>
      </c>
      <c r="C6970" t="inlineStr">
        <is>
          <t>I just wanted to share that my second hba1c since diagnosis 11 months ago came back as 5.6, I'm so happy! I understand I'm probably still honeymooning, but nevertheless very pleased with the result. Good much to the rest of you as well</t>
        </is>
      </c>
      <c r="D6970" t="n">
        <v>111</v>
      </c>
      <c r="E6970" t="n">
        <v>32</v>
      </c>
      <c r="F6970">
        <f>HYPERLINK("https://www.reddit.com/r/diabetes/comments/c6k3wl/hba1c_of_56/")</f>
        <v/>
      </c>
      <c r="G6970" t="inlineStr">
        <is>
          <t>2019-06-28 06:19:32</t>
        </is>
      </c>
      <c r="H6970" t="inlineStr">
        <is>
          <t>Type 1</t>
        </is>
      </c>
    </row>
    <row r="6971">
      <c r="A6971" t="inlineStr">
        <is>
          <t>c6l54o</t>
        </is>
      </c>
      <c r="B6971" t="inlineStr">
        <is>
          <t>Looking for U.S. Type 1 Diabetics for a short documentary</t>
        </is>
      </c>
      <c r="C6971" t="inlineStr">
        <is>
          <t>Hello! 
I hope you might be able to help me out and I hope this is OK to post here -- I'm a documentary filmmaker (and fellow Type 1 Diabetic!) from Canada and am currently looking for Type 1 Diabetics in the U.S. for a short documentary film. The film is about the current Insulin crisis in the states. I'm hoping to find diabetics and/or families of diabetics that are currently rationing their Insulin and planning to (or already have) travel to Canada to buy cheaper Insulin. I'd like to follow you in your journey and explore this health care crisis through a personal portrait. It's a reality that I feel closely tied to and desperately want to understand, how our basic right to be healthy and stay alive is being kept out of reach of diabetics. 
Just so you know I'm not some random person, and that I actually make work and not talking out of my ass, here is a link to my last documentary:
[https://www.cbc.ca/documentarychannel/docs/the-devils-trap](https://www.cbc.ca/documentarychannel/docs/the-devils-trap)
[https://www.youtube.com/watch?v=6vF1Sus4rSs](https://www.youtube.com/watch?v=6vF1Sus4rSs)
Shoot me a PM if you're interested. Would love to chat and hear your experiences!</t>
        </is>
      </c>
      <c r="D6971" t="n">
        <v>2</v>
      </c>
      <c r="E6971" t="n">
        <v>4</v>
      </c>
      <c r="F6971">
        <f>HYPERLINK("https://www.reddit.com/r/diabetes/comments/c6l54o/looking_for_us_type_1_diabetics_for_a_short/")</f>
        <v/>
      </c>
      <c r="G6971" t="inlineStr">
        <is>
          <t>2019-06-28 07:54:14</t>
        </is>
      </c>
      <c r="H6971" t="inlineStr">
        <is>
          <t>Type 1</t>
        </is>
      </c>
    </row>
    <row r="6972">
      <c r="A6972" t="inlineStr">
        <is>
          <t>c6mi6v</t>
        </is>
      </c>
      <c r="B6972" t="inlineStr">
        <is>
          <t>Newly diagnosed</t>
        </is>
      </c>
      <c r="C6972" t="inlineStr">
        <is>
          <t>So I’ve just been diagnosed as a type 2 diabetic and I’m a bit overwhelmed. I have no idea what I’m doing I went into the docs fora MOT as I just turned 40 and now I can’t eat bread.
I’ve been put on metformin and gliczel as my ha1c was stupidly high. I’ve just been given a blood tester and told to switch to a low carb diet. 
I’m not hugely surprised my dad was a type 2 as well.  But it’s been sudden and scary.  
What do I next?</t>
        </is>
      </c>
      <c r="D6972" t="n">
        <v>2</v>
      </c>
      <c r="E6972" t="n">
        <v>7</v>
      </c>
      <c r="F6972">
        <f>HYPERLINK("https://www.reddit.com/r/diabetes/comments/c6mi6v/newly_diagnosed/")</f>
        <v/>
      </c>
      <c r="G6972" t="inlineStr">
        <is>
          <t>2019-06-28 09:47:18</t>
        </is>
      </c>
      <c r="H6972" t="inlineStr">
        <is>
          <t>Type 2</t>
        </is>
      </c>
    </row>
    <row r="6973">
      <c r="A6973" t="inlineStr">
        <is>
          <t>c6n75u</t>
        </is>
      </c>
      <c r="B6973" t="inlineStr">
        <is>
          <t>Drivers License and Texas</t>
        </is>
      </c>
      <c r="C6973" t="inlineStr">
        <is>
          <t>Just a quick question for anyone in Texas who has renewed their drivers license.  
The application has the following question:  
Do you have diabetes requiring treatment by insulin?
&amp;amp;#x200B;
I'm a 1.5, so I'm not insulin-dependent (yet), but I do take insulin.  I probably should answer that question yes, but what ramifications typically happen for those of you who are Type 1 and definitely have to answer that question Yes?
&amp;amp;#x200B;
Do they just ask you a couple of questions at the DMV office or do you need to get your doctor to fill out paperwork?  Or do they not even make a big deal out of it?
&amp;amp;#x200B;
Thanks for any information you can provide.</t>
        </is>
      </c>
      <c r="D6973" t="n">
        <v>5</v>
      </c>
      <c r="E6973" t="n">
        <v>3</v>
      </c>
      <c r="F6973">
        <f>HYPERLINK("https://www.reddit.com/r/diabetes/comments/c6n75u/drivers_license_and_texas/")</f>
        <v/>
      </c>
      <c r="G6973" t="inlineStr">
        <is>
          <t>2019-06-28 10:43:51</t>
        </is>
      </c>
      <c r="H6973" t="inlineStr">
        <is>
          <t>Type 1.5/LADA</t>
        </is>
      </c>
    </row>
    <row r="6974">
      <c r="A6974" t="inlineStr">
        <is>
          <t>c6nwnq</t>
        </is>
      </c>
      <c r="B6974" t="inlineStr">
        <is>
          <t>Reversing Diabetes Type 1 with Insulin Pump - How to?</t>
        </is>
      </c>
      <c r="C6974" t="inlineStr">
        <is>
          <t>I have an insulin pump.
How would you attempt to reverse diabetes??
&amp;amp;#x200B;
Have you guys tried this before? I would like to know.
Diets, Detoxes, Medications, etc etc supplements any suggestions on how to win with this one? I just want to try, thats all.</t>
        </is>
      </c>
      <c r="D6974" t="n">
        <v>0</v>
      </c>
      <c r="E6974" t="n">
        <v>14</v>
      </c>
      <c r="F6974">
        <f>HYPERLINK("https://www.reddit.com/r/diabetes/comments/c6nwnq/reversing_diabetes_type_1_with_insulin_pump_how_to/")</f>
        <v/>
      </c>
      <c r="G6974" t="inlineStr">
        <is>
          <t>2019-06-28 11:40:58</t>
        </is>
      </c>
      <c r="H6974" t="inlineStr">
        <is>
          <t>Type 1</t>
        </is>
      </c>
    </row>
    <row r="6975">
      <c r="A6975" t="inlineStr">
        <is>
          <t>c6q705</t>
        </is>
      </c>
      <c r="B6975" t="inlineStr">
        <is>
          <t>pharmacy screw up or am i missing something?</t>
        </is>
      </c>
      <c r="C6975" t="inlineStr">
        <is>
          <t>Hey guys! So i normally receive one box of Humalog  for $36 a refill. I went to the pharmacy today for my monthly refill and for the same $36 i received 4 boxes of pens. I could see if it was 5 boxes but it was only 4. this is almost a 4 month supply for me. To top if off i am going to a pump in 2 weeks so its not really even useful :( i also had to refill a month supply of uncovered freestyle sensors for a lot of money and i wont even use it for the full 14 days :(  any suggestions as to what i should do with all the extras too?</t>
        </is>
      </c>
      <c r="D6975" t="n">
        <v>3</v>
      </c>
      <c r="E6975" t="n">
        <v>5</v>
      </c>
      <c r="F6975">
        <f>HYPERLINK("https://www.reddit.com/r/diabetes/comments/c6q705/pharmacy_screw_up_or_am_i_missing_something/")</f>
        <v/>
      </c>
      <c r="G6975" t="inlineStr">
        <is>
          <t>2019-06-28 14:43:58</t>
        </is>
      </c>
      <c r="H6975" t="inlineStr">
        <is>
          <t>Type 1</t>
        </is>
      </c>
    </row>
    <row r="6976">
      <c r="A6976" t="inlineStr">
        <is>
          <t>c6q7kt</t>
        </is>
      </c>
      <c r="B6976" t="inlineStr">
        <is>
          <t>any CA diabetics out there?</t>
        </is>
      </c>
      <c r="C6976" t="inlineStr">
        <is>
          <t>I'm a t1 diabetic, and i'm attempting to renew my (standard) drivers license here in the state of CA.   Unfortunately there is a specific question on the application (carrying legal penalties) that asks if you have a medical condition that may impair driving.   And specifically lists diabetes as requiring a "yes" answer.
As a result, my application was flagged, passed from a few different offices, and now after I filed a rather large book of medical information with the state - that they requested, they are now requesting that I appear \*in person\* at a hearing to determine my driving eligibility.   (see this link for information on the process)  (and, of course they can't see me for 3 months after my license expires)
[https://www.dmv.ca.gov/portal/dmv/detail/pubs/brochures/fast\_facts/ffdl40](https://www.dmv.ca.gov/portal/dmv/detail/pubs/brochures/fast_facts/ffdl40)
&amp;amp;#x200B;
There is obviously nothing I can do, change how this is being handled, and its patently ridiculous.   I've never had an issue in 30y of being T1D, and my eyes are unaffected.   Regardless here I am -- seemingly a stones throw from loosing my license entirely -- and I have no idea why.  (my last a1c was 6.8)   The only thing I can think of is the fact that the forms from the doctor state that hypoglycemia is a side-effect risk of insulin therapy.  So i have no idea why i'm being flagged and put through this ridiculous process.  (and they are really backed up, so you'd think they would only want to spend time on cases that have high chances of resulting in blocking a license... which doesn't make me feel good either)
&amp;amp;#x200B;
My question for this group is -- has anyone gone through this?  Should I be scared?  Do I need to retain a lawyer? (I can't tell if this is a legal proceeding or what exactly)  I can't afford to really lose my license.   So if anyone has gone through this and can let me know what lines of questioning I may face... that might help me prepare myself.    I find myself oscillating between mild panic, and outright rage.    Rage will pass, and I obviously can't show that when I get to the hearing.   But the panic i'm worried may not ease.</t>
        </is>
      </c>
      <c r="D6976" t="n">
        <v>11</v>
      </c>
      <c r="E6976" t="n">
        <v>7</v>
      </c>
      <c r="F6976">
        <f>HYPERLINK("https://www.reddit.com/r/diabetes/comments/c6q7kt/any_ca_diabetics_out_there/")</f>
        <v/>
      </c>
      <c r="G6976" t="inlineStr">
        <is>
          <t>2019-06-28 14:45:18</t>
        </is>
      </c>
      <c r="H6976" t="inlineStr">
        <is>
          <t>Type 1</t>
        </is>
      </c>
    </row>
    <row r="6977">
      <c r="A6977" t="inlineStr">
        <is>
          <t>c6ui4p</t>
        </is>
      </c>
      <c r="B6977" t="inlineStr">
        <is>
          <t>Am I Missing the Obvious?</t>
        </is>
      </c>
      <c r="C6977" t="inlineStr">
        <is>
          <t>I was diagnosed with Type 2 last September and was put on a 1500mg Metformin a day.  I began a healthy diet and exercise program, and got my numbers into the mid 100s.  Now the diet's dropped off and I stopped taking my walks, and I'm up in the mid to upper-200s most of the time.  I feel fine for the most part, no symptoms like thirst or frequent urination like I had before I was diagnosed, although I tend to need a 20 minute nap after breakfast and lunch which feels like carb crashes.  I recently added Januvia and I honestly can't tell if that's helped.  I'm new at this and I'm aware that part of me just isn't taking this very seriously but there's a reason for the resistance.  I have trauma related PTSD and anything medical is a trigger for me.  I really struggle with taking my meds as prescribed and doing my blood tests regularly.  My question is, if I don't get my numbers down due to my resistance/lack of motivation, is it just going to get worse (generally speaking)?   I'm working with my doctor and I'm not looking for medical advice but if you guys could please just give me some encouragement and guidance, I would really appreciate it.  xo</t>
        </is>
      </c>
      <c r="D6977" t="n">
        <v>2</v>
      </c>
      <c r="E6977" t="n">
        <v>5</v>
      </c>
      <c r="F6977">
        <f>HYPERLINK("https://www.reddit.com/r/diabetes/comments/c6ui4p/am_i_missing_the_obvious/")</f>
        <v/>
      </c>
      <c r="G6977" t="inlineStr">
        <is>
          <t>2019-06-28 21:33:53</t>
        </is>
      </c>
      <c r="H6977" t="inlineStr">
        <is>
          <t>Type 2</t>
        </is>
      </c>
    </row>
    <row r="6978">
      <c r="A6978" t="inlineStr">
        <is>
          <t>c6v4cb</t>
        </is>
      </c>
      <c r="B6978" t="inlineStr">
        <is>
          <t>Nailed It!</t>
        </is>
      </c>
      <c r="C6978" t="inlineStr">
        <is>
          <t>Ate at a favorite ice cream restaurant. Nearly 200g carbohydrates. Almost 50u of Humalog..... I am a goddess!</t>
        </is>
      </c>
      <c r="D6978" t="n">
        <v>9</v>
      </c>
      <c r="E6978" t="n">
        <v>4</v>
      </c>
      <c r="F6978">
        <f>HYPERLINK("https://www.reddit.com/r/diabetes/comments/c6v4cb/nailed_it/")</f>
        <v/>
      </c>
      <c r="G6978" t="inlineStr">
        <is>
          <t>2019-06-28 22:40:25</t>
        </is>
      </c>
      <c r="H6978" t="inlineStr">
        <is>
          <t>Type 1</t>
        </is>
      </c>
    </row>
    <row r="6979">
      <c r="A6979" t="inlineStr">
        <is>
          <t>c6xza4</t>
        </is>
      </c>
      <c r="B6979" t="inlineStr">
        <is>
          <t>FSL 2 sensor problem</t>
        </is>
      </c>
      <c r="C6979" t="inlineStr">
        <is>
          <t>hey guys,
&amp;amp;#x200B;
so there is a problem with my FSL2 reader, it no longer knows about my sensor which i've had for fewer than 14 days and gives out an error message when i try to scan it. did i reset the reader by accident or something? anyone had a similar problem?
&amp;amp;#x200B;
thx for your responses in advance</t>
        </is>
      </c>
      <c r="D6979" t="n">
        <v>2</v>
      </c>
      <c r="E6979" t="n">
        <v>0</v>
      </c>
      <c r="F6979">
        <f>HYPERLINK("https://www.reddit.com/r/diabetes/comments/c6xza4/fsl_2_sensor_problem/")</f>
        <v/>
      </c>
      <c r="G6979" t="inlineStr">
        <is>
          <t>2019-06-29 04:41:20</t>
        </is>
      </c>
      <c r="H6979" t="inlineStr">
        <is>
          <t>Type 1</t>
        </is>
      </c>
    </row>
    <row r="6980">
      <c r="A6980" t="inlineStr">
        <is>
          <t>c6zif7</t>
        </is>
      </c>
      <c r="B6980" t="inlineStr">
        <is>
          <t>67 Yr old dad - foot wound</t>
        </is>
      </c>
      <c r="C6980" t="inlineStr">
        <is>
          <t>I'm seeking some help here for my dad who is visiting US. He is T2 diabetic for long time and takes insulin.
He has been having this recurring problem of foot issues (on right foot, near the ball of foot). It all started 
with an idiotic Dr cutting the corn under foot without taking proper precautions. (Can't sue the Dr where this happened). 
This resulted in multiple visits to foot/podiatrist/diabetic Dr who helped to save the foot and going ok.
But that is really hampering his general movement (walk etc). Recently in US, he took a small walk (5K steps or so)
and that resulted in some friction related blisters. Guess what without local insurance, most of the Drs don't want
to touch it without paying 5K$.   Here are few pix which are NSFW and want your opinion here. What would be
best steps moving fwd? Don't think he can get treated here and returning from US to my native country soon.</t>
        </is>
      </c>
      <c r="D6980" t="n">
        <v>3</v>
      </c>
      <c r="E6980" t="n">
        <v>6</v>
      </c>
      <c r="F6980">
        <f>HYPERLINK("https://www.reddit.com/r/diabetes/comments/c6zif7/67_yr_old_dad_foot_wound/")</f>
        <v/>
      </c>
      <c r="G6980" t="inlineStr">
        <is>
          <t>2019-06-29 07:21:54</t>
        </is>
      </c>
      <c r="H6980" t="inlineStr">
        <is>
          <t>Type 2</t>
        </is>
      </c>
    </row>
    <row r="6981">
      <c r="A6981" t="inlineStr">
        <is>
          <t>c73s2l</t>
        </is>
      </c>
      <c r="B6981" t="inlineStr">
        <is>
          <t>Have you ever had a low of 69 ?</t>
        </is>
      </c>
      <c r="C6981" t="inlineStr">
        <is>
          <t>I did have a 420 in the beginning of my diagnosis but I still can’t achieve 69</t>
        </is>
      </c>
      <c r="D6981" t="n">
        <v>2</v>
      </c>
      <c r="E6981" t="n">
        <v>12</v>
      </c>
      <c r="F6981">
        <f>HYPERLINK("https://www.reddit.com/r/diabetes/comments/c73s2l/have_you_ever_had_a_low_of_69/")</f>
        <v/>
      </c>
      <c r="G6981" t="inlineStr">
        <is>
          <t>2019-06-29 12:54:18</t>
        </is>
      </c>
      <c r="H6981" t="inlineStr">
        <is>
          <t>Type 1</t>
        </is>
      </c>
    </row>
    <row r="6982">
      <c r="A6982" t="inlineStr">
        <is>
          <t>c76w1i</t>
        </is>
      </c>
      <c r="B6982" t="inlineStr">
        <is>
          <t>Is it possible to become an EMT/EMS with T1D</t>
        </is>
      </c>
      <c r="C6982" t="inlineStr">
        <is>
          <t>Title pretty much says it all. I've been interested in becoming an EMT, but don't want to go through the classes and such if I can't even find a job because of my useless pancreas.</t>
        </is>
      </c>
      <c r="D6982" t="n">
        <v>3</v>
      </c>
      <c r="E6982" t="n">
        <v>7</v>
      </c>
      <c r="F6982">
        <f>HYPERLINK("https://www.reddit.com/r/diabetes/comments/c76w1i/is_it_possible_to_become_an_emtems_with_t1d/")</f>
        <v/>
      </c>
      <c r="G6982" t="inlineStr">
        <is>
          <t>2019-06-29 17:41:03</t>
        </is>
      </c>
      <c r="H6982" t="inlineStr">
        <is>
          <t>Type 1</t>
        </is>
      </c>
    </row>
    <row r="6983">
      <c r="A6983" t="inlineStr">
        <is>
          <t>c785b2</t>
        </is>
      </c>
      <c r="B6983" t="inlineStr">
        <is>
          <t>Pump Options</t>
        </is>
      </c>
      <c r="C6983" t="inlineStr">
        <is>
          <t>Hey everyone I'm eligible for a new pump coming at the end of this year, I was wondering what everyone's opinions are on the pumps out there on the market? I've heard mixed reviews on the Minimed 670g. The thought that it does everything sounds great but almost too good to be true. I've heard the Guardian sensors are good and I've heard they suck. I'm skeptical as I used to wear the enlight and they were horrid. I like the idea of the omnipod as well being it's cordless and I'm pretty active and sometimes get caught on things with the cord. The last one that I've recently read about is the X2 Slim. Are there any other ones out there that are worth checking out? I wish there was a pump that read your sugar and gave insulin to negate having to wear another sensor for CGM.</t>
        </is>
      </c>
      <c r="D6983" t="n">
        <v>3</v>
      </c>
      <c r="E6983" t="n">
        <v>10</v>
      </c>
      <c r="F6983">
        <f>HYPERLINK("https://www.reddit.com/r/diabetes/comments/c785b2/pump_options/")</f>
        <v/>
      </c>
      <c r="G6983" t="inlineStr">
        <is>
          <t>2019-06-29 19:51:47</t>
        </is>
      </c>
      <c r="H6983" t="inlineStr">
        <is>
          <t>Type 1</t>
        </is>
      </c>
    </row>
    <row r="6984">
      <c r="A6984" t="inlineStr">
        <is>
          <t>c795ef</t>
        </is>
      </c>
      <c r="B6984" t="inlineStr">
        <is>
          <t>Double dosed</t>
        </is>
      </c>
      <c r="C6984" t="inlineStr">
        <is>
          <t>Hi, I usually take 8 units of Humulin N before bed but I had a brain fart and took 16 units about an hour apart from each other. I am wondering if there is a normal procedure here or any advice anyone has, I am hoping not to have to stay up all night but I have never taken so much before?</t>
        </is>
      </c>
      <c r="D6984" t="n">
        <v>3</v>
      </c>
      <c r="E6984" t="n">
        <v>10</v>
      </c>
      <c r="F6984">
        <f>HYPERLINK("https://www.reddit.com/r/diabetes/comments/c795ef/double_dosed/")</f>
        <v/>
      </c>
      <c r="G6984" t="inlineStr">
        <is>
          <t>2019-06-29 21:40:11</t>
        </is>
      </c>
      <c r="H6984" t="inlineStr">
        <is>
          <t>Type 1.5/LADA</t>
        </is>
      </c>
    </row>
    <row r="6985">
      <c r="A6985" t="inlineStr">
        <is>
          <t>c7ahmy</t>
        </is>
      </c>
      <c r="B6985" t="inlineStr">
        <is>
          <t>Im scared</t>
        </is>
      </c>
      <c r="C6985" t="inlineStr">
        <is>
          <t>I have been skinny all my life until 5 years ago, i have been pretty chubby ever since im 24. My grandma on my dads side has diabetes. I have taken two lab fasting test which came 79 and 85. A1c was 5.2. In the past year ive poked myself about 400 times testing myself. No matter how many times it says normal i dont believe it. Out of all those self home test i did on myself 3 or four times it was like 101-103. I never cried harder seeing those numbers. The rest all normal. Im so scared of diabetes it has affected my life i took a semester off college because i couldn’t focus, and lost my job cause i kept calling out to test myself. Cause i was desperate for assurance but no matter what i was never satisfied, and im still not. Im very scared but deep down know i shouldn’t be, and its very stupid to be. I also have recently cut my debit card in half to stop buy glucose test. I genuinely feel like no one in the world has gone through something so dumb before but its literally ruining my life. I had this same reaction with hiv tested 8 times in one month at many different urgent cares. I don’t know whats wrong with me. But i just needed to vent im sorry.</t>
        </is>
      </c>
      <c r="D6985" t="n">
        <v>1</v>
      </c>
      <c r="E6985" t="n">
        <v>0</v>
      </c>
      <c r="F6985">
        <f>HYPERLINK("https://www.reddit.com/r/diabetes/comments/c7ahmy/im_scared/")</f>
        <v/>
      </c>
      <c r="G6985" t="inlineStr">
        <is>
          <t>2019-06-30 00:30:18</t>
        </is>
      </c>
      <c r="H6985" t="inlineStr">
        <is>
          <t>Type 2</t>
        </is>
      </c>
    </row>
    <row r="6986">
      <c r="A6986" t="inlineStr">
        <is>
          <t>c7is6i</t>
        </is>
      </c>
      <c r="B6986" t="inlineStr">
        <is>
          <t>Finally on metformin but very concerned about taking it</t>
        </is>
      </c>
      <c r="C6986" t="inlineStr">
        <is>
          <t>I've had metabolic syndrome for a long time.
I was first put on Zyprexa (an antipsychotic drug) in 2002 and gained about 50 lbs. It's a drug known to cause diabetes. I was switched to Seroquel which also greatly increases appetite but not as much.
Probably back in 2010 or so I asked my PCP to measure my A1C. It came back as 6.4% which he said was a great number. He thought anything below 7 was great. So he didn't want to treat it.
I started trying to eat lower glycemic foods and also used Cinnulin PF and over the years my A1C had stayed in the 5s. However, I always had spikes after eating which often made my heart race and then as the sugar came down I would get light headed with ringing ears to the point of being panicky even though I was never technically hypoglycemic.
Last summer, I had a spell where I couldn't eat anything without my heart really "exploding" --pounding super hard, and my blood sugar just from eating a few bites of Cheerios was 200.
I was in the ER and they said I needed to see an endocrinologist. And I have really bad physical and mental problems that preclude me from leaving the house, but I went all the way up to the big city near me (hour and a half away) which was the closest to see an endo.
She said I had pre-diabetes/type 2 diabetes, but she wouldn't commit to which one. She also thought I might have cyclical Cushing's (where the body releases too much cortisol which raises the sugar).
They had me do a 24 hour urine test, and my cortisol was over twice the upper limit. She said they couldn't diagnose Cushing's based on that since anxiety could also raise the cortisol, so to continue testing any time I had a "spell."
At the time she recommended that my PCP prescribe metformin. However, I had been terrified to take it because for unknown reasons my oxygen saturation is always on the low side (as low as 90% in the daytime at sea level) and also because I've had high anion gaps in the past. None of my doctors have been able to explain this, but they're kind of a contraindication wth metformin—possibly. My PCP was not worried and said it was fine.
But then last year my blood sugar suddenly went back to normal. It seemed as if I could eat nearly whatever I wanted without it going above 140 or so and then it would drop back down.
More recently, I had what seemed like a "spell" like last summer where the sugar was higher and my heart was pounding very hard after eating. I assumed it was the cortisol again, and I asked my PCP to check it since the endo left the university I had seen her at. He refused to retest it (the endo had told me to test it any time something changed--and when she tested it, it varied a lot-sometimes normal sometimes on the high side). I had to pay out of pocket and used an online prescription service to get another cortisol, and it was above normal again but not by as much before. My PCP didn't think it was significant enough to be Cushing's.
I kept hoping the sugar would go back down. I had a fasting of 130s on some days. And now two days recently I've had it go over 200, both times after eating two Trader Joe's granola bars that are a type that in the past did not spike me. It also comes down more slowly than before. 
It used to be that whatever I ate as the first thing of the day would make me spike, maybe to 160, and then I would drop down to 70 (below my fasting), and then no matter what I ate the rest of the day I'd stay around 100. Now it goes up every time I eat and takes longer to come down.
I know I need to go back to a more strict lower carb diet, and I've also started on the Metformin 500 ER, as my PCP thinks it's safe in spite of the scary black box warnings. I guess his word should be good since he would be liable if something did happen to me with the lactic acidosis after I brought up those concerns.
I need to get back up to another endocrinologist in the big city near me, but it's very difficult. Last time I was very motivated because the ER said I absolutely had to go up there. It's extremely difficult for me to leave the house let alone get up to that city. The endocrinologist I saw last left a note saying, "patient is so anxious if at all possible have him follow up with endo via telemedicine." But she didn't know of any telemedicine doctors. I had an appointment with her in August that was canceled because of her leaving and the next available is December 2020 but they're going to try to fit me in sooner they said. But that's more for the cortisol issue, which may ore may not be related to the blood sugar.
I'm getting older and I've been on the borderline with my sugar for a long time so it may just be that I had damaged the beta cells enough that I can't get by like before. I had a recent A1C that was 5.5 which my PCP was so happy with, but then I showed him a picture of the blood sugar at 220 on two different meters. I actually had to show a picture because I think he thought the A1C was so good that I couldn't have blood sugar get that high.
Anyhow, I'm probably not really looking for advice because I think my situation might be unique with the metformin concerns and the cortisol, but I felt like I needed to write out my worries somewhere.
Oh, the other strange thing is that I have lost weight unintentionally over the last 6 months or so. It seemed like that was largely from anxiety. In the past I'd have anxious spells and higher sugar and lose weight, then I'd go back to eating more and gaining weight and my blood sugar would actually go down the more I ate. And I thought that's what would happen again. But I'm not anxious now and the more I eat, the higher the blood sugar goes. My only theory is that maybe before in response to eating more my body released more insulin and thus lowered my sugar and now it's not able to release as much? I don't know. My very highest A1C I ever had was my very first one about 10 years ago at 6.4% and I actually weighed about 200 lbs then vs later when I weighed as much as 255 lbs and had A1Cs in the low to mid 5s. Right now my weight has come down on its own to about 220 lbs.</t>
        </is>
      </c>
      <c r="D6986" t="n">
        <v>5</v>
      </c>
      <c r="E6986" t="n">
        <v>4</v>
      </c>
      <c r="F6986">
        <f>HYPERLINK("https://www.reddit.com/r/diabetes/comments/c7is6i/finally_on_metformin_but_very_concerned_about/")</f>
        <v/>
      </c>
      <c r="G6986" t="inlineStr">
        <is>
          <t>2019-06-30 12:56:42</t>
        </is>
      </c>
      <c r="H6986" t="inlineStr">
        <is>
          <t>Type 2</t>
        </is>
      </c>
    </row>
    <row r="6987">
      <c r="A6987" t="inlineStr">
        <is>
          <t>c7j250</t>
        </is>
      </c>
      <c r="B6987" t="inlineStr">
        <is>
          <t>Just got back from the endo: my best A1C yet!</t>
        </is>
      </c>
      <c r="C6987" t="inlineStr">
        <is>
          <t>I was diagnosed less than 2 years ago, and since have gotten an OmniPod and Dexcom. At my endo appointment I just got an a1c of 6.2! I’m very happy and relieved to say I think I’ve finally gotten okay control over this wild disease. At first one of my biggest worries was whether I’d be able to handle everything that came with t1d, but I’m feeling a lot better not. Thanks for taking the time to listen to me rant, and rock on fellow druggies.</t>
        </is>
      </c>
      <c r="D6987" t="n">
        <v>67</v>
      </c>
      <c r="E6987" t="n">
        <v>5</v>
      </c>
      <c r="F6987">
        <f>HYPERLINK("https://www.reddit.com/r/diabetes/comments/c7j250/just_got_back_from_the_endo_my_best_a1c_yet/")</f>
        <v/>
      </c>
      <c r="G6987" t="inlineStr">
        <is>
          <t>2019-06-30 13:20:52</t>
        </is>
      </c>
      <c r="H6987" t="inlineStr">
        <is>
          <t>Type 1</t>
        </is>
      </c>
    </row>
    <row r="6988">
      <c r="A6988" t="inlineStr">
        <is>
          <t>c7m2r3</t>
        </is>
      </c>
      <c r="B6988" t="inlineStr">
        <is>
          <t>help with freestyle libres falling off</t>
        </is>
      </c>
      <c r="C6988" t="inlineStr">
        <is>
          <t>I've been using the libre since maybe October-is but its really starting to annoy me.   It keeps falling off my arm.  Looking for advice if I'm placing in the wrong spot or something?  
I'm guessing at least 50-60% of mine fall off without making it to the 90% mark.  AND...This was during the winter.  Now that it is finally warm-out I'm pretty worried that they are impossible to use.  
&amp;amp;#x200B;
 I've tried using some band-aid-like super stick solution from amazon.   That hasn't always worked.   The first picture shows me with this libre-designed stick-pad.  Hard to tell here, but basically the entire disc 'lifted' up off my arm even with the pad pressing down on it.    
&amp;amp;#x200B;
[https://imgur.com/a/1Pc4G4K](https://imgur.com/a/1Pc4G4K) \-  'glucose reading unavailable try again in 10min'.  Lasted &amp;lt;3 days.
&amp;amp;#x200B;
[https://imgur.com/a/4yRsmz1](https://imgur.com/a/4yRsmz1) \- 'glucose reading unavailable try again in 10min' 
&amp;amp;#x200B;
Finally, do the dexcoms stick to your skin better?  I'm really frustrated how I can't seem to use these things.  FYI - My stomach area already taken with Omnipods.</t>
        </is>
      </c>
      <c r="D6988" t="n">
        <v>3</v>
      </c>
      <c r="E6988" t="n">
        <v>8</v>
      </c>
      <c r="F6988">
        <f>HYPERLINK("https://www.reddit.com/r/diabetes/comments/c7m2r3/help_with_freestyle_libres_falling_off/")</f>
        <v/>
      </c>
      <c r="G6988" t="inlineStr">
        <is>
          <t>2019-06-30 17:59:54</t>
        </is>
      </c>
      <c r="H6988" t="inlineStr">
        <is>
          <t>Type 1</t>
        </is>
      </c>
    </row>
    <row r="6989">
      <c r="A6989" t="inlineStr">
        <is>
          <t>c7m74m</t>
        </is>
      </c>
      <c r="B6989" t="inlineStr">
        <is>
          <t>Could someone help me with insulin dosing? For timing novalog for protein and fats?</t>
        </is>
      </c>
      <c r="C6989" t="inlineStr">
        <is>
          <t>Ive been reading the diabetic solution. And think like a pancreas. I feel I have a good handle on dosing carbs. And getting a good idea of when it will kick in. How do you account for protein and fats. As far as dosing goes. They said it could take a few hours. For your body to break it down. Any help would be appreciated.</t>
        </is>
      </c>
      <c r="D6989" t="n">
        <v>2</v>
      </c>
      <c r="E6989" t="n">
        <v>5</v>
      </c>
      <c r="F6989">
        <f>HYPERLINK("https://www.reddit.com/r/diabetes/comments/c7m74m/could_someone_help_me_with_insulin_dosing_for/")</f>
        <v/>
      </c>
      <c r="G6989" t="inlineStr">
        <is>
          <t>2019-06-30 18:12:29</t>
        </is>
      </c>
      <c r="H6989" t="inlineStr">
        <is>
          <t>Type 1</t>
        </is>
      </c>
    </row>
    <row r="6990">
      <c r="A6990" t="inlineStr">
        <is>
          <t>c7ms7i</t>
        </is>
      </c>
      <c r="B6990" t="inlineStr">
        <is>
          <t>I’m not taking my diabetes seriously</t>
        </is>
      </c>
      <c r="C6990" t="inlineStr">
        <is>
          <t>I’m turning to you all for some advice, tough love, encouragement, or whatever you have to give.
I’m obese and I’ve been obese my entire adult life. Seven years ago, at 31, I started flirting with pre-diabetes. Both of my parents had developed type 2 diabetes by that point. I thought I would finally stop my binge eating behavior and just general poor diet/frequent fast food and takeout/etc and very little exercise when I got close to diabetic, but I didn’t. I started on metformin but for the most part kept eating REALLY bad. Every time my A1C was tested, it would be 5.something. Keto dieting helped while I did it, but at some point I just always fall back into my food addiction. 
A year ago, I tested at 7.2 A1C, officially diabetic. I started on victoza but really made very little changes. I had been getting fast food every single day for lunch, and I started bringing my lunch to work. That helped me take off about 40 pounds. But I am still very obese.
I’m still on the victoza. My A1C is down to 5.6, but I honestly don’t know how. I rarely exercise and I eat like shit.
Here’s the thing. I am a single parent to a little girl that I adopted. She needs me. She will likely need support for her entire life. I don’t have the option of getting diabetic complications and dying in 5 years. I need to be here for my daughter.
Despite my self-destructive behavior and lack of healthy self-care, I’m actually really smart. I’m going to law school with a full scholarship this fall. I have the chance to have a great legal career, but do people really hire fat female lawyers? I feel like my weight will be a major hurdle for career advancement in a competitive legal market.
On top of all that, I feel really disgusting at this weight. I’m single and have no interest in dating. I feel like anyone who would want me would be crazy.
I have been to 4 therapists in the past two years and probably 12 therapists in the past 15 years. No one can really “fix” me or even decide what is wrong with me.
I just don’t know what to do at this point. I am sick and I feel sick. I don’t think I can handle this on my own.</t>
        </is>
      </c>
      <c r="D6990" t="n">
        <v>2</v>
      </c>
      <c r="E6990" t="n">
        <v>23</v>
      </c>
      <c r="F6990">
        <f>HYPERLINK("https://www.reddit.com/r/diabetes/comments/c7ms7i/im_not_taking_my_diabetes_seriously/")</f>
        <v/>
      </c>
      <c r="G6990" t="inlineStr">
        <is>
          <t>2019-06-30 19:11:47</t>
        </is>
      </c>
      <c r="H6990" t="inlineStr">
        <is>
          <t>Type 2</t>
        </is>
      </c>
    </row>
    <row r="6991">
      <c r="A6991" t="inlineStr">
        <is>
          <t>c7o3ej</t>
        </is>
      </c>
      <c r="B6991" t="inlineStr">
        <is>
          <t>Free Lantus</t>
        </is>
      </c>
      <c r="C6991" t="inlineStr">
        <is>
          <t>Hey guys, I have a sealed box of Lantus that expires 07/19 and I can't use it all. Do any of you need it or know what to do with it? I've paid at least $100 per pen when I was uninsured so I hope someone can use them.</t>
        </is>
      </c>
      <c r="D6991" t="n">
        <v>5</v>
      </c>
      <c r="E6991" t="n">
        <v>7</v>
      </c>
      <c r="F6991">
        <f>HYPERLINK("https://www.reddit.com/r/diabetes/comments/c7o3ej/free_lantus/")</f>
        <v/>
      </c>
      <c r="G6991" t="inlineStr">
        <is>
          <t>2019-06-30 21:27:57</t>
        </is>
      </c>
      <c r="H6991" t="inlineStr">
        <is>
          <t>Type 1</t>
        </is>
      </c>
    </row>
    <row r="6992">
      <c r="A6992" t="inlineStr">
        <is>
          <t>c7ow1d</t>
        </is>
      </c>
      <c r="B6992" t="inlineStr">
        <is>
          <t>Sleeping with a Medtronic Pump</t>
        </is>
      </c>
      <c r="C6992" t="inlineStr">
        <is>
          <t>I feel like a majority of my issues with sleep quality are because I’m constantly wrestling with my pump. I toss and turn a lot generally and am constantly waking up trying to unwrap the tubing or unjam the pump from my side. Does anyone have any tips to avoid this??</t>
        </is>
      </c>
      <c r="D6992" t="n">
        <v>2</v>
      </c>
      <c r="E6992" t="n">
        <v>6</v>
      </c>
      <c r="F6992">
        <f>HYPERLINK("https://www.reddit.com/r/diabetes/comments/c7ow1d/sleeping_with_a_medtronic_pump/")</f>
        <v/>
      </c>
      <c r="G6992" t="inlineStr">
        <is>
          <t>2019-06-30 23:00:28</t>
        </is>
      </c>
      <c r="H6992" t="inlineStr">
        <is>
          <t>Type 1</t>
        </is>
      </c>
    </row>
    <row r="6993">
      <c r="A6993" t="inlineStr">
        <is>
          <t>c7scrx</t>
        </is>
      </c>
      <c r="B6993" t="inlineStr">
        <is>
          <t>Whitewater rafting with a pump?</t>
        </is>
      </c>
      <c r="C6993" t="inlineStr">
        <is>
          <t>I’m going on an easier whitewater rafting trip in the near future. Nothing above Class 3. 
I’ve been on a pump for quite a while now. Can’t remember the last time I did MDI, nor do I know if I have any levemir still lying around. 
Are there any tricks to having a successful day while keeping my X2 pump functional?</t>
        </is>
      </c>
      <c r="D6993" t="n">
        <v>2</v>
      </c>
      <c r="E6993" t="n">
        <v>3</v>
      </c>
      <c r="F6993">
        <f>HYPERLINK("https://www.reddit.com/r/diabetes/comments/c7scrx/whitewater_rafting_with_a_pump/")</f>
        <v/>
      </c>
      <c r="G6993" t="inlineStr">
        <is>
          <t>2019-07-01 06:07:34</t>
        </is>
      </c>
      <c r="H6993" t="inlineStr">
        <is>
          <t>Type 1</t>
        </is>
      </c>
    </row>
    <row r="6994">
      <c r="A6994" t="inlineStr">
        <is>
          <t>c7sgq1</t>
        </is>
      </c>
      <c r="B6994" t="inlineStr">
        <is>
          <t>Suggestions on this possible issue?</t>
        </is>
      </c>
      <c r="C6994" t="inlineStr">
        <is>
          <t>Not sure if it’s even an issue but I’ll try to lay it out so it’s not confusing. Yesterday I ate a sub from Jersey Subs and bolused 120 carbs. Then I had 2 Godiva milk chocolate bars because I have no self control. I read HIGH on my G6 for 3 hours even though I was constantly correcting on my Omnipod. It got to the point where I was doubling the suggested bolus that Omnipod was giving me but it still wouldn’t comedown for close to 3 hours. Do I have an insulin to carb issue? A correction issue? Or is it just simply due to having so many carbs that I just fd myself for a bit. This has happen before where I go high and no matter what I do it doesn’t seemingly go down and hours later it’ll finally start receding.</t>
        </is>
      </c>
      <c r="D6994" t="n">
        <v>4</v>
      </c>
      <c r="E6994" t="n">
        <v>18</v>
      </c>
      <c r="F6994">
        <f>HYPERLINK("https://www.reddit.com/r/diabetes/comments/c7sgq1/suggestions_on_this_possible_issue/")</f>
        <v/>
      </c>
      <c r="G6994" t="inlineStr">
        <is>
          <t>2019-07-01 06:18:23</t>
        </is>
      </c>
      <c r="H6994" t="inlineStr">
        <is>
          <t>Type 1</t>
        </is>
      </c>
    </row>
    <row r="6995">
      <c r="A6995" t="inlineStr">
        <is>
          <t>c7y0us</t>
        </is>
      </c>
      <c r="B6995" t="inlineStr">
        <is>
          <t>Do any of you get horrific looking staph infections fairly regularly?</t>
        </is>
      </c>
      <c r="C6995" t="inlineStr">
        <is>
          <t>Ever since puberty started, I’ve been getting large and painful skin infections. Even a decade later, they’re still coming. Anyone else have this problem?</t>
        </is>
      </c>
      <c r="D6995" t="n">
        <v>5</v>
      </c>
      <c r="E6995" t="n">
        <v>10</v>
      </c>
      <c r="F6995">
        <f>HYPERLINK("https://www.reddit.com/r/diabetes/comments/c7y0us/do_any_of_you_get_horrific_looking_staph/")</f>
        <v/>
      </c>
      <c r="G6995" t="inlineStr">
        <is>
          <t>2019-07-01 11:50:03</t>
        </is>
      </c>
      <c r="H6995" t="inlineStr">
        <is>
          <t>Type 1</t>
        </is>
      </c>
    </row>
    <row r="6996">
      <c r="A6996" t="inlineStr">
        <is>
          <t>c7yihb</t>
        </is>
      </c>
      <c r="B6996" t="inlineStr">
        <is>
          <t>DIY Omnipod Looping - I’m Doing it!</t>
        </is>
      </c>
      <c r="C6996" t="inlineStr">
        <is>
          <t xml:space="preserve">
I received my RileyLink last week and am now looping with my Omnipod. I wanted to share my initial impressions and thoughts, as they might be helpful for anyone else considering Looping. 
Disclaimer: I’m not a professionally technical person (my job is in the public policy field). I’m pretty good with computers and iPhones, but in the amateurish kinda way. I like tinkering with things but have no advanced technical/programming skills. I am, however, very experienced at being my own pancreas. 
### Preparation (While Waiting for my RileyLink to Arrive)
-	I started by reading through all the Loop docs. I did this several times over the last year. I initially thought I’d Loop with an old Minimed pump, but I really didn’t want to go back to using a tubed pump and I didn’t like the idea of using something that was out of warranty. 
-	Soon after Loop was made available for Omnipod, I ordered my RileyLink. I missed the cut off for the first batch by a day and had to wait another month. But I put that time to good use by doing everything else. 
-	I built the Loop app using an old Mac mini computer about a month ago. It was super simple to build and deploy (I’m not a programmer, but can read instructions, which is all that’s needed).
-	I have been running a Nightscout site for years and also used this time to update my site and add all the configuration variables needed for Looping. (Note: Nightscout isn’t necessary for Looping, but it is very helpful.) 
-	I then used Nightscout to help test my basal and other settings via Autotune. This was incredibly helpful as it helped me know where to start with Loop. 
-	Then I spent even more time reading the Loop documents and getting familiar with the terminology and features of the system. 
### The Big Day - RileyLink Arrives! And Closing the Loop!
-	After more than a month of waiting, my RileyLink arrived!! First thing I had to do was assemble it. This was the hardest part, as it’s a tight fit in the little case and I was petrified of breaking the damn thing. But I got it in thanks to a video tutorial and it worked immediately. 
-	Setting my basal rates and other info in the Loop app was super easy, way easier than trying to program that freaking Omnipod PDM with its squishy buttons. The app works just like any other well-designed iPhone app. The UI is actually really nice, like something you’d expect Apple to have developed. Very impressive! 
-	Starting a pod with the Loop app was also very easy. Again, the UI is phenomenal and walks you through everything. I also added my Dexcom transmitter with no issue. In every respect, I found Loop more intuitive and easy to use than the Omnipod PDM or Dexcom app.
-	I began using the open Loop because I was hesitant to let a machine do all the work. For basically 24 hours I just sat there looking at the Loop app and “accepting” the suggested basal adjustments. The next day (maybe too soon, but whatever) I CLOSED THE LOOP. It was SCARY. For decades I’ve been driving this bus on my own. I set temp basals the way most people breathe - without even thinking about it. But now I’m letting an algorithm &amp;amp; computer do it. I found this both terrifying and exhilarating.
### The First Week
-	Overall, Loop has worked exceedingly well. My average standard deviation has come down considerably and I’m almost never over 150. I’ve had no lows (under 70). And this is with me eating a lot more freely and not paying close attention to what my pump is doing. I’ll have small snacks and not even bolus just to see what Loop does. It always brings me right back into range. 
-	I was very nervous to sleep the first night after closing the loop. However, when I saw that it was keeping me safely in range, I immediately got used to sleeping. I’ll still wake up to check the Loop app (old habits die hard!) but I’ve yet to need to do anything in the middle of the night. 
-	Remembering to carry around and charge my RileyLink has been a slight challenge, but it’s just a new routine to which I need to adjust. Not a big deal, just need to adjust my diabetes workflow. 
-	I’m still getting used to how to handle activities and maximize the results I’m getting, but even if what I’m getting now is the best Loop can do, it’s vastly better than what I could do on my own. Within 48 hours I noticed that my energy was better, I suspect because my sleep is better and my blood sugar isn’t bouncing around all over the place. 
### If you’re thinking about Looping, here are my suggestions/lessons learned from this first week:
-	Set up Nightscout. It’s not necessary but is very helpful. It gives you another way to visualize the data that I’ve already found invaluable. Also, it allows you to use Autotune, which is very helpful before turning on Loop. I used Autotune before Looping and this helped me dial in my settings. 
-	I was already really accustomed to the Omnipod (been using it for almost 2 years), but if you’re not, take the time to learn the system. When I switched to Omnipod from a tubed pump, I did find that my basal rates needed to be changed. 
-	Get another small meter for daily use. I’m still carrying around my PDM with me for back-up, and I’m not sure when I’ll feel safe ditching it (but batteries are removed, so I am using a small Freestyle meter). I’ve seen a number of people report that their RileyLink stopped working or got easily damaged. I like having a fallback plan that doesn’t involve MDI. Keep in mind that these RileyLinks are being assembled by gracious volunteers in (I assume) someone’s house. So have a backup at the ready! I may be purchasing a spare RileyLink to have when traveling. 
-	Figure out a way to keep track of your RileyLink! It’s small and easy to lose. I’ve attached a Tile to it and have also labeled it with my phone number. 
-	The RileyLink is NOT waterproof. Get a waterproof case. I’ve read a lot of stories on the FB group of people accidentally killing their RileyLink with water in some pretty benign situations. I have a hard waterproof case and also a soft small aqua pouch. Both work well for protecting the RileyLink, especially the hard case. 
-	Take the time to read the Loop Docs. Please. I see so many people asking questions on the Facebook group that are easily answered in the documents. And don’t just read them once. Read them twice. And a third time. The authors did a fantastic job writing the Loop Docs. They’re clear, concise, and well organized. 
-	Consider going back to the official Dexcom app at the beginning. I’ve been using Spike but went back to using the official Dexcom app for Loop. I know there’s a way to use Spike with Loop, but I didn’t want to add more complexity to an already complex system that was new to me. Plus Loop replaces some of what I was using Spike for. I miss Spike and am keeping the app on my phone for now (in follower mode). 
-	Make sure you understand how Apple Health works and ensure they only Loop is writing data to Apple health for carbs and insulin. This is very important and it’s the only thing I screwed up a little at the beginning. 
-	Set it up yourself and understand how it works. If you can’t commit to really understanding how the algorithm and app works, DO NOT DIY LOOP! I cannot stress this enough. This is a system that is not FDA approved. If you aren’t committed to understanding what you’re doing, using Loop could not only put your life at risk, but also put the whole project at risk. Also, while it might seem like a good idea to ask someone else to set it up for you, it’s important that you understand the components of the system and how to troubleshoot things. 
-	On a related note, there’s no customer support line for this stuff. But there is a really dedicated and helpful Facebook group (Looped) that is available to walk you through issues. Use that group. Search old posts before asking a question too. I found that for almost every question I had, there was an old post that addressed it. 
-	There is an investment here to consider. You need a relatively up-to-date Mac computer to build the app onto your phone. You also need an Apple developer’s license ($99/yr), the RileyLink ($150), and a reliable and somewhat new iPhone. I really wish there was a way to build the app onto your phone without a Mac computer, because that’s the one thing that concerns me when traveling. 
-	Temp basal overrides are currently not an option when in open or closed Loop mode. But this is a feature that has been requested and it’s definitely needed for certain, very specific situations. With Loop, you can either run the closed Loop, or you can set it to open Loop and it will just run your regularly-scheduled basal program. There are instances, however, when you can’t have the RileyLink with you or Loop running (eg, when swimming, during the Dexcom warm-up period, other instances where you can’t have RileyLink connected but need a basal rate that’s different from your usual rate). There’s the workaround of going in and changing the scheduled basal rate for that time, but I’d like something a bit easier. 
-	There is no way to see if the RileyLink battery is low. So get into the routine of charging it regularly. 
I think the biggest thing to remember is that there is no official, commercial support for this system right now. So it’s very much at your own risk. You also have to be prepared to troubleshoot things on your own, or with help from others online. 
Hope this helps someone considering the DIY Loop route. Overall, it’s really amazing if you’re ready and willing to do the work to get it set up.</t>
        </is>
      </c>
      <c r="D6996" t="n">
        <v>15</v>
      </c>
      <c r="E6996" t="n">
        <v>32</v>
      </c>
      <c r="F6996">
        <f>HYPERLINK("https://www.reddit.com/r/diabetes/comments/c7yihb/diy_omnipod_looping_im_doing_it/")</f>
        <v/>
      </c>
      <c r="G6996" t="inlineStr">
        <is>
          <t>2019-07-01 12:13:38</t>
        </is>
      </c>
      <c r="H6996" t="inlineStr">
        <is>
          <t>Type 1</t>
        </is>
      </c>
    </row>
    <row r="6997">
      <c r="A6997" t="inlineStr">
        <is>
          <t>c7yrxj</t>
        </is>
      </c>
      <c r="B6997" t="inlineStr">
        <is>
          <t>Recently diagnosed T2 I feel the need to share my success 3 month checkup</t>
        </is>
      </c>
      <c r="C6997" t="inlineStr">
        <is>
          <t>So early last April I was diagnosed with T2 with an AC1 of 9.3 today was my 3 month check and my AC1 result came back as a 6.0. I was shooting for under a 7. I contribute the bulk of the drop to flat out quitting soda, I stopped eating out and light exercise. I've lost 20 pounds since I quit soda.  I still want to lose about 50 pounds to hit my goal weight. I'm estatic, I went in expecting the worst. I've had a few days in that span where I was a bit heavy on carbs.</t>
        </is>
      </c>
      <c r="D6997" t="n">
        <v>20</v>
      </c>
      <c r="E6997" t="n">
        <v>8</v>
      </c>
      <c r="F6997">
        <f>HYPERLINK("https://www.reddit.com/r/diabetes/comments/c7yrxj/recently_diagnosed_t2_i_feel_the_need_to_share_my/")</f>
        <v/>
      </c>
      <c r="G6997" t="inlineStr">
        <is>
          <t>2019-07-01 12:26:39</t>
        </is>
      </c>
      <c r="H6997" t="inlineStr">
        <is>
          <t>Type 2</t>
        </is>
      </c>
    </row>
    <row r="6998">
      <c r="A6998" t="inlineStr">
        <is>
          <t>c81auy</t>
        </is>
      </c>
      <c r="B6998" t="inlineStr">
        <is>
          <t>My dad was a type 1 diabetic and passed away suddenly. Can you help me decipher his last insulin pump reading?</t>
        </is>
      </c>
      <c r="C6998" t="inlineStr">
        <is>
          <t>I'm struggling with this, because it was so sudden. My dad was struggling with severe OCD most of his life but managed his diabetes well for over 20 years; he was obsessed with doing everything right. He had never had heart issues, but died of a heart attack (we think, but aren't sure) a little over a week ago.
https://i.redd.it/ljco6a2nsr731.jpg
https://i.redd.it/gotr8c2nsr731.jpg
https://i.redd.it/f40hnb2nsr731.jpg
I have no idea how to read his pump but am curious about his last reading. Explaining like I am completely clueless, can someone tell what this means? I thought he used this daily or for every meal, and he passed on the 22nd. It looks like he didn't use it after the 19th, so this is where I'm tripping up.</t>
        </is>
      </c>
      <c r="D6998" t="n">
        <v>52</v>
      </c>
      <c r="E6998" t="n">
        <v>8</v>
      </c>
      <c r="F6998">
        <f>HYPERLINK("https://www.reddit.com/r/diabetes/comments/c81auy/my_dad_was_a_type_1_diabetic_and_passed_away/")</f>
        <v/>
      </c>
      <c r="G6998" t="inlineStr">
        <is>
          <t>2019-07-01 15:44:57</t>
        </is>
      </c>
      <c r="H6998" t="inlineStr">
        <is>
          <t>Type 1</t>
        </is>
      </c>
    </row>
    <row r="6999">
      <c r="A6999" t="inlineStr">
        <is>
          <t>c81lpa</t>
        </is>
      </c>
      <c r="B6999" t="inlineStr">
        <is>
          <t>I got diagnosed with Type 1 right before my 36th bday, just 2 weeks ago. I am so new I don't even know what I should be worried about.</t>
        </is>
      </c>
      <c r="C6999" t="inlineStr">
        <is>
          <t>I am happy to have found this community. I have so much to learn. I'm really taken aback by how much is not well understood about diabetes. I'm lucky to be a Canadian though. Thank you for sharing your insights on this sub I appreciate it!</t>
        </is>
      </c>
      <c r="D6999" t="n">
        <v>10</v>
      </c>
      <c r="E6999" t="n">
        <v>7</v>
      </c>
      <c r="F6999">
        <f>HYPERLINK("https://www.reddit.com/r/diabetes/comments/c81lpa/i_got_diagnosed_with_type_1_right_before_my_36th/")</f>
        <v/>
      </c>
      <c r="G6999" t="inlineStr">
        <is>
          <t>2019-07-01 16:12:49</t>
        </is>
      </c>
      <c r="H6999" t="inlineStr">
        <is>
          <t>Type 1</t>
        </is>
      </c>
    </row>
    <row r="7000">
      <c r="A7000" t="inlineStr">
        <is>
          <t>c821ps</t>
        </is>
      </c>
      <c r="B7000" t="inlineStr">
        <is>
          <t>How quickly is T1D caught most of the time? Obviously it’s impossible to know for sure, but are symptoms readily apparent after a couple days, or does honeymooning, etc draw the period out to weeks?</t>
        </is>
      </c>
      <c r="C7000" t="inlineStr">
        <is>
          <t>I’ve had it for close to 15 years, but my younger brother was just diagnosed which made me wonder about this once again. The bathroom has smelled pretty rank (diabetes pee smell) for several weeks, but we’d thought it was just a poor flushing mechanism at first. That said, he was 268 fasting and jumped up to 400 after breakfast, which made me think the process goes a lot faster.
Do any of you guys have any knowledge on how quickly it develops/is caught?</t>
        </is>
      </c>
      <c r="D7000" t="n">
        <v>5</v>
      </c>
      <c r="E7000" t="n">
        <v>16</v>
      </c>
      <c r="F7000">
        <f>HYPERLINK("https://www.reddit.com/r/diabetes/comments/c821ps/how_quickly_is_t1d_caught_most_of_the_time/")</f>
        <v/>
      </c>
      <c r="G7000" t="inlineStr">
        <is>
          <t>2019-07-01 16:54:38</t>
        </is>
      </c>
      <c r="H7000" t="inlineStr">
        <is>
          <t>Type 1</t>
        </is>
      </c>
    </row>
    <row r="7001">
      <c r="A7001" t="inlineStr">
        <is>
          <t>c82f00</t>
        </is>
      </c>
      <c r="B7001" t="inlineStr">
        <is>
          <t>I’m prediabetic (24f) and was given metformin..doctor was very vague on what to do, im terrfied</t>
        </is>
      </c>
      <c r="C7001" t="inlineStr">
        <is>
          <t>He basically said i need to lose 40 lbs, im 183lbs. And is putting me on metformin which will cause stomach problems. Im so scared I dont know where to even start.
Any advice please? Everywhere I look its so contradicting and overwhelming.</t>
        </is>
      </c>
      <c r="D7001" t="n">
        <v>4</v>
      </c>
      <c r="E7001" t="n">
        <v>22</v>
      </c>
      <c r="F7001">
        <f>HYPERLINK("https://www.reddit.com/r/diabetes/comments/c82f00/im_prediabetic_24f_and_was_given_metformindoctor/")</f>
        <v/>
      </c>
      <c r="G7001" t="inlineStr">
        <is>
          <t>2019-07-01 17:29:59</t>
        </is>
      </c>
      <c r="H7001" t="inlineStr">
        <is>
          <t>Type 2</t>
        </is>
      </c>
    </row>
    <row r="7002">
      <c r="A7002" t="inlineStr">
        <is>
          <t>c835p1</t>
        </is>
      </c>
      <c r="B7002" t="inlineStr">
        <is>
          <t>Ozempic— Just finishing my second week of Ozempic</t>
        </is>
      </c>
      <c r="C7002" t="inlineStr">
        <is>
          <t>I am just finishing my second week of Ozempic. While it has done wonders for my sugar levels, my appetite is literally nonexistent. I have to force every bit of food done with great effort. I feel super crappy the first 3 days and only reasonably good the last 4. Does this get better with time or is this the life on Ozempic?</t>
        </is>
      </c>
      <c r="D7002" t="n">
        <v>2</v>
      </c>
      <c r="E7002" t="n">
        <v>2</v>
      </c>
      <c r="F7002">
        <f>HYPERLINK("https://www.reddit.com/r/diabetes/comments/c835p1/ozempic_just_finishing_my_second_week_of_ozempic/")</f>
        <v/>
      </c>
      <c r="G7002" t="inlineStr">
        <is>
          <t>2019-07-01 18:43:02</t>
        </is>
      </c>
      <c r="H7002" t="inlineStr">
        <is>
          <t>Type 1.5/LADA</t>
        </is>
      </c>
    </row>
    <row r="7003">
      <c r="A7003" t="inlineStr">
        <is>
          <t>c84o6e</t>
        </is>
      </c>
      <c r="B7003" t="inlineStr">
        <is>
          <t>Honeymoon Period Wearing Off</t>
        </is>
      </c>
      <c r="C7003" t="inlineStr">
        <is>
          <t>So I was diagnosed about a year and a half ago (January 2018) and I’ve been keeping my blood sugar under good control. However, I’ve noticed my blood sugar has been more variable the last few weeks even though nothing has changed. I have a feeling my honeymoon period is ending. Is there anything I need to adjust for exactly or should I change anything?</t>
        </is>
      </c>
      <c r="D7003" t="n">
        <v>3</v>
      </c>
      <c r="E7003" t="n">
        <v>5</v>
      </c>
      <c r="F7003">
        <f>HYPERLINK("https://www.reddit.com/r/diabetes/comments/c84o6e/honeymoon_period_wearing_off/")</f>
        <v/>
      </c>
      <c r="G7003" t="inlineStr">
        <is>
          <t>2019-07-01 21:17:29</t>
        </is>
      </c>
      <c r="H7003" t="inlineStr">
        <is>
          <t>Type 1</t>
        </is>
      </c>
    </row>
    <row r="7004">
      <c r="A7004" t="inlineStr">
        <is>
          <t>c86mkf</t>
        </is>
      </c>
      <c r="B7004" t="inlineStr">
        <is>
          <t>Can I stop developing Diabetes</t>
        </is>
      </c>
      <c r="C7004" t="inlineStr">
        <is>
          <t xml:space="preserve"> I'm 15 Male, I currently don't exactly know if I have diabetes and want to know if I do have developing diabetes can I stop it before it gets too bad. I live in Australia and some of the potential symptoms I have experienced is a sweet taste in the mouth and green spit. the sweet taste was right after I took my dog for a walk. I have not really felt extra hungry or more thirsty. I am roughly 5.9 and my weight is 98.0lb.  What can I Eat/Do to stop it before it starts?
&amp;amp;#x200B;
Also the family has no history of it
&amp;amp;#x200B;
I first posted this on r/AskDoctors</t>
        </is>
      </c>
      <c r="D7004" t="n">
        <v>0</v>
      </c>
      <c r="E7004" t="n">
        <v>5</v>
      </c>
      <c r="F7004">
        <f>HYPERLINK("https://www.reddit.com/r/diabetes/comments/c86mkf/can_i_stop_developing_diabetes/")</f>
        <v/>
      </c>
      <c r="G7004" t="inlineStr">
        <is>
          <t>2019-07-02 01:17:10</t>
        </is>
      </c>
      <c r="H7004" t="inlineStr">
        <is>
          <t>Type 2</t>
        </is>
      </c>
    </row>
    <row r="7005">
      <c r="A7005" t="inlineStr">
        <is>
          <t>c88a7q</t>
        </is>
      </c>
      <c r="B7005" t="inlineStr">
        <is>
          <t>Dexcom G5 donations?</t>
        </is>
      </c>
      <c r="C7005" t="inlineStr">
        <is>
          <t>I was switched to G6. Any idea if there is a place where a lightly used G5 receiver might be donated? Thanks!</t>
        </is>
      </c>
      <c r="D7005" t="n">
        <v>1</v>
      </c>
      <c r="E7005" t="n">
        <v>2</v>
      </c>
      <c r="F7005">
        <f>HYPERLINK("https://www.reddit.com/r/diabetes/comments/c88a7q/dexcom_g5_donations/")</f>
        <v/>
      </c>
      <c r="G7005" t="inlineStr">
        <is>
          <t>2019-07-02 04:50:29</t>
        </is>
      </c>
      <c r="H7005" t="inlineStr">
        <is>
          <t>Type 1</t>
        </is>
      </c>
    </row>
    <row r="7006">
      <c r="A7006" t="inlineStr">
        <is>
          <t>c88pqj</t>
        </is>
      </c>
      <c r="B7006" t="inlineStr">
        <is>
          <t>Need Advice: Community Clinic Is Closed For the Week</t>
        </is>
      </c>
      <c r="C7006" t="inlineStr">
        <is>
          <t>I don't have insurance as I am unemployed. I am a regular at the local community clinic, and they've got me on Metformin 500MG twice daily. Unfortunately, this weekend I've been feeling weird, and so I tested myself, which I hadn't done in awhile because I didn't have a battery for my glucometer. My Blood Sugar was 256. So I took a dose of Metformin and walked on the treadmill for half an hour. I woke up this morning and pre-breakfast, my blood sugar is 190.
The Community clinic is closed for the week due to 4th of July. Should I go to the ER, and will they even be able to do anything for me? Or, should I double my dose of Metformin for the week until the community clinic opens? My blood sugar hasn't spiked this high since I was first diagnosed and I know it's my fault for slipping back into my old bad habits, I just need some advice.</t>
        </is>
      </c>
      <c r="D7006" t="n">
        <v>3</v>
      </c>
      <c r="E7006" t="n">
        <v>2</v>
      </c>
      <c r="F7006">
        <f>HYPERLINK("https://www.reddit.com/r/diabetes/comments/c88pqj/need_advice_community_clinic_is_closed_for_the/")</f>
        <v/>
      </c>
      <c r="G7006" t="inlineStr">
        <is>
          <t>2019-07-02 05:37:10</t>
        </is>
      </c>
      <c r="H7006" t="inlineStr">
        <is>
          <t>Type 2</t>
        </is>
      </c>
    </row>
    <row r="7007">
      <c r="A7007" t="inlineStr">
        <is>
          <t>c8a3yq</t>
        </is>
      </c>
      <c r="B7007" t="inlineStr">
        <is>
          <t>High A1C (9) and high than normal lipid levels. Any good diets in mind?</t>
        </is>
      </c>
      <c r="C7007" t="inlineStr">
        <is>
          <t>So I have had diabetes for the past 15 years.  For a few years now, it has been very difficult to manage my diabetes due to an inconsistent schedule.  As of recent, my labs have been horrible.  High cholesterol and high a1c.  I was thinking of going on a diet and some supplements to help.  Does anyone know of a good diet I can try, or some supplements I can get on for weight loss/muscle gain?  Thanks!</t>
        </is>
      </c>
      <c r="D7007" t="n">
        <v>2</v>
      </c>
      <c r="E7007" t="n">
        <v>9</v>
      </c>
      <c r="F7007">
        <f>HYPERLINK("https://www.reddit.com/r/diabetes/comments/c8a3yq/high_a1c_9_and_high_than_normal_lipid_levels_any/")</f>
        <v/>
      </c>
      <c r="G7007" t="inlineStr">
        <is>
          <t>2019-07-02 07:47:48</t>
        </is>
      </c>
      <c r="H7007" t="inlineStr">
        <is>
          <t>Type 1</t>
        </is>
      </c>
    </row>
    <row r="7008">
      <c r="A7008" t="inlineStr">
        <is>
          <t>c8ajg5</t>
        </is>
      </c>
      <c r="B7008" t="inlineStr">
        <is>
          <t>I’m still new to a guardian sensor, and I want to go water skiing and tubing for the first time. Could my sensor get ripped off in the water if I go skipping across water??</t>
        </is>
      </c>
      <c r="C7008" t="inlineStr">
        <is>
          <t>I just got upgraded to a guardian sensor and a new pump about 2 weeks ago. After having to change the sensor twice now, I finally put it on the back of my arm for the first time (took me 20 minutes and I had to contort my body in a weird way to do it). I’m going to a lake for the weekend, and I’m gonna be tubing, water skiing, and all that kind of stuff for the first time. My girlfriend brought up the idea that a life jacket isn’t gonna cover my sensor if I fall and start skipping across the water. I’ve been swimming before with a sensor and it stayed on fine, but not only am I new to having a sensor on my arm, I’m also new to doing these water sport activists. Should I be worried about my sensor coming off in the lake if I fall off going at high speeds?</t>
        </is>
      </c>
      <c r="D7008" t="n">
        <v>2</v>
      </c>
      <c r="E7008" t="n">
        <v>7</v>
      </c>
      <c r="F7008">
        <f>HYPERLINK("https://www.reddit.com/r/diabetes/comments/c8ajg5/im_still_new_to_a_guardian_sensor_and_i_want_to/")</f>
        <v/>
      </c>
      <c r="G7008" t="inlineStr">
        <is>
          <t>2019-07-02 08:23:59</t>
        </is>
      </c>
      <c r="H7008" t="inlineStr">
        <is>
          <t>Type 1</t>
        </is>
      </c>
    </row>
    <row r="7009">
      <c r="A7009" t="inlineStr">
        <is>
          <t>c8az7t</t>
        </is>
      </c>
      <c r="B7009" t="inlineStr">
        <is>
          <t>Need an advice - urgent</t>
        </is>
      </c>
      <c r="C7009" t="inlineStr">
        <is>
          <t>Hi to all, I really need some advice to what am I doing wrong.
First, I have no idea which type I have, my sugar is extremely high (575 when discovered back in 2015) and I am taking novorapid(3 times a day 10 units) and lantus (befor sleep 30u)
Where I need advice is here:
This morning when I woke up my sugar was a bit high, around 200, so to counter that I took 2 units of novorapid, went to work but my sugar kept on going up until it reached to about 350.
I went back home and took 4 more units however sugar was still rising, then I took 6 more units and went to the gym where I was cycling for 30 minutes.
My sugar went down to about 270 and after kept on dropping till it reached 70.
I then ate 4 egg omelette with some cheese inside, and my sugar stabilised to about 120 for an hour or two.
Then, it started climbing slowly till it reached about 200, and again I took 3 units to counter that however it kept on climbing.
Then again I took 3 units and ate an apple and banana, however my sugar is still climbing and I have taken 6 more units about hour amd a half ago, my sugar currently is 320...
I have literally no idea what is happening.
Edit: time of dosage</t>
        </is>
      </c>
      <c r="D7009" t="n">
        <v>1</v>
      </c>
      <c r="E7009" t="n">
        <v>24</v>
      </c>
      <c r="F7009">
        <f>HYPERLINK("https://www.reddit.com/r/diabetes/comments/c8az7t/need_an_advice_urgent/")</f>
        <v/>
      </c>
      <c r="G7009" t="inlineStr">
        <is>
          <t>2019-07-02 09:00:45</t>
        </is>
      </c>
      <c r="H7009" t="inlineStr">
        <is>
          <t>Type 1</t>
        </is>
      </c>
    </row>
    <row r="7010">
      <c r="A7010" t="inlineStr">
        <is>
          <t>c8bpsd</t>
        </is>
      </c>
      <c r="B7010" t="inlineStr">
        <is>
          <t>Any way to get the Dexcom G6 app to work on my Xiaomi Redmi Note 5?</t>
        </is>
      </c>
      <c r="C7010" t="inlineStr">
        <is>
          <t>Title says all. I need the EU version but my Xiaomi Redmi Note 5 isn't official supported...</t>
        </is>
      </c>
      <c r="D7010" t="n">
        <v>2</v>
      </c>
      <c r="E7010" t="n">
        <v>3</v>
      </c>
      <c r="F7010">
        <f>HYPERLINK("https://www.reddit.com/r/diabetes/comments/c8bpsd/any_way_to_get_the_dexcom_g6_app_to_work_on_my/")</f>
        <v/>
      </c>
      <c r="G7010" t="inlineStr">
        <is>
          <t>2019-07-02 10:00:35</t>
        </is>
      </c>
      <c r="H7010" t="inlineStr">
        <is>
          <t>Type 1</t>
        </is>
      </c>
    </row>
    <row r="7011">
      <c r="A7011" t="inlineStr">
        <is>
          <t>c8bsvd</t>
        </is>
      </c>
      <c r="B7011" t="inlineStr">
        <is>
          <t>Dexcom Question, Potential Pump and General Feedback</t>
        </is>
      </c>
      <c r="C7011" t="inlineStr">
        <is>
          <t>Hello Folks! So...after managing my diabetes for 15 years with meds I was officially labeled T1 this spring. I have had some great support from my endo (now that I finally get to see one, thanks Kaiser) and have already been hooked up with Dexcom G6. Life changing stuff right here, no other way about it. Anyway, I am taking Lantus and Humalog for corrections. So far its going...ok? I am definitely struggling to mitigate big peaks that can mess up my day. I am very active so that is messing with me as well. My endo has said a pump could really benefit me but I dont know...so I have some questions.
1) Dexcom Question - When I first got my G6 I accidentally had the year as 2020 so this is screwing up my Clarity reports. Does anyone know how to access the data or fix this at all? I can work around it but it is annoying to change it all every time. Dexcom just said create a new user account but I dont want to lose all my data!
2) General Question - How worried do I need to be about lows while I can do something to correct? I feel like I am not taking enough Humalog for corrections because of my fear of going low and because I guess I am more comfortable having high BG. Do I really need to worry about it if I have candy or glucose tablets around to correct? 
3) Pumps - so I have three pump options. Tandem, Medtronic, or Omnipod. I have researched to pros and cons of them but not sure what to do. I LOVE the idea of the Tandem working with my G6 and the technology. I also really like the idea of a tubeless Omnipod. I am not sure I see where the benefit of the Medtronic is compared to the other two. My worry about a pump is that, as I said, I am active! I play soccer and basketball frequently (also hike, lift weights, etc.), so how easy would that be with a pump? Is it good to just figure out injections first before I get a pump? Should I get a pump with my activities? 
Thanks SO much for any help and responses. The transition has been difficult for me...but getting formally diagnosed as T1 will improve my care I am sure. My current docs are amazed it was managed by meds for as long as it was and say I should feel good about that.</t>
        </is>
      </c>
      <c r="D7011" t="n">
        <v>2</v>
      </c>
      <c r="E7011" t="n">
        <v>12</v>
      </c>
      <c r="F7011">
        <f>HYPERLINK("https://www.reddit.com/r/diabetes/comments/c8bsvd/dexcom_question_potential_pump_and_general/")</f>
        <v/>
      </c>
      <c r="G7011" t="inlineStr">
        <is>
          <t>2019-07-02 10:07:01</t>
        </is>
      </c>
      <c r="H7011" t="inlineStr">
        <is>
          <t>Type 1</t>
        </is>
      </c>
    </row>
    <row r="7012">
      <c r="A7012" t="inlineStr">
        <is>
          <t>c8drk0</t>
        </is>
      </c>
      <c r="B7012" t="inlineStr">
        <is>
          <t>I had a hypo in the middle of my St. John’s Ambulance meeting, and everyone was treating it so seriously - I felt really weird.</t>
        </is>
      </c>
      <c r="C7012" t="inlineStr">
        <is>
          <t>Like, I’m no stranger to a hypo. Usually what happens is I test, chuck some GlucoTabs down the ol’ food hatch, and sit there silently screaming, but there were three people talking to me, and one was filling out a PRF form and asking me loads of questions. I get that I could die if it goes too low, but I know what i’m doing... 
Anyone else have similar experiences to this?</t>
        </is>
      </c>
      <c r="D7012" t="n">
        <v>7</v>
      </c>
      <c r="E7012" t="n">
        <v>2</v>
      </c>
      <c r="F7012">
        <f>HYPERLINK("https://www.reddit.com/r/diabetes/comments/c8drk0/i_had_a_hypo_in_the_middle_of_my_st_johns/")</f>
        <v/>
      </c>
      <c r="G7012" t="inlineStr">
        <is>
          <t>2019-07-02 12:30:13</t>
        </is>
      </c>
      <c r="H7012" t="inlineStr">
        <is>
          <t>Type 1</t>
        </is>
      </c>
    </row>
    <row r="7013">
      <c r="A7013" t="inlineStr">
        <is>
          <t>c8evcr</t>
        </is>
      </c>
      <c r="B7013" t="inlineStr">
        <is>
          <t>First Time evaluating a HDHP, could use some help</t>
        </is>
      </c>
      <c r="C7013" t="inlineStr">
        <is>
          <t>Title says it all, I could really use some help here as I've never had an option for an HDHP before.
&amp;amp;#x200B;
The Details/Background:
* Aetna Plans
* Covers me and spouse (medicine monthly, therapist visits monthly for her)
* Minimed530g pump + supplies
* Humalog (Brand Name prescription, 40% payment after deductible with $150/ out of pocket max)
* All costs past deductible covered at 90/10.
* In September, my Minimed warranty expires, the plan is to go dexcom/t-slim so keep those costs in mind!
&amp;amp;#x200B;
I appreciate all the help below, if you need more context I'm happy to provide, I'm just stuck here. I'm thinking with diabetes and the out of pocket maximums + getting a new pump (hopefully) at end of year, the HRA 750 with maybe an FSA spending account  would be my best bet? Any insight would be much appreciated, it's wild that I'm type 1 and this is extremely important and I can barely figure it out, I can't imagine how the normal person must feel.
&amp;amp;#x200B;
# HSA 1500
* 56.00 per pay period ($1,344 annual)
* $1500- Employer Contribution to HSA
* Annual Deductible -$3000
* Out of pocket maxium- $6000
&amp;amp;#x200B;
# HRA 1000
* 106.00 per pay period ($2,544 annual)
* $1000- Employer contribution to HRA
* Annual Deductible- $2000
* Out of pocket Maximum- $4000
# HRA 750
* 207.00 per pay period ($4,968 annual)
* $750- Employer Contribution to HRA
* Annual Deductible- $1500
* Out of pocket Maximum- $2,500</t>
        </is>
      </c>
      <c r="D7013" t="n">
        <v>2</v>
      </c>
      <c r="E7013" t="n">
        <v>1</v>
      </c>
      <c r="F7013">
        <f>HYPERLINK("https://www.reddit.com/r/diabetes/comments/c8evcr/first_time_evaluating_a_hdhp_could_use_some_help/")</f>
        <v/>
      </c>
      <c r="G7013" t="inlineStr">
        <is>
          <t>2019-07-02 13:51:54</t>
        </is>
      </c>
      <c r="H7013" t="inlineStr">
        <is>
          <t>Type 1</t>
        </is>
      </c>
    </row>
    <row r="7014">
      <c r="A7014" t="inlineStr">
        <is>
          <t>c8h5r7</t>
        </is>
      </c>
      <c r="B7014" t="inlineStr">
        <is>
          <t>Does someone have a Diabetic Glucose Tracker Excel Template?</t>
        </is>
      </c>
      <c r="C7014" t="inlineStr">
        <is>
          <t>I need a Excel Template for Diabetes Glucose Tracker, if possible i need it to have these:
Date, Before Breakfast, Before Meal, Before BedTime
&amp;amp;#x200B;
I will use it for 10 days so the doctor will see how am i going.</t>
        </is>
      </c>
      <c r="D7014" t="n">
        <v>2</v>
      </c>
      <c r="E7014" t="n">
        <v>5</v>
      </c>
      <c r="F7014">
        <f>HYPERLINK("https://www.reddit.com/r/diabetes/comments/c8h5r7/does_someone_have_a_diabetic_glucose_tracker/")</f>
        <v/>
      </c>
      <c r="G7014" t="inlineStr">
        <is>
          <t>2019-07-02 17:13:07</t>
        </is>
      </c>
      <c r="H7014" t="inlineStr">
        <is>
          <t>Type 1</t>
        </is>
      </c>
    </row>
    <row r="7015">
      <c r="A7015" t="inlineStr">
        <is>
          <t>c8i2kk</t>
        </is>
      </c>
      <c r="B7015" t="inlineStr">
        <is>
          <t>Oral Health survey</t>
        </is>
      </c>
      <c r="C7015" t="inlineStr">
        <is>
          <t>Hi, I am working on my Masters in Public Health. I need your help in order to complete my course, therefore I am requesting your help and have you complete this survey about Oral Health Knowledge and Type 2 diabetes status. The survey will not take more than 4 minutes to complete and your support will be greatly appreciated! Thanks for your support!
[https://www.surveymonkey.com/r/RJRF6WB](https://www.surveymonkey.com/r/RJRF6WB)</t>
        </is>
      </c>
      <c r="D7015" t="n">
        <v>0</v>
      </c>
      <c r="E7015" t="n">
        <v>2</v>
      </c>
      <c r="F7015">
        <f>HYPERLINK("https://www.reddit.com/r/diabetes/comments/c8i2kk/oral_health_survey/")</f>
        <v/>
      </c>
      <c r="G7015" t="inlineStr">
        <is>
          <t>2019-07-02 18:44:20</t>
        </is>
      </c>
      <c r="H7015" t="inlineStr">
        <is>
          <t>Type 2</t>
        </is>
      </c>
    </row>
    <row r="7016">
      <c r="A7016" t="inlineStr">
        <is>
          <t>c8k78w</t>
        </is>
      </c>
      <c r="B7016" t="inlineStr">
        <is>
          <t>Can you halt/slowdown Type 2 diabetes?</t>
        </is>
      </c>
      <c r="C7016" t="inlineStr">
        <is>
          <t>Can working out extensively and doing a Keto diet slow down Type 2 diabetes?</t>
        </is>
      </c>
      <c r="D7016" t="n">
        <v>6</v>
      </c>
      <c r="E7016" t="n">
        <v>10</v>
      </c>
      <c r="F7016">
        <f>HYPERLINK("https://www.reddit.com/r/diabetes/comments/c8k78w/can_you_haltslowdown_type_2_diabetes/")</f>
        <v/>
      </c>
      <c r="G7016" t="inlineStr">
        <is>
          <t>2019-07-02 22:31:33</t>
        </is>
      </c>
      <c r="H7016" t="inlineStr">
        <is>
          <t>Type 2</t>
        </is>
      </c>
    </row>
    <row r="7017">
      <c r="A7017" t="inlineStr">
        <is>
          <t>c8m964</t>
        </is>
      </c>
      <c r="B7017" t="inlineStr">
        <is>
          <t>My clinic is today, and I’m expecting the very worst</t>
        </is>
      </c>
      <c r="C7017" t="inlineStr">
        <is>
          <t>Im on the train right now to Dublin, for my diabetic appointment. I know already this wont end well.
Back in October, my A1C had gone from 8.3% right up to 10.1%. I had never been that high before, so I was pretty disappointed in myself. I worked hard to bring back down to 9.5% a month later.
Then at my appointment back in March, it was 9.1%. I know this is still high, but i was happy I had brought down. I vowed that I would never let  my A1C get as high as it was ever again.
Walking out of that appointment back in march, I promised myself that I would do all I can to keep lowering my A1C.
Three days later I was involved in a car accident. I was kinda okay, I hadn’t broken any bones although I was covered in bruises. Immediately after the incident I was doing okay, but looking back on it now it truly messed me up.
I kept having nightmares every night, got little or no sleep. I also stopped eating for a while because my appetite was so bad. I got so sick in the aftermath, missing three weeks of school. I got the vomiting bug twice lol. Two weeks after the crash, I had lost 16 pounds.
With all that came the constant highs. I would go up to 30mmol/L at least every two days, and I would feel like shit everyday because of it.
I guess a lot has happened since that day. I went on a school to Venice which was one of the best experiences of my life, to name one.
I guess my diabetic health, my good habits, checking my blood sugar level and bolusing has gone out the window.
Im just hoping, whatever my A1C is, that i can get it down again</t>
        </is>
      </c>
      <c r="D7017" t="n">
        <v>3</v>
      </c>
      <c r="E7017" t="n">
        <v>4</v>
      </c>
      <c r="F7017">
        <f>HYPERLINK("https://www.reddit.com/r/diabetes/comments/c8m964/my_clinic_is_today_and_im_expecting_the_very_worst/")</f>
        <v/>
      </c>
      <c r="G7017" t="inlineStr">
        <is>
          <t>2019-07-03 03:02:36</t>
        </is>
      </c>
      <c r="H7017" t="inlineStr">
        <is>
          <t>Type 1</t>
        </is>
      </c>
    </row>
    <row r="7018">
      <c r="A7018" t="inlineStr">
        <is>
          <t>c8qybb</t>
        </is>
      </c>
      <c r="B7018" t="inlineStr">
        <is>
          <t>Anyone do the switch to an OmniPod?</t>
        </is>
      </c>
      <c r="C7018" t="inlineStr">
        <is>
          <t>I’m due for a new pump and was vehemently against getting one but the other day I saw someone running on the sea wall with one on their arm and it didn’t look so bad at all. Plus after getting my FreeStyle Libre, it’s nice to have something attached to you that you don’t have to constantly disconnect and reconnect constantly.
I just have a few reservations though:
- can you go beyond the 3 day window at all? I like to rotate my sites usually every 5-7 days for convenience. Also how do the cartridges work?
- are you able to control it with your phone at all? I’m a HUGE fan of this trend in modern diabetes treatment to harmonize everything into as few devices as possible. 
Thanks!</t>
        </is>
      </c>
      <c r="D7018" t="n">
        <v>3</v>
      </c>
      <c r="E7018" t="n">
        <v>11</v>
      </c>
      <c r="F7018">
        <f>HYPERLINK("https://www.reddit.com/r/diabetes/comments/c8qybb/anyone_do_the_switch_to_an_omnipod/")</f>
        <v/>
      </c>
      <c r="G7018" t="inlineStr">
        <is>
          <t>2019-07-03 10:31:06</t>
        </is>
      </c>
      <c r="H7018" t="inlineStr">
        <is>
          <t>Type 1</t>
        </is>
      </c>
    </row>
    <row r="7019">
      <c r="A7019" t="inlineStr">
        <is>
          <t>c8skla</t>
        </is>
      </c>
      <c r="B7019" t="inlineStr">
        <is>
          <t>Diabetes and amusement park rides</t>
        </is>
      </c>
      <c r="C7019" t="inlineStr">
        <is>
          <t>Hello fellow T1Ds of Reddit. I had a question regarding diabetes and amusement park rides. 
I have never been to an amusement park before, and I had heard a claim many years ago that some rides can cause insulin pumps to deliver insulin unintentionally, due to the gravitational forces at play with certain rides. 
Is there any validity to this? What are some of your experiences with amusement parks? 
For context, my girlfriend and I are planning on going to an amusement park sometime in the near future, and I want to plan accordingly.</t>
        </is>
      </c>
      <c r="D7019" t="n">
        <v>6</v>
      </c>
      <c r="E7019" t="n">
        <v>9</v>
      </c>
      <c r="F7019">
        <f>HYPERLINK("https://www.reddit.com/r/diabetes/comments/c8skla/diabetes_and_amusement_park_rides/")</f>
        <v/>
      </c>
      <c r="G7019" t="inlineStr">
        <is>
          <t>2019-07-03 12:39:54</t>
        </is>
      </c>
      <c r="H7019" t="inlineStr">
        <is>
          <t>Type 1</t>
        </is>
      </c>
    </row>
    <row r="7020">
      <c r="A7020" t="inlineStr">
        <is>
          <t>c8y7s4</t>
        </is>
      </c>
      <c r="B7020" t="inlineStr">
        <is>
          <t>Dexcom g6 question</t>
        </is>
      </c>
      <c r="C7020" t="inlineStr">
        <is>
          <t>Hi all, I just recently got my dexcom g6 and I have training at the hospital in a few days on how to use it. I would like to place it on my arm, but I've been hearing that it's not supposed to go on the arm. Is that true? Does the accuracy of the readings differ from putting it on the arm as opposed to the stomach? Also, do I have to alternate sites after switching the sensor or can I keep using the same spot? I know I can just ask all of these during my training but I honestly just can't wait haha. Thanks!</t>
        </is>
      </c>
      <c r="D7020" t="n">
        <v>3</v>
      </c>
      <c r="E7020" t="n">
        <v>4</v>
      </c>
      <c r="F7020">
        <f>HYPERLINK("https://www.reddit.com/r/diabetes/comments/c8y7s4/dexcom_g6_question/")</f>
        <v/>
      </c>
      <c r="G7020" t="inlineStr">
        <is>
          <t>2019-07-03 21:35:44</t>
        </is>
      </c>
      <c r="H7020" t="inlineStr">
        <is>
          <t>Type 1</t>
        </is>
      </c>
    </row>
    <row r="7021">
      <c r="A7021" t="inlineStr">
        <is>
          <t>c91u58</t>
        </is>
      </c>
      <c r="B7021" t="inlineStr">
        <is>
          <t>Diabetes in the Royal Navy/Armed forces?</t>
        </is>
      </c>
      <c r="C7021" t="inlineStr">
        <is>
          <t>I was diagnosed T1 just before I planned to join the British Army as an officer and was medically disqualified for entry. A couple years on, I'm well controlled and on top of my levels and I'm looking at career options. I was wondering, has anyone managed to gain entry into the armed forces with  type one? Specifically in the navy? Any experience of that sort of thing would be welcome, particularly on how kindly the Royal Navy will take to type one entrants?</t>
        </is>
      </c>
      <c r="D7021" t="n">
        <v>10</v>
      </c>
      <c r="E7021" t="n">
        <v>12</v>
      </c>
      <c r="F7021">
        <f>HYPERLINK("https://www.reddit.com/r/diabetes/comments/c91u58/diabetes_in_the_royal_navyarmed_forces/")</f>
        <v/>
      </c>
      <c r="G7021" t="inlineStr">
        <is>
          <t>2019-07-04 05:08:08</t>
        </is>
      </c>
      <c r="H7021" t="inlineStr">
        <is>
          <t>Type 1</t>
        </is>
      </c>
    </row>
    <row r="7022">
      <c r="A7022" t="inlineStr">
        <is>
          <t>c91yth</t>
        </is>
      </c>
      <c r="B7022" t="inlineStr">
        <is>
          <t>Advice Needed: Suitable food to eat at a music festival?</t>
        </is>
      </c>
      <c r="C7022" t="inlineStr">
        <is>
          <t>I’be recently been diagnosed with type 2 diabetes, therefore need to be more careful of what I eat. 
I’m heading to a festival next weekend where, more often then not, food like burgers, chips and pizza are an easy option. 
What type of food stands should I be focusing on?</t>
        </is>
      </c>
      <c r="D7022" t="n">
        <v>2</v>
      </c>
      <c r="E7022" t="n">
        <v>1</v>
      </c>
      <c r="F7022">
        <f>HYPERLINK("https://www.reddit.com/r/diabetes/comments/c91yth/advice_needed_suitable_food_to_eat_at_a_music/")</f>
        <v/>
      </c>
      <c r="G7022" t="inlineStr">
        <is>
          <t>2019-07-04 05:22:27</t>
        </is>
      </c>
      <c r="H7022" t="inlineStr">
        <is>
          <t>Type 2</t>
        </is>
      </c>
    </row>
    <row r="7023">
      <c r="A7023" t="inlineStr">
        <is>
          <t>c92gwz</t>
        </is>
      </c>
      <c r="B7023" t="inlineStr">
        <is>
          <t>I got 10 sticks of Novomix for free each month... Now I have to make due with 14 per two months. Thanks, America!</t>
        </is>
      </c>
      <c r="C7023" t="inlineStr">
        <is>
          <t>So Americans SAY that they don't intend to harm us, but they want NOTHING but to harm us. Case in point, I got 10 free as in freedumbs Novomix sticks per each month, now I have to make due with 14 per two months. I have to inject 120 units a day, and I really can't do anything but to pay 18$ for the additional six, and I really can't afford that. Our entire income is 450$ a month. And we're five people, all of us are in college, my mom is a housewife and a widow, and my dad left us with zilch. Fuck Trump, seriously. If you voted for him you're a murderer.</t>
        </is>
      </c>
      <c r="D7023" t="n">
        <v>0</v>
      </c>
      <c r="E7023" t="n">
        <v>4</v>
      </c>
      <c r="F7023">
        <f>HYPERLINK("https://www.reddit.com/r/diabetes/comments/c92gwz/i_got_10_sticks_of_novomix_for_free_each_month/")</f>
        <v/>
      </c>
      <c r="G7023" t="inlineStr">
        <is>
          <t>2019-07-04 06:15:16</t>
        </is>
      </c>
      <c r="H7023" t="inlineStr">
        <is>
          <t>Type 1</t>
        </is>
      </c>
    </row>
    <row r="7024">
      <c r="A7024" t="inlineStr">
        <is>
          <t>c936jr</t>
        </is>
      </c>
      <c r="B7024" t="inlineStr">
        <is>
          <t>Hello, I’m newly diagnosed and need your help!</t>
        </is>
      </c>
      <c r="C7024" t="inlineStr">
        <is>
          <t xml:space="preserve"> Hi,
I was just diagnosed with Type 2 diabetes. My A1C is 10.2 and I feel very sick. My quality of life is very low – I have depression, can’t sleep well, stomach pain and feel some numb on some parts of my body. All this is very new for me and I have so many questions, but google didn’t help – too many approaches, and I don’t know to whom to believe. I want to ask you some basic questions, maybe the community here will help me, as I’m a bit lost:
&amp;amp;#x200B;
1. Where do you find information about T2 diabetes? (Portals, Forums, Facebook groups, Reddit, Magazines, books, Youtube etc..). Appreciate if you can share with me some links/references that you found reliable.
2. What are your biggest frustrations and challenges?
3. Based on your experience with the disease, what are your hopes, dreams, desires? 
4. What are your biggest fears?
5. I’m trying to adapt to my new reality. My doc wanted to try doing some life changes (diet, activity, meditation, stress reduction). I really don’t know how to add all these into my life. What does a day in your life look like? What would you change?
6. I need some positive vibes. What makes you happy?
Appreciate all your help and I want to thank you in advance for any responses.</t>
        </is>
      </c>
      <c r="D7024" t="n">
        <v>12</v>
      </c>
      <c r="E7024" t="n">
        <v>15</v>
      </c>
      <c r="F7024">
        <f>HYPERLINK("https://www.reddit.com/r/diabetes/comments/c936jr/hello_im_newly_diagnosed_and_need_your_help/")</f>
        <v/>
      </c>
      <c r="G7024" t="inlineStr">
        <is>
          <t>2019-07-04 07:25:05</t>
        </is>
      </c>
      <c r="H7024" t="inlineStr">
        <is>
          <t>Type 2</t>
        </is>
      </c>
    </row>
    <row r="7025">
      <c r="A7025" t="inlineStr">
        <is>
          <t>c96sw0</t>
        </is>
      </c>
      <c r="B7025" t="inlineStr">
        <is>
          <t>Support please</t>
        </is>
      </c>
      <c r="C7025" t="inlineStr">
        <is>
          <t>I’ve been having a terrible time with my diabetes lately.. I barely check my sugars or even bolus for food. My parents constantly yell at me for not taking care of them. I’ve tried logging and setting reminders on my PDM to frequently check but I just can’t find the motivation to. It also sucks that where I live I am the only type one diabetic my age. I’m not really close to any towns and I don’t have any support groups. My primary doctor is on maternal leave so I can’t really communicate with her so if there are any users on here that would be willing to talk to me about my diabetes it would be greatly appreciated! Thanks for coming to my ted talk :)</t>
        </is>
      </c>
      <c r="D7025" t="n">
        <v>16</v>
      </c>
      <c r="E7025" t="n">
        <v>27</v>
      </c>
      <c r="F7025">
        <f>HYPERLINK("https://www.reddit.com/r/diabetes/comments/c96sw0/support_please/")</f>
        <v/>
      </c>
      <c r="G7025" t="inlineStr">
        <is>
          <t>2019-07-04 12:43:40</t>
        </is>
      </c>
      <c r="H7025" t="inlineStr">
        <is>
          <t>Type 1</t>
        </is>
      </c>
    </row>
    <row r="7026">
      <c r="A7026" t="inlineStr">
        <is>
          <t>c9a45y</t>
        </is>
      </c>
      <c r="B7026" t="inlineStr">
        <is>
          <t>The Diabetes Balancing Act</t>
        </is>
      </c>
      <c r="C7026" t="inlineStr">
        <is>
          <t>&amp;amp;#x200B;
![img](8eu3acinzd831 "Our daily struggle put in visual form!")
&amp;amp;#x200B;
&amp;amp;#x200B;
Living with T1 is such a balancing act and of course the disease is always with you 24/7/365.  Here are some things I have picked up along the way that help me stay balanced:
&amp;amp;#x200B;
**Have a routine but also don't forget to have fun.**
I enjoy routine and it helps manage the disease most days, but I also enjoy spontaneity and adventure.  How can one person have both of these lifestyles simultaneously though
For me, knowing what foods jive with my body and what levels of physical exertion will do to my blood sugar is key to getting the most out of my days — whether it be relaxing at home OR traveling somewhere exciting.
&amp;amp;#x200B;
**Utilize your tools, but trust your body.**
We are very lucky that in 2019, we have access to many tools that help us manage our T1D more easily. But from my experience some of us have a love/hate thing going on with them. CGM's can feel nagging. Pumps can make us feel a bit less freedom in a sense. But at the same time, they are our best friends.
What works for me is occasionally taking a break from my pump/CGM. Not too long — just a day or two to get back in sync with my own body. It is important not to lose touch with its own natural cues to when something is wrong and when you feel at your best. When I *am* wearing it, if it is giving me more anxiety than usual, I occasionally turn off the “fall rate” alert, so that I don’t overreact and start correcting a low that hasn’t even happened yet. Of course, this isn’t always recommended. I always keep the alert on when I am sleeping or exercising!
&amp;amp;#x200B;
**Keep your thoughts in the present.**
“Live in the moment” has become a bit of a cliché saying these days, so I thought I’d word it differently. It is truly important to focus on life as it comes to us. I used to worry myself sick over possible lows or highs I might have after eating or doing certain things on the horizon. BUT — what good is it doing to worry in this moment about getting low if I’m *not* low? It seems like a simple concept, and it should be. If a blood sugar issue happens, we deal with it as best as we can from minute to minute. The best part is — it will end.
&amp;amp;#x200B;
**Be independent, but have a support system.**
I remember embracing my responsibilities very early on after being diagnosed. I was encouraged by both my doctors and my parents to learn exactly how to manage things on my own without any help, and I did. Very rarely did my parents ever have to check to make sure I was doing what I needed to be doing — checking my blood sugar or giving myself the correct amount of insulin. But at the same time I knew that they were there. If I ever had a question or doubted myself, I was supported.
One of my best friend was diagnosed with T1D exactly one year after I was. We went through it together, and I am incredibly grateful. We handle things very differently at times, but it provides for a unique perspective and it is comforting to know that not everyone deals with their Type 1 the same way. It’s important to connect with others with Type 1 and learn from them, as they will learn from you.
&amp;amp;#x200B;
**Experiment.**
I was never into cooking before I was diagnosed. But once I started to research nutrition out of necessity, I was hooked and intrigued! I started to experiment with lower carb alternatives. Not to say that I deny myself, but I enjoy being healthy and I enjoy less blood sugar spikes. Now I cook regularly, and I find it to be a creative outlet in addition to a way to get my daily fuel. I also actively seek out new foods to try that will make me feel most energized and I take note of how my blood sugar reacts.
&amp;amp;#x200B;
**Allow yourself to heal.**
Saved the biggest/best for last...Maybe the most important...**Don’t be so hard on yourself!** Dealing with any disease takes a toll on our sanity, and understandably so. I try not to judge my emotions as they arise. Breathe, acknowledge them, and then exhale. Perhaps they’ll stick with you for awhile longer, or perhaps they will leave you. Either way, just let yourself heal.
The common theme for me at this stage of my life and disease management is *balance*.
Life is a balancing act, T1D or no T1D. All of these things have helped me exponentially to overcome the anxiety that having a chronic illness brings.  I continue to discover more as I discover more of myself. And you will too!</t>
        </is>
      </c>
      <c r="D7026" t="n">
        <v>6</v>
      </c>
      <c r="E7026" t="n">
        <v>1</v>
      </c>
      <c r="F7026">
        <f>HYPERLINK("https://www.reddit.com/r/diabetes/comments/c9a45y/the_diabetes_balancing_act/")</f>
        <v/>
      </c>
      <c r="G7026" t="inlineStr">
        <is>
          <t>2019-07-04 18:20:59</t>
        </is>
      </c>
      <c r="H7026" t="inlineStr">
        <is>
          <t>Type 1</t>
        </is>
      </c>
    </row>
    <row r="7027">
      <c r="A7027" t="inlineStr">
        <is>
          <t>c9e0qx</t>
        </is>
      </c>
      <c r="B7027" t="inlineStr">
        <is>
          <t>27.0 blood sugar after I just woke up</t>
        </is>
      </c>
      <c r="C7027" t="inlineStr">
        <is>
          <t>Is it safe or do I need to seek help?</t>
        </is>
      </c>
      <c r="D7027" t="n">
        <v>10</v>
      </c>
      <c r="E7027" t="n">
        <v>25</v>
      </c>
      <c r="F7027">
        <f>HYPERLINK("https://www.reddit.com/r/diabetes/comments/c9e0qx/270_blood_sugar_after_i_just_woke_up/")</f>
        <v/>
      </c>
      <c r="G7027" t="inlineStr">
        <is>
          <t>2019-07-05 02:33:57</t>
        </is>
      </c>
      <c r="H7027" t="inlineStr">
        <is>
          <t>Type 1</t>
        </is>
      </c>
    </row>
    <row r="7028">
      <c r="A7028" t="inlineStr">
        <is>
          <t>c9hnjt</t>
        </is>
      </c>
      <c r="B7028" t="inlineStr">
        <is>
          <t>Multiclix Accu-Chek lancing device isn't loading.</t>
        </is>
      </c>
      <c r="C7028" t="inlineStr">
        <is>
          <t>Hi all, I have a Multiclix Accu-Chek lancing device, the long one with the 6 barrel thing that you load into it. I tried changing the lancet barrel but I can't seem to push all the way in it seems to get stuck 2 or 3 mm farther out than it should be. Does anyone know if there's a specific way it's supposed to be loaded that aren't mentioned on any of the youtube instruction videos?</t>
        </is>
      </c>
      <c r="D7028" t="n">
        <v>2</v>
      </c>
      <c r="E7028" t="n">
        <v>1</v>
      </c>
      <c r="F7028">
        <f>HYPERLINK("https://www.reddit.com/r/diabetes/comments/c9hnjt/multiclix_accuchek_lancing_device_isnt_loading/")</f>
        <v/>
      </c>
      <c r="G7028" t="inlineStr">
        <is>
          <t>2019-07-05 09:02:54</t>
        </is>
      </c>
      <c r="H7028" t="inlineStr">
        <is>
          <t>Type 1</t>
        </is>
      </c>
    </row>
    <row r="7029">
      <c r="A7029" t="inlineStr">
        <is>
          <t>c9hs6z</t>
        </is>
      </c>
      <c r="B7029" t="inlineStr">
        <is>
          <t>Accu-Chek Combo - Buttom not working</t>
        </is>
      </c>
      <c r="C7029" t="inlineStr">
        <is>
          <t>Hello guys i have insulin pump less than two weeks and one of the buttons its not working well. I need to press it hard to use it. Any advices to resolve this?</t>
        </is>
      </c>
      <c r="D7029" t="n">
        <v>1</v>
      </c>
      <c r="E7029" t="n">
        <v>2</v>
      </c>
      <c r="F7029">
        <f>HYPERLINK("https://www.reddit.com/r/diabetes/comments/c9hs6z/accuchek_combo_buttom_not_working/")</f>
        <v/>
      </c>
      <c r="G7029" t="inlineStr">
        <is>
          <t>2019-07-05 09:13:50</t>
        </is>
      </c>
      <c r="H7029" t="inlineStr">
        <is>
          <t>Type 1</t>
        </is>
      </c>
    </row>
    <row r="7030">
      <c r="A7030" t="inlineStr">
        <is>
          <t>c9hvhn</t>
        </is>
      </c>
      <c r="B7030" t="inlineStr">
        <is>
          <t>A year of Diabetes and Keto: Thank you all</t>
        </is>
      </c>
      <c r="C7030" t="inlineStr">
        <is>
          <t>It has been just over one year that a scared man with a recent diagnosis of Type-2 diabetes has made his way into this subreddit.
&amp;amp;#x200B;
You all welcomed and encouraged him.  Answered his frantic questions with grace and allowed him to vent.
&amp;amp;#x200B;
That man took these things to heart and applied them to his life.
&amp;amp;#x200B;
He has..
* become a follower of Keto and now cooks almost all of his own meals.
* walking at least one mile a day
* dutifully taken his metformine ... and even had dosage reduced.
* added a few supplements to his life.  Electrolytes, vitamin B, vitamin D and iodine
* drinks mostly water. With the rare (once a month?) voyage into a keto-friendly alternative.
* jabs his finger often now that he has lost his CGM (insurance! Arrg!).
And now, one year later, I have my new blood work.
By every measure I care about, I'm healthy.
A1C of 5.5
Most everything in the normal range.  A few things off a tiny bit, but I'm working on those.
Cholesterol and triglycerides are high -- but all the new research I've come across indicates those are not quite the monster they have been made out to be.
So -- everyone -- thank you.</t>
        </is>
      </c>
      <c r="D7030" t="n">
        <v>46</v>
      </c>
      <c r="E7030" t="n">
        <v>27</v>
      </c>
      <c r="F7030">
        <f>HYPERLINK("https://www.reddit.com/r/diabetes/comments/c9hvhn/a_year_of_diabetes_and_keto_thank_you_all/")</f>
        <v/>
      </c>
      <c r="G7030" t="inlineStr">
        <is>
          <t>2019-07-05 09:22:03</t>
        </is>
      </c>
      <c r="H7030" t="inlineStr">
        <is>
          <t>Type 2</t>
        </is>
      </c>
    </row>
    <row r="7031">
      <c r="A7031" t="inlineStr">
        <is>
          <t>c9j8qf</t>
        </is>
      </c>
      <c r="B7031" t="inlineStr">
        <is>
          <t>Lows every night/early morning. Anyone else experience this?</t>
        </is>
      </c>
      <c r="C7031" t="inlineStr">
        <is>
          <t>Like the title says my blood sugar is low every night/early morning. I wake up from it around 3-5am everyday. I have been lowering my basal rates slowly (done it multiple times now) and it is still happening. My blood sugar could be anywhere from 100-200+ when I fall asleep, and I will still wake up with a low. I have even tried not correcting the high blood sugars (even ones 200+) before bed. Any one else experience this or have any advice?</t>
        </is>
      </c>
      <c r="D7031" t="n">
        <v>0</v>
      </c>
      <c r="E7031" t="n">
        <v>0</v>
      </c>
      <c r="F7031">
        <f>HYPERLINK("https://www.reddit.com/r/diabetes/comments/c9j8qf/lows_every_nightearly_morning_anyone_else/")</f>
        <v/>
      </c>
      <c r="G7031" t="inlineStr">
        <is>
          <t>2019-07-05 11:15:25</t>
        </is>
      </c>
      <c r="H7031" t="inlineStr">
        <is>
          <t>Type 1</t>
        </is>
      </c>
    </row>
    <row r="7032">
      <c r="A7032" t="inlineStr">
        <is>
          <t>c9k1ks</t>
        </is>
      </c>
      <c r="B7032" t="inlineStr">
        <is>
          <t>Type 1 here, no matter what I do, I cannot keep my fasting BG down in the morning</t>
        </is>
      </c>
      <c r="C7032" t="inlineStr">
        <is>
          <t>I been exercising a lot and eating very healthy, and my bg is under control for the most part, except in the morning. My morning bg reading is always above 140 mg/dl, but throughout the day, by bg is around 80 to 120. Sometimes I would go to bed with a bg reading of 65 but wake up with 155. Anyone else experiencing this issue?</t>
        </is>
      </c>
      <c r="D7032" t="n">
        <v>8</v>
      </c>
      <c r="E7032" t="n">
        <v>21</v>
      </c>
      <c r="F7032">
        <f>HYPERLINK("https://www.reddit.com/r/diabetes/comments/c9k1ks/type_1_here_no_matter_what_i_do_i_cannot_keep_my/")</f>
        <v/>
      </c>
      <c r="G7032" t="inlineStr">
        <is>
          <t>2019-07-05 12:24:29</t>
        </is>
      </c>
      <c r="H7032" t="inlineStr">
        <is>
          <t>Type 1</t>
        </is>
      </c>
    </row>
    <row r="7033">
      <c r="A7033" t="inlineStr">
        <is>
          <t>c9mw9s</t>
        </is>
      </c>
      <c r="B7033" t="inlineStr">
        <is>
          <t>Is there a meal plan post that we can pin?</t>
        </is>
      </c>
      <c r="C7033" t="inlineStr">
        <is>
          <t>IF not can we start a meal plan reference post to pin so we can all share good recipes? I need to do better with my nutritional habits, it's really hard when everyone around you tends to not think of certain foods and meals effects you. I did a quick search and didn't see anything and just think it would be an awesome thing to start.</t>
        </is>
      </c>
      <c r="D7033" t="n">
        <v>5</v>
      </c>
      <c r="E7033" t="n">
        <v>6</v>
      </c>
      <c r="F7033">
        <f>HYPERLINK("https://www.reddit.com/r/diabetes/comments/c9mw9s/is_there_a_meal_plan_post_that_we_can_pin/")</f>
        <v/>
      </c>
      <c r="G7033" t="inlineStr">
        <is>
          <t>2019-07-05 16:43:27</t>
        </is>
      </c>
      <c r="H7033" t="inlineStr">
        <is>
          <t>Type 1</t>
        </is>
      </c>
    </row>
    <row r="7034">
      <c r="A7034" t="inlineStr">
        <is>
          <t>c9rhdi</t>
        </is>
      </c>
      <c r="B7034" t="inlineStr">
        <is>
          <t>That moment when its 4 in the morning and ur site change was suppose to be 12 hours ago</t>
        </is>
      </c>
      <c r="C7034" t="inlineStr">
        <is>
          <t>Hehe, I'm horrible at keeping track of time</t>
        </is>
      </c>
      <c r="D7034" t="n">
        <v>2</v>
      </c>
      <c r="E7034" t="n">
        <v>1</v>
      </c>
      <c r="F7034">
        <f>HYPERLINK("https://www.reddit.com/r/diabetes/comments/c9rhdi/that_moment_when_its_4_in_the_morning_and_ur_site/")</f>
        <v/>
      </c>
      <c r="G7034" t="inlineStr">
        <is>
          <t>2019-07-06 01:49:23</t>
        </is>
      </c>
      <c r="H7034" t="inlineStr">
        <is>
          <t>Type 1</t>
        </is>
      </c>
    </row>
    <row r="7035">
      <c r="A7035" t="inlineStr">
        <is>
          <t>c9slwf</t>
        </is>
      </c>
      <c r="B7035" t="inlineStr">
        <is>
          <t>Study: Diabetes Type 2 &amp;amp; Self-Compassion (King's College London)</t>
        </is>
      </c>
      <c r="C7035" t="inlineStr">
        <is>
          <t>Are you an adult diagnosed with type 2 diabetes (T2D)? Would you be interested in completing a survey (3 times in 12 months) to help us better understand the effects of self-compassion on individuals’ wellbeing in type II diabetes? Previous research demonstrates that self-compassion has some psychological and physiological health benefits for people with T2D. We want to establish strong evidence for potential future psychological treatments for people living with this condition.
&amp;amp;#x200B;
All participants will be entered in a draw to **receive one of two £30 vouchers to Amazon**!
&amp;amp;#x200B;
**To complete to survey, please visit:** [https://qsharingeu.eu.qualtrics.com/jfe/form/SV\_0rl6qEwOLauiN4F?fbclid=IwAR0CyEow-kMRcMpO5UWA3\_Id5\_O78aNs9tpeWetzy8VAGkTxAZio8GbhVCE](https://qsharingeu.eu.qualtrics.com/jfe/form/SV_0rl6qEwOLauiN4F?fbclid=IwAR0CyEow-kMRcMpO5UWA3_Id5_O78aNs9tpeWetzy8VAGkTxAZio8GbhVCE)
&amp;amp;#x200B;
\*\*Actual survey time est. **15-20 minutes**. Please note the information sheet and consent form may take 10 minutes to read (one time read). Please note reading + survey completion time may vary according to the individual\*\*
&amp;amp;#x200B;
**Ethical Clearance Reference Number:** HR-18/19-8350
**Contact information:** Health Psychology Department, King's College London  
London, SE1 9RT ([aysenur.kilic@kcl.ac.uk](mailto:aysenur.kilic@kcl.ac.uk))</t>
        </is>
      </c>
      <c r="D7035" t="n">
        <v>4</v>
      </c>
      <c r="E7035" t="n">
        <v>0</v>
      </c>
      <c r="F7035">
        <f>HYPERLINK("https://www.reddit.com/r/diabetes/comments/c9slwf/study_diabetes_type_2_selfcompassion_kings/")</f>
        <v/>
      </c>
      <c r="G7035" t="inlineStr">
        <is>
          <t>2019-07-06 04:32:07</t>
        </is>
      </c>
      <c r="H7035" t="inlineStr">
        <is>
          <t>Type 2</t>
        </is>
      </c>
    </row>
    <row r="7036">
      <c r="A7036" t="inlineStr">
        <is>
          <t>c9xjr3</t>
        </is>
      </c>
      <c r="B7036" t="inlineStr">
        <is>
          <t>Accuracy</t>
        </is>
      </c>
      <c r="C7036" t="inlineStr">
        <is>
          <t>I was wondering how accurate are the blood sugar checkers. I’m currently using the Accu-Check brand</t>
        </is>
      </c>
      <c r="D7036" t="n">
        <v>5</v>
      </c>
      <c r="E7036" t="n">
        <v>3</v>
      </c>
      <c r="F7036">
        <f>HYPERLINK("https://www.reddit.com/r/diabetes/comments/c9xjr3/accuracy/")</f>
        <v/>
      </c>
      <c r="G7036" t="inlineStr">
        <is>
          <t>2019-07-06 12:27:10</t>
        </is>
      </c>
      <c r="H7036" t="inlineStr">
        <is>
          <t>Type 2</t>
        </is>
      </c>
    </row>
    <row r="7037">
      <c r="A7037" t="inlineStr">
        <is>
          <t>ca1v5g</t>
        </is>
      </c>
      <c r="B7037" t="inlineStr">
        <is>
          <t>At age 21, I was diagnosed with Diabetes this afternoon</t>
        </is>
      </c>
      <c r="C7037" t="inlineStr">
        <is>
          <t>This is going to be a long post with really no message or question, I just feel like I have something to say and I don't know where else to say it.
&amp;amp;#x200B;
I'm 21 years old, and for the past year I was taking care of my mother who was diagnosed with stage 3 pancreatic cancer. I spent the year putting myself on the back burner, and while I know it probably began getting worse earlier than that, the past year I let myself deteriorate. 
&amp;amp;#x200B;
She lost her battle two months ago, and my treatment of myself was still terrible, if anything worse. I began noticing symptoms more frequently, such as excessive thirst/peeing, always tired, loss of appetite, cramping like crazy, etc. They had come and gone over the past year but they were all occurring at once these past few months. Last night simply as a "thing to do", my girlfriend and her parents took our BGLs just to see where we were all at (her father is diabetic). He jokingly said that he bet he would beat us all. I won with a reading of 534.
&amp;amp;#x200B;
That leads til today when I took myself to urgent care to get checked out, and it was confirmed that I have diabetes. They took a urine sample which came back full of sugar (to my understanding?) and an a1c of 10.4. They told me I was borderline hospital-bound. 
&amp;amp;#x200B;
Until my follow up appointment in a week, the doc put me on ramping Lantus until I get good fasting BG readings in the morning. I won't have a confirmed type diagnosis until I go to do blood work early in the week, but considering the circumstances it's going to be type 2. 
&amp;amp;#x200B;
I just feel really overwhelmed with this information, and upset with myself. I knew things were getting worse and I neglected my problems. This community seems understanding and useful in terms of information, so I'll be checking in more as I learn more about my status. 
&amp;amp;#x200B;
TLDR: I feel lost. Take care of yourself please.</t>
        </is>
      </c>
      <c r="D7037" t="n">
        <v>11</v>
      </c>
      <c r="E7037" t="n">
        <v>13</v>
      </c>
      <c r="F7037">
        <f>HYPERLINK("https://www.reddit.com/r/diabetes/comments/ca1v5g/at_age_21_i_was_diagnosed_with_diabetes_this/")</f>
        <v/>
      </c>
      <c r="G7037" t="inlineStr">
        <is>
          <t>2019-07-06 19:25:33</t>
        </is>
      </c>
      <c r="H7037" t="inlineStr">
        <is>
          <t>Type 2</t>
        </is>
      </c>
    </row>
    <row r="7038">
      <c r="A7038" t="inlineStr">
        <is>
          <t>ca1wu6</t>
        </is>
      </c>
      <c r="B7038" t="inlineStr">
        <is>
          <t>New diagnosis of Diabetes type II and severe pain when taking insulin</t>
        </is>
      </c>
      <c r="C7038" t="inlineStr">
        <is>
          <t>&amp;amp;#x200B;
Recently diagnosed (1 week ago) with T2. Went to ER with numerous issues and had a BSL of 680. A1C was 288. I logged into MyChart and saw from 2017 to 2019 BSL's in the 70s to 150, then within the last few weeks it skyrocketed unexpectedly. Anyway, once they put me on the insulin pump I developed what I call death cramps and death leg pain. I cannot lay down without both legs aching severely from the thigh to the foot/toes. My right side arm and especially my hand ache, with weakened pinky and ring finger (Cubital Tunnel Syndrome/CTS, Ulner Nerve Compression). It's so bad, I went to the ER 3x to get pain killer drugs, including Tylenol, Gabbapentin, and Lyrica. I've taken these in the past without too much luck. I also tried aspirin, naproxen, and ibuprofan for the leg aches and hand pain. No luck there either.
&amp;amp;#x200B;
I don't know whether its some sort of diabetic neuropathy or something else (such as new drug side effects that may subside over time). Anyone else ever experience this? How do I get rid of the pain? I've stopped insulin because it is killing me. It's like I'd rather jump off a building than experience that pain again. Do I go for the big guns and request opiates? What other options might I have? 
&amp;amp;#x200B;
TIA.</t>
        </is>
      </c>
      <c r="D7038" t="n">
        <v>2</v>
      </c>
      <c r="E7038" t="n">
        <v>13</v>
      </c>
      <c r="F7038">
        <f>HYPERLINK("https://www.reddit.com/r/diabetes/comments/ca1wu6/new_diagnosis_of_diabetes_type_ii_and_severe_pain/")</f>
        <v/>
      </c>
      <c r="G7038" t="inlineStr">
        <is>
          <t>2019-07-06 19:30:25</t>
        </is>
      </c>
      <c r="H7038" t="inlineStr">
        <is>
          <t>Type 2</t>
        </is>
      </c>
    </row>
    <row r="7039">
      <c r="A7039" t="inlineStr">
        <is>
          <t>ca3kmy</t>
        </is>
      </c>
      <c r="B7039" t="inlineStr">
        <is>
          <t>Low blood sugar not raising</t>
        </is>
      </c>
      <c r="C7039" t="inlineStr">
        <is>
          <t>My blood sugar is currently 80 and it has been for the past 3 hours or so which is good but I’ve been trying to raise it because I want to go lift but I can’t because I know I’ll drop and over the 3 hours I’ve turned my basal to 0 so I’m receiving no insulin with no active insulin either and I even ate 8 glucose tablets and a fruit smoothie which is around 60-70 carbs yet my blood sugar doesn’t move at all it peaked at 103 30 minutes ago but now it’s dropped down to 80 again and it’s really frustrating me because I’ve been trying to raise it for hours with no luck. I’ve had this happen before and it’s annoying and I’m not sure why it happens I’m not doing any exercise aside from walking around or sitting idly waiting for it to rise but it’s just not wanting to cooperate at all. Is my body just digesting the food very very slowly or is my pancreas magically working again?</t>
        </is>
      </c>
      <c r="D7039" t="n">
        <v>1</v>
      </c>
      <c r="E7039" t="n">
        <v>5</v>
      </c>
      <c r="F7039">
        <f>HYPERLINK("https://www.reddit.com/r/diabetes/comments/ca3kmy/low_blood_sugar_not_raising/")</f>
        <v/>
      </c>
      <c r="G7039" t="inlineStr">
        <is>
          <t>2019-07-06 22:47:46</t>
        </is>
      </c>
      <c r="H7039" t="inlineStr">
        <is>
          <t>Type 1</t>
        </is>
      </c>
    </row>
    <row r="7040">
      <c r="A7040" t="inlineStr">
        <is>
          <t>ca3tgo</t>
        </is>
      </c>
      <c r="B7040" t="inlineStr">
        <is>
          <t>Anyone else gets gut churn with sugar swings?</t>
        </is>
      </c>
      <c r="C7040" t="inlineStr">
        <is>
          <t>Hey,
Anyone else gets gut churn with sugar swings?</t>
        </is>
      </c>
      <c r="D7040" t="n">
        <v>3</v>
      </c>
      <c r="E7040" t="n">
        <v>4</v>
      </c>
      <c r="F7040">
        <f>HYPERLINK("https://www.reddit.com/r/diabetes/comments/ca3tgo/anyone_else_gets_gut_churn_with_sugar_swings/")</f>
        <v/>
      </c>
      <c r="G7040" t="inlineStr">
        <is>
          <t>2019-07-06 23:21:00</t>
        </is>
      </c>
      <c r="H7040" t="inlineStr">
        <is>
          <t>Type 1</t>
        </is>
      </c>
    </row>
    <row r="7041">
      <c r="A7041" t="inlineStr">
        <is>
          <t>ca6mrm</t>
        </is>
      </c>
      <c r="B7041" t="inlineStr">
        <is>
          <t>night shifts</t>
        </is>
      </c>
      <c r="C7041" t="inlineStr">
        <is>
          <t>Hey guys, just wanted to ask... I have a t1 for 5 years and soon i'm gonna have a night shifts for 5 days. So my question is how do you adapt an inzulin for it? Do you just switch a night and day inzulin and food with that (eating at night and taking day inzulin - sleeping at day with night inzulin) ? Slowly switch it or what? 
&amp;amp;#x200B;
Sorry for my english if it sucks.</t>
        </is>
      </c>
      <c r="D7041" t="n">
        <v>2</v>
      </c>
      <c r="E7041" t="n">
        <v>4</v>
      </c>
      <c r="F7041">
        <f>HYPERLINK("https://www.reddit.com/r/diabetes/comments/ca6mrm/night_shifts/")</f>
        <v/>
      </c>
      <c r="G7041" t="inlineStr">
        <is>
          <t>2019-07-07 06:06:48</t>
        </is>
      </c>
      <c r="H7041" t="inlineStr">
        <is>
          <t>Type 1</t>
        </is>
      </c>
    </row>
    <row r="7042">
      <c r="A7042" t="inlineStr">
        <is>
          <t>cab66k</t>
        </is>
      </c>
      <c r="B7042" t="inlineStr">
        <is>
          <t>How my wife is doing now a year on from her pancreas transplant</t>
        </is>
      </c>
      <c r="C7042" t="inlineStr">
        <is>
          <t>I’ll try and keep it brief as possible, this time last year my wife went into surgery to have a pancreas transplant (due to erratic type 1 diabetes and a lot of consultation meetings with 3 diabetic teams) 
 Now a year later she has stopped a lot of her meds, and. There hasn’t been any major complications, she has been passing blood irregularly with her urine, she went to oxford last week and if it does continue for the next 3 months, they will do a minor surgery where they will graft her new pancreas to the stomach. 
I know a few people wanted some updates. 
The main questions I get I can try and answer with the following.
No she wasn’t lazy with her diabetes before, the doctors and herself agreed this was the best course (transplant) for a better quality of life over 1 1/2 years of planning. 
No it’s not something you can go to your drs with and ask about. 
The lowest I’ve see her blood was 1.6. 
If you do have any questions I can only really answer from a uk point of view with regards to insulin quantity and blood levels.</t>
        </is>
      </c>
      <c r="D7042" t="n">
        <v>1</v>
      </c>
      <c r="E7042" t="n">
        <v>0</v>
      </c>
      <c r="F7042">
        <f>HYPERLINK("https://www.reddit.com/r/diabetes/comments/cab66k/how_my_wife_is_doing_now_a_year_on_from_her/")</f>
        <v/>
      </c>
      <c r="G7042" t="inlineStr">
        <is>
          <t>2019-07-07 12:57:43</t>
        </is>
      </c>
      <c r="H7042" t="inlineStr">
        <is>
          <t>Type 1</t>
        </is>
      </c>
    </row>
    <row r="7043">
      <c r="A7043" t="inlineStr">
        <is>
          <t>cac2tu</t>
        </is>
      </c>
      <c r="B7043" t="inlineStr">
        <is>
          <t>Has anyone had difficulty moving or being physically active because of diabetes?</t>
        </is>
      </c>
      <c r="C7043" t="inlineStr">
        <is>
          <t>I can't possibly imagine what else it could be, but it was never talked about as a symptom when I was first hospitalized for diabetes.
&amp;amp;#x200B;
I already had neuropathy when I was diagnosed, and I talked to my neurologist and he said that the newer pain I have isn't neuropathy.
&amp;amp;#x200B;
But basically whenever I move my hands (type, write, etc) or legs (walk, go up stairs, even stand sometimes, etc), then my hands and legs start to freeze up and I really have to push to be able to move them. It gets hard to open and close my hands, and I can't really take another step while walking. I just feel super stiff.  If I continue to push then it starts to hurt a lot.  It wasn't as bad before but it's starting to get way worse and I think it has something to do with diabetes because I don't have anything else and I used to have really poor a1c control but I don't know what this is. 
&amp;amp;#x200B;
Is this a diabetes complication?</t>
        </is>
      </c>
      <c r="D7043" t="n">
        <v>11</v>
      </c>
      <c r="E7043" t="n">
        <v>8</v>
      </c>
      <c r="F7043">
        <f>HYPERLINK("https://www.reddit.com/r/diabetes/comments/cac2tu/has_anyone_had_difficulty_moving_or_being/")</f>
        <v/>
      </c>
      <c r="G7043" t="inlineStr">
        <is>
          <t>2019-07-07 14:14:27</t>
        </is>
      </c>
      <c r="H7043" t="inlineStr">
        <is>
          <t>Type 1</t>
        </is>
      </c>
    </row>
    <row r="7044">
      <c r="A7044" t="inlineStr">
        <is>
          <t>cad69n</t>
        </is>
      </c>
      <c r="B7044" t="inlineStr">
        <is>
          <t>Is it dangerous if I try a keto diet</t>
        </is>
      </c>
      <c r="C7044" t="inlineStr">
        <is>
          <t>Was a planning on losing weight by the keto diet , so far it's been 4 days ( only eating lunch and breakfast ) and I've noticed that my blood sugar is much more stable .</t>
        </is>
      </c>
      <c r="D7044" t="n">
        <v>7</v>
      </c>
      <c r="E7044" t="n">
        <v>16</v>
      </c>
      <c r="F7044">
        <f>HYPERLINK("https://www.reddit.com/r/diabetes/comments/cad69n/is_it_dangerous_if_i_try_a_keto_diet/")</f>
        <v/>
      </c>
      <c r="G7044" t="inlineStr">
        <is>
          <t>2019-07-07 15:54:30</t>
        </is>
      </c>
      <c r="H7044" t="inlineStr">
        <is>
          <t>Type 1</t>
        </is>
      </c>
    </row>
    <row r="7045">
      <c r="A7045" t="inlineStr">
        <is>
          <t>cakpnv</t>
        </is>
      </c>
      <c r="B7045" t="inlineStr">
        <is>
          <t>Type 1 Diabetes Project</t>
        </is>
      </c>
      <c r="C7045" t="inlineStr">
        <is>
          <t xml:space="preserve"> 
Hey,  
hope you are doing good!  
As I have a lot of relatives with diabetes in my family, I really appreciate openness and courage for living with diabetes. Sharing the experience with diabetes is so important.  
But there is still a lot to improve to make the life of people living with diabetes type 1 easier. That's why I joined xbird.  
xbird is a medical AI company and we are now developing a project to avoid hypoglycemic events in diabetes type 1 patients. For that, we need data to train our algorithm.  
For 21 days of CGM and insulin data, we reward you with a 150 EUR Amazon voucher.  
Would you like to participate in our project?  
For more information please follow the link below:  
[http://www.xbird.io/diabetes-study](http://www.xbird.io/diabetes-study)  
Thank you for your time,  
Baris</t>
        </is>
      </c>
      <c r="D7045" t="n">
        <v>8</v>
      </c>
      <c r="E7045" t="n">
        <v>7</v>
      </c>
      <c r="F7045">
        <f>HYPERLINK("https://www.reddit.com/r/diabetes/comments/cakpnv/type_1_diabetes_project/")</f>
        <v/>
      </c>
      <c r="G7045" t="inlineStr">
        <is>
          <t>2019-07-08 05:59:08</t>
        </is>
      </c>
      <c r="H7045" t="inlineStr">
        <is>
          <t>Type 1</t>
        </is>
      </c>
    </row>
    <row r="7046">
      <c r="A7046" t="inlineStr">
        <is>
          <t>calzml</t>
        </is>
      </c>
      <c r="B7046" t="inlineStr">
        <is>
          <t>What kinds of jobs do you guys have and how much do you have to pay for your supplies every month?</t>
        </is>
      </c>
      <c r="C7046" t="inlineStr">
        <is>
          <t>So since i was diagnosed at the beginning of the year, ive had to cut back my hours at my kitchen job because with the insurance i have (medicaid), they totally cover my supplies but im not allowed to make over $1100 a month. This means im stuck at a position where i cant take a raise or work full time here. So im looking to find another job w/benefits and a better pay, but would like an idea on what types of insurance people generally have and what to expect as far as paying for my supplies (insulin, needles, test strips for glucose meter)
Also this insurance doesnt cover a CGM so im really looking forward to hopefully getting on that eventually</t>
        </is>
      </c>
      <c r="D7046" t="n">
        <v>1</v>
      </c>
      <c r="E7046" t="n">
        <v>2</v>
      </c>
      <c r="F7046">
        <f>HYPERLINK("https://www.reddit.com/r/diabetes/comments/calzml/what_kinds_of_jobs_do_you_guys_have_and_how_much/")</f>
        <v/>
      </c>
      <c r="G7046" t="inlineStr">
        <is>
          <t>2019-07-08 07:49:51</t>
        </is>
      </c>
      <c r="H7046" t="inlineStr">
        <is>
          <t>Type 1</t>
        </is>
      </c>
    </row>
    <row r="7047">
      <c r="A7047" t="inlineStr">
        <is>
          <t>cam5q7</t>
        </is>
      </c>
      <c r="B7047" t="inlineStr">
        <is>
          <t>How to change Dexcom profile photo?</t>
        </is>
      </c>
      <c r="C7047" t="inlineStr">
        <is>
          <t>This is probably a very silly question, but I can't seem to figure out how to change my dang profile photo with Dexcom! I hate having my picture out there (I must've uploaded it years ago) and it shows up in my G6 and Dexcom Clarity/Share apps (iphone)... can anyone help a girl out?</t>
        </is>
      </c>
      <c r="D7047" t="n">
        <v>5</v>
      </c>
      <c r="E7047" t="n">
        <v>0</v>
      </c>
      <c r="F7047">
        <f>HYPERLINK("https://www.reddit.com/r/diabetes/comments/cam5q7/how_to_change_dexcom_profile_photo/")</f>
        <v/>
      </c>
      <c r="G7047" t="inlineStr">
        <is>
          <t>2019-07-08 08:03:20</t>
        </is>
      </c>
      <c r="H7047" t="inlineStr">
        <is>
          <t>Type 1</t>
        </is>
      </c>
    </row>
    <row r="7048">
      <c r="A7048" t="inlineStr">
        <is>
          <t>camqb6</t>
        </is>
      </c>
      <c r="B7048" t="inlineStr">
        <is>
          <t>Dawn Phenomenon Help On Auto Mode?</t>
        </is>
      </c>
      <c r="C7048" t="inlineStr">
        <is>
          <t>Hi, I was looking for some tips or advice on how to solve my dawn phenomenon problem that I face pretty much every morning. 
&amp;amp;#x200B;
Some context: Every morning when I wake up from 5:00 AM - 10:00 AM I seem to spike the second I put my feet on the ground on my bed. My sensor seems to be accurate up until the point of when the dawn phenomenon occurs. To mitigate this as much as I can, I test my blood glucose value right when I wake up and correct accordingly as well as bolus for the anticipated breakfast I will have in the future. 
&amp;amp;#x200B;
I currently wait about 40-45 minutes after I bolus to eat my breakfast (I know it's such a long time, but eating early causes me to spike more and eating later causes me to go too low). During this time, I get ready for the day and complete other tasks. However, I drink some water around 20 minutes after I wake up. My carb ratio for the morning is already so high compared to my other ratios. Usually what happens is that I eat my meal and I spike even more, and auto mode gives me more microboluses which end up causing me to have a low a few hours later. 
&amp;amp;#x200B;
Most of my meals for breakfast are around 30-40 carbs of old fashioned oats, a banana, peanut butter, and almond milk,. 
&amp;amp;#x200B;
The history  of this morning, my carb ratio settings, and active insulin time settings can be seen in the imgur album that I linked here: [https://imgur.com/a/H4TRE7h](https://imgur.com/a/H4TRE7h)
&amp;amp;#x200B;
I was hoping to ask reddit to see if anyone has any advice of solving this problem with automode. I haven't found anyting that works for me. Everything else throughout my day is fine and my levels are normal after the morning events. 
&amp;amp;#x200B;
Any help is greatly appreciated, thank you. 
&amp;amp;#x200B;
TL;DR: Dawn phenomenon still occurs even waiting 40-45 minutes after correction and bolus. Need help plz, ty.</t>
        </is>
      </c>
      <c r="D7048" t="n">
        <v>2</v>
      </c>
      <c r="E7048" t="n">
        <v>15</v>
      </c>
      <c r="F7048">
        <f>HYPERLINK("https://www.reddit.com/r/diabetes/comments/camqb6/dawn_phenomenon_help_on_auto_mode/")</f>
        <v/>
      </c>
      <c r="G7048" t="inlineStr">
        <is>
          <t>2019-07-08 08:48:31</t>
        </is>
      </c>
      <c r="H7048" t="inlineStr">
        <is>
          <t>Type 1</t>
        </is>
      </c>
    </row>
    <row r="7049">
      <c r="A7049" t="inlineStr">
        <is>
          <t>cas0qb</t>
        </is>
      </c>
      <c r="B7049" t="inlineStr">
        <is>
          <t>T1 - Does anyone else get occasional insulin tolerance/resistance?</t>
        </is>
      </c>
      <c r="C7049" t="inlineStr">
        <is>
          <t>I’m not sure why this happens - but it seems like some days my body does not respond to insulin like it usually does. I do 5 -&amp;gt; 1 (carb to unit) conversion - and it feels like every now and then - seemingly at random - my body needs like 1/2-&amp;gt; 1.
Like today for instance - I was at around 214 before lunch and had the same thing I always do, for which I’d normally require 3 units. Since it had been elevated since last night - I went with 5 units instead. 2 hours after lunch - i measure and i’m at 232. This was after 20 minutes of intense exercise immediately prior to measuring too (which normally should lower it too). I administered 2 more units to correct, measured about an hour later - and i’m STILL at 232. My correction is usually 50-&amp;gt;1, so this is just kinda crazy. I took another 2 units again just now - but I already know these days go - I’ll measure in another hour and probably still be in the 200s...
Does anyone ever get anything like this, and have you been able to isolate any possible causes?</t>
        </is>
      </c>
      <c r="D7049" t="n">
        <v>3</v>
      </c>
      <c r="E7049" t="n">
        <v>13</v>
      </c>
      <c r="F7049">
        <f>HYPERLINK("https://www.reddit.com/r/diabetes/comments/cas0qb/t1_does_anyone_else_get_occasional_insulin/")</f>
        <v/>
      </c>
      <c r="G7049" t="inlineStr">
        <is>
          <t>2019-07-08 15:31:29</t>
        </is>
      </c>
      <c r="H7049" t="inlineStr">
        <is>
          <t>Type 1</t>
        </is>
      </c>
    </row>
    <row r="7050">
      <c r="A7050" t="inlineStr">
        <is>
          <t>cas7by</t>
        </is>
      </c>
      <c r="B7050" t="inlineStr">
        <is>
          <t>630G vs 670G</t>
        </is>
      </c>
      <c r="C7050" t="inlineStr">
        <is>
          <t>So a few months ago my 670G started having problems - extremely inaccurate sensor, refusing to enter automode, suspending insulin when I wasn’t low, etc. I sent it to Medtronic and it’s basically irreparable and they offered to send me a new one. 
Now I’ve heard all these issues about the 670G, but not many about the 630G and I know that many people overseas are using the 640G which I believe is equivalent. I wouldn’t use the sensor that comes with it, I’d go back to Dexcom like I did with my 530G, but how is the pump alone? I absolutely loved my 530G so if it’s anything like that I’d jump straight in.
I was thinking about getting the t:slim since quitting the 670G but I haven’t been convinced, and I’ve tried the OmniPod twice before and didn’t like it. So how are y’all’s experiences with the 630G? Thanks!</t>
        </is>
      </c>
      <c r="D7050" t="n">
        <v>3</v>
      </c>
      <c r="E7050" t="n">
        <v>4</v>
      </c>
      <c r="F7050">
        <f>HYPERLINK("https://www.reddit.com/r/diabetes/comments/cas7by/630g_vs_670g/")</f>
        <v/>
      </c>
      <c r="G7050" t="inlineStr">
        <is>
          <t>2019-07-08 15:47:09</t>
        </is>
      </c>
      <c r="H7050" t="inlineStr">
        <is>
          <t>Type 1</t>
        </is>
      </c>
    </row>
    <row r="7051">
      <c r="A7051" t="inlineStr">
        <is>
          <t>cazvla</t>
        </is>
      </c>
      <c r="B7051" t="inlineStr">
        <is>
          <t>I need help</t>
        </is>
      </c>
      <c r="C7051" t="inlineStr">
        <is>
          <t>I just randomly got sick 2 days ago, the fever, flu and diahorhea. I know i'm dehydrated, been drinking litres of water, but yet my BGL which is around 15mmoL isn't lowering despite giving my self extra insulin. Im only 15 years old and I can't get my BGL controlled</t>
        </is>
      </c>
      <c r="D7051" t="n">
        <v>5</v>
      </c>
      <c r="E7051" t="n">
        <v>11</v>
      </c>
      <c r="F7051">
        <f>HYPERLINK("https://www.reddit.com/r/diabetes/comments/cazvla/i_need_help/")</f>
        <v/>
      </c>
      <c r="G7051" t="inlineStr">
        <is>
          <t>2019-07-09 04:54:41</t>
        </is>
      </c>
      <c r="H7051" t="inlineStr">
        <is>
          <t>Type 1</t>
        </is>
      </c>
    </row>
    <row r="7052">
      <c r="A7052" t="inlineStr">
        <is>
          <t>cb3q13</t>
        </is>
      </c>
      <c r="B7052" t="inlineStr">
        <is>
          <t>Getting a pump soon but my glucose has been crazy the past 2 weeks for unusual reasons</t>
        </is>
      </c>
      <c r="C7052" t="inlineStr">
        <is>
          <t>I am meeting with my rep next week for a pump however the past 2 weeks I have been working in the heat a lot (moving to a new place and beach vacation) I have been fighting a lot of low lately and I’m worried that when I meet and plan my ratios they will be screwed up. Does anyone have any insight on something like this? It’s a 670g if that helps</t>
        </is>
      </c>
      <c r="D7052" t="n">
        <v>2</v>
      </c>
      <c r="E7052" t="n">
        <v>7</v>
      </c>
      <c r="F7052">
        <f>HYPERLINK("https://www.reddit.com/r/diabetes/comments/cb3q13/getting_a_pump_soon_but_my_glucose_has_been_crazy/")</f>
        <v/>
      </c>
      <c r="G7052" t="inlineStr">
        <is>
          <t>2019-07-09 10:12:51</t>
        </is>
      </c>
      <c r="H7052" t="inlineStr">
        <is>
          <t>Type 1</t>
        </is>
      </c>
    </row>
    <row r="7053">
      <c r="A7053" t="inlineStr">
        <is>
          <t>cb7l4l</t>
        </is>
      </c>
      <c r="B7053" t="inlineStr">
        <is>
          <t>Jobs in Antarctica</t>
        </is>
      </c>
      <c r="C7053" t="inlineStr">
        <is>
          <t>Hello, 
&amp;amp;#x200B;
I've been doing some research on support (non-science) jobs for the United States Antarctic Program.  I have always been fascinated about working in Antarctica.  I'm at the point in my life where it's now or never, but, of course, I think my dreams of this are shattered due to insulin dependency.  They don't explicitly say that diabetes prevents you from working there, but they do talk about passing medical examinations and getting dental work done before traveling down there.  Do any of you have experience with applying for one of these jobs?  I am really regretting not applying right after high school before I became diabetic.</t>
        </is>
      </c>
      <c r="D7053" t="n">
        <v>8</v>
      </c>
      <c r="E7053" t="n">
        <v>7</v>
      </c>
      <c r="F7053">
        <f>HYPERLINK("https://www.reddit.com/r/diabetes/comments/cb7l4l/jobs_in_antarctica/")</f>
        <v/>
      </c>
      <c r="G7053" t="inlineStr">
        <is>
          <t>2019-07-09 15:01:03</t>
        </is>
      </c>
      <c r="H7053" t="inlineStr">
        <is>
          <t>Type 1</t>
        </is>
      </c>
    </row>
    <row r="7054">
      <c r="A7054" t="inlineStr">
        <is>
          <t>cbfpjn</t>
        </is>
      </c>
      <c r="B7054" t="inlineStr">
        <is>
          <t>Ketones and calling off work [rant]</t>
        </is>
      </c>
      <c r="C7054" t="inlineStr">
        <is>
          <t>Must have gotten a kink in my infusion site or something- my glucose has been high all night, and now I have ketones too. I called out of work, because I feel exhausted and not up to doing my job. I have to call my endo - not because I don’t know how to treat the glucose or ketones- but to ask for some kind of document to give work saying I have a legitimate reason to call out. I really really dislike that. I know it’s because there are people who abuse the system, etc- but it makes things unnecessarily difficult for people with chronic illness to just live their lives. Just needed to vent. Hope you’re all doing amazing! Sending love and good feelings to each of you out there.</t>
        </is>
      </c>
      <c r="D7054" t="n">
        <v>13</v>
      </c>
      <c r="E7054" t="n">
        <v>11</v>
      </c>
      <c r="F7054">
        <f>HYPERLINK("https://www.reddit.com/r/diabetes/comments/cbfpjn/ketones_and_calling_off_work_rant/")</f>
        <v/>
      </c>
      <c r="G7054" t="inlineStr">
        <is>
          <t>2019-07-10 04:47:18</t>
        </is>
      </c>
      <c r="H7054" t="inlineStr">
        <is>
          <t>Type 1</t>
        </is>
      </c>
    </row>
    <row r="7055">
      <c r="A7055" t="inlineStr">
        <is>
          <t>cbg1dp</t>
        </is>
      </c>
      <c r="B7055" t="inlineStr">
        <is>
          <t>G5 v. G6?</t>
        </is>
      </c>
      <c r="C7055" t="inlineStr">
        <is>
          <t>I'm considering the "upgrade" from G5 to G6, but read a lot on the sub about nagging issues with G6 that I never experience w/ G5. Curious about G5 users thoughts who have switched to G6. Better?</t>
        </is>
      </c>
      <c r="D7055" t="n">
        <v>2</v>
      </c>
      <c r="E7055" t="n">
        <v>17</v>
      </c>
      <c r="F7055">
        <f>HYPERLINK("https://www.reddit.com/r/diabetes/comments/cbg1dp/g5_v_g6/")</f>
        <v/>
      </c>
      <c r="G7055" t="inlineStr">
        <is>
          <t>2019-07-10 05:21:39</t>
        </is>
      </c>
      <c r="H7055" t="inlineStr">
        <is>
          <t>Type 2</t>
        </is>
      </c>
    </row>
    <row r="7056">
      <c r="A7056" t="inlineStr">
        <is>
          <t>cbj3h7</t>
        </is>
      </c>
      <c r="B7056" t="inlineStr">
        <is>
          <t>Can't come down</t>
        </is>
      </c>
      <c r="C7056" t="inlineStr">
        <is>
          <t>Ever keep taking insulin and don't see a big downward change in your BG?  Ugh.
&amp;amp;#x200B;
&amp;amp;#x200B;
https://i.redd.it/j7tvo9n69i931.jpg</t>
        </is>
      </c>
      <c r="D7056" t="n">
        <v>8</v>
      </c>
      <c r="E7056" t="n">
        <v>7</v>
      </c>
      <c r="F7056">
        <f>HYPERLINK("https://www.reddit.com/r/diabetes/comments/cbj3h7/cant_come_down/")</f>
        <v/>
      </c>
      <c r="G7056" t="inlineStr">
        <is>
          <t>2019-07-10 09:45:18</t>
        </is>
      </c>
      <c r="H7056" t="inlineStr">
        <is>
          <t>Type 1</t>
        </is>
      </c>
    </row>
    <row r="7057">
      <c r="A7057" t="inlineStr">
        <is>
          <t>cble6r</t>
        </is>
      </c>
      <c r="B7057" t="inlineStr">
        <is>
          <t>Best cheap test strips?</t>
        </is>
      </c>
      <c r="C7057" t="inlineStr">
        <is>
          <t>I'm currently using One-touch Verio, but a 20 pack is nearly 25$, and I go through those in 3 days. Just looking for an alternative cheaper solution that anyone can recommend. Thanks!</t>
        </is>
      </c>
      <c r="D7057" t="n">
        <v>2</v>
      </c>
      <c r="E7057" t="n">
        <v>8</v>
      </c>
      <c r="F7057">
        <f>HYPERLINK("https://www.reddit.com/r/diabetes/comments/cble6r/best_cheap_test_strips/")</f>
        <v/>
      </c>
      <c r="G7057" t="inlineStr">
        <is>
          <t>2019-07-10 12:41:49</t>
        </is>
      </c>
      <c r="H7057" t="inlineStr">
        <is>
          <t>Type 1</t>
        </is>
      </c>
    </row>
    <row r="7058">
      <c r="A7058" t="inlineStr">
        <is>
          <t>cbm4td</t>
        </is>
      </c>
      <c r="B7058" t="inlineStr">
        <is>
          <t>Anyone else accidentally starve themselves after diagnosis?</t>
        </is>
      </c>
      <c r="C7058" t="inlineStr">
        <is>
          <t>I’m about two weeks into oral treatment and dietary consciousness, and I’m having trouble discerning whether my sugar is off or I’m just starving myself. At the very least my caloric intake is waaaaaay down. 
I’m hoping pretty soon I’ll be able to understand diabetes symptoms and figure out how much and what I can eat. (I have a care manager)
If you had that problem, how’d you beat it?</t>
        </is>
      </c>
      <c r="D7058" t="n">
        <v>6</v>
      </c>
      <c r="E7058" t="n">
        <v>8</v>
      </c>
      <c r="F7058">
        <f>HYPERLINK("https://www.reddit.com/r/diabetes/comments/cbm4td/anyone_else_accidentally_starve_themselves_after/")</f>
        <v/>
      </c>
      <c r="G7058" t="inlineStr">
        <is>
          <t>2019-07-10 13:40:02</t>
        </is>
      </c>
      <c r="H7058" t="inlineStr">
        <is>
          <t>Type 2</t>
        </is>
      </c>
    </row>
    <row r="7059">
      <c r="A7059" t="inlineStr">
        <is>
          <t>cbnk4q</t>
        </is>
      </c>
      <c r="B7059" t="inlineStr">
        <is>
          <t>Got my second blood test results today....</t>
        </is>
      </c>
      <c r="C7059" t="inlineStr">
        <is>
          <t>After doing my first bloodwork back in March and was diagnosed with diabetes (type 2) with an A1C of 10.4, I am happy to result I got back the results from my second set of blood work, and am super excited to say that my A1C is back down to 5.5!
Words can not begin to express how happy I am! I needed some good news, and I will take it! LOL</t>
        </is>
      </c>
      <c r="D7059" t="n">
        <v>51</v>
      </c>
      <c r="E7059" t="n">
        <v>16</v>
      </c>
      <c r="F7059">
        <f>HYPERLINK("https://www.reddit.com/r/diabetes/comments/cbnk4q/got_my_second_blood_test_results_today/")</f>
        <v/>
      </c>
      <c r="G7059" t="inlineStr">
        <is>
          <t>2019-07-10 15:36:42</t>
        </is>
      </c>
      <c r="H7059" t="inlineStr">
        <is>
          <t>Type 2</t>
        </is>
      </c>
    </row>
    <row r="7060">
      <c r="A7060" t="inlineStr">
        <is>
          <t>cbo01z</t>
        </is>
      </c>
      <c r="B7060" t="inlineStr">
        <is>
          <t>Story time, Diabetic Co-worker</t>
        </is>
      </c>
      <c r="C7060" t="inlineStr">
        <is>
          <t>I only had diabetes for 3 years at the time this happened and I was still a bit awkward about only telling people if I absolutely have to. 
So I started a new job at the beginning of summer in an office, first day was saying hi to people and settling in, I knew I would have to tell someone I was diabetic just in case anything happened, I was dreading having to do it and was thinking about who the best person to tell would be and how I could do it casually but formally at the same time. Out of no where, guy sitting at the desk opposite to me jokingly said “ just to let you know, Steve (not his real name, sitting to his right) is a bit of a drug user so you may see him injecting etc” at first I was a bit confused but then it clicked. I calmly and coolly said “ oh type 1 diabetic?” It may have come out well but in my head I was bouncing off the walls I’d never met another diabetic before, apart from in hospital etc, so I was very excited. He replied with “ yeah how did you...? “ I then said “ oh me too” we then had a chat and a laugh about the whole thing. From then on we always had a sort of diabetic bond and if we were both in a meeting together we’d occasionally ask how things are going and tell stories. As I said I’d only had it for 3 years at the time so it was handy to get some tips from someone who’d had it for longer and had experience in the real world. Doctors and nurses are helpful but have their limits. It also saved me from having to have the awkward “oh btw I’m diabetic ...” conversation that I was dreading so much.</t>
        </is>
      </c>
      <c r="D7060" t="n">
        <v>19</v>
      </c>
      <c r="E7060" t="n">
        <v>5</v>
      </c>
      <c r="F7060">
        <f>HYPERLINK("https://www.reddit.com/r/diabetes/comments/cbo01z/story_time_diabetic_coworker/")</f>
        <v/>
      </c>
      <c r="G7060" t="inlineStr">
        <is>
          <t>2019-07-10 16:15:30</t>
        </is>
      </c>
      <c r="H7060" t="inlineStr">
        <is>
          <t>Type 1</t>
        </is>
      </c>
    </row>
    <row r="7061">
      <c r="A7061" t="inlineStr">
        <is>
          <t>cbo867</t>
        </is>
      </c>
      <c r="B7061" t="inlineStr">
        <is>
          <t>Why are canadas medication prices so drastically different!!</t>
        </is>
      </c>
      <c r="C7061" t="inlineStr">
        <is>
          <t xml:space="preserve"> I’m sure you’ve seen the price comparison of Canadian to u.s. pharmaceuticals. I think its disgusting how the companies are jacking up the prices in the states. I have family friends who are registered pharmacists and are able to order Canada Health (Canadians version of FDA) products at cost. As long as you attach a copy of your prescription after purchase to the email there is no issue getting it shipped to you. [www.bellawellnesscenter.com](http://www.bellawellnesscenter.com/)</t>
        </is>
      </c>
      <c r="D7061" t="n">
        <v>4</v>
      </c>
      <c r="E7061" t="n">
        <v>6</v>
      </c>
      <c r="F7061">
        <f>HYPERLINK("https://www.reddit.com/r/diabetes/comments/cbo867/why_are_canadas_medication_prices_so_drastically/")</f>
        <v/>
      </c>
      <c r="G7061" t="inlineStr">
        <is>
          <t>2019-07-10 16:35:06</t>
        </is>
      </c>
      <c r="H7061" t="inlineStr">
        <is>
          <t>Type 1</t>
        </is>
      </c>
    </row>
    <row r="7062">
      <c r="A7062" t="inlineStr">
        <is>
          <t>cbtrjp</t>
        </is>
      </c>
      <c r="B7062" t="inlineStr">
        <is>
          <t>How do you know when to end a temporary basal rate?</t>
        </is>
      </c>
      <c r="C7062" t="inlineStr">
        <is>
          <t>My blood sugar has been pretty wonky for the last few days. It was low all the time (I was waking up several times over night), so I put on a 60% temporary basal rate at first, and am now on 80% (I’ve been using temporary basal rates since Monday). Yesterday my period started and today I’ve woken up with a cold, so I assume these things were the cause of the repeated lows.
I’m wondering when I’ll know to end the temporary basal rates. Today, my blood has been running high, with one low after breakfast. If it had been high all day I wouldn’t think twice about returning to my usual basal rate, but the low makes me worry that I’m not in the clear yet. How should I manage this?</t>
        </is>
      </c>
      <c r="D7062" t="n">
        <v>2</v>
      </c>
      <c r="E7062" t="n">
        <v>1</v>
      </c>
      <c r="F7062">
        <f>HYPERLINK("https://www.reddit.com/r/diabetes/comments/cbtrjp/how_do_you_know_when_to_end_a_temporary_basal_rate/")</f>
        <v/>
      </c>
      <c r="G7062" t="inlineStr">
        <is>
          <t>2019-07-11 02:42:22</t>
        </is>
      </c>
      <c r="H7062" t="inlineStr">
        <is>
          <t>Type 1</t>
        </is>
      </c>
    </row>
    <row r="7063">
      <c r="A7063" t="inlineStr">
        <is>
          <t>cbxjh8</t>
        </is>
      </c>
      <c r="B7063" t="inlineStr">
        <is>
          <t>Dexcom G6 in Europe?</t>
        </is>
      </c>
      <c r="C7063" t="inlineStr">
        <is>
          <t>Hey yo
I find it really hard to find information about the Dexcom G6 here in Europe (Denmark specifically). I want one so badly, but I have to get information through the hospitals, because I can’t buy it myself and have to get it through the the hospital.
Does anyone know anything, or should I just wait and see if I’m “lucky enough” to get one?</t>
        </is>
      </c>
      <c r="D7063" t="n">
        <v>2</v>
      </c>
      <c r="E7063" t="n">
        <v>6</v>
      </c>
      <c r="F7063">
        <f>HYPERLINK("https://www.reddit.com/r/diabetes/comments/cbxjh8/dexcom_g6_in_europe/")</f>
        <v/>
      </c>
      <c r="G7063" t="inlineStr">
        <is>
          <t>2019-07-11 09:15:41</t>
        </is>
      </c>
      <c r="H7063" t="inlineStr">
        <is>
          <t>Type 1</t>
        </is>
      </c>
    </row>
    <row r="7064">
      <c r="A7064" t="inlineStr">
        <is>
          <t>cbyrig</t>
        </is>
      </c>
      <c r="B7064" t="inlineStr">
        <is>
          <t>New to the Medtronic pump + CGM and I have some questions...</t>
        </is>
      </c>
      <c r="C7064" t="inlineStr">
        <is>
          <t>I'm brand new to the pump and CGM and it IS awesome.  I've just completed my "training" and I feel pretty good about it.  However, when I first was getting information about it, the rep told me I'd be billed roughly $200 a month for 18 months, to pay for it.  My insurance just billed me roughly $1200.  So, I know I should call them (and I'm terrible with money stuff, so I'm dreading it), but is this common?  How do you afford your pump/CGM?
Also, I use roughly 30 units a day.  I wasn't introduced to any other pump, and I've only heard of Dexcom or Omnipod from this subreddit.  I was reading that the Omnipod is wireless but if you use a lot of insulin, it's not the best choice.  Like I said, I'm on roughly 30-35 units a day.  Should I maybe look into Dexcom or Omnipod?  I'm just a little overwhelmed and I'm not sure how I'm going to be able to pay $1200, or if I was given the best option in the first place.</t>
        </is>
      </c>
      <c r="D7064" t="n">
        <v>2</v>
      </c>
      <c r="E7064" t="n">
        <v>9</v>
      </c>
      <c r="F7064">
        <f>HYPERLINK("https://www.reddit.com/r/diabetes/comments/cbyrig/new_to_the_medtronic_pump_cgm_and_i_have_some/")</f>
        <v/>
      </c>
      <c r="G7064" t="inlineStr">
        <is>
          <t>2019-07-11 10:49:08</t>
        </is>
      </c>
      <c r="H7064" t="inlineStr">
        <is>
          <t>Type 1</t>
        </is>
      </c>
    </row>
    <row r="7065">
      <c r="A7065" t="inlineStr">
        <is>
          <t>cc2c8o</t>
        </is>
      </c>
      <c r="B7065" t="inlineStr">
        <is>
          <t>Type 1, Advice about taking supplements</t>
        </is>
      </c>
      <c r="C7065" t="inlineStr">
        <is>
          <t>I’m type 1 diabetic, 27 yo.
I’ve struggled with jock itch/white tongue my entire life and didn’t find out until recently that diabetics are highly prone to candida overgrowth due to the constant irregular blood sugars. 
I’m much better about my blood sugars these days, but I still struggle with the candida, so I just started taking Candida Complex pills. I haven’t really noticed a huge switch yet, but I figure it may come later on the more I take them. 
I did some research on supplements and read that Garlic pills and coconut oil pills help your digestive system and prevent/kill candida too. 
So I just started taking those too. 
I was doing more research about supplements Diabetics can take and read that Magnesium and Vitamin D3 (2,000 IU) are good because Diabetics are known to be lacking with both of these. 
I also suffer from mild-depression and have never in my life had a big appetite so I’m pretty sure my situation is much worse because I don’t really eat much. So I read online that St. John’s Wort helps promote a better mood. 
Right now I’m only taking the Candida simplex pills along with the coconut oil and garlic pills. But if I incorporate the others I’ll be taking the following daily: 
Candida Complex 
Garlic
Coconut Oil
Magnesium
Vitamin D
St. John’s wort (still unsure about this one though).
Is it safe to be taking all these pills? If it helps I can rotate which ones I take, maybe take some one day then the others the next. 
I know there will be some people who will say I should be  consuming actual foods with these in it instead of taking pills but my depression can be quite crippling most days and I’m almost always not in the mood to eat. Not that I choose to not eat, I seriously cannot make myself eat some days. 
I’m trying to fix the following:
Jock itch/White tongue/Candida overgrowth
Help with my depression (St. Johns wort)
So, is this ok for me to use all these supplements together? I’m not sure if these will react badly with each other. 
I also drink hot ginger steeped lemon water every day and also Kombucha. I’m not sure if those will affect the supplements in a bad way. 
Thanks for all the answers if any!</t>
        </is>
      </c>
      <c r="D7065" t="n">
        <v>2</v>
      </c>
      <c r="E7065" t="n">
        <v>3</v>
      </c>
      <c r="F7065">
        <f>HYPERLINK("https://www.reddit.com/r/diabetes/comments/cc2c8o/type_1_advice_about_taking_supplements/")</f>
        <v/>
      </c>
      <c r="G7065" t="inlineStr">
        <is>
          <t>2019-07-11 15:28:23</t>
        </is>
      </c>
      <c r="H7065" t="inlineStr">
        <is>
          <t>Type 1</t>
        </is>
      </c>
    </row>
    <row r="7066">
      <c r="A7066" t="inlineStr">
        <is>
          <t>ccfv2q</t>
        </is>
      </c>
      <c r="B7066" t="inlineStr">
        <is>
          <t>Questions about Dexcom G6, and also DME from Canada.</t>
        </is>
      </c>
      <c r="C7066" t="inlineStr">
        <is>
          <t>Little background, have been T1 for around 15 years, used a Dexcom G4 for multiple years, just switched to the G6. When I had my G4 I would let some of my sensors "ride" I suppose you could say, (stop the sensor, restart the same, calibrate) Yes I know you shouldn't but a couple extra days with one adds up. Has anyone done this with the G6, I haven't tried it yet but I was contemplating it. Is it any less accurate or cuts off?
&amp;amp;#x200B;
Second question, I like others here have individual health insurance and pay absurd amounts for insulin pens in the US so I scrapped that and get them from Canada now. I know the pharmacies up north wouldn't have durable medical equipment, but are there locations or places to order online to find things such as sensors, tubing (thinking about getting a pump), etc?  Just looking for some suggestions. Thanks!</t>
        </is>
      </c>
      <c r="D7066" t="n">
        <v>3</v>
      </c>
      <c r="E7066" t="n">
        <v>4</v>
      </c>
      <c r="F7066">
        <f>HYPERLINK("https://www.reddit.com/r/diabetes/comments/ccfv2q/questions_about_dexcom_g6_and_also_dme_from_canada/")</f>
        <v/>
      </c>
      <c r="G7066" t="inlineStr">
        <is>
          <t>2019-07-12 13:02:39</t>
        </is>
      </c>
      <c r="H7066" t="inlineStr">
        <is>
          <t>Type 1</t>
        </is>
      </c>
    </row>
    <row r="7067">
      <c r="A7067" t="inlineStr">
        <is>
          <t>cciqap</t>
        </is>
      </c>
      <c r="B7067" t="inlineStr">
        <is>
          <t>Finally getting a pump</t>
        </is>
      </c>
      <c r="C7067" t="inlineStr">
        <is>
          <t>My options are the omnipod,t-slim, and something else. You really like the video of a wireless pump because I will constantly be getting that drip of insulin even when I’m in the pool and I can’t do that with the t-slim. Anyway, any opinions on wired and wireless pumps?</t>
        </is>
      </c>
      <c r="D7067" t="n">
        <v>5</v>
      </c>
      <c r="E7067" t="n">
        <v>6</v>
      </c>
      <c r="F7067">
        <f>HYPERLINK("https://www.reddit.com/r/diabetes/comments/cciqap/finally_getting_a_pump/")</f>
        <v/>
      </c>
      <c r="G7067" t="inlineStr">
        <is>
          <t>2019-07-12 17:10:24</t>
        </is>
      </c>
      <c r="H7067" t="inlineStr">
        <is>
          <t>Type 1</t>
        </is>
      </c>
    </row>
    <row r="7068">
      <c r="A7068" t="inlineStr">
        <is>
          <t>cckejz</t>
        </is>
      </c>
      <c r="B7068" t="inlineStr">
        <is>
          <t>Question. Does anyone know how to connect my Dexcom G6 app to my apple watch?</t>
        </is>
      </c>
      <c r="C7068" t="inlineStr">
        <is>
          <t>I use the Dexcom app on my phone regularly without any problems, however when I try to add the Dexcom G6 as a complication on my generation 1 series 4 apple watch, it doesn't even appear to show up as an option. Any help would be great, i'm starting to pull my hair out.</t>
        </is>
      </c>
      <c r="D7068" t="n">
        <v>2</v>
      </c>
      <c r="E7068" t="n">
        <v>2</v>
      </c>
      <c r="F7068">
        <f>HYPERLINK("https://www.reddit.com/r/diabetes/comments/cckejz/question_does_anyone_know_how_to_connect_my/")</f>
        <v/>
      </c>
      <c r="G7068" t="inlineStr">
        <is>
          <t>2019-07-12 20:02:01</t>
        </is>
      </c>
      <c r="H7068" t="inlineStr">
        <is>
          <t>Type 1</t>
        </is>
      </c>
    </row>
    <row r="7069">
      <c r="A7069" t="inlineStr">
        <is>
          <t>ccktjw</t>
        </is>
      </c>
      <c r="B7069" t="inlineStr">
        <is>
          <t>Tandem Customer Support BLOWS!</t>
        </is>
      </c>
      <c r="C7069" t="inlineStr">
        <is>
          <t>11:00 PM and I get an alarm on my t:slim. It sounds like a regular alarm and I look at it and it briefly shows me that my sensor is reading high, fine, I've been drinking, I'm expecting it. Then the pump screen changes rapidly and reads "MALFUNCTION: The pump cannot operate. Contact Customer Support immediately." ....great. Error code 13-0x2140. So I call the number on the back of my pump right away. I'm still on hold. 45 minutes later. Luckily I still have my Animas Ping and it's semi-operational (the screen is pretty dim, but it does the job so far...) but it's out of warranty and if it fails, I have NO clue what to do. I've been told, but I still feel entirely ill-prepared. I'm livid with their customer service right now. I don't believe anyone is there honestly. This is ridiculous.</t>
        </is>
      </c>
      <c r="D7069" t="n">
        <v>3</v>
      </c>
      <c r="E7069" t="n">
        <v>6</v>
      </c>
      <c r="F7069">
        <f>HYPERLINK("https://www.reddit.com/r/diabetes/comments/ccktjw/tandem_customer_support_blows/")</f>
        <v/>
      </c>
      <c r="G7069" t="inlineStr">
        <is>
          <t>2019-07-12 20:46:06</t>
        </is>
      </c>
      <c r="H7069" t="inlineStr">
        <is>
          <t>Type 1</t>
        </is>
      </c>
    </row>
    <row r="7070">
      <c r="A7070" t="inlineStr">
        <is>
          <t>cckzy2</t>
        </is>
      </c>
      <c r="B7070" t="inlineStr">
        <is>
          <t>Diagnosed T2 a few months ago - Had major heart attack last Monday</t>
        </is>
      </c>
      <c r="C7070" t="inlineStr">
        <is>
          <t xml:space="preserve">
Thankfully have a lot of support from family and friends, and much more serious about testing now.
Am still going through bouts of grief, guilt, and realization to how close I came to dying last Monday.
They were going to do open heart but my Levels were too high, so went with angioplasty.    Had 4 stents put in, 
Just joined this subreddit to connect and talk with others.   Felt it might be good to talk with people I don’t know, to connect with.    Even with positive outlook and post-op, can’t stop crying sometimes</t>
        </is>
      </c>
      <c r="D7070" t="n">
        <v>11</v>
      </c>
      <c r="E7070" t="n">
        <v>9</v>
      </c>
      <c r="F7070">
        <f>HYPERLINK("https://www.reddit.com/r/diabetes/comments/cckzy2/diagnosed_t2_a_few_months_ago_had_major_heart/")</f>
        <v/>
      </c>
      <c r="G7070" t="inlineStr">
        <is>
          <t>2019-07-12 21:05:28</t>
        </is>
      </c>
      <c r="H7070" t="inlineStr">
        <is>
          <t>Type 2</t>
        </is>
      </c>
    </row>
    <row r="7071">
      <c r="A7071" t="inlineStr">
        <is>
          <t>ccl2aw</t>
        </is>
      </c>
      <c r="B7071" t="inlineStr">
        <is>
          <t>Advice for the newly diagnosed</t>
        </is>
      </c>
      <c r="C7071" t="inlineStr">
        <is>
          <t>Hi, r/diabetes! 
&amp;amp;#x200B;
Coming to you from the ICU. My SO (22m) was just diagnosed with Type 1 Diabetes.  
His first two questions after getting the diagnosis were "will I have it forever?"  and "Can I still eat pizza?". While I have the answers to those questions (yes and in moderation), I would like to learn as much as I can before we go home. 
&amp;amp;#x200B;
**What advice do you have for the newly diabetic? What resources were helpful for you/your loved ones?** 
&amp;amp;#x200B;
He's a very picky eater and pretty resistant to change so I am trying to get ahead of things while he is still mostly out of it. Any help is appreciated!</t>
        </is>
      </c>
      <c r="D7071" t="n">
        <v>3</v>
      </c>
      <c r="E7071" t="n">
        <v>0</v>
      </c>
      <c r="F7071">
        <f>HYPERLINK("https://www.reddit.com/r/diabetes/comments/ccl2aw/advice_for_the_newly_diagnosed/")</f>
        <v/>
      </c>
      <c r="G7071" t="inlineStr">
        <is>
          <t>2019-07-12 21:12:07</t>
        </is>
      </c>
      <c r="H7071" t="inlineStr">
        <is>
          <t>Type 1</t>
        </is>
      </c>
    </row>
    <row r="7072">
      <c r="A7072" t="inlineStr">
        <is>
          <t>ccoqg2</t>
        </is>
      </c>
      <c r="B7072" t="inlineStr">
        <is>
          <t>Overview of closed loop alternatives?</t>
        </is>
      </c>
      <c r="C7072" t="inlineStr">
        <is>
          <t>Dear all,
&amp;amp;#x200B;
I am currently a T1 Lada, Lantus / Fiasp pen user, based in Germany. I work a stressful job, forget to inject sometimes. Ended up in a few questionable situations at work when I had a low and didnt realize it right a way (behavioural, anger management). So I think a pump / CGM solution might help. However, promising solutions like the MiniMed 670 are not approved in the EU market yet (and who knows when). I researched a bit on my own and found a few  blogs etc. on diy loops, those usually people describe one solution that apperently worked for them.
&amp;amp;#x200B;
Is anyone aware of an overview of looping alternatives which have an active user community, preferably open source, current generation of hardware (so I can buy new through my insurance provider)? 
I am very technology savy - I primarily want to understand whats out there. Happy to contribute to an active community.
Thanks for your time.</t>
        </is>
      </c>
      <c r="D7072" t="n">
        <v>8</v>
      </c>
      <c r="E7072" t="n">
        <v>4</v>
      </c>
      <c r="F7072">
        <f>HYPERLINK("https://www.reddit.com/r/diabetes/comments/ccoqg2/overview_of_closed_loop_alternatives/")</f>
        <v/>
      </c>
      <c r="G7072" t="inlineStr">
        <is>
          <t>2019-07-13 05:19:42</t>
        </is>
      </c>
      <c r="H7072" t="inlineStr">
        <is>
          <t>Type 1.5/LADA</t>
        </is>
      </c>
    </row>
    <row r="7073">
      <c r="A7073" t="inlineStr">
        <is>
          <t>ccqygl</t>
        </is>
      </c>
      <c r="B7073" t="inlineStr">
        <is>
          <t>Need advice from any type 2 or type 1 diabetics here.</t>
        </is>
      </c>
      <c r="C7073" t="inlineStr">
        <is>
          <t>Glucose of 240, I’m 19, and I’m not overweight.
 Anyone have any idea how this is possible?? Could something else be causing this. My diet is t even that bad. I eat a very balanced diet</t>
        </is>
      </c>
      <c r="D7073" t="n">
        <v>0</v>
      </c>
      <c r="E7073" t="n">
        <v>7</v>
      </c>
      <c r="F7073">
        <f>HYPERLINK("https://www.reddit.com/r/diabetes/comments/ccqygl/need_advice_from_any_type_2_or_type_1_diabetics/")</f>
        <v/>
      </c>
      <c r="G7073" t="inlineStr">
        <is>
          <t>2019-07-13 09:03:36</t>
        </is>
      </c>
      <c r="H7073" t="inlineStr">
        <is>
          <t>Type 2</t>
        </is>
      </c>
    </row>
    <row r="7074">
      <c r="A7074" t="inlineStr">
        <is>
          <t>ccxxbm</t>
        </is>
      </c>
      <c r="B7074" t="inlineStr">
        <is>
          <t>A diabetes inquiry (read caption)</t>
        </is>
      </c>
      <c r="C7074" t="inlineStr">
        <is>
          <t>I’m 14 and I’ve had diabetes for about a year, and I have been wondering what would happen if you had a low blood sugar for a prolonged period of time. Like, being high for a long time is really bad, but if my blood sugar was locked at 50 for a week, what would the long term effects of it be?(minus  the feeing of being low) I’m not planning on doing this because this wouldn’t be smart</t>
        </is>
      </c>
      <c r="D7074" t="n">
        <v>2</v>
      </c>
      <c r="E7074" t="n">
        <v>7</v>
      </c>
      <c r="F7074">
        <f>HYPERLINK("https://www.reddit.com/r/diabetes/comments/ccxxbm/a_diabetes_inquiry_read_caption/")</f>
        <v/>
      </c>
      <c r="G7074" t="inlineStr">
        <is>
          <t>2019-07-13 19:40:17</t>
        </is>
      </c>
      <c r="H7074" t="inlineStr">
        <is>
          <t>Type 1</t>
        </is>
      </c>
    </row>
    <row r="7075">
      <c r="A7075" t="inlineStr">
        <is>
          <t>ccz5md</t>
        </is>
      </c>
      <c r="B7075" t="inlineStr">
        <is>
          <t>Is my concept of how protein affects BG near correct?</t>
        </is>
      </c>
      <c r="C7075" t="inlineStr">
        <is>
          <t>Hi everybody, T2 here with a question.
As the title says, I'm wondering if my understanding of the relationship between protein and blood sugar is correct or overly simplified - or for that matter straight up wrong.
From the gleaning I've done, I belief protein doesn't directly increase blood sugar but rather triggers the production of a hormone which then prompts the liver to convert stored glycogen to glucose - that is, it raises glucose but indirectly through the use of glycogen. 
Is that on the ball? Is there more to it? 
Thanks for the read and for insights if you've got any!</t>
        </is>
      </c>
      <c r="D7075" t="n">
        <v>3</v>
      </c>
      <c r="E7075" t="n">
        <v>8</v>
      </c>
      <c r="F7075">
        <f>HYPERLINK("https://www.reddit.com/r/diabetes/comments/ccz5md/is_my_concept_of_how_protein_affects_bg_near/")</f>
        <v/>
      </c>
      <c r="G7075" t="inlineStr">
        <is>
          <t>2019-07-13 21:55:06</t>
        </is>
      </c>
      <c r="H7075" t="inlineStr">
        <is>
          <t>Type 2</t>
        </is>
      </c>
    </row>
    <row r="7076">
      <c r="A7076" t="inlineStr">
        <is>
          <t>cd4b97</t>
        </is>
      </c>
      <c r="B7076" t="inlineStr">
        <is>
          <t>And now my life changes...</t>
        </is>
      </c>
      <c r="C7076" t="inlineStr">
        <is>
          <t>Wed I was diagnosed as Type 2. I am a quite large man who has spent years pre diabetic. This news was a shock to me as it was a bit of a slap in the ass to get my life changed. I've always been a lurker on Reddit but decided to join here to get tips and tricks on living with diabetes. What types of foods to avoid and life hacks. Every little bit helps, right?</t>
        </is>
      </c>
      <c r="D7076" t="n">
        <v>3</v>
      </c>
      <c r="E7076" t="n">
        <v>15</v>
      </c>
      <c r="F7076">
        <f>HYPERLINK("https://www.reddit.com/r/diabetes/comments/cd4b97/and_now_my_life_changes/")</f>
        <v/>
      </c>
      <c r="G7076" t="inlineStr">
        <is>
          <t>2019-07-14 08:33:35</t>
        </is>
      </c>
      <c r="H7076" t="inlineStr">
        <is>
          <t>Type 2</t>
        </is>
      </c>
    </row>
    <row r="7077">
      <c r="A7077" t="inlineStr">
        <is>
          <t>cdeh90</t>
        </is>
      </c>
      <c r="B7077" t="inlineStr">
        <is>
          <t>How can I counter this?</t>
        </is>
      </c>
      <c r="C7077" t="inlineStr">
        <is>
          <t>Every morning I wake up around 6am, have my breakfast (usually egg, bacon, halloumi) and go to work at 7am. I have 2-3 units of Novorapid as soon as I wake up to counteract the dawn phenomenon, and Levemir at 7:30am while I'm in work.
&amp;amp;#x200B;
My walk to work is about 15 minutes, and every day my I get the same pattern - Small drop (usually from around 5-6 to 4.5) in blood sugar over the next 30\~ mins after I get to work, then it rises. Every morning my blood sugar will slowly rise from 4.5 to anywhere between 8-10, and I'm not sure what to do to stop this happening. I usually inject 2 more units of Novorapid around 8-8:30am but it rarely seems to make much difference to be honest.
&amp;amp;#x200B;
This does NOT happen on days I am not in work, where my routine is exactly the same except the travel to work bit, so I'm thinking it's something to do with the exercise?
&amp;amp;#x200B;
Any input would be great. Thanks all.</t>
        </is>
      </c>
      <c r="D7077" t="n">
        <v>6</v>
      </c>
      <c r="E7077" t="n">
        <v>10</v>
      </c>
      <c r="F7077">
        <f>HYPERLINK("https://www.reddit.com/r/diabetes/comments/cdeh90/how_can_i_counter_this/")</f>
        <v/>
      </c>
      <c r="G7077" t="inlineStr">
        <is>
          <t>2019-07-15 00:36:51</t>
        </is>
      </c>
      <c r="H7077" t="inlineStr">
        <is>
          <t>Type 1</t>
        </is>
      </c>
    </row>
    <row r="7078">
      <c r="A7078" t="inlineStr">
        <is>
          <t>cdixrd</t>
        </is>
      </c>
      <c r="B7078" t="inlineStr">
        <is>
          <t>Sitagliptin/metformin + Glimepiride</t>
        </is>
      </c>
      <c r="C7078" t="inlineStr">
        <is>
          <t>One of my relatives was recently diagnosed with a type of diabetes (not sure what type, they just said "the doctor says I have a sugar problem")
To an outsider, this seems like a lot of medication.  Is this a pretty standard treatment?</t>
        </is>
      </c>
      <c r="D7078" t="n">
        <v>2</v>
      </c>
      <c r="E7078" t="n">
        <v>12</v>
      </c>
      <c r="F7078">
        <f>HYPERLINK("https://www.reddit.com/r/diabetes/comments/cdixrd/sitagliptinmetformin_glimepiride/")</f>
        <v/>
      </c>
      <c r="G7078" t="inlineStr">
        <is>
          <t>2019-07-15 08:34:42</t>
        </is>
      </c>
      <c r="H7078" t="inlineStr">
        <is>
          <t>Type 2</t>
        </is>
      </c>
    </row>
    <row r="7079">
      <c r="A7079" t="inlineStr">
        <is>
          <t>cdkbps</t>
        </is>
      </c>
      <c r="B7079" t="inlineStr">
        <is>
          <t>Newly diagnosed</t>
        </is>
      </c>
      <c r="C7079" t="inlineStr">
        <is>
          <t>Hi guys, I’ve literally just got back from my Dr’s where I’ve been diagnosed with type 2 diabetes. While it wasn’t necessarily a surprise, I’m still overwhelmed by all the information thrown at me by my doctor and am starting to feel quite scared for my future. 
Just wanted to say hi really and would love to hear from anyone who has been through this and can reassure me it’s not the end of the world.</t>
        </is>
      </c>
      <c r="D7079" t="n">
        <v>5</v>
      </c>
      <c r="E7079" t="n">
        <v>9</v>
      </c>
      <c r="F7079">
        <f>HYPERLINK("https://www.reddit.com/r/diabetes/comments/cdkbps/newly_diagnosed/")</f>
        <v/>
      </c>
      <c r="G7079" t="inlineStr">
        <is>
          <t>2019-07-15 10:19:06</t>
        </is>
      </c>
      <c r="H7079" t="inlineStr">
        <is>
          <t>Type 2</t>
        </is>
      </c>
    </row>
    <row r="7080">
      <c r="A7080" t="inlineStr">
        <is>
          <t>cdkw7r</t>
        </is>
      </c>
      <c r="B7080" t="inlineStr">
        <is>
          <t>1 needle per pen</t>
        </is>
      </c>
      <c r="C7080" t="inlineStr">
        <is>
          <t>Am I the only one who does this?  I know re-using needles a few times is common, but I literally only use 1 needle for the whole pen.  I've done this for years with no scarring, no infections, no bumps on my skin, no nothing.  I can't believe some people change the needle for every injection.  That seems like the biggest hassle ever.  Just curious if anyone else is like me and has an equal pen to needle ratio.  cheers!</t>
        </is>
      </c>
      <c r="D7080" t="n">
        <v>4</v>
      </c>
      <c r="E7080" t="n">
        <v>29</v>
      </c>
      <c r="F7080">
        <f>HYPERLINK("https://www.reddit.com/r/diabetes/comments/cdkw7r/1_needle_per_pen/")</f>
        <v/>
      </c>
      <c r="G7080" t="inlineStr">
        <is>
          <t>2019-07-15 10:58:33</t>
        </is>
      </c>
      <c r="H7080" t="inlineStr">
        <is>
          <t>Type 1</t>
        </is>
      </c>
    </row>
    <row r="7081">
      <c r="A7081" t="inlineStr">
        <is>
          <t>cdopbz</t>
        </is>
      </c>
      <c r="B7081" t="inlineStr">
        <is>
          <t>Night time snack</t>
        </is>
      </c>
      <c r="C7081" t="inlineStr">
        <is>
          <t>I’m pretty confused how this night time snack thing works. I’m type 2 diabetic, previously managed with metformin and a 70/30 mix novolog but now pregnant and now managing my diabetes with my high risk doctor with insulin R and insulin nph. 
I have been instructed to make sure I take a night time snack of 15g carbs 3oz protein and about 1/4 cup milk with my nph. I feel like the night time snack is causing me to have high a.m fasting. My dr is increasing my night time nph every few days to get it down but I noticed with more insulin my fasting are higher? 
Any input or ideas on why this is?</t>
        </is>
      </c>
      <c r="D7081" t="n">
        <v>3</v>
      </c>
      <c r="E7081" t="n">
        <v>6</v>
      </c>
      <c r="F7081">
        <f>HYPERLINK("https://www.reddit.com/r/diabetes/comments/cdopbz/night_time_snack/")</f>
        <v/>
      </c>
      <c r="G7081" t="inlineStr">
        <is>
          <t>2019-07-15 15:47:20</t>
        </is>
      </c>
      <c r="H7081" t="inlineStr">
        <is>
          <t>Type 2</t>
        </is>
      </c>
    </row>
    <row r="7082">
      <c r="A7082" t="inlineStr">
        <is>
          <t>cdp5dp</t>
        </is>
      </c>
      <c r="B7082" t="inlineStr">
        <is>
          <t>THE FEAR OF DEATH</t>
        </is>
      </c>
      <c r="C7082" t="inlineStr">
        <is>
          <t>everyone has to deal with death eventually, but I feel that diabetics have a more intimate understanding.  I personally believe in rebirth and that all life is of the energy.  I am curious how others deal with this fear.</t>
        </is>
      </c>
      <c r="D7082" t="n">
        <v>2</v>
      </c>
      <c r="E7082" t="n">
        <v>4</v>
      </c>
      <c r="F7082">
        <f>HYPERLINK("https://www.reddit.com/r/diabetes/comments/cdp5dp/the_fear_of_death/")</f>
        <v/>
      </c>
      <c r="G7082" t="inlineStr">
        <is>
          <t>2019-07-15 16:26:29</t>
        </is>
      </c>
      <c r="H7082" t="inlineStr">
        <is>
          <t>Type 1</t>
        </is>
      </c>
    </row>
    <row r="7083">
      <c r="A7083" t="inlineStr">
        <is>
          <t>cdpb2r</t>
        </is>
      </c>
      <c r="B7083" t="inlineStr">
        <is>
          <t>I just finished my artificial pancreas</t>
        </is>
      </c>
      <c r="C7083" t="inlineStr">
        <is>
          <t>Just thought id share this, if you have any questions I'll happily answer them, mainly because its late and im bored lol</t>
        </is>
      </c>
      <c r="D7083" t="n">
        <v>0</v>
      </c>
      <c r="E7083" t="n">
        <v>8</v>
      </c>
      <c r="F7083">
        <f>HYPERLINK("https://www.reddit.com/r/diabetes/comments/cdpb2r/i_just_finished_my_artificial_pancreas/")</f>
        <v/>
      </c>
      <c r="G7083" t="inlineStr">
        <is>
          <t>2019-07-15 16:40:45</t>
        </is>
      </c>
      <c r="H7083" t="inlineStr">
        <is>
          <t>Type 1</t>
        </is>
      </c>
    </row>
    <row r="7084">
      <c r="A7084" t="inlineStr">
        <is>
          <t>cdw12j</t>
        </is>
      </c>
      <c r="B7084" t="inlineStr">
        <is>
          <t>How I handle my dangerously low blood sugar</t>
        </is>
      </c>
      <c r="C7084" t="inlineStr">
        <is>
          <t>I have been diabetic for 11 years now. I have always been a person whose coping mechanism is forced humor. I have discovered a new life motive: making the ambulance laugh. I have had two dangerously low blood sugar cases in the past year, where the ambulance was called. Once I regain my consciousness, I crack jokes and puns, so the people around me laugh. It immediately makes me feel better, because otherwise I feel like I am an inconvenience to the people who worry about me, so at least they can laugh with me.</t>
        </is>
      </c>
      <c r="D7084" t="n">
        <v>0</v>
      </c>
      <c r="E7084" t="n">
        <v>1</v>
      </c>
      <c r="F7084">
        <f>HYPERLINK("https://www.reddit.com/r/diabetes/comments/cdw12j/how_i_handle_my_dangerously_low_blood_sugar/")</f>
        <v/>
      </c>
      <c r="G7084" t="inlineStr">
        <is>
          <t>2019-07-16 04:53:39</t>
        </is>
      </c>
      <c r="H7084" t="inlineStr">
        <is>
          <t>Type 1</t>
        </is>
      </c>
    </row>
    <row r="7085">
      <c r="A7085" t="inlineStr">
        <is>
          <t>cdxa48</t>
        </is>
      </c>
      <c r="B7085" t="inlineStr">
        <is>
          <t>Where to place Pod sites</t>
        </is>
      </c>
      <c r="C7085" t="inlineStr">
        <is>
          <t>Hi all,
&amp;amp;#x200B;
An age old question no doubt, but I'm curious where others have placed their pod/injection sites?
&amp;amp;#x200B;
The abdomen was my go to for a while now, but it looks like I'm getting less than optimal results due to skin irritation and scar tissue buildup.
&amp;amp;#x200B;
I've tried my arms, but I'm looking for other options. People have mentioned the lower back, thighs, among others, but I don't think I have enough fat to really make it an ideal location.
&amp;amp;#x200B;
I've also read/heard that the abdomen has the fast insulin absorption when compared to other areas of the body, and I'm concerned that going elsewhere will negatively affect my blood sugar even further.
&amp;amp;#x200B;
Any tips/ideas?
&amp;amp;#x200B;
Thanks!</t>
        </is>
      </c>
      <c r="D7085" t="n">
        <v>3</v>
      </c>
      <c r="E7085" t="n">
        <v>16</v>
      </c>
      <c r="F7085">
        <f>HYPERLINK("https://www.reddit.com/r/diabetes/comments/cdxa48/where_to_place_pod_sites/")</f>
        <v/>
      </c>
      <c r="G7085" t="inlineStr">
        <is>
          <t>2019-07-16 06:49:08</t>
        </is>
      </c>
      <c r="H7085" t="inlineStr">
        <is>
          <t>Type 1</t>
        </is>
      </c>
    </row>
    <row r="7086">
      <c r="A7086" t="inlineStr">
        <is>
          <t>ce3e0i</t>
        </is>
      </c>
      <c r="B7086" t="inlineStr">
        <is>
          <t>Type 2 Diabetes Self-Management Survey Request</t>
        </is>
      </c>
      <c r="C7086" t="inlineStr">
        <is>
          <t>My name is Christine Dawson and I am a student researcher from Colorado State University in the Occupational Therapy Department. We are conducting a research study on Type 2 Diabetes Mellitus self-management. The purpose of the study is to gain a better understanding of the relationships among diabetes distress, social support, self-efficacy, and performance of diabetes self-management activities. The title of our project is the TODAY (Taking On Diabetes to Advance You) Project. The Principal Investigator is Dr. Matt Malcolm in the Occupational Therapy Department and I am the Co-Principal Investigator. 
&amp;amp;#x200B;
We would like you to take an online survey. In order to be eligible, you must meet the following criteria: (1) adult aged 18 and above, (2) diagnosed with Type 2 Diabetes, and (3) able to read and write English. Participation will take approximately 15 minutes. If you do not meet this criteria, but know someone who does, please feel free to pass this survey along to them. 
&amp;amp;#x200B;
Participants who fully complete the survey will be entered into a drawing to win an iPad. The chances of winning are 1 in 100. To indicate your willingness to participate in this research and to continue on to the survey, click here: [http://colostate.az1.qualtrics.com/jfe/form/SV\_etx48ZOYNnhh3V3](http://colostate.az1.qualtrics.com/jfe/form/SV_etx48ZOYNnhh3V3). 
&amp;amp;#x200B;
If you have any questions about the research, please contact Christine Dawson at [Christine.Dawson2@colostate.edu](mailto:Christine.Dawson2@colostate.edu) or Dr. Matt Malcolm at [Matt.Malcolm@colostate.edu](mailto:Matt.Malcolm@colostate.edu). If you have any questions about your rights as a volunteer in this research, contact the CSU IRB at: [RICRO\_IRB@mail.colostate.edu](mailto:RICRO_IRB@mail.colostate.edu) or 970-491-1553. Address: 1573 Campus Delivery, Fort Collins, CO 80523-1573</t>
        </is>
      </c>
      <c r="D7086" t="n">
        <v>3</v>
      </c>
      <c r="E7086" t="n">
        <v>6</v>
      </c>
      <c r="F7086">
        <f>HYPERLINK("https://www.reddit.com/r/diabetes/comments/ce3e0i/type_2_diabetes_selfmanagement_survey_request/")</f>
        <v/>
      </c>
      <c r="G7086" t="inlineStr">
        <is>
          <t>2019-07-16 14:32:25</t>
        </is>
      </c>
      <c r="H7086" t="inlineStr">
        <is>
          <t>Type 2</t>
        </is>
      </c>
    </row>
    <row r="7087">
      <c r="A7087" t="inlineStr">
        <is>
          <t>ce3pxg</t>
        </is>
      </c>
      <c r="B7087" t="inlineStr">
        <is>
          <t>Trulicity-nonstop nausea for 2 days so far.</t>
        </is>
      </c>
      <c r="C7087" t="inlineStr">
        <is>
          <t>My doctor prescribed trlicity to me and I just gave myself an injection Saturday evening. Sunday morning I felt a bit nauseous but nothing too bad. Come Sunday evening and I was vomiting and had horrible diarrhea all night (literally every 30 minutes) so I got ZERO sleep. Monday I was so dehydrated because I was vomiting everything, including water so I called my endo and he told me to go to the ER because he thought it was pancreatitis which is a side effect of Trulicity. I was there for over 9 hours (I got a cat scan and kept vomiting at the ER) they gave me an IV to replenish the fluids in my body as well as some nausea medication. I started feeling better after about half an hour of taking the nausea medicine. I eventually asked if I could leave as I had waited over 5 hours for the results of the cat scan (that I never got) and one of the triage nurses removed the IV and let me go home. I figured if she let me go home it was not serious. I am feeling nauseous again today, and having diarrhea every hour. I get severely nauseous after drinking water but I am not vomiting. Should I go back to the ER? Has anyone else had issues with Trulicity? When will this Hell end?!</t>
        </is>
      </c>
      <c r="D7087" t="n">
        <v>3</v>
      </c>
      <c r="E7087" t="n">
        <v>11</v>
      </c>
      <c r="F7087">
        <f>HYPERLINK("https://www.reddit.com/r/diabetes/comments/ce3pxg/trulicitynonstop_nausea_for_2_days_so_far/")</f>
        <v/>
      </c>
      <c r="G7087" t="inlineStr">
        <is>
          <t>2019-07-16 14:58:26</t>
        </is>
      </c>
      <c r="H7087" t="inlineStr">
        <is>
          <t>Type 2</t>
        </is>
      </c>
    </row>
    <row r="7088">
      <c r="A7088" t="inlineStr">
        <is>
          <t>ce5twi</t>
        </is>
      </c>
      <c r="B7088" t="inlineStr">
        <is>
          <t>Insulin survival</t>
        </is>
      </c>
      <c r="C7088" t="inlineStr">
        <is>
          <t xml:space="preserve"> How long can insulin be out of the fridge and still be safe ...I am meaning unopened vials ....as my pens can be out for 30 days and if any insulin left in the cartridge I am suppose to dispose and insert a new cartridge .........  I had wanted to donate some but was unsure about time in the mail (I would use express 2-3 day  shipping )</t>
        </is>
      </c>
      <c r="D7088" t="n">
        <v>2</v>
      </c>
      <c r="E7088" t="n">
        <v>8</v>
      </c>
      <c r="F7088">
        <f>HYPERLINK("https://www.reddit.com/r/diabetes/comments/ce5twi/insulin_survival/")</f>
        <v/>
      </c>
      <c r="G7088" t="inlineStr">
        <is>
          <t>2019-07-16 17:58:11</t>
        </is>
      </c>
      <c r="H7088" t="inlineStr">
        <is>
          <t>Type 1</t>
        </is>
      </c>
    </row>
    <row r="7089">
      <c r="A7089" t="inlineStr">
        <is>
          <t>ce863r</t>
        </is>
      </c>
      <c r="B7089" t="inlineStr">
        <is>
          <t>Where to get pump supplies</t>
        </is>
      </c>
      <c r="C7089" t="inlineStr">
        <is>
          <t>Starting my pump tomorrow! I was wondering where I will get the supplies refilled. It will be billed through my dme and my local pharmacy told me already they will not provide me with my supplies. Will another pharmacy provide these and my local cvs just sucks? Or do I need to order these supplies?</t>
        </is>
      </c>
      <c r="D7089" t="n">
        <v>2</v>
      </c>
      <c r="E7089" t="n">
        <v>8</v>
      </c>
      <c r="F7089">
        <f>HYPERLINK("https://www.reddit.com/r/diabetes/comments/ce863r/where_to_get_pump_supplies/")</f>
        <v/>
      </c>
      <c r="G7089" t="inlineStr">
        <is>
          <t>2019-07-16 21:45:07</t>
        </is>
      </c>
      <c r="H7089" t="inlineStr">
        <is>
          <t>Type 1</t>
        </is>
      </c>
    </row>
    <row r="7090">
      <c r="A7090" t="inlineStr">
        <is>
          <t>ceaftx</t>
        </is>
      </c>
      <c r="B7090" t="inlineStr">
        <is>
          <t>Started Semaglutide today</t>
        </is>
      </c>
      <c r="C7090" t="inlineStr">
        <is>
          <t>Hey!
I started on Ozempic (Semaglutide) today, and I didn't know if anybody else has ever tried it before? If so, what did you think?</t>
        </is>
      </c>
      <c r="D7090" t="n">
        <v>2</v>
      </c>
      <c r="E7090" t="n">
        <v>5</v>
      </c>
      <c r="F7090">
        <f>HYPERLINK("https://www.reddit.com/r/diabetes/comments/ceaftx/started_semaglutide_today/")</f>
        <v/>
      </c>
      <c r="G7090" t="inlineStr">
        <is>
          <t>2019-07-17 02:17:49</t>
        </is>
      </c>
      <c r="H7090" t="inlineStr">
        <is>
          <t>Type 2</t>
        </is>
      </c>
    </row>
    <row r="7091">
      <c r="A7091" t="inlineStr">
        <is>
          <t>ceo5lx</t>
        </is>
      </c>
      <c r="B7091" t="inlineStr">
        <is>
          <t>Brand New to FreeStyle Libre 14-day and 12 hours in Sensor Error - Help!</t>
        </is>
      </c>
      <c r="C7091" t="inlineStr">
        <is>
          <t>I am about twelve hours into my first sensor to this CGM and I very vaguely brushed a door frame.  The stickiness on one edge stopped being super sticky, I felt like it might start to flap right out so I put some bandaids over it - also mistake because I covered the center.  I took those super carefully off and the sensor is still in place - I can feel the needle part didn't fall out or shift (I'm guessing that would also be super unpleasant).  Then I was still having trouble keeping the whole circle fully and firmly stuck so I cut up some bandaids and just stuck them on the edge.  It's been over an hour and I keep getting "Sensor Error  Glucose reading is unavailable.  Try scanning again in 10 minutes."  Welp... now what?  Can I fix this?  Do I have to dump this and start again tomorrow?  It's 1 in the morning now and I bumped it somewhere around 11:30 I guess.  I've now attempted to scan a billion times but I'm pretty sure after the bump it did scan just fine but after the bandaids it refuses.  Please.  Help.   :(</t>
        </is>
      </c>
      <c r="D7091" t="n">
        <v>3</v>
      </c>
      <c r="E7091" t="n">
        <v>7</v>
      </c>
      <c r="F7091">
        <f>HYPERLINK("https://www.reddit.com/r/diabetes/comments/ceo5lx/brand_new_to_freestyle_libre_14day_and_12_hours/")</f>
        <v/>
      </c>
      <c r="G7091" t="inlineStr">
        <is>
          <t>2019-07-17 22:11:15</t>
        </is>
      </c>
      <c r="H7091" t="inlineStr">
        <is>
          <t>Type 2</t>
        </is>
      </c>
    </row>
    <row r="7092">
      <c r="A7092" t="inlineStr">
        <is>
          <t>ceoxq5</t>
        </is>
      </c>
      <c r="B7092" t="inlineStr">
        <is>
          <t>Whole 30</t>
        </is>
      </c>
      <c r="C7092" t="inlineStr">
        <is>
          <t>Have any Type 1’s been able to do Whole 30? I imagine it would be very hard to do without drinking a little juice here or there to correct for lows. Any tips or suggestions?</t>
        </is>
      </c>
      <c r="D7092" t="n">
        <v>2</v>
      </c>
      <c r="E7092" t="n">
        <v>1</v>
      </c>
      <c r="F7092">
        <f>HYPERLINK("https://www.reddit.com/r/diabetes/comments/ceoxq5/whole_30/")</f>
        <v/>
      </c>
      <c r="G7092" t="inlineStr">
        <is>
          <t>2019-07-17 23:42:48</t>
        </is>
      </c>
      <c r="H7092" t="inlineStr">
        <is>
          <t>Type 1</t>
        </is>
      </c>
    </row>
    <row r="7093">
      <c r="A7093" t="inlineStr">
        <is>
          <t>cex9ag</t>
        </is>
      </c>
      <c r="B7093" t="inlineStr">
        <is>
          <t>Has anyone gotten this t:slim error?</t>
        </is>
      </c>
      <c r="C7093" t="inlineStr">
        <is>
          <t>Happens right after the "detecting cartridge" phase. As an IT, the fact that it gives absolutely no details is frustrating and makes changing cartridges really stressful. It has been doing this for almost a year (entire time I've had it), but my work around was to try and get as much air out of the cartridge as humanly possible (a challenging feat) and then to vice grip it while the pump is trying to detect it. Idk why, but it would work. Obviously, I should've called Tandem - now I'll have to as my work around seems to have stopped being effective. Anyways, has anyone else had this issue?
*Processing img mlm2nbr474b31...*</t>
        </is>
      </c>
      <c r="D7093" t="n">
        <v>2</v>
      </c>
      <c r="E7093" t="n">
        <v>3</v>
      </c>
      <c r="F7093">
        <f>HYPERLINK("https://www.reddit.com/r/diabetes/comments/cex9ag/has_anyone_gotten_this_tslim_error/")</f>
        <v/>
      </c>
      <c r="G7093" t="inlineStr">
        <is>
          <t>2019-07-18 12:47:27</t>
        </is>
      </c>
      <c r="H7093" t="inlineStr">
        <is>
          <t>Type 1</t>
        </is>
      </c>
    </row>
    <row r="7094">
      <c r="A7094" t="inlineStr">
        <is>
          <t>ceydeg</t>
        </is>
      </c>
      <c r="B7094" t="inlineStr">
        <is>
          <t>Very sad visit to the doctor</t>
        </is>
      </c>
      <c r="C7094" t="inlineStr">
        <is>
          <t>Took my t1d to her endo appt today. Another family was there, but then the mother got up and walked out of their appt and left her daughters there saying she couldn't take care of them anymore. I guess it's good they were left at the office and not starved of insulin, but it just breaks my heart.</t>
        </is>
      </c>
      <c r="D7094" t="n">
        <v>4</v>
      </c>
      <c r="E7094" t="n">
        <v>7</v>
      </c>
      <c r="F7094">
        <f>HYPERLINK("https://www.reddit.com/r/diabetes/comments/ceydeg/very_sad_visit_to_the_doctor/")</f>
        <v/>
      </c>
      <c r="G7094" t="inlineStr">
        <is>
          <t>2019-07-18 14:15:05</t>
        </is>
      </c>
      <c r="H7094" t="inlineStr">
        <is>
          <t>Type 1</t>
        </is>
      </c>
    </row>
    <row r="7095">
      <c r="A7095" t="inlineStr">
        <is>
          <t>cf0e8a</t>
        </is>
      </c>
      <c r="B7095" t="inlineStr">
        <is>
          <t>Anyone on the Medtronic 670g?</t>
        </is>
      </c>
      <c r="C7095" t="inlineStr">
        <is>
          <t>Hi everyone! I posted this on /diabetes\_t1 as well, but wanted to reach more people. So my old Medtronic pump broke recently, and I'm upgrading to the 670g. I've heard some mixed reviews about it, and I know that not everyone's experience has been perfect. But I've never had a CGM before and I'm super excited. If anyone can give me pros, cons, advice, etc. I would really appreciate it!</t>
        </is>
      </c>
      <c r="D7095" t="n">
        <v>6</v>
      </c>
      <c r="E7095" t="n">
        <v>11</v>
      </c>
      <c r="F7095">
        <f>HYPERLINK("https://www.reddit.com/r/diabetes/comments/cf0e8a/anyone_on_the_medtronic_670g/")</f>
        <v/>
      </c>
      <c r="G7095" t="inlineStr">
        <is>
          <t>2019-07-18 17:09:32</t>
        </is>
      </c>
      <c r="H7095" t="inlineStr">
        <is>
          <t>Type 1</t>
        </is>
      </c>
    </row>
    <row r="7096">
      <c r="A7096" t="inlineStr">
        <is>
          <t>cf0qg6</t>
        </is>
      </c>
      <c r="B7096" t="inlineStr">
        <is>
          <t>BG Level At First Diagnosis</t>
        </is>
      </c>
      <c r="C7096" t="inlineStr">
        <is>
          <t>Hey! I’m interested in what people’s BG numbers were when you were first diagnosed! For me it was around 1600 and I have yet to discover anybody who was as bad as I was. Kinda scary to think about it! What was your number?</t>
        </is>
      </c>
      <c r="D7096" t="n">
        <v>1</v>
      </c>
      <c r="E7096" t="n">
        <v>3</v>
      </c>
      <c r="F7096">
        <f>HYPERLINK("https://www.reddit.com/r/diabetes/comments/cf0qg6/bg_level_at_first_diagnosis/")</f>
        <v/>
      </c>
      <c r="G7096" t="inlineStr">
        <is>
          <t>2019-07-18 17:41:20</t>
        </is>
      </c>
      <c r="H7096" t="inlineStr">
        <is>
          <t>Type 1</t>
        </is>
      </c>
    </row>
    <row r="7097">
      <c r="A7097" t="inlineStr">
        <is>
          <t>cf1ia1</t>
        </is>
      </c>
      <c r="B7097" t="inlineStr">
        <is>
          <t>My A1c was 6.9 today</t>
        </is>
      </c>
      <c r="C7097" t="inlineStr">
        <is>
          <t>n i c e</t>
        </is>
      </c>
      <c r="D7097" t="n">
        <v>239</v>
      </c>
      <c r="E7097" t="n">
        <v>88</v>
      </c>
      <c r="F7097">
        <f>HYPERLINK("https://www.reddit.com/r/diabetes/comments/cf1ia1/my_a1c_was_69_today/")</f>
        <v/>
      </c>
      <c r="G7097" t="inlineStr">
        <is>
          <t>2019-07-18 18:54:13</t>
        </is>
      </c>
      <c r="H7097" t="inlineStr">
        <is>
          <t>Type 1</t>
        </is>
      </c>
    </row>
    <row r="7098">
      <c r="A7098" t="inlineStr">
        <is>
          <t>cf2crh</t>
        </is>
      </c>
      <c r="B7098" t="inlineStr">
        <is>
          <t>Trying to find a date</t>
        </is>
      </c>
      <c r="C7098" t="inlineStr">
        <is>
          <t>Any of you other type 1 diabetics (men) have trouble finding dates with your diabetes? I have been, not sure if they are afraid of the diabetes.. especially if they are thinking about having kids? Or am I just a complete worthless fuckup who wouldn't be able to find a date if I was completely healthy?</t>
        </is>
      </c>
      <c r="D7098" t="n">
        <v>1</v>
      </c>
      <c r="E7098" t="n">
        <v>11</v>
      </c>
      <c r="F7098">
        <f>HYPERLINK("https://www.reddit.com/r/diabetes/comments/cf2crh/trying_to_find_a_date/")</f>
        <v/>
      </c>
      <c r="G7098" t="inlineStr">
        <is>
          <t>2019-07-18 20:19:33</t>
        </is>
      </c>
      <c r="H7098" t="inlineStr">
        <is>
          <t>Type 1</t>
        </is>
      </c>
    </row>
    <row r="7099">
      <c r="A7099" t="inlineStr">
        <is>
          <t>cfanzs</t>
        </is>
      </c>
      <c r="B7099" t="inlineStr">
        <is>
          <t>I am just not disciplined enough</t>
        </is>
      </c>
      <c r="C7099" t="inlineStr">
        <is>
          <t>I can get my A1c below 5.9 even I am super disciplined with my diet and exercise a lot. I don't have a problem with exercising, but there is too much temptation from food with lots of carbs.</t>
        </is>
      </c>
      <c r="D7099" t="n">
        <v>0</v>
      </c>
      <c r="E7099" t="n">
        <v>10</v>
      </c>
      <c r="F7099">
        <f>HYPERLINK("https://www.reddit.com/r/diabetes/comments/cfanzs/i_am_just_not_disciplined_enough/")</f>
        <v/>
      </c>
      <c r="G7099" t="inlineStr">
        <is>
          <t>2019-07-19 10:44:43</t>
        </is>
      </c>
      <c r="H7099" t="inlineStr">
        <is>
          <t>Type 1</t>
        </is>
      </c>
    </row>
    <row r="7100">
      <c r="A7100" t="inlineStr">
        <is>
          <t>cfbwiq</t>
        </is>
      </c>
      <c r="B7100" t="inlineStr">
        <is>
          <t>Infusion angle</t>
        </is>
      </c>
      <c r="C7100" t="inlineStr">
        <is>
          <t>I have been using the omnipod for just over a month and found the insulin is very slow to absorb. Is this normal?  Takes hours for a correction to come down. I dont see a big difference in site location. I was reading that the 30 degree angle might cause more issues than a 90 infusion site with tubing. I am liking the pods as this is my first pump I wish they had a way to trial this stuff to see what works best as everyone is different.  Some days the pump is working well but most days it's very discouraging as my readings are all over. 
Any ideas would be helpful
Thanks</t>
        </is>
      </c>
      <c r="D7100" t="n">
        <v>3</v>
      </c>
      <c r="E7100" t="n">
        <v>4</v>
      </c>
      <c r="F7100">
        <f>HYPERLINK("https://www.reddit.com/r/diabetes/comments/cfbwiq/infusion_angle/")</f>
        <v/>
      </c>
      <c r="G7100" t="inlineStr">
        <is>
          <t>2019-07-19 12:21:52</t>
        </is>
      </c>
      <c r="H7100" t="inlineStr">
        <is>
          <t>Type 1</t>
        </is>
      </c>
    </row>
    <row r="7101">
      <c r="A7101" t="inlineStr">
        <is>
          <t>cfex0v</t>
        </is>
      </c>
      <c r="B7101" t="inlineStr">
        <is>
          <t>I went to the opthamologist yesterday</t>
        </is>
      </c>
      <c r="C7101" t="inlineStr">
        <is>
          <t>And he said he couldn't tell I have diabetes from looking at my eyes! Idk if this counts as a weird flex or humblebrag but I'm happy either way!</t>
        </is>
      </c>
      <c r="D7101" t="n">
        <v>9</v>
      </c>
      <c r="E7101" t="n">
        <v>3</v>
      </c>
      <c r="F7101">
        <f>HYPERLINK("https://www.reddit.com/r/diabetes/comments/cfex0v/i_went_to_the_opthamologist_yesterday/")</f>
        <v/>
      </c>
      <c r="G7101" t="inlineStr">
        <is>
          <t>2019-07-19 16:32:02</t>
        </is>
      </c>
      <c r="H7101" t="inlineStr">
        <is>
          <t>Type 2</t>
        </is>
      </c>
    </row>
    <row r="7102">
      <c r="A7102" t="inlineStr">
        <is>
          <t>cfflzi</t>
        </is>
      </c>
      <c r="B7102" t="inlineStr">
        <is>
          <t>Can I smoke CBD cigarettes on afrezza?</t>
        </is>
      </c>
      <c r="C7102" t="inlineStr">
        <is>
          <t>I'm on afrezza and was wondering if I can smoke CBD cigarettes (while drunk, for social smoking purposes). No tobacco or additives. But I know cigarettes and afrezza are no good so I'm just making sure.</t>
        </is>
      </c>
      <c r="D7102" t="n">
        <v>0</v>
      </c>
      <c r="E7102" t="n">
        <v>7</v>
      </c>
      <c r="F7102">
        <f>HYPERLINK("https://www.reddit.com/r/diabetes/comments/cfflzi/can_i_smoke_cbd_cigarettes_on_afrezza/")</f>
        <v/>
      </c>
      <c r="G7102" t="inlineStr">
        <is>
          <t>2019-07-19 17:39:02</t>
        </is>
      </c>
      <c r="H7102" t="inlineStr">
        <is>
          <t>Type 1</t>
        </is>
      </c>
    </row>
    <row r="7103">
      <c r="A7103" t="inlineStr">
        <is>
          <t>cfgwh4</t>
        </is>
      </c>
      <c r="B7103" t="inlineStr">
        <is>
          <t>t1 In the heat</t>
        </is>
      </c>
      <c r="C7103" t="inlineStr">
        <is>
          <t>Recently it has been about 95 degrees where I live during the day and I work outside. I'm just wondering if the heat has a serious effect on anyone else's blood sugar. I can not bolus for breakfast and still go low within a few hours of being in the heat, typically an extremely fast dropping low that takes a lot of carbs to correct. Then from that point on I will have another large drop about every hour until I get into the air conditioning and can sit and chill.</t>
        </is>
      </c>
      <c r="D7103" t="n">
        <v>5</v>
      </c>
      <c r="E7103" t="n">
        <v>6</v>
      </c>
      <c r="F7103">
        <f>HYPERLINK("https://www.reddit.com/r/diabetes/comments/cfgwh4/t1_in_the_heat/")</f>
        <v/>
      </c>
      <c r="G7103" t="inlineStr">
        <is>
          <t>2019-07-19 19:53:15</t>
        </is>
      </c>
      <c r="H7103" t="inlineStr">
        <is>
          <t>Type 1</t>
        </is>
      </c>
    </row>
    <row r="7104">
      <c r="A7104" t="inlineStr">
        <is>
          <t>cfhv6d</t>
        </is>
      </c>
      <c r="B7104" t="inlineStr">
        <is>
          <t>T1 on MDI. Anyone else ever have a run where injections repeatedly cause bruises/swelling?</t>
        </is>
      </c>
      <c r="C7104" t="inlineStr">
        <is>
          <t>I take a minimum of 5 shots per day.  I've been diabetic for over 20 years now, and there has always been the occasional shot where it will become a painful lump that takes a few days to subside.  I generally avoid that area for a while and things go back to normal.  In the past week, every day one or more of my injections has caused this.  I don't know if it is a bad batch of needles, or if there is a problem with my insulin or if I'm just unlucky right now.  It's getting harder to choose a site that's been generally unaffected for the next shot.
&amp;amp;#x200B;
I don't currently have an endo (have an appointment to begin with a new one in September).  I would ask my GP, but I get the impression that I have more knowledge of the specifics of my disease than she does.
&amp;amp;#x200B;
I guess I'm just looking for sympathy, and hoping someone else will tell me this will go back to normal soon.  
&amp;amp;#x200B;
On an unrelated note, if this type of thing ever happens with a pump, it would be a cast-iron bitch to deal with.  The spots are SORE and unhappy with anything (including clothing) touching them.</t>
        </is>
      </c>
      <c r="D7104" t="n">
        <v>1</v>
      </c>
      <c r="E7104" t="n">
        <v>2</v>
      </c>
      <c r="F7104">
        <f>HYPERLINK("https://www.reddit.com/r/diabetes/comments/cfhv6d/t1_on_mdi_anyone_else_ever_have_a_run_where/")</f>
        <v/>
      </c>
      <c r="G7104" t="inlineStr">
        <is>
          <t>2019-07-19 21:39:59</t>
        </is>
      </c>
      <c r="H7104" t="inlineStr">
        <is>
          <t>Type 1</t>
        </is>
      </c>
    </row>
    <row r="7105">
      <c r="A7105" t="inlineStr">
        <is>
          <t>cfj5a5</t>
        </is>
      </c>
      <c r="B7105" t="inlineStr">
        <is>
          <t>Need CGM advice before I lose it</t>
        </is>
      </c>
      <c r="C7105" t="inlineStr">
        <is>
          <t>I recently switched jobs in my company for my health. My hours were causing a lack of sleep and deteriorating health. The issue is I moved from union to non-union insurance.
The first issue is I went from 30 something a check for insurance to 160+ a check. Went from Kaiser to Aetna. Kaiser is trash insurance but they still allowed me to get a CGM, but was not good st all in other departments.
Aetna has been more well rounded but they will not approve the CGM and even if it was approved it would go against my new deductible and cost me over a grand for supplies.
I’m at a complete loss. The dexcom g6 I had gave me piece of mind because I developed a phobia of going to sleep in safe ranges in fear of my blood sugar dropping while sleeping and myself not waking up. The Dexcom alleviated my fear with the alarm and the contact check actually greatly helped me stay in range.
I’m going through rough times right now and paying out of pocket or full price is just not in the question. Am I truly SOL or is their anything available to me to possibly help get supplies. I hate living in fear or going to bed every night.</t>
        </is>
      </c>
      <c r="D7105" t="n">
        <v>2</v>
      </c>
      <c r="E7105" t="n">
        <v>5</v>
      </c>
      <c r="F7105">
        <f>HYPERLINK("https://www.reddit.com/r/diabetes/comments/cfj5a5/need_cgm_advice_before_i_lose_it/")</f>
        <v/>
      </c>
      <c r="G7105" t="inlineStr">
        <is>
          <t>2019-07-20 00:26:31</t>
        </is>
      </c>
      <c r="H7105" t="inlineStr">
        <is>
          <t>Type 1</t>
        </is>
      </c>
    </row>
    <row r="7106">
      <c r="A7106" t="inlineStr">
        <is>
          <t>cfmzqu</t>
        </is>
      </c>
      <c r="B7106" t="inlineStr">
        <is>
          <t>Blood glucose control with a stomach bug</t>
        </is>
      </c>
      <c r="C7106" t="inlineStr">
        <is>
          <t>I should caveat this with the fact that I'm also pregnant (3rd trimester) so that complicates things even further.
I recently came down with a stomach bug, which I assumed would raise my BG too high since that's what colds and sinus infections have done, but I seem to be having more trouble keeping it from tanking. I'm on day 4 and I still can't stomach much food, especially protein and fat that usually keep me pretty balanced. Any advice? I'm relatively new at this and I need to get calories for the baby without sending my levels all over the place or feeling the nausea from the lows.</t>
        </is>
      </c>
      <c r="D7106" t="n">
        <v>3</v>
      </c>
      <c r="E7106" t="n">
        <v>6</v>
      </c>
      <c r="F7106">
        <f>HYPERLINK("https://www.reddit.com/r/diabetes/comments/cfmzqu/blood_glucose_control_with_a_stomach_bug/")</f>
        <v/>
      </c>
      <c r="G7106" t="inlineStr">
        <is>
          <t>2019-07-20 08:25:22</t>
        </is>
      </c>
      <c r="H7106" t="inlineStr">
        <is>
          <t>Type 2</t>
        </is>
      </c>
    </row>
    <row r="7107">
      <c r="A7107" t="inlineStr">
        <is>
          <t>cfz05h</t>
        </is>
      </c>
      <c r="B7107" t="inlineStr">
        <is>
          <t>Are all carbs created equal? Apparently my body thinks not</t>
        </is>
      </c>
      <c r="C7107" t="inlineStr">
        <is>
          <t>Why is it that the same amount of carbs in cheez-its vs. two slices of toast (white bread) has a different result? 
If I eat Cheez-its my glucose goes to the moon the slices of toast not so much.</t>
        </is>
      </c>
      <c r="D7107" t="n">
        <v>0</v>
      </c>
      <c r="E7107" t="n">
        <v>3</v>
      </c>
      <c r="F7107">
        <f>HYPERLINK("https://www.reddit.com/r/diabetes/comments/cfz05h/are_all_carbs_created_equal_apparently_my_body/")</f>
        <v/>
      </c>
      <c r="G7107" t="inlineStr">
        <is>
          <t>2019-07-21 06:30:25</t>
        </is>
      </c>
      <c r="H7107" t="inlineStr">
        <is>
          <t>Type 2</t>
        </is>
      </c>
    </row>
    <row r="7108">
      <c r="A7108" t="inlineStr">
        <is>
          <t>cg0gkx</t>
        </is>
      </c>
      <c r="B7108" t="inlineStr">
        <is>
          <t>Fake hypo</t>
        </is>
      </c>
      <c r="C7108" t="inlineStr">
        <is>
          <t>What do you do when you get fake hypo? I just start IF and getting fake hypo whenever i reach 5.8 mmol.
I panicked just now and take ice cream as i felt really bad but should i just ignore it and would it get better?</t>
        </is>
      </c>
      <c r="D7108" t="n">
        <v>5</v>
      </c>
      <c r="E7108" t="n">
        <v>4</v>
      </c>
      <c r="F7108">
        <f>HYPERLINK("https://www.reddit.com/r/diabetes/comments/cg0gkx/fake_hypo/")</f>
        <v/>
      </c>
      <c r="G7108" t="inlineStr">
        <is>
          <t>2019-07-21 08:53:11</t>
        </is>
      </c>
      <c r="H7108" t="inlineStr">
        <is>
          <t>Type 2</t>
        </is>
      </c>
    </row>
    <row r="7109">
      <c r="A7109" t="inlineStr">
        <is>
          <t>cg2yqt</t>
        </is>
      </c>
      <c r="B7109" t="inlineStr">
        <is>
          <t>Summer, beaches and a lot of salt water</t>
        </is>
      </c>
      <c r="C7109" t="inlineStr">
        <is>
          <t>I love going swimming in the sea but diabetes is a huge problem in that casenario. We all know that sensors can be a little bit wack when it comes to water, salt and sand. I usually a) just put some tape over it to avoid water and sand b) take of the sensor and measure with blood c) take of the pump for the whole time and use injections and blood measurement or d) use the freestyle Libre. This summer I used the freestyle libre and put tape over it. What might you guys do? Do you avoid swimming or tape over your sensor? Please tell me cause I want to know</t>
        </is>
      </c>
      <c r="D7109" t="n">
        <v>8</v>
      </c>
      <c r="E7109" t="n">
        <v>2</v>
      </c>
      <c r="F7109">
        <f>HYPERLINK("https://www.reddit.com/r/diabetes/comments/cg2yqt/summer_beaches_and_a_lot_of_salt_water/")</f>
        <v/>
      </c>
      <c r="G7109" t="inlineStr">
        <is>
          <t>2019-07-21 12:28:41</t>
        </is>
      </c>
      <c r="H7109" t="inlineStr">
        <is>
          <t>Type 1</t>
        </is>
      </c>
    </row>
    <row r="7110">
      <c r="A7110" t="inlineStr">
        <is>
          <t>cg6te4</t>
        </is>
      </c>
      <c r="B7110" t="inlineStr">
        <is>
          <t>Thoughts on Livongo, Omada, or other connected health platforms for diabetes + prediabetes?</t>
        </is>
      </c>
      <c r="C7110" t="inlineStr">
        <is>
          <t>We are thinking about signing up for one of the connected wellness platforms, so I'm trying to get as much anecdotal feedback on the various platforms as I can. 
&amp;amp;#x200B;
Does anyone have experience using Livongo / Omada / Glooko or anything else for diabetes or prediabetes? I would appreciate any feedback - either positive or negative - that you are willing to share.
&amp;amp;#x200B;
Thank you!</t>
        </is>
      </c>
      <c r="D7110" t="n">
        <v>3</v>
      </c>
      <c r="E7110" t="n">
        <v>1</v>
      </c>
      <c r="F7110">
        <f>HYPERLINK("https://www.reddit.com/r/diabetes/comments/cg6te4/thoughts_on_livongo_omada_or_other_connected/")</f>
        <v/>
      </c>
      <c r="G7110" t="inlineStr">
        <is>
          <t>2019-07-21 18:24:10</t>
        </is>
      </c>
      <c r="H7110" t="inlineStr">
        <is>
          <t>Type 2</t>
        </is>
      </c>
    </row>
    <row r="7111">
      <c r="A7111" t="inlineStr">
        <is>
          <t>cg8i9l</t>
        </is>
      </c>
      <c r="B7111" t="inlineStr">
        <is>
          <t>Frustration</t>
        </is>
      </c>
      <c r="C7111" t="inlineStr">
        <is>
          <t>So, I was diagnosed back in January as prediabetic/type 2 by my doctor who completely ignored the fact that I have other autoimmune issues.  The prediabetic diagnosis went bye bye when I got my GTT within a month.  "You're not my only T2.  Take this pill, eat less sugar/carbs and loose weight." 
&amp;amp;#x200B;
Gee.. Doc... I lost 40lbs and that's what tipped me over.  Wait, isn't that a sign of LADA? weight loss and bam! Diabetes?
&amp;amp;#x200B;
Ugh... So, I got my A1C back.  The two previous ones were 5.9, and this one was 5.7.  So I'm doing something right.  But my fasting glucose and gtt are saying that it should be a lot higher.  The specialist is saying there's something wrong with my hemoglobin (red blood cells) and I know I have at least one gene for hematomachromia (elevated iron levels), a huge chance at polycystic kidney disease, and allergies and asthma... My a1c is normal, but my sugars are doing roller coaster rides.
&amp;amp;#x200B;
Ugh... if it wasn't for my libre, I wouldn't even see that.  I see high peaks and crashing valleys straight into hypo levels.  I have some sort of sugar management issue and it might not be the typical diabetes, but it's something.  Let's see what can be figured out.</t>
        </is>
      </c>
      <c r="D7111" t="n">
        <v>5</v>
      </c>
      <c r="E7111" t="n">
        <v>15</v>
      </c>
      <c r="F7111">
        <f>HYPERLINK("https://www.reddit.com/r/diabetes/comments/cg8i9l/frustration/")</f>
        <v/>
      </c>
      <c r="G7111" t="inlineStr">
        <is>
          <t>2019-07-21 21:17:47</t>
        </is>
      </c>
      <c r="H7111" t="inlineStr">
        <is>
          <t>Type 1.5/LADA</t>
        </is>
      </c>
    </row>
    <row r="7112">
      <c r="A7112" t="inlineStr">
        <is>
          <t>cgdopv</t>
        </is>
      </c>
      <c r="B7112" t="inlineStr">
        <is>
          <t>I feel done</t>
        </is>
      </c>
      <c r="C7112" t="inlineStr">
        <is>
          <t>It's been a month from hell and it's not getting any better. No matter what I do, I just keep spiking. I used to be a steady 110-140 now I'm lucky if I can keep it under 200 and even that's a stretch at the moment. I guess I just really feel burnt out. It's been almost a year since diagnosis and I've always tried to keep a positive outlook but sometimes I just can't and I know I am not alone in this struggle. Some days are harder than others and sometimes those days go into weeks and so on. But I just need to know that I am not alone in this struggle.</t>
        </is>
      </c>
      <c r="D7112" t="n">
        <v>31</v>
      </c>
      <c r="E7112" t="n">
        <v>35</v>
      </c>
      <c r="F7112">
        <f>HYPERLINK("https://www.reddit.com/r/diabetes/comments/cgdopv/i_feel_done/")</f>
        <v/>
      </c>
      <c r="G7112" t="inlineStr">
        <is>
          <t>2019-07-22 07:10:49</t>
        </is>
      </c>
      <c r="H7112" t="inlineStr">
        <is>
          <t>Type 1</t>
        </is>
      </c>
    </row>
    <row r="7113">
      <c r="A7113" t="inlineStr">
        <is>
          <t>cgffep</t>
        </is>
      </c>
      <c r="B7113" t="inlineStr">
        <is>
          <t>Are my meds right for me? (and how to ask my pharmacist if they are not)</t>
        </is>
      </c>
      <c r="C7113" t="inlineStr">
        <is>
          <t>I'm honestly not sure if I'm not eating the right foods or being stingy on myself or if my meds  suck.  I usually have a small breakfast (fiber bar and fruit or veggies and sugarfree drink), skip lunch (I forget or I'm just not hungry), and want a large dinner (low carb stuff with lots of veggies, and usually cheese and chicken).  Still, it doesn't seem low-carb enough, because I can only eat half of the amount I want without my BS getting too high, so I'm always hungry at night .
&amp;amp;#x200B;
Plus, I  always feel like I'm missing out.  I really want  some dinner rolls, or Chinese food (usually my husband and I go out to Chinese to avoid family drama during the holidays), or some desert.  I don't know how much of having any of that is too risky for me.</t>
        </is>
      </c>
      <c r="D7113" t="n">
        <v>2</v>
      </c>
      <c r="E7113" t="n">
        <v>4</v>
      </c>
      <c r="F7113">
        <f>HYPERLINK("https://www.reddit.com/r/diabetes/comments/cgffep/are_my_meds_right_for_me_and_how_to_ask_my/")</f>
        <v/>
      </c>
      <c r="G7113" t="inlineStr">
        <is>
          <t>2019-07-22 09:30:27</t>
        </is>
      </c>
      <c r="H7113" t="inlineStr">
        <is>
          <t>Type 2</t>
        </is>
      </c>
    </row>
    <row r="7114">
      <c r="A7114" t="inlineStr">
        <is>
          <t>cgfx1b</t>
        </is>
      </c>
      <c r="B7114" t="inlineStr">
        <is>
          <t>Take control</t>
        </is>
      </c>
      <c r="C7114" t="inlineStr">
        <is>
          <t>As much as any of you here, I have struggled with sugar spikes throughout the day, sometimes its controllable, sometimes its not. The easy, safe, proven solution? Eat less carbs. I shoot for no more than 30g per day, do I sometimes cheat and go over? Yes, but I pay for it by having spiked sugars, feeling like crap, and having to worry about going low with the large amounts of insulin I need to take to get the spike back down. Eat carbs that are easily controllable and don't cause rapid spikes or long l lasting lingering carbs in your system. Check out Dr. Bernstein's low carb diet, he has a book, and lots of info online.
&amp;amp;#x200B;
 [https://www.diabetesdaily.com/learn-about-diabetes/diabetes-diet/dr-bernsteins-low-carb-diabetes-diet/](https://www.diabetesdaily.com/learn-about-diabetes/diabetes-diet/dr-bernsteins-low-carb-diabetes-diet/)</t>
        </is>
      </c>
      <c r="D7114" t="n">
        <v>0</v>
      </c>
      <c r="E7114" t="n">
        <v>8</v>
      </c>
      <c r="F7114">
        <f>HYPERLINK("https://www.reddit.com/r/diabetes/comments/cgfx1b/take_control/")</f>
        <v/>
      </c>
      <c r="G7114" t="inlineStr">
        <is>
          <t>2019-07-22 10:08:04</t>
        </is>
      </c>
      <c r="H7114" t="inlineStr">
        <is>
          <t>Type 1</t>
        </is>
      </c>
    </row>
    <row r="7115">
      <c r="A7115" t="inlineStr">
        <is>
          <t>cgiae3</t>
        </is>
      </c>
      <c r="B7115" t="inlineStr">
        <is>
          <t>Anybody down for some diet advice?</t>
        </is>
      </c>
      <c r="C7115" t="inlineStr">
        <is>
          <t>What up! To preface, I'm a seasoned Type 1, just looking for advice making the jump from sugar to protein for lows.
I work a fairly active job. Think Walmart cart boy. Often busy, occasionally not.
I've used candy and Gatorade to stay above 4.5 for the last 5byears, and while few things have changed, my .metabolism has slowed. This means 150g of fructose during the day to stay in range has turned into quite the belly in recent years.
To that end, 'm swapping my daily sugar regimen to protein only. Oatmeal and eggs in the morning, protein shake around 10, homemade protein bars in the latter half of the day.
Here is where I struggle. I occasionally overwork my protein intake, to where around 3.5 I have to make a call. Slow down and let the protein catch up, or take a quick sugar hit to level off. I'm pretty serious about my body and as I age, realize pure sugar should be emergency only.
So, where do I go from here? Do I accept 10-20g of sugar as a fact of life, or do I try a few more carbs instead of just protein? 
Tl;dr, torn between diabetic health and body fat health. Already cut 100+g of sugar a day out, trying to optimize the last few grams to get my beach bod back, since apparently I can't eat a kilo of M+Ms, do 70 units of humalog and not gain weight anymore.</t>
        </is>
      </c>
      <c r="D7115" t="n">
        <v>2</v>
      </c>
      <c r="E7115" t="n">
        <v>11</v>
      </c>
      <c r="F7115">
        <f>HYPERLINK("https://www.reddit.com/r/diabetes/comments/cgiae3/anybody_down_for_some_diet_advice/")</f>
        <v/>
      </c>
      <c r="G7115" t="inlineStr">
        <is>
          <t>2019-07-22 13:09:34</t>
        </is>
      </c>
      <c r="H7115" t="inlineStr">
        <is>
          <t>Type 1</t>
        </is>
      </c>
    </row>
    <row r="7116">
      <c r="A7116" t="inlineStr">
        <is>
          <t>cgnf0m</t>
        </is>
      </c>
      <c r="B7116" t="inlineStr">
        <is>
          <t>13 years</t>
        </is>
      </c>
      <c r="C7116" t="inlineStr">
        <is>
          <t>Wow. So today I hit 13 years of being diagnosed with type one. I’m still in a little bit of a shock that it’s been so long already. But hey! I’m still doing pretty good! And thanks to all of you for helping me with all of this!❤️</t>
        </is>
      </c>
      <c r="D7116" t="n">
        <v>20</v>
      </c>
      <c r="E7116" t="n">
        <v>7</v>
      </c>
      <c r="F7116">
        <f>HYPERLINK("https://www.reddit.com/r/diabetes/comments/cgnf0m/13_years/")</f>
        <v/>
      </c>
      <c r="G7116" t="inlineStr">
        <is>
          <t>2019-07-22 20:37:56</t>
        </is>
      </c>
      <c r="H7116" t="inlineStr">
        <is>
          <t>Type 1</t>
        </is>
      </c>
    </row>
    <row r="7117">
      <c r="A7117" t="inlineStr">
        <is>
          <t>cgox85</t>
        </is>
      </c>
      <c r="B7117" t="inlineStr">
        <is>
          <t>Lifestyle changes</t>
        </is>
      </c>
      <c r="C7117" t="inlineStr">
        <is>
          <t xml:space="preserve"> I am type 2 and wondering,what are some of the lifestyle changes you made?</t>
        </is>
      </c>
      <c r="D7117" t="n">
        <v>2</v>
      </c>
      <c r="E7117" t="n">
        <v>6</v>
      </c>
      <c r="F7117">
        <f>HYPERLINK("https://www.reddit.com/r/diabetes/comments/cgox85/lifestyle_changes/")</f>
        <v/>
      </c>
      <c r="G7117" t="inlineStr">
        <is>
          <t>2019-07-22 23:23:34</t>
        </is>
      </c>
      <c r="H7117" t="inlineStr">
        <is>
          <t>Type 2</t>
        </is>
      </c>
    </row>
    <row r="7118">
      <c r="A7118" t="inlineStr">
        <is>
          <t>cgrzj9</t>
        </is>
      </c>
      <c r="B7118" t="inlineStr">
        <is>
          <t>Newly diagnosed with LADA. Don’t know much about it.</t>
        </is>
      </c>
      <c r="C7118" t="inlineStr">
        <is>
          <t>For some back story, I was diagnosed with MODY in May of 2018 after being told I was prediabetic in the Fall of 2016. This diagnosis was interesting as diabetes runs in the family, but it’s mainly t1, with a couple instances of t2. So I went on after the MODY diagnosis taking Metformin, which kept my sugar under control fairly well for about a year. All of a sudden in April of this year, the metformin seemed to stop working so my dr. increased the dose. Still didn’t really get things back to where they should be. I moved recently to start a new job, so I had to see a new Endocrinologist when this all happened, and she diagnosed LADA before even doing any blood work or tests, calling the time that metformin was working the “honeymoon phase” which is apparently common in new diagnoses. So now I’m taking insulin, both quick acting and extended release (Humalog/novalog and levemir) before meals and at bedtime, with no metformin. My A1C has gone from 10.7 in April to 7.8 since then, so I’m fairly confident that the insulin was a good step to take, but I’m interested to see what everyone’s thoughts or suggestions might be on this. I have also been eating better, mostly eating very low carb or keto meals for dinner. The change in diagnosis and prescriptions have led to constant complaining from my girlfriend and her mom, who don’t want to believe that moving to insulin was the right step. Apparently they think they know more than my endocrinologist who has studied diabetes for years. I’m not taking their complaining very seriously, but I would like to hear your thoughts to see if they might actually be onto something. Thanks!
TL;DR I was diagnosed with MODY, a year later rediagnosed with LADA and switched from metformin to insulin. A1C has dropped from 10.7 in April to 7.8 today.  My girlfriend and her mom don’t agree with this diagnosis, and constantly complain about the switch to insulin. Thoughts or suggestions for a newly diagnosed LADA?</t>
        </is>
      </c>
      <c r="D7118" t="n">
        <v>2</v>
      </c>
      <c r="E7118" t="n">
        <v>2</v>
      </c>
      <c r="F7118">
        <f>HYPERLINK("https://www.reddit.com/r/diabetes/comments/cgrzj9/newly_diagnosed_with_lada_dont_know_much_about_it/")</f>
        <v/>
      </c>
      <c r="G7118" t="inlineStr">
        <is>
          <t>2019-07-23 05:29:20</t>
        </is>
      </c>
      <c r="H7118" t="inlineStr">
        <is>
          <t>Type 1.5/LADA</t>
        </is>
      </c>
    </row>
    <row r="7119">
      <c r="A7119" t="inlineStr">
        <is>
          <t>cgt3bg</t>
        </is>
      </c>
      <c r="B7119" t="inlineStr">
        <is>
          <t>Travelling for Months with an Insulin Pump</t>
        </is>
      </c>
      <c r="C7119" t="inlineStr">
        <is>
          <t>Hi everyone, little bit of background: I'm 23F, been diabetic for 13 years (Type 1), it's controlled using Medtronic 640G pump, I'm based in the UK so all my diabetes care is free including the pump supplies.
&amp;amp;#x200B;
I'm planning to go travelling for around 3-8 months, starting February next year. I wanted some general advice for caring for my diabetes during this from some more experienced travelers. I have one of those cooling pouches to keep the insulin at a good temperature, and stocking up on supplies shouldn't be an issue as they are free here in the UK. One thing I'm concerned about is the sheer volume of supplies I'm going to need if I go for a full 7/8 months, especially things like Dextrose where sometimes I'll go months not needing any and sometimes need them multiple times in one week.
&amp;amp;#x200B;
Is there anything I haven't considered? Is it worth using one of those insulin pump loan things where they send you one in case yours breaks (is that possible when travelling for so long?)? 
&amp;amp;#x200B;
I'd love to hear anything any of you have to say about travelling with diabetes! 
&amp;amp;#x200B;
Thanks in advance!</t>
        </is>
      </c>
      <c r="D7119" t="n">
        <v>2</v>
      </c>
      <c r="E7119" t="n">
        <v>11</v>
      </c>
      <c r="F7119">
        <f>HYPERLINK("https://www.reddit.com/r/diabetes/comments/cgt3bg/travelling_for_months_with_an_insulin_pump/")</f>
        <v/>
      </c>
      <c r="G7119" t="inlineStr">
        <is>
          <t>2019-07-23 07:10:41</t>
        </is>
      </c>
      <c r="H7119" t="inlineStr">
        <is>
          <t>Type 1</t>
        </is>
      </c>
    </row>
    <row r="7120">
      <c r="A7120" t="inlineStr">
        <is>
          <t>cgth75</t>
        </is>
      </c>
      <c r="B7120" t="inlineStr">
        <is>
          <t>FINALLY!!!!</t>
        </is>
      </c>
      <c r="C7120" t="inlineStr">
        <is>
          <t>I mean I probably shouldn't be rejoicing quite yet, but after fighting with my sugars being 290-360 I've successfully gotten it back to where I'm most happy and that's 110-125. Small little victory after fighting for what seems like forever, AKA a month and a half. Sorry, just needed to share!!!   ❤</t>
        </is>
      </c>
      <c r="D7120" t="n">
        <v>17</v>
      </c>
      <c r="E7120" t="n">
        <v>19</v>
      </c>
      <c r="F7120">
        <f>HYPERLINK("https://www.reddit.com/r/diabetes/comments/cgth75/finally/")</f>
        <v/>
      </c>
      <c r="G7120" t="inlineStr">
        <is>
          <t>2019-07-23 07:43:06</t>
        </is>
      </c>
      <c r="H7120" t="inlineStr">
        <is>
          <t>Type 1</t>
        </is>
      </c>
    </row>
    <row r="7121">
      <c r="A7121" t="inlineStr">
        <is>
          <t>cgv4bz</t>
        </is>
      </c>
      <c r="B7121" t="inlineStr">
        <is>
          <t>New to the Group!</t>
        </is>
      </c>
      <c r="C7121" t="inlineStr">
        <is>
          <t>My 3 year old daughter was diagnosed with Type 1 last week and we are trying to adjust to our new lives. I have spent hours upon hours learning from the internet, podcasts, friends and our awesome education team at the hospital. Any tips for a newbie mom that aren't necessarily in the textbooks? Thank you!</t>
        </is>
      </c>
      <c r="D7121" t="n">
        <v>3</v>
      </c>
      <c r="E7121" t="n">
        <v>7</v>
      </c>
      <c r="F7121">
        <f>HYPERLINK("https://www.reddit.com/r/diabetes/comments/cgv4bz/new_to_the_group/")</f>
        <v/>
      </c>
      <c r="G7121" t="inlineStr">
        <is>
          <t>2019-07-23 09:50:07</t>
        </is>
      </c>
      <c r="H7121" t="inlineStr">
        <is>
          <t>Type 1</t>
        </is>
      </c>
    </row>
    <row r="7122">
      <c r="A7122" t="inlineStr">
        <is>
          <t>cgxr45</t>
        </is>
      </c>
      <c r="B7122" t="inlineStr">
        <is>
          <t>Last 3 days have been my best 3 days in months!</t>
        </is>
      </c>
      <c r="C7122" t="inlineStr">
        <is>
          <t>This has got to be my best numbers to date for a solid 3 days!
https://i.redd.it/ub9mhoo914c31.png</t>
        </is>
      </c>
      <c r="D7122" t="n">
        <v>7</v>
      </c>
      <c r="E7122" t="n">
        <v>2</v>
      </c>
      <c r="F7122">
        <f>HYPERLINK("https://www.reddit.com/r/diabetes/comments/cgxr45/last_3_days_have_been_my_best_3_days_in_months/")</f>
        <v/>
      </c>
      <c r="G7122" t="inlineStr">
        <is>
          <t>2019-07-23 13:09:21</t>
        </is>
      </c>
      <c r="H7122" t="inlineStr">
        <is>
          <t>Type 1</t>
        </is>
      </c>
    </row>
    <row r="7123">
      <c r="A7123" t="inlineStr">
        <is>
          <t>cgxyu8</t>
        </is>
      </c>
      <c r="B7123" t="inlineStr">
        <is>
          <t>Tandem and UCSD publish real-world Basal IQ data</t>
        </is>
      </c>
      <c r="C7123" t="inlineStr">
        <is>
          <t>This article was published in Diabetes Technology and Therapeutics a couple of days ago online ahead-of-print:
The highlight is a 70%+ reduction in risk of hypos with basically no increase in A1c.
[https://www.liebertpub.com/doi/10.1089/dia.2019.0190](https://www.liebertpub.com/doi/10.1089/dia.2019.0190)</t>
        </is>
      </c>
      <c r="D7123" t="n">
        <v>5</v>
      </c>
      <c r="E7123" t="n">
        <v>1</v>
      </c>
      <c r="F7123">
        <f>HYPERLINK("https://www.reddit.com/r/diabetes/comments/cgxyu8/tandem_and_ucsd_publish_realworld_basal_iq_data/")</f>
        <v/>
      </c>
      <c r="G7123" t="inlineStr">
        <is>
          <t>2019-07-23 13:26:03</t>
        </is>
      </c>
      <c r="H7123" t="inlineStr">
        <is>
          <t>Type 1</t>
        </is>
      </c>
    </row>
    <row r="7124">
      <c r="A7124" t="inlineStr">
        <is>
          <t>ch287f</t>
        </is>
      </c>
      <c r="B7124" t="inlineStr">
        <is>
          <t>Question for people who lowered their A1Cs</t>
        </is>
      </c>
      <c r="C7124" t="inlineStr">
        <is>
          <t>So I’m working on lowering my A1C after many years of up and down (but mostly up). My question is how did you manage the feeling that you’re going low all the dang time? Sometimes I’m in the low 100s and totally fine- sometimes I feel like I’m plummeting- only to watch my CGM and see nothing happening? I can logically understand that taking my overall trend down will have me feeling ‘low’ compared to running high all the time- but will I ever get any sense of equilibrium back? I don’t like guessing all the time if I’m actually low or waiting to hear my CGM alarm. Have I totally and completely screwed up my system so badly that my old hypo symptoms are totally screwed up forever?</t>
        </is>
      </c>
      <c r="D7124" t="n">
        <v>6</v>
      </c>
      <c r="E7124" t="n">
        <v>5</v>
      </c>
      <c r="F7124">
        <f>HYPERLINK("https://www.reddit.com/r/diabetes/comments/ch287f/question_for_people_who_lowered_their_a1cs/")</f>
        <v/>
      </c>
      <c r="G7124" t="inlineStr">
        <is>
          <t>2019-07-23 19:32:52</t>
        </is>
      </c>
      <c r="H7124" t="inlineStr">
        <is>
          <t>Type 1</t>
        </is>
      </c>
    </row>
    <row r="7125">
      <c r="A7125" t="inlineStr">
        <is>
          <t>ch2ry9</t>
        </is>
      </c>
      <c r="B7125" t="inlineStr">
        <is>
          <t>Type 1 for 14 years, finaly trying to take care of myself.</t>
        </is>
      </c>
      <c r="C7125" t="inlineStr">
        <is>
          <t>So I was diagnosed at the age of 8, and I am currently 22. I'm going to be honest, the past few years have been rough for me. For the longest time I was in denial about how serious this illness is and how I really need to take care of myself. 
I’ve been trying lately to make the right steps into bettering myself, and I currently have an A1c of 8.1 which I know isn’t the best. 
I’ve had depression and anxiety for as long as I can remember, and haven’t had my A1c in control since I was newly diagnosed. That’s honestly because my parents were in control of it, but once I got my first insulin pump it sort of became my duty to manage everything and would guilt me if numbers were off so I became super quiet about everything and would always act like everything was fine. (Still trying to heal from that lol)
Life has been so difficult lately. I’m fortunate to still be on my fathers insurance, but he has been giving me all of my medical bills the past year and I just never realized how expensive it is to live. 
I’m happy I’ve rediscovered this subreddit, because within the 14 years of being diabetic I have not had one single diabetic friend. That gets hard... people really don’t understand what you go through on a day to day basis. 
I realize that this post is everywhere, I’m just having a rough night and needed to get some of my thoughts out. How do you guys cope? How much will lowering my A1c effect how tired I constantly am? 
Do you guys get vision spots when going low? 
Also I recently went and got an eye exam about a month ago and they said I don’t have any signs for diabetic retinopathy, but the year prior I went to a different eye doctor (which are now out of network) and they said I had a mild case of retinopathy. The past few years I have definitely developed night blindness which my endo does know about. Im just wondering if anyone has experienced this also.</t>
        </is>
      </c>
      <c r="D7125" t="n">
        <v>10</v>
      </c>
      <c r="E7125" t="n">
        <v>12</v>
      </c>
      <c r="F7125">
        <f>HYPERLINK("https://www.reddit.com/r/diabetes/comments/ch2ry9/type_1_for_14_years_finaly_trying_to_take_care_of/")</f>
        <v/>
      </c>
      <c r="G7125" t="inlineStr">
        <is>
          <t>2019-07-23 20:26:14</t>
        </is>
      </c>
      <c r="H7125" t="inlineStr">
        <is>
          <t>Type 1</t>
        </is>
      </c>
    </row>
    <row r="7126">
      <c r="A7126" t="inlineStr">
        <is>
          <t>ch31e1</t>
        </is>
      </c>
      <c r="B7126" t="inlineStr">
        <is>
          <t>Question about Clif Bars</t>
        </is>
      </c>
      <c r="C7126" t="inlineStr">
        <is>
          <t>I am a T2 Diabetic and I am going to be starting a new job, 10hrs 4 days a week and I was wondering if Clif Bars are a good snack to keep my Blood Sugar up? This is going to be my first time working again since I have been diagnosed.</t>
        </is>
      </c>
      <c r="D7126" t="n">
        <v>2</v>
      </c>
      <c r="E7126" t="n">
        <v>3</v>
      </c>
      <c r="F7126">
        <f>HYPERLINK("https://www.reddit.com/r/diabetes/comments/ch31e1/question_about_clif_bars/")</f>
        <v/>
      </c>
      <c r="G7126" t="inlineStr">
        <is>
          <t>2019-07-23 20:52:40</t>
        </is>
      </c>
      <c r="H7126" t="inlineStr">
        <is>
          <t>Type 2</t>
        </is>
      </c>
    </row>
    <row r="7127">
      <c r="A7127" t="inlineStr">
        <is>
          <t>ch3j9q</t>
        </is>
      </c>
      <c r="B7127" t="inlineStr">
        <is>
          <t>How do I get my blood sugar to go down without taking insulin?</t>
        </is>
      </c>
      <c r="C7127" t="inlineStr">
        <is>
          <t>I've only had diabetes for a few months, so my doctor only started me on 500 mg of metformin. Lately, my bs has been hovering between 18-22 mmol/L no matter what I eat. Is there a way to lower bs without insulin?</t>
        </is>
      </c>
      <c r="D7127" t="n">
        <v>2</v>
      </c>
      <c r="E7127" t="n">
        <v>25</v>
      </c>
      <c r="F7127">
        <f>HYPERLINK("https://www.reddit.com/r/diabetes/comments/ch3j9q/how_do_i_get_my_blood_sugar_to_go_down_without/")</f>
        <v/>
      </c>
      <c r="G7127" t="inlineStr">
        <is>
          <t>2019-07-23 21:43:19</t>
        </is>
      </c>
      <c r="H7127" t="inlineStr">
        <is>
          <t>Type 2</t>
        </is>
      </c>
    </row>
    <row r="7128">
      <c r="A7128" t="inlineStr">
        <is>
          <t>ch8n6v</t>
        </is>
      </c>
      <c r="B7128" t="inlineStr">
        <is>
          <t>Anyone else not seeing an endo?</t>
        </is>
      </c>
      <c r="C7128" t="inlineStr">
        <is>
          <t>Been T1 for 12 years. 29 y/o now. I haven’t seen an endo in 4 years because they never seemed to help with much, I mean “I know what medical supplies and medicine I can afford and how to use it, what are you going to do for me?”
I am very active and in great shape. I feel great every day besides the high and low glucose levels. I live in the USA and don’t have insurance nor will I qualify for any free medical or assistance due to income.
I do go to do an eye exam yearly, paying out of pocket.
I could have better control, Hit 300+ a few times a week, but highs and lows occur because of MY actions or lack thereof. Therefore I don’t see the benefit of going to a dr if I am doing fine and cannot afford the better insulin and medical products that require prescriptions which would make living easier
Right now, I do N twice a day and R sliding with meals, these cost $25/vial at Walmart and I don’t need a prescription for it. I don’t mind using syringes for injections 6-9 times a day, for the insulin price difference(hundreds/month vs 50/month). I have more lows than highs. The more I check myself every day, the better my glucose is controlled. I will be looking into getting a CGM, as I think you can get one w/o a prescription and supplies are relatively affordable. 
Would love to hear from someone in a similar situation in the states</t>
        </is>
      </c>
      <c r="D7128" t="n">
        <v>1</v>
      </c>
      <c r="E7128" t="n">
        <v>24</v>
      </c>
      <c r="F7128">
        <f>HYPERLINK("https://www.reddit.com/r/diabetes/comments/ch8n6v/anyone_else_not_seeing_an_endo/")</f>
        <v/>
      </c>
      <c r="G7128" t="inlineStr">
        <is>
          <t>2019-07-24 07:08:28</t>
        </is>
      </c>
      <c r="H7128" t="inlineStr">
        <is>
          <t>Type 1</t>
        </is>
      </c>
    </row>
    <row r="7129">
      <c r="A7129" t="inlineStr">
        <is>
          <t>chenb9</t>
        </is>
      </c>
      <c r="B7129" t="inlineStr">
        <is>
          <t>Scuba Diving Tips</t>
        </is>
      </c>
      <c r="C7129" t="inlineStr">
        <is>
          <t>T1D for about a year and a half, getting my scuba certification so I can dive where I work. Does anyone have tips for me? I’m planning on going into dives riding a bit high because I’ve been ending my classes at around 50 without realizing I was that low until checking. Do CGMS work underwater? I have the Dexcom G6. I’m worried for my lake dives because I will need to reach 60ft to complete my certification; I’m scared I’ll drop way down there and not be able to reach the surface quickly enough.
Just looking for any advice?</t>
        </is>
      </c>
      <c r="D7129" t="n">
        <v>2</v>
      </c>
      <c r="E7129" t="n">
        <v>6</v>
      </c>
      <c r="F7129">
        <f>HYPERLINK("https://www.reddit.com/r/diabetes/comments/chenb9/scuba_diving_tips/")</f>
        <v/>
      </c>
      <c r="G7129" t="inlineStr">
        <is>
          <t>2019-07-24 14:53:59</t>
        </is>
      </c>
      <c r="H7129" t="inlineStr">
        <is>
          <t>Type 1</t>
        </is>
      </c>
    </row>
    <row r="7130">
      <c r="A7130" t="inlineStr">
        <is>
          <t>chex5d</t>
        </is>
      </c>
      <c r="B7130" t="inlineStr">
        <is>
          <t>Made my doctor so happy today 🎉</t>
        </is>
      </c>
      <c r="C7130" t="inlineStr">
        <is>
          <t>I was diagnosed a month ago with an a1c suggesting an average bgl of &amp;gt;250. At my checkup today, I’ve lost 20 pounds on a completely changed diet, regular post-meal bgl of &amp;lt;120 and vitals better than I‘ve seen in years. 
My doctor seemed awestruck with my progress, smiled ear to ear and shook my hand in congratulations. I feel so good!</t>
        </is>
      </c>
      <c r="D7130" t="n">
        <v>12</v>
      </c>
      <c r="E7130" t="n">
        <v>12</v>
      </c>
      <c r="F7130">
        <f>HYPERLINK("https://www.reddit.com/r/diabetes/comments/chex5d/made_my_doctor_so_happy_today/")</f>
        <v/>
      </c>
      <c r="G7130" t="inlineStr">
        <is>
          <t>2019-07-24 15:15:25</t>
        </is>
      </c>
      <c r="H7130" t="inlineStr">
        <is>
          <t>Type 2</t>
        </is>
      </c>
    </row>
    <row r="7131">
      <c r="A7131" t="inlineStr">
        <is>
          <t>chfe3x</t>
        </is>
      </c>
      <c r="B7131" t="inlineStr">
        <is>
          <t>Insulin-to-carb Ratios</t>
        </is>
      </c>
      <c r="C7131" t="inlineStr">
        <is>
          <t>What are your guys Insulin-to-carb ratios? I'm currently needing more and more insulin in order to keep my blood sugars under control. I currently have 1:7 in the morning and I am now needing 1:5 at lunch/dinner time. I also need to inject more units just to bring my sugars down when they are high, I notice this especially in the mornings when I wake up and I know that I haven't had anything to eat for 10 hours and see that I'm slightly high, say 8.5 mmol/L, then I'll have to inject like 2-3 units just to get it back down to 4/5 mmol/L. I used to need way less probably 0.5 units to get back in my normal range. Is this normal? Is it possible I had a really long honeymoon phase and now it's finally ending? I'm worried that I'm going to keep needing more and more insulin until its a ridiculous amount. I recently changed insulin from novorapid to fiasp so it is not the type of insulin thats the problem, and I make sure to rotate my injection sites as well.</t>
        </is>
      </c>
      <c r="D7131" t="n">
        <v>2</v>
      </c>
      <c r="E7131" t="n">
        <v>9</v>
      </c>
      <c r="F7131">
        <f>HYPERLINK("https://www.reddit.com/r/diabetes/comments/chfe3x/insulintocarb_ratios/")</f>
        <v/>
      </c>
      <c r="G7131" t="inlineStr">
        <is>
          <t>2019-07-24 15:53:37</t>
        </is>
      </c>
      <c r="H7131" t="inlineStr">
        <is>
          <t>Type 1</t>
        </is>
      </c>
    </row>
    <row r="7132">
      <c r="A7132" t="inlineStr">
        <is>
          <t>chgbx7</t>
        </is>
      </c>
      <c r="B7132" t="inlineStr">
        <is>
          <t>My blood glucose is too high, help please what can I do?</t>
        </is>
      </c>
      <c r="C7132" t="inlineStr">
        <is>
          <t>I'm 43, 180 kg I guess, never rose above 200 but its 380 at this moment, never saw it that high, can something happen on short term? is my pancreas gone? what can I do now?</t>
        </is>
      </c>
      <c r="D7132" t="n">
        <v>1</v>
      </c>
      <c r="E7132" t="n">
        <v>12</v>
      </c>
      <c r="F7132">
        <f>HYPERLINK("https://www.reddit.com/r/diabetes/comments/chgbx7/my_blood_glucose_is_too_high_help_please_what_can/")</f>
        <v/>
      </c>
      <c r="G7132" t="inlineStr">
        <is>
          <t>2019-07-24 17:15:53</t>
        </is>
      </c>
      <c r="H7132" t="inlineStr">
        <is>
          <t>Type 2</t>
        </is>
      </c>
    </row>
    <row r="7133">
      <c r="A7133" t="inlineStr">
        <is>
          <t>chi33l</t>
        </is>
      </c>
      <c r="B7133" t="inlineStr">
        <is>
          <t>Type one for 8 months</t>
        </is>
      </c>
      <c r="C7133" t="inlineStr">
        <is>
          <t>I have been type one diabetic for 8 months now and it feels like it has been a month it’s flew by I still remember I was peeing every 5 minutes and vomiting all the time I got my blood drawn and about an hour later they called us in to the hospital I wasn’t worried until I didn’t have to wait in the waiting room at all they took me up to a room and started explaining everything to me I was so confused I kept thinking I’m only 14 I’m healthy I’m just a kid. I started understanding a tiny bit but then I asked can I get rid of it? The answer obviously no I was hysterical at the time I pulled it together when I noticed my parents getting upset they did I finger stick and I was 883 with an A1C of 17.3 (I think). 8 months later diabetes is still here and still sucks but I’m okay with it people always tell me I’m so brave and I tell them it’s that or die but I’m now pretty comfortable with it all now still have some moments but I think we all do.
Btw i went to Johns Hopkins hospital</t>
        </is>
      </c>
      <c r="D7133" t="n">
        <v>5</v>
      </c>
      <c r="E7133" t="n">
        <v>7</v>
      </c>
      <c r="F7133">
        <f>HYPERLINK("https://www.reddit.com/r/diabetes/comments/chi33l/type_one_for_8_months/")</f>
        <v/>
      </c>
      <c r="G7133" t="inlineStr">
        <is>
          <t>2019-07-24 20:01:24</t>
        </is>
      </c>
      <c r="H7133" t="inlineStr">
        <is>
          <t>Type 1</t>
        </is>
      </c>
    </row>
    <row r="7134">
      <c r="A7134" t="inlineStr">
        <is>
          <t>chifuu</t>
        </is>
      </c>
      <c r="B7134" t="inlineStr">
        <is>
          <t>Bestie had Type2 but still eats terribly and regularly texts that her sugar levels are in the 300s...how do I help her?!</t>
        </is>
      </c>
      <c r="C7134" t="inlineStr">
        <is>
          <t>I’m coming here because I’m worried about my best friend who was diagnosed with type 2 diabetes last year(right after miscarriage) and while she is doing better thanks to medicine, her lifestyle has not changed and still eats like she doesn’t have type 2 diabetes. She is now on leave from work due to depression and no longer as active and I just don’t know how to help her! I’ve advised her to eat better, offered to work out with her, go on walks, meal prep and just generally expressed my worry about her health is she continues to live the way she has.
She often texts me how awful she feels, when ever her blood sugar levels are high(which is often) and that she had to take 15-20ish units of insulin and hope that it helps lower it by the morning. When I ask her what she had eaten, it’s usually something carb heavy like fast foods(burgers), pasta, or fried rice. 
This woman is the most caring person I have ever met, and has really been there for me in my hard times and I want her to live a long life but she is not getting better, her doctor is awful and telling her she is doing good enough and doesn’t advice her to lose weight/change diet/exercise. She had a husband who just does whatever she says and doesn’t fight for her health and generally not very supportive when she does try to change her diet. 
I’ve talked to her about how much I love her and need her to get better and not die because of junk food. I’ve offered to help her meal prep together and she said yes today! 
I would love to get some ideas for meal prep foods and general advice for what I should say to her. She is insulin dependent and takes metformin daily. Her levels are awful throughout the day and idk why but her doctor told her it’s okay to drink sugar-soda when her levels drop too low- she will drink a whole bottle or McDonald large cup to satisfy this which I think is horrible- a literal spoon of sugar would be better than a can/mcD cup of soda.
Any tips you had for a newbie with type2 would be greatly appreciated. I’d like to put together a small packet of information to present to her as she has the books but does not like reading. I’d like to go over everything together with her just some simple basics of how to live with this and not just coast on barely surviving.</t>
        </is>
      </c>
      <c r="D7134" t="n">
        <v>5</v>
      </c>
      <c r="E7134" t="n">
        <v>7</v>
      </c>
      <c r="F7134">
        <f>HYPERLINK("https://www.reddit.com/r/diabetes/comments/chifuu/bestie_had_type2_but_still_eats_terribly_and/")</f>
        <v/>
      </c>
      <c r="G7134" t="inlineStr">
        <is>
          <t>2019-07-24 20:36:15</t>
        </is>
      </c>
      <c r="H7134" t="inlineStr">
        <is>
          <t>Type 2</t>
        </is>
      </c>
    </row>
    <row r="7135">
      <c r="A7135" t="inlineStr">
        <is>
          <t>choy3k</t>
        </is>
      </c>
      <c r="B7135" t="inlineStr">
        <is>
          <t>My sugars low</t>
        </is>
      </c>
      <c r="C7135" t="inlineStr">
        <is>
          <t>I have only been diabetic for a short while but one thing I hate the most is low blood sugar levels but my sugar isn’t even low and I start getting the shakes and light headed ness My sugar is 77 right now and I’m freaking out even though I just drank a juice does anyone have tips for controlling myself when low?</t>
        </is>
      </c>
      <c r="D7135" t="n">
        <v>2</v>
      </c>
      <c r="E7135" t="n">
        <v>5</v>
      </c>
      <c r="F7135">
        <f>HYPERLINK("https://www.reddit.com/r/diabetes/comments/choy3k/my_sugars_low/")</f>
        <v/>
      </c>
      <c r="G7135" t="inlineStr">
        <is>
          <t>2019-07-25 08:08:39</t>
        </is>
      </c>
      <c r="H7135" t="inlineStr">
        <is>
          <t>Type 1</t>
        </is>
      </c>
    </row>
    <row r="7136">
      <c r="A7136" t="inlineStr">
        <is>
          <t>chquuh</t>
        </is>
      </c>
      <c r="B7136" t="inlineStr">
        <is>
          <t>Dad told his Type 2 has become Type 1 but that's not possible could he have LADA?</t>
        </is>
      </c>
      <c r="C7136" t="inlineStr">
        <is>
          <t>So My Dad(62) was was diagnosed Type 2 when he was 33. He took medication and exercise to control it for years but eventually he had to start taking insulin in his late 40's-early 50's. He moved in with me over a year ago and has been careful but still has wild ups and downs.  His A1C was 13 at his last doctor visit.  His doctor told him his type 2 is now type 1 but reading up on it that is not possible at all. They are two different conditions but could he have   [latent autoimmune diabetes](https://www.healthline.com/health-news/are-there-really-five-subgroups-of-diabetes)? It seems to fit with how his diabetes has gotten worse and worse over the years.</t>
        </is>
      </c>
      <c r="D7136" t="n">
        <v>6</v>
      </c>
      <c r="E7136" t="n">
        <v>10</v>
      </c>
      <c r="F7136">
        <f>HYPERLINK("https://www.reddit.com/r/diabetes/comments/chquuh/dad_told_his_type_2_has_become_type_1_but_thats/")</f>
        <v/>
      </c>
      <c r="G7136" t="inlineStr">
        <is>
          <t>2019-07-25 10:35:12</t>
        </is>
      </c>
      <c r="H7136" t="inlineStr">
        <is>
          <t>Type 1.5/LADA</t>
        </is>
      </c>
    </row>
    <row r="7137">
      <c r="A7137" t="inlineStr">
        <is>
          <t>chs4f8</t>
        </is>
      </c>
      <c r="B7137" t="inlineStr">
        <is>
          <t>Diagnosed at 24 with Type 1. Ex-Professional athlete looking for diet tips.</t>
        </is>
      </c>
      <c r="C7137" t="inlineStr">
        <is>
          <t>Hey guys, a little background on me..
I am an ex-professional baseball player, and I've been told my whole life that I need to gain weight to be successful in my sport. I am 6'1" and never weighed over 185lbs. I'm very fit, but always struggled to gain weight. I listened to my nutritionist and was taking in 4500-5000 calories a day, and god knows how many carbs and how much sugar.. suffice to say it was a lot. 
&amp;amp;#x200B;
Fast forward and I am retired from baseball, living a normal life as a photographer/designer. I was diagnosed with Type 1 Diabetes this past week. My whole diet has already changed, but I need help figuring out what is okay to eat and what isn't. I'v done research but its tough to tell what advice is for type 1's and which is for type 2's (as it seems like that advice varies greatly). I'm having trouble taking in enough food to keep me satiated, while limiting my carb intake as much as I need to.
&amp;amp;#x200B;
My A1C was 10.8 when I went to the urgent care (who then sent me to the ER with a BG of 320). They diagnosed me a few days later after getting the c-peptide test back and my level was at .4 (normal as I undersand it is .8 and above). So, I am in my honeymoon peiod and therefore just taking metformin and 10units of long acting insulin a day. It is keeping me right around 115-130 BG. 
&amp;amp;#x200B;
Any tips for having a well-rounded diet without being miserable? Any and all advice is appreciated, even if it has nothing to do with diet.
&amp;amp;#x200B;
P.S. I have an insulin pen and do not plan on ever getting the pump. I do plan on getting the dexcom monitor however.</t>
        </is>
      </c>
      <c r="D7137" t="n">
        <v>2</v>
      </c>
      <c r="E7137" t="n">
        <v>5</v>
      </c>
      <c r="F7137">
        <f>HYPERLINK("https://www.reddit.com/r/diabetes/comments/chs4f8/diagnosed_at_24_with_type_1_exprofessional/")</f>
        <v/>
      </c>
      <c r="G7137" t="inlineStr">
        <is>
          <t>2019-07-25 12:13:17</t>
        </is>
      </c>
      <c r="H7137" t="inlineStr">
        <is>
          <t>Type 1</t>
        </is>
      </c>
    </row>
    <row r="7138">
      <c r="A7138" t="inlineStr">
        <is>
          <t>chwe1b</t>
        </is>
      </c>
      <c r="B7138" t="inlineStr">
        <is>
          <t>Traveling to France and England in a week.</t>
        </is>
      </c>
      <c r="C7138" t="inlineStr">
        <is>
          <t>I’m from the US. Is there anything I should know about traveling with diabetes? I haven’t been abroad in 5 years. Do I need to bring doctor’s notes for anything? Any advice would be greatly appreciated.</t>
        </is>
      </c>
      <c r="D7138" t="n">
        <v>6</v>
      </c>
      <c r="E7138" t="n">
        <v>7</v>
      </c>
      <c r="F7138">
        <f>HYPERLINK("https://www.reddit.com/r/diabetes/comments/chwe1b/traveling_to_france_and_england_in_a_week/")</f>
        <v/>
      </c>
      <c r="G7138" t="inlineStr">
        <is>
          <t>2019-07-25 18:19:49</t>
        </is>
      </c>
      <c r="H7138" t="inlineStr">
        <is>
          <t>Type 1</t>
        </is>
      </c>
    </row>
    <row r="7139">
      <c r="A7139" t="inlineStr">
        <is>
          <t>chwl13</t>
        </is>
      </c>
      <c r="B7139" t="inlineStr">
        <is>
          <t>Lost Dexcom transmitter and supplies</t>
        </is>
      </c>
      <c r="C7139" t="inlineStr">
        <is>
          <t>Hi everyone,
My girlfriend uses a Dexcom sensor and her mother accidentally threw away a transmitter and other supplies. She tried calling Dexcom and they were no assistance and insurance is blocking a new transmitter. I told her to call her insurance company but has anyone dealt with a similar situation and have any tips?
Thank you!</t>
        </is>
      </c>
      <c r="D7139" t="n">
        <v>2</v>
      </c>
      <c r="E7139" t="n">
        <v>4</v>
      </c>
      <c r="F7139">
        <f>HYPERLINK("https://www.reddit.com/r/diabetes/comments/chwl13/lost_dexcom_transmitter_and_supplies/")</f>
        <v/>
      </c>
      <c r="G7139" t="inlineStr">
        <is>
          <t>2019-07-25 18:39:00</t>
        </is>
      </c>
      <c r="H7139" t="inlineStr">
        <is>
          <t>Type 1</t>
        </is>
      </c>
    </row>
    <row r="7140">
      <c r="A7140" t="inlineStr">
        <is>
          <t>ci2ixp</t>
        </is>
      </c>
      <c r="B7140" t="inlineStr">
        <is>
          <t>Hi there.</t>
        </is>
      </c>
      <c r="C7140" t="inlineStr">
        <is>
          <t>Okay, so I got diagnosed a couple of weeks ago. Clocked up a fasting BG of 159, A1C at 7.7%. 60 y.o. BTW, no symptoms that I registered, but in hindsight I was indeed drinking lots of liquids and sweating more than most do. Also falling asleep after meals.
Now I'm on metformin 2x500 (today doc told me to up it to 3x500) and sticking to a very low-carb regime just to see how it works for me (basically the only carbs I get are from lattes, no sugar of course, just the lactose). Still, after a couple of weeks I never get a BG reading below 100, usually it's between 125-160 at wake-up time, and goes *down* but sticking to the 120s-140s during the day, even after eating.  
Is that weird, or common for type 2? Can I say at this point that strict carb restriction and/or metf aren't working for me, or should I give them more time?</t>
        </is>
      </c>
      <c r="D7140" t="n">
        <v>2</v>
      </c>
      <c r="E7140" t="n">
        <v>7</v>
      </c>
      <c r="F7140">
        <f>HYPERLINK("https://www.reddit.com/r/diabetes/comments/ci2ixp/hi_there/")</f>
        <v/>
      </c>
      <c r="G7140" t="inlineStr">
        <is>
          <t>2019-07-26 05:56:17</t>
        </is>
      </c>
      <c r="H7140" t="inlineStr">
        <is>
          <t>Type 2</t>
        </is>
      </c>
    </row>
    <row r="7141">
      <c r="A7141" t="inlineStr">
        <is>
          <t>ci2x89</t>
        </is>
      </c>
      <c r="B7141" t="inlineStr">
        <is>
          <t>From one extreme to the other!</t>
        </is>
      </c>
      <c r="C7141" t="inlineStr">
        <is>
          <t>Ergggg love this so much. Going from insane highs, to low 200's for weeks. Finally get a new ratio, then way over correct.
&amp;amp;#x200B;
My morning 
119 to 278, correct, it doesn't budge, correct. plummet to 65 with double down arrows. Loving this Friday morning!  
Sorry to rant, and honestly I don't even know if this makes sense as I type it because I'm still low and correcting that, and needless to say I'm very foggy! 
&amp;amp;#x200B;
Just had to share my frustrations!</t>
        </is>
      </c>
      <c r="D7141" t="n">
        <v>22</v>
      </c>
      <c r="E7141" t="n">
        <v>6</v>
      </c>
      <c r="F7141">
        <f>HYPERLINK("https://www.reddit.com/r/diabetes/comments/ci2x89/from_one_extreme_to_the_other/")</f>
        <v/>
      </c>
      <c r="G7141" t="inlineStr">
        <is>
          <t>2019-07-26 06:33:35</t>
        </is>
      </c>
      <c r="H7141" t="inlineStr">
        <is>
          <t>Type 1</t>
        </is>
      </c>
    </row>
    <row r="7142">
      <c r="A7142" t="inlineStr">
        <is>
          <t>ci3n0k</t>
        </is>
      </c>
      <c r="B7142" t="inlineStr">
        <is>
          <t>MY first A1C since Diagnosis</t>
        </is>
      </c>
      <c r="C7142" t="inlineStr">
        <is>
          <t>Im posting this here just because I dont really have anyone else to share it with who will understand the numbers. So I was diagnosed back in early may with T2. I had a fasting glucose of 204 mg/dL and an A1c of 9.7. After 3 months Ive lost around 20 + pounds. And just went to get my follow up. My A1C is down to 6.1.  My Dr was really pleased with my progress. Said to just maintain and keep on with what I was doing as it was working.</t>
        </is>
      </c>
      <c r="D7142" t="n">
        <v>14</v>
      </c>
      <c r="E7142" t="n">
        <v>8</v>
      </c>
      <c r="F7142">
        <f>HYPERLINK("https://www.reddit.com/r/diabetes/comments/ci3n0k/my_first_a1c_since_diagnosis/")</f>
        <v/>
      </c>
      <c r="G7142" t="inlineStr">
        <is>
          <t>2019-07-26 07:36:23</t>
        </is>
      </c>
      <c r="H7142" t="inlineStr">
        <is>
          <t>Type 2</t>
        </is>
      </c>
    </row>
    <row r="7143">
      <c r="A7143" t="inlineStr">
        <is>
          <t>ci5oci</t>
        </is>
      </c>
      <c r="B7143" t="inlineStr">
        <is>
          <t>Going to a theme park as a diabetic - what should I know?</t>
        </is>
      </c>
      <c r="C7143" t="inlineStr">
        <is>
          <t>Hi all. I'll be going to Busch Gardens in (Tampa, FL) this month. I haven't been to a theme park since I was diagnosed Type 1 four years ago. What should I be keeping in mind? I have a Dexcon G6 and Tandem insulin pump. My main worries:
1) Will I have to take my pump off before each ride? I don't want to have to stop by a locker every 30 mins. Also don't want to inconvenience my group of friends. 
2) can I bring outside food into the park? The heat + walking around might make me go lower than normal so I'd want juice boxes on me.
3) will my insulin in my Tandem Tslim cartridge get damages because of the heat? I live in Florida and have never had an issue being in hot weather and damaging insulin but this might be pushing it.
Please let me know if I should be considering anything else! Thanks all!</t>
        </is>
      </c>
      <c r="D7143" t="n">
        <v>1</v>
      </c>
      <c r="E7143" t="n">
        <v>10</v>
      </c>
      <c r="F7143">
        <f>HYPERLINK("https://www.reddit.com/r/diabetes/comments/ci5oci/going_to_a_theme_park_as_a_diabetic_what_should_i/")</f>
        <v/>
      </c>
      <c r="G7143" t="inlineStr">
        <is>
          <t>2019-07-26 10:18:04</t>
        </is>
      </c>
      <c r="H7143" t="inlineStr">
        <is>
          <t>Type 1</t>
        </is>
      </c>
    </row>
    <row r="7144">
      <c r="A7144" t="inlineStr">
        <is>
          <t>ci951o</t>
        </is>
      </c>
      <c r="B7144" t="inlineStr">
        <is>
          <t>Had my lowest A1C at 5.2 without doing keto and simply using Afrezza</t>
        </is>
      </c>
      <c r="C7144" t="inlineStr">
        <is>
          <t>I have followed Dr. Bernstein's plan in the past, to some extent.  But never got this low of an A1C.  The combination of a pump to modulate my basal rate, the use of Afrezza to bolus for meals, and regular exercise finally did it.
I am really fortunate to have a bunch of tools at my disposal though:  pump, CGM, Afrezza.  I know a lot of people can't afford these things or get insurance approval for them.  But I just wanted to say that when you do have these things, achieving "non-diabetic" levels is possible without giving up carbs.
Edit:   Sorry the title is confusing.  I wasn't only using Afrezza.</t>
        </is>
      </c>
      <c r="D7144" t="n">
        <v>6</v>
      </c>
      <c r="E7144" t="n">
        <v>5</v>
      </c>
      <c r="F7144">
        <f>HYPERLINK("https://www.reddit.com/r/diabetes/comments/ci951o/had_my_lowest_a1c_at_52_without_doing_keto_and/")</f>
        <v/>
      </c>
      <c r="G7144" t="inlineStr">
        <is>
          <t>2019-07-26 14:58:32</t>
        </is>
      </c>
      <c r="H7144" t="inlineStr">
        <is>
          <t>Type 1</t>
        </is>
      </c>
    </row>
    <row r="7145">
      <c r="A7145" t="inlineStr">
        <is>
          <t>ciaazt</t>
        </is>
      </c>
      <c r="B7145" t="inlineStr">
        <is>
          <t>Dad diagnosed with Type 2</t>
        </is>
      </c>
      <c r="C7145" t="inlineStr">
        <is>
          <t>So I found out today (technically yesterday as it's gone midnight) that my dad has been diagnosed with type 2 diabetes. Its come out of nowhere really so is a bit of a shock. Hes generally seemed healthier than he has in the past (theres many various issues that arent necessary to get into here) so I'm finding the initial shock quite upsetting, and I think my parents are too. He says he hasn't felt that hes experienced any symptoms really so I'd just like to be as supportive as I can, and really work out what I can do at home to help him implement whatever changes he needs to make to his lifestyle. I'm 21 and live at home so I'll be around him a lot and want to be able to support him so really I was just hoping for some advice on what you've found helpful from the people you live with.
Also hes told me this increases my chance of having diabetes so I was wondering if anyone could give me advice of what I can do to help myself and what's worked for/has helped you.
I'd really appreciate any advice however small because I'm just not sure how to approach this at the moment</t>
        </is>
      </c>
      <c r="D7145" t="n">
        <v>2</v>
      </c>
      <c r="E7145" t="n">
        <v>8</v>
      </c>
      <c r="F7145">
        <f>HYPERLINK("https://www.reddit.com/r/diabetes/comments/ciaazt/dad_diagnosed_with_type_2/")</f>
        <v/>
      </c>
      <c r="G7145" t="inlineStr">
        <is>
          <t>2019-07-26 16:38:55</t>
        </is>
      </c>
      <c r="H7145" t="inlineStr">
        <is>
          <t>Type 2</t>
        </is>
      </c>
    </row>
    <row r="7146">
      <c r="A7146" t="inlineStr">
        <is>
          <t>ciafnf</t>
        </is>
      </c>
      <c r="B7146" t="inlineStr">
        <is>
          <t>Is basal insulin by-itself enough for a type 1 to not go into DKA?</t>
        </is>
      </c>
      <c r="C7146" t="inlineStr">
        <is>
          <t>Theoretically could i live without fast-acting insulin or like a keto diet with very little fast acting?</t>
        </is>
      </c>
      <c r="D7146" t="n">
        <v>2</v>
      </c>
      <c r="E7146" t="n">
        <v>10</v>
      </c>
      <c r="F7146">
        <f>HYPERLINK("https://www.reddit.com/r/diabetes/comments/ciafnf/is_basal_insulin_byitself_enough_for_a_type_1_to/")</f>
        <v/>
      </c>
      <c r="G7146" t="inlineStr">
        <is>
          <t>2019-07-26 16:50:12</t>
        </is>
      </c>
      <c r="H7146" t="inlineStr">
        <is>
          <t>Type 1</t>
        </is>
      </c>
    </row>
    <row r="7147">
      <c r="A7147" t="inlineStr">
        <is>
          <t>cigzc2</t>
        </is>
      </c>
      <c r="B7147" t="inlineStr">
        <is>
          <t>My 64-year-old father was diagnosed with diabetes last year and he isn’t taking it seriously. He eats sweets constantly, eats a ton of carbs, and drinks every day. I’m very worried. What should I do?</t>
        </is>
      </c>
      <c r="C7147" t="inlineStr">
        <is>
          <t>I’ve told him so many times he needs to takes his health seriously. I see him eat bagels for breakfast with a large class of orange juice and another bagel with cocoa pebbles for dinner. At birthday parties and events he eats a ton of cake and other sweets. He’s a semi-recovered alcoholic who still usually drinks 1-2 beers a day but lately  he’s been getting drunk again. He flat out told my mom he doesn’t like her cooking anymore and he doesn’t want to eat the (healthy, diabetic-friendly) meals she makes for him (which is very mean and out of character).
He refuses to change or listen and he’s going to kill himself. I know he’s depressed, but he has a hyper-masculine view on mental heath and would never go see a therapist or take antidepressants. What should I do?</t>
        </is>
      </c>
      <c r="D7147" t="n">
        <v>12</v>
      </c>
      <c r="E7147" t="n">
        <v>8</v>
      </c>
      <c r="F7147">
        <f>HYPERLINK("https://www.reddit.com/r/diabetes/comments/cigzc2/my_64yearold_father_was_diagnosed_with_diabetes/")</f>
        <v/>
      </c>
      <c r="G7147" t="inlineStr">
        <is>
          <t>2019-07-27 05:35:08</t>
        </is>
      </c>
      <c r="H7147" t="inlineStr">
        <is>
          <t>Type 2</t>
        </is>
      </c>
    </row>
    <row r="7148">
      <c r="A7148" t="inlineStr">
        <is>
          <t>cimwft</t>
        </is>
      </c>
      <c r="B7148" t="inlineStr">
        <is>
          <t>Boyfriend (37m) has type 1 and I wish he'd take better care of himself.</t>
        </is>
      </c>
      <c r="C7148" t="inlineStr">
        <is>
          <t>We are long distance.
Before he and I started dating he didn't even test his blood, though he does now. He lives in the UK so it's a bit different than in my states where I am, but I did my research and I can now understand his blood sugar levels, where he is having a hypo, etc. 
He's had a few scary ones but nothing too bad. Once he kept saying he felt funny, like his body didn't belong to him and that he needed to lay down. His words were starting to slur, something that I don't think he noticed, so I asked him to check his blood. He was slightly annoyed at my worry over his health, but checked it and it was 2.8. For those who don't know UK levels, anything under 4.0 is consider a hypo. Around 6 is where they want him to be, so 2.8 is extremely low. 
When he found this out, he goes "Oh..." in an apathetic way, sat down at his desk and began looking around. I asked him if he had anything to eat and he told me he had cookies. He ended up confused, having to ask me to remind him twice about what it was he was just doing and I was scared that once he got up from his computer, he would forget and come back without the cookies. He managed to find them, however and came back to eat them. Once he had eaten enough I let him lay down for a while as I felt it was safe again. 
The scarier times is when he has a hypo while driving. He drives a lot at work and can't eat during certain times. I've been trying to get him to get glucose tablets but he ends up forgetting when he's at the store. 
Lately he's been having some issues with depression. For a while I managed to get him to have a snack before bed as he can sometimes wake up from a hypo in his sleep. There has only been once or twice that he hasn't woken up but it still scares the shit out of me. His depression has lead to him eating less and I am not sure how to help inspire him to eat more. 
Just last night, he had only had one meal for the day. He came home from work really down, went to get food and when he came back (without food mind you) told me that he was just gonna go to bed. His tone was very down when he said this to me and it was crystal clear that he just couldn't deal with anything at the time. When I asked if he had eaten, his tone was still very depressed when he said no. I asked where his blood was at and when he told me that he had no idea, I quickly realized this was a time that I needed to let it go and let him cope how he needed. 
The only thing is that I then spent the next several hours fearful that he'd have a hypo in his sleep. I fear so badly that he just won't wake up and he will have a heart attack or something. He's gotten better since he got his Libre and I imagine it'll be even better when he gets this insulin pump thing for his arm (I can't remmeber what it's called but it goes on his arm). But that will be a while. 
How in the mean time can I inspire him to take better care of himself. Or am I just overreacting here? I don't want to annoy him with my constant pestering about his health.</t>
        </is>
      </c>
      <c r="D7148" t="n">
        <v>7</v>
      </c>
      <c r="E7148" t="n">
        <v>12</v>
      </c>
      <c r="F7148">
        <f>HYPERLINK("https://www.reddit.com/r/diabetes/comments/cimwft/boyfriend_37m_has_type_1_and_i_wish_hed_take/")</f>
        <v/>
      </c>
      <c r="G7148" t="inlineStr">
        <is>
          <t>2019-07-27 14:01:24</t>
        </is>
      </c>
      <c r="H7148" t="inlineStr">
        <is>
          <t>Type 1</t>
        </is>
      </c>
    </row>
    <row r="7149">
      <c r="A7149" t="inlineStr">
        <is>
          <t>cino60</t>
        </is>
      </c>
      <c r="B7149" t="inlineStr">
        <is>
          <t>Getting diagnosed with type 1 at around 19. What was your story?</t>
        </is>
      </c>
      <c r="C7149" t="inlineStr">
        <is>
          <t>I just wanted to know if anyone else here was diagnosed at around the age of 19-20 and what your story was. What was your diagnosis like and how were you treated when you were at the doctor or hospital?</t>
        </is>
      </c>
      <c r="D7149" t="n">
        <v>11</v>
      </c>
      <c r="E7149" t="n">
        <v>12</v>
      </c>
      <c r="F7149">
        <f>HYPERLINK("https://www.reddit.com/r/diabetes/comments/cino60/getting_diagnosed_with_type_1_at_around_19_what/")</f>
        <v/>
      </c>
      <c r="G7149" t="inlineStr">
        <is>
          <t>2019-07-27 15:07:49</t>
        </is>
      </c>
      <c r="H7149" t="inlineStr">
        <is>
          <t>Type 1</t>
        </is>
      </c>
    </row>
    <row r="7150">
      <c r="A7150" t="inlineStr">
        <is>
          <t>cinzi5</t>
        </is>
      </c>
      <c r="B7150" t="inlineStr">
        <is>
          <t>My first diaversary</t>
        </is>
      </c>
      <c r="C7150" t="inlineStr">
        <is>
          <t>It's my first diaversary today! One year with type 1. My recent hba1c is 5.6 so I'm definitely still honeymooning, but it's been an interesting year. A few lows, many highs, and I became a cyborg with a libre.</t>
        </is>
      </c>
      <c r="D7150" t="n">
        <v>31</v>
      </c>
      <c r="E7150" t="n">
        <v>4</v>
      </c>
      <c r="F7150">
        <f>HYPERLINK("https://www.reddit.com/r/diabetes/comments/cinzi5/my_first_diaversary/")</f>
        <v/>
      </c>
      <c r="G7150" t="inlineStr">
        <is>
          <t>2019-07-27 15:36:15</t>
        </is>
      </c>
      <c r="H7150" t="inlineStr">
        <is>
          <t>Type 1</t>
        </is>
      </c>
    </row>
    <row r="7151">
      <c r="A7151" t="inlineStr">
        <is>
          <t>cippyn</t>
        </is>
      </c>
      <c r="B7151" t="inlineStr">
        <is>
          <t>Lost Insurance</t>
        </is>
      </c>
      <c r="C7151" t="inlineStr">
        <is>
          <t>I was diagnosed at 30 with T2. I was put on insulin pill and managed to come off it within 6 months and stayed diet controlled for 14 years. I have lost my insurance within the past 2 years and now I feel like my sugar is staying way to high. Any idea on what will help me get it down and maybe keep it down. I am having to eat cheaper made meals since we are down to 1 income in the household. I just need ideas...</t>
        </is>
      </c>
      <c r="D7151" t="n">
        <v>2</v>
      </c>
      <c r="E7151" t="n">
        <v>12</v>
      </c>
      <c r="F7151">
        <f>HYPERLINK("https://www.reddit.com/r/diabetes/comments/cippyn/lost_insurance/")</f>
        <v/>
      </c>
      <c r="G7151" t="inlineStr">
        <is>
          <t>2019-07-27 18:16:26</t>
        </is>
      </c>
      <c r="H7151" t="inlineStr">
        <is>
          <t>Type 2</t>
        </is>
      </c>
    </row>
    <row r="7152">
      <c r="A7152" t="inlineStr">
        <is>
          <t>ciwz53</t>
        </is>
      </c>
      <c r="B7152" t="inlineStr">
        <is>
          <t>Share some positive news</t>
        </is>
      </c>
      <c r="C7152" t="inlineStr">
        <is>
          <t>I was diagnosed with uncontrolled type II 3 months ago with A1C @ 9.1 .  Me and my partner drastically changed our diet, pretty much eliminated standard wheat flour and sugar, though allowing whole grains in moderation(a few times a week whole wheat pita or sprouted grain corn tortilla).  Went through some serious problems with metformin, then switched to januvia.  Kept to the spirit of the diet (less than 100 carbs max/day and trying to make sure they are "good" carbs, typically just trying to make what seems like the best choice in any situation)...having a bit of dark chocolate as a dessert help me stay sane.  
First A1C measurement after 3 months was 5.9 .  It feels good to be in some form of control over this and just hope I can keep up with it.  This subreddit in particular has been of great value to me.
Thanks!</t>
        </is>
      </c>
      <c r="D7152" t="n">
        <v>9</v>
      </c>
      <c r="E7152" t="n">
        <v>5</v>
      </c>
      <c r="F7152">
        <f>HYPERLINK("https://www.reddit.com/r/diabetes/comments/ciwz53/share_some_positive_news/")</f>
        <v/>
      </c>
      <c r="G7152" t="inlineStr">
        <is>
          <t>2019-07-28 08:14:21</t>
        </is>
      </c>
      <c r="H7152" t="inlineStr">
        <is>
          <t>Type 2</t>
        </is>
      </c>
    </row>
    <row r="7153">
      <c r="A7153" t="inlineStr">
        <is>
          <t>cixoel</t>
        </is>
      </c>
      <c r="B7153" t="inlineStr">
        <is>
          <t>Does anyone know co$t per box (5 pens I think) of Novorapid pens in Canada?</t>
        </is>
      </c>
      <c r="C7153" t="inlineStr">
        <is>
          <t>Thinking about driving up from U.S. to purchase. I read it's significantly cheaper to walk in to pharmacy than mail order.</t>
        </is>
      </c>
      <c r="D7153" t="n">
        <v>7</v>
      </c>
      <c r="E7153" t="n">
        <v>10</v>
      </c>
      <c r="F7153">
        <f>HYPERLINK("https://www.reddit.com/r/diabetes/comments/cixoel/does_anyone_know_cot_per_box_5_pens_i_think_of/")</f>
        <v/>
      </c>
      <c r="G7153" t="inlineStr">
        <is>
          <t>2019-07-28 09:10:40</t>
        </is>
      </c>
      <c r="H7153" t="inlineStr">
        <is>
          <t>Type 2</t>
        </is>
      </c>
    </row>
    <row r="7154">
      <c r="A7154" t="inlineStr">
        <is>
          <t>ciyncg</t>
        </is>
      </c>
      <c r="B7154" t="inlineStr">
        <is>
          <t>hiking tips</t>
        </is>
      </c>
      <c r="C7154" t="inlineStr">
        <is>
          <t>So i am going to go hiking in a month. its going to last 6 days. can you guys share tips how i could prepare better, i am worried how i can keep my insulin cool during the hike.</t>
        </is>
      </c>
      <c r="D7154" t="n">
        <v>3</v>
      </c>
      <c r="E7154" t="n">
        <v>5</v>
      </c>
      <c r="F7154">
        <f>HYPERLINK("https://www.reddit.com/r/diabetes/comments/ciyncg/hiking_tips/")</f>
        <v/>
      </c>
      <c r="G7154" t="inlineStr">
        <is>
          <t>2019-07-28 10:28:44</t>
        </is>
      </c>
      <c r="H7154" t="inlineStr">
        <is>
          <t>Type 1</t>
        </is>
      </c>
    </row>
    <row r="7155">
      <c r="A7155" t="inlineStr">
        <is>
          <t>cj18kf</t>
        </is>
      </c>
      <c r="B7155" t="inlineStr">
        <is>
          <t>Someone called the cops on me.</t>
        </is>
      </c>
      <c r="C7155" t="inlineStr">
        <is>
          <t>I got the cops called on me for taking my insulin shot in public. I had just gotten some fast food, and went out to my car to take my shot, instead of doing it inside.  
When I had gone outside, I accidentally tried getting into the wrong car, one that looked similar to mine. I realized, and started beating myself up about it while walking towards my car, because I get stressed easily about that kind of stuff, and I had already been stressing about my diabetes beforehand. Someone watching me act that way, then get into my car and stab myself with my insulin pen, would probably assume I was on something.  
I only found out about it because my uncle is a cop, and he told me the day after. When he received the call, the callers description helped him find out it was me, and he knows about my diabetes, so thankfully nothing happened.</t>
        </is>
      </c>
      <c r="D7155" t="n">
        <v>1</v>
      </c>
      <c r="E7155" t="n">
        <v>0</v>
      </c>
      <c r="F7155">
        <f>HYPERLINK("https://www.reddit.com/r/diabetes/comments/cj18kf/someone_called_the_cops_on_me/")</f>
        <v/>
      </c>
      <c r="G7155" t="inlineStr">
        <is>
          <t>2019-07-28 13:51:25</t>
        </is>
      </c>
      <c r="H7155" t="inlineStr">
        <is>
          <t>Type 1</t>
        </is>
      </c>
    </row>
    <row r="7156">
      <c r="A7156" t="inlineStr">
        <is>
          <t>cj48c6</t>
        </is>
      </c>
      <c r="B7156" t="inlineStr">
        <is>
          <t>Effect of a concussion on bloodsugar?</t>
        </is>
      </c>
      <c r="C7156" t="inlineStr">
        <is>
          <t>I'm hoping someone can provide some insight. I incurred a concussion a a few weeks ago. I've been recovering mostly fine - lingering headaches and trouble after working too long without a break, but otherwise mostly fine. However, my bloodsugar is completely out of control. I've more than doubled my basal and boluses and I'm still struggling to stay under 500. This has been going on since the concussion - though I have gotten the occasional low just to mix things up. (I've changed my pump, tried injections, and tried insulin from different lots, so I'm thinking this one is probably on me).
Has anyone dealt with this? I've got an appointment with my endo next week, but I'm guessing he's going to tell me to take more insulin and not be able to offer more assistance.</t>
        </is>
      </c>
      <c r="D7156" t="n">
        <v>2</v>
      </c>
      <c r="E7156" t="n">
        <v>1</v>
      </c>
      <c r="F7156">
        <f>HYPERLINK("https://www.reddit.com/r/diabetes/comments/cj48c6/effect_of_a_concussion_on_bloodsugar/")</f>
        <v/>
      </c>
      <c r="G7156" t="inlineStr">
        <is>
          <t>2019-07-28 18:08:03</t>
        </is>
      </c>
      <c r="H7156" t="inlineStr">
        <is>
          <t>Type 1</t>
        </is>
      </c>
    </row>
    <row r="7157">
      <c r="A7157" t="inlineStr">
        <is>
          <t>cj73te</t>
        </is>
      </c>
      <c r="B7157" t="inlineStr">
        <is>
          <t>CGM placement</t>
        </is>
      </c>
      <c r="C7157" t="inlineStr">
        <is>
          <t>I just got some cgm sensors delivered today, for people that use them where do you find is best for placement? And do you find they are as accurate as normal testing?</t>
        </is>
      </c>
      <c r="D7157" t="n">
        <v>2</v>
      </c>
      <c r="E7157" t="n">
        <v>5</v>
      </c>
      <c r="F7157">
        <f>HYPERLINK("https://www.reddit.com/r/diabetes/comments/cj73te/cgm_placement/")</f>
        <v/>
      </c>
      <c r="G7157" t="inlineStr">
        <is>
          <t>2019-07-28 22:52:41</t>
        </is>
      </c>
      <c r="H7157" t="inlineStr">
        <is>
          <t>Type 1</t>
        </is>
      </c>
    </row>
    <row r="7158">
      <c r="A7158" t="inlineStr">
        <is>
          <t>cj9cdr</t>
        </is>
      </c>
      <c r="B7158" t="inlineStr">
        <is>
          <t>Recently been diagnosed with hyperinsulinemia</t>
        </is>
      </c>
      <c r="C7158" t="inlineStr">
        <is>
          <t>I am lost on my options, I am trying to diet, but everywhere I look they seem to give out different information.  
The doctor wants to do more tests and therefore doesn't want to start any treatment yet. I am looking for advice on what to do next. I had already started to believe I am making my symptoms up, as my performance at work dropped, I am kinda relieved to know it was not all in my head. I'm just so tired all the time. Thanks for your time to read this</t>
        </is>
      </c>
      <c r="D7158" t="n">
        <v>4</v>
      </c>
      <c r="E7158" t="n">
        <v>7</v>
      </c>
      <c r="F7158">
        <f>HYPERLINK("https://www.reddit.com/r/diabetes/comments/cj9cdr/recently_been_diagnosed_with_hyperinsulinemia/")</f>
        <v/>
      </c>
      <c r="G7158" t="inlineStr">
        <is>
          <t>2019-07-29 03:18:16</t>
        </is>
      </c>
      <c r="H7158" t="inlineStr">
        <is>
          <t>Type 2</t>
        </is>
      </c>
    </row>
    <row r="7159">
      <c r="A7159" t="inlineStr">
        <is>
          <t>cjg8jd</t>
        </is>
      </c>
      <c r="B7159" t="inlineStr">
        <is>
          <t>Recently joined gym. Using Libre. What do you use to keep Libre in place?</t>
        </is>
      </c>
      <c r="C7159" t="inlineStr">
        <is>
          <t>I’ve been using tegaderm to keep it in place but I’ve noticed that it peels off after an intense workout. The sweat just dislodges the stickiness. 
I’m in the UK. Last Libre peeled off 9 days into using it, and with tegaderm on. I just lightly caught it on the door and it was off. 
Would love to hear what worked for you. 
Thanks.</t>
        </is>
      </c>
      <c r="D7159" t="n">
        <v>3</v>
      </c>
      <c r="E7159" t="n">
        <v>17</v>
      </c>
      <c r="F7159">
        <f>HYPERLINK("https://www.reddit.com/r/diabetes/comments/cjg8jd/recently_joined_gym_using_libre_what_do_you_use/")</f>
        <v/>
      </c>
      <c r="G7159" t="inlineStr">
        <is>
          <t>2019-07-29 12:39:24</t>
        </is>
      </c>
      <c r="H7159" t="inlineStr">
        <is>
          <t>Type 1</t>
        </is>
      </c>
    </row>
    <row r="7160">
      <c r="A7160" t="inlineStr">
        <is>
          <t>cjilmg</t>
        </is>
      </c>
      <c r="B7160" t="inlineStr">
        <is>
          <t>Just diagnosed Type 2. I am scared.</t>
        </is>
      </c>
      <c r="C7160" t="inlineStr">
        <is>
          <t xml:space="preserve"> I'm scared. Angry at myself. I'm only 37 years old. I hate my body. Want to just give up. My doc says this is something I won't be able to cure, so I will have to deal with it for the rest of my life. I have been overweight for a while, trying to lose weight and be healthier when this hits me. I don't even know where to start, I am so overwhelmed. I love eating good food and a lot of it and I know it needs to stop but I feel like whatever I put in my mouth from now on is going to just be a death sentence for me. I am sorry for the rant, I just needed to vent somewhere where people would understand :(</t>
        </is>
      </c>
      <c r="D7160" t="n">
        <v>6</v>
      </c>
      <c r="E7160" t="n">
        <v>15</v>
      </c>
      <c r="F7160">
        <f>HYPERLINK("https://www.reddit.com/r/diabetes/comments/cjilmg/just_diagnosed_type_2_i_am_scared/")</f>
        <v/>
      </c>
      <c r="G7160" t="inlineStr">
        <is>
          <t>2019-07-29 15:34:19</t>
        </is>
      </c>
      <c r="H7160" t="inlineStr">
        <is>
          <t>Type 2</t>
        </is>
      </c>
    </row>
    <row r="7161">
      <c r="A7161" t="inlineStr">
        <is>
          <t>cjm9sp</t>
        </is>
      </c>
      <c r="B7161" t="inlineStr">
        <is>
          <t>in need for a diabetic guru</t>
        </is>
      </c>
      <c r="C7161" t="inlineStr">
        <is>
          <t>i am 17 &amp;amp; i am type 1 diabetic since the age of 8. i always took care of it alone not bc my parents would not help me but because i always considered it like MY issue. they sometimes count my carbohydrates and stuff but they can’t really do something about me writing it, injecting myself or taking my blood test. it’s been 4 or 5 years since i don’t do much, i give insulin when i eat but nothing too precise, i don’t take my blood test and don’t write anything down. i just don’t feel like it &amp;amp; i’m finding this hard to put energy in something i hate. i feel like i am
disappointing my parents and my doctor who are worried. i am scarred too.  i am leaving the house, going in appartement with my bestie, i want it to go well, to be a brand new start. i know that i can, i just don’t know where to start; like my life style is sooo not matching with it. help me, what can i do to make it easier?</t>
        </is>
      </c>
      <c r="D7161" t="n">
        <v>6</v>
      </c>
      <c r="E7161" t="n">
        <v>15</v>
      </c>
      <c r="F7161">
        <f>HYPERLINK("https://www.reddit.com/r/diabetes/comments/cjm9sp/in_need_for_a_diabetic_guru/")</f>
        <v/>
      </c>
      <c r="G7161" t="inlineStr">
        <is>
          <t>2019-07-29 20:52:04</t>
        </is>
      </c>
      <c r="H7161" t="inlineStr">
        <is>
          <t>Type 1</t>
        </is>
      </c>
    </row>
    <row r="7162">
      <c r="A7162" t="inlineStr">
        <is>
          <t>cjr0ii</t>
        </is>
      </c>
      <c r="B7162" t="inlineStr">
        <is>
          <t>Lantus burns?</t>
        </is>
      </c>
      <c r="C7162" t="inlineStr">
        <is>
          <t>I’ve recently started using Lantus (Glargine? more like glaarrgghine) and it quite often burns harder than the average soul in hell.
I’m curious if people have the same experience with insulins like Levemir and Tresiba?</t>
        </is>
      </c>
      <c r="D7162" t="n">
        <v>3</v>
      </c>
      <c r="E7162" t="n">
        <v>36</v>
      </c>
      <c r="F7162">
        <f>HYPERLINK("https://www.reddit.com/r/diabetes/comments/cjr0ii/lantus_burns/")</f>
        <v/>
      </c>
      <c r="G7162" t="inlineStr">
        <is>
          <t>2019-07-30 05:24:35</t>
        </is>
      </c>
      <c r="H7162" t="inlineStr">
        <is>
          <t>Type 1</t>
        </is>
      </c>
    </row>
    <row r="7163">
      <c r="A7163" t="inlineStr">
        <is>
          <t>cjrm02</t>
        </is>
      </c>
      <c r="B7163" t="inlineStr">
        <is>
          <t>Different readings on finger sticks?</t>
        </is>
      </c>
      <c r="C7163" t="inlineStr">
        <is>
          <t>So I was doing a calibration test for my CGM and it asked me to take two different readings to calibrate. My left index finger gave a 107, and my right pinky gave 150. Kind of threw me off so I did a quick check of each finger. All fingers gave a reading close to the first. Is there any reason one finger would give a completely different reading? Or is it possibly a bad stick?</t>
        </is>
      </c>
      <c r="D7163" t="n">
        <v>3</v>
      </c>
      <c r="E7163" t="n">
        <v>9</v>
      </c>
      <c r="F7163">
        <f>HYPERLINK("https://www.reddit.com/r/diabetes/comments/cjrm02/different_readings_on_finger_sticks/")</f>
        <v/>
      </c>
      <c r="G7163" t="inlineStr">
        <is>
          <t>2019-07-30 06:15:21</t>
        </is>
      </c>
      <c r="H7163" t="inlineStr">
        <is>
          <t>Type 1</t>
        </is>
      </c>
    </row>
    <row r="7164">
      <c r="A7164" t="inlineStr">
        <is>
          <t>cjuigp</t>
        </is>
      </c>
      <c r="B7164" t="inlineStr">
        <is>
          <t>Parent of a T1 child, need pointers for vacation/roadtrip</t>
        </is>
      </c>
      <c r="C7164" t="inlineStr">
        <is>
          <t>My 6 year has type 1 and we are taking a family vacation to disney in a few weeks.  There will be approximately 20 hours of driving each way during the trip.  This is the first road trip we have taken since his diagnosis.  He is not on a pump or cgm, we use pens (lantus and humalog).  I am looking to be as prepared as possible.  I have a good grasp of the basics: food and juice for any hypos, his basic kit and supplies, back up insulin pens just in case, ice packs to keep in carrying case.
Is there anything anyone would additionally recommend that I may not be thinking about?</t>
        </is>
      </c>
      <c r="D7164" t="n">
        <v>7</v>
      </c>
      <c r="E7164" t="n">
        <v>13</v>
      </c>
      <c r="F7164">
        <f>HYPERLINK("https://www.reddit.com/r/diabetes/comments/cjuigp/parent_of_a_t1_child_need_pointers_for/")</f>
        <v/>
      </c>
      <c r="G7164" t="inlineStr">
        <is>
          <t>2019-07-30 09:51:14</t>
        </is>
      </c>
      <c r="H7164" t="inlineStr">
        <is>
          <t>Type 1</t>
        </is>
      </c>
    </row>
    <row r="7165">
      <c r="A7165" t="inlineStr">
        <is>
          <t>cjx79r</t>
        </is>
      </c>
      <c r="B7165" t="inlineStr">
        <is>
          <t>Does the intermittent fasting have the effect on Type 1 diabetics as on the regular person? Has anyone been doing IF and what were your results?</t>
        </is>
      </c>
      <c r="C7165" t="inlineStr">
        <is>
          <t xml:space="preserve">
I’d love to hear more about this. When I asked my diabetes team, they’ve said that there is no point of doing IF because it doesn’t do the same thing it does as for people who don’t have type 1. 
I’d love to hear from those who have done it and more about your results. 
Thank you.</t>
        </is>
      </c>
      <c r="D7165" t="n">
        <v>2</v>
      </c>
      <c r="E7165" t="n">
        <v>5</v>
      </c>
      <c r="F7165">
        <f>HYPERLINK("https://www.reddit.com/r/diabetes/comments/cjx79r/does_the_intermittent_fasting_have_the_effect_on/")</f>
        <v/>
      </c>
      <c r="G7165" t="inlineStr">
        <is>
          <t>2019-07-30 13:01:35</t>
        </is>
      </c>
      <c r="H7165" t="inlineStr">
        <is>
          <t>Type 1</t>
        </is>
      </c>
    </row>
    <row r="7166">
      <c r="A7166" t="inlineStr">
        <is>
          <t>ck0qwl</t>
        </is>
      </c>
      <c r="B7166" t="inlineStr">
        <is>
          <t>From Berlin straight to the ICU</t>
        </is>
      </c>
      <c r="C7166" t="inlineStr">
        <is>
          <t>So I was just diagnosed with T1D about six days ago after returning from a German exchange program and wanted to share this fun time I had. So even before this two weeks exchange program I had been having some symptoms of diabetes (drinking and peeing alot) but I had no idea what it was and did not really mention it. This was a mistake. See I spent two weeks in Germany, in that time my symptoms only got worse untill in the last two days I was having difficulty standing. I should also note that it was super hot in Berlin so that was also fun. When I get home off the plane my mom automatically notices the fact that I had lost 30lbs during the trip (my dumbass was just like "this is fine") so I go to the doctor who sends me to the ER. As it so happens I was in kitosis (no idea how to spell that). So I get sent to the ICU and get the diagnosis then cry for a while. The rest of the day is somewhat uneventful and the next day I get the diabetes education. But that night they start me on insulin injection instead of drip. That night I woke up with a head ace and decided to mention it to my nurse. As it so happens my blood sugar was at a 49. Although the Endo said that was probably good so I could feel the effects of low sugar in a controlled environment. As of now I am out of the hospital and doing about as well as I can for a cronic diagnosis. Although I am still having some issues wrangleing my blood sugar down.</t>
        </is>
      </c>
      <c r="D7166" t="n">
        <v>5</v>
      </c>
      <c r="E7166" t="n">
        <v>2</v>
      </c>
      <c r="F7166">
        <f>HYPERLINK("https://www.reddit.com/r/diabetes/comments/ck0qwl/from_berlin_straight_to_the_icu/")</f>
        <v/>
      </c>
      <c r="G7166" t="inlineStr">
        <is>
          <t>2019-07-30 17:31:30</t>
        </is>
      </c>
      <c r="H7166" t="inlineStr">
        <is>
          <t>Type 1</t>
        </is>
      </c>
    </row>
    <row r="7167">
      <c r="A7167" t="inlineStr">
        <is>
          <t>ck0rq5</t>
        </is>
      </c>
      <c r="B7167" t="inlineStr">
        <is>
          <t>Might have frozen my Humalog accidentally?</t>
        </is>
      </c>
      <c r="C7167" t="inlineStr">
        <is>
          <t>Hi,
Type 1 diagnosed in March not really sure what i'm doing.  Anyways i'm on humalog and I woke up the other day with suddenly items in my fridge were frozen.  But not all of them.  Not sure how it happened but my typical carb/unit ratio hasn't worked with my new pen and my glucose is a bit higher.  I'm thinking this is the "lose potency" part that happens if frozen (i read about this) but I want to check for sure before just throwing out this expensive shit.  Is there a way to tell by physical appearance on the pen or something that it was frozen?</t>
        </is>
      </c>
      <c r="D7167" t="n">
        <v>2</v>
      </c>
      <c r="E7167" t="n">
        <v>3</v>
      </c>
      <c r="F7167">
        <f>HYPERLINK("https://www.reddit.com/r/diabetes/comments/ck0rq5/might_have_frozen_my_humalog_accidentally/")</f>
        <v/>
      </c>
      <c r="G7167" t="inlineStr">
        <is>
          <t>2019-07-30 17:33:24</t>
        </is>
      </c>
      <c r="H7167" t="inlineStr">
        <is>
          <t>Type 1</t>
        </is>
      </c>
    </row>
    <row r="7168">
      <c r="A7168" t="inlineStr">
        <is>
          <t>ck2u0f</t>
        </is>
      </c>
      <c r="B7168" t="inlineStr">
        <is>
          <t>Odd Questions From Dexcom Support for G6 CGM</t>
        </is>
      </c>
      <c r="C7168" t="inlineStr">
        <is>
          <t>Called dexcom for a failing sensor and they had all these questions about whether the CGM was purchased in the United States, inserted in the United States, started in the United States. Weird. Would something happen if you cross the border then start the sensor? ¯\\\_(ツ)\_/¯</t>
        </is>
      </c>
      <c r="D7168" t="n">
        <v>2</v>
      </c>
      <c r="E7168" t="n">
        <v>9</v>
      </c>
      <c r="F7168">
        <f>HYPERLINK("https://www.reddit.com/r/diabetes/comments/ck2u0f/odd_questions_from_dexcom_support_for_g6_cgm/")</f>
        <v/>
      </c>
      <c r="G7168" t="inlineStr">
        <is>
          <t>2019-07-30 20:34:26</t>
        </is>
      </c>
      <c r="H7168" t="inlineStr">
        <is>
          <t>Type 1</t>
        </is>
      </c>
    </row>
    <row r="7169">
      <c r="A7169" t="inlineStr">
        <is>
          <t>ck46xp</t>
        </is>
      </c>
      <c r="B7169" t="inlineStr">
        <is>
          <t>I broke my record for my lowest sugar. It's a whopping 39 and my hands are shaking so bad right now.</t>
        </is>
      </c>
      <c r="C7169" t="inlineStr">
        <is>
          <t>Yes, I have treated the low with about 50 grams of fast carbs</t>
        </is>
      </c>
      <c r="D7169" t="n">
        <v>10</v>
      </c>
      <c r="E7169" t="n">
        <v>8</v>
      </c>
      <c r="F7169">
        <f>HYPERLINK("https://www.reddit.com/r/diabetes/comments/ck46xp/i_broke_my_record_for_my_lowest_sugar_its_a/")</f>
        <v/>
      </c>
      <c r="G7169" t="inlineStr">
        <is>
          <t>2019-07-30 22:46:24</t>
        </is>
      </c>
      <c r="H7169" t="inlineStr">
        <is>
          <t>Type 1</t>
        </is>
      </c>
    </row>
    <row r="7170">
      <c r="A7170" t="inlineStr">
        <is>
          <t>ck5mrc</t>
        </is>
      </c>
      <c r="B7170" t="inlineStr">
        <is>
          <t>How does mental stress from video gaming affect Diabetes?</t>
        </is>
      </c>
      <c r="C7170" t="inlineStr">
        <is>
          <t>How does stress from competitive online multiplayer gaming affect the disease progression? Is it okay to do if you control your diet and exercise anyway?</t>
        </is>
      </c>
      <c r="D7170" t="n">
        <v>0</v>
      </c>
      <c r="E7170" t="n">
        <v>3</v>
      </c>
      <c r="F7170">
        <f>HYPERLINK("https://www.reddit.com/r/diabetes/comments/ck5mrc/how_does_mental_stress_from_video_gaming_affect/")</f>
        <v/>
      </c>
      <c r="G7170" t="inlineStr">
        <is>
          <t>2019-07-31 01:30:36</t>
        </is>
      </c>
      <c r="H7170" t="inlineStr">
        <is>
          <t>Type 2</t>
        </is>
      </c>
    </row>
    <row r="7171">
      <c r="A7171" t="inlineStr">
        <is>
          <t>ck6vru</t>
        </is>
      </c>
      <c r="B7171" t="inlineStr">
        <is>
          <t>health insurance in ontario</t>
        </is>
      </c>
      <c r="C7171" t="inlineStr">
        <is>
          <t>I was diagnosed with type 1 a month ago. Yesterday I recieved a letter from my wife's insurance provider that I have been denied benefits due to my condition. http://imgur.com/gallery/gbkTinz
I'm stressing about prescription costs.
Can anyone recommend a drug insurance company in Ontario Canada that I may have better luck with? Perhaps one that doesn't require questionnaires?</t>
        </is>
      </c>
      <c r="D7171" t="n">
        <v>3</v>
      </c>
      <c r="E7171" t="n">
        <v>7</v>
      </c>
      <c r="F7171">
        <f>HYPERLINK("https://www.reddit.com/r/diabetes/comments/ck6vru/health_insurance_in_ontario/")</f>
        <v/>
      </c>
      <c r="G7171" t="inlineStr">
        <is>
          <t>2019-07-31 03:55:07</t>
        </is>
      </c>
      <c r="H7171" t="inlineStr">
        <is>
          <t>Type 1</t>
        </is>
      </c>
    </row>
    <row r="7172">
      <c r="A7172" t="inlineStr">
        <is>
          <t>ck8wo5</t>
        </is>
      </c>
      <c r="B7172" t="inlineStr">
        <is>
          <t>A Day In The Life</t>
        </is>
      </c>
      <c r="C7172" t="inlineStr">
        <is>
          <t>Hi there everyone! T1D for 16 years and an exercise physiologist! This is going to be my first post on Reddit after lurking for quite some time. Long story short, I work for a company that specifically helps individuals living with diabetes reach their fitness goals through multiple different variables &amp;amp; factors. (YES - something like that exists!) A couple of months ago I had a 'not so normal' diabetes day, or so one would think! I decided to write up a quick blog going through my experience every couple of hours that day. Can anyone here relate to some of the daily struggles with diabetes?</t>
        </is>
      </c>
      <c r="D7172" t="n">
        <v>6</v>
      </c>
      <c r="E7172" t="n">
        <v>0</v>
      </c>
      <c r="F7172">
        <f>HYPERLINK("https://www.reddit.com/r/diabetes/comments/ck8wo5/a_day_in_the_life/")</f>
        <v/>
      </c>
      <c r="G7172" t="inlineStr">
        <is>
          <t>2019-07-31 07:02:41</t>
        </is>
      </c>
      <c r="H7172" t="inlineStr">
        <is>
          <t>Type 1</t>
        </is>
      </c>
    </row>
    <row r="7173">
      <c r="A7173" t="inlineStr">
        <is>
          <t>ck8wro</t>
        </is>
      </c>
      <c r="B7173" t="inlineStr">
        <is>
          <t>What can we do to encourage a faster acting insulin that could work with closed loop systems?</t>
        </is>
      </c>
      <c r="C7173" t="inlineStr">
        <is>
          <t>I am on  the Loop system which automatically adjusts my insulin levels based on what my Dexcom tells it.  This still involves a lot of feedback from me and does not cure my diabetes.  Medtronic is also developing an FDA approved \[closed loop system\]([http://med-staging.egroup-dev.com/blog/fda-approves-minimed-670g-system-worlds-first-hybrid-closed-loop-system/](http://med-staging.egroup-dev.com/blog/fda-approves-minimed-670g-system-worlds-first-hybrid-closed-loop-system/)). With an ultra fast acting insulin. like the natural one that all of our friends have, this would effectively eliminate highs and lows. Has anyone heard of anything like this? Any ideas as to how we can make this happen?</t>
        </is>
      </c>
      <c r="D7173" t="n">
        <v>7</v>
      </c>
      <c r="E7173" t="n">
        <v>11</v>
      </c>
      <c r="F7173">
        <f>HYPERLINK("https://www.reddit.com/r/diabetes/comments/ck8wro/what_can_we_do_to_encourage_a_faster_acting/")</f>
        <v/>
      </c>
      <c r="G7173" t="inlineStr">
        <is>
          <t>2019-07-31 07:02:51</t>
        </is>
      </c>
      <c r="H7173" t="inlineStr">
        <is>
          <t>Type 1</t>
        </is>
      </c>
    </row>
    <row r="7174">
      <c r="A7174" t="inlineStr">
        <is>
          <t>cka2dr</t>
        </is>
      </c>
      <c r="B7174" t="inlineStr">
        <is>
          <t>Does Dexcom shipping speed suck for anyone else?</t>
        </is>
      </c>
      <c r="C7174" t="inlineStr">
        <is>
          <t>Does anyone else have issues with Dexcom taking over a WEEK to ship out their supplies? 
I don’t get the point of all the “faster” shipping options (next day/2-day,etc) when you have to wait at least 7-10 days before it even ships in the first place.</t>
        </is>
      </c>
      <c r="D7174" t="n">
        <v>8</v>
      </c>
      <c r="E7174" t="n">
        <v>6</v>
      </c>
      <c r="F7174">
        <f>HYPERLINK("https://www.reddit.com/r/diabetes/comments/cka2dr/does_dexcom_shipping_speed_suck_for_anyone_else/")</f>
        <v/>
      </c>
      <c r="G7174" t="inlineStr">
        <is>
          <t>2019-07-31 08:37:44</t>
        </is>
      </c>
      <c r="H7174" t="inlineStr">
        <is>
          <t>Type 1</t>
        </is>
      </c>
    </row>
    <row r="7175">
      <c r="A7175" t="inlineStr">
        <is>
          <t>ckcma1</t>
        </is>
      </c>
      <c r="B7175" t="inlineStr">
        <is>
          <t>Just diagnosed type 1 need advice</t>
        </is>
      </c>
      <c r="C7175" t="inlineStr">
        <is>
          <t>I was diagnosed type 1 about 2 days ago I was put in hospital for 2 days, vision was blurry and i was thirsty was my first sings. Im 18 and have endo appointment scheduled a week out but I dont know what im doing essentially everything is new to me. Any advice for new people, like are there any apps that can help track carbs and things of that nature. Just anything helps Im still learning a lot.</t>
        </is>
      </c>
      <c r="D7175" t="n">
        <v>7</v>
      </c>
      <c r="E7175" t="n">
        <v>15</v>
      </c>
      <c r="F7175">
        <f>HYPERLINK("https://www.reddit.com/r/diabetes/comments/ckcma1/just_diagnosed_type_1_need_advice/")</f>
        <v/>
      </c>
      <c r="G7175" t="inlineStr">
        <is>
          <t>2019-07-31 11:46:16</t>
        </is>
      </c>
      <c r="H7175" t="inlineStr">
        <is>
          <t>Type 1</t>
        </is>
      </c>
    </row>
    <row r="7176">
      <c r="A7176" t="inlineStr">
        <is>
          <t>ckg26b</t>
        </is>
      </c>
      <c r="B7176" t="inlineStr">
        <is>
          <t>Dexcom g6 calibrate trouble</t>
        </is>
      </c>
      <c r="C7176" t="inlineStr">
        <is>
          <t>So I was wondering if anyone else has this problem? My receiver will not calibrate no matter how many times I've tried. Ive been trying every 15 minutes for the last 5 hours now. My fingers really hurt. I'm ready to give up. Tech support won't even respond.</t>
        </is>
      </c>
      <c r="D7176" t="n">
        <v>2</v>
      </c>
      <c r="E7176" t="n">
        <v>6</v>
      </c>
      <c r="F7176">
        <f>HYPERLINK("https://www.reddit.com/r/diabetes/comments/ckg26b/dexcom_g6_calibrate_trouble/")</f>
        <v/>
      </c>
      <c r="G7176" t="inlineStr">
        <is>
          <t>2019-07-31 16:14:21</t>
        </is>
      </c>
      <c r="H7176" t="inlineStr">
        <is>
          <t>Type 1</t>
        </is>
      </c>
    </row>
    <row r="7177">
      <c r="A7177" t="inlineStr">
        <is>
          <t>ckizi8</t>
        </is>
      </c>
      <c r="B7177" t="inlineStr">
        <is>
          <t>New diabetic, kind of overwhelmed with all the info.</t>
        </is>
      </c>
      <c r="C7177" t="inlineStr">
        <is>
          <t>Hey guys! So I caught a really nasty virus and was having horrible side effects- and it left me craving sugar and water constantly basically. I got some bloodwork done and they found that my blood sugar was 32. Apparently that is not a good level lol because I was stuck in the hospital for a couple days.
I'm now diabetic which kind of shocked me because I don't really see myself as being super out of shape or anything- so that was a learning experience for me and I admit I knew very little about the disease. I don't really know what I don't know, and I'm getting slammed with information every time I see these doctors.
I'm wondering if you guys have any neat or useful tips you found helpful? I'd really appreciate any help you guys are willing to provide.
Thanks guys. My blood sugar is okay now in case anyone is wondering, it's around 4-5 and my diet has changed. Everyone keeps talking to me like this is some kind of curse and I'm doomed, but I don't really feel that way. Not yet at least. Do you guys deal with that too? It's kind of frustrating tbh.</t>
        </is>
      </c>
      <c r="D7177" t="n">
        <v>1</v>
      </c>
      <c r="E7177" t="n">
        <v>0</v>
      </c>
      <c r="F7177">
        <f>HYPERLINK("https://www.reddit.com/r/diabetes/comments/ckizi8/new_diabetic_kind_of_overwhelmed_with_all_the_info/")</f>
        <v/>
      </c>
      <c r="G7177" t="inlineStr">
        <is>
          <t>2019-07-31 20:35:35</t>
        </is>
      </c>
      <c r="H7177" t="inlineStr">
        <is>
          <t>Type 2</t>
        </is>
      </c>
    </row>
    <row r="7178">
      <c r="A7178" t="inlineStr">
        <is>
          <t>ckpjrr</t>
        </is>
      </c>
      <c r="B7178" t="inlineStr">
        <is>
          <t>A1c cut in half!</t>
        </is>
      </c>
      <c r="C7178" t="inlineStr">
        <is>
          <t>I switched doctors in February. This new doc got me to an endocrinologist for the first time ever, one of many reasons I made the change. The 2 docs switched up my meds and added Trulia and I just found out my A1c numbers are halved! And I am teary eyed- so happy! It’s been a rough few months, and this makes it so much better
Nobody I am close with quite gets this, and I had to share the happy. Thanks!</t>
        </is>
      </c>
      <c r="D7178" t="n">
        <v>24</v>
      </c>
      <c r="E7178" t="n">
        <v>4</v>
      </c>
      <c r="F7178">
        <f>HYPERLINK("https://www.reddit.com/r/diabetes/comments/ckpjrr/a1c_cut_in_half/")</f>
        <v/>
      </c>
      <c r="G7178" t="inlineStr">
        <is>
          <t>2019-08-01 08:04:53</t>
        </is>
      </c>
      <c r="H7178" t="inlineStr">
        <is>
          <t>Type 2</t>
        </is>
      </c>
    </row>
    <row r="7179">
      <c r="A7179" t="inlineStr">
        <is>
          <t>ckrovc</t>
        </is>
      </c>
      <c r="B7179" t="inlineStr">
        <is>
          <t>I was diagnosed with prediabetes today. The doctor has asked me to lose weight. All my grandparents had diabetes so I assume sooner or later it would happen to me too. I am 30F. If anyone of you were able to come out on the winning side of this what did you do? Any advice is welcome. Really scared.</t>
        </is>
      </c>
      <c r="C7179" t="inlineStr">
        <is>
          <t>Thank you. There was no sidebar so I asked. If this is a dumb question I do apologise.</t>
        </is>
      </c>
      <c r="D7179" t="n">
        <v>2</v>
      </c>
      <c r="E7179" t="n">
        <v>12</v>
      </c>
      <c r="F7179">
        <f>HYPERLINK("https://www.reddit.com/r/diabetes/comments/ckrovc/i_was_diagnosed_with_prediabetes_today_the_doctor/")</f>
        <v/>
      </c>
      <c r="G7179" t="inlineStr">
        <is>
          <t>2019-08-01 10:46:35</t>
        </is>
      </c>
      <c r="H7179" t="inlineStr">
        <is>
          <t>Type 2</t>
        </is>
      </c>
    </row>
    <row r="7180">
      <c r="A7180" t="inlineStr">
        <is>
          <t>cku038</t>
        </is>
      </c>
      <c r="B7180" t="inlineStr">
        <is>
          <t>Cooking Out When You're on a Low-Salt or Renal Diet.</t>
        </is>
      </c>
      <c r="C7180" t="inlineStr">
        <is>
          <t>[https://www.franciscanhealth.org/news-and-events/news/healthy-cookouts-low-salt-and-renal-diets](https://www.franciscanhealth.org/news-and-events/news/healthy-cookouts-low-salt-and-renal-diets)</t>
        </is>
      </c>
      <c r="D7180" t="n">
        <v>0</v>
      </c>
      <c r="E7180" t="n">
        <v>0</v>
      </c>
      <c r="F7180">
        <f>HYPERLINK("https://www.reddit.com/r/diabetes/comments/cku038/cooking_out_when_youre_on_a_lowsalt_or_renal_diet/")</f>
        <v/>
      </c>
      <c r="G7180" t="inlineStr">
        <is>
          <t>2019-08-01 13:41:04</t>
        </is>
      </c>
      <c r="H7180" t="inlineStr">
        <is>
          <t>Type 2</t>
        </is>
      </c>
    </row>
    <row r="7181">
      <c r="A7181" t="inlineStr">
        <is>
          <t>ckuf31</t>
        </is>
      </c>
      <c r="B7181" t="inlineStr">
        <is>
          <t>Overwhelmed</t>
        </is>
      </c>
      <c r="C7181" t="inlineStr">
        <is>
          <t>Hi everyone! I don't really know what I'm looking for...advice or information, I guess. 
I was hoping to have a relaxing break from grad school, but I was diagnosed with type 2 diabetes a few weeks back when I went in for a checkup. I was previously diagnosed with PCOS and hypertension as a teen. Right after my diagnosis the doctor put me on insulin (20 units), metformin (2000mg), and fenofibrate (145mg).  Later, she added canagliflozin (100mg) though my blood sugars were within normal range within a week with the insulin and metformin. I test my blood 3x a day or more and my BG is within acceptable levels now. I've changed my diet by restricting it further and log everything I eat, but the doctor seems uninterested in this information and just hands me more prescriptions I can't afford. Is this a normal medication regimen that I've been given?
I will be seeking a 2nd opinion when I return to Turkey for school soon, but I'm not sure how I'm going to manage my diabetes there either. My health declined when I moved to Turkey and I worry I may get worse. Prior to the move my PCOS and BP were in check, but things took a turn.  
If anyone has any tips on how to handle diabetes while living abroad or anything really, I'd appreciate it.</t>
        </is>
      </c>
      <c r="D7181" t="n">
        <v>2</v>
      </c>
      <c r="E7181" t="n">
        <v>26</v>
      </c>
      <c r="F7181">
        <f>HYPERLINK("https://www.reddit.com/r/diabetes/comments/ckuf31/overwhelmed/")</f>
        <v/>
      </c>
      <c r="G7181" t="inlineStr">
        <is>
          <t>2019-08-01 14:13:08</t>
        </is>
      </c>
      <c r="H7181" t="inlineStr">
        <is>
          <t>Type 2</t>
        </is>
      </c>
    </row>
    <row r="7182">
      <c r="A7182" t="inlineStr">
        <is>
          <t>ckww1o</t>
        </is>
      </c>
      <c r="B7182" t="inlineStr">
        <is>
          <t>I got diagnosed with T2, please help me.</t>
        </is>
      </c>
      <c r="C7182" t="inlineStr">
        <is>
          <t>I got diagnosed almost a week ago with T2 and I'm overwhelmed by  it all. My doctor told me how high my numbers were and told me i have to lose weight immediately and diet. She also put me on metformin and gave me a prescription to get a monitor at Walgreens. She told me to test my blood sugar every morning before I eat for a week and give her a call. The week isn't over yet but i have been documenting the numbers for her when i call her.
&amp;amp;#x200B;
My Issue with this all is that she didn't really give me any information on what I should be doing. How many carbs do i need to eat per day? Can I start doing cardio/weight lifting immediately and will this affect me in anyway? How many times per day do I need to check my blood sugar? Is it OK to eat the same low carb meals everyday, or do i need to switch it up? What foods can i eat now? Is keto the best option? Should I go see a nutritionists, or should I just go with what i see online? 
&amp;amp;#x200B;
These are some of the many questions I have, so If any of you could help me out or send me a message I would greatly appreciate it.</t>
        </is>
      </c>
      <c r="D7182" t="n">
        <v>9</v>
      </c>
      <c r="E7182" t="n">
        <v>18</v>
      </c>
      <c r="F7182">
        <f>HYPERLINK("https://www.reddit.com/r/diabetes/comments/ckww1o/i_got_diagnosed_with_t2_please_help_me/")</f>
        <v/>
      </c>
      <c r="G7182" t="inlineStr">
        <is>
          <t>2019-08-01 17:38:43</t>
        </is>
      </c>
      <c r="H7182" t="inlineStr">
        <is>
          <t>Type 2</t>
        </is>
      </c>
    </row>
    <row r="7183">
      <c r="A7183" t="inlineStr">
        <is>
          <t>ckx2hv</t>
        </is>
      </c>
      <c r="B7183" t="inlineStr">
        <is>
          <t>I am dating a wonderful woman who has T1. What do I need to know to be a supportive partner?</t>
        </is>
      </c>
      <c r="C7183" t="inlineStr">
        <is>
          <t>I wanted to see if anyone had some advice on how to be a supportive partner to my girlfriend. 
We have been dating for a few months. She recently disclosed to me that her ex of over a decade treated her like she was a burden because of how her lows affected her, including seizures. She has expressed some insecurity about it, and I’m trying to reassure her that this doesn’t make her any less in my eyes. She says that she is concerned about my view of her changing if i witness a seizure or her becoming disoriented due to low sugar. 
She doses her own insulin with syringes and tests throughout the day. She’s pretty reserved about it. In fact, she’s pretty concerned about her diabetes not causing any inconvenience. Which makes it hard for me to get her to communicate what I need to know to be a supportive partner. For example, she didn’t explain to me that it’s not easy for her to delay or skip meals because of her dosing. 
What else do i need to know? What can i do to be supportive of her? Even how to react if i suspect her sugar is low or she has a seizure. I want to be prepared. But I don’t want her to feel like I am treating her like a child or consider a burden. I love her immensely and am committed to taking care of her if she needs me to.
Any advice is appreciated. thank you!</t>
        </is>
      </c>
      <c r="D7183" t="n">
        <v>22</v>
      </c>
      <c r="E7183" t="n">
        <v>32</v>
      </c>
      <c r="F7183">
        <f>HYPERLINK("https://www.reddit.com/r/diabetes/comments/ckx2hv/i_am_dating_a_wonderful_woman_who_has_t1_what_do/")</f>
        <v/>
      </c>
      <c r="G7183" t="inlineStr">
        <is>
          <t>2019-08-01 17:54:42</t>
        </is>
      </c>
      <c r="H7183" t="inlineStr">
        <is>
          <t>Type 1</t>
        </is>
      </c>
    </row>
    <row r="7184">
      <c r="A7184" t="inlineStr">
        <is>
          <t>cl1tw3</t>
        </is>
      </c>
      <c r="B7184" t="inlineStr">
        <is>
          <t>Prediabetes: How did you get rid of it? Can you get rid of it?</t>
        </is>
      </c>
      <c r="C7184" t="inlineStr">
        <is>
          <t>So I was in the hospital for a couple of days and got my blood tested 4 days in a row. It was always above 100 (mg/dl), one day it was even 120. The other days between 100 and 110. I didn't think much of it, because the doctors told me that everything is fine. But when I looked at the results at home, glucose was actually flagged. Not sure, why they didn't bring it to my attention.
Anyway, I bought a self test kit. Did a test in the morning, before breakfast and sure enough my sugar was at 105.
So basically, this is a very clear case of prediabetes right, I am not supposed to have symptoms yet correct?
How do I get rid of it and is it even possible?
What is more important: losing weight or not eating any sugar at all? Any experiences with getting rid of it?</t>
        </is>
      </c>
      <c r="D7184" t="n">
        <v>1</v>
      </c>
      <c r="E7184" t="n">
        <v>17</v>
      </c>
      <c r="F7184">
        <f>HYPERLINK("https://www.reddit.com/r/diabetes/comments/cl1tw3/prediabetes_how_did_you_get_rid_of_it_can_you_get/")</f>
        <v/>
      </c>
      <c r="G7184" t="inlineStr">
        <is>
          <t>2019-08-02 02:27:28</t>
        </is>
      </c>
      <c r="H7184" t="inlineStr">
        <is>
          <t>Type 2</t>
        </is>
      </c>
    </row>
    <row r="7185">
      <c r="A7185" t="inlineStr">
        <is>
          <t>cl44pb</t>
        </is>
      </c>
      <c r="B7185" t="inlineStr">
        <is>
          <t>High ketones, hospitalized, told my keytones were lowering and sent me off after giving me Iv and ct scan checked my blood.</t>
        </is>
      </c>
      <c r="C7185" t="inlineStr">
        <is>
          <t>The doctors couldn’t find absolutely anything other than my ketones were very high but after 6 hours they lowered then lowered more the morning I was released , doctor said to just keep eating safer soft foods and slowly reintroduce solider foods , and drink plenty of water. 
Since being released a two days ago, my stomach has started hurting again but I am drinking tons of water and eating light foods and don’t have much desire to eat anything other than popsicles. Has anyone else experienced high ketones or hospitalization over high keytones , should it be normal I’m feeling like this still?</t>
        </is>
      </c>
      <c r="D7185" t="n">
        <v>3</v>
      </c>
      <c r="E7185" t="n">
        <v>7</v>
      </c>
      <c r="F7185">
        <f>HYPERLINK("https://www.reddit.com/r/diabetes/comments/cl44pb/high_ketones_hospitalized_told_my_keytones_were/")</f>
        <v/>
      </c>
      <c r="G7185" t="inlineStr">
        <is>
          <t>2019-08-02 06:29:54</t>
        </is>
      </c>
      <c r="H7185" t="inlineStr">
        <is>
          <t>Type 1</t>
        </is>
      </c>
    </row>
    <row r="7186">
      <c r="A7186" t="inlineStr">
        <is>
          <t>cl5447</t>
        </is>
      </c>
      <c r="B7186" t="inlineStr">
        <is>
          <t>BBQ-able semi-diabetic friendly food?</t>
        </is>
      </c>
      <c r="C7186" t="inlineStr">
        <is>
          <t>Hey peeps! Recently diabetic here, my team at work does monthly BBQs. Hotdogs and hamburgers, chips, and cake are they typical foods. I asked if we could provide food with less carbs/sugars. They said if I could think of anything they'd pick it up. I'm at a loss for whats available in terms of BBQ-able low carb/sugar food. Any suggestions would be appreciated. I wanna feel included and not like I'm sitting off to the side eating a salad.</t>
        </is>
      </c>
      <c r="D7186" t="n">
        <v>7</v>
      </c>
      <c r="E7186" t="n">
        <v>37</v>
      </c>
      <c r="F7186">
        <f>HYPERLINK("https://www.reddit.com/r/diabetes/comments/cl5447/bbqable_semidiabetic_friendly_food/")</f>
        <v/>
      </c>
      <c r="G7186" t="inlineStr">
        <is>
          <t>2019-08-02 07:51:01</t>
        </is>
      </c>
      <c r="H7186" t="inlineStr">
        <is>
          <t>Type 1</t>
        </is>
      </c>
    </row>
    <row r="7187">
      <c r="A7187" t="inlineStr">
        <is>
          <t>cl5rzt</t>
        </is>
      </c>
      <c r="B7187" t="inlineStr">
        <is>
          <t>Difficulty with my sugar recently, getting back into the swing of things</t>
        </is>
      </c>
      <c r="C7187" t="inlineStr">
        <is>
          <t>Hi all, I've been having difficulty the past couple weeks.
I did very, very well with getting my sugar under control up until after the 4th of july. TL;DR there was an incident that really affected me and I started slipping and paying less attention and checking myself less often. I check today and my post meal glucose is now back to 228 which is, really demotivating, that's the worst it's been in months. 
&amp;amp;#x200B;
So I'm asking, what should I be doing here to work on this, how hard should I be cutting stuff back again? 
I just did my grocery shopping and aside from rice it's, practically no carbs. I personally don't enjoy eating meat much either which made going keto very difficult, so I'm on a vegetarian-ish diet now. Are there any foods I can eat to help lower this? I started going to the gym again too, and im really only slightly overweight to begin with. I guess I'm just kind of confused at this point what I should be doing to get back on track</t>
        </is>
      </c>
      <c r="D7187" t="n">
        <v>2</v>
      </c>
      <c r="E7187" t="n">
        <v>13</v>
      </c>
      <c r="F7187">
        <f>HYPERLINK("https://www.reddit.com/r/diabetes/comments/cl5rzt/difficulty_with_my_sugar_recently_getting_back/")</f>
        <v/>
      </c>
      <c r="G7187" t="inlineStr">
        <is>
          <t>2019-08-02 08:42:43</t>
        </is>
      </c>
      <c r="H7187" t="inlineStr">
        <is>
          <t>Type 2</t>
        </is>
      </c>
    </row>
    <row r="7188">
      <c r="A7188" t="inlineStr">
        <is>
          <t>cl5t3b</t>
        </is>
      </c>
      <c r="B7188" t="inlineStr">
        <is>
          <t>Was just getting excited for the leftover pasta I brought to work for lunch when I realized I have less than 5 units of insulin left in my pump.</t>
        </is>
      </c>
      <c r="C7188" t="inlineStr">
        <is>
          <t>HAPPY FRIDAY TO ME! Can’t wait for the next 4 hours of hunger pangs and crying on the inside.</t>
        </is>
      </c>
      <c r="D7188" t="n">
        <v>167</v>
      </c>
      <c r="E7188" t="n">
        <v>57</v>
      </c>
      <c r="F7188">
        <f>HYPERLINK("https://www.reddit.com/r/diabetes/comments/cl5t3b/was_just_getting_excited_for_the_leftover_pasta_i/")</f>
        <v/>
      </c>
      <c r="G7188" t="inlineStr">
        <is>
          <t>2019-08-02 08:45:17</t>
        </is>
      </c>
      <c r="H7188" t="inlineStr">
        <is>
          <t>Type 1</t>
        </is>
      </c>
    </row>
    <row r="7189">
      <c r="A7189" t="inlineStr">
        <is>
          <t>cla2b1</t>
        </is>
      </c>
      <c r="B7189" t="inlineStr">
        <is>
          <t>Post meal BG</t>
        </is>
      </c>
      <c r="C7189" t="inlineStr">
        <is>
          <t>For the last two days my post meal BG has been troubling me. Fasting I’m good, but as as soon as I eat but BG spikes to above 250. I’m not eating meals that are out if the ordinary for me, so I believe I bolousing appropriately. 
Basically how can you tell if you’re going through a period of insulin resistance or maybe you’re infusion site is not the best? I haven’t seen numbers like this for some now so it’s a little disheartening!</t>
        </is>
      </c>
      <c r="D7189" t="n">
        <v>2</v>
      </c>
      <c r="E7189" t="n">
        <v>1</v>
      </c>
      <c r="F7189">
        <f>HYPERLINK("https://www.reddit.com/r/diabetes/comments/cla2b1/post_meal_bg/")</f>
        <v/>
      </c>
      <c r="G7189" t="inlineStr">
        <is>
          <t>2019-08-02 14:16:59</t>
        </is>
      </c>
      <c r="H7189" t="inlineStr">
        <is>
          <t>Type 1</t>
        </is>
      </c>
    </row>
    <row r="7190">
      <c r="A7190" t="inlineStr">
        <is>
          <t>clbjzi</t>
        </is>
      </c>
      <c r="B7190" t="inlineStr">
        <is>
          <t>I desperately need help for my very pregnant cousin. Her insulin pump just broke. She just called me bawling and has been getting the runaround from everyone. Does anyone have experience fixing one of these?</t>
        </is>
      </c>
      <c r="C7190" t="inlineStr">
        <is>
          <t>My cousin is literally the kindest, brightest, strongest person in the entire world, but holy crap, has she ever been through some hardships. You literally wouldn’t believe me if I told you the type of stuff this girl has been through. Her mother was very dysfunctional and very insane and very abusive in numerous ways, like, to an extent that it sounds like fiction. I wouldn’t even believe it if I didn’t see much of it first hand. This girl got a REALLY rough start and overcame everything. She is now an award winning preschool teacher, a wonderful mother, a college graduate, and is involved in tons of community efforts directed at children and animals. This girl is a saint. 
She was diagnosed with type 1 diabetes when she was 7. Her sugars were always all over the place due to her parents being absolutely awful, allowing her to eat whatever, not forcing her to check her sugars. I literally saw her sugars in the teens up to the 600s. When she gained weight after she learned more about her disease and started controlling it, her mom constantly demeaned and admonished her for getting “fat.” (Mom had a nasty eating disorder and weighed less than 70 lbs when she died at 46 years old.) She then discovered diabulimia as a preteen and nearly killed herself trying to please mom. 
Since her mother has died, she has made tremendous strides when it comes to improving herself. It’s been so amazing. There was a time where I didn’t think she’d make it much longer, and now she’s really thriving. As the older cousin (more like an older sister), I’ve always been the one to fix things, to stand up for her, to cheer the loudest on the sidelines, and play mom when she needs it. 
Right now, she needs it more than ever. First her insurance company has switched her to a new kind of insulin that totally sucks and she is way more sensitive to, and she’s crashed dozens of times in the last few weeks. This is VERY dangerous for the baby. At least she has a pump though so she can monitor it better, right? WRONG. Her pump just broke. Not only that, but it’s still on a warranty, and the company that the warranty is through is liquidating, so they’re not replacing pumps right now. She is FREAKING OUT. 
She does have the opportunity to replace it with another pump from another company, but she has to sign a 4 year warranty with them, and it doesn’t work with her phone and our phones (her husband and selected people get alerts when she’s crashing or going too high). She also can’t do that until the end of the month, and it will take weeks for her to actually get possession of the pump once things get rolling. 
Basically, does anyone know how to fix this? Fast? Or does anyone have a pump like this or similar pump lying around that we could rent or lease or buy for a reasonable price? It’s an Animus Ping. Her baby could honestly die. We just need help. Please, somebody out there, please, help. I can’t let her down. I have to help her. 
This girl donated large parts of her summers to being a camp counselor for young kids with T1. She has done so much for others with diabetes, helped so many people out in a jam, even at her own expense, having to ration insulin to help others. She’s just such a wonderful person. She deserves this. 
[Here are some photos of the problem](https://imgur.com/gallery/CPjUJFe)</t>
        </is>
      </c>
      <c r="D7190" t="n">
        <v>4</v>
      </c>
      <c r="E7190" t="n">
        <v>33</v>
      </c>
      <c r="F7190">
        <f>HYPERLINK("https://www.reddit.com/r/diabetes/comments/clbjzi/i_desperately_need_help_for_my_very_pregnant/")</f>
        <v/>
      </c>
      <c r="G7190" t="inlineStr">
        <is>
          <t>2019-08-02 16:23:28</t>
        </is>
      </c>
      <c r="H7190" t="inlineStr">
        <is>
          <t>Type 1</t>
        </is>
      </c>
    </row>
    <row r="7191">
      <c r="A7191" t="inlineStr">
        <is>
          <t>cldkdz</t>
        </is>
      </c>
      <c r="B7191" t="inlineStr">
        <is>
          <t>Medtronic Guardian CGM tape suggestions</t>
        </is>
      </c>
      <c r="C7191" t="inlineStr">
        <is>
          <t>So, I ran out of the oval tape included with my CGM, and my order won't get here until Tuesday.  Does anyone have any recommendations on tape and where to buy it?  And how to tape it on?</t>
        </is>
      </c>
      <c r="D7191" t="n">
        <v>2</v>
      </c>
      <c r="E7191" t="n">
        <v>2</v>
      </c>
      <c r="F7191">
        <f>HYPERLINK("https://www.reddit.com/r/diabetes/comments/cldkdz/medtronic_guardian_cgm_tape_suggestions/")</f>
        <v/>
      </c>
      <c r="G7191" t="inlineStr">
        <is>
          <t>2019-08-02 19:37:06</t>
        </is>
      </c>
      <c r="H7191" t="inlineStr">
        <is>
          <t>Type 1</t>
        </is>
      </c>
    </row>
    <row r="7192">
      <c r="A7192" t="inlineStr">
        <is>
          <t>clgabu</t>
        </is>
      </c>
      <c r="B7192" t="inlineStr">
        <is>
          <t>I need help. Question regarding my little brothers lantus.</t>
        </is>
      </c>
      <c r="C7192" t="inlineStr">
        <is>
          <t>My little brother went to the store with my mom earlier today for his lantus prescription. As I'm sure you know, he had to refrigerate this immediately. Unfortunately, he apparently forgot, and 5 hours later my mom and I found out. Now, we know lantus can be stored 28 days at room temp. But can we safely put it back in the fridge after such a time period? We need this medicine for longer than a month. We can't afford more. Please help.</t>
        </is>
      </c>
      <c r="D7192" t="n">
        <v>3</v>
      </c>
      <c r="E7192" t="n">
        <v>7</v>
      </c>
      <c r="F7192">
        <f>HYPERLINK("https://www.reddit.com/r/diabetes/comments/clgabu/i_need_help_question_regarding_my_little_brothers/")</f>
        <v/>
      </c>
      <c r="G7192" t="inlineStr">
        <is>
          <t>2019-08-03 00:55:01</t>
        </is>
      </c>
      <c r="H7192" t="inlineStr">
        <is>
          <t>Type 1</t>
        </is>
      </c>
    </row>
    <row r="7193">
      <c r="A7193" t="inlineStr">
        <is>
          <t>cljre6</t>
        </is>
      </c>
      <c r="B7193" t="inlineStr">
        <is>
          <t>What would you do if you had a day off from diabetes?</t>
        </is>
      </c>
      <c r="C7193" t="inlineStr">
        <is>
          <t>Personally, I'd go to Six Flags and ride all the rides... I would also not worry bout medical bills... oh and eat about 234 donuts :)</t>
        </is>
      </c>
      <c r="D7193" t="n">
        <v>2</v>
      </c>
      <c r="E7193" t="n">
        <v>6</v>
      </c>
      <c r="F7193">
        <f>HYPERLINK("https://www.reddit.com/r/diabetes/comments/cljre6/what_would_you_do_if_you_had_a_day_off_from/")</f>
        <v/>
      </c>
      <c r="G7193" t="inlineStr">
        <is>
          <t>2019-08-03 08:08:35</t>
        </is>
      </c>
      <c r="H7193" t="inlineStr">
        <is>
          <t>Type 1</t>
        </is>
      </c>
    </row>
    <row r="7194">
      <c r="A7194" t="inlineStr">
        <is>
          <t>clk0tc</t>
        </is>
      </c>
      <c r="B7194" t="inlineStr">
        <is>
          <t>I got one hour of sleep tonight</t>
        </is>
      </c>
      <c r="C7194" t="inlineStr">
        <is>
          <t>My pump kept beeping and vibrating saying that it was updating the transmitter/sensor, and it did so about every 10 minutes. Even though i turned audio alerts off, it still made extremely loud beeps and vibrating every few minutes so I could never fall asleep. It eventually just told me to put in a new sensor at like 5 in the morning, and i was finally able to go to sleep. Honestly as much as I love medtronic’s products, they do not care for human sanity in their alerts. 
This has happened 4 times in a row and I have to buy a new transmitter just 2 months after going onto this pump. FML</t>
        </is>
      </c>
      <c r="D7194" t="n">
        <v>2</v>
      </c>
      <c r="E7194" t="n">
        <v>3</v>
      </c>
      <c r="F7194">
        <f>HYPERLINK("https://www.reddit.com/r/diabetes/comments/clk0tc/i_got_one_hour_of_sleep_tonight/")</f>
        <v/>
      </c>
      <c r="G7194" t="inlineStr">
        <is>
          <t>2019-08-03 08:32:26</t>
        </is>
      </c>
      <c r="H7194" t="inlineStr">
        <is>
          <t>Type 1</t>
        </is>
      </c>
    </row>
    <row r="7195">
      <c r="A7195" t="inlineStr">
        <is>
          <t>clra53</t>
        </is>
      </c>
      <c r="B7195" t="inlineStr">
        <is>
          <t>Immediate low after lantus</t>
        </is>
      </c>
      <c r="C7195" t="inlineStr">
        <is>
          <t>Hi everyone,
So i had dinner around 7 and took 6u of humalog with it, i was sitting around a stable 140 an hour after that, i did my lantus injection around 9pm. I did it an area I hadn't done it before in, in my abdomen but more to my side than I'd done before, like around my lovehandle. After i finished the injection and removed the needle, a tiny bit of blood came out.  My bg immediately started dropping a lot a few minutes later and i ate about 20 carbs around 9:30/9:40 and seems to have stabled around 70 but i still havent gone back up yet. I have no idea what happened or how to handle this cuz I’m scared of overtreating and sending myself high 
https://m.imgur.com/a/f4yakUN</t>
        </is>
      </c>
      <c r="D7195" t="n">
        <v>3</v>
      </c>
      <c r="E7195" t="n">
        <v>6</v>
      </c>
      <c r="F7195">
        <f>HYPERLINK("https://www.reddit.com/r/diabetes/comments/clra53/immediate_low_after_lantus/")</f>
        <v/>
      </c>
      <c r="G7195" t="inlineStr">
        <is>
          <t>2019-08-03 19:36:07</t>
        </is>
      </c>
      <c r="H7195" t="inlineStr">
        <is>
          <t>Type 1</t>
        </is>
      </c>
    </row>
    <row r="7196">
      <c r="A7196" t="inlineStr">
        <is>
          <t>clt3uq</t>
        </is>
      </c>
      <c r="B7196" t="inlineStr">
        <is>
          <t>CGM showing that my blood sugar is never stable</t>
        </is>
      </c>
      <c r="C7196" t="inlineStr">
        <is>
          <t>Hello, for the past couple of weeks there have been very rare times when my blood sugar is stable. Sometimes when I eat a meal my blood sugar rises then goes down like expected, but for some reason the blood sugar will rise by a lot after about 2-3 hours. To give an example, after I ate a meal my blood sugar went up to about 260 then dropped to 150 after about an hour and a half. However, over the next hour or so it will rise to 250 and then lower very slowly until my next meal. Not only that, but sometimes my blood sugar will always be going down 3-4 points every reading for hours, and it doesn't seem to stop. This happens even after about 4-5 hours after a meal so I'm not exactly sure how to just keep it stable. Any help is appreciated, thanks!</t>
        </is>
      </c>
      <c r="D7196" t="n">
        <v>2</v>
      </c>
      <c r="E7196" t="n">
        <v>13</v>
      </c>
      <c r="F7196">
        <f>HYPERLINK("https://www.reddit.com/r/diabetes/comments/clt3uq/cgm_showing_that_my_blood_sugar_is_never_stable/")</f>
        <v/>
      </c>
      <c r="G7196" t="inlineStr">
        <is>
          <t>2019-08-03 23:06:12</t>
        </is>
      </c>
      <c r="H7196" t="inlineStr">
        <is>
          <t>Type 1</t>
        </is>
      </c>
    </row>
    <row r="7197">
      <c r="A7197" t="inlineStr">
        <is>
          <t>clxrlj</t>
        </is>
      </c>
      <c r="B7197" t="inlineStr">
        <is>
          <t>Dexcom G6 - "No Data" same time every night, for no reason</t>
        </is>
      </c>
      <c r="C7197" t="inlineStr">
        <is>
          <t>I've had this issue at different times with G6, and it's maddening... Anyone else experienced it, and been able to find a solution?  Basically, for certain stretches of time (days at a time) the G6 will lose data at the exact same time of day, always overnight ... for a while it was 3:00 a.m. ... recently it's 5:00 a.m.  It's NOT because of any distance issues, the phone is always right next to my 3 yo.  And I've tried some of the things I've seen in similar contexts (e.g. no other apps running, no prior transmitters stored in Bluetooth settings).   
The fact that it happens at the same time, nights in a row, suggests to me there's something going on either with the phone/data or the transmitter.  But it's happened numerous times over the past 6-9 mos (though not constant throughout that period).
Anyone? It's driving me nuts -- I have enough alarms in the middle of the night as it is with highs and lows -- don't need an extra wakeup for no reason.</t>
        </is>
      </c>
      <c r="D7197" t="n">
        <v>3</v>
      </c>
      <c r="E7197" t="n">
        <v>7</v>
      </c>
      <c r="F7197">
        <f>HYPERLINK("https://www.reddit.com/r/diabetes/comments/clxrlj/dexcom_g6_no_data_same_time_every_night_for_no/")</f>
        <v/>
      </c>
      <c r="G7197" t="inlineStr">
        <is>
          <t>2019-08-04 08:48:09</t>
        </is>
      </c>
      <c r="H7197" t="inlineStr">
        <is>
          <t>Type 1</t>
        </is>
      </c>
    </row>
    <row r="7198">
      <c r="A7198" t="inlineStr">
        <is>
          <t>clzf6y</t>
        </is>
      </c>
      <c r="B7198" t="inlineStr">
        <is>
          <t>My stuff broke and I am frustrated</t>
        </is>
      </c>
      <c r="C7198" t="inlineStr">
        <is>
          <t>I use Loop and a Dexcom G5. I have been looping for about a month and have been using the CGM for a little over a year.
&amp;amp;#x200B;
Last night, a little out of the blue, my transmitter for my Dexcom quit working completely. I had received the 2-week warning last Thursday and didn't have a back-up transmitter at home. So I am without my Dexcom until Monday evening. This means that my Loop is not working either.
&amp;amp;#x200B;
I have a sample Libre that I am using, but it is remarkable how important my Dexcom (and my Loop) are for my diabetes management. They are the airbag that keep me safe and normal. Last night I woke up to a severe low, and because I am using the Libre, I didn't get a warning that my sugars were going low. The las month has been awesome on the Loop, as it is always doing its best to keep me in range. I'm having a hard time dealing with not having my two safety nets, and its remarkable how much I rely off them. 
&amp;amp;#x200B;
I feel especially vulnerable not having my Dexcom. I'm totally mixed in emotions as I am frustrated, and stressed about keeping my sugars in range. Monday evening cannot come soon enough!</t>
        </is>
      </c>
      <c r="D7198" t="n">
        <v>2</v>
      </c>
      <c r="E7198" t="n">
        <v>5</v>
      </c>
      <c r="F7198">
        <f>HYPERLINK("https://www.reddit.com/r/diabetes/comments/clzf6y/my_stuff_broke_and_i_am_frustrated/")</f>
        <v/>
      </c>
      <c r="G7198" t="inlineStr">
        <is>
          <t>2019-08-04 11:04:53</t>
        </is>
      </c>
      <c r="H7198" t="inlineStr">
        <is>
          <t>Type 1</t>
        </is>
      </c>
    </row>
    <row r="7199">
      <c r="A7199" t="inlineStr">
        <is>
          <t>cmd5c6</t>
        </is>
      </c>
      <c r="B7199" t="inlineStr">
        <is>
          <t>flashes and darkening eye sight, symtoms of low blood sugar?</t>
        </is>
      </c>
      <c r="C7199" t="inlineStr">
        <is>
          <t>Hey,
When my blood sugar hits low numbers I get flashes and darkening eye sight, anyone else get these?</t>
        </is>
      </c>
      <c r="D7199" t="n">
        <v>11</v>
      </c>
      <c r="E7199" t="n">
        <v>14</v>
      </c>
      <c r="F7199">
        <f>HYPERLINK("https://www.reddit.com/r/diabetes/comments/cmd5c6/flashes_and_darkening_eye_sight_symtoms_of_low/")</f>
        <v/>
      </c>
      <c r="G7199" t="inlineStr">
        <is>
          <t>2019-08-05 09:24:39</t>
        </is>
      </c>
      <c r="H7199" t="inlineStr">
        <is>
          <t>Type 1</t>
        </is>
      </c>
    </row>
    <row r="7200">
      <c r="A7200" t="inlineStr">
        <is>
          <t>cmdlqm</t>
        </is>
      </c>
      <c r="B7200" t="inlineStr">
        <is>
          <t>Interesting Pod Failure</t>
        </is>
      </c>
      <c r="C7200" t="inlineStr">
        <is>
          <t>So within the past month I have had three pod failures that all had similar circumstances. 
1. I was hiking and my elevation went above 6,500 ft
2. I was on a temporary basal.
3. I was working pretty hard for a long period of time.
I called Omnipod and they are sending me new pods. They told me that the pods tend to have problems with low barometric pressure and altitudes above 10,000ft. I'm trying to find out what I can do to prevent these failures in the future. Has anybody else ran into trouble with pod failures under these circumstances?
&amp;amp;#x200B;
The main thing I learned is ALWAYS have extra stuff with you in case something happens. Every single time, I was in an area that would have been very unfortunate to have a problem and luckily I had extra supplies.</t>
        </is>
      </c>
      <c r="D7200" t="n">
        <v>5</v>
      </c>
      <c r="E7200" t="n">
        <v>2</v>
      </c>
      <c r="F7200">
        <f>HYPERLINK("https://www.reddit.com/r/diabetes/comments/cmdlqm/interesting_pod_failure/")</f>
        <v/>
      </c>
      <c r="G7200" t="inlineStr">
        <is>
          <t>2019-08-05 09:58:50</t>
        </is>
      </c>
      <c r="H7200" t="inlineStr">
        <is>
          <t>Type 1</t>
        </is>
      </c>
    </row>
    <row r="7201">
      <c r="A7201" t="inlineStr">
        <is>
          <t>cmdpjs</t>
        </is>
      </c>
      <c r="B7201" t="inlineStr">
        <is>
          <t>How to gain weight with T1 and fast metabolism ?</t>
        </is>
      </c>
      <c r="C7201" t="inlineStr">
        <is>
          <t>I’m 19 y/o , skinny af and I’m 6’2”
No matter how much I eat it doesn’t seem to have any effect on my body     
My A1C is in range I get lows most of the day    
But I look like skeleton and that is really annoying me      
Is there any way to gain some weight and just have some fat on my body so I can build muscles and stuff 
Currently I’m 60 KG</t>
        </is>
      </c>
      <c r="D7201" t="n">
        <v>6</v>
      </c>
      <c r="E7201" t="n">
        <v>9</v>
      </c>
      <c r="F7201">
        <f>HYPERLINK("https://www.reddit.com/r/diabetes/comments/cmdpjs/how_to_gain_weight_with_t1_and_fast_metabolism/")</f>
        <v/>
      </c>
      <c r="G7201" t="inlineStr">
        <is>
          <t>2019-08-05 10:06:18</t>
        </is>
      </c>
      <c r="H7201" t="inlineStr">
        <is>
          <t>Type 1</t>
        </is>
      </c>
    </row>
    <row r="7202">
      <c r="A7202" t="inlineStr">
        <is>
          <t>cmfaw7</t>
        </is>
      </c>
      <c r="B7202" t="inlineStr">
        <is>
          <t>Jetlag and high bloodsugars?</t>
        </is>
      </c>
      <c r="C7202" t="inlineStr">
        <is>
          <t>Visiting hone for a month. 8 hr flight over the atlantic.  Only 4 nights in but no matter what my bloodsugar is when i go to sleep at night, 2 hours later my bloodsugar jumps 150-300 points. It's a nightmare. I imagine its my cortisol still thinking it's morning. But anyone else have similar issues?</t>
        </is>
      </c>
      <c r="D7202" t="n">
        <v>2</v>
      </c>
      <c r="E7202" t="n">
        <v>2</v>
      </c>
      <c r="F7202">
        <f>HYPERLINK("https://www.reddit.com/r/diabetes/comments/cmfaw7/jetlag_and_high_bloodsugars/")</f>
        <v/>
      </c>
      <c r="G7202" t="inlineStr">
        <is>
          <t>2019-08-05 12:03:44</t>
        </is>
      </c>
      <c r="H7202" t="inlineStr">
        <is>
          <t>Type 1</t>
        </is>
      </c>
    </row>
    <row r="7203">
      <c r="A7203" t="inlineStr">
        <is>
          <t>cmg1og</t>
        </is>
      </c>
      <c r="B7203" t="inlineStr">
        <is>
          <t>Anyone else got transparent gray spot on retina?</t>
        </is>
      </c>
      <c r="C7203" t="inlineStr">
        <is>
          <t>Hey,
I have got a transparent gray spot on on my retina, right in the vision spot, eye doctors told me it is permanent due to my blood sugar swings, but no damage found in the bottom of the eye where the nerves are.
&amp;amp;#x200B;
I can see the gray transparent spot when looking at dark backgrounds. 
Anyone else got something similar?</t>
        </is>
      </c>
      <c r="D7203" t="n">
        <v>3</v>
      </c>
      <c r="E7203" t="n">
        <v>2</v>
      </c>
      <c r="F7203">
        <f>HYPERLINK("https://www.reddit.com/r/diabetes/comments/cmg1og/anyone_else_got_transparent_gray_spot_on_retina/")</f>
        <v/>
      </c>
      <c r="G7203" t="inlineStr">
        <is>
          <t>2019-08-05 12:56:36</t>
        </is>
      </c>
      <c r="H7203" t="inlineStr">
        <is>
          <t>Type 1</t>
        </is>
      </c>
    </row>
    <row r="7204">
      <c r="A7204" t="inlineStr">
        <is>
          <t>cmhtll</t>
        </is>
      </c>
      <c r="B7204" t="inlineStr">
        <is>
          <t>Insulin Lipohypertrophy Liposuction?</t>
        </is>
      </c>
      <c r="C7204" t="inlineStr">
        <is>
          <t>31 years old. I've been type-1 for 25 years. I went through a period in my mid 20's where I continually used my lower left abdomen for injections, never giving it a second thought. Eventually I wound up with a roughly 3 inch mass of scar tissue / rubbery skin which made it unsuitable for injections and is rather unsightly and something I'd like to get rid of. My doctor suggested this was a case of insulin lipohypertrophy. A small liposuction procedure was recommended. I am unsure if it would be covered by medicaid, my guess is not but if anyone out there has any experience dealing with liposuction as it relates to lipohypertrophy, I'd like to hear from you. Also interested in the cost of this procedure without insurance etc. Thanks guys.</t>
        </is>
      </c>
      <c r="D7204" t="n">
        <v>4</v>
      </c>
      <c r="E7204" t="n">
        <v>8</v>
      </c>
      <c r="F7204">
        <f>HYPERLINK("https://www.reddit.com/r/diabetes/comments/cmhtll/insulin_lipohypertrophy_liposuction/")</f>
        <v/>
      </c>
      <c r="G7204" t="inlineStr">
        <is>
          <t>2019-08-05 15:10:26</t>
        </is>
      </c>
      <c r="H7204" t="inlineStr">
        <is>
          <t>Type 1</t>
        </is>
      </c>
    </row>
    <row r="7205">
      <c r="A7205" t="inlineStr">
        <is>
          <t>cmjiuk</t>
        </is>
      </c>
      <c r="B7205" t="inlineStr">
        <is>
          <t>Wheefun</t>
        </is>
      </c>
      <c r="C7205" t="inlineStr">
        <is>
          <t>Just had a physical this morning, and was told to go to the hospital for Stat bloodwork after the urinalysis test. Turns out I have a blood glucose of 301, and the sheet with my A1C says 12.2. -.-Apparently I've actually had diabetes since 2016, and my doctor told me it was still pre-diabetes til today! -.- Doesn't help that I lost my job and my insurance last year, so I went a year without a physical. -.-
And everyone's giving me horror stories to boot! She put me on Metformin, not insulin, for now, 1 500mg pill a day for 4 days, then 2 for 2 weeks, then I'm to call her for the next steps. Followup in September, and new testing in October. I felt fine this morning! Now I'm feeling various aches and pains and wondering how much is psychosomatic. :(</t>
        </is>
      </c>
      <c r="D7205" t="n">
        <v>6</v>
      </c>
      <c r="E7205" t="n">
        <v>3</v>
      </c>
      <c r="F7205">
        <f>HYPERLINK("https://www.reddit.com/r/diabetes/comments/cmjiuk/wheefun/")</f>
        <v/>
      </c>
      <c r="G7205" t="inlineStr">
        <is>
          <t>2019-08-05 17:37:17</t>
        </is>
      </c>
      <c r="H7205" t="inlineStr">
        <is>
          <t>Type 2</t>
        </is>
      </c>
    </row>
    <row r="7206">
      <c r="A7206" t="inlineStr">
        <is>
          <t>cmjtts</t>
        </is>
      </c>
      <c r="B7206" t="inlineStr">
        <is>
          <t>Severe Upper left Abdominal pains</t>
        </is>
      </c>
      <c r="C7206" t="inlineStr">
        <is>
          <t>My girlfriend (T1) a month ago was emitted to the hospital for DKA. Her A1C was 16.7... they did the typical treatment for this. After she was discharged she hasn’t been the same. She has no appetite, can’t keep any food down, can’t go number two, vomiting bile, and has very bad upper left abdomen pains. 
We went to the hospital on Aug. 1st for these stomach pains, but they quickly realized she was a diabetic and treated her for her high A1C — this time it dropped to 11.3 (5.4 in just a month, solely from not eating). She has has lost 7 pounds in the past month. She kept crying about her pain, I begged them to please run test for her stomach pains. They kept trying to tell us these pains were from her poorly managed diabetes, while this could be a cause, there is no way this is it. Finally after seeing her screaming in pain they did test: extensive blood test and a x-ray. They didn’t find anything abnormal. 
All while in the hospital she threw up after anything she ate, had pains so intense (in her upper left abdomen) they were giving morphine and fentanyl, she didn’t use number two once (doctors didn’t see any stool in the images. Today she got discharged and there notes to basically better manage her diabetes...
On the ride home she threw up everywhere, screaming in pain, and is nauseous. Throws up bile every 15-20 minutes This has been going on for a month. I am desperate, I am so hurt seeing her in pain and I can’t do anything. 
The only thing that is easing the pains now is vomiting.</t>
        </is>
      </c>
      <c r="D7206" t="n">
        <v>7</v>
      </c>
      <c r="E7206" t="n">
        <v>6</v>
      </c>
      <c r="F7206">
        <f>HYPERLINK("https://www.reddit.com/r/diabetes/comments/cmjtts/severe_upper_left_abdominal_pains/")</f>
        <v/>
      </c>
      <c r="G7206" t="inlineStr">
        <is>
          <t>2019-08-05 18:05:04</t>
        </is>
      </c>
      <c r="H7206" t="inlineStr">
        <is>
          <t>Type 1</t>
        </is>
      </c>
    </row>
    <row r="7207">
      <c r="A7207" t="inlineStr">
        <is>
          <t>cmlpsf</t>
        </is>
      </c>
      <c r="B7207" t="inlineStr">
        <is>
          <t>I’m done not giving a damn about my health anymore.</t>
        </is>
      </c>
      <c r="C7207" t="inlineStr">
        <is>
          <t>For starters, I’ve had type one diabetes for almost 11 years now. In that timespan I never gave it the attention and/or the discipline that I know it deserves, and I’ve suffered massively for it. Thank god that I haven’t suffered permanent damage yet, though I can only count on one hand in the years I’ve had T1 how many times I haven’t had a double digit A1C. And a couple of days ago it almost got me again.
I woke up the morning of August 3 feeling severely dehydrated (dry mouth, thirsty, etc), nauseous, and extremely weak. Tested my blood sugar, registered as HI (not abnormal for me). I laid in my bed until I felt strong enough to get up and go to the bathroom to get a ketone check. As soon as I pee on the strip, it turns just about pitch black, so as soon as possible I called 911 and got an ambulance to the ER. 
From what the doctors told me, if I hadn’t done that, there was a good chance I could have died that day. I spent the next 12 hours in the ER alternating between rushing to the toilet to vomit and laying in bed getting fluids through an IV drip. I forgot my phone at home so it gave me a lot of time to think about life.
What would my family do if I let myself die because of my own irresponsibility? When people tell me “oh, diabetes is such a terrible affliction”, my reply is almost always something to the effect of “at least I can manage it”. But am I really doing that right now? Not when I’m being hospitalized because I’m too lazy and irresponsible to remember to do my damn insulin.
I frustrate myself to think that *this is my life on the line* and I continue to just treat it inconsequentially. And I can’t figure out why. It’s like I can internally scream at myself so much to try to do better, but eventually I’ll just slip up again and go off on the same path of forgetting to test my blood sugar and do my insulin constantly enough to start becoming a problem again.
I’m done. I want out of this vicious cycle of carelessness and neglect, and I want this time to be different. I’ll be sitting down with a couple close friends of mine tonight to see if I can ask for their help in getting myself on the right track. I know it isn’t their problem, but I know that they care about me enough to be willing to help me with this project. If I figure something out I’ll update this post, but I just felt the need to post this affirmation here with the dual purpose of asking for resources in helping to get on track with diabetes management. 
Tl;dr Dying doesn’t sound fun so I’m gonna try hard not to do that this time, any tips?</t>
        </is>
      </c>
      <c r="D7207" t="n">
        <v>60</v>
      </c>
      <c r="E7207" t="n">
        <v>12</v>
      </c>
      <c r="F7207">
        <f>HYPERLINK("https://www.reddit.com/r/diabetes/comments/cmlpsf/im_done_not_giving_a_damn_about_my_health_anymore/")</f>
        <v/>
      </c>
      <c r="G7207" t="inlineStr">
        <is>
          <t>2019-08-05 21:05:40</t>
        </is>
      </c>
      <c r="H7207" t="inlineStr">
        <is>
          <t>Type 1</t>
        </is>
      </c>
    </row>
    <row r="7208">
      <c r="A7208" t="inlineStr">
        <is>
          <t>cmn77g</t>
        </is>
      </c>
      <c r="B7208" t="inlineStr">
        <is>
          <t>What are your own self made innovative food hacks? (low carb, no compromise on food?)</t>
        </is>
      </c>
      <c r="C7208" t="inlineStr">
        <is>
          <t>Here is mine, mint and lemon water instead of soda.</t>
        </is>
      </c>
      <c r="D7208" t="n">
        <v>2</v>
      </c>
      <c r="E7208" t="n">
        <v>2</v>
      </c>
      <c r="F7208">
        <f>HYPERLINK("https://www.reddit.com/r/diabetes/comments/cmn77g/what_are_your_own_self_made_innovative_food_hacks/")</f>
        <v/>
      </c>
      <c r="G7208" t="inlineStr">
        <is>
          <t>2019-08-05 23:51:22</t>
        </is>
      </c>
      <c r="H7208" t="inlineStr">
        <is>
          <t>Type 2</t>
        </is>
      </c>
    </row>
    <row r="7209">
      <c r="A7209" t="inlineStr">
        <is>
          <t>cmnyq1</t>
        </is>
      </c>
      <c r="B7209" t="inlineStr">
        <is>
          <t>Recommendation for an effective Log sheet format</t>
        </is>
      </c>
      <c r="C7209" t="inlineStr">
        <is>
          <t>Hi,
I'm new to diabetes (type -2 ) and looking for an effective way to track my BG level. There are many log sheets out there, but I'm looking for something practical.
Appreciate your help,
Robert</t>
        </is>
      </c>
      <c r="D7209" t="n">
        <v>2</v>
      </c>
      <c r="E7209" t="n">
        <v>4</v>
      </c>
      <c r="F7209">
        <f>HYPERLINK("https://www.reddit.com/r/diabetes/comments/cmnyq1/recommendation_for_an_effective_log_sheet_format/")</f>
        <v/>
      </c>
      <c r="G7209" t="inlineStr">
        <is>
          <t>2019-08-06 01:32:16</t>
        </is>
      </c>
      <c r="H7209" t="inlineStr">
        <is>
          <t>Type 2</t>
        </is>
      </c>
    </row>
    <row r="7210">
      <c r="A7210" t="inlineStr">
        <is>
          <t>cmoovy</t>
        </is>
      </c>
      <c r="B7210" t="inlineStr">
        <is>
          <t>Ketones in Type 1 - Normal blood glucose range</t>
        </is>
      </c>
      <c r="C7210" t="inlineStr">
        <is>
          <t>Hi all
I am a Type 1 Diabetic (21 years since diagnosis) female, in mid 20s, normal weight. 
I recently read the Obesity code and really resonated with it. I highly suspect that I am insulin resistant and its becoming worse. I started doing a 24hour fast weekly for the past 3 weeks. My insulin requirements have reduced about 20% overall which is great! However yesterday I did a 36 hour fast. I usually test my ketones on my fast and did so again yesterday at the 30hour mark. My ketones measured 1.5 (urine). This number scared me! I have been hospitalised with DKA at this level and was terrified I had DKA again. BUT my glucose levels were completely in range! 5.6mmol. 
Can anyone advise if fasting is safe for a type 1 diabetic? Is it ok to have high ketones with in range glucose levels? I have contacted my endo but she is on holiday for a week so wanted to see if the community might have some advice? Thankyou</t>
        </is>
      </c>
      <c r="D7210" t="n">
        <v>2</v>
      </c>
      <c r="E7210" t="n">
        <v>9</v>
      </c>
      <c r="F7210">
        <f>HYPERLINK("https://www.reddit.com/r/diabetes/comments/cmoovy/ketones_in_type_1_normal_blood_glucose_range/")</f>
        <v/>
      </c>
      <c r="G7210" t="inlineStr">
        <is>
          <t>2019-08-06 03:08:05</t>
        </is>
      </c>
      <c r="H7210" t="inlineStr">
        <is>
          <t>Type 1</t>
        </is>
      </c>
    </row>
    <row r="7211">
      <c r="A7211" t="inlineStr">
        <is>
          <t>cmp3sp</t>
        </is>
      </c>
      <c r="B7211" t="inlineStr">
        <is>
          <t>Basso a veterian and this point</t>
        </is>
      </c>
      <c r="C7211" t="inlineStr">
        <is>
          <t>Hi new to this community but have had the condition going on 14 years now, happy to answer questions for the new people, I am Welsh so I work in the British way of sugar testing so I will have to either be told what is good and bad in other ways of testing and results but other than that please I am open for questions.</t>
        </is>
      </c>
      <c r="D7211" t="n">
        <v>0</v>
      </c>
      <c r="E7211" t="n">
        <v>3</v>
      </c>
      <c r="F7211">
        <f>HYPERLINK("https://www.reddit.com/r/diabetes/comments/cmp3sp/basso_a_veterian_and_this_point/")</f>
        <v/>
      </c>
      <c r="G7211" t="inlineStr">
        <is>
          <t>2019-08-06 03:58:41</t>
        </is>
      </c>
      <c r="H7211" t="inlineStr">
        <is>
          <t>Type 1</t>
        </is>
      </c>
    </row>
    <row r="7212">
      <c r="A7212" t="inlineStr">
        <is>
          <t>cmp86h</t>
        </is>
      </c>
      <c r="B7212" t="inlineStr">
        <is>
          <t>First time experiencing constant hypos over and over.</t>
        </is>
      </c>
      <c r="C7212" t="inlineStr">
        <is>
          <t>I've been diabetic for 8 years now and I've been on an omnipod pump system for 4 years now and very early morning this morning I had a low, nothing out of the usual, I had dinner about 5 hours before this and that was my last meal (this is around 1AM) so I have my usual carton of ribena and move on (I had a reading on 3.4mmol). I wake up again 15 minutes later and my reading went down to 2.6, this was with zero insulin on board, my bog standard basal rates that have been causing no trouble for the past year, I hadn't done any exercise the day before apart from a dog walk and a bit of skateboarding but that was all about 12 hours before.
So I have another carton of ribena and my reading climbs to 5.6, enough for me to sleep on, then again at 5am it did the exact same thing, only this time I noticed my left ear feeling muffled, I could hear from it perfectly but it felt like it needed to pop similar to what you get on airplanes or going through a tunnel, anyway the reading was once again 3mmol so I had another carton, it climbed to 5.9mmol so I once again returned to sleep, only to be awoken another 20 minutes later by another low of 3.1mmol so this time I drank three cartons at once the equivalent to 43g of carbohydrate and and equal amount of sugar if I recall correctly and went back to sleep. This was fine for a while until I woke at my normal time of 9am, I felt a bit shakey so I tested my blood and it had dropped to 4 again, the 40g of carb would have sent my blood sugars up to 12-15, so my reading once again climbed that far up and dropped back down to almost hypo territory with no insulin on board and no activity, no ludicrous amounts of sweating. 
I am really confused, I have never experienced this before, my infusion sites are rotated regularly and aren't lumpy so I doubt it would be pockets of insulin releasing ages after I dose it. One thing I noticed is my ear still feels muffled and even after cleaning it out with warm water and a tissue still the same. Anyone have any idea what this could be? Ear infection causing lows and not highs?</t>
        </is>
      </c>
      <c r="D7212" t="n">
        <v>2</v>
      </c>
      <c r="E7212" t="n">
        <v>2</v>
      </c>
      <c r="F7212">
        <f>HYPERLINK("https://www.reddit.com/r/diabetes/comments/cmp86h/first_time_experiencing_constant_hypos_over_and/")</f>
        <v/>
      </c>
      <c r="G7212" t="inlineStr">
        <is>
          <t>2019-08-06 04:12:19</t>
        </is>
      </c>
      <c r="H7212" t="inlineStr">
        <is>
          <t>Type 1</t>
        </is>
      </c>
    </row>
    <row r="7213">
      <c r="A7213" t="inlineStr">
        <is>
          <t>cmw3u5</t>
        </is>
      </c>
      <c r="B7213" t="inlineStr">
        <is>
          <t>Get Educated</t>
        </is>
      </c>
      <c r="C7213" t="inlineStr">
        <is>
          <t>I have been a T1 Diabetic for almost 12 years now.  I was diagnosed in 3rd grade and I have just turned 20 - man time flies.  I am going into my sophomore year of college and am feeling like I don't know as much as I should regarding my diabetes.  I thought I would reach out and see if anyone has recommendations on how to learn more.  Good books, online learning resources, etc.  I am not so much looking on how to eat better, but how to make sure carb ratios are accurate, insulin sensitivity factors are accurate, etc, and just more knowledge on how to live with the illness.
Thanks in advance for any help!
Matthew</t>
        </is>
      </c>
      <c r="D7213" t="n">
        <v>1</v>
      </c>
      <c r="E7213" t="n">
        <v>3</v>
      </c>
      <c r="F7213">
        <f>HYPERLINK("https://www.reddit.com/r/diabetes/comments/cmw3u5/get_educated/")</f>
        <v/>
      </c>
      <c r="G7213" t="inlineStr">
        <is>
          <t>2019-08-06 14:00:07</t>
        </is>
      </c>
      <c r="H7213" t="inlineStr">
        <is>
          <t>Type 1</t>
        </is>
      </c>
    </row>
    <row r="7214">
      <c r="A7214" t="inlineStr">
        <is>
          <t>cmxvau</t>
        </is>
      </c>
      <c r="B7214" t="inlineStr">
        <is>
          <t>Who do i believe or what do I believe at this point?</t>
        </is>
      </c>
      <c r="C7214" t="inlineStr">
        <is>
          <t>Ever since i got diagnosed with T2 a little over a week ago, I just don't know what to do as of now. Today I saw a diabetic educator or nutritionists. She told me to eat 45-60 grams of carbs per meal. She said I can eat fruits, bread, brown rice, cereal, etc  as long as I'm getting the proper amount of carbs per meal and not going over. Then when I read online or around reddit, everyone says to completely drop bread, drop rice, drop cereal. Many people on reddit say to go on keto or eat very little carbs and my nutritionists was against it. She said I need the carbs for energy and workouts. Basically  she wants me eating a balanced meal of protein, carbs, and fat. She said she does not care if I eat rice 3x a day, as long as I am properly measuring it to not go over my allowance for carbs.
&amp;amp;#x200B;
So my question is, do I just listen to my nutritionists and eat the brown or eat that slice of whole bread as long as I make sure I allow it in my 45-60 carb allowance? Or Do I cut those foods completely and do low carb? 
I also asked her can I start weight lifting as well and she said don't weight lift and just focus on cardio. This was weird to me because I thought it was perfectly fine to weight lift with diabates. I don't want to lose weight, do cardio, and end up with too much loose skin or bad looking body. I want to lift and lose weight to maintain as much muscle as possible. The protein numbers she allowed me to eat were really low as well. So this was another sketchy part that I totally did not agree with the nutritionists on. 
&amp;amp;#x200B;
Random Question : Do you guys ever cheat and have something unhealthy? Like a slice of cake or a burger every now and then? Or is it not worth it.</t>
        </is>
      </c>
      <c r="D7214" t="n">
        <v>11</v>
      </c>
      <c r="E7214" t="n">
        <v>31</v>
      </c>
      <c r="F7214">
        <f>HYPERLINK("https://www.reddit.com/r/diabetes/comments/cmxvau/who_do_i_believe_or_what_do_i_believe_at_this/")</f>
        <v/>
      </c>
      <c r="G7214" t="inlineStr">
        <is>
          <t>2019-08-06 16:22:15</t>
        </is>
      </c>
      <c r="H7214" t="inlineStr">
        <is>
          <t>Type 2</t>
        </is>
      </c>
    </row>
    <row r="7215">
      <c r="A7215" t="inlineStr">
        <is>
          <t>cn4bi3</t>
        </is>
      </c>
      <c r="B7215" t="inlineStr">
        <is>
          <t>Are testosterone pills safe for type 2 diabetics?</t>
        </is>
      </c>
      <c r="C7215" t="inlineStr">
        <is>
          <t>Hello. Im looking to see if this is a good idea to raise testosterone levels. When i was diagnosed with diabetes, i also found out that my testosterone is borderline low. I think this is to be blamed since I noticed that I have low sex drive and just "tired and depressed" in general. Hoping this idea could bring my mood and energy back to normal.
Please advice. Thank you in advance.</t>
        </is>
      </c>
      <c r="D7215" t="n">
        <v>3</v>
      </c>
      <c r="E7215" t="n">
        <v>9</v>
      </c>
      <c r="F7215">
        <f>HYPERLINK("https://www.reddit.com/r/diabetes/comments/cn4bi3/are_testosterone_pills_safe_for_type_2_diabetics/")</f>
        <v/>
      </c>
      <c r="G7215" t="inlineStr">
        <is>
          <t>2019-08-07 03:59:32</t>
        </is>
      </c>
      <c r="H7215" t="inlineStr">
        <is>
          <t>Type 2</t>
        </is>
      </c>
    </row>
    <row r="7216">
      <c r="A7216" t="inlineStr">
        <is>
          <t>cn6eb6</t>
        </is>
      </c>
      <c r="B7216" t="inlineStr">
        <is>
          <t>Yoga and Omnipod or V-Go</t>
        </is>
      </c>
      <c r="C7216" t="inlineStr">
        <is>
          <t>Hi all! I'd like to resurrect my daily yoga practice but I'm struggling to do it while wearing my V-Go. If you practice and use an Omnipod or V-Go, where do you wear it?
At this point I'm taking it off to practice and putting a new one on afterward, but I'd love not to have to do that.
Thanks!</t>
        </is>
      </c>
      <c r="D7216" t="n">
        <v>2</v>
      </c>
      <c r="E7216" t="n">
        <v>7</v>
      </c>
      <c r="F7216">
        <f>HYPERLINK("https://www.reddit.com/r/diabetes/comments/cn6eb6/yoga_and_omnipod_or_vgo/")</f>
        <v/>
      </c>
      <c r="G7216" t="inlineStr">
        <is>
          <t>2019-08-07 07:20:21</t>
        </is>
      </c>
      <c r="H7216" t="inlineStr">
        <is>
          <t>Type 1.5/LADA</t>
        </is>
      </c>
    </row>
    <row r="7217">
      <c r="A7217" t="inlineStr">
        <is>
          <t>cn80ml</t>
        </is>
      </c>
      <c r="B7217" t="inlineStr">
        <is>
          <t>Downgrade basil IQ on new tslim x2?</t>
        </is>
      </c>
      <c r="C7217" t="inlineStr">
        <is>
          <t>So we just got our replacement X2 and it came with the new basil IQ software upgrade. Problem is that the new software makes the pump non-compatible with our dexcom G5 sensors. Anyone know how to install the earlier version of basil IQ to the t-slim so we can use our dexcom again?</t>
        </is>
      </c>
      <c r="D7217" t="n">
        <v>2</v>
      </c>
      <c r="E7217" t="n">
        <v>11</v>
      </c>
      <c r="F7217">
        <f>HYPERLINK("https://www.reddit.com/r/diabetes/comments/cn80ml/downgrade_basil_iq_on_new_tslim_x2/")</f>
        <v/>
      </c>
      <c r="G7217" t="inlineStr">
        <is>
          <t>2019-08-07 09:28:57</t>
        </is>
      </c>
      <c r="H7217" t="inlineStr">
        <is>
          <t>Type 1</t>
        </is>
      </c>
    </row>
    <row r="7218">
      <c r="A7218" t="inlineStr">
        <is>
          <t>cn97s9</t>
        </is>
      </c>
      <c r="B7218" t="inlineStr">
        <is>
          <t>Struggling to make a meal plan for myself to get enough calories in</t>
        </is>
      </c>
      <c r="C7218" t="inlineStr">
        <is>
          <t>I'm recently diagnosed with T2 for about a week now. I've been eating chicken, broccoli, salmon, hemp seeds, oatmeal, 2 small sticks of beef jerky or a cheese stick for snacks. I bought keto protein powder and have about 1-2 shakes a day. My problem is I'm under eating/ I need to add in more calories but I'm not sure what foods to add in without adding too many carbs to my diet. The oatmeal is already about 25 and I try to eat no more than 50 carbs a day now. I also weigh 282 and I'm currently losing weight. Any tips or ideas of what other foods I can add?</t>
        </is>
      </c>
      <c r="D7218" t="n">
        <v>5</v>
      </c>
      <c r="E7218" t="n">
        <v>20</v>
      </c>
      <c r="F7218">
        <f>HYPERLINK("https://www.reddit.com/r/diabetes/comments/cn97s9/struggling_to_make_a_meal_plan_for_myself_to_get/")</f>
        <v/>
      </c>
      <c r="G7218" t="inlineStr">
        <is>
          <t>2019-08-07 11:00:31</t>
        </is>
      </c>
      <c r="H7218" t="inlineStr">
        <is>
          <t>Type 2</t>
        </is>
      </c>
    </row>
    <row r="7219">
      <c r="A7219" t="inlineStr">
        <is>
          <t>cnbyn1</t>
        </is>
      </c>
      <c r="B7219" t="inlineStr">
        <is>
          <t>HARVARD AREA - CAMBRIDGE. Selling viles of Novorapid 10ml.</t>
        </is>
      </c>
      <c r="C7219" t="inlineStr">
        <is>
          <t>Selling a bunch of my 10ml Novorapid insulin viles. Need gone by Saturday as I would no longer be able to refrigerate them (flying overseas). Can drop off anywhere around Harvard campus. Make me offers per vile (average price $300usd). Message me for more info!</t>
        </is>
      </c>
      <c r="D7219" t="n">
        <v>1</v>
      </c>
      <c r="E7219" t="n">
        <v>2</v>
      </c>
      <c r="F7219">
        <f>HYPERLINK("https://www.reddit.com/r/diabetes/comments/cnbyn1/harvard_area_cambridge_selling_viles_of_novorapid/")</f>
        <v/>
      </c>
      <c r="G7219" t="inlineStr">
        <is>
          <t>2019-08-07 14:29:26</t>
        </is>
      </c>
      <c r="H7219" t="inlineStr">
        <is>
          <t>Type 1</t>
        </is>
      </c>
    </row>
    <row r="7220">
      <c r="A7220" t="inlineStr">
        <is>
          <t>cncrw6</t>
        </is>
      </c>
      <c r="B7220" t="inlineStr">
        <is>
          <t>A1c 7.4 whoo!</t>
        </is>
      </c>
      <c r="C7220" t="inlineStr">
        <is>
          <t>7.4 down from 8.1 last time. Super super happy!
Before getting a pump, I had managed two A1cs under 8 in about 15 years. I've had 2 A1cs under 8 in just the last year since getting a pump / Libre. And since getting a great clinic team that is *encouraging* rather than moralizing. I still don't think I'll ever get into the 6% range but I am really proud of myself for doing as well as I am. 
But it always makes me laugh - the lab flags my results as "HI" and automatically includes the reference guidelines for diabetes, prediabetes, etc. Like "HEY. DID YOU KNOW you might have diabetes? You should probably do something about that." Uh...yeah...thanks guys, I'm on it.</t>
        </is>
      </c>
      <c r="D7220" t="n">
        <v>17</v>
      </c>
      <c r="E7220" t="n">
        <v>7</v>
      </c>
      <c r="F7220">
        <f>HYPERLINK("https://www.reddit.com/r/diabetes/comments/cncrw6/a1c_74_whoo/")</f>
        <v/>
      </c>
      <c r="G7220" t="inlineStr">
        <is>
          <t>2019-08-07 15:35:00</t>
        </is>
      </c>
      <c r="H7220" t="inlineStr">
        <is>
          <t>Type 1</t>
        </is>
      </c>
    </row>
    <row r="7221">
      <c r="A7221" t="inlineStr">
        <is>
          <t>cndxmk</t>
        </is>
      </c>
      <c r="B7221" t="inlineStr">
        <is>
          <t>Avoiding veins when inserting new infusion set?</t>
        </is>
      </c>
      <c r="C7221" t="inlineStr">
        <is>
          <t>So I just had the very annoying (and painful) experience of switching to a new pump site and instantly seeing blood rising up. Any tips for spotting/avoiding blood veins on the body?</t>
        </is>
      </c>
      <c r="D7221" t="n">
        <v>2</v>
      </c>
      <c r="E7221" t="n">
        <v>2</v>
      </c>
      <c r="F7221">
        <f>HYPERLINK("https://www.reddit.com/r/diabetes/comments/cndxmk/avoiding_veins_when_inserting_new_infusion_set/")</f>
        <v/>
      </c>
      <c r="G7221" t="inlineStr">
        <is>
          <t>2019-08-07 17:14:20</t>
        </is>
      </c>
      <c r="H7221" t="inlineStr">
        <is>
          <t>Type 1</t>
        </is>
      </c>
    </row>
    <row r="7222">
      <c r="A7222" t="inlineStr">
        <is>
          <t>cneqls</t>
        </is>
      </c>
      <c r="B7222" t="inlineStr">
        <is>
          <t>Consistently in and out of DKA despite maintained blood sugars?</t>
        </is>
      </c>
      <c r="C7222" t="inlineStr">
        <is>
          <t>I would just like to understand more, I thought I knew a lot about diabetes as well as DKA, but my girlfriend has been in the hospital for almost a week for DKA. They moved her out of the ICU because her gap closed and she was no longer in DKA — no ketones or high blood sugars. This was well maintained while on a regular floor but they moved her back into the ICU because she was in DKA again. How did this happen? She never went over 200 nor had ketones then suddenly she popped back in.</t>
        </is>
      </c>
      <c r="D7222" t="n">
        <v>6</v>
      </c>
      <c r="E7222" t="n">
        <v>7</v>
      </c>
      <c r="F7222">
        <f>HYPERLINK("https://www.reddit.com/r/diabetes/comments/cneqls/consistently_in_and_out_of_dka_despite_maintained/")</f>
        <v/>
      </c>
      <c r="G7222" t="inlineStr">
        <is>
          <t>2019-08-07 18:27:43</t>
        </is>
      </c>
      <c r="H7222" t="inlineStr">
        <is>
          <t>Type 1</t>
        </is>
      </c>
    </row>
    <row r="7223">
      <c r="A7223" t="inlineStr">
        <is>
          <t>cnfe0t</t>
        </is>
      </c>
      <c r="B7223" t="inlineStr">
        <is>
          <t>I just need to put it out there, I'm sick of this</t>
        </is>
      </c>
      <c r="C7223" t="inlineStr">
        <is>
          <t>For context, I was diagnosed with Type 1 about five years ago, and I managed it really well in the beginning. Since then I've started using the OmniPod (a few years) and Dexcom G6 CGM (a few months).
I think I've just gotten tired of it all because I don't.. really care about this aspect of my health anymore. I try to ignore it and forget to bolus when I eat, I can't even remember being able to eat without thinking about it. All of my family's fights are about my blood sugar, I feel like my whole life revolves around this disease.
It doesn't help that my friends with diabetes have near perfect numbers and all the people I see on this subreddit consider BGs of 120-180 high while I *wish* I could get that low on a good day. This all makes my mental health worse, which is probably what caused this lack of motivation in the first place. I get really down for weeks at a time and then I suddenly want to get better. Just this week a post inspired me to change my high alert from 250 to 180 and it's helped a lot, but I'm worried I'm just going to fall into a slump again...
Take this as you will and feel free to give advice, I just needed to talk💙</t>
        </is>
      </c>
      <c r="D7223" t="n">
        <v>17</v>
      </c>
      <c r="E7223" t="n">
        <v>15</v>
      </c>
      <c r="F7223">
        <f>HYPERLINK("https://www.reddit.com/r/diabetes/comments/cnfe0t/i_just_need_to_put_it_out_there_im_sick_of_this/")</f>
        <v/>
      </c>
      <c r="G7223" t="inlineStr">
        <is>
          <t>2019-08-07 19:28:53</t>
        </is>
      </c>
      <c r="H7223" t="inlineStr">
        <is>
          <t>Type 1</t>
        </is>
      </c>
    </row>
    <row r="7224">
      <c r="A7224" t="inlineStr">
        <is>
          <t>cnlgpa</t>
        </is>
      </c>
      <c r="B7224" t="inlineStr">
        <is>
          <t>Reversing Diabetes</t>
        </is>
      </c>
      <c r="C7224" t="inlineStr">
        <is>
          <t>Hi everyone, I'm new to the community, but I'm not new to diabetes. I've had type two for the greater part of my twenties but was only made aware of it about 3 years ago. 
My energy was all over the place and I couldn't ever get enough sleep. I even fell asleep uncontrollably, that was scary stuff. The weird thing about it all was that I have never been overweight. I wasn't your typical diabetic, but I had plenty of the other symptoms. Extreme fatigue, blurry vision and slow healing wounds in particular.
Once I got tested and the blood work came back, it was almost a relief for me. I finally understood what the problem was, so I set out to fix it. 
My A1c was at 6.9 so it wasn't terrible but the Doc wanted me on Metformin. I refused. Coming from a Human Bio and Exercise Science background, the solution to the problem seemed pretty clear cut for me. If eating carbohydrates lead to me having too much sugar in my bloodstream, then all I had to do was eat fewer carbohydrates or high glycemic foods in favor of lower ones. I followed a strict low carb diet (not keto because I was eating/still eat between 70 and 100g of carbs a day), where I limited my carbs to veggies, berries and nuts/seeds. My fat intake was about 60-70% of my calories, protein about 20% and carbs made up the rest. 
The effects were immediate. I felt like a new person within the week and after a month or two, I felt better than I had ever felt. I had my blood work done again about 2.5 months post the initial check-up, my A1c dropped to 5.3! The doctor was in utter disbelief. He couldn't believe it but quickly understood why after I explained my lifestyle change. 
Reversing diabetes (I should say, returning to normal levels) isn't impossible, it just takes a lot of dedication and mental fortitude. Giving up bread, flour, candy, ice cream, and most desserts, was SOOO hard for me, but I didn't have a choice. I didn't want to keep feeling the same way and more importantly, I didn't want and don't want the organ complications down the road. Your life is on the line, but you can take control. Don't give up everyone!
For more information on [my story](https://www.chipmonkbaking.com/blog/2019/3/1/life-as-a-type-two-diabetic) with diabetes and what I did to [manage my diabetes](https://www.chipmonkbaking.com/blog/2019/3/19/the-path-of-least-insulin-resistance), check out those links to blogs I've written. Good luck to you all!</t>
        </is>
      </c>
      <c r="D7224" t="n">
        <v>0</v>
      </c>
      <c r="E7224" t="n">
        <v>19</v>
      </c>
      <c r="F7224">
        <f>HYPERLINK("https://www.reddit.com/r/diabetes/comments/cnlgpa/reversing_diabetes/")</f>
        <v/>
      </c>
      <c r="G7224" t="inlineStr">
        <is>
          <t>2019-08-08 06:02:48</t>
        </is>
      </c>
      <c r="H7224" t="inlineStr">
        <is>
          <t>Type 2</t>
        </is>
      </c>
    </row>
    <row r="7225">
      <c r="A7225" t="inlineStr">
        <is>
          <t>cnp1be</t>
        </is>
      </c>
      <c r="B7225" t="inlineStr">
        <is>
          <t>I’m feeling really down lately and don’t know what to do.</t>
        </is>
      </c>
      <c r="C7225" t="inlineStr">
        <is>
          <t>I was diagnosed last month and I’m currently in my school holidays and I will back in school for my last year soon, I’m feeling really gutted about the fact I have type 1 diabetes I already had enough shit to deal with in my life and now this. I have supportive friends and family I guess it’s nothing to do with them it’s me I keep thinking back to when I didn’t have diabetes and I get depressed sometimes. I’m overthinking a lot and having a massive crush on this girl doesn’t help I’m praying me having diabetes won’t effect her liking me in anyway.
Can there at least be some sort off fucking cure or semi cure or just something, can anyone link something showing some sort of progression towards anything that would make diabetes easier I don’t even mean a cure just maybe pills instead of injections or smart insulin so I would only have to inject myself once a day.
I’m getting a patch pump soon so hopefully that will make my life easier and I’m thankful I live in the UK were everything is free because I could not imagine paying for my insulin. I have my ups and downs just needed to get this out because I’ve been acting like I’m fine but deep down and especially today I’m not.</t>
        </is>
      </c>
      <c r="D7225" t="n">
        <v>3</v>
      </c>
      <c r="E7225" t="n">
        <v>6</v>
      </c>
      <c r="F7225">
        <f>HYPERLINK("https://www.reddit.com/r/diabetes/comments/cnp1be/im_feeling_really_down_lately_and_dont_know_what/")</f>
        <v/>
      </c>
      <c r="G7225" t="inlineStr">
        <is>
          <t>2019-08-08 10:33:33</t>
        </is>
      </c>
      <c r="H7225" t="inlineStr">
        <is>
          <t>Type 1</t>
        </is>
      </c>
    </row>
    <row r="7226">
      <c r="A7226" t="inlineStr">
        <is>
          <t>cnpgnk</t>
        </is>
      </c>
      <c r="B7226" t="inlineStr">
        <is>
          <t>Medicines making me feel awful, any advice?</t>
        </is>
      </c>
      <c r="C7226" t="inlineStr">
        <is>
          <t>I'm currently on dapagliflozin (Forxiga), sitagliptin (Januvia), Slow release Metformin (Sukkarto), 20 units of Lantus and I do take some anti depressants but it's not important. 
I'm struggling slightly when controlling my diabetes, it spikes sometimes but lately it's been good, but I feel awful daily. I'm also struggling with my weight, but the doctor said the dapagliflozin (Forxiga) is supposed to help, but I haven't seen much change in that. 
Anyway, my main issue is I'm constantly tired and thirsty, as well as feeling drained, nauseous, in pain everywhere and since being on the dapagliflozin I've been getting chest pains and feeling really hot. I've read through the leaflets and notice some side affects but I'm kinda worried at this point. I feel worse now than when I did before I was being treated for my diabetes (I'm type 2). Does anyone have any experiences with any of these medications? I'm just looking for some advice until I see my GP next week
Thanks :)</t>
        </is>
      </c>
      <c r="D7226" t="n">
        <v>2</v>
      </c>
      <c r="E7226" t="n">
        <v>20</v>
      </c>
      <c r="F7226">
        <f>HYPERLINK("https://www.reddit.com/r/diabetes/comments/cnpgnk/medicines_making_me_feel_awful_any_advice/")</f>
        <v/>
      </c>
      <c r="G7226" t="inlineStr">
        <is>
          <t>2019-08-08 11:03:42</t>
        </is>
      </c>
      <c r="H7226" t="inlineStr">
        <is>
          <t>Type 2</t>
        </is>
      </c>
    </row>
    <row r="7227">
      <c r="A7227" t="inlineStr">
        <is>
          <t>cntm82</t>
        </is>
      </c>
      <c r="B7227" t="inlineStr">
        <is>
          <t>Best middle-of-night low snack</t>
        </is>
      </c>
      <c r="C7227" t="inlineStr">
        <is>
          <t>I have a 3yo w/ T1, and we struggle some times with treating a low, in terms of finding not only the right amount of carbs, but really the right mix of fat/protein/sugar.  For example, last night the little guy was going low so I gave him 4-5 carbs of pure sugar, but after a small peak he was right back down again 2 hrs later.  
We have found often that a combo of a little milk (3 carbs) + sugar/gummies (2-3 carbs) is the best combo -- but going downstairs and pouring milk in the middle of the night, having him drink it, fill up a diaper in his sleep etc. is a pain.  Really trying to find some kind of FOOD that can replicate that protein/fat/sugar mix.
What are effective low snacks folks have used that give a bump up that is long-lasting (i.e. that keeps you up)?</t>
        </is>
      </c>
      <c r="D7227" t="n">
        <v>2</v>
      </c>
      <c r="E7227" t="n">
        <v>5</v>
      </c>
      <c r="F7227">
        <f>HYPERLINK("https://www.reddit.com/r/diabetes/comments/cntm82/best_middleofnight_low_snack/")</f>
        <v/>
      </c>
      <c r="G7227" t="inlineStr">
        <is>
          <t>2019-08-08 16:06:02</t>
        </is>
      </c>
      <c r="H7227" t="inlineStr">
        <is>
          <t>Type 1</t>
        </is>
      </c>
    </row>
    <row r="7228">
      <c r="A7228" t="inlineStr">
        <is>
          <t>cnu6os</t>
        </is>
      </c>
      <c r="B7228" t="inlineStr">
        <is>
          <t>All of sudden, low BG for most of the day. Any idea why?</t>
        </is>
      </c>
      <c r="C7228" t="inlineStr">
        <is>
          <t>Hello Everyone, 
I got diagnose with t2 earlier this year. My A1c was \~13.5. I changed my diet and lost \~45 pounds. (need to lose another 15 pounds to get to the normal BMI range. 
I was able to get to 5.8 A1c on my last blood test 2 month ago. Recently I tried out wearing Freestyle Libre to monitor how diet and exercise change my bg level. I have been doing fine on a low carb diet with regular exercises. 
However, started today, my Libre has been giving me reading of low bg levels. I cross-checked with my OneTouch and it was quite close. I do have a low bg level. However, I have been eating throughout the day and not feeling hungry at all. 
Can anyone give me some suggestion what should I do now? Is this a sign that my body condition is taking a sharp downturn or is there any other reason might be causing this?
Today:
\[IMG-8290.png\](https://postimg.cc/6TyJY0zt)
breakfast: 2 slices of thin bread with PB
lunch: chipotle salad bowl
snacking throughout the day with some blueberry and nuts
Normal days:
\[IMG-8292.png\](https://postimg.cc/r0sbZV1Q)</t>
        </is>
      </c>
      <c r="D7228" t="n">
        <v>2</v>
      </c>
      <c r="E7228" t="n">
        <v>6</v>
      </c>
      <c r="F7228">
        <f>HYPERLINK("https://www.reddit.com/r/diabetes/comments/cnu6os/all_of_sudden_low_bg_for_most_of_the_day_any_idea/")</f>
        <v/>
      </c>
      <c r="G7228" t="inlineStr">
        <is>
          <t>2019-08-08 16:52:33</t>
        </is>
      </c>
      <c r="H7228" t="inlineStr">
        <is>
          <t>Type 2</t>
        </is>
      </c>
    </row>
    <row r="7229">
      <c r="A7229" t="inlineStr">
        <is>
          <t>cnv4xd</t>
        </is>
      </c>
      <c r="B7229" t="inlineStr">
        <is>
          <t>UTI caused by high glucose levels?</t>
        </is>
      </c>
      <c r="C7229" t="inlineStr">
        <is>
          <t>Is it normal for you to develop a UTI caused by high blood sugars? I've had 2 UTIs over the past 3 months after not having them for years, and the only thing I can put it down to is high blood sugars during the night, one of which turned into a kidney infection. It's driving me mad and I'm writing this half in a state of UTI induced confusion. To make matters worse, glucose levels are now unstable because of said infection and I've got a whole night to get through before I am able to phone the GP</t>
        </is>
      </c>
      <c r="D7229" t="n">
        <v>8</v>
      </c>
      <c r="E7229" t="n">
        <v>9</v>
      </c>
      <c r="F7229">
        <f>HYPERLINK("https://www.reddit.com/r/diabetes/comments/cnv4xd/uti_caused_by_high_glucose_levels/")</f>
        <v/>
      </c>
      <c r="G7229" t="inlineStr">
        <is>
          <t>2019-08-08 18:14:10</t>
        </is>
      </c>
      <c r="H7229" t="inlineStr">
        <is>
          <t>Type 1</t>
        </is>
      </c>
    </row>
    <row r="7230">
      <c r="A7230" t="inlineStr">
        <is>
          <t>cnxd9z</t>
        </is>
      </c>
      <c r="B7230" t="inlineStr">
        <is>
          <t>Split Levemir Dose</t>
        </is>
      </c>
      <c r="C7230" t="inlineStr">
        <is>
          <t>T1D, MDI (Levemir &amp;amp; Humalog), Dexcom G6.
I am running into this somewhat common issue with my Levemir insulin where I end up dropping low over night if I up my dose but I end up going high if I skip a meal (or delay one) at any point in my day.   I had a fellow T1D suggest splitting the dose (at a Connected in Motion event) but I'm not really sure how/why it could help.  I am going back to my endo in October so I won't be taking any action until then, but can anyone explain how/why splitting a dose would/could help.  Just as a point of reference, I do 18 units of Levemir and \~50 units of Humalog daily.</t>
        </is>
      </c>
      <c r="D7230" t="n">
        <v>2</v>
      </c>
      <c r="E7230" t="n">
        <v>5</v>
      </c>
      <c r="F7230">
        <f>HYPERLINK("https://www.reddit.com/r/diabetes/comments/cnxd9z/split_levemir_dose/")</f>
        <v/>
      </c>
      <c r="G7230" t="inlineStr">
        <is>
          <t>2019-08-08 21:34:17</t>
        </is>
      </c>
      <c r="H7230" t="inlineStr">
        <is>
          <t>Type 1</t>
        </is>
      </c>
    </row>
    <row r="7231">
      <c r="A7231" t="inlineStr">
        <is>
          <t>cnyen6</t>
        </is>
      </c>
      <c r="B7231" t="inlineStr">
        <is>
          <t>T2 diabetes, sneezing a lot, sore throat</t>
        </is>
      </c>
      <c r="C7231" t="inlineStr">
        <is>
          <t>41 / male / 224lbs / 5’11 / Pacific Island / Caucasian
Diagnosed 7/1/19, non keto, hyperosmolar diabetes mellitus
Had a BGL of about 800. Was pissing 30 times a night, drinking 8 gallons of water a day, stomach pain, was going blind and after about 6 weeks of this I went to the doctor and was admitted to the ER.
Since being on 65 units Lantus once a day and 20 units Novolog 3-4x a day before meals.
Have developed constant sneezing about 5 times a day. I’ll sneeze 3 or 4 times and then be good. Today I developed some throat soreness and maybe some sinus issues and have had achy/aching teeth gums on and off for weeks.
I don’t have a cold or flu. These are medical problems / medication problems..
I am also SEVERELY prone to nausea and vomiting. Fecal, dried urine, walking into a public bathroom or a just used private bathroom causes me to vomit every time. This issue really bothers me, even with Ondaset. Maybe I need a stronger dose or something else.
Looking for relief and suggestions
Tia!</t>
        </is>
      </c>
      <c r="D7231" t="n">
        <v>2</v>
      </c>
      <c r="E7231" t="n">
        <v>7</v>
      </c>
      <c r="F7231">
        <f>HYPERLINK("https://www.reddit.com/r/diabetes/comments/cnyen6/t2_diabetes_sneezing_a_lot_sore_throat/")</f>
        <v/>
      </c>
      <c r="G7231" t="inlineStr">
        <is>
          <t>2019-08-08 23:24:07</t>
        </is>
      </c>
      <c r="H7231" t="inlineStr">
        <is>
          <t>Type 2</t>
        </is>
      </c>
    </row>
    <row r="7232">
      <c r="A7232" t="inlineStr">
        <is>
          <t>co2qs3</t>
        </is>
      </c>
      <c r="B7232" t="inlineStr">
        <is>
          <t>Things are starting to look up...</t>
        </is>
      </c>
      <c r="C7232" t="inlineStr">
        <is>
          <t>Never really had any symptoms prior to my diagnosis besides random weight loss and mild tingling in my left hand (which I assumed was just a pinched nerve). I got it checked out and was told my A1C was a 13.4 on June 14 of this year. A few days later (after insurance took forever) I received my meter and got my[ first results was a 339](https://imgur.com/a/hbGk8r0). I was scared, really scared but I placed on Metformin to see if I could use it. 
Today I am happy to report the best number I have gotten since then. An [amazing 99](https://imgur.com/a/eF1jCO4)! I am so excited that things are getting back on track and I feel great as well!
Cheers to good health going forward!</t>
        </is>
      </c>
      <c r="D7232" t="n">
        <v>19</v>
      </c>
      <c r="E7232" t="n">
        <v>4</v>
      </c>
      <c r="F7232">
        <f>HYPERLINK("https://www.reddit.com/r/diabetes/comments/co2qs3/things_are_starting_to_look_up/")</f>
        <v/>
      </c>
      <c r="G7232" t="inlineStr">
        <is>
          <t>2019-08-09 06:58:56</t>
        </is>
      </c>
      <c r="H7232" t="inlineStr">
        <is>
          <t>Type 2</t>
        </is>
      </c>
    </row>
    <row r="7233">
      <c r="A7233" t="inlineStr">
        <is>
          <t>co33w2</t>
        </is>
      </c>
      <c r="B7233" t="inlineStr">
        <is>
          <t>Type 1 and Hashimotos</t>
        </is>
      </c>
      <c r="C7233" t="inlineStr">
        <is>
          <t>I tested positive for Hashimotos antibodies and my Endo is worried I could develop it based on how badly out of range they were. Can anyone speak to having both diabetes and Hashimotos? I'm anxious because he says the treatment for Hashimotos is steroids, which means my blood sugars are going to be horrible. 
He said I could prevent Hashimotos by de-stressing (yoga, meditation, etc) but I'm not totally sure I believe that. I'm not a very stressed individual (I exercise and my work is easy) so if anyone has information about this as well I would really appreciate it! Thanks!</t>
        </is>
      </c>
      <c r="D7233" t="n">
        <v>3</v>
      </c>
      <c r="E7233" t="n">
        <v>5</v>
      </c>
      <c r="F7233">
        <f>HYPERLINK("https://www.reddit.com/r/diabetes/comments/co33w2/type_1_and_hashimotos/")</f>
        <v/>
      </c>
      <c r="G7233" t="inlineStr">
        <is>
          <t>2019-08-09 07:27:29</t>
        </is>
      </c>
      <c r="H7233" t="inlineStr">
        <is>
          <t>Type 1</t>
        </is>
      </c>
    </row>
    <row r="7234">
      <c r="A7234" t="inlineStr">
        <is>
          <t>co46rg</t>
        </is>
      </c>
      <c r="B7234" t="inlineStr">
        <is>
          <t>Low BG during that "time of the month"?</t>
        </is>
      </c>
      <c r="C7234" t="inlineStr">
        <is>
          <t>I feel like I run *really* low when I'm on my period (my "urgent" lows tend to happen then,  I ended up eating like an entire box of mac n cheese to stabilize myself once). Anyone else have this problem? Do I just have to eat more carbs then (normally I just eat less than 30 carbs a meal), or is there something I'm missing?</t>
        </is>
      </c>
      <c r="D7234" t="n">
        <v>1</v>
      </c>
      <c r="E7234" t="n">
        <v>2</v>
      </c>
      <c r="F7234">
        <f>HYPERLINK("https://www.reddit.com/r/diabetes/comments/co46rg/low_bg_during_that_time_of_the_month/")</f>
        <v/>
      </c>
      <c r="G7234" t="inlineStr">
        <is>
          <t>2019-08-09 08:48:03</t>
        </is>
      </c>
      <c r="H7234" t="inlineStr">
        <is>
          <t>Type 1</t>
        </is>
      </c>
    </row>
    <row r="7235">
      <c r="A7235" t="inlineStr">
        <is>
          <t>co4bls</t>
        </is>
      </c>
      <c r="B7235" t="inlineStr">
        <is>
          <t>Adult myopia: Partly to blame on high blood glucose?</t>
        </is>
      </c>
      <c r="C7235" t="inlineStr">
        <is>
          <t>Recently I learned, that I have high fasting blood sugar (about 100-110 mg/dl) and started doing a low carb diet and testing my blood.
I also have adult myopia, which means, that my myopia developed during adulthood, which I read is kind of rare.
I also learned, that high blood sugar can result in blurry vision.
Can my myopia be partly to blame on high sugar?
I have a picture in my home, which I look at from my sofa in order to keep track of how bad my vision is. Every now and again I see the picture unusually clearly or unusually blurry.
Today I noticed it was unusually clear and immediately tested my blood glucose. It was at 92 (comparatively low, for me at least).
Is this a thing and have you noticed anything like that?</t>
        </is>
      </c>
      <c r="D7235" t="n">
        <v>4</v>
      </c>
      <c r="E7235" t="n">
        <v>9</v>
      </c>
      <c r="F7235">
        <f>HYPERLINK("https://www.reddit.com/r/diabetes/comments/co4bls/adult_myopia_partly_to_blame_on_high_blood_glucose/")</f>
        <v/>
      </c>
      <c r="G7235" t="inlineStr">
        <is>
          <t>2019-08-09 08:57:39</t>
        </is>
      </c>
      <c r="H7235" t="inlineStr">
        <is>
          <t>Type 2</t>
        </is>
      </c>
    </row>
    <row r="7236">
      <c r="A7236" t="inlineStr">
        <is>
          <t>co4f4p</t>
        </is>
      </c>
      <c r="B7236" t="inlineStr">
        <is>
          <t>Just got my glucose sensor implant! Anything I should know about?</t>
        </is>
      </c>
      <c r="C7236" t="inlineStr">
        <is>
          <t>Yeah, so now I'm a cyborg😎😎</t>
        </is>
      </c>
      <c r="D7236" t="n">
        <v>12</v>
      </c>
      <c r="E7236" t="n">
        <v>16</v>
      </c>
      <c r="F7236">
        <f>HYPERLINK("https://www.reddit.com/r/diabetes/comments/co4f4p/just_got_my_glucose_sensor_implant_anything_i/")</f>
        <v/>
      </c>
      <c r="G7236" t="inlineStr">
        <is>
          <t>2019-08-09 09:04:43</t>
        </is>
      </c>
      <c r="H7236" t="inlineStr">
        <is>
          <t>Type 1</t>
        </is>
      </c>
    </row>
    <row r="7237">
      <c r="A7237" t="inlineStr">
        <is>
          <t>co8jaf</t>
        </is>
      </c>
      <c r="B7237" t="inlineStr">
        <is>
          <t>Type 1 Since April, First Time Poster, Likes Video Games and Sci-Fi</t>
        </is>
      </c>
      <c r="C7237" t="inlineStr">
        <is>
          <t>Hi there!
Turns out the hard part of writing an introduction is the first sentence.  Guess what I just wrote isn't bad after three or four restarts, right?  Well, here's the skinny: I'm a 37 year old male living in South Florida, USA.  Just got diagnosed with Type 1 back in April.
Knocked me on my ass, I'll tell you what.
I'm doing pretty darn good now though.  Just... figured it was time to step out there and see what communities there might be.  Mutual support and all that.  After checking out some of the lovely posts here figured I'd step out and try my hand at one.
So, once again, hello!</t>
        </is>
      </c>
      <c r="D7237" t="n">
        <v>46</v>
      </c>
      <c r="E7237" t="n">
        <v>19</v>
      </c>
      <c r="F7237">
        <f>HYPERLINK("https://www.reddit.com/r/diabetes/comments/co8jaf/type_1_since_april_first_time_poster_likes_video/")</f>
        <v/>
      </c>
      <c r="G7237" t="inlineStr">
        <is>
          <t>2019-08-09 14:05:53</t>
        </is>
      </c>
      <c r="H7237" t="inlineStr">
        <is>
          <t>Type 1</t>
        </is>
      </c>
    </row>
    <row r="7238">
      <c r="A7238" t="inlineStr">
        <is>
          <t>co9qke</t>
        </is>
      </c>
      <c r="B7238" t="inlineStr">
        <is>
          <t>Question about low blood sugars and metformin (Type 2)</t>
        </is>
      </c>
      <c r="C7238" t="inlineStr">
        <is>
          <t>I was diagnosed with Type 2 a few months ago. I implemented a new and improved version of my already low carb diet - mainly stopped my potato chip snacking and occasional binge. I've bee pre-diabetic for quite some time. I exercise daily and on the thinnish side of the weight scale. 
Anyway, the doc started me on 500 mg of Metformin twice a day but my level kept spiking up to almost 200 and over 200 even when I would eat the exact same thing from the day before. F'ing frustrating. So he doubled the dose of Metformin to 1000 mg. twice a day. 
Question: I still see some spikes but that is my own damn fault and I have corrected that for the most part. But like this afternoon my readings were:
5:55 am: 94
1:57 pm: 176 (guess metformin hadn't kicked in from lunch - which was a grand total of 24 carbs and 2g of sugar)
3:06: 133
5:25: 72
I'm irritated I didn't test before I ate lunch. My meter says anything in the seventies is too low but I feel fine. I don't get down in the 70s very often but when I do I don't feel any differently. Is it really that low? I also thought Metformin didn't really cause lows very much. 
Is this sort of normal? I go back next month for a check and wonder if I need a different med? I just wondered if anyone else saw these high readings and then super lows. At least it'll bring down my A1c, right? HAHA</t>
        </is>
      </c>
      <c r="D7238" t="n">
        <v>1</v>
      </c>
      <c r="E7238" t="n">
        <v>10</v>
      </c>
      <c r="F7238">
        <f>HYPERLINK("https://www.reddit.com/r/diabetes/comments/co9qke/question_about_low_blood_sugars_and_metformin/")</f>
        <v/>
      </c>
      <c r="G7238" t="inlineStr">
        <is>
          <t>2019-08-09 15:40:37</t>
        </is>
      </c>
      <c r="H7238" t="inlineStr">
        <is>
          <t>Type 2</t>
        </is>
      </c>
    </row>
    <row r="7239">
      <c r="A7239" t="inlineStr">
        <is>
          <t>cocq2l</t>
        </is>
      </c>
      <c r="B7239" t="inlineStr">
        <is>
          <t>Working out and frequent lows question</t>
        </is>
      </c>
      <c r="C7239" t="inlineStr">
        <is>
          <t>Hello everyone,
For the past couple of weeks I have been having some really random lows, particularly after my bedtime snacks or rarely after my dinner. I didn't much know the reason and just decided that I needed to lower my bolus for those times, and I found that sometimes my blood sugar will be fine and other times it will just go high. I then realized that these lows happened right when I started going to the gym, in which I usually go everyday in the afternoon. I decided to not go to the gym for one day and see how my blood sugar is and I notice that it acts fairly normally. I find it odd that this is happening right now since a few months ago I went to the gym regularly and my blood sugar didn't frequently drop as low as it is currently. So basically, can someone confirm that working out leads to a blood sugar drop in my next meal, and that I should lower my bolus for the meal after a workout?</t>
        </is>
      </c>
      <c r="D7239" t="n">
        <v>3</v>
      </c>
      <c r="E7239" t="n">
        <v>3</v>
      </c>
      <c r="F7239">
        <f>HYPERLINK("https://www.reddit.com/r/diabetes/comments/cocq2l/working_out_and_frequent_lows_question/")</f>
        <v/>
      </c>
      <c r="G7239" t="inlineStr">
        <is>
          <t>2019-08-09 20:12:33</t>
        </is>
      </c>
      <c r="H7239" t="inlineStr">
        <is>
          <t>Type 1</t>
        </is>
      </c>
    </row>
    <row r="7240">
      <c r="A7240" t="inlineStr">
        <is>
          <t>cofplk</t>
        </is>
      </c>
      <c r="B7240" t="inlineStr">
        <is>
          <t>“Tripping” or extreme hallucinations during hypoglycaemic attack?</t>
        </is>
      </c>
      <c r="C7240" t="inlineStr">
        <is>
          <t>Hi all, I am a type-1 diabetic with good control and luckily no issues other than the diabetes to speak of. However one aspect of my experience with diabetes is one that I never hear people talking about or discussing ever: When I have a severe hypoglycaemic attack ie during the night, I often get extreme and terrifying hallucinations including time dilation, malevolent entities, feelings of being thrown around the room, existential dread etc. 
Some of these episodes have been so exquisitely mortifying that Ive has flashbacks and moments of panic when I remember that I may return to those depths of anguish through no fault of my own again. In one particularly dreadful incident I woke up in the middle of the night dripping in sweat and on my own, proceeded to descend into what I can only describe as a pit of existential terror, where time no longer had meaning, I was convinced that I was stuck in an infinitely regressing time loop, watched over by terrifying demons, my bedroom was no longer a familiar place and I remember screaming in primal fear that I would never be able to return to a normal state. I then proceeded to enter my bathroom and fall headfirst into the shower cubicle in an attempt to get out of the horrendous state I was in. I woke up in hospital, back in the real world and the feeling of relief was indescribable. The experience is almost identical to how I’ve seen people describe bad LSD/DMT trips.
So diabetic friends, have any of you experienced hypoglycaemic trips like this and if so I’d love to hear about them. Look after yourselves guys!
TLDR: Occasionally when my sugar-levels drop very low I experience haunting, mind mending hallucinations and time dilation. Anyone else?</t>
        </is>
      </c>
      <c r="D7240" t="n">
        <v>3</v>
      </c>
      <c r="E7240" t="n">
        <v>7</v>
      </c>
      <c r="F7240">
        <f>HYPERLINK("https://www.reddit.com/r/diabetes/comments/cofplk/tripping_or_extreme_hallucinations_during/")</f>
        <v/>
      </c>
      <c r="G7240" t="inlineStr">
        <is>
          <t>2019-08-10 01:52:52</t>
        </is>
      </c>
      <c r="H7240" t="inlineStr">
        <is>
          <t>Type 1</t>
        </is>
      </c>
    </row>
    <row r="7241">
      <c r="A7241" t="inlineStr">
        <is>
          <t>cohv5d</t>
        </is>
      </c>
      <c r="B7241" t="inlineStr">
        <is>
          <t>For the first time in months, if not years, I’ve managed to take all my meds and and insulin for a solid week</t>
        </is>
      </c>
      <c r="C7241" t="inlineStr">
        <is>
          <t>I still don’t know if I’ll be able to continue or just go back to my old patterns. I don’t feel any better so we’ll see</t>
        </is>
      </c>
      <c r="D7241" t="n">
        <v>30</v>
      </c>
      <c r="E7241" t="n">
        <v>7</v>
      </c>
      <c r="F7241">
        <f>HYPERLINK("https://www.reddit.com/r/diabetes/comments/cohv5d/for_the_first_time_in_months_if_not_years_ive/")</f>
        <v/>
      </c>
      <c r="G7241" t="inlineStr">
        <is>
          <t>2019-08-10 06:12:45</t>
        </is>
      </c>
      <c r="H7241" t="inlineStr">
        <is>
          <t>Type 2</t>
        </is>
      </c>
    </row>
    <row r="7242">
      <c r="A7242" t="inlineStr">
        <is>
          <t>cojuum</t>
        </is>
      </c>
      <c r="B7242" t="inlineStr">
        <is>
          <t>Getting Started on New Tech</t>
        </is>
      </c>
      <c r="C7242" t="inlineStr">
        <is>
          <t>So my current pump (Medtronic 670g) is out of warranty tomorrow. I’ve decided I’m going to try the Omnipod Dash and Dexcom G6. I need to get a case for the PDM and then figure out how I’m going to keep track of all my new devices. I’ve only ever had a medtronic pump so I’m excited but also nervous about the switch. What “pro” tips do you all have?</t>
        </is>
      </c>
      <c r="D7242" t="n">
        <v>2</v>
      </c>
      <c r="E7242" t="n">
        <v>2</v>
      </c>
      <c r="F7242">
        <f>HYPERLINK("https://www.reddit.com/r/diabetes/comments/cojuum/getting_started_on_new_tech/")</f>
        <v/>
      </c>
      <c r="G7242" t="inlineStr">
        <is>
          <t>2019-08-10 09:03:52</t>
        </is>
      </c>
      <c r="H7242" t="inlineStr">
        <is>
          <t>Type 1</t>
        </is>
      </c>
    </row>
    <row r="7243">
      <c r="A7243" t="inlineStr">
        <is>
          <t>colf0j</t>
        </is>
      </c>
      <c r="B7243" t="inlineStr">
        <is>
          <t>Diabetic goals. I have them</t>
        </is>
      </c>
      <c r="C7243" t="inlineStr">
        <is>
          <t>So I just got my A1C done for the first time in two years, it’s 14.6. I’m going to post on here like every other month until I’m down to 7 to keep encouraging myself to do better and to beat this. I am about to go on a pump in like two weeks or so and I have changed my diet completely and started exercising again. I have found an awesome endocrinologist that is working with me to kick this. For the first time in 14 years I feel like I have diabetes and it doesn’t have me!</t>
        </is>
      </c>
      <c r="D7243" t="n">
        <v>28</v>
      </c>
      <c r="E7243" t="n">
        <v>9</v>
      </c>
      <c r="F7243">
        <f>HYPERLINK("https://www.reddit.com/r/diabetes/comments/colf0j/diabetic_goals_i_have_them/")</f>
        <v/>
      </c>
      <c r="G7243" t="inlineStr">
        <is>
          <t>2019-08-10 11:06:30</t>
        </is>
      </c>
      <c r="H7243" t="inlineStr">
        <is>
          <t>Type 1</t>
        </is>
      </c>
    </row>
    <row r="7244">
      <c r="A7244" t="inlineStr">
        <is>
          <t>coozbb</t>
        </is>
      </c>
      <c r="B7244" t="inlineStr">
        <is>
          <t>Please help, non-Medtronic pumpers!</t>
        </is>
      </c>
      <c r="C7244" t="inlineStr">
        <is>
          <t>Help me! I have been T1 for 32 years and pumping for 20 years (I think?! - it sure feels like it!). I want to use a pump that's not a Medtronic device. I use a Medtronic 630G. I suspect there are features and benefits I am missing out on concerning other kinds of pumps. I haven't used a loop or CGM monitor because it is too expensive for me at this point, anyway. Tell me what you like and dislike about your non-Medtronic pump.</t>
        </is>
      </c>
      <c r="D7244" t="n">
        <v>2</v>
      </c>
      <c r="E7244" t="n">
        <v>6</v>
      </c>
      <c r="F7244">
        <f>HYPERLINK("https://www.reddit.com/r/diabetes/comments/coozbb/please_help_nonmedtronic_pumpers/")</f>
        <v/>
      </c>
      <c r="G7244" t="inlineStr">
        <is>
          <t>2019-08-10 15:58:10</t>
        </is>
      </c>
      <c r="H7244" t="inlineStr">
        <is>
          <t>Type 1</t>
        </is>
      </c>
    </row>
    <row r="7245">
      <c r="A7245" t="inlineStr">
        <is>
          <t>coxpj0</t>
        </is>
      </c>
      <c r="B7245" t="inlineStr">
        <is>
          <t>how high should dawn phenomenon raise ones sugar?</t>
        </is>
      </c>
      <c r="C7245" t="inlineStr">
        <is>
          <t>ok so i stayed up till about 3am last night. now thats not really the issue as on fridays and Saturdays i normally do as i mod a drag racing stream.
my issue is this dawn phenomenon , i last ate something at 10pm , it was some left over pork from the nights dinner , before bed at 3am my sugar was 220, so i took 4 units of solostar fast acting insulin. should of dropped me to 140-150 ish
so i wake up an hour ago and forgot to check my sugar , just checked it and its freaking 400....  now for the last year i have been having crazy high morning sugars all peaking in the 300 range . i stop eating hours before.nothing major in carbs before bed . like im just stumped and its really pissing me off at this point 
i just don't know how to handle this at this point, i wanna try something new but don't know what to try. i feel this is really messing up my body. i don't know if this is a factor from the high blood sugar but last week i completely lost hearing in my left ear and had ringing and humming in it , the hearing has some back a little bit and the ringing has come down but the ringing is still there and its been over a week , went to the ER and they said my ear looks fine . i just woke up with it completely blown out but it wasn't. i did have to wear an ear plug for nearly a week as any sounds sounded like high pitch screeching</t>
        </is>
      </c>
      <c r="D7245" t="n">
        <v>2</v>
      </c>
      <c r="E7245" t="n">
        <v>6</v>
      </c>
      <c r="F7245">
        <f>HYPERLINK("https://www.reddit.com/r/diabetes/comments/coxpj0/how_high_should_dawn_phenomenon_raise_ones_sugar/")</f>
        <v/>
      </c>
      <c r="G7245" t="inlineStr">
        <is>
          <t>2019-08-11 07:58:40</t>
        </is>
      </c>
      <c r="H7245" t="inlineStr">
        <is>
          <t>Type 1</t>
        </is>
      </c>
    </row>
    <row r="7246">
      <c r="A7246" t="inlineStr">
        <is>
          <t>cp33o6</t>
        </is>
      </c>
      <c r="B7246" t="inlineStr">
        <is>
          <t>Foot Pain HELP</t>
        </is>
      </c>
      <c r="C7246" t="inlineStr">
        <is>
          <t>This is a pain like I have never felt before. It will not subside it started in the middle of the night. Recently diagnosed  
was told this could. Nobody mentioned it would be like this constant 5+ with the fun spikes many times per minute that take it to at least and 8.  Any advice besides ER? This is unreal.</t>
        </is>
      </c>
      <c r="D7246" t="n">
        <v>2</v>
      </c>
      <c r="E7246" t="n">
        <v>25</v>
      </c>
      <c r="F7246">
        <f>HYPERLINK("https://www.reddit.com/r/diabetes/comments/cp33o6/foot_pain_help/")</f>
        <v/>
      </c>
      <c r="G7246" t="inlineStr">
        <is>
          <t>2019-08-11 15:02:36</t>
        </is>
      </c>
      <c r="H7246" t="inlineStr">
        <is>
          <t>Type 2</t>
        </is>
      </c>
    </row>
    <row r="7247">
      <c r="A7247" t="inlineStr">
        <is>
          <t>cp4lk3</t>
        </is>
      </c>
      <c r="B7247" t="inlineStr">
        <is>
          <t>If I inject insulin into my boobs, will they get bigger?</t>
        </is>
      </c>
      <c r="C7247" t="inlineStr">
        <is>
          <t>I shoot up my ass at the moment, and I've noticed it getting a bit bigger. Does the same principle apply to the boobies?</t>
        </is>
      </c>
      <c r="D7247" t="n">
        <v>0</v>
      </c>
      <c r="E7247" t="n">
        <v>6</v>
      </c>
      <c r="F7247">
        <f>HYPERLINK("https://www.reddit.com/r/diabetes/comments/cp4lk3/if_i_inject_insulin_into_my_boobs_will_they_get/")</f>
        <v/>
      </c>
      <c r="G7247" t="inlineStr">
        <is>
          <t>2019-08-11 17:09:26</t>
        </is>
      </c>
      <c r="H7247" t="inlineStr">
        <is>
          <t>Type 1</t>
        </is>
      </c>
    </row>
    <row r="7248">
      <c r="A7248" t="inlineStr">
        <is>
          <t>cp9y9q</t>
        </is>
      </c>
      <c r="B7248" t="inlineStr">
        <is>
          <t>I love the Dash but...</t>
        </is>
      </c>
      <c r="C7248" t="inlineStr">
        <is>
          <t>Holy shit does the battery life suck on this. I’ve literally went from 28% to 0% in less than a half hour which is absurd. The battery life is so bad on this.</t>
        </is>
      </c>
      <c r="D7248" t="n">
        <v>6</v>
      </c>
      <c r="E7248" t="n">
        <v>3</v>
      </c>
      <c r="F7248">
        <f>HYPERLINK("https://www.reddit.com/r/diabetes/comments/cp9y9q/i_love_the_dash_but/")</f>
        <v/>
      </c>
      <c r="G7248" t="inlineStr">
        <is>
          <t>2019-08-12 02:18:51</t>
        </is>
      </c>
      <c r="H7248" t="inlineStr">
        <is>
          <t>Type 1</t>
        </is>
      </c>
    </row>
    <row r="7249">
      <c r="A7249" t="inlineStr">
        <is>
          <t>cpekrt</t>
        </is>
      </c>
      <c r="B7249" t="inlineStr">
        <is>
          <t>Hypo feels, non-hypo levels.</t>
        </is>
      </c>
      <c r="C7249" t="inlineStr">
        <is>
          <t>Hey! 
Diagnosed in February after my fasting blood test came back as 365. Started Metformin ER, stopped it due to side effects (which I now contribute more to my anxiety over medication than the actual medication itself), continued to lower blood sugar with the keto-ish diet (I try to stay under 30 carbs per day) and increased movement. I got myself down to 120-140 on average after a couple weeks. Lost a good amount of weight as well. I was doing good and was still coming down for a few months, then let myself slip a bit. Just saw the doc again about 1.5 weeks ago and I've been on Metformin since. No side effects! Blood sugar is starting to come back down again, I am always higher in the morning and then am typically 140 before meals and 180 a couple hours after, then it stays steady. 
I am quite certain my sugar levels before being diagnosed must have been astronomical. I was peeing like crazy and was a complete sugar addict. Always felt like I was dying. The diagnosis made a lot of sense to me!
Anyway! I used to be hypoglycemic, throughout adolescence and into my mid-twenties I was frequently 40-50 and those feelings brought on panic attacks. Obviously, 140-180 is NOT hypo, however the feels are somewhat similar. I'm thinking this is my body adjusting to new lower (and gradually getting lower and lower, but not yet great) levels. I'm experiencing brain fog &amp;amp; some light headedness. It scares me and makes me want to cry into a bowl of baked ziti. I have also seen my entire family (granted, they're type 1, i'm type 2) suffer complications from diabetes, which scares me enough into definitely not doing that. 
Are these feelings normal as your levels adjust? Also, do you take your Metformin ER with breakfast or dinner? I've been taking mine with breakfast but I'm not sure this is The Move. 
Thank you for taking the time to read this. Apologies if it's all over the place, had a rough morning and I just feel overwhelmed by it all, I'm sure you all understand.</t>
        </is>
      </c>
      <c r="D7249" t="n">
        <v>1</v>
      </c>
      <c r="E7249" t="n">
        <v>9</v>
      </c>
      <c r="F7249">
        <f>HYPERLINK("https://www.reddit.com/r/diabetes/comments/cpekrt/hypo_feels_nonhypo_levels/")</f>
        <v/>
      </c>
      <c r="G7249" t="inlineStr">
        <is>
          <t>2019-08-12 09:17:30</t>
        </is>
      </c>
      <c r="H7249" t="inlineStr">
        <is>
          <t>Type 2</t>
        </is>
      </c>
    </row>
    <row r="7250">
      <c r="A7250" t="inlineStr">
        <is>
          <t>cphud9</t>
        </is>
      </c>
      <c r="B7250" t="inlineStr">
        <is>
          <t>Tandem T-Slim has no chill.</t>
        </is>
      </c>
      <c r="C7250" t="inlineStr">
        <is>
          <t>Reloading, running low on insulin and plugging-in to charge involve humiliating unsilence-able alarms. I get that running low on insulin is totally worthy of an alert, but these beeps **are so freakin loud**. I have all the silence-able alerts on vibrate, but does anyone know of a way to make these other alerts ...not?   
This stems from just now being asked by a well-meaning coworker to 'consider using the mother's room' at work to reload because of how distracting my pump is. I didn't feel this kind of shame with my medtronic- and I'm not saying shame for being a diabetic or on a pump, but shame for being distracting.</t>
        </is>
      </c>
      <c r="D7250" t="n">
        <v>3</v>
      </c>
      <c r="E7250" t="n">
        <v>19</v>
      </c>
      <c r="F7250">
        <f>HYPERLINK("https://www.reddit.com/r/diabetes/comments/cphud9/tandem_tslim_has_no_chill/")</f>
        <v/>
      </c>
      <c r="G7250" t="inlineStr">
        <is>
          <t>2019-08-12 13:10:08</t>
        </is>
      </c>
      <c r="H7250" t="inlineStr">
        <is>
          <t>Type 1</t>
        </is>
      </c>
    </row>
    <row r="7251">
      <c r="A7251" t="inlineStr">
        <is>
          <t>cpi19u</t>
        </is>
      </c>
      <c r="B7251" t="inlineStr">
        <is>
          <t>Janumet XR Questions</t>
        </is>
      </c>
      <c r="C7251" t="inlineStr">
        <is>
          <t>I am a recently diagnosed Type 2 Diabetic and began taking a single daily dose of Janumet XR this past Thursday. I had been giving myself finger stick tests when I woke up, lunch time, dinner time, and bed time just to measure any impact the medicine had. From Thursday through this morning, it didn't look like there was much impact at all other than me not measuring any &amp;gt;200 readings.
This morning, I got my brand new freestyle libre setup and a new sensor installed. Since around 10am, my BG has been trending downwards from a 119 when i woke up to 99 at about 3:30pm (eastern time). I haven't seen the increases I was seeing when testing manually between waking up and noon that I had been seeing the week of testing prior (including the 4 days after starting the medication).
My questions are: Is this expected behavior? If I have no carbs, should I expect a progressive downward trend? I'm trying to lose weight by reducing/omitting carbs but do I need carbs now to avoid lows while on this medicine?</t>
        </is>
      </c>
      <c r="D7251" t="n">
        <v>2</v>
      </c>
      <c r="E7251" t="n">
        <v>11</v>
      </c>
      <c r="F7251">
        <f>HYPERLINK("https://www.reddit.com/r/diabetes/comments/cpi19u/janumet_xr_questions/")</f>
        <v/>
      </c>
      <c r="G7251" t="inlineStr">
        <is>
          <t>2019-08-12 13:23:56</t>
        </is>
      </c>
      <c r="H7251" t="inlineStr">
        <is>
          <t>Type 2</t>
        </is>
      </c>
    </row>
    <row r="7252">
      <c r="A7252" t="inlineStr">
        <is>
          <t>cpilwz</t>
        </is>
      </c>
      <c r="B7252" t="inlineStr">
        <is>
          <t>My blood sugar went up after being at the gym!</t>
        </is>
      </c>
      <c r="C7252" t="inlineStr">
        <is>
          <t>When I checked my blood sugar in the morning, it was at 6.0. After being in the gym for 1 1/2 hours, I checked again, and it had gone up to 6.7! Is this normal? Does it happen to anybody else?</t>
        </is>
      </c>
      <c r="D7252" t="n">
        <v>4</v>
      </c>
      <c r="E7252" t="n">
        <v>4</v>
      </c>
      <c r="F7252">
        <f>HYPERLINK("https://www.reddit.com/r/diabetes/comments/cpilwz/my_blood_sugar_went_up_after_being_at_the_gym/")</f>
        <v/>
      </c>
      <c r="G7252" t="inlineStr">
        <is>
          <t>2019-08-12 14:06:04</t>
        </is>
      </c>
      <c r="H7252" t="inlineStr">
        <is>
          <t>Type 2</t>
        </is>
      </c>
    </row>
    <row r="7253">
      <c r="A7253" t="inlineStr">
        <is>
          <t>cpmew8</t>
        </is>
      </c>
      <c r="B7253" t="inlineStr">
        <is>
          <t>Are there any sharps containers that work well in a purse?</t>
        </is>
      </c>
      <c r="C7253" t="inlineStr">
        <is>
          <t>I’ve always used a plastic bag and then brought that bag to work with me to dump the dirty needles in a sharps container (I work at a hospital), but I just feel like there’s got to be better options. What do you lady diabetics use for your used sharps?</t>
        </is>
      </c>
      <c r="D7253" t="n">
        <v>2</v>
      </c>
      <c r="E7253" t="n">
        <v>9</v>
      </c>
      <c r="F7253">
        <f>HYPERLINK("https://www.reddit.com/r/diabetes/comments/cpmew8/are_there_any_sharps_containers_that_work_well_in/")</f>
        <v/>
      </c>
      <c r="G7253" t="inlineStr">
        <is>
          <t>2019-08-12 19:04:21</t>
        </is>
      </c>
      <c r="H7253" t="inlineStr">
        <is>
          <t>Type 1</t>
        </is>
      </c>
    </row>
    <row r="7254">
      <c r="A7254" t="inlineStr">
        <is>
          <t>cpn3rv</t>
        </is>
      </c>
      <c r="B7254" t="inlineStr">
        <is>
          <t>Tandem tape vs minimed tape?</t>
        </is>
      </c>
      <c r="C7254" t="inlineStr">
        <is>
          <t>I am about to swap to the Tandem tslim x2 from minimed 530g. I am able to wear the minimed infusion site with no extra tape and it never comes off no matter how many showers or swimming. Holds amazing. How does the tandem default tape compare?</t>
        </is>
      </c>
      <c r="D7254" t="n">
        <v>2</v>
      </c>
      <c r="E7254" t="n">
        <v>7</v>
      </c>
      <c r="F7254">
        <f>HYPERLINK("https://www.reddit.com/r/diabetes/comments/cpn3rv/tandem_tape_vs_minimed_tape/")</f>
        <v/>
      </c>
      <c r="G7254" t="inlineStr">
        <is>
          <t>2019-08-12 20:01:07</t>
        </is>
      </c>
      <c r="H7254" t="inlineStr">
        <is>
          <t>Type 1</t>
        </is>
      </c>
    </row>
    <row r="7255">
      <c r="A7255" t="inlineStr">
        <is>
          <t>cpnegd</t>
        </is>
      </c>
      <c r="B7255" t="inlineStr">
        <is>
          <t>Extra lantus (US)</t>
        </is>
      </c>
      <c r="C7255" t="inlineStr">
        <is>
          <t>With the insulin price gouging going on, I feel like the extra lantus that I have, and probably won’t use again, that I should donate it. I’m waiting on my doctor to approve a new medicine, that’s not insulin, and if he approves, I’ll have an entire box of lantus, plus 2 pens that I won’t use. Is there anywhere I can donate lantus? I know that you’re not supposed to share rx’s and whatnot, but it feels like these are extraordinary circumstances for insulin dependent folks. Any tips/advice?</t>
        </is>
      </c>
      <c r="D7255" t="n">
        <v>6</v>
      </c>
      <c r="E7255" t="n">
        <v>1</v>
      </c>
      <c r="F7255">
        <f>HYPERLINK("https://www.reddit.com/r/diabetes/comments/cpnegd/extra_lantus_us/")</f>
        <v/>
      </c>
      <c r="G7255" t="inlineStr">
        <is>
          <t>2019-08-12 20:27:17</t>
        </is>
      </c>
      <c r="H7255" t="inlineStr">
        <is>
          <t>Type 2</t>
        </is>
      </c>
    </row>
    <row r="7256">
      <c r="A7256" t="inlineStr">
        <is>
          <t>cpnq7m</t>
        </is>
      </c>
      <c r="B7256" t="inlineStr">
        <is>
          <t>What to look when searching for the perfect cream/lotion?</t>
        </is>
      </c>
      <c r="C7256" t="inlineStr">
        <is>
          <t>Pretty much the title lol .
I always have problems trying to figure what I should look up when searching for creams and skin lotions.
Maybe everyone has recommendations of what to really look for on creams and lotions for diabetic skin? 
Are there any good components that help the skin that you should take in consideration when looking up?</t>
        </is>
      </c>
      <c r="D7256" t="n">
        <v>3</v>
      </c>
      <c r="E7256" t="n">
        <v>4</v>
      </c>
      <c r="F7256">
        <f>HYPERLINK("https://www.reddit.com/r/diabetes/comments/cpnq7m/what_to_look_when_searching_for_the_perfect/")</f>
        <v/>
      </c>
      <c r="G7256" t="inlineStr">
        <is>
          <t>2019-08-12 20:59:04</t>
        </is>
      </c>
      <c r="H7256" t="inlineStr">
        <is>
          <t>Type 2</t>
        </is>
      </c>
    </row>
    <row r="7257">
      <c r="A7257" t="inlineStr">
        <is>
          <t>cpoh9u</t>
        </is>
      </c>
      <c r="B7257" t="inlineStr">
        <is>
          <t>Figuring out my next steps after losing insurance.</t>
        </is>
      </c>
      <c r="C7257" t="inlineStr">
        <is>
          <t xml:space="preserve"> Hey there
My husband recently was bumped up to full time, nullifying our eligibility for Medicare in our state. I JUST received my new 670g system in January 2019. This cgm may not have saved my life but it has certainly improved my quality of life. 
So my plan is, once my small stock pile of supplies are gone I will be picking up Walmart’s Novolin N and Novolin R and going back to MDI. I am however hoping to go to my PCP and ask for a script for a FreeStyle Libre 14 day which I will pay for in full. 
I guess I’m looking for advice. Does the Libre receiver also function as a meter for calibration? Do I NEED to buy a receiver if I have an iPhone? Do you guys have any recommendations for someone going back to MDI after being on a pump for the last 7 years?</t>
        </is>
      </c>
      <c r="D7257" t="n">
        <v>4</v>
      </c>
      <c r="E7257" t="n">
        <v>7</v>
      </c>
      <c r="F7257">
        <f>HYPERLINK("https://www.reddit.com/r/diabetes/comments/cpoh9u/figuring_out_my_next_steps_after_losing_insurance/")</f>
        <v/>
      </c>
      <c r="G7257" t="inlineStr">
        <is>
          <t>2019-08-12 22:10:37</t>
        </is>
      </c>
      <c r="H7257" t="inlineStr">
        <is>
          <t>Type 1</t>
        </is>
      </c>
    </row>
    <row r="7258">
      <c r="A7258" t="inlineStr">
        <is>
          <t>cpq70q</t>
        </is>
      </c>
      <c r="B7258" t="inlineStr">
        <is>
          <t>Today I'm "celebrating" my 20th diaversary as I've got diagnosed on 13/08/1999</t>
        </is>
      </c>
      <c r="C7258" t="inlineStr">
        <is>
          <t>I'm still alive without complications! F U diabetes I'm stronger than you.</t>
        </is>
      </c>
      <c r="D7258" t="n">
        <v>120</v>
      </c>
      <c r="E7258" t="n">
        <v>45</v>
      </c>
      <c r="F7258">
        <f>HYPERLINK("https://www.reddit.com/r/diabetes/comments/cpq70q/today_im_celebrating_my_20th_diaversary_as_ive/")</f>
        <v/>
      </c>
      <c r="G7258" t="inlineStr">
        <is>
          <t>2019-08-13 01:25:48</t>
        </is>
      </c>
      <c r="H7258" t="inlineStr">
        <is>
          <t>Type 1</t>
        </is>
      </c>
    </row>
    <row r="7259">
      <c r="A7259" t="inlineStr">
        <is>
          <t>cpucel</t>
        </is>
      </c>
      <c r="B7259" t="inlineStr">
        <is>
          <t>CGM w Injections vs CGM w Pump</t>
        </is>
      </c>
      <c r="C7259" t="inlineStr">
        <is>
          <t>Out of curiosity, does anyone here run a CGM with injections? I love my CGM, but I have a real love/hate relationship with my pump, but I fear my memories of injections a rose tinted.
For the record I have a Medrontic Pump and Dexcom CGM. They are obliviously not integrated, so losing one isn't a problem. I would also like to point out that this isn't a beef with Medtronic. I had these same thoughts every summer even on my Animas pump. This is a general pump lifestyle issue.
On the plus side, I love the ease of the pump. Correction, discretion and overall control are much better. Also, this should be repeated three times for effect.
On the negative side, I hate carrying stuff. I have so many tapes and back ups and back ups for the back ups, it's really annoying. Especially in the summer with the heat and humidity.
I am also have trouble finding placing to stab myself. I don't like to using the front of my belly cause my small children like to be carried and wrestle, but my sides are starting to look like something out of a PG-13 Saw movie. 
Bonus Negative side, SWIMMING!!!!!!!!
I'd love to here some experiences. Thanks all.</t>
        </is>
      </c>
      <c r="D7259" t="n">
        <v>2</v>
      </c>
      <c r="E7259" t="n">
        <v>8</v>
      </c>
      <c r="F7259">
        <f>HYPERLINK("https://www.reddit.com/r/diabetes/comments/cpucel/cgm_w_injections_vs_cgm_w_pump/")</f>
        <v/>
      </c>
      <c r="G7259" t="inlineStr">
        <is>
          <t>2019-08-13 08:02:47</t>
        </is>
      </c>
      <c r="H7259" t="inlineStr">
        <is>
          <t>Type 1</t>
        </is>
      </c>
    </row>
    <row r="7260">
      <c r="A7260" t="inlineStr">
        <is>
          <t>cpwqdb</t>
        </is>
      </c>
      <c r="B7260" t="inlineStr">
        <is>
          <t>Today I’m celebrating my 4 year diaversary</t>
        </is>
      </c>
      <c r="C7260" t="inlineStr">
        <is>
          <t>I decided to go a little all out and eat some Korean noodles for lunch. I am now 277, and going up. I regret my choice. 
But on the plus side, I have made it here. It started out really really rough and now it’s become my new normal.</t>
        </is>
      </c>
      <c r="D7260" t="n">
        <v>7</v>
      </c>
      <c r="E7260" t="n">
        <v>3</v>
      </c>
      <c r="F7260">
        <f>HYPERLINK("https://www.reddit.com/r/diabetes/comments/cpwqdb/today_im_celebrating_my_4_year_diaversary/")</f>
        <v/>
      </c>
      <c r="G7260" t="inlineStr">
        <is>
          <t>2019-08-13 10:53:45</t>
        </is>
      </c>
      <c r="H7260" t="inlineStr">
        <is>
          <t>Type 1</t>
        </is>
      </c>
    </row>
    <row r="7261">
      <c r="A7261" t="inlineStr">
        <is>
          <t>cpxv41</t>
        </is>
      </c>
      <c r="B7261" t="inlineStr">
        <is>
          <t>had low blood sugar before even getting diagnosed with type 1?</t>
        </is>
      </c>
      <c r="C7261" t="inlineStr">
        <is>
          <t>I remember for months if I’d miss or didn’t eat lunch on time I would get low blood sugar. At the time I didn’t realize that’s what low blood sugar felt like, but now I do. Then it did a flip and i went into dka and got diagnosed with type 1. Thinking about it now I’m confused? Can you just get low blood randomly? Happened a few years before I was diagnosed and almost a daily thing.</t>
        </is>
      </c>
      <c r="D7261" t="n">
        <v>3</v>
      </c>
      <c r="E7261" t="n">
        <v>5</v>
      </c>
      <c r="F7261">
        <f>HYPERLINK("https://www.reddit.com/r/diabetes/comments/cpxv41/had_low_blood_sugar_before_even_getting_diagnosed/")</f>
        <v/>
      </c>
      <c r="G7261" t="inlineStr">
        <is>
          <t>2019-08-13 12:14:50</t>
        </is>
      </c>
      <c r="H7261" t="inlineStr">
        <is>
          <t>Type 1</t>
        </is>
      </c>
    </row>
    <row r="7262">
      <c r="A7262" t="inlineStr">
        <is>
          <t>cpyho1</t>
        </is>
      </c>
      <c r="B7262" t="inlineStr">
        <is>
          <t>My A1c is 5.6 today!</t>
        </is>
      </c>
      <c r="C7262" t="inlineStr">
        <is>
          <t>I was diagnosed February 27 and my A1c was 12.2 and I’ve been working really hard to get it down. Today I went to the endo and my A1c was 5.6. I’m so excited!</t>
        </is>
      </c>
      <c r="D7262" t="n">
        <v>53</v>
      </c>
      <c r="E7262" t="n">
        <v>21</v>
      </c>
      <c r="F7262">
        <f>HYPERLINK("https://www.reddit.com/r/diabetes/comments/cpyho1/my_a1c_is_56_today/")</f>
        <v/>
      </c>
      <c r="G7262" t="inlineStr">
        <is>
          <t>2019-08-13 12:59:08</t>
        </is>
      </c>
      <c r="H7262" t="inlineStr">
        <is>
          <t>Type 1.5/LADA</t>
        </is>
      </c>
    </row>
    <row r="7263">
      <c r="A7263" t="inlineStr">
        <is>
          <t>cpytte</t>
        </is>
      </c>
      <c r="B7263" t="inlineStr">
        <is>
          <t>My husband was just diagnosed, any advice?</t>
        </is>
      </c>
      <c r="C7263" t="inlineStr">
        <is>
          <t>Hi everyone. I’ve been reading a lot of posts in the past 24 hours but I was hoping to make a post that I can easily reference in my history for the journey we are beginning 
My husband was just diagnosed with Type 2 diabetes, and I am overwhelmed to say the least. 
Obviously we will be making big diet and lifestyle changes, and he has started Metformin. 
I do all of the grocery shopping and cooking for our household, so I will be in charge of making sure the dietary changes are made, and while I know I can do it, I’m just nervous and want to make sure I do everything correctly. 
What is something you wish someone had told you when you were diagnosed? What is something you learned later in your journey that you wish you would have known right away? Any tips, tricks, info that you think a newly diagnosed person should know? 
I’d really appreciate anything you are willing to share. This seems like a very knowledgeable and helpful community. Thank you in advance!</t>
        </is>
      </c>
      <c r="D7263" t="n">
        <v>2</v>
      </c>
      <c r="E7263" t="n">
        <v>17</v>
      </c>
      <c r="F7263">
        <f>HYPERLINK("https://www.reddit.com/r/diabetes/comments/cpytte/my_husband_was_just_diagnosed_any_advice/")</f>
        <v/>
      </c>
      <c r="G7263" t="inlineStr">
        <is>
          <t>2019-08-13 13:22:49</t>
        </is>
      </c>
      <c r="H7263" t="inlineStr">
        <is>
          <t>Type 2</t>
        </is>
      </c>
    </row>
    <row r="7264">
      <c r="A7264" t="inlineStr">
        <is>
          <t>cq01mb</t>
        </is>
      </c>
      <c r="B7264" t="inlineStr">
        <is>
          <t>I've been so high all day, and I'm just mad.</t>
        </is>
      </c>
      <c r="C7264" t="inlineStr">
        <is>
          <t>I mean, that's it. I woke up at like 200 after my Libre sensor failed last night, and I haven't been able to effectively come down all day. I'm so frustrated.</t>
        </is>
      </c>
      <c r="D7264" t="n">
        <v>6</v>
      </c>
      <c r="E7264" t="n">
        <v>1</v>
      </c>
      <c r="F7264">
        <f>HYPERLINK("https://www.reddit.com/r/diabetes/comments/cq01mb/ive_been_so_high_all_day_and_im_just_mad/")</f>
        <v/>
      </c>
      <c r="G7264" t="inlineStr">
        <is>
          <t>2019-08-13 14:50:58</t>
        </is>
      </c>
      <c r="H7264" t="inlineStr">
        <is>
          <t>Type 1</t>
        </is>
      </c>
    </row>
    <row r="7265">
      <c r="A7265" t="inlineStr">
        <is>
          <t>cq0pdn</t>
        </is>
      </c>
      <c r="B7265" t="inlineStr">
        <is>
          <t>Switching from Novalog to Humalog -Any Major Differences.</t>
        </is>
      </c>
      <c r="C7265" t="inlineStr">
        <is>
          <t>Hi there ,
So due to insurance not covering novalog, I have to switch to humalog. I use an insulin pump, but I wanted to double check— is there any major difference? I don’t believe so besides taking humalog 15-30 min before I eat versus Novalog. Is there any difference with the peak? Does anyone have experience switching between the two? I used to use humalog years ago but going back to it — it’s been a very long time. 
Thank you in advance</t>
        </is>
      </c>
      <c r="D7265" t="n">
        <v>3</v>
      </c>
      <c r="E7265" t="n">
        <v>10</v>
      </c>
      <c r="F7265">
        <f>HYPERLINK("https://www.reddit.com/r/diabetes/comments/cq0pdn/switching_from_novalog_to_humalog_any_major/")</f>
        <v/>
      </c>
      <c r="G7265" t="inlineStr">
        <is>
          <t>2019-08-13 15:40:51</t>
        </is>
      </c>
      <c r="H7265" t="inlineStr">
        <is>
          <t>Type 1</t>
        </is>
      </c>
    </row>
    <row r="7266">
      <c r="A7266" t="inlineStr">
        <is>
          <t>cq2hjd</t>
        </is>
      </c>
      <c r="B7266" t="inlineStr">
        <is>
          <t>Ideas to help for a long run</t>
        </is>
      </c>
      <c r="C7266" t="inlineStr">
        <is>
          <t>So in a few days I'm going to be doing an 8 mile run and I'm not sure if my sugars can handle that. I'm able to do a few miles or at least I was a few months ago. Do you people think I should reduce my dosing and eat snacks before the run because I'm thinking I should do that</t>
        </is>
      </c>
      <c r="D7266" t="n">
        <v>3</v>
      </c>
      <c r="E7266" t="n">
        <v>4</v>
      </c>
      <c r="F7266">
        <f>HYPERLINK("https://www.reddit.com/r/diabetes/comments/cq2hjd/ideas_to_help_for_a_long_run/")</f>
        <v/>
      </c>
      <c r="G7266" t="inlineStr">
        <is>
          <t>2019-08-13 18:08:07</t>
        </is>
      </c>
      <c r="H7266" t="inlineStr">
        <is>
          <t>Type 1</t>
        </is>
      </c>
    </row>
    <row r="7267">
      <c r="A7267" t="inlineStr">
        <is>
          <t>cq534j</t>
        </is>
      </c>
      <c r="B7267" t="inlineStr">
        <is>
          <t>Best FEHB insurance</t>
        </is>
      </c>
      <c r="C7267" t="inlineStr">
        <is>
          <t>Washington state, new GS employee...  what is the best insurance to cover Type 1 costs - insulin pump, insulin, regular required testing?  Anyone already ran the numbers?</t>
        </is>
      </c>
      <c r="D7267" t="n">
        <v>2</v>
      </c>
      <c r="E7267" t="n">
        <v>1</v>
      </c>
      <c r="F7267">
        <f>HYPERLINK("https://www.reddit.com/r/diabetes/comments/cq534j/best_fehb_insurance/")</f>
        <v/>
      </c>
      <c r="G7267" t="inlineStr">
        <is>
          <t>2019-08-13 22:08:00</t>
        </is>
      </c>
      <c r="H7267" t="inlineStr">
        <is>
          <t>Type 1</t>
        </is>
      </c>
    </row>
    <row r="7268">
      <c r="A7268" t="inlineStr">
        <is>
          <t>cq8ev4</t>
        </is>
      </c>
      <c r="B7268" t="inlineStr">
        <is>
          <t>Diabulimia near Erie, PA</t>
        </is>
      </c>
      <c r="C7268" t="inlineStr">
        <is>
          <t>I recently learned of this condition through another source online and it really had me thinking that we need to raise awareness about diabulimia and the struggles it ensues so the community is better able to assist those with it. I have many close friends with diabetes and I know they would appreciate this information as well. I currently work for The Erie Times News and the Erie Reader and I was wondering if there was anyone who would be willing to talk with me about their struggles and/or recovery for a story I’d like to do.</t>
        </is>
      </c>
      <c r="D7268" t="n">
        <v>3</v>
      </c>
      <c r="E7268" t="n">
        <v>2</v>
      </c>
      <c r="F7268">
        <f>HYPERLINK("https://www.reddit.com/r/diabetes/comments/cq8ev4/diabulimia_near_erie_pa/")</f>
        <v/>
      </c>
      <c r="G7268" t="inlineStr">
        <is>
          <t>2019-08-14 04:33:33</t>
        </is>
      </c>
      <c r="H7268" t="inlineStr">
        <is>
          <t>Type 1</t>
        </is>
      </c>
    </row>
    <row r="7269">
      <c r="A7269" t="inlineStr">
        <is>
          <t>cqa800</t>
        </is>
      </c>
      <c r="B7269" t="inlineStr">
        <is>
          <t>Is it normal to have elevated BG when you have flu?</t>
        </is>
      </c>
      <c r="C7269" t="inlineStr">
        <is>
          <t>Type 1 here and I recently caught flu from one of the coworkers and I been monitoring my bg and I noticed my BG is higher than normal. It is not dangerously high, around 150 to 180 mg/dl in the morning and around 120 to 140 throughout the day. Should I be worry?</t>
        </is>
      </c>
      <c r="D7269" t="n">
        <v>3</v>
      </c>
      <c r="E7269" t="n">
        <v>10</v>
      </c>
      <c r="F7269">
        <f>HYPERLINK("https://www.reddit.com/r/diabetes/comments/cqa800/is_it_normal_to_have_elevated_bg_when_you_have_flu/")</f>
        <v/>
      </c>
      <c r="G7269" t="inlineStr">
        <is>
          <t>2019-08-14 07:12:12</t>
        </is>
      </c>
      <c r="H7269" t="inlineStr">
        <is>
          <t>Type 1</t>
        </is>
      </c>
    </row>
    <row r="7270">
      <c r="A7270" t="inlineStr">
        <is>
          <t>cqaolc</t>
        </is>
      </c>
      <c r="B7270" t="inlineStr">
        <is>
          <t>Omnipod sensitivity</t>
        </is>
      </c>
      <c r="C7270" t="inlineStr">
        <is>
          <t>I have been using Omnipod for the last couple of months and i am almost out of my trial period.  My glucose readings and control has  been amazing and could not go back to MDI since starting on the pump.  My question that I have is will the sensitivity of the pods on me get better over time.  When i first started using the pods i found it hard to sleep and its always in the way with the square edges and if i push on the pod its sensitive.  After almost 3 months it still the same, some sites are better than others, sleeping i don't find an issue anymore.  I cannot put the pod on my legs as it leaves a welt and red like pimple on my leg for over a week when i take it off.  Arms are OK but i use my Libre on 99% of the time and i like to keep the other arm healing during the 14 day switch.  I really only use the abdomen but am not much of a fan because of the weight of the pod it feels like its hanging all the time.  If i put it on my back i cant sit with it on as it is always rubbing and annoying me at work or at home, forget the car i drive manual on some road trips it is painful getting out if the pod is on my lower back.
Is this normal? will i get use to the pods eventually.  I really like not being on a tube, and i am wearing a infusion set from my Endo as a test to see how it works and its considerably smaller and less annoying but then i will have tubing that gets in the way.  I see so much love for Omnipod on this SUB and really want it to work as going to the beach with the kids has been great over the summer.</t>
        </is>
      </c>
      <c r="D7270" t="n">
        <v>2</v>
      </c>
      <c r="E7270" t="n">
        <v>5</v>
      </c>
      <c r="F7270">
        <f>HYPERLINK("https://www.reddit.com/r/diabetes/comments/cqaolc/omnipod_sensitivity/")</f>
        <v/>
      </c>
      <c r="G7270" t="inlineStr">
        <is>
          <t>2019-08-14 07:47:51</t>
        </is>
      </c>
      <c r="H7270" t="inlineStr">
        <is>
          <t>Type 1</t>
        </is>
      </c>
    </row>
    <row r="7271">
      <c r="A7271" t="inlineStr">
        <is>
          <t>cqefaw</t>
        </is>
      </c>
      <c r="B7271" t="inlineStr">
        <is>
          <t>Blood Sugar Control on Keto-ish diet Remission possible?!</t>
        </is>
      </c>
      <c r="C7271" t="inlineStr">
        <is>
          <t>Hello all. I'm a 30yo male type 2, 6'2" tall overweight/obese. I was diagnosed type 2 on june 28th with a blood sugar of 573. I started keto diet in July and since then have been losing weight. I incorporated walking about 2 miles a day as well in the morning. 
Since these changes, I no longer take novolog with meals, am on 500 mg metformin once daily and levemir of 15 units once daily. Down from 25 units daily. The endo wants to discuss taking me off insulin next visit, as my blood sugars have not been above 140 for nearly a month.
Here is the kicker. Fir nearly an entire week, I have been checking blood sugars three times a day and my readings are always between 75-98 before meals and when I wake up! Am I too hopeful to think I might have figured out this disease in time to go into remission this soon?! These are non-diabetic numbers as you know and it gets me excited to think that I may no longer need insulin. Beta cells don't fail me now!</t>
        </is>
      </c>
      <c r="D7271" t="n">
        <v>3</v>
      </c>
      <c r="E7271" t="n">
        <v>12</v>
      </c>
      <c r="F7271">
        <f>HYPERLINK("https://www.reddit.com/r/diabetes/comments/cqefaw/blood_sugar_control_on_ketoish_diet_remission/")</f>
        <v/>
      </c>
      <c r="G7271" t="inlineStr">
        <is>
          <t>2019-08-14 12:17:58</t>
        </is>
      </c>
      <c r="H7271" t="inlineStr">
        <is>
          <t>Type 2</t>
        </is>
      </c>
    </row>
    <row r="7272">
      <c r="A7272" t="inlineStr">
        <is>
          <t>cqh10n</t>
        </is>
      </c>
      <c r="B7272" t="inlineStr">
        <is>
          <t>Tracking my blood glucose</t>
        </is>
      </c>
      <c r="C7272" t="inlineStr">
        <is>
          <t>Hey guys! new to this subreddit
my mum just got into your community with type I. I am now trying to help her as much as it is possible. She needs to track her blood glucose and making some Excel table is really annoying and boring. She is in Apple ecosystem (iPhone + Apple Watch). I am looking for some glucometer. I found One Drop (sold on Apple website) or iHealth glucometer. Do you have any experience? Would you recommend them? Or do you have any other suggestion that new diabetic needs?  
Thank you for all answers!</t>
        </is>
      </c>
      <c r="D7272" t="n">
        <v>3</v>
      </c>
      <c r="E7272" t="n">
        <v>8</v>
      </c>
      <c r="F7272">
        <f>HYPERLINK("https://www.reddit.com/r/diabetes/comments/cqh10n/tracking_my_blood_glucose/")</f>
        <v/>
      </c>
      <c r="G7272" t="inlineStr">
        <is>
          <t>2019-08-14 15:30:18</t>
        </is>
      </c>
      <c r="H7272" t="inlineStr">
        <is>
          <t>Type 1</t>
        </is>
      </c>
    </row>
    <row r="7273">
      <c r="A7273" t="inlineStr">
        <is>
          <t>cqhw8p</t>
        </is>
      </c>
      <c r="B7273" t="inlineStr">
        <is>
          <t>CVS Finger Stick vs. Libre Sensor - Is my blood sugar high?</t>
        </is>
      </c>
      <c r="C7273" t="inlineStr">
        <is>
          <t>Hey folks, I've been struggling to keep my sugar down for the last day or two which also happens to have coincided with a gap in my insurance coverage. I had to pick up a cheap CVS meter because my Accu-check strips would have been \~$200 for the box without insurance. I also recently had to put on a new Libre sensor.
I had one strip from my Accu-check that helped me to compare the CVS to it, and it showed at about 20 points higher than the Accu-check. The CVS meter just read out at 208, but my Libre is showing 159 and steady. 
I don't know what to trust, and I don't want to force a correction, but it's going to be another week or so before I can get my regular strips from the pharmacy. Does anyone have experience with the CVS meter's accuracy vs other meters or suggestions for possibly more accurate, cheap-ish OTC meters?</t>
        </is>
      </c>
      <c r="D7273" t="n">
        <v>2</v>
      </c>
      <c r="E7273" t="n">
        <v>5</v>
      </c>
      <c r="F7273">
        <f>HYPERLINK("https://www.reddit.com/r/diabetes/comments/cqhw8p/cvs_finger_stick_vs_libre_sensor_is_my_blood/")</f>
        <v/>
      </c>
      <c r="G7273" t="inlineStr">
        <is>
          <t>2019-08-14 16:40:07</t>
        </is>
      </c>
      <c r="H7273" t="inlineStr">
        <is>
          <t>Type 1</t>
        </is>
      </c>
    </row>
    <row r="7274">
      <c r="A7274" t="inlineStr">
        <is>
          <t>cqjk5z</t>
        </is>
      </c>
      <c r="B7274" t="inlineStr">
        <is>
          <t>How can I make insulin work faster?</t>
        </is>
      </c>
      <c r="C7274" t="inlineStr">
        <is>
          <t>takes like 2 hours to work.  Should I just start taking it 2 hours before I eat?</t>
        </is>
      </c>
      <c r="D7274" t="n">
        <v>1</v>
      </c>
      <c r="E7274" t="n">
        <v>0</v>
      </c>
      <c r="F7274">
        <f>HYPERLINK("https://www.reddit.com/r/diabetes/comments/cqjk5z/how_can_i_make_insulin_work_faster/")</f>
        <v/>
      </c>
      <c r="G7274" t="inlineStr">
        <is>
          <t>2019-08-14 19:01:44</t>
        </is>
      </c>
      <c r="H7274" t="inlineStr">
        <is>
          <t>Type 1</t>
        </is>
      </c>
    </row>
    <row r="7275">
      <c r="A7275" t="inlineStr">
        <is>
          <t>cqkvjg</t>
        </is>
      </c>
      <c r="B7275" t="inlineStr">
        <is>
          <t>Does anybody else get terrible nightmares with low bloodsugar?</t>
        </is>
      </c>
      <c r="C7275" t="inlineStr">
        <is>
          <t>My dreams are always weird but when I have a low they are terrifying and a lot more disturbing than usual.. feel like it's trying to wake me up or something. lows give me anxiety in itself but it's way more added anxiety with the nightmares! Ah, the madness</t>
        </is>
      </c>
      <c r="D7275" t="n">
        <v>3</v>
      </c>
      <c r="E7275" t="n">
        <v>9</v>
      </c>
      <c r="F7275">
        <f>HYPERLINK("https://www.reddit.com/r/diabetes/comments/cqkvjg/does_anybody_else_get_terrible_nightmares_with/")</f>
        <v/>
      </c>
      <c r="G7275" t="inlineStr">
        <is>
          <t>2019-08-14 21:01:59</t>
        </is>
      </c>
      <c r="H7275" t="inlineStr">
        <is>
          <t>Type 1</t>
        </is>
      </c>
    </row>
    <row r="7276">
      <c r="A7276" t="inlineStr">
        <is>
          <t>cqo2pl</t>
        </is>
      </c>
      <c r="B7276" t="inlineStr">
        <is>
          <t>I really need help</t>
        </is>
      </c>
      <c r="C7276" t="inlineStr">
        <is>
          <t>I'm scared of taking my short-acting insulin, and I'm secretly lowering my long-acting insulin. Before I was taking 35 units of Tresiba with Humalog after every meal, and now I'm on 24 units of Tresiba with no Humalog. I am genuinely scared of gaining weight, and this is my way of controlling it. I only consume carbohydrates, and I make myself drink 1.5L of water every hour to try and 'purge' out the carbs through urination. I really don't want to die or suffer from complications, but I feel like I can't control my feelings/thoughts and they keep dictating my actions.</t>
        </is>
      </c>
      <c r="D7276" t="n">
        <v>2</v>
      </c>
      <c r="E7276" t="n">
        <v>4</v>
      </c>
      <c r="F7276">
        <f>HYPERLINK("https://www.reddit.com/r/diabetes/comments/cqo2pl/i_really_need_help/")</f>
        <v/>
      </c>
      <c r="G7276" t="inlineStr">
        <is>
          <t>2019-08-15 03:35:25</t>
        </is>
      </c>
      <c r="H7276" t="inlineStr">
        <is>
          <t>Type 1</t>
        </is>
      </c>
    </row>
    <row r="7277">
      <c r="A7277" t="inlineStr">
        <is>
          <t>cqpgco</t>
        </is>
      </c>
      <c r="B7277" t="inlineStr">
        <is>
          <t>Weed + t1</t>
        </is>
      </c>
      <c r="C7277" t="inlineStr">
        <is>
          <t>Does anyone know how weed interacts with t1 because like munchies is something to do with glucose levels right?</t>
        </is>
      </c>
      <c r="D7277" t="n">
        <v>5</v>
      </c>
      <c r="E7277" t="n">
        <v>16</v>
      </c>
      <c r="F7277">
        <f>HYPERLINK("https://www.reddit.com/r/diabetes/comments/cqpgco/weed_t1/")</f>
        <v/>
      </c>
      <c r="G7277" t="inlineStr">
        <is>
          <t>2019-08-15 05:56:23</t>
        </is>
      </c>
      <c r="H7277" t="inlineStr">
        <is>
          <t>Type 1</t>
        </is>
      </c>
    </row>
    <row r="7278">
      <c r="A7278" t="inlineStr">
        <is>
          <t>cqpjmz</t>
        </is>
      </c>
      <c r="B7278" t="inlineStr">
        <is>
          <t>Insulin working SUPER slow? Can heat cause this?</t>
        </is>
      </c>
      <c r="C7278" t="inlineStr">
        <is>
          <t>Ever since the summer started, Ive noticed that for some reason my glucose seems to rise faster than normal after eating, and it would take 4-5 hours for my glucose to drop back to normal range. I cant tell if its a difference in my body or in the insulin. 
So for example, yesterday, i prebolused an hour before eating a yogurt and a banana (During that hour I dropped from around 140 to around 95). Despite that, I somehow still spiked up to 250+ within 45 minutes and stayed high for 4hours. Then somehow at the 4 hour mark, my glucose just started tanking really fast (over 10mg per 5 minutes) until it went back to normal range (under 150). 
This has been happening with most foods I eat so far with the only exception being salads. 
I also work a desk job so exercise isnt the cause.
Any ideas?</t>
        </is>
      </c>
      <c r="D7278" t="n">
        <v>2</v>
      </c>
      <c r="E7278" t="n">
        <v>6</v>
      </c>
      <c r="F7278">
        <f>HYPERLINK("https://www.reddit.com/r/diabetes/comments/cqpjmz/insulin_working_super_slow_can_heat_cause_this/")</f>
        <v/>
      </c>
      <c r="G7278" t="inlineStr">
        <is>
          <t>2019-08-15 06:04:33</t>
        </is>
      </c>
      <c r="H7278" t="inlineStr">
        <is>
          <t>Type 1</t>
        </is>
      </c>
    </row>
    <row r="7279">
      <c r="A7279" t="inlineStr">
        <is>
          <t>cqq097</t>
        </is>
      </c>
      <c r="B7279" t="inlineStr">
        <is>
          <t>Suffering with Diabulimia</t>
        </is>
      </c>
      <c r="C7279" t="inlineStr">
        <is>
          <t>I'm 14 years old, and I have type 1 diabetes. 2 years ago I started missing my short-acting insulin injections, because I was tired of my diabetes, and noticed that I lost some weight. Then I started to miss more injections, in hopes of losing more weight. I noticed that when I ate unhealthy things, I didn't gain weight. I'd start to lie about my blood sugars, avoid going to the nurse's office, and avoid my parents. They eventually noticed, and so I took out the piece of the pen that's supposed to push out the insulin, and pretended to take insulin using the broken pen. Everyday I'd be exhausted, weak and hungry. The only thing I thought about was food, how I can avoid any injections, and death. 
I went to see a psychiatrist, and started to get help. I kept on insisting that taking these therapy sessions would help me, however, I didn't want to help myself. I told my parents that the sessions would help me, but I made no progress. Missing school was the only reason I wanted to go. I hated being around people, because I hated being around myself. I can't stand to look at myself in the mirror, so surely everyone else is bothered by my prescense. 
Then came the hospitalization. I had been in the ICU because of instances of DKA 4 times in early 2018. Nobody understood why I didn't take care of myself, why I didn't want to take any injections. Everyday would be eating in secret, only taking long-acting insulin and stealing money from my father for more food. Even with friends and family beside me, I felt more isolated than ever. I was so ashamed of myself and my habits, that I'd eat in the bathroom at school. The only thing I saw when I looked at people was: how skinny is she/he? I never saw people, only bodies walking around. My thinking was so distorted, that it pushed away everyone I knew. The eating habits got worse eventually. I'd only eat foods that were mostly carbohydrates, and I'd drink a lot of water everyday. This was my attempt to try and 'purge' out the calories I consumed. Even though my thinking was irrational, the feeling of being in control was something I got addicted to.
I always wondered why I got type 1 diabetes. Having to constantly worry about my blood sugars, what I ate. It really affected me as a child, and I felt like I was less of a person because of it. I became depressed and fedup of my diabetes, and I was tired of everything. I had let my condition define me.
I need help more than ever. My parents still don't understand my condition, but I don't blame them. I really want to stop and try and seek help, whether it be online or offline. I can't keep sitting here, watching me kill myself slowly and do nothing about it.</t>
        </is>
      </c>
      <c r="D7279" t="n">
        <v>15</v>
      </c>
      <c r="E7279" t="n">
        <v>11</v>
      </c>
      <c r="F7279">
        <f>HYPERLINK("https://www.reddit.com/r/diabetes/comments/cqq097/suffering_with_diabulimia/")</f>
        <v/>
      </c>
      <c r="G7279" t="inlineStr">
        <is>
          <t>2019-08-15 06:43:24</t>
        </is>
      </c>
      <c r="H7279" t="inlineStr">
        <is>
          <t>Type 1</t>
        </is>
      </c>
    </row>
    <row r="7280">
      <c r="A7280" t="inlineStr">
        <is>
          <t>cqsewn</t>
        </is>
      </c>
      <c r="B7280" t="inlineStr">
        <is>
          <t>Anyone else have problems with their Medtronic 670g?</t>
        </is>
      </c>
      <c r="C7280" t="inlineStr">
        <is>
          <t>Maybe it's just me, but I HATE my new Medtronic 670g. I feel like it requires way more 'clicking' than necessary (used to have a Medtronic Paradigm), it beeps/vibrates ALL the time for the smallest little notifications and when you do get a notification is doesn't fit on one screen so you have to scroll down to press ok (2 clicks for repetitive notifications), and the sensor is far from accurate at times. OH and I have to calibrate and the most random times including in the middle of the night (yes, I calibrate before I go to bed) and it screams loud beeps at me to calibrate and when I don't it reminds me every hour. I've had it for 3 weeks and am hoping I start liking it? Please send help.</t>
        </is>
      </c>
      <c r="D7280" t="n">
        <v>5</v>
      </c>
      <c r="E7280" t="n">
        <v>32</v>
      </c>
      <c r="F7280">
        <f>HYPERLINK("https://www.reddit.com/r/diabetes/comments/cqsewn/anyone_else_have_problems_with_their_medtronic/")</f>
        <v/>
      </c>
      <c r="G7280" t="inlineStr">
        <is>
          <t>2019-08-15 09:45:11</t>
        </is>
      </c>
      <c r="H7280" t="inlineStr">
        <is>
          <t>Type 1</t>
        </is>
      </c>
    </row>
    <row r="7281">
      <c r="A7281" t="inlineStr">
        <is>
          <t>cqxtmv</t>
        </is>
      </c>
      <c r="B7281" t="inlineStr">
        <is>
          <t>Advice needed. How do you deal with this ***?</t>
        </is>
      </c>
      <c r="C7281" t="inlineStr">
        <is>
          <t>I was diagnosed T1 15 years ago. I was 13 at the time, so I didn't really take care of myself. The severity of this illness only hit me recently (this year), and even more so this evening. I spilled some boiling hot oil on my foot while cooking and when i put some cold on it my foot didn't feel the cold water. 
All these possible complications are suddenly dawning on me and I don't know how to deal with it. I'm sad, depressed, angry, and a lot of other things. All I think these days is "why is my head hurting?" or "my hand is a little numb, am i having a stroke" "how long do I really have left" etc...
So the question is how do you mentally deal with this illness and its possible complications? How can i get back to a (as close as possible) normal life?
Sorry for the possible typos. I'm very tired at the moment.</t>
        </is>
      </c>
      <c r="D7281" t="n">
        <v>3</v>
      </c>
      <c r="E7281" t="n">
        <v>9</v>
      </c>
      <c r="F7281">
        <f>HYPERLINK("https://www.reddit.com/r/diabetes/comments/cqxtmv/advice_needed_how_do_you_deal_with_this/")</f>
        <v/>
      </c>
      <c r="G7281" t="inlineStr">
        <is>
          <t>2019-08-15 16:22:27</t>
        </is>
      </c>
      <c r="H7281" t="inlineStr">
        <is>
          <t>Type 1</t>
        </is>
      </c>
    </row>
    <row r="7282">
      <c r="A7282" t="inlineStr">
        <is>
          <t>cqyai1</t>
        </is>
      </c>
      <c r="B7282" t="inlineStr">
        <is>
          <t>Trulicity questions</t>
        </is>
      </c>
      <c r="C7282" t="inlineStr">
        <is>
          <t>Just picked up my first month’s supply-
Is there a better day of the week to use it? 
A better time of the day?
Thanks in advance!</t>
        </is>
      </c>
      <c r="D7282" t="n">
        <v>1</v>
      </c>
      <c r="E7282" t="n">
        <v>6</v>
      </c>
      <c r="F7282">
        <f>HYPERLINK("https://www.reddit.com/r/diabetes/comments/cqyai1/trulicity_questions/")</f>
        <v/>
      </c>
      <c r="G7282" t="inlineStr">
        <is>
          <t>2019-08-15 17:00:25</t>
        </is>
      </c>
      <c r="H7282" t="inlineStr">
        <is>
          <t>Type 2</t>
        </is>
      </c>
    </row>
    <row r="7283">
      <c r="A7283" t="inlineStr">
        <is>
          <t>cr54y3</t>
        </is>
      </c>
      <c r="B7283" t="inlineStr">
        <is>
          <t>Hello from Australia</t>
        </is>
      </c>
      <c r="C7283" t="inlineStr">
        <is>
          <t>Hello to everyone that reads this, today I finally got myself a pump after 10 years of having type 1 and I’m already loving it. Not the point of this post though.
I have about 20 pens of lantus that I don’t need anymore, so if any American friends are in need then I would happily post them over (if possible) all I would ask for is shipping costs. 
Message me if I can help or if you have any suggestions on where to give them!</t>
        </is>
      </c>
      <c r="D7283" t="n">
        <v>3</v>
      </c>
      <c r="E7283" t="n">
        <v>5</v>
      </c>
      <c r="F7283">
        <f>HYPERLINK("https://www.reddit.com/r/diabetes/comments/cr54y3/hello_from_australia/")</f>
        <v/>
      </c>
      <c r="G7283" t="inlineStr">
        <is>
          <t>2019-08-16 04:36:44</t>
        </is>
      </c>
      <c r="H7283" t="inlineStr">
        <is>
          <t>Type 1</t>
        </is>
      </c>
    </row>
    <row r="7284">
      <c r="A7284" t="inlineStr">
        <is>
          <t>cr75np</t>
        </is>
      </c>
      <c r="B7284" t="inlineStr">
        <is>
          <t>Need counter next strips</t>
        </is>
      </c>
      <c r="C7284" t="inlineStr">
        <is>
          <t>Is there anyone that may be able to donate one thing of counter next test strips? I’m dealing with insurance issues :( I’ll pay shipping!!</t>
        </is>
      </c>
      <c r="D7284" t="n">
        <v>2</v>
      </c>
      <c r="E7284" t="n">
        <v>7</v>
      </c>
      <c r="F7284">
        <f>HYPERLINK("https://www.reddit.com/r/diabetes/comments/cr75np/need_counter_next_strips/")</f>
        <v/>
      </c>
      <c r="G7284" t="inlineStr">
        <is>
          <t>2019-08-16 07:31:29</t>
        </is>
      </c>
      <c r="H7284" t="inlineStr">
        <is>
          <t>Type 1</t>
        </is>
      </c>
    </row>
    <row r="7285">
      <c r="A7285" t="inlineStr">
        <is>
          <t>crc15c</t>
        </is>
      </c>
      <c r="B7285" t="inlineStr">
        <is>
          <t>My SO just got diagnosed. I know nothing of this</t>
        </is>
      </c>
      <c r="C7285" t="inlineStr">
        <is>
          <t>On Wednesday, my SO told me he had been diagnosed diabetic. It wasn't something unexpected, as his mom and sister are diabetic themselves (his mom got diagnosed at age 40 and his sister at age 25) so this was bound to happen. He's 31, overweight and hasn't cared much for his health, but this sprang him into action. He joined the gym immediately and began taking metformin. He's still not on insulin, so we have to make sure he stays stable and healthy.   
This is the part that makes me anxious. I don't know much about diabetes, except that it's bad and it can kill you. All of my uncle's from dad's side are diabetic by now, but we became estranged from them before they became sick, so I never saw any of their treatments or diets. My dad completely cut out sugar from his life (except for coffee) and is healthy at his 70 years of age. SO told me I didn't have to change my eating habits for him but I know this will be hard and it'll be worse if I'm munching down on cookies and bread while he's trying to be fit. Plus, I'm also at risk and I have been thinking about cutting down on all sugar for a while.   
I'd like to ask for some advice regarding how to deal with this properly. First thing I did was to get rid of all kind of sugary stuff at house and begin learning about portions and reading labels. I'm petite and slim, so I've never dieted before and it's all kinda new. I have also surfed a bit through this thread and read the [Getting started](http://loraldiabetes.blogspot.com/2006/10/d-day.html) and [what to eat](http://loraldiabetes.blogspot.com/2008/05/what-to-eat-until-you-get-your-meter.html) for general ideas. Is there something else I need to know? Like, do I need to get special cream for his skin? Or can I still buy fruit as a treat or is it too sugary? What about " sugar-free" products, are they safe? Is sweetener an option as we eliminate sugar? I'm sorry, I know it's a lot. I'm stressed and I want to make sure I don't  mess up.  
Extra info: we do not live in the US. English is not my first language, so apologies if there is any mistake</t>
        </is>
      </c>
      <c r="D7285" t="n">
        <v>5</v>
      </c>
      <c r="E7285" t="n">
        <v>18</v>
      </c>
      <c r="F7285">
        <f>HYPERLINK("https://www.reddit.com/r/diabetes/comments/crc15c/my_so_just_got_diagnosed_i_know_nothing_of_this/")</f>
        <v/>
      </c>
      <c r="G7285" t="inlineStr">
        <is>
          <t>2019-08-16 13:30:42</t>
        </is>
      </c>
      <c r="H7285" t="inlineStr">
        <is>
          <t>Type 2</t>
        </is>
      </c>
    </row>
    <row r="7286">
      <c r="A7286" t="inlineStr">
        <is>
          <t>cregy3</t>
        </is>
      </c>
      <c r="B7286" t="inlineStr">
        <is>
          <t>Xdip+ and nightscout?</t>
        </is>
      </c>
      <c r="C7286" t="inlineStr">
        <is>
          <t>Question about xdrip and night scout. I have a libre and a miaomiao coming soon. I have been using diabetes m as my scanner of choice with my libre because libre does not have the android software in Canada still. Diabetes m has the option to setup miaomiao for every 15mins to scan my glucose readings.  I hate paying for the software to get better reports and no ads but the miaomiao is part of that price. 15 bucks every 3 months. The reports are awesome and super helpful with the graphs. 
I see a lot of users on xdrip. Can someone answer if you can send your readings to your endo from nightscout or xdrip. I was using glimp for some time but it only shows a graph and I can't export my readings into a log for my endo
Can someone tell me more about the software. It's hard to find good documentation on it
Thanks</t>
        </is>
      </c>
      <c r="D7286" t="n">
        <v>3</v>
      </c>
      <c r="E7286" t="n">
        <v>5</v>
      </c>
      <c r="F7286">
        <f>HYPERLINK("https://www.reddit.com/r/diabetes/comments/cregy3/xdip_and_nightscout/")</f>
        <v/>
      </c>
      <c r="G7286" t="inlineStr">
        <is>
          <t>2019-08-16 16:43:59</t>
        </is>
      </c>
      <c r="H7286" t="inlineStr">
        <is>
          <t>Type 1</t>
        </is>
      </c>
    </row>
    <row r="7287">
      <c r="A7287" t="inlineStr">
        <is>
          <t>crjybx</t>
        </is>
      </c>
      <c r="B7287" t="inlineStr">
        <is>
          <t>BSL 400+, Hospital or manage at home?</t>
        </is>
      </c>
      <c r="C7287" t="inlineStr">
        <is>
          <t>So I saw on Instagram this post about someone who’s BSL was over 400 and she decided to go to the hospital. She was vomiting and obviously felt really horrible. Spent two nights. My question is: is this normal for you guys? Do you always go to the hospital for really high sugar levels? 
In the rare instance this happens, be it a forgotten bolus, bent cannula, whatever the reason.. I always just treat at home. It may take the whole day to get my sugars back down but that’s kinda just how I’ve always done it. Plenty of water, test every hour, adjust for more insulin as needed, rest, etc. It just got me thinking if I *should* be hospitalized or is it okay/normal to stay home and treat myself?</t>
        </is>
      </c>
      <c r="D7287" t="n">
        <v>3</v>
      </c>
      <c r="E7287" t="n">
        <v>10</v>
      </c>
      <c r="F7287">
        <f>HYPERLINK("https://www.reddit.com/r/diabetes/comments/crjybx/bsl_400_hospital_or_manage_at_home/")</f>
        <v/>
      </c>
      <c r="G7287" t="inlineStr">
        <is>
          <t>2019-08-17 02:18:13</t>
        </is>
      </c>
      <c r="H7287" t="inlineStr">
        <is>
          <t>Type 1</t>
        </is>
      </c>
    </row>
    <row r="7288">
      <c r="A7288" t="inlineStr">
        <is>
          <t>crkg0u</t>
        </is>
      </c>
      <c r="B7288" t="inlineStr">
        <is>
          <t>Reduce your blood sugar level without medicine!</t>
        </is>
      </c>
      <c r="C7288" t="inlineStr">
        <is>
          <t>Reduce your blood sugar without using medicines!  Treat type 2 diabetes!  
Exercise to lose weight and use up that fat is key to reducing glucose blood sugar levels.  
Here is the music to motivate you effectively control your glucose level by walking!</t>
        </is>
      </c>
      <c r="D7288" t="n">
        <v>0</v>
      </c>
      <c r="E7288" t="n">
        <v>2</v>
      </c>
      <c r="F7288">
        <f>HYPERLINK("https://www.reddit.com/r/diabetes/comments/crkg0u/reduce_your_blood_sugar_level_without_medicine/")</f>
        <v/>
      </c>
      <c r="G7288" t="inlineStr">
        <is>
          <t>2019-08-17 03:16:53</t>
        </is>
      </c>
      <c r="H7288" t="inlineStr">
        <is>
          <t>Type 2</t>
        </is>
      </c>
    </row>
    <row r="7289">
      <c r="A7289" t="inlineStr">
        <is>
          <t>crlaey</t>
        </is>
      </c>
      <c r="B7289" t="inlineStr">
        <is>
          <t>About hyper’s</t>
        </is>
      </c>
      <c r="C7289" t="inlineStr">
        <is>
          <t>I was wondering if healthy people get hypers and Google is failing miserably to understand the context, as is usual these days - gone are the glorious days were you could ask it any question and it knew what you were looking for.
Anyway, I was looking at my timeline and in the past 7 days I had a couple of hypers (3 in total, highest was 13mmol/l). But they all got down below at least 9 again in a matter of a few hours. I’m curious if that’s a problem you should really avoid or if healthy people have those as well if their sugar quickly rises? (Like for me it’s perhaps not having injected a high enough bolus or not exercising, maybe for them it’s after having a red bull or half a bottle of coke.)
Just wondering how strict you have to be. Eg: avoid at all costs or completely normal to get once in a while and no harm if it recovers quickly, so don’t stress about it.
I’ve read hypers are especially a problem if it’s high long-term. But what about them short ones? (My average is pretty good at 7 though. :))</t>
        </is>
      </c>
      <c r="D7289" t="n">
        <v>1</v>
      </c>
      <c r="E7289" t="n">
        <v>6</v>
      </c>
      <c r="F7289">
        <f>HYPERLINK("https://www.reddit.com/r/diabetes/comments/crlaey/about_hypers/")</f>
        <v/>
      </c>
      <c r="G7289" t="inlineStr">
        <is>
          <t>2019-08-17 05:01:16</t>
        </is>
      </c>
      <c r="H7289" t="inlineStr">
        <is>
          <t>Type 1</t>
        </is>
      </c>
    </row>
    <row r="7290">
      <c r="A7290" t="inlineStr">
        <is>
          <t>crn0y4</t>
        </is>
      </c>
      <c r="B7290" t="inlineStr">
        <is>
          <t>Starting Prozac will my basals need to be lowered?</t>
        </is>
      </c>
      <c r="C7290" t="inlineStr">
        <is>
          <t>I'm starting prozac today- I'm on a pump and wonder if I'm going to need to lower my basals. Been seeing reports of type 1's going low on it.</t>
        </is>
      </c>
      <c r="D7290" t="n">
        <v>3</v>
      </c>
      <c r="E7290" t="n">
        <v>3</v>
      </c>
      <c r="F7290">
        <f>HYPERLINK("https://www.reddit.com/r/diabetes/comments/crn0y4/starting_prozac_will_my_basals_need_to_be_lowered/")</f>
        <v/>
      </c>
      <c r="G7290" t="inlineStr">
        <is>
          <t>2019-08-17 07:48:39</t>
        </is>
      </c>
      <c r="H7290" t="inlineStr">
        <is>
          <t>Type 1</t>
        </is>
      </c>
    </row>
    <row r="7291">
      <c r="A7291" t="inlineStr">
        <is>
          <t>crrkij</t>
        </is>
      </c>
      <c r="B7291" t="inlineStr">
        <is>
          <t>Diabetes and sports survey</t>
        </is>
      </c>
      <c r="C7291" t="inlineStr">
        <is>
          <t>Do you do sports, diabetic? We need your help!
Fill in the questionnaire, it will take you 10-15 minutes, and help us in creating the right product that supports your everyday life with the disease.
We want to check whether people suffering from diabetes are physically active or give up their efforts due to problems with maintaining adequate glycemia during and after exercise.
The survey is anonymous. The data provided will only be used to develop applications and will not be made available to other entities.  
[https://docs.google.com/forms/d/e/1FAIpQLSe7-oHhaO\_\_TsT8-sL\_QAs\_Z13QZPQdPhQzthskzBE6vxcOZQ/viewform](https://docs.google.com/forms/d/e/1FAIpQLSe7-oHhaO__TsT8-sL_QAs_Z13QZPQdPhQzthskzBE6vxcOZQ/viewform)</t>
        </is>
      </c>
      <c r="D7291" t="n">
        <v>1</v>
      </c>
      <c r="E7291" t="n">
        <v>1</v>
      </c>
      <c r="F7291">
        <f>HYPERLINK("https://www.reddit.com/r/diabetes/comments/crrkij/diabetes_and_sports_survey/")</f>
        <v/>
      </c>
      <c r="G7291" t="inlineStr">
        <is>
          <t>2019-08-17 13:35:55</t>
        </is>
      </c>
      <c r="H7291" t="inlineStr">
        <is>
          <t>Type 1</t>
        </is>
      </c>
    </row>
    <row r="7292">
      <c r="A7292" t="inlineStr">
        <is>
          <t>crtfcl</t>
        </is>
      </c>
      <c r="B7292" t="inlineStr">
        <is>
          <t>Diabetes story from Australia</t>
        </is>
      </c>
      <c r="C7292" t="inlineStr">
        <is>
          <t>Thought you might be interested in this story from the ABC in Australia about a trial of treatment approaches for remote communities where diabetes is a huge issue. 
The trial has application for First Nations people all over the world.
[https://www.abc.net.au/news/2019-08-18/the-town-where-half-the-population-has-diabetes/11404544](https://www.abc.net.au/news/2019-08-18/the-town-where-half-the-population-has-diabetes/11404544)</t>
        </is>
      </c>
      <c r="D7292" t="n">
        <v>10</v>
      </c>
      <c r="E7292" t="n">
        <v>15</v>
      </c>
      <c r="F7292">
        <f>HYPERLINK("https://www.reddit.com/r/diabetes/comments/crtfcl/diabetes_story_from_australia/")</f>
        <v/>
      </c>
      <c r="G7292" t="inlineStr">
        <is>
          <t>2019-08-17 16:08:36</t>
        </is>
      </c>
      <c r="H7292" t="inlineStr">
        <is>
          <t>Type 2</t>
        </is>
      </c>
    </row>
    <row r="7293">
      <c r="A7293" t="inlineStr">
        <is>
          <t>cru21q</t>
        </is>
      </c>
      <c r="B7293" t="inlineStr">
        <is>
          <t>Best Insulin’s out there?</t>
        </is>
      </c>
      <c r="C7293" t="inlineStr">
        <is>
          <t>Anyone have tips on some more effective insulin? I have very good medical coverage through work finally and can venture out to the more expensive formulas while still keeping my same copay. 
I’m on humalog, have been for the last 6 years, used to be on Apridra before that. For my all day my doctor recently put me on Lantus after I’ve been on Levemir for 8 years.
I heard about a new long acting called Toujeo. I’ve been curious to try that out if it’s more effective.
Reasoning is I’m tired of going to the gym 5 days a week and still not losing any fat. Without drastic cuts to my carb intake it’s very difficult. I see gains in muscle but the fat is still there. My daily carb allowance I have for myself is 90 to 110 a day.
Thanks for the suggestions! Hopefully this helps out others as well.</t>
        </is>
      </c>
      <c r="D7293" t="n">
        <v>1</v>
      </c>
      <c r="E7293" t="n">
        <v>3</v>
      </c>
      <c r="F7293">
        <f>HYPERLINK("https://www.reddit.com/r/diabetes/comments/cru21q/best_insulins_out_there/")</f>
        <v/>
      </c>
      <c r="G7293" t="inlineStr">
        <is>
          <t>2019-08-17 17:04:47</t>
        </is>
      </c>
      <c r="H7293" t="inlineStr">
        <is>
          <t>Type 1</t>
        </is>
      </c>
    </row>
    <row r="7294">
      <c r="A7294" t="inlineStr">
        <is>
          <t>cru8ja</t>
        </is>
      </c>
      <c r="B7294" t="inlineStr">
        <is>
          <t>Alcohol and Diabetes</t>
        </is>
      </c>
      <c r="C7294" t="inlineStr">
        <is>
          <t>Hi 
Does someone have experience with Diabetes and Alcohol?
At the weekends i drink often with friends. But get often too high. And afterwards I drop very fast without doing anything.
Does anyone have some advice? Or experience to share?</t>
        </is>
      </c>
      <c r="D7294" t="n">
        <v>7</v>
      </c>
      <c r="E7294" t="n">
        <v>12</v>
      </c>
      <c r="F7294">
        <f>HYPERLINK("https://www.reddit.com/r/diabetes/comments/cru8ja/alcohol_and_diabetes/")</f>
        <v/>
      </c>
      <c r="G7294" t="inlineStr">
        <is>
          <t>2019-08-17 17:20:30</t>
        </is>
      </c>
      <c r="H7294" t="inlineStr">
        <is>
          <t>Type 1</t>
        </is>
      </c>
    </row>
    <row r="7295">
      <c r="A7295" t="inlineStr">
        <is>
          <t>crynr0</t>
        </is>
      </c>
      <c r="B7295" t="inlineStr">
        <is>
          <t>Dreams when BG is off.</t>
        </is>
      </c>
      <c r="C7295" t="inlineStr">
        <is>
          <t>I spent the whole day yesterday in a theme park with my family, and had trouble with my BG going low. I kept overcorrecting whenever I had something to eat. So when I came home, I ate a few crackers to get it up, and I went to bed.  
In my dreams, I kept checking my BG. I think I saw myself pulling out my Libre and scanning about three times. And then I woke up. I checked my BG and it had gone to 18 mmol/l. Obvously I took insulin, and when I woke back up it was down to normal.  
I'm pretty sure my subconscious tried to tell me to check. Usually, when I have dreams with a low/high BG, it's not that clear, I just have nightmares.  
Has anyone else experienced this?</t>
        </is>
      </c>
      <c r="D7295" t="n">
        <v>5</v>
      </c>
      <c r="E7295" t="n">
        <v>2</v>
      </c>
      <c r="F7295">
        <f>HYPERLINK("https://www.reddit.com/r/diabetes/comments/crynr0/dreams_when_bg_is_off/")</f>
        <v/>
      </c>
      <c r="G7295" t="inlineStr">
        <is>
          <t>2019-08-18 01:18:59</t>
        </is>
      </c>
      <c r="H7295" t="inlineStr">
        <is>
          <t>Type 1</t>
        </is>
      </c>
    </row>
    <row r="7296">
      <c r="A7296" t="inlineStr">
        <is>
          <t>crzcm9</t>
        </is>
      </c>
      <c r="B7296" t="inlineStr">
        <is>
          <t>Trying to get bigger</t>
        </is>
      </c>
      <c r="C7296" t="inlineStr">
        <is>
          <t>I am a 24m who is 6ft2 and 82kg in weight. I was diagnosed with T1 at the age of 18. I have been managing my diabetes well for the last 6 years and I am starting to get into the gym. I know that I can't only rely on exercise and working out to get bigger and I have never really counted calories before. A few people I have spoken to in the gym have recommended to eat 2900-3000 calories to put on weight. 
My issue is I have no idea where to get those calories from, any help from you guys in relation to meals etc would really be appreciated</t>
        </is>
      </c>
      <c r="D7296" t="n">
        <v>1</v>
      </c>
      <c r="E7296" t="n">
        <v>3</v>
      </c>
      <c r="F7296">
        <f>HYPERLINK("https://www.reddit.com/r/diabetes/comments/crzcm9/trying_to_get_bigger/")</f>
        <v/>
      </c>
      <c r="G7296" t="inlineStr">
        <is>
          <t>2019-08-18 02:54:31</t>
        </is>
      </c>
      <c r="H7296" t="inlineStr">
        <is>
          <t>Type 1</t>
        </is>
      </c>
    </row>
    <row r="7297">
      <c r="A7297" t="inlineStr">
        <is>
          <t>cs112j</t>
        </is>
      </c>
      <c r="B7297" t="inlineStr">
        <is>
          <t>I fractured my humerus bone</t>
        </is>
      </c>
      <c r="C7297" t="inlineStr">
        <is>
          <t>I recently just fractured my humerus bone which is by my shoulder and I’m 13. I don’t how this will affect my diabetes, please help</t>
        </is>
      </c>
      <c r="D7297" t="n">
        <v>1</v>
      </c>
      <c r="E7297" t="n">
        <v>3</v>
      </c>
      <c r="F7297">
        <f>HYPERLINK("https://www.reddit.com/r/diabetes/comments/cs112j/i_fractured_my_humerus_bone/")</f>
        <v/>
      </c>
      <c r="G7297" t="inlineStr">
        <is>
          <t>2019-08-18 06:14:06</t>
        </is>
      </c>
      <c r="H7297" t="inlineStr">
        <is>
          <t>Type 1</t>
        </is>
      </c>
    </row>
    <row r="7298">
      <c r="A7298" t="inlineStr">
        <is>
          <t>cs2jey</t>
        </is>
      </c>
      <c r="B7298" t="inlineStr">
        <is>
          <t>Excited for Tandem Diabetes T-Slim X2 Insulin Pump Control IQ update!</t>
        </is>
      </c>
      <c r="C7298" t="inlineStr">
        <is>
          <t>*Significant Time-in-Range Improvements Demonstrated in Adult and Pediatric Age Groups*
Tandem Diabetes Care, Inc. (NASDAQ: TNDM), a leading insulin delivery and diabetes technology company, recently announced positive results from two studies of the t:slim X2 insulin pump with Control-IQ advanced hybrid closed-loop technology. Data from both studies demonstrated that the system achieved the primary outcome of increasing time in range (70-180 mg/dL) without any severe hypoglycemic events. The t:slim X2 insulin pump with Control-IQ technology utilizes Dexcom G6 continuous glucose monitoring (CGM) sensor values to predict glucose levels and adjust insulin delivery to prevent highs and lows, while still allowing the user to manually bolus for meals. The system also automates correction boluses, which is a feature not commercially available today on any other automated insulin delivery devices.
*Glycemic Control –* Time in range (70 mg/dL – 180 mg/dL) for participants using Control-IQ technology for 6 months was **71 percent per day** **compared to 59 percent per day for participants in the control group** using SAP alone (p&amp;lt;0.0001). During the overnight period, time in range with Control-IQ technology was 76 percent compared to 59 percent in the control group (p&amp;lt;0.0001). Time spent with glucose values above 180 mg/dL was **27 percent in those using Control-IQ technology compared to 39 percent in the control group** (p&amp;lt;0.001). Time spent below 70 mg/dL was 1.4 percent with Control-IQ technology compared to 1.9 percent in the control group (p&amp;lt;0.001), and time spent below 54 mg/dL was 0.32 percent compared to 0.21 percent in the control group (p=0.02). These results were demonstrated in people with and without prior experience with insulin pump therapy. In addition to time in range, those using Control-IQ technology also saw statistically significant improvements in HbA1cand reductions in mean glucose. One report of diabetic ketoacidosis (DKA) was reported in the Control-IQ study arm due to an infusion set failure. No severe hypoglycemia was reported in the study.
*System Performance and Usability* \- The system operated in active closed-loop mode an average of 92 percent of the time. Those using Control-IQ technology also participated in a technology acceptance survey to assess the impact the system had in their lives, and their general feelings about how simple or burdensome they found the technology. On a five-point scale, with 1 representing “not at all” and 5 representing “extremely”, participants rated the Control-IQ system a 4.8 for desire to continue use of the system, 4.7 for ease of use, 4.6 for usefulness and, 4.5 for trust.
“The contributions of the iDCL Trial to the body of automated insulin delivery research and its implications for the future of closed-loop technology is invaluable to the diabetes community,” said Dr. Kovatchev. “The NIH have provided an incredible service with their forward-thinking approach and support for this enormous undertaking.”</t>
        </is>
      </c>
      <c r="D7298" t="n">
        <v>2</v>
      </c>
      <c r="E7298" t="n">
        <v>19</v>
      </c>
      <c r="F7298">
        <f>HYPERLINK("https://www.reddit.com/r/diabetes/comments/cs2jey/excited_for_tandem_diabetes_tslim_x2_insulin_pump/")</f>
        <v/>
      </c>
      <c r="G7298" t="inlineStr">
        <is>
          <t>2019-08-18 08:24:58</t>
        </is>
      </c>
      <c r="H7298" t="inlineStr">
        <is>
          <t>Type 1</t>
        </is>
      </c>
    </row>
    <row r="7299">
      <c r="A7299" t="inlineStr">
        <is>
          <t>cs3i62</t>
        </is>
      </c>
      <c r="B7299" t="inlineStr">
        <is>
          <t>Berberine &amp;amp; t2</t>
        </is>
      </c>
      <c r="C7299" t="inlineStr">
        <is>
          <t>My mother suffers diabetes &amp;amp; just wanted to get some feedback, she quit her metformin &amp;amp; started using berberine about 1.5 months ago she is taking 400mg 3x daily &amp;amp; it has helped just as well as the 1000mg metformin she was on in most ways except one .. Her fasting numbers are still a bit high 115-130 in the morning... I will say she also takes 200mcg of chromium 2x day (morning/night) , I have ordered 100mg alpha lipoic acid to toss in &amp;amp; see what happens there are several studies that combine the 3 with good results. Her numbers throughout the day are about 140-170 after a meal &amp;amp; 110-130 2.5 hours after meals maybe even a little higher thinking of going up 600mg 3x day on the berberine to bring them down even more... Berberine is good at reducing fatty liver tissue &amp;amp; bringing down bad cholesterol as well.</t>
        </is>
      </c>
      <c r="D7299" t="n">
        <v>1</v>
      </c>
      <c r="E7299" t="n">
        <v>7</v>
      </c>
      <c r="F7299">
        <f>HYPERLINK("https://www.reddit.com/r/diabetes/comments/cs3i62/berberine_t2/")</f>
        <v/>
      </c>
      <c r="G7299" t="inlineStr">
        <is>
          <t>2019-08-18 09:39:31</t>
        </is>
      </c>
      <c r="H7299" t="inlineStr">
        <is>
          <t>Type 2</t>
        </is>
      </c>
    </row>
    <row r="7300">
      <c r="A7300" t="inlineStr">
        <is>
          <t>cs65e0</t>
        </is>
      </c>
      <c r="B7300" t="inlineStr">
        <is>
          <t>Just put on my dexcom G6 and there was like, alot of blood</t>
        </is>
      </c>
      <c r="C7300" t="inlineStr">
        <is>
          <t>So i just put on my dexcom G6 on my belly and i felt minimal pain as usual, then alot of blood started flowing out from where it was put and into the sensor itself, this had never happened to me before but its probably nothing rare, however when i cleaned it all up and it stopped bleading there was a very big "bubble thing" under my skin. Its nothing visible and ive gotten a few similar to that when i change my pump (omnipod). But this one way way bigger. Is this anything to be concerned about? Sorry if im bad at describing it or just structured this horribly as it just happened and im quite spooked</t>
        </is>
      </c>
      <c r="D7300" t="n">
        <v>7</v>
      </c>
      <c r="E7300" t="n">
        <v>5</v>
      </c>
      <c r="F7300">
        <f>HYPERLINK("https://www.reddit.com/r/diabetes/comments/cs65e0/just_put_on_my_dexcom_g6_and_there_was_like_alot/")</f>
        <v/>
      </c>
      <c r="G7300" t="inlineStr">
        <is>
          <t>2019-08-18 12:53:30</t>
        </is>
      </c>
      <c r="H7300" t="inlineStr">
        <is>
          <t>Type 1</t>
        </is>
      </c>
    </row>
    <row r="7301">
      <c r="A7301" t="inlineStr">
        <is>
          <t>cs6ppg</t>
        </is>
      </c>
      <c r="B7301" t="inlineStr">
        <is>
          <t>Peri-Menopause &amp;amp; PMS - how do they affect your Blood Glucose?</t>
        </is>
      </c>
      <c r="C7301" t="inlineStr">
        <is>
          <t>I've been type I going on 45yrs and I'll be turning 55 in Sept. Doc says I'm in peri-menopause so aunt Flo has become just a joy--said with eyebrow arched high and a smirk!--that basically can show up anytime she wants and last for as long or short as she wants! Consequently, my BG gets really erratic and I'm constantly needing to set temp basal at either 200% (when it goes high) or 50% (for lows) for sometimes hours at a time! Is this happening to anyone else and how do you deal???</t>
        </is>
      </c>
      <c r="D7301" t="n">
        <v>4</v>
      </c>
      <c r="E7301" t="n">
        <v>4</v>
      </c>
      <c r="F7301">
        <f>HYPERLINK("https://www.reddit.com/r/diabetes/comments/cs6ppg/perimenopause_pms_how_do_they_affect_your_blood/")</f>
        <v/>
      </c>
      <c r="G7301" t="inlineStr">
        <is>
          <t>2019-08-18 13:36:31</t>
        </is>
      </c>
      <c r="H7301" t="inlineStr">
        <is>
          <t>Type 1</t>
        </is>
      </c>
    </row>
    <row r="7302">
      <c r="A7302" t="inlineStr">
        <is>
          <t>cs7or5</t>
        </is>
      </c>
      <c r="B7302" t="inlineStr">
        <is>
          <t>Islet Cell Transplants</t>
        </is>
      </c>
      <c r="C7302" t="inlineStr">
        <is>
          <t>has anyone had a stem cell or islet transplant? how has this affected you? My boyfriend is a diabetic and he didn't take care of his diabetes between the ages of about 13-18. and I have read studies about stem cell transplants and how they could potentially help improve his quality of life and possibly lengthen his life? I know he also needs to have strict control over his diabetes and his diet  but its just extremely hard to accept the fact that he may die in his 50s because he failed to take care of himself in the past. I have read up about some offices that offer stem cell transplants for all types of diseases including auto immune diseases like diabetes and it seems like it could be a major improvement for his overall health.   If anyone has read/heard/knows about any islet cell transplants or pancreatic transplants please let me know. I have heard about complications with pancreas transplants which is why I had not mentioned it but I am open to hearing any suggestions and advice.</t>
        </is>
      </c>
      <c r="D7302" t="n">
        <v>3</v>
      </c>
      <c r="E7302" t="n">
        <v>7</v>
      </c>
      <c r="F7302">
        <f>HYPERLINK("https://www.reddit.com/r/diabetes/comments/cs7or5/islet_cell_transplants/")</f>
        <v/>
      </c>
      <c r="G7302" t="inlineStr">
        <is>
          <t>2019-08-18 14:52:16</t>
        </is>
      </c>
      <c r="H7302" t="inlineStr">
        <is>
          <t>Type 1</t>
        </is>
      </c>
    </row>
    <row r="7303">
      <c r="A7303" t="inlineStr">
        <is>
          <t>cs8etj</t>
        </is>
      </c>
      <c r="B7303" t="inlineStr">
        <is>
          <t>New pump and CGM tomorrow!</t>
        </is>
      </c>
      <c r="C7303" t="inlineStr">
        <is>
          <t>I’m so excited! I’ve been on the Minimed 670G for a year and gave up on it a couple months ago. It was an amazing pump for the first 6 months, but the last few months the sensor was inaccurate, it refused to go into automode, refused to accept calibrations, refused to give insulin and I’ve sent it to Medtronic and they weren’t able to repair it. I was thinking of going on the T-Slim X2, but it worked out a little cheaper just to go on the 630G with a Dexcom G6 instead of the Enlite sensor. I won’t have the sensor and pump talking to each other, but I’ve had no technology the past couple months so it’s still going to be an improvement, and all the problems I faced with the 670G seemed to start with the sensor. I feel like it’s Christmas eve, I couldn’t be more excited!</t>
        </is>
      </c>
      <c r="D7303" t="n">
        <v>7</v>
      </c>
      <c r="E7303" t="n">
        <v>1</v>
      </c>
      <c r="F7303">
        <f>HYPERLINK("https://www.reddit.com/r/diabetes/comments/cs8etj/new_pump_and_cgm_tomorrow/")</f>
        <v/>
      </c>
      <c r="G7303" t="inlineStr">
        <is>
          <t>2019-08-18 15:51:50</t>
        </is>
      </c>
      <c r="H7303" t="inlineStr">
        <is>
          <t>Type 1</t>
        </is>
      </c>
    </row>
    <row r="7304">
      <c r="A7304" t="inlineStr">
        <is>
          <t>cseey4</t>
        </is>
      </c>
      <c r="B7304" t="inlineStr">
        <is>
          <t>How long will it take for a diabetic to heal from a bone fracture?</t>
        </is>
      </c>
      <c r="C7304" t="inlineStr">
        <is>
          <t>I know it takes about 2-6 weeks for the bone I fractured to heal but how long will it take for me since I’m diabetic?</t>
        </is>
      </c>
      <c r="D7304" t="n">
        <v>1</v>
      </c>
      <c r="E7304" t="n">
        <v>6</v>
      </c>
      <c r="F7304">
        <f>HYPERLINK("https://www.reddit.com/r/diabetes/comments/cseey4/how_long_will_it_take_for_a_diabetic_to_heal_from/")</f>
        <v/>
      </c>
      <c r="G7304" t="inlineStr">
        <is>
          <t>2019-08-19 01:54:06</t>
        </is>
      </c>
      <c r="H7304" t="inlineStr">
        <is>
          <t>Type 1</t>
        </is>
      </c>
    </row>
    <row r="7305">
      <c r="A7305" t="inlineStr">
        <is>
          <t>csezsg</t>
        </is>
      </c>
      <c r="B7305" t="inlineStr">
        <is>
          <t>Packed Lunch Help?</t>
        </is>
      </c>
      <c r="C7305" t="inlineStr">
        <is>
          <t>So I'm a T1 and I need to pack lunches for college every morning. I'm allowed 60g of carbs at that time. Does anyone know something cheap, quick and, preferably, tasty that I can feasibly prepare each morning? I've been living on sandwiches for a year now.</t>
        </is>
      </c>
      <c r="D7305" t="n">
        <v>2</v>
      </c>
      <c r="E7305" t="n">
        <v>5</v>
      </c>
      <c r="F7305">
        <f>HYPERLINK("https://www.reddit.com/r/diabetes/comments/csezsg/packed_lunch_help/")</f>
        <v/>
      </c>
      <c r="G7305" t="inlineStr">
        <is>
          <t>2019-08-19 03:02:15</t>
        </is>
      </c>
      <c r="H7305" t="inlineStr">
        <is>
          <t>Type 1</t>
        </is>
      </c>
    </row>
    <row r="7306">
      <c r="A7306" t="inlineStr">
        <is>
          <t>csgwpe</t>
        </is>
      </c>
      <c r="B7306" t="inlineStr">
        <is>
          <t>Question: Is it okay to keep my blood sugar low even +2 hours after eating?</t>
        </is>
      </c>
      <c r="C7306" t="inlineStr">
        <is>
          <t>Personal  info: Im a 22 year old male that was diagnosed with Type 1 diabetes on January 1st 2018, so  im still kind of a newbie. I was told that my boundaries for blood sugar should be:  Stay over 70mg and bellow 150mg. 
Excuse my english, i'm from Argentina
Here´s my problem:  Before lunch/dinner i tend to inject myself some units of insulin just  to be ready if the meal is heavy (For example if i was to eat a couple  of Pizza slices) and i check my blood sugar 2 hours after eating. 80% of  the time i end up with less than 100mg (The other 20% i made i overshot  and now i need to eat something with lots of sugar) and IMO that´s okay  because i know that by the night it will stay almost the same. My issue here is that i was told by some people/doctors that its okay if your  blood sugar is at like 180 or 200mg 2 hours after lunch/dinner, but i dont know if i want that to happen repeatedly during my life.
So  i wanted to ask: Am i hurting myself by keeping my bloodsugar low all day? Is it okay if i let it stay high 2 hours after a meal?
Just  to be clear: If im about to do any physical activity i dont inject  myself because i know that exercising will take care of everything!</t>
        </is>
      </c>
      <c r="D7306" t="n">
        <v>8</v>
      </c>
      <c r="E7306" t="n">
        <v>12</v>
      </c>
      <c r="F7306">
        <f>HYPERLINK("https://www.reddit.com/r/diabetes/comments/csgwpe/question_is_it_okay_to_keep_my_blood_sugar_low/")</f>
        <v/>
      </c>
      <c r="G7306" t="inlineStr">
        <is>
          <t>2019-08-19 06:13:09</t>
        </is>
      </c>
      <c r="H7306" t="inlineStr">
        <is>
          <t>Type 1</t>
        </is>
      </c>
    </row>
    <row r="7307">
      <c r="A7307" t="inlineStr">
        <is>
          <t>cslyi2</t>
        </is>
      </c>
      <c r="B7307" t="inlineStr">
        <is>
          <t>How to regain motivation after a rise in A1C?</t>
        </is>
      </c>
      <c r="C7307" t="inlineStr">
        <is>
          <t>My last A1C was 5.7, but after I ran out of dexcom sensors before my new shipment arrived, I had a week and a half of crazy highs and I barely checked my blood glucose. I know I wrecked my A1C by not taking care of myself and I have lost all motivation to keep my sugars down because I know its going to be much higher this time. How do you regain the drive to take care of yourself?</t>
        </is>
      </c>
      <c r="D7307" t="n">
        <v>1</v>
      </c>
      <c r="E7307" t="n">
        <v>0</v>
      </c>
      <c r="F7307">
        <f>HYPERLINK("https://www.reddit.com/r/diabetes/comments/cslyi2/how_to_regain_motivation_after_a_rise_in_a1c/")</f>
        <v/>
      </c>
      <c r="G7307" t="inlineStr">
        <is>
          <t>2019-08-19 12:24:22</t>
        </is>
      </c>
      <c r="H7307" t="inlineStr">
        <is>
          <t>Type 1</t>
        </is>
      </c>
    </row>
    <row r="7308">
      <c r="A7308" t="inlineStr">
        <is>
          <t>csm551</t>
        </is>
      </c>
      <c r="B7308" t="inlineStr">
        <is>
          <t>Risks of consuming Jardiance</t>
        </is>
      </c>
      <c r="C7308" t="inlineStr">
        <is>
          <t>22M has been diabetic for 4 years it was, my blood sugar was usually bit high and I wasn't dropping weight fast enough.  
My doctor prescribed me Jardiance which I take every morning with 2 1000mg of Metformin 2 times a day.  
After going on this prescription and going on a strict diet I lost close to 20 kilos in 6 months dropping from 116 kilos to 97 kilos this past week. While I recognize the drug helped keep my blood sugar in check,I now have a fear of developing   
 Fournier’s Gangrene.
&amp;amp;#x200B;
Is my fear irrational or should I stop taking jardiance, my doctor warned me on the risk of increased chances of the urinary tract or yeast infection and if it ever occurs I should stop taking it immediately as well.</t>
        </is>
      </c>
      <c r="D7308" t="n">
        <v>3</v>
      </c>
      <c r="E7308" t="n">
        <v>3</v>
      </c>
      <c r="F7308">
        <f>HYPERLINK("https://www.reddit.com/r/diabetes/comments/csm551/risks_of_consuming_jardiance/")</f>
        <v/>
      </c>
      <c r="G7308" t="inlineStr">
        <is>
          <t>2019-08-19 12:37:46</t>
        </is>
      </c>
      <c r="H7308" t="inlineStr">
        <is>
          <t>Type 2</t>
        </is>
      </c>
    </row>
    <row r="7309">
      <c r="A7309" t="inlineStr">
        <is>
          <t>csq0ri</t>
        </is>
      </c>
      <c r="B7309" t="inlineStr">
        <is>
          <t>Insulin Pump</t>
        </is>
      </c>
      <c r="C7309" t="inlineStr">
        <is>
          <t>I'm a Type 1 going on 5 years now. I'm semi-poorly controlled with an A1c of 12 (it was 13.3 so I'm doing slightly better) but there's a problem. My fiance would like me to get a pump to help control my sugars more but I'm not sure I should get one. My problem is I'm the type who likes to wear high waist duke shorts and crop tops during the spring/summer and tight dresses any other time, and I'm terrified of people staring at me or looking like an idiot with a tube sticking out of me or getting it caught on something and ripping it out cause I'm really freaking clumsy. Can someone please help? I'm not looking for you to tell me to "suck it up" or anything, I'm legitimately wanting help and advice. Is there any way to ease my fears?</t>
        </is>
      </c>
      <c r="D7309" t="n">
        <v>1</v>
      </c>
      <c r="E7309" t="n">
        <v>7</v>
      </c>
      <c r="F7309">
        <f>HYPERLINK("https://www.reddit.com/r/diabetes/comments/csq0ri/insulin_pump/")</f>
        <v/>
      </c>
      <c r="G7309" t="inlineStr">
        <is>
          <t>2019-08-19 17:21:01</t>
        </is>
      </c>
      <c r="H7309" t="inlineStr">
        <is>
          <t>Type 1</t>
        </is>
      </c>
    </row>
    <row r="7310">
      <c r="A7310" t="inlineStr">
        <is>
          <t>csrklm</t>
        </is>
      </c>
      <c r="B7310" t="inlineStr">
        <is>
          <t>Today I had a spook</t>
        </is>
      </c>
      <c r="C7310" t="inlineStr">
        <is>
          <t>I was checking my BS and I saw a “51” but it turned out not enough blood was on the strip. Still was low at like 71. Worst thing ever is to have more insulin in your body + your pancreas producing insulin for a bit.</t>
        </is>
      </c>
      <c r="D7310" t="n">
        <v>2</v>
      </c>
      <c r="E7310" t="n">
        <v>0</v>
      </c>
      <c r="F7310">
        <f>HYPERLINK("https://www.reddit.com/r/diabetes/comments/csrklm/today_i_had_a_spook/")</f>
        <v/>
      </c>
      <c r="G7310" t="inlineStr">
        <is>
          <t>2019-08-19 19:29:04</t>
        </is>
      </c>
      <c r="H7310" t="inlineStr">
        <is>
          <t>Type 1</t>
        </is>
      </c>
    </row>
    <row r="7311">
      <c r="A7311" t="inlineStr">
        <is>
          <t>csuzqs</t>
        </is>
      </c>
      <c r="B7311" t="inlineStr">
        <is>
          <t>What to trust</t>
        </is>
      </c>
      <c r="C7311" t="inlineStr">
        <is>
          <t>I have the dexcom g6, been using it for well over a year. I also have the one touch ultra 2 meter, (actually 2 of them) 
The problem I’m having is I don’t know which to trust. 
I’ve never felt like the meters were accurate. Which is why I have two of them, they sent me a replacement one (manufacturer) because of how out of wack the first meter was. I’ve used the calibration liquid they sent (it doesn’t list a range on it) and I’ve compared the two meters to each other, they are usually 50 points or more off from each other. 
On Sunday afternoon I felt like I was getting low, I rapidly got worse and worse. Dexcom said I was at 78 when I used the meter to verify (I’ve recently switched insulin’s and have been paying much closer attention to my numbers so we can adjust the dose) I didn’t eat or drink anything so I should have been level or even going down, however the meter said I was 281! No way in hell I was that high considering how I felt. 
Sunday night I am awoken by the urgent low sound from dexcom, I felt fine but figured I’d err on the side of caution and see what the meter said and have a snack. Meter read 123, dexcom said 99. 30 minutes later, dexcom 101 meter 141. 
It’s maddening that I don’t feel like I can trust either machine. Both of the meters are crap in my opinion and dexcom should be fairly accurate, but it doesn’t always correlate with my symptoms or how I feel. 
Has anyone else experienced anything similar? Any advice to offer?</t>
        </is>
      </c>
      <c r="D7311" t="n">
        <v>5</v>
      </c>
      <c r="E7311" t="n">
        <v>10</v>
      </c>
      <c r="F7311">
        <f>HYPERLINK("https://www.reddit.com/r/diabetes/comments/csuzqs/what_to_trust/")</f>
        <v/>
      </c>
      <c r="G7311" t="inlineStr">
        <is>
          <t>2019-08-20 01:32:10</t>
        </is>
      </c>
      <c r="H7311" t="inlineStr">
        <is>
          <t>Type 1</t>
        </is>
      </c>
    </row>
    <row r="7312">
      <c r="A7312" t="inlineStr">
        <is>
          <t>csyu74</t>
        </is>
      </c>
      <c r="B7312" t="inlineStr">
        <is>
          <t>Does anyone else's BG stay relatively unchanged after eating, but rise after 1-2 hours?</t>
        </is>
      </c>
      <c r="C7312" t="inlineStr">
        <is>
          <t>This has been happening for a few days off and on, where if I my pre-meal BG is \~120, it stays &amp;lt;135 for at least an hour or two, but then shoots up to 160-170 and then falls back slowly. Any ideas? I haven't changed what I eat or anything. My stomach was feeling a little upset so maybe it didnt fully digest it until later?</t>
        </is>
      </c>
      <c r="D7312" t="n">
        <v>3</v>
      </c>
      <c r="E7312" t="n">
        <v>5</v>
      </c>
      <c r="F7312">
        <f>HYPERLINK("https://www.reddit.com/r/diabetes/comments/csyu74/does_anyone_elses_bg_stay_relatively_unchanged/")</f>
        <v/>
      </c>
      <c r="G7312" t="inlineStr">
        <is>
          <t>2019-08-20 06:28:43</t>
        </is>
      </c>
      <c r="H7312" t="inlineStr">
        <is>
          <t>Type 1</t>
        </is>
      </c>
    </row>
    <row r="7313">
      <c r="A7313" t="inlineStr">
        <is>
          <t>ct2shf</t>
        </is>
      </c>
      <c r="B7313" t="inlineStr">
        <is>
          <t>Just started T-Slim + Dexcom G6 yesterday. It doesn't enter BG for you?</t>
        </is>
      </c>
      <c r="C7313" t="inlineStr">
        <is>
          <t>Hey Everyone,
Slightly more advanced cyborg here since yesterday. I switched from Medtronic + Freestyle Libre to Tandem T-Slim + Dexcom G6 yesterday. When I go to give myself a correction bolus, my blood sugar is right there on the home screen yet it won't pre-populate the box where you enter it when bolusing? Are you kidding me?
In other news: Basal IQ is pretty great. I almost feel like I should just turn basal up a few tenths and then let basal iq keep me at the right level... I won't but is anyone doing something like that? Almost seems like a sneaky closed loop approximation.</t>
        </is>
      </c>
      <c r="D7313" t="n">
        <v>3</v>
      </c>
      <c r="E7313" t="n">
        <v>10</v>
      </c>
      <c r="F7313">
        <f>HYPERLINK("https://www.reddit.com/r/diabetes/comments/ct2shf/just_started_tslim_dexcom_g6_yesterday_it_doesnt/")</f>
        <v/>
      </c>
      <c r="G7313" t="inlineStr">
        <is>
          <t>2019-08-20 10:36:38</t>
        </is>
      </c>
      <c r="H7313" t="inlineStr">
        <is>
          <t>Type 1</t>
        </is>
      </c>
    </row>
    <row r="7314">
      <c r="A7314" t="inlineStr">
        <is>
          <t>ct3s9t</t>
        </is>
      </c>
      <c r="B7314" t="inlineStr">
        <is>
          <t>Is this a common start to T1.5? Getting tested but want to consider what else to look into or consider as for prevention.</t>
        </is>
      </c>
      <c r="C7314" t="inlineStr">
        <is>
          <t>Basics: Relatively active lifestyle, 35m, relatively lean (13-14% BF), clean paleo-type diet for most part. No weight change for years. Relatively low-medium carb. Low alcohol consumption.
&amp;amp;#x200B;
Near-perfect lipids for years: HDL \~60, LDL \~78, Trigs \~53. Stable over time.
&amp;amp;#x200B;
Good AST/ALT: 19, 24
&amp;amp;#x200B;
Problem #1: Fasting Glucose for last 5 years - 89, 92, 93, 102, 108
&amp;amp;#x200B;
Problem #2: a1C  for last few years:  5.5 (2011), 5.3 (2015), 5.3 (2017), 5.4 (2018), 5.6 (2019)
&amp;amp;#x200B;
Is there any other explanation for this trend of consistently good lipids and liver enzymes but creeping fasting glucose? I am not asking for a diagnosis, just an understanding of whether this is a common trend for T1.5 or if this knowledgeable community has any other feedback. Thanks.</t>
        </is>
      </c>
      <c r="D7314" t="n">
        <v>4</v>
      </c>
      <c r="E7314" t="n">
        <v>10</v>
      </c>
      <c r="F7314">
        <f>HYPERLINK("https://www.reddit.com/r/diabetes/comments/ct3s9t/is_this_a_common_start_to_t15_getting_tested_but/")</f>
        <v/>
      </c>
      <c r="G7314" t="inlineStr">
        <is>
          <t>2019-08-20 11:37:29</t>
        </is>
      </c>
      <c r="H7314" t="inlineStr">
        <is>
          <t>Type 1.5/LADA</t>
        </is>
      </c>
    </row>
    <row r="7315">
      <c r="A7315" t="inlineStr">
        <is>
          <t>ct58a4</t>
        </is>
      </c>
      <c r="B7315" t="inlineStr">
        <is>
          <t>Doctor adjusted carb ratio from 1:25 to 1:60</t>
        </is>
      </c>
      <c r="C7315" t="inlineStr">
        <is>
          <t>So I've been diagnosed for about a year now, and I've been visiting my endo regularly every 3 -4 months since. I started out on pens with a ratio of 1:30 and 6 units of lantus at night. In late April I got a pump (Medtronic 670g) And shortly after my endo adjusted my carb ratio to 1:25 based off of my meter and pump readings. It's been four months since my last appointment, and she has adjusted my carb ratio to 1:60 in order for me to get more basal. I was getting about 3 units of basal and 4 units bolus per day. Is it normal to make a big jump like this? I wasn't having frequent lows, though I usually sat comfortably in the 90s and 80s. I'm just worried I'll be high all of the time now. She's been very attentive and had taken very good care of me so I do trust her, but this is just so unexpected.</t>
        </is>
      </c>
      <c r="D7315" t="n">
        <v>3</v>
      </c>
      <c r="E7315" t="n">
        <v>4</v>
      </c>
      <c r="F7315">
        <f>HYPERLINK("https://www.reddit.com/r/diabetes/comments/ct58a4/doctor_adjusted_carb_ratio_from_125_to_160/")</f>
        <v/>
      </c>
      <c r="G7315" t="inlineStr">
        <is>
          <t>2019-08-20 13:06:07</t>
        </is>
      </c>
      <c r="H7315" t="inlineStr">
        <is>
          <t>Type 1</t>
        </is>
      </c>
    </row>
    <row r="7316">
      <c r="A7316" t="inlineStr">
        <is>
          <t>ct6ma7</t>
        </is>
      </c>
      <c r="B7316" t="inlineStr">
        <is>
          <t>Down from 8.5 too 7.1</t>
        </is>
      </c>
      <c r="C7316" t="inlineStr">
        <is>
          <t>I just got home from my appointment and my a1c is down to 7.1 I’m super happy because I have been in the 8’s for almost 2 years</t>
        </is>
      </c>
      <c r="D7316" t="n">
        <v>26</v>
      </c>
      <c r="E7316" t="n">
        <v>4</v>
      </c>
      <c r="F7316">
        <f>HYPERLINK("https://www.reddit.com/r/diabetes/comments/ct6ma7/down_from_85_too_71/")</f>
        <v/>
      </c>
      <c r="G7316" t="inlineStr">
        <is>
          <t>2019-08-20 14:31:20</t>
        </is>
      </c>
      <c r="H7316" t="inlineStr">
        <is>
          <t>Type 1</t>
        </is>
      </c>
    </row>
    <row r="7317">
      <c r="A7317" t="inlineStr">
        <is>
          <t>ct7inq</t>
        </is>
      </c>
      <c r="B7317" t="inlineStr">
        <is>
          <t>FreeStyle Libre - First Sensor Down</t>
        </is>
      </c>
      <c r="C7317" t="inlineStr">
        <is>
          <t>I just removed my first sensor. Should the new one go in the same spot? Or should I switch arms? Does it matter?
Thanks for the guidance!</t>
        </is>
      </c>
      <c r="D7317" t="n">
        <v>3</v>
      </c>
      <c r="E7317" t="n">
        <v>4</v>
      </c>
      <c r="F7317">
        <f>HYPERLINK("https://www.reddit.com/r/diabetes/comments/ct7inq/freestyle_libre_first_sensor_down/")</f>
        <v/>
      </c>
      <c r="G7317" t="inlineStr">
        <is>
          <t>2019-08-20 15:34:17</t>
        </is>
      </c>
      <c r="H7317" t="inlineStr">
        <is>
          <t>Type 2</t>
        </is>
      </c>
    </row>
    <row r="7318">
      <c r="A7318" t="inlineStr">
        <is>
          <t>ct8u60</t>
        </is>
      </c>
      <c r="B7318" t="inlineStr">
        <is>
          <t>Pretty stoked!</t>
        </is>
      </c>
      <c r="C7318" t="inlineStr">
        <is>
          <t>Since my last post I’ve gone from 677 to 154! 
Not eating sugar at all
Basically turned my whole diet around. Low carbs
I’m shooting 10 units of insulin twice a day. Morning and night 
I had to up my metphormen to twice a day (2 grams)
I’m pretty happy right now. 
Also my vision has flipped, I can see far but not up close.</t>
        </is>
      </c>
      <c r="D7318" t="n">
        <v>7</v>
      </c>
      <c r="E7318" t="n">
        <v>0</v>
      </c>
      <c r="F7318">
        <f>HYPERLINK("https://www.reddit.com/r/diabetes/comments/ct8u60/pretty_stoked/")</f>
        <v/>
      </c>
      <c r="G7318" t="inlineStr">
        <is>
          <t>2019-08-20 17:17:08</t>
        </is>
      </c>
      <c r="H7318" t="inlineStr">
        <is>
          <t>Type 2</t>
        </is>
      </c>
    </row>
    <row r="7319">
      <c r="A7319" t="inlineStr">
        <is>
          <t>ct9v85</t>
        </is>
      </c>
      <c r="B7319" t="inlineStr">
        <is>
          <t>Looping with a Dexcom G6 and Omnipod</t>
        </is>
      </c>
      <c r="C7319" t="inlineStr">
        <is>
          <t>I gave been using omnipod for just shy of 5 years and dexcom short of 3 years (started with the G6 now using the G6). I was wondering if there is a way to loop both systems using a Pixel 3xl or if anyone has info on it.</t>
        </is>
      </c>
      <c r="D7319" t="n">
        <v>4</v>
      </c>
      <c r="E7319" t="n">
        <v>15</v>
      </c>
      <c r="F7319">
        <f>HYPERLINK("https://www.reddit.com/r/diabetes/comments/ct9v85/looping_with_a_dexcom_g6_and_omnipod/")</f>
        <v/>
      </c>
      <c r="G7319" t="inlineStr">
        <is>
          <t>2019-08-20 18:39:15</t>
        </is>
      </c>
      <c r="H7319" t="inlineStr">
        <is>
          <t>Type 1.5/LADA</t>
        </is>
      </c>
    </row>
    <row r="7320">
      <c r="A7320" t="inlineStr">
        <is>
          <t>ctapi4</t>
        </is>
      </c>
      <c r="B7320" t="inlineStr">
        <is>
          <t>Meter that keeps data local without privacy violating cloud sync?</t>
        </is>
      </c>
      <c r="C7320" t="inlineStr">
        <is>
          <t>Does anyone know of a glucosemeter with a reasonable iOS app (connecting to the meter to automatically save measurements) that are not horrible about privacy? I’m looking for a system that doesn’t use some cloud service but solely stores data on my phone. It’s driving me insane no meter seems to offer any privacy unless you firewall the living hell out of it. Accu-chek? Demands mySugr, mySugr doesn’t allow you to protect your privacy and forces you to use their cloud - if you block its internet access it’ll kill exports and Pro features. Contour Next One? No joy as the app won’t even start without account, and to get an account you’re forced to agree with uploading all your medical data to their cloud. App won’t function at all without an account.
And so on and on, you get the idea. :) 
All these apps and connected meters have in common they share stuff with their parent company with no way to turn it off and often have horrible privacy policies; usually accompanied with some major BS excuse that it’s “for your security, like when you lose your device”. (We got backups for that!) Crazy. So I hope there is a connected meter, preferably with HealthKit support, that doesn’t have a cloud forced down your throat or at least allows you to switch the sync off from the app itself rather than having to block it on network level? :)</t>
        </is>
      </c>
      <c r="D7320" t="n">
        <v>1</v>
      </c>
      <c r="E7320" t="n">
        <v>8</v>
      </c>
      <c r="F7320">
        <f>HYPERLINK("https://www.reddit.com/r/diabetes/comments/ctapi4/meter_that_keeps_data_local_without_privacy/")</f>
        <v/>
      </c>
      <c r="G7320" t="inlineStr">
        <is>
          <t>2019-08-20 19:50:04</t>
        </is>
      </c>
      <c r="H7320" t="inlineStr">
        <is>
          <t>Type 1</t>
        </is>
      </c>
    </row>
    <row r="7321">
      <c r="A7321" t="inlineStr">
        <is>
          <t>ctbcnr</t>
        </is>
      </c>
      <c r="B7321" t="inlineStr">
        <is>
          <t>Anyone selling extra supplies??</t>
        </is>
      </c>
      <c r="C7321" t="inlineStr">
        <is>
          <t>Hey guys was wondering if anyone has extra supplies they would sell me i need quick set infusion set. Thanks in advance</t>
        </is>
      </c>
      <c r="D7321" t="n">
        <v>8</v>
      </c>
      <c r="E7321" t="n">
        <v>4</v>
      </c>
      <c r="F7321">
        <f>HYPERLINK("https://www.reddit.com/r/diabetes/comments/ctbcnr/anyone_selling_extra_supplies/")</f>
        <v/>
      </c>
      <c r="G7321" t="inlineStr">
        <is>
          <t>2019-08-20 20:48:37</t>
        </is>
      </c>
      <c r="H7321" t="inlineStr">
        <is>
          <t>Type 1</t>
        </is>
      </c>
    </row>
    <row r="7322">
      <c r="A7322" t="inlineStr">
        <is>
          <t>ctjpxd</t>
        </is>
      </c>
      <c r="B7322" t="inlineStr">
        <is>
          <t>Vacation = high BG</t>
        </is>
      </c>
      <c r="C7322" t="inlineStr">
        <is>
          <t>So I'm on vacation this week at a beach and my blood sugar has pretty much been high the whole time I've been here so far (3 days).  I've been doing alot of walking and out in the sun more than my usual.  But I'm eating during my normal meal times and following my same routine as far as that goes.  
Any ideas why my blood sugar seems to significantly higher?  Or has anyone else experienced this sort of thing?</t>
        </is>
      </c>
      <c r="D7322" t="n">
        <v>5</v>
      </c>
      <c r="E7322" t="n">
        <v>12</v>
      </c>
      <c r="F7322">
        <f>HYPERLINK("https://www.reddit.com/r/diabetes/comments/ctjpxd/vacation_high_bg/")</f>
        <v/>
      </c>
      <c r="G7322" t="inlineStr">
        <is>
          <t>2019-08-21 10:05:14</t>
        </is>
      </c>
      <c r="H7322" t="inlineStr">
        <is>
          <t>Type 1</t>
        </is>
      </c>
    </row>
    <row r="7323">
      <c r="A7323" t="inlineStr">
        <is>
          <t>ctkhq6</t>
        </is>
      </c>
      <c r="B7323" t="inlineStr">
        <is>
          <t>Issues with pump finding CGM sensor.</t>
        </is>
      </c>
      <c r="C7323" t="inlineStr">
        <is>
          <t>Has anyone had issues with Medtronic pump being being able to fund sensor?
It’s fully charged and blinked the green light when it was connected. It’s definitely been inserted under the skin. So I just don’t know what the issue could be?
I HATE MEDTRONIC</t>
        </is>
      </c>
      <c r="D7323" t="n">
        <v>5</v>
      </c>
      <c r="E7323" t="n">
        <v>0</v>
      </c>
      <c r="F7323">
        <f>HYPERLINK("https://www.reddit.com/r/diabetes/comments/ctkhq6/issues_with_pump_finding_cgm_sensor/")</f>
        <v/>
      </c>
      <c r="G7323" t="inlineStr">
        <is>
          <t>2019-08-21 11:00:35</t>
        </is>
      </c>
      <c r="H7323" t="inlineStr">
        <is>
          <t>Type 1</t>
        </is>
      </c>
    </row>
    <row r="7324">
      <c r="A7324" t="inlineStr">
        <is>
          <t>cts7wk</t>
        </is>
      </c>
      <c r="B7324" t="inlineStr">
        <is>
          <t>Semaglutide Question</t>
        </is>
      </c>
      <c r="C7324" t="inlineStr">
        <is>
          <t>Hello! It me. 
I'm asking people who are on Semaglutide (I've just gone up to 0.5ml) if the nausea gets better?   
On the 0.25ml I was having nausea directly after the dose, but currently it's pretty wild and I'm struggling to do much! I really like this med, as taking pills everyday is something I really struggle to do, and the weekly injection suits me to the ground.
I did go out for some drinks last night (today? I'm not sure, I haven't slept due to being stuck in a nausea cycle and a lil' touch of mania) but it's not up to my usual level of drinking.</t>
        </is>
      </c>
      <c r="D7324" t="n">
        <v>1</v>
      </c>
      <c r="E7324" t="n">
        <v>0</v>
      </c>
      <c r="F7324">
        <f>HYPERLINK("https://www.reddit.com/r/diabetes/comments/cts7wk/semaglutide_question/")</f>
        <v/>
      </c>
      <c r="G7324" t="inlineStr">
        <is>
          <t>2019-08-21 21:11:44</t>
        </is>
      </c>
      <c r="H7324" t="inlineStr">
        <is>
          <t>Type 2</t>
        </is>
      </c>
    </row>
    <row r="7325">
      <c r="A7325" t="inlineStr">
        <is>
          <t>ctxy9u</t>
        </is>
      </c>
      <c r="B7325" t="inlineStr">
        <is>
          <t>Packable lunches?</t>
        </is>
      </c>
      <c r="C7325" t="inlineStr">
        <is>
          <t>Hi all! 
I’m not diabetic myself, but currently here for my (28M) husband, who was diagnosed with Type 2 a few years ago and has been struggling to consistently eat well. The main cause of this is that he is a pilot who travels for 4-5 days at a time and has a lot of difficulty finding low-carb or healthy food at the airport. Some days he’s so busy that he doesn’t get the chance to eat until late in the day and I’m sure this can’t be great for his sugar. 
My main question is whether anyone has some suggestions of easy, diabetic-friendly meals or snacks that would last for a couple days in a well-insulated cooler that I could pack for him to bring to work to eat during the day, or suggestions on what I can Google to find appropriate recipes or ideas. 
If this isn’t the best place for this, please let me know! 
Thanks!</t>
        </is>
      </c>
      <c r="D7325" t="n">
        <v>1</v>
      </c>
      <c r="E7325" t="n">
        <v>2</v>
      </c>
      <c r="F7325">
        <f>HYPERLINK("https://www.reddit.com/r/diabetes/comments/ctxy9u/packable_lunches/")</f>
        <v/>
      </c>
      <c r="G7325" t="inlineStr">
        <is>
          <t>2019-08-22 07:08:17</t>
        </is>
      </c>
      <c r="H7325" t="inlineStr">
        <is>
          <t>Type 2</t>
        </is>
      </c>
    </row>
    <row r="7326">
      <c r="A7326" t="inlineStr">
        <is>
          <t>cu07ej</t>
        </is>
      </c>
      <c r="B7326" t="inlineStr">
        <is>
          <t>Keto</t>
        </is>
      </c>
      <c r="C7326" t="inlineStr">
        <is>
          <t>Been T1 for around 24 years now, (currently 27). Tried many different insulins etc over the years and for past few years have been doing a basal bolus system.  
I eat quite well, always wholegrains/brown breads etc and usually eat quite a balanced diet however no matter the carb/insulin ratios or timing of long acting insulin injections my bloods would be up and down.  
I have had the Freestyle Libre system in place now for about 2 months and it was helping me to see visually what was happening and showed my blood readings looked like a Seismic graph.   
My work keeps me active (manual labour) and I also go to the gym around 5 times a week doing a combination of strength exercises and cardio. I was watching some videos on YouTube not so long ago about some techniques in weightlifting (I like to always make sure my form is correct) and the YouTuber had mentioned about a Keto diet in his video.  
I had heard of Keto diets in the past but never really read up on them until now when I started clicking on video after video and found Dr Bernstein's material.   
I tapered my carbs down last week and starting this week have lowered them &amp;lt;10% - I have included screen shots from Myfitnesspal showing my ratio's. My calories will be higher than a normal person due to how active I am.  
I don't believe my body is in Ketosis yet going off the usual signs (pear drop smelling breath) and just waiting on some new Keto strips arriving for my Freestyle Libre meter. J**ust wondering how long it has taken people who are also TYPE 1 when following a Keto diet to get into Ketosis.**  
Bodyweight: 87 KG  
Height: 6ft 2 // 188cm  
Bodyfat: no idea, more muscle than fat though  
BMI: A stupid measurement  
![img](ip98o3w561i31)
![img](nxv9uyu561i31)
![img](ngbkrtu561i31)
![img](jzc41uu561i31)</t>
        </is>
      </c>
      <c r="D7326" t="n">
        <v>1</v>
      </c>
      <c r="E7326" t="n">
        <v>5</v>
      </c>
      <c r="F7326">
        <f>HYPERLINK("https://www.reddit.com/r/diabetes/comments/cu07ej/keto/")</f>
        <v/>
      </c>
      <c r="G7326" t="inlineStr">
        <is>
          <t>2019-08-22 09:56:37</t>
        </is>
      </c>
      <c r="H7326" t="inlineStr">
        <is>
          <t>Type 1</t>
        </is>
      </c>
    </row>
    <row r="7327">
      <c r="A7327" t="inlineStr">
        <is>
          <t>cu236q</t>
        </is>
      </c>
      <c r="B7327" t="inlineStr">
        <is>
          <t>I have come such a long way.</t>
        </is>
      </c>
      <c r="C7327" t="inlineStr">
        <is>
          <t>I was diagnosed at 12 years old and being a pre teen I didnt understand. I just kept asking why me? I started acting out really bad in 7th grade. I guess I was just angry.. when I was young I didnt take care of myself really. I took insulin everyday but not enough and I would eat up to 300 carbs a day. Definitely didnt take enough for what I was eating..
Now I'm 23, I have an insulin pump and an A1C of 6.5. The lowest it has ever been. The highest was 14. My big brother passed away from type one in 2013. And it devastated me, but I guess in some messed up way it helped me take better care of myself. He was suffering big time from not taking care of his self. Always in pain and I know I didnt want to be like that because what a miserable way to live. 
I take so much better care of myself now. Unlike before where I didnt care at all. I care about my health now and will never turn back. Regardless of doctors telling me I was going to die at a young age. I'm still going strong. I still have my struggles but who doesn't? I will always have those struggles.. but I deal with it in a much better way. Just here to share my story to maybe inspire someone. Idk. But I hope you all take good care of yourself &amp;lt;3 much love.</t>
        </is>
      </c>
      <c r="D7327" t="n">
        <v>9</v>
      </c>
      <c r="E7327" t="n">
        <v>4</v>
      </c>
      <c r="F7327">
        <f>HYPERLINK("https://www.reddit.com/r/diabetes/comments/cu236q/i_have_come_such_a_long_way/")</f>
        <v/>
      </c>
      <c r="G7327" t="inlineStr">
        <is>
          <t>2019-08-22 12:11:34</t>
        </is>
      </c>
      <c r="H7327" t="inlineStr">
        <is>
          <t>Type 1</t>
        </is>
      </c>
    </row>
    <row r="7328">
      <c r="A7328" t="inlineStr">
        <is>
          <t>cu2om5</t>
        </is>
      </c>
      <c r="B7328" t="inlineStr">
        <is>
          <t>Latest A1C</t>
        </is>
      </c>
      <c r="C7328" t="inlineStr">
        <is>
          <t>April 2: 9.4
Started Ozempic  about a month ago. 
August 22: 7.2
I am astounded.</t>
        </is>
      </c>
      <c r="D7328" t="n">
        <v>12</v>
      </c>
      <c r="E7328" t="n">
        <v>4</v>
      </c>
      <c r="F7328">
        <f>HYPERLINK("https://www.reddit.com/r/diabetes/comments/cu2om5/latest_a1c/")</f>
        <v/>
      </c>
      <c r="G7328" t="inlineStr">
        <is>
          <t>2019-08-22 12:55:13</t>
        </is>
      </c>
      <c r="H7328" t="inlineStr">
        <is>
          <t>Type 2</t>
        </is>
      </c>
    </row>
    <row r="7329">
      <c r="A7329" t="inlineStr">
        <is>
          <t>cu4d6o</t>
        </is>
      </c>
      <c r="B7329" t="inlineStr">
        <is>
          <t>Omnipod or Medtronic 640G?</t>
        </is>
      </c>
      <c r="C7329" t="inlineStr">
        <is>
          <t>This Tuesday is my deadline for deciding which pump I want. I have scrolled through (what seems) every page I could find about these two pumps and yet I’m still a bit uncertain. Any advice would be highly appreciated. 
First off, I’ll start by saying the 640G does not come with the sensor as my country doesn’t really participate in CGM’s just yet. (I do have a libre that I’ve made into a CGM by buying the MiaoMiao) 
Secondly, the reason I’m not just saying yes to the Omnipod straight away, even though it sounds fucking amazing, is because I am not quite sure I will have enough insulin left on the last day of the Omnipod. 
I inject 26 units of long working insulin per day so I’d already have to knock off 78 units from the 200 that you can store in the Omnipod. With the rate I inject now I’d be around 20-30 units short each pod. 
I heard people who used to be pen users and then swapped to a pump ended up using less insulin but I am not quite sure if that’s really true? 
Is the 640G not worth it without the CGM that comes with it? Is it worth using a pen for the last few hours when using the Omnipod when I run out? 
(Those are the only two options I got for a pump) 
Thank you for taking the time to even read this whole post!</t>
        </is>
      </c>
      <c r="D7329" t="n">
        <v>8</v>
      </c>
      <c r="E7329" t="n">
        <v>30</v>
      </c>
      <c r="F7329">
        <f>HYPERLINK("https://www.reddit.com/r/diabetes/comments/cu4d6o/omnipod_or_medtronic_640g/")</f>
        <v/>
      </c>
      <c r="G7329" t="inlineStr">
        <is>
          <t>2019-08-22 14:57:55</t>
        </is>
      </c>
      <c r="H7329" t="inlineStr">
        <is>
          <t>Type 1</t>
        </is>
      </c>
    </row>
    <row r="7330">
      <c r="A7330" t="inlineStr">
        <is>
          <t>cu67n7</t>
        </is>
      </c>
      <c r="B7330" t="inlineStr">
        <is>
          <t>Snacking while cooking before eating...when do you test? (Type 2)</t>
        </is>
      </c>
      <c r="C7330" t="inlineStr">
        <is>
          <t>If I'm making a salad and sample the bleu cheese, or a bite of whatever I'm cooking, do I test an hour from that point or from when I sit down for the meal and an hour from my first bite of the meal??
Thank you for your help. I'm a taster!</t>
        </is>
      </c>
      <c r="D7330" t="n">
        <v>3</v>
      </c>
      <c r="E7330" t="n">
        <v>3</v>
      </c>
      <c r="F7330">
        <f>HYPERLINK("https://www.reddit.com/r/diabetes/comments/cu67n7/snacking_while_cooking_before_eatingwhen_do_you/")</f>
        <v/>
      </c>
      <c r="G7330" t="inlineStr">
        <is>
          <t>2019-08-22 17:24:54</t>
        </is>
      </c>
      <c r="H7330" t="inlineStr">
        <is>
          <t>Type 2</t>
        </is>
      </c>
    </row>
    <row r="7331">
      <c r="A7331" t="inlineStr">
        <is>
          <t>cu724m</t>
        </is>
      </c>
      <c r="B7331" t="inlineStr">
        <is>
          <t>College room accommodation?</t>
        </is>
      </c>
      <c r="C7331" t="inlineStr">
        <is>
          <t>I got diagnosed less than 2 months ago, just started my sophomore year of college Monday, and am living in an on-campus apartment with a roommate. Being a new diabetic, I’m still learning how much insulin I need and how much food I should have before I sleep. This results in my phone going off multiple times a night due to me going too low. The problem occurs with my roommate, it also wakes him up and he has made it very clear that he’s not fond of being randomly woken up multiple times a night. I know that colleges are required to accommodate diabetics in many ways, but are diabetics allowed private rooms in any form?</t>
        </is>
      </c>
      <c r="D7331" t="n">
        <v>9</v>
      </c>
      <c r="E7331" t="n">
        <v>21</v>
      </c>
      <c r="F7331">
        <f>HYPERLINK("https://www.reddit.com/r/diabetes/comments/cu724m/college_room_accommodation/")</f>
        <v/>
      </c>
      <c r="G7331" t="inlineStr">
        <is>
          <t>2019-08-22 18:38:40</t>
        </is>
      </c>
      <c r="H7331" t="inlineStr">
        <is>
          <t>Type 1</t>
        </is>
      </c>
    </row>
    <row r="7332">
      <c r="A7332" t="inlineStr">
        <is>
          <t>cu8kv9</t>
        </is>
      </c>
      <c r="B7332" t="inlineStr">
        <is>
          <t>Has anybody built a openAPS with Android MINIMed 630G Dexcom G5.</t>
        </is>
      </c>
      <c r="C7332" t="inlineStr">
        <is>
          <t>Hi I just got a dexcom 5 by suprise a person at my gym. He told me he say this on youtube one day. I dont think I will be would be able to do it. Because of the safety features on minimed. I maybe have the old pump. Was wondering what people on here think. Because theirs no money to be made on reddit lol.</t>
        </is>
      </c>
      <c r="D7332" t="n">
        <v>6</v>
      </c>
      <c r="E7332" t="n">
        <v>2</v>
      </c>
      <c r="F7332">
        <f>HYPERLINK("https://www.reddit.com/r/diabetes/comments/cu8kv9/has_anybody_built_a_openaps_with_android_minimed/")</f>
        <v/>
      </c>
      <c r="G7332" t="inlineStr">
        <is>
          <t>2019-08-22 20:58:29</t>
        </is>
      </c>
      <c r="H7332" t="inlineStr">
        <is>
          <t>Type 1</t>
        </is>
      </c>
    </row>
    <row r="7333">
      <c r="A7333" t="inlineStr">
        <is>
          <t>cu8qkm</t>
        </is>
      </c>
      <c r="B7333" t="inlineStr">
        <is>
          <t>Invalid transmitter ID, even though it’s perfectly valid and brand new</t>
        </is>
      </c>
      <c r="C7333" t="inlineStr">
        <is>
          <t>Heyo. I’m currently on the Dexcom G6 and while it’s been helpful under most circumstances, I’m sometimes encountering a problem whenever I have to change transmitters. I punch in the the transmitter ID, put on a new sensor, start the cgm session and about 20 minutes into the warmup process it tells me invalid transmitter ID. Does anyone know why it does this and/or how to fix it? I just wanna go to bed man</t>
        </is>
      </c>
      <c r="D7333" t="n">
        <v>6</v>
      </c>
      <c r="E7333" t="n">
        <v>2</v>
      </c>
      <c r="F7333">
        <f>HYPERLINK("https://www.reddit.com/r/diabetes/comments/cu8qkm/invalid_transmitter_id_even_though_its_perfectly/")</f>
        <v/>
      </c>
      <c r="G7333" t="inlineStr">
        <is>
          <t>2019-08-22 21:13:25</t>
        </is>
      </c>
      <c r="H7333" t="inlineStr">
        <is>
          <t>Type 1</t>
        </is>
      </c>
    </row>
    <row r="7334">
      <c r="A7334" t="inlineStr">
        <is>
          <t>cu8rh8</t>
        </is>
      </c>
      <c r="B7334" t="inlineStr">
        <is>
          <t>Anyone else get super disappointed when your HA1C doesn’t change?</t>
        </is>
      </c>
      <c r="C7334" t="inlineStr">
        <is>
          <t>Ive always had fairly okay control of my diabetes (I was dx when I was 20) but I went to see a doctor in May because of new healthcare. Did labs that same day and had a HA1C of 7.4. Got a Dexcom G5 and was so excited because I wanted my HA1C to be what it was when I was pregnant, which was 5.7 at the highest. The lab I had done today was a 7.2. I feel like I’ve been trying SO hard. I was super excited to see what it was today. Ive also been workout hard to exercise and eat a lot better than before. So why didn’t it move at all? It’s so shitty. Anyway. Advice to stay motivated? Advice to bring it down more? Thanks for letting me vent.</t>
        </is>
      </c>
      <c r="D7334" t="n">
        <v>13</v>
      </c>
      <c r="E7334" t="n">
        <v>8</v>
      </c>
      <c r="F7334">
        <f>HYPERLINK("https://www.reddit.com/r/diabetes/comments/cu8rh8/anyone_else_get_super_disappointed_when_your_ha1c/")</f>
        <v/>
      </c>
      <c r="G7334" t="inlineStr">
        <is>
          <t>2019-08-22 21:15:41</t>
        </is>
      </c>
      <c r="H7334" t="inlineStr">
        <is>
          <t>Type 1</t>
        </is>
      </c>
    </row>
    <row r="7335">
      <c r="A7335" t="inlineStr">
        <is>
          <t>cuavuj</t>
        </is>
      </c>
      <c r="B7335" t="inlineStr">
        <is>
          <t>First hypoglycemia attack in a while. Ain't that bracing stuff?</t>
        </is>
      </c>
      <c r="C7335" t="inlineStr">
        <is>
          <t>Woooooo found myself at 3.3. Now covered in sweat, slowly feeling better about eight minutes after eating four dextrose tablets. Screw you diabetes T2!</t>
        </is>
      </c>
      <c r="D7335" t="n">
        <v>0</v>
      </c>
      <c r="E7335" t="n">
        <v>1</v>
      </c>
      <c r="F7335">
        <f>HYPERLINK("https://www.reddit.com/r/diabetes/comments/cuavuj/first_hypoglycemia_attack_in_a_while_aint_that/")</f>
        <v/>
      </c>
      <c r="G7335" t="inlineStr">
        <is>
          <t>2019-08-23 01:13:55</t>
        </is>
      </c>
      <c r="H7335" t="inlineStr">
        <is>
          <t>Type 2</t>
        </is>
      </c>
    </row>
    <row r="7336">
      <c r="A7336" t="inlineStr">
        <is>
          <t>cufws0</t>
        </is>
      </c>
      <c r="B7336" t="inlineStr">
        <is>
          <t>How to deal with long lasting stress highs?</t>
        </is>
      </c>
      <c r="C7336" t="inlineStr">
        <is>
          <t>Hi guys,
I’m going through the most stressful part of my life I can ever remember (TLDR; wife cheated and is now leaving me for her shitty other affair partner), and I’ve been at 110% stress and anxiety for about 3 weeks now.
I’m desperately trying to get my blood sugar under control, but still spiking without food, and hovering at ~220 on fasting. I bumped my basal rate up by 0.1 units across the board a few days back and noticed minor improvements, but my biggest issue is that the stress + mealtime ruin me. I’ve resorted to just having black coffee and maybe a snack until dinner every day just to try and keep my numbers lower, as the last thing I need right now is DKA.
Have any of you guys found a good way of dealing with high stress high blood sugar periods?</t>
        </is>
      </c>
      <c r="D7336" t="n">
        <v>1</v>
      </c>
      <c r="E7336" t="n">
        <v>16</v>
      </c>
      <c r="F7336">
        <f>HYPERLINK("https://www.reddit.com/r/diabetes/comments/cufws0/how_to_deal_with_long_lasting_stress_highs/")</f>
        <v/>
      </c>
      <c r="G7336" t="inlineStr">
        <is>
          <t>2019-08-23 09:05:20</t>
        </is>
      </c>
      <c r="H7336" t="inlineStr">
        <is>
          <t>Type 1</t>
        </is>
      </c>
    </row>
    <row r="7337">
      <c r="A7337" t="inlineStr">
        <is>
          <t>cugwc5</t>
        </is>
      </c>
      <c r="B7337" t="inlineStr">
        <is>
          <t>Too much insulin?</t>
        </is>
      </c>
      <c r="C7337" t="inlineStr">
        <is>
          <t>Alright, I was on the fence about sharing this info, but the discussions between my wife and I just continues to bug me. She is an RN, so she has a medical background. When I first got on insulin, I started at like 5 units. That was nowhere close to what I needed. I now take Humalin 70/30 with what she makes me feel is too much insulin. I take 30 units in the morning and 40 units at night. She talks to me about how she feels it is too high and how she thinks it's bad that I take so much insulin. she says when she administers insulin to her patients, it's closer to what I started out with, 5 units. I usually respond with the fact that's what my doctor and pharmacist has come up with. From living years with 300's and high 200's, I am in range frequently. It just bugs me that she takes such a critical stance with my numbers. I try to hide my glucometer when I test (2x a day) because she will always comment, especially if it is high. 
So,  do I take too much insulin? Should I be worried? Is it a big deal? Do I bring up to my doctor? Does too much insulin have adverse effects of the body?</t>
        </is>
      </c>
      <c r="D7337" t="n">
        <v>5</v>
      </c>
      <c r="E7337" t="n">
        <v>17</v>
      </c>
      <c r="F7337">
        <f>HYPERLINK("https://www.reddit.com/r/diabetes/comments/cugwc5/too_much_insulin/")</f>
        <v/>
      </c>
      <c r="G7337" t="inlineStr">
        <is>
          <t>2019-08-23 10:18:43</t>
        </is>
      </c>
      <c r="H7337" t="inlineStr">
        <is>
          <t>Type 2</t>
        </is>
      </c>
    </row>
    <row r="7338">
      <c r="A7338" t="inlineStr">
        <is>
          <t>cui92j</t>
        </is>
      </c>
      <c r="B7338" t="inlineStr">
        <is>
          <t>Tresiba flex pens changing concentration? (USA)</t>
        </is>
      </c>
      <c r="C7338" t="inlineStr">
        <is>
          <t>I just picked up my Tresiba from the pharmacy. I got one box of 100u strength, which is what I usually get, and one loose pen of U200 strength. Have they always offered different concentrations in their pens or are they changing over all the 100u to 200u strength? Not a big deal either way just curious if my pharmacy did this on purpose or on accident. It looks like the 200u pen also can only do injections in increments of 2 (ie 2,4,6,8). This likely means the pens are the same since the volume of liquid for 1 unit in the weaker strength would be the same volume as 2 units in the stronger strength pen.</t>
        </is>
      </c>
      <c r="D7338" t="n">
        <v>4</v>
      </c>
      <c r="E7338" t="n">
        <v>4</v>
      </c>
      <c r="F7338">
        <f>HYPERLINK("https://www.reddit.com/r/diabetes/comments/cui92j/tresiba_flex_pens_changing_concentration_usa/")</f>
        <v/>
      </c>
      <c r="G7338" t="inlineStr">
        <is>
          <t>2019-08-23 11:58:56</t>
        </is>
      </c>
      <c r="H7338" t="inlineStr">
        <is>
          <t>Type 1</t>
        </is>
      </c>
    </row>
    <row r="7339">
      <c r="A7339" t="inlineStr">
        <is>
          <t>cujrox</t>
        </is>
      </c>
      <c r="B7339" t="inlineStr">
        <is>
          <t>Who do I read so many articles saying stuff like insulin pill on the way soon or smart insulin research advancing but nothing ever comes?</t>
        </is>
      </c>
      <c r="C7339" t="inlineStr">
        <is>
          <t>The only hope I have is something will come out soon that will at least make managing diabetes a bit easier, I have almost gave up on the hope for a cure already but even just a insulin pill would help me a lot in my situation. I see so many articles and videos from like a year or two ago talking about how a insulin pill is nearly here, or smart insulin is advancing in research and the obvious “cure” like stem cell therapy. Nothing ever comes from anything I read. I watched a video about a insulin pill almost ready 2 years ago where the fuck is it now? Even just imagine how awesome a semi cure would be like smart insulin and only have to inject you’re self once a day I would love that. I know the whole cure thing is a big joke around  here but the videos I see look genuinely promising I did find a ted talk one from 2 years ago and it was about getting a surgical implant and it gave me hope I wanted to see there progress in 2 years and apparently they are getting to the human trials but they are probably just saying that. I just needed to vent sorry I just want something else to be made that can help us manage diabetes better soon.</t>
        </is>
      </c>
      <c r="D7339" t="n">
        <v>4</v>
      </c>
      <c r="E7339" t="n">
        <v>7</v>
      </c>
      <c r="F7339">
        <f>HYPERLINK("https://www.reddit.com/r/diabetes/comments/cujrox/who_do_i_read_so_many_articles_saying_stuff_like/")</f>
        <v/>
      </c>
      <c r="G7339" t="inlineStr">
        <is>
          <t>2019-08-23 13:53:56</t>
        </is>
      </c>
      <c r="H7339" t="inlineStr">
        <is>
          <t>Type 1</t>
        </is>
      </c>
    </row>
    <row r="7340">
      <c r="A7340" t="inlineStr">
        <is>
          <t>cul0sd</t>
        </is>
      </c>
      <c r="B7340" t="inlineStr">
        <is>
          <t>Partner Recently Diagnosed with Type 1</t>
        </is>
      </c>
      <c r="C7340" t="inlineStr">
        <is>
          <t>Hi, I myself am not a diabetic but I do have family members that are Type 2 and my partner is Type 1. I was looking for any advice on how he could control his blood sugars (It's really out of control at the minute, he was just diagnosed almost a week ago now) and anything I could do to support him? I'm trying to search everywhere for anything that may help. I know cutting out carbs or significantly reducing them is great for Type 2s because they have insulin resistance, but of course for Type 1 it's that the pancreas doesn't produce (or produces very little) insulin. I was wondering if cutting carbs out would help him regain control of his blood sugars since they're very high. He says everything seems to spike his blood sugar (but protein) and the only time he had control of it post diagnosis is at the hospital when they flushed him with fluids and he didn't eat.</t>
        </is>
      </c>
      <c r="D7340" t="n">
        <v>1</v>
      </c>
      <c r="E7340" t="n">
        <v>4</v>
      </c>
      <c r="F7340">
        <f>HYPERLINK("https://www.reddit.com/r/diabetes/comments/cul0sd/partner_recently_diagnosed_with_type_1/")</f>
        <v/>
      </c>
      <c r="G7340" t="inlineStr">
        <is>
          <t>2019-08-23 15:30:44</t>
        </is>
      </c>
      <c r="H7340" t="inlineStr">
        <is>
          <t>Type 1</t>
        </is>
      </c>
    </row>
    <row r="7341">
      <c r="A7341" t="inlineStr">
        <is>
          <t>cum3cy</t>
        </is>
      </c>
      <c r="B7341" t="inlineStr">
        <is>
          <t>My insulin doesnt seem to be working as well these last few days...</t>
        </is>
      </c>
      <c r="C7341" t="inlineStr">
        <is>
          <t>For some reason i cant keep my bg below 200, no changes to basal (i take it twice daily for better regulation) and ive been exercising the same amount but it seems like im just not using enough insulin. Ive heard this happens right before you get sick but this has been going on for 3+ days with no actual signs of sickness except for a few sneezes here and there. I was diagnosed about 8 months ago</t>
        </is>
      </c>
      <c r="D7341" t="n">
        <v>2</v>
      </c>
      <c r="E7341" t="n">
        <v>5</v>
      </c>
      <c r="F7341">
        <f>HYPERLINK("https://www.reddit.com/r/diabetes/comments/cum3cy/my_insulin_doesnt_seem_to_be_working_as_well/")</f>
        <v/>
      </c>
      <c r="G7341" t="inlineStr">
        <is>
          <t>2019-08-23 16:58:23</t>
        </is>
      </c>
      <c r="H7341" t="inlineStr">
        <is>
          <t>Type 1</t>
        </is>
      </c>
    </row>
    <row r="7342">
      <c r="A7342" t="inlineStr">
        <is>
          <t>cumkyx</t>
        </is>
      </c>
      <c r="B7342" t="inlineStr">
        <is>
          <t>How often should I get tested for diabetes?</t>
        </is>
      </c>
      <c r="C7342" t="inlineStr">
        <is>
          <t>I have a family history of type 2 diabetes (grandpa from mom's side, and my mom). I’m 19 years old 5’7” and I weigh 185lbs, previously I was 205 but i’ve lost 20lbs by calorie counting. Everytime when I go to my yearly check ups at the doctors, they tell me that everything is normal beside my weight. The only time I was checked for diabetes was 7 months ago when I had to get a Class 2 Aviation medical physical exam. They check for diabetes because diabetes a disqualifying condition for pilots if you’re insulin dependent (I understand the differences between type 1 and type 2 diabetes, I’m just stating that they do check for diabetes). I’m kind of a hypochondriac so diabetes has been concerning me for the past couple of years because diabetes runs in my family.</t>
        </is>
      </c>
      <c r="D7342" t="n">
        <v>7</v>
      </c>
      <c r="E7342" t="n">
        <v>7</v>
      </c>
      <c r="F7342">
        <f>HYPERLINK("https://www.reddit.com/r/diabetes/comments/cumkyx/how_often_should_i_get_tested_for_diabetes/")</f>
        <v/>
      </c>
      <c r="G7342" t="inlineStr">
        <is>
          <t>2019-08-23 17:42:10</t>
        </is>
      </c>
      <c r="H7342" t="inlineStr">
        <is>
          <t>Type 2</t>
        </is>
      </c>
    </row>
    <row r="7343">
      <c r="A7343" t="inlineStr">
        <is>
          <t>cun80s</t>
        </is>
      </c>
      <c r="B7343" t="inlineStr">
        <is>
          <t>Does anyone have difficulties with fatty stomach region</t>
        </is>
      </c>
      <c r="C7343" t="inlineStr">
        <is>
          <t>Not sure if I should be ashamed to admit this, but after nearly 10 years with diebetes, I'm just sorta learning insulin can lead to weight gain, and I was wondering if that could explain why my stomach region (sides specifically) has a large fat deposit? That where 100% of my infusion sites go, and while I'm not the best weight, (10-15 ish pounds above "ideal" target) I just have rather chubby sides and it's saddening to me.
&amp;amp;#x200B;
Is this just bad genetics, or do my insulin sites lead to this?</t>
        </is>
      </c>
      <c r="D7343" t="n">
        <v>3</v>
      </c>
      <c r="E7343" t="n">
        <v>10</v>
      </c>
      <c r="F7343">
        <f>HYPERLINK("https://www.reddit.com/r/diabetes/comments/cun80s/does_anyone_have_difficulties_with_fatty_stomach/")</f>
        <v/>
      </c>
      <c r="G7343" t="inlineStr">
        <is>
          <t>2019-08-23 18:40:44</t>
        </is>
      </c>
      <c r="H7343" t="inlineStr">
        <is>
          <t>Type 1</t>
        </is>
      </c>
    </row>
    <row r="7344">
      <c r="A7344" t="inlineStr">
        <is>
          <t>cunejp</t>
        </is>
      </c>
      <c r="B7344" t="inlineStr">
        <is>
          <t>Have a pharmacist acquaintance that called me boujee for having a dexcom</t>
        </is>
      </c>
      <c r="C7344" t="inlineStr">
        <is>
          <t>So I called up an acquaintance / "friend" that I know who just so happens to be a pharmacist to discuss rent/finances/jobs and how my high rent is killing me. Somehow she took it upon herself to critique my spending and basically give me unsolicited advice. One of the (many) things she was digging into was my medical spending, and was appalled that I am using a Dexcom. She called me 'boujee' for doing so and said I should just go back to finger pricks. She also told me to eat fewer carbs so I shouldn't spend so much on insulin (I'm already super low carb). 
I just felt like I had to share this with people who understand the struggle, because I was in absolute shock that a pharmacist could say and believe such a thing. I haven't had someone made me feel this shitty about myself in a while  and I completely deleted her contact info.</t>
        </is>
      </c>
      <c r="D7344" t="n">
        <v>2</v>
      </c>
      <c r="E7344" t="n">
        <v>0</v>
      </c>
      <c r="F7344">
        <f>HYPERLINK("https://www.reddit.com/r/diabetes/comments/cunejp/have_a_pharmacist_acquaintance_that_called_me/")</f>
        <v/>
      </c>
      <c r="G7344" t="inlineStr">
        <is>
          <t>2019-08-23 18:58:14</t>
        </is>
      </c>
      <c r="H7344" t="inlineStr">
        <is>
          <t>Type 1</t>
        </is>
      </c>
    </row>
    <row r="7345">
      <c r="A7345" t="inlineStr">
        <is>
          <t>cunodv</t>
        </is>
      </c>
      <c r="B7345" t="inlineStr">
        <is>
          <t>Second honeymoon? Or it never left.</t>
        </is>
      </c>
      <c r="C7345" t="inlineStr">
        <is>
          <t>So for the past two weeks I have been experiencing a period of not needing much insulin. I was diagnosed two years ago and started on insulin within the first three months. I was diagnosed T1 due to being positive for GAD65 and not responding to diet changes and T2 meds. Now my TDD has never been high, but has climbing steadily since dx until these last few weeks. I have been watching what I eat and exercising more in an attempt to lose weight, but other than that nothing has really changed. I've had days where I've eaten carbier meals and barely spiked past 160 before dropping. I thought maybe my basal was too high but then I still kept crashing and even went a whole night without my pump on and never broke 100. I also haven't seen a single number over 200 in this time. I know I'm not "cured" because that's silly, I'm just wondering if anyone else has had this happen and if it's just another pancreas sputter that is lasting a little longer than usual.</t>
        </is>
      </c>
      <c r="D7345" t="n">
        <v>1</v>
      </c>
      <c r="E7345" t="n">
        <v>0</v>
      </c>
      <c r="F7345">
        <f>HYPERLINK("https://www.reddit.com/r/diabetes/comments/cunodv/second_honeymoon_or_it_never_left/")</f>
        <v/>
      </c>
      <c r="G7345" t="inlineStr">
        <is>
          <t>2019-08-23 19:23:53</t>
        </is>
      </c>
      <c r="H7345" t="inlineStr">
        <is>
          <t>Type 1</t>
        </is>
      </c>
    </row>
    <row r="7346">
      <c r="A7346" t="inlineStr">
        <is>
          <t>cunqq3</t>
        </is>
      </c>
      <c r="B7346" t="inlineStr">
        <is>
          <t>Second honeymoon? Or it never left.</t>
        </is>
      </c>
      <c r="C7346" t="inlineStr">
        <is>
          <t>So for the past two weeks I've been having a period of not needing much insulin. I was diagnosed T1 two years ago based on being positive for GAD65 and not responding to diet changes or T2 meds. I have been eating better and exercising in an attempt to lose weight, but other than that nothing has changed. I've never had a high TDD but it has been climbing steadily since dx until the last few weeks. I've had carbier meals and barely spiked past 160 before crashing. I even had a night where I had my pump off and never broke 100. I know I'm not "cured" because that's silly, just wondering if anyone else has had this happen and it's maybe just my pancreas sputtering a little bit longer than usual.</t>
        </is>
      </c>
      <c r="D7346" t="n">
        <v>2</v>
      </c>
      <c r="E7346" t="n">
        <v>2</v>
      </c>
      <c r="F7346">
        <f>HYPERLINK("https://www.reddit.com/r/diabetes/comments/cunqq3/second_honeymoon_or_it_never_left/")</f>
        <v/>
      </c>
      <c r="G7346" t="inlineStr">
        <is>
          <t>2019-08-23 19:30:27</t>
        </is>
      </c>
      <c r="H7346" t="inlineStr">
        <is>
          <t>Type 1</t>
        </is>
      </c>
    </row>
    <row r="7347">
      <c r="A7347" t="inlineStr">
        <is>
          <t>cuvwzg</t>
        </is>
      </c>
      <c r="B7347" t="inlineStr">
        <is>
          <t>Anyone on the MiniMed 670G?</t>
        </is>
      </c>
      <c r="C7347" t="inlineStr">
        <is>
          <t>I’ll be getting the 670G sometime within the next few months. My doctor is really excited about it lol. I have CGM capabilities on my current pump but never got it set up with my insurance because it was a headache. What was your experience when starting on the 670G?</t>
        </is>
      </c>
      <c r="D7347" t="n">
        <v>10</v>
      </c>
      <c r="E7347" t="n">
        <v>35</v>
      </c>
      <c r="F7347">
        <f>HYPERLINK("https://www.reddit.com/r/diabetes/comments/cuvwzg/anyone_on_the_minimed_670g/")</f>
        <v/>
      </c>
      <c r="G7347" t="inlineStr">
        <is>
          <t>2019-08-24 09:58:55</t>
        </is>
      </c>
      <c r="H7347" t="inlineStr">
        <is>
          <t>Type 1</t>
        </is>
      </c>
    </row>
    <row r="7348">
      <c r="A7348" t="inlineStr">
        <is>
          <t>cuxzvf</t>
        </is>
      </c>
      <c r="B7348" t="inlineStr">
        <is>
          <t>Ladies, UTI Q.</t>
        </is>
      </c>
      <c r="C7348" t="inlineStr">
        <is>
          <t>Female fellows, I got a UTI for the first time since getting Type 2. I’ve been controlling my sugars but saw that my sugar was really high after some hours of having intercourse on a day where I barely had carbs.
That’s when I discovered that diabetic females are more susceptible to UTI/bladder infections. 
I’m wondering if any of you have tips/recommendations for preventing these? 
Do you take cranberry pills daily? 
Urinating before and after sex?
I can’t bear to get a uti every time I have sex and I don’t want my glucose spiking all the time. 
Please, help me.</t>
        </is>
      </c>
      <c r="D7348" t="n">
        <v>5</v>
      </c>
      <c r="E7348" t="n">
        <v>23</v>
      </c>
      <c r="F7348">
        <f>HYPERLINK("https://www.reddit.com/r/diabetes/comments/cuxzvf/ladies_uti_q/")</f>
        <v/>
      </c>
      <c r="G7348" t="inlineStr">
        <is>
          <t>2019-08-24 12:36:16</t>
        </is>
      </c>
      <c r="H7348" t="inlineStr">
        <is>
          <t>Type 2</t>
        </is>
      </c>
    </row>
    <row r="7349">
      <c r="A7349" t="inlineStr">
        <is>
          <t>cuynnj</t>
        </is>
      </c>
      <c r="B7349" t="inlineStr">
        <is>
          <t>Do I really need T:slim X2 training if I had a minimed pump before?</t>
        </is>
      </c>
      <c r="C7349" t="inlineStr">
        <is>
          <t>I just switched to the t:slim X2 insulin pump and when I opened it it said I should do training before I deliver insulin. I was wondering if I actually needed to set an appointment or if reading the manual and looking at the videos online would work. I have been on a medtronic minimed pump for well over 10 years now, so I know basics of what pumps should do and I know how to look at what basal and bolus values I should enter in my old pump. 
Also, does anyone know if they keep track of who has done training or not? Because I don't want to not set up an appointment if it means I can't order more supplies later or if the insurance will find out and decide to not cover something. 
&amp;amp;#x200B;
TL;DR: Do I need to set up training for a tandem pump if I'm already experienced with a medtronic pump or will online research fill in any gaps I need and will not taking training harm me in any way?</t>
        </is>
      </c>
      <c r="D7349" t="n">
        <v>5</v>
      </c>
      <c r="E7349" t="n">
        <v>7</v>
      </c>
      <c r="F7349">
        <f>HYPERLINK("https://www.reddit.com/r/diabetes/comments/cuynnj/do_i_really_need_tslim_x2_training_if_i_had_a/")</f>
        <v/>
      </c>
      <c r="G7349" t="inlineStr">
        <is>
          <t>2019-08-24 13:29:51</t>
        </is>
      </c>
      <c r="H7349" t="inlineStr">
        <is>
          <t>Type 1</t>
        </is>
      </c>
    </row>
    <row r="7350">
      <c r="A7350" t="inlineStr">
        <is>
          <t>cv0vp0</t>
        </is>
      </c>
      <c r="B7350" t="inlineStr">
        <is>
          <t>Anyone use rechargeable batteries with the 670?</t>
        </is>
      </c>
      <c r="C7350" t="inlineStr">
        <is>
          <t>I'm noticing that the Medtronic 670 goes through batteries much faster than my 723 Revel.  I was curious if anyone uses rechargeable batteries with this pump and if so,  what kind?   It seems it may save money over the long term but I don't want any decrease in performance.  
Thanks in advance.</t>
        </is>
      </c>
      <c r="D7350" t="n">
        <v>1</v>
      </c>
      <c r="E7350" t="n">
        <v>2</v>
      </c>
      <c r="F7350">
        <f>HYPERLINK("https://www.reddit.com/r/diabetes/comments/cv0vp0/anyone_use_rechargeable_batteries_with_the_670/")</f>
        <v/>
      </c>
      <c r="G7350" t="inlineStr">
        <is>
          <t>2019-08-24 16:38:10</t>
        </is>
      </c>
      <c r="H7350" t="inlineStr">
        <is>
          <t>Type 1</t>
        </is>
      </c>
    </row>
    <row r="7351">
      <c r="A7351" t="inlineStr">
        <is>
          <t>cv4bb6</t>
        </is>
      </c>
      <c r="B7351" t="inlineStr">
        <is>
          <t>Overly sensitized to odors after diagnosis</t>
        </is>
      </c>
      <c r="C7351" t="inlineStr">
        <is>
          <t>41 / male / white / USA / 5’11 / 280
I was diagnosed with diabetes T2 mellitus / hyperosmolar 60 days ago. Prior to the diagnosis, I was going blind, drinking tons of water, abdominal pain, urinating about 30x a day (mostly at night), uncontrollable hunger for proteins and sugar, bad breath, increased dental issues, etc etc
These symptoms have mostly now all passed since getting my BGL to a manageable level, but at one point I was at 800BGL with like a 15.0% A1C. Everything was off the charts.
I have chronic anemia as well but this has been present for many years. I’ve heard it could be bone marrow related.
C peptide was high, like 9 something.
Anyway, since being on 65units Lantus once a day and 20u of Novolog at least 3x a day before meals, I have developed a severe sensitized disorder to urine, fecal matter, vomit, blood, and bathrooms. I literally have uncontrollable vomiting. Once
these odors hit me, I have no one to react and out it comes.
My doctor has me on ondasetron, 4mg 2x a day. This helps but isn’t full proof.
Any ideas as to what is going on here and why I’ve become so sensitized to particular odors? It was never a problem before.</t>
        </is>
      </c>
      <c r="D7351" t="n">
        <v>2</v>
      </c>
      <c r="E7351" t="n">
        <v>1</v>
      </c>
      <c r="F7351">
        <f>HYPERLINK("https://www.reddit.com/r/diabetes/comments/cv4bb6/overly_sensitized_to_odors_after_diagnosis/")</f>
        <v/>
      </c>
      <c r="G7351" t="inlineStr">
        <is>
          <t>2019-08-24 21:50:43</t>
        </is>
      </c>
      <c r="H7351" t="inlineStr">
        <is>
          <t>Type 2</t>
        </is>
      </c>
    </row>
    <row r="7352">
      <c r="A7352" t="inlineStr">
        <is>
          <t>cv51xj</t>
        </is>
      </c>
      <c r="B7352" t="inlineStr">
        <is>
          <t>Ran out of syringes</t>
        </is>
      </c>
      <c r="C7352" t="inlineStr">
        <is>
          <t>My husband ran out of syringes and it’s 2am on a Sunday. His insurance company is giving us major issues covering insulin and even bigger ones covering syringes. 
He is out of long acting (pen) and only has short acting’s (vial) until September 7th. No coverage on needles though. 
What should we do? Is there any other way for him to take his insulin? He had 2 left until the ones we ordered would be delivered and BOTH broke today. His sugar is high and he has high spikes at night. No idea what to do. We don’t have a car or any family.</t>
        </is>
      </c>
      <c r="D7352" t="n">
        <v>3</v>
      </c>
      <c r="E7352" t="n">
        <v>14</v>
      </c>
      <c r="F7352">
        <f>HYPERLINK("https://www.reddit.com/r/diabetes/comments/cv51xj/ran_out_of_syringes/")</f>
        <v/>
      </c>
      <c r="G7352" t="inlineStr">
        <is>
          <t>2019-08-24 23:18:06</t>
        </is>
      </c>
      <c r="H7352" t="inlineStr">
        <is>
          <t>Type 1</t>
        </is>
      </c>
    </row>
    <row r="7353">
      <c r="A7353" t="inlineStr">
        <is>
          <t>cv8ftf</t>
        </is>
      </c>
      <c r="B7353" t="inlineStr">
        <is>
          <t>Low blood sugar and sleeping?</t>
        </is>
      </c>
      <c r="C7353" t="inlineStr">
        <is>
          <t>Hey all. 
I know this isn’t a medical advice sub or anything but I wanted to know if anyone has similar experience or info. 
I had my lowest BG yesterday and it scared me a little and now I’m afraid that my BG will drop while I sleep, and if it does would it wake me up? Anyone else low before sleeping before? I’ve been eating enough and ate a good mix of sugar/fat/protein before bed to keep my sugar stable and I’ve never had low sugars in the morning, maybe because I never go to sleep low, but still I worry. 
I’ve know people to just go low without complaining of anything and getting into bad territory. So I wonder if that could happen to me. I always get s/s if I go too low. But what if I’m sleeping? I don’t know. 
Anyway, thanks for reading.</t>
        </is>
      </c>
      <c r="D7353" t="n">
        <v>2</v>
      </c>
      <c r="E7353" t="n">
        <v>8</v>
      </c>
      <c r="F7353">
        <f>HYPERLINK("https://www.reddit.com/r/diabetes/comments/cv8ftf/low_blood_sugar_and_sleeping/")</f>
        <v/>
      </c>
      <c r="G7353" t="inlineStr">
        <is>
          <t>2019-08-25 06:23:05</t>
        </is>
      </c>
      <c r="H7353" t="inlineStr">
        <is>
          <t>Type 2</t>
        </is>
      </c>
    </row>
    <row r="7354">
      <c r="A7354" t="inlineStr">
        <is>
          <t>cvb6r3</t>
        </is>
      </c>
      <c r="B7354" t="inlineStr">
        <is>
          <t>tech challenged Please explain Dexcom G6- Fitbit - I phone</t>
        </is>
      </c>
      <c r="C7354" t="inlineStr">
        <is>
          <t xml:space="preserve">   Hi,
 Im heartbroken My pebble has finally died.  I have a iphone and I need the vibrating alerts - I bought an apple watch 3  and it cant wake me at night- Im returning it today.  Im told the  fitbit Versa can wake me, can I use Dexcom follow with that? I don't know about the other apps. Whats the easiest? Im trying to follow my toddler. Thank you</t>
        </is>
      </c>
      <c r="D7354" t="n">
        <v>1</v>
      </c>
      <c r="E7354" t="n">
        <v>1</v>
      </c>
      <c r="F7354">
        <f>HYPERLINK("https://www.reddit.com/r/diabetes/comments/cvb6r3/tech_challenged_please_explain_dexcom_g6_fitbit_i/")</f>
        <v/>
      </c>
      <c r="G7354" t="inlineStr">
        <is>
          <t>2019-08-25 10:12:31</t>
        </is>
      </c>
      <c r="H7354" t="inlineStr">
        <is>
          <t>Type 1</t>
        </is>
      </c>
    </row>
    <row r="7355">
      <c r="A7355" t="inlineStr">
        <is>
          <t>cvd1cv</t>
        </is>
      </c>
      <c r="B7355" t="inlineStr">
        <is>
          <t>Can 10mg of Lisinopril cause an increased sensitivity to smells/odors?</t>
        </is>
      </c>
      <c r="C7355" t="inlineStr">
        <is>
          <t>41 / male / USA / 5'11 / 280 / Diabetes Type II mellitus hyperosmolar
Diagnosed: 60 days ago
Symptoms were present several months before, including cravings for sugar, proteins (lots of meat), very frequent urination and unquenchable thirst, blurry vision (I thought I was going blind, I almost got lasik), dental disorders, bad breath, and a constant smell of soured milk.
After diagnosis and insulin (65units lantus 1x, 20units Novolog 3x a day) and being put on Lisinopril 10mg, pretty much all the symptoms weight away, and my BGL dropped from 800 to the 100's and sometimes under. 
I understand lisinopril can cause smell disorders, but this side effect is generally a diminished sense of smell (hyposmia) . Foul smells, like dried urine, feces, bathrooms, etc cause me to vomit without any ability to react. Out it comes. 
It an increased smell disorder caused by lisinopril, from what I have read, would be extremely rare. So I am mostly ruling that out. But smell disorders come with diabetes, whether from the complications of it or the medications people begin to take. 
I'm trying to determine the cause, and what I can rule out, or if its just going to be something I have to deal with until it subsides or I die.
I've never had any smell disorders before all this happened, and prior to having diabetic symptoms, I was generally in fine health. I jumped up about 100lbs, but its coming down. Now its only 70, and I'm working hard to get back to my normal weight.
&amp;amp;#x200B;
Thank you in advance for any information that can be provided.</t>
        </is>
      </c>
      <c r="D7355" t="n">
        <v>1</v>
      </c>
      <c r="E7355" t="n">
        <v>9</v>
      </c>
      <c r="F7355">
        <f>HYPERLINK("https://www.reddit.com/r/diabetes/comments/cvd1cv/can_10mg_of_lisinopril_cause_an_increased/")</f>
        <v/>
      </c>
      <c r="G7355" t="inlineStr">
        <is>
          <t>2019-08-25 12:31:57</t>
        </is>
      </c>
      <c r="H7355" t="inlineStr">
        <is>
          <t>Type 2</t>
        </is>
      </c>
    </row>
    <row r="7356">
      <c r="A7356" t="inlineStr">
        <is>
          <t>cvfqt3</t>
        </is>
      </c>
      <c r="B7356" t="inlineStr">
        <is>
          <t>T1 coupled with celiac; "long overdue" remission phases?!</t>
        </is>
      </c>
      <c r="C7356" t="inlineStr">
        <is>
          <t>Qucik Backstory: I (M20) was diagnosed with type 1 in February 2018. HbA1c was around 15%, plenty of islet cell antibodies but also lots of transglutaminase antibodies, so I was basically diagnosed with celiac disease too. My doctor didnt tell me back then but about 9 months later on a routine check up. 
After I layed off gluten completly, I started to fall into remission. I already had 2 remission phases before which lasted about 3 weeks each, but this time it was very different. I was in almost complete remission for about 2-3 months earlier this year, sometimes not even in need of a single unit over a span of multiple days. When i accidentally ate gluten i had a bigger reaction than before and a few days later, my stomach started to hurt really badly around my pancreas and subsequently, i fell out of remission. Afterwards, after not eating gluten for a few weeks, i fell back into remission. 
This happened two times already. I'm beyond happy that i do not have to inject every time I eat, but I am still left confused. The months following up to my diagnosis, I ate glutenous foods excessively which apparently can decrease manifestation time.
Now, I have researched quite a bit but I haven't found any cases where people have had anything even remotely close to this. I couldn't even find someone who had 2 remission phases. So i am asking you guys for any input. Have you had any similar experiences or have you never heared of anything like this?
If you have any questions feel free to ask.</t>
        </is>
      </c>
      <c r="D7356" t="n">
        <v>3</v>
      </c>
      <c r="E7356" t="n">
        <v>16</v>
      </c>
      <c r="F7356">
        <f>HYPERLINK("https://www.reddit.com/r/diabetes/comments/cvfqt3/t1_coupled_with_celiac_long_overdue_remission/")</f>
        <v/>
      </c>
      <c r="G7356" t="inlineStr">
        <is>
          <t>2019-08-25 16:07:52</t>
        </is>
      </c>
      <c r="H7356" t="inlineStr">
        <is>
          <t>Type 1</t>
        </is>
      </c>
    </row>
    <row r="7357">
      <c r="A7357" t="inlineStr">
        <is>
          <t>cvganj</t>
        </is>
      </c>
      <c r="B7357" t="inlineStr">
        <is>
          <t>Near collapse yesterday due to low; still feeling super tired</t>
        </is>
      </c>
      <c r="C7357" t="inlineStr">
        <is>
          <t>Yesterday I freaked myself out. I did a nice long workout and pushed hard at the end. As I was doing my cool down I think my sugars took a nose dive (No CGM and MDI). First it was "I have to stop NOW", then I didn't have the energy to stand, and the world was getting grey. Called my husband and I think my voice was faint as he was in the same room and he could hear me call out. Didn't even get the shakes. Went straight from not feeling well, to oh fuck, I think I'm going to pass out. My husband also had to shout at me, because his voice seemed so far away in the grey. So I took a soda and some glucose tabs. Scariest experience yet. 
So I have a question for those of you that go through lows, do you feel like crap the next day? Also are your sugars more 'fragile the next day?(spikes in both directions) I ask because I'm feeling like that after a low type of exhaustion is still around. Before it only lasted maybe a few hours, but today, not so much. Oh, worked out again today, and made sure I had enough sugars and was perfect right after. However, my sugars tanked again but this time I had the shakes and no greying thank goodness. This was right before meal.
Anyhoo, I'm still learning with this disease (little over a year now since dx). Any help is greatly appreciated and thank you for letting me vent a bit too.</t>
        </is>
      </c>
      <c r="D7357" t="n">
        <v>3</v>
      </c>
      <c r="E7357" t="n">
        <v>11</v>
      </c>
      <c r="F7357">
        <f>HYPERLINK("https://www.reddit.com/r/diabetes/comments/cvganj/near_collapse_yesterday_due_to_low_still_feeling/")</f>
        <v/>
      </c>
      <c r="G7357" t="inlineStr">
        <is>
          <t>2019-08-25 16:54:56</t>
        </is>
      </c>
      <c r="H7357" t="inlineStr">
        <is>
          <t>Type 1.5/LADA</t>
        </is>
      </c>
    </row>
    <row r="7358">
      <c r="A7358" t="inlineStr">
        <is>
          <t>cvh6y5</t>
        </is>
      </c>
      <c r="B7358" t="inlineStr">
        <is>
          <t>NEED HELP Dexcom G6 not connecting</t>
        </is>
      </c>
      <c r="C7358" t="inlineStr">
        <is>
          <t>Hi all so I’m trying to connect my Dexcom G6 transmitter to my iPhone 6s +.  So I type the code for the transmitter and it just takes me back to the main screen! And tells me to connect new transmitter. I fear it might be out of battery but how do I check or is this the app telling me it’s done for?</t>
        </is>
      </c>
      <c r="D7358" t="n">
        <v>1</v>
      </c>
      <c r="E7358" t="n">
        <v>2</v>
      </c>
      <c r="F7358">
        <f>HYPERLINK("https://www.reddit.com/r/diabetes/comments/cvh6y5/need_help_dexcom_g6_not_connecting/")</f>
        <v/>
      </c>
      <c r="G7358" t="inlineStr">
        <is>
          <t>2019-08-25 18:13:33</t>
        </is>
      </c>
      <c r="H7358" t="inlineStr">
        <is>
          <t>Type 1</t>
        </is>
      </c>
    </row>
    <row r="7359">
      <c r="A7359" t="inlineStr">
        <is>
          <t>cvhre0</t>
        </is>
      </c>
      <c r="B7359" t="inlineStr">
        <is>
          <t>My bg won’t go down</t>
        </is>
      </c>
      <c r="C7359" t="inlineStr">
        <is>
          <t>I went out for a friend’s birthday and I definitely ate more carbs than I usually do (including a piece of cake and white rice) but usually when I cover, everything is fine. But this isn’t unusual because when I do overload on carbs, like I did a day or so ago when I went out to a food festival, my blood glucose was in range and my body responded well to my insulin just fine. 
I’ve given myself multiple injections today and almost doubled up and my blood glucose won’t drop below 200. 
I’m getting so frustrated and I have NO idea why. I’ve even taken my long acting and metformin. 
Any ideas? Or advice?</t>
        </is>
      </c>
      <c r="D7359" t="n">
        <v>3</v>
      </c>
      <c r="E7359" t="n">
        <v>15</v>
      </c>
      <c r="F7359">
        <f>HYPERLINK("https://www.reddit.com/r/diabetes/comments/cvhre0/my_bg_wont_go_down/")</f>
        <v/>
      </c>
      <c r="G7359" t="inlineStr">
        <is>
          <t>2019-08-25 19:04:16</t>
        </is>
      </c>
      <c r="H7359" t="inlineStr">
        <is>
          <t>Type 2</t>
        </is>
      </c>
    </row>
    <row r="7360">
      <c r="A7360" t="inlineStr">
        <is>
          <t>cvi9h2</t>
        </is>
      </c>
      <c r="B7360" t="inlineStr">
        <is>
          <t>Board Certified Internist Here to Help!</t>
        </is>
      </c>
      <c r="C7360" t="inlineStr">
        <is>
          <t>Hi guys, I stumbled across reddit for the first time. I've been making health advice videos please let me know what you think.  Below is a sample. I can for sure answer questions on this forum with text and also answer with videos. Thanks Guys! 
[https://www.youtube.com/watch?v=xSbDhdthWbI&amp;amp;t=5s](https://www.youtube.com/watch?v=xSbDhdthWbI&amp;amp;t=5s)
[https://www.youtube.com/watch?v=LIPg1T3dO58&amp;amp;t=9s](https://www.youtube.com/watch?v=LIPg1T3dO58&amp;amp;t=9s)</t>
        </is>
      </c>
      <c r="D7360" t="n">
        <v>0</v>
      </c>
      <c r="E7360" t="n">
        <v>0</v>
      </c>
      <c r="F7360">
        <f>HYPERLINK("https://www.reddit.com/r/diabetes/comments/cvi9h2/board_certified_internist_here_to_help/")</f>
        <v/>
      </c>
      <c r="G7360" t="inlineStr">
        <is>
          <t>2019-08-25 19:50:34</t>
        </is>
      </c>
      <c r="H7360" t="inlineStr">
        <is>
          <t>Type 1</t>
        </is>
      </c>
    </row>
    <row r="7361">
      <c r="A7361" t="inlineStr">
        <is>
          <t>cvq9c8</t>
        </is>
      </c>
      <c r="B7361" t="inlineStr">
        <is>
          <t>Thoughts on Rotisserie Chicken or any diabetic friendly restaurants?</t>
        </is>
      </c>
      <c r="C7361" t="inlineStr">
        <is>
          <t>Been looking for a more convenient  way to have my meals. At first I was cooking because I quickly figured out that I would not have the time to continue to cook my meals everyday. I have 2 jobs and I'm basically never home the whole week unless I'm sleeping. I only have 1 full day off and that's spent running important errands, doctor's appointments, dentist appoints, and whatever else I need to handle.
&amp;amp;#x200B;
So my question is do you guys have any ideas on  how I can create my meals a bit easier rather than cooking them? I was thinking of getting rotisserie chickens every 2 days and eating those for lunch/dinner with salad or broccoli. The problem with those is that i read that they have high sodium value. But of course I will be taking off the skin. Do you guys any diabetes restaurant friendly places that maybe I can buy chicken breast or anything in bulk? I also eat nuts, avocados, eggs, and other easy things from home so I won't only be eating out for all my meals.</t>
        </is>
      </c>
      <c r="D7361" t="n">
        <v>4</v>
      </c>
      <c r="E7361" t="n">
        <v>12</v>
      </c>
      <c r="F7361">
        <f>HYPERLINK("https://www.reddit.com/r/diabetes/comments/cvq9c8/thoughts_on_rotisserie_chicken_or_any_diabetic/")</f>
        <v/>
      </c>
      <c r="G7361" t="inlineStr">
        <is>
          <t>2019-08-26 09:20:16</t>
        </is>
      </c>
      <c r="H7361" t="inlineStr">
        <is>
          <t>Type 2</t>
        </is>
      </c>
    </row>
    <row r="7362">
      <c r="A7362" t="inlineStr">
        <is>
          <t>cvrrxm</t>
        </is>
      </c>
      <c r="B7362" t="inlineStr">
        <is>
          <t>FreeStyle Libre Suddenly Inaccurate</t>
        </is>
      </c>
      <c r="C7362" t="inlineStr">
        <is>
          <t>Hey folks,
I've been using the Libre for the better part of a year and a half now, and I haven't had any issues. I have incredibly thin arms, so I've been using the sensors on my upper butt area for nearly the entire time I've used the system. I know there can tend to be a difference in finger sticks and intersitial (especially due to my location), but up until about a two months ago, my Libre has been accurate within 10% of my finger.
Now, for nearly two months, I've not had a single sensor be anywhere near accurate, and it's been showing roughly 30-50 points lower than my fingers, leading to tons of highs that I've had to catch based on feeling like garbage rather than my meter helping me. 
Has anyone had any experience with their CGMs not performing properly? Is there anything I can do? I plan on trying to move my next sensor to my upper arm (even though it's probably going to hurt quite a bit) to see if it helps with the accuracy. Any insights would be insanely helpful.</t>
        </is>
      </c>
      <c r="D7362" t="n">
        <v>1</v>
      </c>
      <c r="E7362" t="n">
        <v>8</v>
      </c>
      <c r="F7362">
        <f>HYPERLINK("https://www.reddit.com/r/diabetes/comments/cvrrxm/freestyle_libre_suddenly_inaccurate/")</f>
        <v/>
      </c>
      <c r="G7362" t="inlineStr">
        <is>
          <t>2019-08-26 11:11:54</t>
        </is>
      </c>
      <c r="H7362" t="inlineStr">
        <is>
          <t>Type 1</t>
        </is>
      </c>
    </row>
    <row r="7363">
      <c r="A7363" t="inlineStr">
        <is>
          <t>cvsqkk</t>
        </is>
      </c>
      <c r="B7363" t="inlineStr">
        <is>
          <t>Lower Your Blood Sugar With These 5 herbs</t>
        </is>
      </c>
      <c r="C7363" t="inlineStr">
        <is>
          <t>5 herbs that can lower your blood sugar starting today. Thank You.</t>
        </is>
      </c>
      <c r="D7363" t="n">
        <v>0</v>
      </c>
      <c r="E7363" t="n">
        <v>4</v>
      </c>
      <c r="F7363">
        <f>HYPERLINK("https://www.reddit.com/r/diabetes/comments/cvsqkk/lower_your_blood_sugar_with_these_5_herbs/")</f>
        <v/>
      </c>
      <c r="G7363" t="inlineStr">
        <is>
          <t>2019-08-26 12:23:33</t>
        </is>
      </c>
      <c r="H7363" t="inlineStr">
        <is>
          <t>Type 2</t>
        </is>
      </c>
    </row>
    <row r="7364">
      <c r="A7364" t="inlineStr">
        <is>
          <t>cvt2zj</t>
        </is>
      </c>
      <c r="B7364" t="inlineStr">
        <is>
          <t>I wanna gain some muscles as a type 1</t>
        </is>
      </c>
      <c r="C7364" t="inlineStr">
        <is>
          <t>I've been wanting to start going to the gym and maybe swimming and I need some help with a diet that'll help gain muscles and some general tips to working out as a diabetic</t>
        </is>
      </c>
      <c r="D7364" t="n">
        <v>3</v>
      </c>
      <c r="E7364" t="n">
        <v>11</v>
      </c>
      <c r="F7364">
        <f>HYPERLINK("https://www.reddit.com/r/diabetes/comments/cvt2zj/i_wanna_gain_some_muscles_as_a_type_1/")</f>
        <v/>
      </c>
      <c r="G7364" t="inlineStr">
        <is>
          <t>2019-08-26 12:48:50</t>
        </is>
      </c>
      <c r="H7364" t="inlineStr">
        <is>
          <t>Type 1</t>
        </is>
      </c>
    </row>
    <row r="7365">
      <c r="A7365" t="inlineStr">
        <is>
          <t>cvvikl</t>
        </is>
      </c>
      <c r="B7365" t="inlineStr">
        <is>
          <t>Does anyone struggle with intestinal issues? Excessive gas, intermittent diarrhea? Could this be gastrointestinal disease?</t>
        </is>
      </c>
      <c r="C7365" t="inlineStr">
        <is>
          <t>I’m a diabetic, type 1, been diabetic for about 2 years.
Recently (starting a few months ago), I noticed I was experiencing an increase in gas, not only that but my farts (sorry) were smelling a lot worse than before. 
This may be tmi and may sound weird as hell, but the best way to describe my farts these days is by saying they smell like pretzels and eggs. Sorry if that sounds disgusting but for the sake of keeping this as 100 as I possibly can, I figured it was best to be as specific and descriptive as possible lol.
At first I noticed I was farting more throughout the day, and the smell, but these days I’m noticing the farts are a lot longer than usual. No joke, sometimes when i pass gas the farts last anywhere between 2-5/6 seconds. This isn’t normal for me.
My diet hasn’t changed, except I’m trying to consume less sugar. 
I did notice that whenever I consume anything acidic it makes me pass gas. I used to drink a lemon/ginger tea every night but these days I noticed the drink makes me extra gassy. (I use the juice of 1 lemon). 
I also sometimes experience sharp pains in my stomach, but this is only sometimes.
Lastly, I’ve noticed my bowel movements are pretty inconsistent. I don’t have one everyday, some days I experience diarrhea (occasionally), some days my stool is very thin..
I’m asking this here because I did some research and saw it’s common for diabetics to experience “gastrointestinal” issues as they get older. Not sure if that’s why I’m experiencing this.
I have a planned doctor’s visit for October so I’ll definitely be mentioning everything I’ve mentioned here. Just wanted to see if anyone had any insight or may be experiencing the same thing. 
I’m NOT looking for a diagnosis.</t>
        </is>
      </c>
      <c r="D7365" t="n">
        <v>5</v>
      </c>
      <c r="E7365" t="n">
        <v>18</v>
      </c>
      <c r="F7365">
        <f>HYPERLINK("https://www.reddit.com/r/diabetes/comments/cvvikl/does_anyone_struggle_with_intestinal_issues/")</f>
        <v/>
      </c>
      <c r="G7365" t="inlineStr">
        <is>
          <t>2019-08-26 15:51:47</t>
        </is>
      </c>
      <c r="H7365" t="inlineStr">
        <is>
          <t>Type 1</t>
        </is>
      </c>
    </row>
    <row r="7366">
      <c r="A7366" t="inlineStr">
        <is>
          <t>cwedf3</t>
        </is>
      </c>
      <c r="B7366" t="inlineStr">
        <is>
          <t>Omnipod &amp;amp; Contact sports (Hockey/Football)</t>
        </is>
      </c>
      <c r="C7366" t="inlineStr">
        <is>
          <t>Question - Anyone have any advice on pod placement and damage to a pod with contact sports?  I play hockey and football and new to using the pods and worried about it getting ripped off or damaging the pod during a game.  Tube pumps you can disconnect and cover the infusion set.  If it comes off you can replace the infusion site, anyone have experience with sports and pods.  Most things i have found on Reddit or the google Podders are always saying they run and love the pods, but i see very little in the way of physical contact sports.
Thanks</t>
        </is>
      </c>
      <c r="D7366" t="n">
        <v>2</v>
      </c>
      <c r="E7366" t="n">
        <v>1</v>
      </c>
      <c r="F7366">
        <f>HYPERLINK("https://www.reddit.com/r/diabetes/comments/cwedf3/omnipod_contact_sports_hockeyfootball/")</f>
        <v/>
      </c>
      <c r="G7366" t="inlineStr">
        <is>
          <t>2019-08-27 19:08:19</t>
        </is>
      </c>
      <c r="H7366" t="inlineStr">
        <is>
          <t>Type 1</t>
        </is>
      </c>
    </row>
    <row r="7367">
      <c r="A7367" t="inlineStr">
        <is>
          <t>cwi0tv</t>
        </is>
      </c>
      <c r="B7367" t="inlineStr">
        <is>
          <t>That's it, I'm never eating a "normal" meal ever again.</t>
        </is>
      </c>
      <c r="C7367" t="inlineStr">
        <is>
          <t>I've always felt best on extended 1-3 day fasts \*OR\* eating the exact same thing day for breakfast/dinner day in and day out. Both physically and \*especially\* mentally. No brain fog while fasting.  
Yesterday I made pancake in the oven. I must have injected over 60 units over the past 24 hrs. Even if the glucose levels seemed stable after a few hours, a few hours after that I had to inject more. And a few hours after that it seemed to had leveled out. But a few hours after that it was back up again. It had spiked yet again the morning after — I had not eaten in like 16 hrs at this point and it STILL was fucking with me. Now, obviously, if a certain dose wasn't enough, it wasn't enough. It's not like "I don't feel I should need this amount, therefore it's a mystery as to why this is" -No, I know it's not like that. But insulin promotes brain fog like nothing else. It wrecks my life. I may sleep for 8 hrs, wake up like I had been awake for days and just feel asleep again.  
 In contrast I use about 20-25 for the day with my "normal" meals, which is Greek yogurt with protein powder twice a day along with a vitamin tab and some vitamin d. Now I walk 8-10 miles a day + lift weights several times a week. If I could make my insulin sensitivity any better I don't know how. According to 23AndMe I'm predisposed with shitty metabolism with both carbs AND fat, hence the high protein diet. I know they themselves said nothing is 100% accurate, but it sure seems to hit the mark with this. I've been gifted with great genetics health wise apart from that. I'm never sick (apart from getting diabetes). I've had a fever twice in my life and I'm 32. I don't get colds. I have no allergies. I may literally wake up with a soar throat at 6 AM and by 10 it's gone. It's like it doesn't count really.  
.. Just wanted to share :) Also, English is not my native tongue.</t>
        </is>
      </c>
      <c r="D7367" t="n">
        <v>8</v>
      </c>
      <c r="E7367" t="n">
        <v>4</v>
      </c>
      <c r="F7367">
        <f>HYPERLINK("https://www.reddit.com/r/diabetes/comments/cwi0tv/thats_it_im_never_eating_a_normal_meal_ever_again/")</f>
        <v/>
      </c>
      <c r="G7367" t="inlineStr">
        <is>
          <t>2019-08-28 01:44:37</t>
        </is>
      </c>
      <c r="H7367" t="inlineStr">
        <is>
          <t>Type 1</t>
        </is>
      </c>
    </row>
    <row r="7368">
      <c r="A7368" t="inlineStr">
        <is>
          <t>cwke5d</t>
        </is>
      </c>
      <c r="B7368" t="inlineStr">
        <is>
          <t>Probably my best ever 48 hours!</t>
        </is>
      </c>
      <c r="C7368" t="inlineStr">
        <is>
          <t>Freestyle Libre/MiaoMiao/xDrip+/NightScout + fairly good prediction values and basal are finally combining to pay off! I think this is the best 48 hour stretch I've ever had on record :)
I don't really have anyone to share this with in real life who would understand how good it feels, so I thought I'd share it here.
[https://imgur.com/a/84LTvZo](https://imgur.com/a/84LTvZo)</t>
        </is>
      </c>
      <c r="D7368" t="n">
        <v>10</v>
      </c>
      <c r="E7368" t="n">
        <v>0</v>
      </c>
      <c r="F7368">
        <f>HYPERLINK("https://www.reddit.com/r/diabetes/comments/cwke5d/probably_my_best_ever_48_hours/")</f>
        <v/>
      </c>
      <c r="G7368" t="inlineStr">
        <is>
          <t>2019-08-28 05:52:39</t>
        </is>
      </c>
      <c r="H7368" t="inlineStr">
        <is>
          <t>Type 1</t>
        </is>
      </c>
    </row>
    <row r="7369">
      <c r="A7369" t="inlineStr">
        <is>
          <t>cx0e5h</t>
        </is>
      </c>
      <c r="B7369" t="inlineStr">
        <is>
          <t>T1 38 years, still kicking</t>
        </is>
      </c>
      <c r="C7369" t="inlineStr">
        <is>
          <t>Figured I would introduce myself since I just found this sub reddit yesterday. 
I was diagnosed type 1 when I was 12. Being a kid I wasn't very good at being a diabetic, I snuck around eating whatever I wanted, hid candy in my room etc. When I was 15 I went into a diabetic coma with a blood sugar of 1780.  Drs told my family they would be surprised if i lived 24 hours, and if I did I would likely have severe brain damage.  Just over a month later I woke up. I didn't know where I was or who anyone was, when I blacked out I had fallen and hit my head and ended up with a blood clot on the memory portion of my brain. It took about 3-4 days before I started recognizing people, but I never fully recovered my memory of my life prior to the coma.   
Had a lot of ups and downs over the years, I've got all of the perks of being a lifelong diabetic. Diabetic retinopathy, kidney disease, nerve damage, heart problems (heart attack and triple bypass at age 41) and a laundry list of others.   
Getting on a pump after 30 years of multiple daily injections was a game changer for me, getting on a CGM made it even better.   
I'm still not the best at being a diabetic, but I'm still kicking. Having a good support team around is a life saver.</t>
        </is>
      </c>
      <c r="D7369" t="n">
        <v>38</v>
      </c>
      <c r="E7369" t="n">
        <v>14</v>
      </c>
      <c r="F7369">
        <f>HYPERLINK("https://www.reddit.com/r/diabetes/comments/cx0e5h/t1_38_years_still_kicking/")</f>
        <v/>
      </c>
      <c r="G7369" t="inlineStr">
        <is>
          <t>2019-08-29 05:42:47</t>
        </is>
      </c>
      <c r="H7369" t="inlineStr">
        <is>
          <t>Type 1</t>
        </is>
      </c>
    </row>
    <row r="7370">
      <c r="A7370" t="inlineStr">
        <is>
          <t>cx34dx</t>
        </is>
      </c>
      <c r="B7370" t="inlineStr">
        <is>
          <t>Alternatives to prescription drugs to deal with Diabetes type 2?</t>
        </is>
      </c>
      <c r="C7370" t="inlineStr">
        <is>
          <t>At the moment I cannot get any prescriptions and trying to fix that.  I've been over two months without anything to control my Diabetes type 2 and am fearful of what will become of me until I can get my medicine once more.  Are there any foods I can consume to at least get some control of it in the meantime?  Anything you can help will be very appreciated.</t>
        </is>
      </c>
      <c r="D7370" t="n">
        <v>2</v>
      </c>
      <c r="E7370" t="n">
        <v>11</v>
      </c>
      <c r="F7370">
        <f>HYPERLINK("https://www.reddit.com/r/diabetes/comments/cx34dx/alternatives_to_prescription_drugs_to_deal_with/")</f>
        <v/>
      </c>
      <c r="G7370" t="inlineStr">
        <is>
          <t>2019-08-29 09:20:09</t>
        </is>
      </c>
      <c r="H7370" t="inlineStr">
        <is>
          <t>Type 2</t>
        </is>
      </c>
    </row>
    <row r="7371">
      <c r="A7371" t="inlineStr">
        <is>
          <t>cx45hd</t>
        </is>
      </c>
      <c r="B7371" t="inlineStr">
        <is>
          <t>blood sugar levels affect risks in type 1 diabetes</t>
        </is>
      </c>
      <c r="C7371" t="inlineStr">
        <is>
          <t>A major new study on the association between blood glucose levels and  risks of organ impairment in people with type 1 diabetes can make a  vital contribution to diabetes care, in the researchers’ view.
The Swedish study now published in  
 *BMJ (British Medical Journal)*  
covers more than 10,000 adults and children with type 1 diabetes. Using  the Swedish Diabetes Register, the researchers have been able to monitor  the study participants for 8-20 years.
The researchers analyzed existing risks at various long-term blood  glucose (sugar) levels, averaged over a two- to three-month period. The  results of the study are particularly interesting given that there is no  international consensus on the optimal blood glucose level to aim for.
For many years, a biomarker known as HbA1c has been used to measure  mean blood glucose levels. In Sweden, the target HbA1c value in people  with type 1 diabetes is 52 mmol/mol or below, and 47 or lower in  children. Elsewhere in the world, the guidelines range from 48 to 58  mmol/mol, and are often higher in children than in adults.
The study makes it clear that a value above 52 mmol/mol is associated  with an elevated risk of mild changes to the eyes and kidneys.  Vision-threatening eye damage occurs mainly at substantially higher  values. Staying at 52 or below thus reduces the risk of organs being  affected, but a value below 48 showed no further risk reduction.
“We were unable to see that fewer instances of organ damage occurred  at these lower levels. As for loss of consciousness and cramp, which are  unusual, low blood glucose caused a 30 percent rise in risk. Patients  with low HbA1c need to make sure they don’t have excessively low glucose  levels, fluctuations or efforts in managing their diabetes,” says  Marcus Lind, professor of diabetology and first author.  
If you still interested in reading. Please continue reading from [https://sciencenewsnet.in/how-blood-sugar-levels-affect-risks-in-type-1-diabetes/](https://sciencenewsnet.in/how-blood-sugar-levels-affect-risks-in-type-1-diabetes/)</t>
        </is>
      </c>
      <c r="D7371" t="n">
        <v>2</v>
      </c>
      <c r="E7371" t="n">
        <v>1</v>
      </c>
      <c r="F7371">
        <f>HYPERLINK("https://www.reddit.com/r/diabetes/comments/cx45hd/blood_sugar_levels_affect_risks_in_type_1_diabetes/")</f>
        <v/>
      </c>
      <c r="G7371" t="inlineStr">
        <is>
          <t>2019-08-29 10:38:13</t>
        </is>
      </c>
      <c r="H7371" t="inlineStr">
        <is>
          <t>Type 1</t>
        </is>
      </c>
    </row>
    <row r="7372">
      <c r="A7372" t="inlineStr">
        <is>
          <t>cx5kap</t>
        </is>
      </c>
      <c r="B7372" t="inlineStr">
        <is>
          <t>Really embarrassing question, anyone ever experience anal warts, std/hiv like symptoms due to poorly managed blood sugars and stress? type 1 diabetic here, don’t read if you’re sensitive to ‘tmi’ lol</t>
        </is>
      </c>
      <c r="C7372" t="inlineStr">
        <is>
          <t>To say I was stressed out all of last year would be an understatement. 
I was going through a really rough time last year. I was unemployed, dealing with mental health issues, I’ve been depressed for quite some time. This resulted in me managing my diabetes poorly. 
I wouldn’t count carbs, just estimate how much insulin to take. This would result in my blood sugar either plummeting for taking too much insulin, or skyrocketing for not taking enough (I’m sure everyone here has experienced this), but I was doing this every day and my blood sugar was going from high to low constantly. I was waking up in the middle of the night because of either low or high blood sugars, this was happening all the time maybe 2-4 times a week. My sleep was all out of whack. 
I began to notice I was experiencing a lot of weird symptoms that seemed like either heart issues or an std or hiv... 
1) Heart palpitations, chest pains that would travel up to my neck and shoulder region.
- I was freaking out about these so I went to the urgent care and they ran a couple of tests (an ekg (or ecg) and did an X-ray of my heart. 
- all tests came back normal and showed no signs of irregularities. The doctor said it could be due to anxiety. 
-I actually realized I was consuming so much coffee and black tea and adding a ton of sugar and consuming this multiple times throughout the day, this partnered with the stress and pressure I was experiencing from my life hardships I think that’s what was causing the heart issues and chest pains. 
- I cut down my coffee/tea consumption from about 2 cups of coffee and 3 cups a tea (my usual per day + a ton of sugar in each cup) down  to just 2 cups of coffee w/ only 1 tsp of sugar) 
- I noticed the chest pains went away. 
2) Now for the hiv/std like symptoms... I was experiencing the following:
Enlarged arm pit lymph nodes, oral thrush, mouth sores on my gums and on my inner cheeks, brain fog, face rashes, irregular bowel movements, diarrhea, jock itch, back rash, trouble sleeping, and ANAL WARTS (small white spots on the rim of my anus (sorry if tmi). 
- this freaked me out because I am sexually active and although I’ve never practiced unprotected anal sex all the symptoms were adding up to either being hiv or an std of some sort. I avoided getting tested for 3 months because I was afraid of what the doc would say, but I finally went and got tested for stds, hiv, and syphilis (doc’s suggestion), three days later the doc said they all came back negative and also said because I haven’t hooked up in 3 months the test results are pretty conclusive. 
So... since then I’ve been much more responsible about my eating habits and diabetes management and noticed I am not really experiencing any of the issues. 
The enlarged lymph nodes are gone, I no longer experience brain fog, chest pains, oral thrush has gone down considerably, anal warts are gone, no more face rash. 
I am still experiencing weird bowel movements, slight oral thrush, and jock itch but I’ve found through research these are actually common among diabetics (is this true)?
Anyway, I’m not looking for a diagnosis, but I was wondering have any of you ever experienced any of these symptoms due to poor bs management? 
I’m more so concerned about the anal warts I had last year. They went away after about 2 weeks and have not come back since then, and the doc said I was all clear on all stds and hiv, but the I never thought diabetics could experience anal warts so I’m not sure how I feel about that whole situation. 
Anyone ever experience this? 
Sorry for the length of this post. Advanced thanks to all who answer!!</t>
        </is>
      </c>
      <c r="D7372" t="n">
        <v>6</v>
      </c>
      <c r="E7372" t="n">
        <v>5</v>
      </c>
      <c r="F7372">
        <f>HYPERLINK("https://www.reddit.com/r/diabetes/comments/cx5kap/really_embarrassing_question_anyone_ever/")</f>
        <v/>
      </c>
      <c r="G7372" t="inlineStr">
        <is>
          <t>2019-08-29 12:25:31</t>
        </is>
      </c>
      <c r="H7372" t="inlineStr">
        <is>
          <t>Type 1</t>
        </is>
      </c>
    </row>
    <row r="7373">
      <c r="A7373" t="inlineStr">
        <is>
          <t>cx7df3</t>
        </is>
      </c>
      <c r="B7373" t="inlineStr">
        <is>
          <t>Sometimes, I’m just so done with this disease</t>
        </is>
      </c>
      <c r="C7373" t="inlineStr">
        <is>
          <t>Usually I have okay control over my sugars (last A1C was 6,2). But the last three days have just been horrible. I can’t seem to get my numbers in range, last night it spiked from 8 to 18. I didn’t eat something, nor was I stressed, I was just laying in my bed, asleep. Libre alerted me that I was out of range, took a small correction injection and went back to sleep (sometimes I get small spikes during the night), woke up because I had to pee badly. 
Today has been no different, if I even think about carbs my BG is rising, eating results in big spikes and now again just laying in bed and boom, another spike up to 15. I just don’t understand why. I suspect it could be my period since the week before that my sugars tend to be a bit higher but never like this. Had shingles the last week but I took my meds and haven’t needed them in the last 5 days. 
I just needed to vent a little bit. I just feel upset :(</t>
        </is>
      </c>
      <c r="D7373" t="n">
        <v>14</v>
      </c>
      <c r="E7373" t="n">
        <v>8</v>
      </c>
      <c r="F7373">
        <f>HYPERLINK("https://www.reddit.com/r/diabetes/comments/cx7df3/sometimes_im_just_so_done_with_this_disease/")</f>
        <v/>
      </c>
      <c r="G7373" t="inlineStr">
        <is>
          <t>2019-08-29 14:39:46</t>
        </is>
      </c>
      <c r="H7373" t="inlineStr">
        <is>
          <t>Type 1</t>
        </is>
      </c>
    </row>
    <row r="7374">
      <c r="A7374" t="inlineStr">
        <is>
          <t>cxdaw0</t>
        </is>
      </c>
      <c r="B7374" t="inlineStr">
        <is>
          <t>Need advice on how to increase my sugar levels during my hypos</t>
        </is>
      </c>
      <c r="C7374" t="inlineStr">
        <is>
          <t>I started working out everyday on my E-Bike, before that I never exercise much do I've been really dedicated to this but there's just one problem. 
Even if I reduce my insulin I still get hypos and it sucks, 6-7 boss sugar levels is my usual area of hypos. I'm eating fasting glucose tablets at the moment but any advice or recommendation would be great.
I'm trying to exercise in the morning before the day properly starts with a little healthy snack.</t>
        </is>
      </c>
      <c r="D7374" t="n">
        <v>2</v>
      </c>
      <c r="E7374" t="n">
        <v>9</v>
      </c>
      <c r="F7374">
        <f>HYPERLINK("https://www.reddit.com/r/diabetes/comments/cxdaw0/need_advice_on_how_to_increase_my_sugar_levels/")</f>
        <v/>
      </c>
      <c r="G7374" t="inlineStr">
        <is>
          <t>2019-08-29 23:51:34</t>
        </is>
      </c>
      <c r="H7374" t="inlineStr">
        <is>
          <t>Type 2</t>
        </is>
      </c>
    </row>
    <row r="7375">
      <c r="A7375" t="inlineStr">
        <is>
          <t>cxepsg</t>
        </is>
      </c>
      <c r="B7375" t="inlineStr">
        <is>
          <t>Counting fats and proteins?</t>
        </is>
      </c>
      <c r="C7375" t="inlineStr">
        <is>
          <t>I'm just wondering, what do people do about fats and proteins?
For years I have been carb counting fairly effectively, but recently I have made big leaps forward with my monitoring (Thank you FSL/MM/Nightscout teams!!!) and I feel like I'm ready to improve my control even more.
Like a lot of you I've realised that cutting down carbs helps me a lot, but I tend to overeat protein as a result. I don't count protein but I just "add on a few units" when I know I've had a lot of protein.
How do other people handle this?</t>
        </is>
      </c>
      <c r="D7375" t="n">
        <v>4</v>
      </c>
      <c r="E7375" t="n">
        <v>15</v>
      </c>
      <c r="F7375">
        <f>HYPERLINK("https://www.reddit.com/r/diabetes/comments/cxepsg/counting_fats_and_proteins/")</f>
        <v/>
      </c>
      <c r="G7375" t="inlineStr">
        <is>
          <t>2019-08-30 02:50:15</t>
        </is>
      </c>
      <c r="H7375" t="inlineStr">
        <is>
          <t>Type 1</t>
        </is>
      </c>
    </row>
    <row r="7376">
      <c r="A7376" t="inlineStr">
        <is>
          <t>cxgerq</t>
        </is>
      </c>
      <c r="B7376" t="inlineStr">
        <is>
          <t>Our whole MDI kit is getting smaller and smaller. Except the pen. What if...</t>
        </is>
      </c>
      <c r="C7376" t="inlineStr">
        <is>
          <t>I've been thinking recently.
Thanks to CGM/flashGM, and mobile phone connectivity, for many of us it's no longer necessary to carry any additional kit to check our blood sugar - just the phone that we're always carrying anyway.
Basal is also usually a 1 or 2 times a day thing so there's no need to carry it around with you.
So, it's just bolus pens that actually need to be carried around.
Unfortunately, because of the piston/rubber plug/cartridge design of insulin pens, they don't fit in normal-sized pockets so it's still difficult or impossible for a diabetic to go out of the house without having to carry a bag.
There have been so many leaps forward in the management of our condition recently, so it's great to talk about something so trivial!
Wouldn't it be great if someone designed a new kind of insulin pen, or changed the cartridge size/shape so that insulin pens could fit in your pocket? It seems like this must be possible, looking at the shape of insulin pumps...</t>
        </is>
      </c>
      <c r="D7376" t="n">
        <v>2</v>
      </c>
      <c r="E7376" t="n">
        <v>13</v>
      </c>
      <c r="F7376">
        <f>HYPERLINK("https://www.reddit.com/r/diabetes/comments/cxgerq/our_whole_mdi_kit_is_getting_smaller_and_smaller/")</f>
        <v/>
      </c>
      <c r="G7376" t="inlineStr">
        <is>
          <t>2019-08-30 05:44:05</t>
        </is>
      </c>
      <c r="H7376" t="inlineStr">
        <is>
          <t>Type 1</t>
        </is>
      </c>
    </row>
    <row r="7377">
      <c r="A7377" t="inlineStr">
        <is>
          <t>cxhfmb</t>
        </is>
      </c>
      <c r="B7377" t="inlineStr">
        <is>
          <t>Waking up with lows and lost my endo</t>
        </is>
      </c>
      <c r="C7377" t="inlineStr">
        <is>
          <t>Very frustrated, 
My endo moved out of state and I am in the process of getting a new one. I am on a pump and need adjustments, and I am not comfortable with my primary taking care of them. Also found the closest endo is booked until Feb 2020! 
Ugh!</t>
        </is>
      </c>
      <c r="D7377" t="n">
        <v>5</v>
      </c>
      <c r="E7377" t="n">
        <v>16</v>
      </c>
      <c r="F7377">
        <f>HYPERLINK("https://www.reddit.com/r/diabetes/comments/cxhfmb/waking_up_with_lows_and_lost_my_endo/")</f>
        <v/>
      </c>
      <c r="G7377" t="inlineStr">
        <is>
          <t>2019-08-30 07:07:59</t>
        </is>
      </c>
      <c r="H7377" t="inlineStr">
        <is>
          <t>Type 2</t>
        </is>
      </c>
    </row>
    <row r="7378">
      <c r="A7378" t="inlineStr">
        <is>
          <t>cxllfu</t>
        </is>
      </c>
      <c r="B7378" t="inlineStr">
        <is>
          <t>Anyone with the Omnipod Dash? Need help/input.</t>
        </is>
      </c>
      <c r="C7378" t="inlineStr">
        <is>
          <t>I’ve been using the Dash since end of June/beginning of July and I’m not sure how I feel about it. I love the touch screen, food library and colored screen but holy hell does the battery suck. I left work at 230 with 40% life and just got home after stopping to get a drink and the fucking PDM is dead. How in earth did it go through 40%+ of battery and die in less than an hour when a few days ago I was at 70% something? This makes no fucking sense and it’s continuous. I’ll be out and at 50% then go to bolus and the damn thing will be dead. Is it me? Am I doing something fd up? I’m utterly confused.</t>
        </is>
      </c>
      <c r="D7378" t="n">
        <v>2</v>
      </c>
      <c r="E7378" t="n">
        <v>6</v>
      </c>
      <c r="F7378">
        <f>HYPERLINK("https://www.reddit.com/r/diabetes/comments/cxllfu/anyone_with_the_omnipod_dash_need_helpinput/")</f>
        <v/>
      </c>
      <c r="G7378" t="inlineStr">
        <is>
          <t>2019-08-30 12:23:11</t>
        </is>
      </c>
      <c r="H7378" t="inlineStr">
        <is>
          <t>Type 1</t>
        </is>
      </c>
    </row>
    <row r="7379">
      <c r="A7379" t="inlineStr">
        <is>
          <t>cxnlv9</t>
        </is>
      </c>
      <c r="B7379" t="inlineStr">
        <is>
          <t>How can I keep my blood sugar in a good range when I have to eat carbs?</t>
        </is>
      </c>
      <c r="C7379" t="inlineStr">
        <is>
          <t>What is a way I can keep my sugar in check if I have to mainly eat carbs? I am type 2 and on metformin. Since diagnosis, I have been eating a low carb diet. I'm just curious if anyone has had expirience with this.</t>
        </is>
      </c>
      <c r="D7379" t="n">
        <v>1</v>
      </c>
      <c r="E7379" t="n">
        <v>2</v>
      </c>
      <c r="F7379">
        <f>HYPERLINK("https://www.reddit.com/r/diabetes/comments/cxnlv9/how_can_i_keep_my_blood_sugar_in_a_good_range/")</f>
        <v/>
      </c>
      <c r="G7379" t="inlineStr">
        <is>
          <t>2019-08-30 15:02:03</t>
        </is>
      </c>
      <c r="H7379" t="inlineStr">
        <is>
          <t>Type 2</t>
        </is>
      </c>
    </row>
    <row r="7380">
      <c r="A7380" t="inlineStr">
        <is>
          <t>cxo1ph</t>
        </is>
      </c>
      <c r="B7380" t="inlineStr">
        <is>
          <t>Diabetes...why do you do this to me?</t>
        </is>
      </c>
      <c r="C7380" t="inlineStr">
        <is>
          <t>Okay this happened a few weeks ago but like fuck diabetes. I can control it pretty well. It does go low a lot but nothing food can’t fix...
What happened tho was I had a convention and I went the weekend (also keep in mind that I am disabled and was tabling at the con for cosplay and disability) 
Saturday was a fucking mess. I was late to the con and in a rush I forgot to do my morning insulin. (Technically it was my mam who forgot as I can’t do it myself) didn’t find out until I went to have a break from the table at like 1pm and I was up since 9am. Had a photoshoot to do as well so me feeling like absolute shit had to pose for pictures then go back to my table. Mam went home and got my insulin so I was fine and I just felt bad.
Sunday was weird. I did my insulin, had snacks, ate my lunch YET I KEPT GOING LOW. Cause of that after I took a break from the table to eat lunch I literally did not bother to come back. Got a disappointed mom friend/boss from that as i never explained it was my sugars. 
Basically at conventions I’m either high or low and it’s SUCH a busy weekend and I am physically disabled so eating takes hours I literally run on snacks.
This is just a rant on conventions and diabetes 
Literally have no clue why I did this</t>
        </is>
      </c>
      <c r="D7380" t="n">
        <v>5</v>
      </c>
      <c r="E7380" t="n">
        <v>3</v>
      </c>
      <c r="F7380">
        <f>HYPERLINK("https://www.reddit.com/r/diabetes/comments/cxo1ph/diabeteswhy_do_you_do_this_to_me/")</f>
        <v/>
      </c>
      <c r="G7380" t="inlineStr">
        <is>
          <t>2019-08-30 15:37:31</t>
        </is>
      </c>
      <c r="H7380" t="inlineStr">
        <is>
          <t>Type 1</t>
        </is>
      </c>
    </row>
    <row r="7381">
      <c r="A7381" t="inlineStr">
        <is>
          <t>cxodf4</t>
        </is>
      </c>
      <c r="B7381" t="inlineStr">
        <is>
          <t>Dexcom G5 vs Enlite</t>
        </is>
      </c>
      <c r="C7381" t="inlineStr">
        <is>
          <t>Hey guys so I've had my medtronic pump (cool) and a medtronic cgm (not cool) for like a month now. The pump itself has been working out great for me and I have no issues with it whatsoever. The enlite medtronic cgm thingy, unfortunately, however, doesn't work as good as the pump. I do calibrate it like I was told to by the doctors - in the morning and 3 hours after a meal, when the blood sugar is stable, 2-3 times a day - but the accuracy is honestly terrible, that is unless my blood sugar is good but what's the point of a CGM if my blood sugar is good lmao Anyway, I don't live in the US and I was happy to find out that my country's national mandatory insurance (or whatever it's called lol) covers 70% of the price for not only the enlite cgm but also the Dexcom one. I was really pissed off about how my enlite cgm is kinda useless and I found a review of dexcom which people describe as amazingly accurate and a very good one (also what I find better about dexcom is that you can get your readings transmitted to a phone app meanwhile in enlite you would have to pay twice the price for a transmitter that sends your readings to an app instead of a pump) Also a quick google search reveals that people who used both say that dexcom is way better. I have an appointment soon with my endo and I'm going to ask her if I could switch to dexcom instead and hopefully she won't make any problems (such as the enlite being integrated with medtronic's pump which really sounds better in theory but if enlite isn't accurate at all it doesn't make any difference). Anyway I wanted to ask you - those who use dexcom, and enlite and those who had the "pleasure" to use both: Which one is better for you and why? Thanks in advance :)</t>
        </is>
      </c>
      <c r="D7381" t="n">
        <v>2</v>
      </c>
      <c r="E7381" t="n">
        <v>8</v>
      </c>
      <c r="F7381">
        <f>HYPERLINK("https://www.reddit.com/r/diabetes/comments/cxodf4/dexcom_g5_vs_enlite/")</f>
        <v/>
      </c>
      <c r="G7381" t="inlineStr">
        <is>
          <t>2019-08-30 16:04:21</t>
        </is>
      </c>
      <c r="H7381" t="inlineStr">
        <is>
          <t>Type 1</t>
        </is>
      </c>
    </row>
    <row r="7382">
      <c r="A7382" t="inlineStr">
        <is>
          <t>cxqt5k</t>
        </is>
      </c>
      <c r="B7382" t="inlineStr">
        <is>
          <t>Newly diagnosed type 1- 35 yo male</t>
        </is>
      </c>
      <c r="C7382" t="inlineStr">
        <is>
          <t>Hi all.  I have been browsing this sub for the last day or so after being  diagnosed with type 1 at 35 years old. 
I am stuck in hospital waiting for my bsl to stabalise. I have a bit of information but i have seen there is so much to learn. 
What is your best tip? Best peice of equiptment? Best way to have a few too many drinks? Anything really. 
A lot of this sub is still going over my head. 
I should point out i am in Australia and have a half decent job, so money is not a huge problem but i obviously cant friviously spend it. 
Sorry if this question is too vauge or inappropriate. 
Thanks in advance</t>
        </is>
      </c>
      <c r="D7382" t="n">
        <v>23</v>
      </c>
      <c r="E7382" t="n">
        <v>20</v>
      </c>
      <c r="F7382">
        <f>HYPERLINK("https://www.reddit.com/r/diabetes/comments/cxqt5k/newly_diagnosed_type_1_35_yo_male/")</f>
        <v/>
      </c>
      <c r="G7382" t="inlineStr">
        <is>
          <t>2019-08-30 19:54:44</t>
        </is>
      </c>
      <c r="H7382" t="inlineStr">
        <is>
          <t>Type 1</t>
        </is>
      </c>
    </row>
    <row r="7383">
      <c r="A7383" t="inlineStr">
        <is>
          <t>cy2erd</t>
        </is>
      </c>
      <c r="B7383" t="inlineStr">
        <is>
          <t>Burnout and Depression?</t>
        </is>
      </c>
      <c r="C7383" t="inlineStr">
        <is>
          <t>Does anyone else ever start feeling incredibly down and out about having this illness? I have one friend that is also Type 1 diabetic, has amazing control of all his sugars, and an insanely good A1C despite being diagnosed about the same time I was. I was diagnosed about 10 years, and after an episode of DKA in my 4th year of being diabetic, and just generally pretty bad control, I find it hard to want to take care of this some days. Does anyone else ever get so tired of it? I feel like a horrible patient because my A1C fluctuates, leaning towards the high side. I know I can do better than I am right know, I really do. At the same time, I think my mentality gets even worse when I am so strict on myself. It feels like I've somehow got to choose between my mental well-being or my physical health. It feels horrible. I want to be a good patient. I want to get better control of my illness. Even so, I get so overwhelmed by it all. It's monotonous, it never ends. There are so many things that can go wrong with this that it's not even just sadness and a lack of motivation anymore. I'm terrified of the future. I've been living in fear of everything that can go wrong. I used to tell myself that I had nothing to worry about, but I'm already showing slight Diabetic Retinopathy. 
Sorry for rambling and bringing the mood down, but I just need to know if anyone else gets like this.</t>
        </is>
      </c>
      <c r="D7383" t="n">
        <v>23</v>
      </c>
      <c r="E7383" t="n">
        <v>9</v>
      </c>
      <c r="F7383">
        <f>HYPERLINK("https://www.reddit.com/r/diabetes/comments/cy2erd/burnout_and_depression/")</f>
        <v/>
      </c>
      <c r="G7383" t="inlineStr">
        <is>
          <t>2019-08-31 16:08:33</t>
        </is>
      </c>
      <c r="H7383" t="inlineStr">
        <is>
          <t>Type 1</t>
        </is>
      </c>
    </row>
    <row r="7384">
      <c r="A7384" t="inlineStr">
        <is>
          <t>cy4kut</t>
        </is>
      </c>
      <c r="B7384" t="inlineStr">
        <is>
          <t>My son (12 y.o.) was diagnosed with Type 1 last night (venting and need support)</t>
        </is>
      </c>
      <c r="C7384" t="inlineStr">
        <is>
          <t>My 12-year-old son is literally the sweetest boy you've ever met.  We took him to his pediatrician on Friday because he peed 20 times a day for 4 days.  We figured he might have a UTI.  After a pee test, the pediatrician told us he was most likely T1 diabetic and we took him to get admitted in the hospital.  He drank a ton of water to get his ketones normal today.  Tomorrow we'll have the first day of "training" to teach all of us how to do his shots.  Then we must stay in the hospital until Tuesday (due to holiday) to get the 2nd half of training with the dietician.  He's going to miss his 1st day of school on Tuesday and then start a new school year with this battle on the back of his mind.  He's a great student and takes so much pride in his grades and education, and is worried about making a bad impression on his teachers by missing the first day of school.  He's also a triplet, which apparently means his two brothers have a 30% of having T1 too (they'll be getting tested as soon as possible).  My wife is with him in the hospital again tonight, while I spent tonight talking to his 3 brothers (12, 12, 14) about how we all need to have his back and work together as a team.  I broke down and cried in the middle of it... probably the only time they've seen me cry in their life (which I know is OK, but still).  I learned about pumps, but apparently you can't get one until at least a year into this.  I've spent the last day watching video after video on Youtube about this.  I learned that a person with T1 has 11 years less on their life expectancy.  I'm scared to death for my son and want to put this burden on myself... and not on him.  I need to know that this challenge is winnable.  I need to know that it won't be as bad as it appears.  I need to know that when he comes home, it'll be OK.  I need to know that this is doable.</t>
        </is>
      </c>
      <c r="D7384" t="n">
        <v>29</v>
      </c>
      <c r="E7384" t="n">
        <v>49</v>
      </c>
      <c r="F7384">
        <f>HYPERLINK("https://www.reddit.com/r/diabetes/comments/cy4kut/my_son_12_yo_was_diagnosed_with_type_1_last_night/")</f>
        <v/>
      </c>
      <c r="G7384" t="inlineStr">
        <is>
          <t>2019-08-31 19:34:29</t>
        </is>
      </c>
      <c r="H7384" t="inlineStr">
        <is>
          <t>Type 1</t>
        </is>
      </c>
    </row>
    <row r="7385">
      <c r="A7385" t="inlineStr">
        <is>
          <t>cy67h1</t>
        </is>
      </c>
      <c r="B7385" t="inlineStr">
        <is>
          <t>clear urine</t>
        </is>
      </c>
      <c r="C7385" t="inlineStr">
        <is>
          <t>my blood sugar is fine ive been drinking water and peeing clear today whats wrong? im scared please answer me asap</t>
        </is>
      </c>
      <c r="D7385" t="n">
        <v>0</v>
      </c>
      <c r="E7385" t="n">
        <v>4</v>
      </c>
      <c r="F7385">
        <f>HYPERLINK("https://www.reddit.com/r/diabetes/comments/cy67h1/clear_urine/")</f>
        <v/>
      </c>
      <c r="G7385" t="inlineStr">
        <is>
          <t>2019-08-31 22:32:36</t>
        </is>
      </c>
      <c r="H7385" t="inlineStr">
        <is>
          <t>Type 1</t>
        </is>
      </c>
    </row>
    <row r="7386">
      <c r="A7386" t="inlineStr">
        <is>
          <t>cy67l3</t>
        </is>
      </c>
      <c r="B7386" t="inlineStr">
        <is>
          <t>Feeling pretty hopeless.</t>
        </is>
      </c>
      <c r="C7386" t="inlineStr">
        <is>
          <t>I’ve had diabetes since I was 2 (I’m now 28). I’ve luckily not had many complications, up until now. I went through a period of time in my teens, early 20s where I was not taking great care of myself. I’ve been working on improving my control for the past 4 years. I got myself on a pump this year, and I’m really trying to get things under even better control. 
I had laser treatments in 2016 for what I was told looked like the beginning of diabetic retinopathy. I was told the treatments were successful. I saw my eye doctor in June of this year and she told me my eyes looked great. Fast forward to August 1st.... and I woke up and couldn’t see out of my left eye. I went to the ER and ended up being sent to a retina specialist. Turns out my retina detached. I had a vitrectomy 2 days later to reattach my retina. I made it about a week and a half post surgery, and my retina detached again. I had emergency surgery that day. This time my doctor put a scleral buckle on my eye and used silicone oil in my eye (as opposed to nitrogen gas) because he said my retina had blown out. I’m almost 3 weeks post the 2nd surgery. Every thing is looking okay, but because he used the silicone oil, I’m going to have to have another surgery to remove the oil. 
I’ve been out of work for a month and I’ve basically been stuck in my house. I can’t drive because I can see out of the eye now, but my vision is really distorted so I basically have constant double vision. I feel like all of those mistakes in my teens are coming back to haunt me and I’m starting to get really depressed. My doctor is hopeful I’ll get my vision back, but I’m finding it really hard to stay positive. The whole situation took me by such surprise because 2 months early I was told everything was fine. I didn’t realize this could happen so fast.
If you read this far, thanks for letting me vent.
Tl;dr - take care of your eye balls.</t>
        </is>
      </c>
      <c r="D7386" t="n">
        <v>7</v>
      </c>
      <c r="E7386" t="n">
        <v>12</v>
      </c>
      <c r="F7386">
        <f>HYPERLINK("https://www.reddit.com/r/diabetes/comments/cy67l3/feeling_pretty_hopeless/")</f>
        <v/>
      </c>
      <c r="G7386" t="inlineStr">
        <is>
          <t>2019-08-31 22:33:02</t>
        </is>
      </c>
      <c r="H7386" t="inlineStr">
        <is>
          <t>Type 1</t>
        </is>
      </c>
    </row>
    <row r="7387">
      <c r="A7387" t="inlineStr">
        <is>
          <t>cy72wd</t>
        </is>
      </c>
      <c r="B7387" t="inlineStr">
        <is>
          <t>I have no money for insulin</t>
        </is>
      </c>
      <c r="C7387" t="inlineStr">
        <is>
          <t>I don’t usually post a lot, but I do come on here and look at a lot of things people post on here, I relate to everything and I find so many things on here great, some things make me laugh on here and somethings make me realize I have it better then others, but right now I’m not doing so well guys, I finally got my healthcare back and I am 19 the last time I seen a doctor was in 2017 and I was in pediatrics endo they told me they won’t see me until October and that they can’t help me with insulin I’m calling for help</t>
        </is>
      </c>
      <c r="D7387" t="n">
        <v>7</v>
      </c>
      <c r="E7387" t="n">
        <v>17</v>
      </c>
      <c r="F7387">
        <f>HYPERLINK("https://www.reddit.com/r/diabetes/comments/cy72wd/i_have_no_money_for_insulin/")</f>
        <v/>
      </c>
      <c r="G7387" t="inlineStr">
        <is>
          <t>2019-09-01 00:26:18</t>
        </is>
      </c>
      <c r="H7387" t="inlineStr">
        <is>
          <t>Type 1</t>
        </is>
      </c>
    </row>
    <row r="7388">
      <c r="A7388" t="inlineStr">
        <is>
          <t>cy8jde</t>
        </is>
      </c>
      <c r="B7388" t="inlineStr">
        <is>
          <t>Xdrip to tasker to galaxy watch</t>
        </is>
      </c>
      <c r="C7388" t="inlineStr">
        <is>
          <t>Hi,
I'm looking for some help, I've got the blood sugar reading to my galaxy watch using tasker and watchmaker but I'm having real trouble getting the delta, does anyone know what the delta variable is called so I can link it in tasker?
Thanks</t>
        </is>
      </c>
      <c r="D7388" t="n">
        <v>2</v>
      </c>
      <c r="E7388" t="n">
        <v>0</v>
      </c>
      <c r="F7388">
        <f>HYPERLINK("https://www.reddit.com/r/diabetes/comments/cy8jde/xdrip_to_tasker_to_galaxy_watch/")</f>
        <v/>
      </c>
      <c r="G7388" t="inlineStr">
        <is>
          <t>2019-09-01 03:50:39</t>
        </is>
      </c>
      <c r="H7388" t="inlineStr">
        <is>
          <t>Type 1</t>
        </is>
      </c>
    </row>
    <row r="7389">
      <c r="A7389" t="inlineStr">
        <is>
          <t>cybncm</t>
        </is>
      </c>
      <c r="B7389" t="inlineStr">
        <is>
          <t>Advise for T1D wanting time move to Quebec</t>
        </is>
      </c>
      <c r="C7389" t="inlineStr">
        <is>
          <t>Hello everyone,
I’m a 24 year old T1D currently living in Vancouver Canada. I’ve wanted to move to Montreal for a few years now but was diagnosed with diabetes just over a year ago and that understandably threw off my life. 
I’m now after a year of living with this disease getting my stuff back in order and am planning to move to Montreal next year. What should I know about or be aware of before making this move other than rent and wages. 
Pharmacare?
Prescription costs? 
What does the government cover?
Insulin pumps? CGM?
Any information or advise would be greatly appreciated whether it relates to diabetes or otherwise.
Thank you!</t>
        </is>
      </c>
      <c r="D7389" t="n">
        <v>4</v>
      </c>
      <c r="E7389" t="n">
        <v>1</v>
      </c>
      <c r="F7389">
        <f>HYPERLINK("https://www.reddit.com/r/diabetes/comments/cybncm/advise_for_t1d_wanting_time_move_to_quebec/")</f>
        <v/>
      </c>
      <c r="G7389" t="inlineStr">
        <is>
          <t>2019-09-01 08:56:27</t>
        </is>
      </c>
      <c r="H7389" t="inlineStr">
        <is>
          <t>Type 1</t>
        </is>
      </c>
    </row>
    <row r="7390">
      <c r="A7390" t="inlineStr">
        <is>
          <t>cyc5n5</t>
        </is>
      </c>
      <c r="B7390" t="inlineStr">
        <is>
          <t>T1 daughter had her first sleepover at a friends house and had to come home at 2AM :/</t>
        </is>
      </c>
      <c r="C7390" t="inlineStr">
        <is>
          <t>Normally we do sleepovers at our house for this reason.  She’s normally pretty chill about her T1 and never complains, she’s 11 and diagnosed at 8, but this one got to her.   
At 2AM she dropped from 75 to 57 in 10 min and then flatlined at LOW until we picked her up, which was at 2:40AM.   We were texting her when she was there and she said she drank juice but after 15 min her numbers were still dropping.   At that point we decided to pick her up and as we’re getting ready to go she starts texting us but it’s all gibberish, there was no resemblance to any word in the human language and she just kept sending them.  We panicked a bit as her friends house was 20 mins away and were thinking that if she was in serious trouble by the time we got there it would be another 15 to 30 before the ambulance got there.   We texted her friends parents and they called back in 5 mins and told us “she’s okay, she’s just really tired and will come to in a few minutes :/“.   At least she was awake but she wasn’t coherent and it wasn’t fair to have her friends parents try to manage her because her night time lows are very hard to manage.  When she gets that low that quick she has no idea where’s she’s at and it’s hard to get her to drink.  We finally picked her up, apologized profusely and took her home.   She went up to 89 for a bit and then dropped back down to LOW an hour later.   It took a lot of juice and food to get her back up.   I’m glad we picked her up as it would have been too much for them to manage.  
This was the first time she ever said “this is unfair” regarding her diagnosis.</t>
        </is>
      </c>
      <c r="D7390" t="n">
        <v>79</v>
      </c>
      <c r="E7390" t="n">
        <v>44</v>
      </c>
      <c r="F7390">
        <f>HYPERLINK("https://www.reddit.com/r/diabetes/comments/cyc5n5/t1_daughter_had_her_first_sleepover_at_a_friends/")</f>
        <v/>
      </c>
      <c r="G7390" t="inlineStr">
        <is>
          <t>2019-09-01 09:36:44</t>
        </is>
      </c>
      <c r="H7390" t="inlineStr">
        <is>
          <t>Type 1</t>
        </is>
      </c>
    </row>
    <row r="7391">
      <c r="A7391" t="inlineStr">
        <is>
          <t>cyhq9t</t>
        </is>
      </c>
      <c r="B7391" t="inlineStr">
        <is>
          <t>Omnipod going through muscle</t>
        </is>
      </c>
      <c r="C7391" t="inlineStr">
        <is>
          <t>I wear my Omni pod on my abdomen and I have a small amount of fat on my stomach to prevent the cannula from hurting when I insert it. I have been working out for a few years and I’m thinking about trying to get rid of it.
Does inserting a cannula hurt when there is more muscle there? Or will it not affect it.</t>
        </is>
      </c>
      <c r="D7391" t="n">
        <v>3</v>
      </c>
      <c r="E7391" t="n">
        <v>4</v>
      </c>
      <c r="F7391">
        <f>HYPERLINK("https://www.reddit.com/r/diabetes/comments/cyhq9t/omnipod_going_through_muscle/")</f>
        <v/>
      </c>
      <c r="G7391" t="inlineStr">
        <is>
          <t>2019-09-01 17:17:53</t>
        </is>
      </c>
      <c r="H7391" t="inlineStr">
        <is>
          <t>Type 1</t>
        </is>
      </c>
    </row>
    <row r="7392">
      <c r="A7392" t="inlineStr">
        <is>
          <t>cyi2vc</t>
        </is>
      </c>
      <c r="B7392" t="inlineStr">
        <is>
          <t>"Mastering Diabetes" HCLF plan, why no lean meats?</t>
        </is>
      </c>
      <c r="C7392" t="inlineStr">
        <is>
          <t>i understand the gist of the plan is high carb low fat plant based whole foods approach, but why no lean meats like chicken, tuna, etc.?
anyone have an info having done the plan or studied it more in-depth than i have?
my best guess is that they believe animal products cause oxidation stress leading to insulin resistance</t>
        </is>
      </c>
      <c r="D7392" t="n">
        <v>2</v>
      </c>
      <c r="E7392" t="n">
        <v>7</v>
      </c>
      <c r="F7392">
        <f>HYPERLINK("https://www.reddit.com/r/diabetes/comments/cyi2vc/mastering_diabetes_hclf_plan_why_no_lean_meats/")</f>
        <v/>
      </c>
      <c r="G7392" t="inlineStr">
        <is>
          <t>2019-09-01 17:51:48</t>
        </is>
      </c>
      <c r="H7392" t="inlineStr">
        <is>
          <t>Type 1</t>
        </is>
      </c>
    </row>
    <row r="7393">
      <c r="A7393" t="inlineStr">
        <is>
          <t>cyilvg</t>
        </is>
      </c>
      <c r="B7393" t="inlineStr">
        <is>
          <t>diabetic neuropathy-natural remedies?</t>
        </is>
      </c>
      <c r="C7393" t="inlineStr">
        <is>
          <t>Hi folks, first time sharing. I am 36 y/o T1D going on nine years. On an insulin pump and last A1C was 7.5 (a little high for me). Usually pretty active with mountain biking or hiking, but lately that's extremely hard. Diet is a little off too...
Recently diagnosed with peripheral neuropathy (nerve damage) in my lower legs. Most of the prescribed pain management meds (gabapentin,elival, lyrica)  have left me foggy, interfere with body signals for highs and lows and make me so sleepy that I miss meals. Nausea associated with the pain has left me to sometimes force feed myself to avoid super lows. I have stopped them because of the terrible side effects and unable to largely function on them but am in pure pain hell without them. My healthcare team seems to have a limited playbook for this shit.
I feel wiped out most days and if I push too hard with a small bike ride or hike, I am on my ass afterward. Has anyone had luck with natural remedies for neuropathy? For example, CBD, supplements or any other tricks? Please share.</t>
        </is>
      </c>
      <c r="D7393" t="n">
        <v>9</v>
      </c>
      <c r="E7393" t="n">
        <v>7</v>
      </c>
      <c r="F7393">
        <f>HYPERLINK("https://www.reddit.com/r/diabetes/comments/cyilvg/diabetic_neuropathynatural_remedies/")</f>
        <v/>
      </c>
      <c r="G7393" t="inlineStr">
        <is>
          <t>2019-09-01 18:41:12</t>
        </is>
      </c>
      <c r="H7393" t="inlineStr">
        <is>
          <t>Type 1</t>
        </is>
      </c>
    </row>
    <row r="7394">
      <c r="A7394" t="inlineStr">
        <is>
          <t>cyomfn</t>
        </is>
      </c>
      <c r="B7394" t="inlineStr">
        <is>
          <t>Diving with diabetes</t>
        </is>
      </c>
      <c r="C7394" t="inlineStr">
        <is>
          <t>Howdy! I am currently on an extended trip around SE Asia and was wondering if anyone has had any experience with getting their open water dive certificate while also being diabetic? I’m 21 and have been T1 since I was 12 and am quite outdoorsy and have a good amount of experience with being in hostile landscapes (multi-week backpacking trips, climbing, mountaineering, extended raft trips) as a diabetic but diving feels like a step above what I’ve experienced in the past. I manage my diabetes just ok but have never had too much of a problem with unexpected lows, which at this point feels like my main concern? But at this stage am really just looking for general tips or knowledge or advice! Thanks in advance :)</t>
        </is>
      </c>
      <c r="D7394" t="n">
        <v>3</v>
      </c>
      <c r="E7394" t="n">
        <v>3</v>
      </c>
      <c r="F7394">
        <f>HYPERLINK("https://www.reddit.com/r/diabetes/comments/cyomfn/diving_with_diabetes/")</f>
        <v/>
      </c>
      <c r="G7394" t="inlineStr">
        <is>
          <t>2019-09-02 05:56:06</t>
        </is>
      </c>
      <c r="H7394" t="inlineStr">
        <is>
          <t>Type 1</t>
        </is>
      </c>
    </row>
    <row r="7395">
      <c r="A7395" t="inlineStr">
        <is>
          <t>cysavh</t>
        </is>
      </c>
      <c r="B7395" t="inlineStr">
        <is>
          <t>Severely Allergic to Artificial Sweeteners</t>
        </is>
      </c>
      <c r="C7395" t="inlineStr">
        <is>
          <t>Hey all. I am struggling to keep my sugars under control. I am pretty new to the whole diabetes thing, but I can tell it's starting to seriously impact my health. I am in a vicious cycle, because I am extremely thirsty all the time, and the rest of my body can't keep up with my kidneys. I drink a lot of soft drinks, at least 4 liters a day. I have an addiction. So I get thirsty, drink soda, raise my sugars, get thirsty again, and repeat the cycle.   
Normally, I'd try low-sugar options, but it seems as though every last "low sugar" option is just crammed with artificial sweeteners. I am trying to find a drink that is sweetened perhaps with natural cane sugar (let's be real, cane sugar is a LOT better than processed sugars like high fructose corn syrup). Or at the very least, a drink that has a minimal amount of sugar but without artificial sweeteners.  
They make a very select few things like this in the Organic section of my store, but as we all know, when the term "organic" enters the discussion, we begin to look at 8oz bottles that cost an hour's worth of wages. I can't afford to drink stuff like that all of the time.   
I would drink water, but water instead of a sweet drink would be like a cigarette smoker trying to quit cold turkey. It gives me serious withdrawal symptoms, since soda is also the primary way I get caffeine. I HAVE been drinking more water, and it does help, but I need some kind of sweet drink every now and then or else I will kill somebody!</t>
        </is>
      </c>
      <c r="D7395" t="n">
        <v>1</v>
      </c>
      <c r="E7395" t="n">
        <v>11</v>
      </c>
      <c r="F7395">
        <f>HYPERLINK("https://www.reddit.com/r/diabetes/comments/cysavh/severely_allergic_to_artificial_sweeteners/")</f>
        <v/>
      </c>
      <c r="G7395" t="inlineStr">
        <is>
          <t>2019-09-02 10:45:00</t>
        </is>
      </c>
      <c r="H7395" t="inlineStr">
        <is>
          <t>Type 2</t>
        </is>
      </c>
    </row>
    <row r="7396">
      <c r="A7396" t="inlineStr">
        <is>
          <t>cyw6sy</t>
        </is>
      </c>
      <c r="B7396" t="inlineStr">
        <is>
          <t>I was at 500 today</t>
        </is>
      </c>
      <c r="C7396" t="inlineStr">
        <is>
          <t>And that's what pancakes and syrup can do to your blood sugar.</t>
        </is>
      </c>
      <c r="D7396" t="n">
        <v>13</v>
      </c>
      <c r="E7396" t="n">
        <v>27</v>
      </c>
      <c r="F7396">
        <f>HYPERLINK("https://www.reddit.com/r/diabetes/comments/cyw6sy/i_was_at_500_today/")</f>
        <v/>
      </c>
      <c r="G7396" t="inlineStr">
        <is>
          <t>2019-09-02 15:35:07</t>
        </is>
      </c>
      <c r="H7396" t="inlineStr">
        <is>
          <t>Type 1</t>
        </is>
      </c>
    </row>
    <row r="7397">
      <c r="A7397" t="inlineStr">
        <is>
          <t>cyx9fu</t>
        </is>
      </c>
      <c r="B7397" t="inlineStr">
        <is>
          <t>After Taste?</t>
        </is>
      </c>
      <c r="C7397" t="inlineStr">
        <is>
          <t>Hey im taking Levemir and i noticed everytime i take my shot i get a weird after taste is this normal or is something off with my insulin?</t>
        </is>
      </c>
      <c r="D7397" t="n">
        <v>1</v>
      </c>
      <c r="E7397" t="n">
        <v>3</v>
      </c>
      <c r="F7397">
        <f>HYPERLINK("https://www.reddit.com/r/diabetes/comments/cyx9fu/after_taste/")</f>
        <v/>
      </c>
      <c r="G7397" t="inlineStr">
        <is>
          <t>2019-09-02 17:06:53</t>
        </is>
      </c>
      <c r="H7397" t="inlineStr">
        <is>
          <t>Type 1</t>
        </is>
      </c>
    </row>
    <row r="7398">
      <c r="A7398" t="inlineStr">
        <is>
          <t>cyy487</t>
        </is>
      </c>
      <c r="B7398" t="inlineStr">
        <is>
          <t>need NovaLog FlexPens?</t>
        </is>
      </c>
      <c r="C7398" t="inlineStr">
        <is>
          <t>I stock-piled and ended up with extra NovaLog FlexPens. Please DM me. I can send you 5 pens.</t>
        </is>
      </c>
      <c r="D7398" t="n">
        <v>3</v>
      </c>
      <c r="E7398" t="n">
        <v>0</v>
      </c>
      <c r="F7398">
        <f>HYPERLINK("https://www.reddit.com/r/diabetes/comments/cyy487/need_novalog_flexpens/")</f>
        <v/>
      </c>
      <c r="G7398" t="inlineStr">
        <is>
          <t>2019-09-02 18:23:54</t>
        </is>
      </c>
      <c r="H7398" t="inlineStr">
        <is>
          <t>Type 1</t>
        </is>
      </c>
    </row>
    <row r="7399">
      <c r="A7399" t="inlineStr">
        <is>
          <t>cyzlzh</t>
        </is>
      </c>
      <c r="B7399" t="inlineStr">
        <is>
          <t>My New Test Kits &amp;lt;3</t>
        </is>
      </c>
      <c r="C7399" t="inlineStr">
        <is>
          <t>This test kit has helped boost my confidence its a wallet that can hold my supply's! I finally feel comfortable to test it in public, let me know what you guys think!! I would recommend it if your looking for convenience and style! I want to share my feelings and this has been a way for me to do so. 
[https://mydkit.com](https://mydkit.com/)</t>
        </is>
      </c>
      <c r="D7399" t="n">
        <v>0</v>
      </c>
      <c r="E7399" t="n">
        <v>2</v>
      </c>
      <c r="F7399">
        <f>HYPERLINK("https://www.reddit.com/r/diabetes/comments/cyzlzh/my_new_test_kits_3/")</f>
        <v/>
      </c>
      <c r="G7399" t="inlineStr">
        <is>
          <t>2019-09-02 20:44:23</t>
        </is>
      </c>
      <c r="H7399" t="inlineStr">
        <is>
          <t>Type 1</t>
        </is>
      </c>
    </row>
    <row r="7400">
      <c r="A7400" t="inlineStr">
        <is>
          <t>cyztq6</t>
        </is>
      </c>
      <c r="B7400" t="inlineStr">
        <is>
          <t>Staying at a Margaritaville Resort in 2 weeks, recommendations?</t>
        </is>
      </c>
      <c r="C7400" t="inlineStr">
        <is>
          <t>Any recommendations on drinks? I’d love to get margarita drunk but I’m sure there won’t be enough insulin in the world to cover it. Anyone able to manage them though? Tips?  Just avoid them?</t>
        </is>
      </c>
      <c r="D7400" t="n">
        <v>3</v>
      </c>
      <c r="E7400" t="n">
        <v>7</v>
      </c>
      <c r="F7400">
        <f>HYPERLINK("https://www.reddit.com/r/diabetes/comments/cyztq6/staying_at_a_margaritaville_resort_in_2_weeks/")</f>
        <v/>
      </c>
      <c r="G7400" t="inlineStr">
        <is>
          <t>2019-09-02 21:06:28</t>
        </is>
      </c>
      <c r="H7400" t="inlineStr">
        <is>
          <t>Type 1</t>
        </is>
      </c>
    </row>
    <row r="7401">
      <c r="A7401" t="inlineStr">
        <is>
          <t>cz00z3</t>
        </is>
      </c>
      <c r="B7401" t="inlineStr">
        <is>
          <t>how come EVERY TIME i sleep, blood sugar skyrockets to at least 16mmol/l??</t>
        </is>
      </c>
      <c r="C7401" t="inlineStr">
        <is>
          <t>It is high while I sleep and takes forever to get it down to normal when I wake up.  It's frustrating cause it seems there's nothing I can do about it.  Sick of feeling frustrated every morning and worrying about my health.  It's never high when I go to bed.</t>
        </is>
      </c>
      <c r="D7401" t="n">
        <v>6</v>
      </c>
      <c r="E7401" t="n">
        <v>18</v>
      </c>
      <c r="F7401">
        <f>HYPERLINK("https://www.reddit.com/r/diabetes/comments/cz00z3/how_come_every_time_i_sleep_blood_sugar/")</f>
        <v/>
      </c>
      <c r="G7401" t="inlineStr">
        <is>
          <t>2019-09-02 21:27:56</t>
        </is>
      </c>
      <c r="H7401" t="inlineStr">
        <is>
          <t>Type 1</t>
        </is>
      </c>
    </row>
    <row r="7402">
      <c r="A7402" t="inlineStr">
        <is>
          <t>cz7uab</t>
        </is>
      </c>
      <c r="B7402" t="inlineStr">
        <is>
          <t>The Most Ignored Roller Coaster Rant</t>
        </is>
      </c>
      <c r="C7402" t="inlineStr">
        <is>
          <t>Today, I fell. Not once. Not twice. Three times. In front of my entire office of coworkers who are all from India so naturally, communication can be tricky. For the past three months, I've been mostly low for the first time in God knows how long. Which...is good...sorta. But when you consider that I started with an A1C of 10 and hadn't made any major changes in 8 months, it's concerning to know why my BG's went from sky high (relatively speaking) to sub "normal". 
It's been frustrating to say the least. All of the struggles of eating like a crazy person just to stay in range while also trying to drop 100+ lbs and all the frustrations of hearing those I love and confide in just say, "Well, just keep doing what you're doing! You'll be cured in no time!" Or "Just eat like a normal person!" Or "You're not really that sick.".....It all came to a head when I fell down while waiting for the printer; while walking to get water 30 minutes after a carb heavy lunch; while going to stand after eating a straight up candy bar. Each time, having to out myself and explain to people who don't really understand what it means to explain that you're a fat person who can't keep their sugar up. Yes, I've checked my blood pressure and my sugars. 65, 70, 62. 
I'm not perfect and I realize it's probably something stupid and small causing these issues but I'm feeling frustrated that I can't talk about this with any of my friends or family. My PCP doesn't even seem to think my hypos are an issue but it's affecting every part of my life and im tired of it. I'm afraid to drive. I'm afraid to exercise. I'm afraid to go for a walk with my dog. I'm afraid to do pretty much anything but sit on a soft surface for fear of bottoming out and falling. I need to exercise to lose weight but I can't exercise without crashing and/or eating all the carbs/sugar to keep me from dipping even lower. 
I'm sure I sound like a lunatic but I needed to rant. 
Tldr: I'm getting lows no matter how many carbs/sugar I eat. I need to lose weight and I'm having trouble balancing intake to treat lows and maintaining a deficit.</t>
        </is>
      </c>
      <c r="D7402" t="n">
        <v>1</v>
      </c>
      <c r="E7402" t="n">
        <v>7</v>
      </c>
      <c r="F7402">
        <f>HYPERLINK("https://www.reddit.com/r/diabetes/comments/cz7uab/the_most_ignored_roller_coaster_rant/")</f>
        <v/>
      </c>
      <c r="G7402" t="inlineStr">
        <is>
          <t>2019-09-03 10:19:09</t>
        </is>
      </c>
      <c r="H7402" t="inlineStr">
        <is>
          <t>Type 2</t>
        </is>
      </c>
    </row>
    <row r="7403">
      <c r="A7403" t="inlineStr">
        <is>
          <t>czayax</t>
        </is>
      </c>
      <c r="B7403" t="inlineStr">
        <is>
          <t>I just got a all time low. 29</t>
        </is>
      </c>
      <c r="C7403" t="inlineStr">
        <is>
          <t>Thank God my wife was here because my glucose has been so high lately 250+, 29 hit me like a freight train. 
I am really blessed to have her and her support.</t>
        </is>
      </c>
      <c r="D7403" t="n">
        <v>4</v>
      </c>
      <c r="E7403" t="n">
        <v>15</v>
      </c>
      <c r="F7403">
        <f>HYPERLINK("https://www.reddit.com/r/diabetes/comments/czayax/i_just_got_a_all_time_low_29/")</f>
        <v/>
      </c>
      <c r="G7403" t="inlineStr">
        <is>
          <t>2019-09-03 14:12:16</t>
        </is>
      </c>
      <c r="H7403" t="inlineStr">
        <is>
          <t>Type 1</t>
        </is>
      </c>
    </row>
    <row r="7404">
      <c r="A7404" t="inlineStr">
        <is>
          <t>czd7kq</t>
        </is>
      </c>
      <c r="B7404" t="inlineStr">
        <is>
          <t>4.5 glucose level when not fasting</t>
        </is>
      </c>
      <c r="C7404" t="inlineStr">
        <is>
          <t>Please be nice, I'm a newly diagnosed diabetic and trying to figure this all out.
Twice now I've had my blood sugar drop to 4.5 within 2 hours of eating.
Judging by some guides online a reading of 4.5 is normal for a non-diabetic fasting for 8 hours at least.
When this happens I feel like shit. Faint, nauseous, brain fog, confused, shaky etc.
I have an appointment with my diabetes nurse on Friday so will ask her about it, but in the meantime can someone help placate me?
Is this normal?
What's going on?
What should I do to stop this happening?
What should I do in this scenario?</t>
        </is>
      </c>
      <c r="D7404" t="n">
        <v>3</v>
      </c>
      <c r="E7404" t="n">
        <v>12</v>
      </c>
      <c r="F7404">
        <f>HYPERLINK("https://www.reddit.com/r/diabetes/comments/czd7kq/45_glucose_level_when_not_fasting/")</f>
        <v/>
      </c>
      <c r="G7404" t="inlineStr">
        <is>
          <t>2019-09-03 17:13:46</t>
        </is>
      </c>
      <c r="H7404" t="inlineStr">
        <is>
          <t>Type 2</t>
        </is>
      </c>
    </row>
    <row r="7405">
      <c r="A7405" t="inlineStr">
        <is>
          <t>czl44b</t>
        </is>
      </c>
      <c r="B7405" t="inlineStr">
        <is>
          <t>Dexcom g6</t>
        </is>
      </c>
      <c r="C7405" t="inlineStr">
        <is>
          <t>Hello everyone. I just hooked up to the dexcom g6 for the first time. My educator explained that the best place to put the sensor would be on my arm, but after reading through the instructions i came across the placement page and it said to avoid tattoos. Both my right and left arm have half sleeves so I didn’t want to cause any errors with the sensor. Just wondering if anyone had any experiences they’d like to share, or had any issues with tattoos. Any help would be appreciated.</t>
        </is>
      </c>
      <c r="D7405" t="n">
        <v>4</v>
      </c>
      <c r="E7405" t="n">
        <v>10</v>
      </c>
      <c r="F7405">
        <f>HYPERLINK("https://www.reddit.com/r/diabetes/comments/czl44b/dexcom_g6/")</f>
        <v/>
      </c>
      <c r="G7405" t="inlineStr">
        <is>
          <t>2019-09-04 06:48:05</t>
        </is>
      </c>
      <c r="H7405" t="inlineStr">
        <is>
          <t>Type 1</t>
        </is>
      </c>
    </row>
    <row r="7406">
      <c r="A7406" t="inlineStr">
        <is>
          <t>czo9e3</t>
        </is>
      </c>
      <c r="B7406" t="inlineStr">
        <is>
          <t>Thirsty, but blood sugar is good</t>
        </is>
      </c>
      <c r="C7406" t="inlineStr">
        <is>
          <t>So for a little backstory I've been dealing with extreme nausea that resulted in me not eating or drinking much at all for a few weeks. Cut out some foods and my stomach is feeling better again. Not really much around at the moment that I'm able to eat though so eating still isn't exactly happening.
The nausea is better so I'm able to drink again, but it goes straight though me as if my blood sugar is 500, but my meter is reading 89 right now and has been in range. Is this something I should call my endocrinologist over?</t>
        </is>
      </c>
      <c r="D7406" t="n">
        <v>2</v>
      </c>
      <c r="E7406" t="n">
        <v>2</v>
      </c>
      <c r="F7406">
        <f>HYPERLINK("https://www.reddit.com/r/diabetes/comments/czo9e3/thirsty_but_blood_sugar_is_good/")</f>
        <v/>
      </c>
      <c r="G7406" t="inlineStr">
        <is>
          <t>2019-09-04 10:50:21</t>
        </is>
      </c>
      <c r="H7406" t="inlineStr">
        <is>
          <t>Type 1</t>
        </is>
      </c>
    </row>
    <row r="7407">
      <c r="A7407" t="inlineStr">
        <is>
          <t>czq7uj</t>
        </is>
      </c>
      <c r="B7407" t="inlineStr">
        <is>
          <t>Interview with 300+ level sugars</t>
        </is>
      </c>
      <c r="C7407" t="inlineStr">
        <is>
          <t>Just got done with an interview when my sugars were 300+.  I had eaten a salad and a piece of bread earlier but I guess I wasn't getting insulin because it shot up.  Had to pee in an extra cup in the car before I went in.  I'm proud that I was able to focus during the interview and smile and actually felt good.  Normally I zone out and feel like crap when I hit that level.  I was afraid my speech was going to slur but I was fine.
Had to pee again as soon as the interview was over.
Have you any experiences where you had to get through a big moment like this with terrible blood sugars?</t>
        </is>
      </c>
      <c r="D7407" t="n">
        <v>3</v>
      </c>
      <c r="E7407" t="n">
        <v>2</v>
      </c>
      <c r="F7407">
        <f>HYPERLINK("https://www.reddit.com/r/diabetes/comments/czq7uj/interview_with_300_level_sugars/")</f>
        <v/>
      </c>
      <c r="G7407" t="inlineStr">
        <is>
          <t>2019-09-04 13:23:30</t>
        </is>
      </c>
      <c r="H7407" t="inlineStr">
        <is>
          <t>Type 1</t>
        </is>
      </c>
    </row>
    <row r="7408">
      <c r="A7408" t="inlineStr">
        <is>
          <t>czql8i</t>
        </is>
      </c>
      <c r="B7408" t="inlineStr">
        <is>
          <t>Am I the only one like this?</t>
        </is>
      </c>
      <c r="C7408" t="inlineStr">
        <is>
          <t>Does anyone else sometimes like being low? Sometimes I hope I go low so I can have an excuse to eat something without spiking my blood sugar through the atmosphere.</t>
        </is>
      </c>
      <c r="D7408" t="n">
        <v>2</v>
      </c>
      <c r="E7408" t="n">
        <v>6</v>
      </c>
      <c r="F7408">
        <f>HYPERLINK("https://www.reddit.com/r/diabetes/comments/czql8i/am_i_the_only_one_like_this/")</f>
        <v/>
      </c>
      <c r="G7408" t="inlineStr">
        <is>
          <t>2019-09-04 13:50:24</t>
        </is>
      </c>
      <c r="H7408" t="inlineStr">
        <is>
          <t>Type 1</t>
        </is>
      </c>
    </row>
    <row r="7409">
      <c r="A7409" t="inlineStr">
        <is>
          <t>cztcqe</t>
        </is>
      </c>
      <c r="B7409" t="inlineStr">
        <is>
          <t>I have questions with DKA</t>
        </is>
      </c>
      <c r="C7409" t="inlineStr">
        <is>
          <t>So I’ve only gone into what I would claim as DKA once after the initial diagnosis. (Been a diabetic for 12.5 years)
I had to go to the hospital. Be in the icu for 5 days. Had to have a potassium chloride drip. 
That whole situation. 
My blood sugar at the point was probably around 600 with ketones. But that was probably for a few days before my parents realized and forced me to go to the hospital. 
My question is mainly having to do with people who are going to the hospital with DKA and they have ketones with one test and blood sugar in 200-300 range. 
Are people doing it as a more preventative measure?  Do they experience all the same serious symptoms just much earlier on? 
Is it to the level where you need the potassium chloride drip (I hope that is actually what it is. It’s been awhile)
I’ve just seen posts on here and Facebook with numbers that I would not consider that serious going to the hospital.
 I just don’t understand</t>
        </is>
      </c>
      <c r="D7409" t="n">
        <v>4</v>
      </c>
      <c r="E7409" t="n">
        <v>6</v>
      </c>
      <c r="F7409">
        <f>HYPERLINK("https://www.reddit.com/r/diabetes/comments/cztcqe/i_have_questions_with_dka/")</f>
        <v/>
      </c>
      <c r="G7409" t="inlineStr">
        <is>
          <t>2019-09-04 17:27:33</t>
        </is>
      </c>
      <c r="H7409" t="inlineStr">
        <is>
          <t>Type 1</t>
        </is>
      </c>
    </row>
    <row r="7410">
      <c r="A7410" t="inlineStr">
        <is>
          <t>czzizb</t>
        </is>
      </c>
      <c r="B7410" t="inlineStr">
        <is>
          <t>Can I take 1 unit of insulin?</t>
        </is>
      </c>
      <c r="C7410" t="inlineStr">
        <is>
          <t>So recently, as a result of a good diet and exercise, I only take 2 units of insulin with every meal. My blood sugar is usually around 4 or 3 afterwards, so I was wondering if it waz OK if I took 1 unit of insulin instead? I've never heard of anyone taking such a small amount of insulin before so I'm asking here just in case lol</t>
        </is>
      </c>
      <c r="D7410" t="n">
        <v>3</v>
      </c>
      <c r="E7410" t="n">
        <v>13</v>
      </c>
      <c r="F7410">
        <f>HYPERLINK("https://www.reddit.com/r/diabetes/comments/czzizb/can_i_take_1_unit_of_insulin/")</f>
        <v/>
      </c>
      <c r="G7410" t="inlineStr">
        <is>
          <t>2019-09-05 04:27:45</t>
        </is>
      </c>
      <c r="H7410" t="inlineStr">
        <is>
          <t>Type 1</t>
        </is>
      </c>
    </row>
    <row r="7411">
      <c r="A7411" t="inlineStr">
        <is>
          <t>d03ssc</t>
        </is>
      </c>
      <c r="B7411" t="inlineStr">
        <is>
          <t>Dropped my A1c from 10.7 to 5.7 since June 27th of this year when I was diagnosed!</t>
        </is>
      </c>
      <c r="C7411" t="inlineStr">
        <is>
          <t>Keto lifestyle and walking nearly halved my A1c and I'm no longer taking and injected insulin as of today! I'm pumped team! Just had to share!</t>
        </is>
      </c>
      <c r="D7411" t="n">
        <v>43</v>
      </c>
      <c r="E7411" t="n">
        <v>10</v>
      </c>
      <c r="F7411">
        <f>HYPERLINK("https://www.reddit.com/r/diabetes/comments/d03ssc/dropped_my_a1c_from_107_to_57_since_june_27th_of/")</f>
        <v/>
      </c>
      <c r="G7411" t="inlineStr">
        <is>
          <t>2019-09-05 10:20:37</t>
        </is>
      </c>
      <c r="H7411" t="inlineStr">
        <is>
          <t>Type 2</t>
        </is>
      </c>
    </row>
    <row r="7412">
      <c r="A7412" t="inlineStr">
        <is>
          <t>d074wi</t>
        </is>
      </c>
      <c r="B7412" t="inlineStr">
        <is>
          <t>Pancreas on a Chip</t>
        </is>
      </c>
      <c r="C7412" t="inlineStr">
        <is>
          <t>https://www.nsf.gov/discoveries/disc_summ.jsp?cntn_id=299155&amp;amp;WT.mc_id=USNSF_1</t>
        </is>
      </c>
      <c r="D7412" t="n">
        <v>3</v>
      </c>
      <c r="E7412" t="n">
        <v>0</v>
      </c>
      <c r="F7412">
        <f>HYPERLINK("https://www.reddit.com/r/diabetes/comments/d074wi/pancreas_on_a_chip/")</f>
        <v/>
      </c>
      <c r="G7412" t="inlineStr">
        <is>
          <t>2019-09-05 14:28:23</t>
        </is>
      </c>
      <c r="H7412" t="inlineStr">
        <is>
          <t>Type 1</t>
        </is>
      </c>
    </row>
    <row r="7413">
      <c r="A7413" t="inlineStr">
        <is>
          <t>d08bax</t>
        </is>
      </c>
      <c r="B7413" t="inlineStr">
        <is>
          <t>Newly diagnosed and freaking out a little</t>
        </is>
      </c>
      <c r="C7413" t="inlineStr">
        <is>
          <t>Hey guys I was only diagnosed a week ago (30yo overweight Male). They’re still confirming which type but most likely type 2 is what I’ve been told.
I’m kinda going through a bit of a rough patch just mentally with the diagnosis and reading here has actually been incredibly helpful just to see and hear that my life isn’t over.
Last night I fell down a google hole about kidney disease and diabetes as one of the million tests the doc seems to want to run is to check my kidneys still work.
I’ve read these tests are normal yearly tests for diabetics but it’s really got to me for some reason and I’m having a hard time thinking about anything else.
I’ve started going low carb and getting more exercise but I just need to know. Is this preventable? Is it guaranteed? Does every diabetic eventually end up on dialysis? 
Hopefully I’m just building it up when really it’s nothing so long as you put the work in to manage your diabetes. Anyway, any info you all could share would be great</t>
        </is>
      </c>
      <c r="D7413" t="n">
        <v>2</v>
      </c>
      <c r="E7413" t="n">
        <v>12</v>
      </c>
      <c r="F7413">
        <f>HYPERLINK("https://www.reddit.com/r/diabetes/comments/d08bax/newly_diagnosed_and_freaking_out_a_little/")</f>
        <v/>
      </c>
      <c r="G7413" t="inlineStr">
        <is>
          <t>2019-09-05 16:07:21</t>
        </is>
      </c>
      <c r="H7413" t="inlineStr">
        <is>
          <t>Type 2</t>
        </is>
      </c>
    </row>
    <row r="7414">
      <c r="A7414" t="inlineStr">
        <is>
          <t>d0bk9j</t>
        </is>
      </c>
      <c r="B7414" t="inlineStr">
        <is>
          <t>What does DKA feel like?</t>
        </is>
      </c>
      <c r="C7414" t="inlineStr">
        <is>
          <t>Ok so my blood sugar is at 180 (lowering) but my ketone test strips show my ketones are moderate but not dangerous. How do I lower them without going into the hospital?</t>
        </is>
      </c>
      <c r="D7414" t="n">
        <v>10</v>
      </c>
      <c r="E7414" t="n">
        <v>17</v>
      </c>
      <c r="F7414">
        <f>HYPERLINK("https://www.reddit.com/r/diabetes/comments/d0bk9j/what_does_dka_feel_like/")</f>
        <v/>
      </c>
      <c r="G7414" t="inlineStr">
        <is>
          <t>2019-09-05 20:59:53</t>
        </is>
      </c>
      <c r="H7414" t="inlineStr">
        <is>
          <t>Type 1</t>
        </is>
      </c>
    </row>
    <row r="7415">
      <c r="A7415" t="inlineStr">
        <is>
          <t>d0fwra</t>
        </is>
      </c>
      <c r="B7415" t="inlineStr">
        <is>
          <t>Horomones and blood sugar</t>
        </is>
      </c>
      <c r="C7415" t="inlineStr">
        <is>
          <t>This past week I have been eating the same thing for dinner. Chicken breast and cabbage. But my blood sugar has varried so much when I check it before lunch. (I work overnights. I eat my meals backwards. Dinner at breakfast time, breakfast at dinner time.) 
At the beginning of the week, it was 95 before lunch. Then another night it was 120. Eating the same exact thing, at the same times, taking my medication at the same times. I havent been too stressed lately, but my husband told me maybe it was higher because I'm on my period.
Has anyone else expirienced this? Has it been a fluke? Since I have gotten my sugars under control, I havent been writing down my sugars like I did at the beginning, so I can't compare them to when I have had my periods. 
Thank in advance for any insight.</t>
        </is>
      </c>
      <c r="D7415" t="n">
        <v>3</v>
      </c>
      <c r="E7415" t="n">
        <v>14</v>
      </c>
      <c r="F7415">
        <f>HYPERLINK("https://www.reddit.com/r/diabetes/comments/d0fwra/horomones_and_blood_sugar/")</f>
        <v/>
      </c>
      <c r="G7415" t="inlineStr">
        <is>
          <t>2019-09-06 05:19:53</t>
        </is>
      </c>
      <c r="H7415" t="inlineStr">
        <is>
          <t>Type 2</t>
        </is>
      </c>
    </row>
    <row r="7416">
      <c r="A7416" t="inlineStr">
        <is>
          <t>d0gnz6</t>
        </is>
      </c>
      <c r="B7416" t="inlineStr">
        <is>
          <t>Pregnant</t>
        </is>
      </c>
      <c r="C7416" t="inlineStr">
        <is>
          <t>So I just found out I might be pregnant (95 percent chance, test came back positive but it's still very early) and I'm terrified. 
To start with I've been going through some major burnout the last few years and as a result my A1c is utter garbage (like 10). I'm afraid that I won't be able to pull myself out of the bad habits and end up hurting the baby.
And to top it off, I turn 26 in a few days and lose my insurance and I'm still trying to find an affordable solution to get my medications for my  health conditions (T1D, Hashimoto's, and anxiety/depression) that doesn't make me have to pay 10k out of pocket before I reach the deductible. And now I may have to worry about all the stuff that comes with pregnancy. 
Does anyone have advice that could help me at all? Cause honestly I'm in a constant state of panic right now.</t>
        </is>
      </c>
      <c r="D7416" t="n">
        <v>8</v>
      </c>
      <c r="E7416" t="n">
        <v>5</v>
      </c>
      <c r="F7416">
        <f>HYPERLINK("https://www.reddit.com/r/diabetes/comments/d0gnz6/pregnant/")</f>
        <v/>
      </c>
      <c r="G7416" t="inlineStr">
        <is>
          <t>2019-09-06 06:28:01</t>
        </is>
      </c>
      <c r="H7416" t="inlineStr">
        <is>
          <t>Type 1</t>
        </is>
      </c>
    </row>
    <row r="7417">
      <c r="A7417" t="inlineStr">
        <is>
          <t>d0gv22</t>
        </is>
      </c>
      <c r="B7417" t="inlineStr">
        <is>
          <t>Fiancee Diagnosed With Type 2 - Need Help</t>
        </is>
      </c>
      <c r="C7417" t="inlineStr">
        <is>
          <t>Hello All,   
I'm in need of some guidance from those with experience in this field.  Just earlier this week, my Fiancee was diagnosed with Type 2 Diabetes.  Her numbers were high: 230 about 6-7 hours after food, and an A1C of 10.8, I do believe. She is overweight, \~240, but has been working hard for a few months, and has already dropped \~20 pounds.  
The doctor said we would start with metformin HCL, and see how that goes for a month. They didn't want to start her on Insulin, since she's in her late 20's and could bounce back some. The doctor also informed her to stay off carbs. As in zero carbs. Meat and veggies only. 
As with moth people, we love food of varying types. However we are adamantly sticking to this. We've been eating meat and veggies, drinking only water, coffee, and a single Coke Zero (Zero Caffeine) a day. 
She's been pretty upset the past few days, believing that she will never get to live a normal life and will have to eat nothing but bland meats, veggies, and drink water while exercising like a maniac for the rest of her life. She just doesn't have hope. 
I've read so many stories about people with higher numbers turning it around, getting to a normal blood sugar level, and being able to eat what they want (within moderation). The doctor is compounding her fear saying that she WILL (definitively) at some point lose her toes, her feet, go blind, and have to be on insulin. I'm thinking that it's likely a scare tactic to get her not to cheat on the diet and exercise, but all it's doing is making her depressed.  I've been researching low-carb/no-carb little treats/snacks. Brownies and whatnot. She won't even consider touching those either, as it's "Only meat and veggies". 
I'm at a loss for how to help her and give her some hope. I've been there, will be there, and am doing the diet and exercise with her. I'll continue to reassure her... but from people who do and have had this, is there any modicum of hope and help you can provide?
Any advice is very much appreciated.</t>
        </is>
      </c>
      <c r="D7417" t="n">
        <v>10</v>
      </c>
      <c r="E7417" t="n">
        <v>64</v>
      </c>
      <c r="F7417">
        <f>HYPERLINK("https://www.reddit.com/r/diabetes/comments/d0gv22/fiancee_diagnosed_with_type_2_need_help/")</f>
        <v/>
      </c>
      <c r="G7417" t="inlineStr">
        <is>
          <t>2019-09-06 06:44:43</t>
        </is>
      </c>
      <c r="H7417" t="inlineStr">
        <is>
          <t>Type 2</t>
        </is>
      </c>
    </row>
    <row r="7418">
      <c r="A7418" t="inlineStr">
        <is>
          <t>d0j9vz</t>
        </is>
      </c>
      <c r="B7418" t="inlineStr">
        <is>
          <t>Questions</t>
        </is>
      </c>
      <c r="C7418" t="inlineStr">
        <is>
          <t>1) Can I reuse the same syringe? If yes how many times can I use it? I am on a tight budget and and do I really need to swab with alcohol before every injection?
2) How do you reduce you bp during doctor visit? My bp tend to go high at 188/44 during my visit but at home it was normal, I am nervous when meeting with new people</t>
        </is>
      </c>
      <c r="D7418" t="n">
        <v>4</v>
      </c>
      <c r="E7418" t="n">
        <v>4</v>
      </c>
      <c r="F7418">
        <f>HYPERLINK("https://www.reddit.com/r/diabetes/comments/d0j9vz/questions/")</f>
        <v/>
      </c>
      <c r="G7418" t="inlineStr">
        <is>
          <t>2019-09-06 09:53:15</t>
        </is>
      </c>
      <c r="H7418" t="inlineStr">
        <is>
          <t>Type 1</t>
        </is>
      </c>
    </row>
    <row r="7419">
      <c r="A7419" t="inlineStr">
        <is>
          <t>d0k5jz</t>
        </is>
      </c>
      <c r="B7419" t="inlineStr">
        <is>
          <t>Is it normal to feel like this.</t>
        </is>
      </c>
      <c r="C7419" t="inlineStr">
        <is>
          <t>I’ve been a Type 1 diabetic since I was six years old, and I’m about to turn twenty soon. For the longest time I was a perfect diabetic by my doctors standards, a1c never above 6.7. Unfortunately I have stage 4 kidney disease, one kidney, and a reconstructed bladder. None of this ever set me back due to the fact my blood sugars were solid and kept me in good condition. Problems arose when I turned 14 and since then I’ve been out of control, dka atleast once every 6 months, vision getting a bit bad. Every time something happens or I see a doctor they all say the same thing “you’re going to die if you don’t fix this.” My problem lies in the fact that it doesn’t scare me now, I’m aware of the risks, I’m aware of the fact that it’s not healthy. I always think back to the fact that no matter what happens I’ll be stuck with diabetes till the day I die so what’s the point. I truly wish to be a better diabetic for the sake of my friends and family but I can’t find the will to do so. Thanks for reading, I was just seeking some advice/wisdom.</t>
        </is>
      </c>
      <c r="D7419" t="n">
        <v>17</v>
      </c>
      <c r="E7419" t="n">
        <v>14</v>
      </c>
      <c r="F7419">
        <f>HYPERLINK("https://www.reddit.com/r/diabetes/comments/d0k5jz/is_it_normal_to_feel_like_this/")</f>
        <v/>
      </c>
      <c r="G7419" t="inlineStr">
        <is>
          <t>2019-09-06 10:59:49</t>
        </is>
      </c>
      <c r="H7419" t="inlineStr">
        <is>
          <t>Type 1</t>
        </is>
      </c>
    </row>
    <row r="7420">
      <c r="A7420" t="inlineStr">
        <is>
          <t>d0knvc</t>
        </is>
      </c>
      <c r="B7420" t="inlineStr">
        <is>
          <t>Type 2 Question</t>
        </is>
      </c>
      <c r="C7420" t="inlineStr">
        <is>
          <t>Hello all! Last Friday I was diagnosed with type 2 diabetes. While i do have family members, I was fairly surprised of the diagnosis. I am 5’7M around 135lbs. I am very active. I run 4-5 times a week and generally kept a fair diet. Generally the only time my meals were bad were at night mainly just to make up calories from running. 
Has anyone else had an unexpected diagnosis like this when you’re fairly healthy? And if so, how do I maintain weight while staying active as I am with a low carb diet as recommended?</t>
        </is>
      </c>
      <c r="D7420" t="n">
        <v>6</v>
      </c>
      <c r="E7420" t="n">
        <v>18</v>
      </c>
      <c r="F7420">
        <f>HYPERLINK("https://www.reddit.com/r/diabetes/comments/d0knvc/type_2_question/")</f>
        <v/>
      </c>
      <c r="G7420" t="inlineStr">
        <is>
          <t>2019-09-06 11:38:12</t>
        </is>
      </c>
      <c r="H7420" t="inlineStr">
        <is>
          <t>Type 2</t>
        </is>
      </c>
    </row>
    <row r="7421">
      <c r="A7421" t="inlineStr">
        <is>
          <t>d0rt6l</t>
        </is>
      </c>
      <c r="B7421" t="inlineStr">
        <is>
          <t>High blood ketone warnings?</t>
        </is>
      </c>
      <c r="C7421" t="inlineStr">
        <is>
          <t>So I’m type 1 but I’m super itchy (I’m also doing cocaine so not sure if this is it) but lately after doing coke I get itchy and headaches swollen throat etc. My ketone urin strips say I have moderate levels but they lower down and rise and won’t stay consistent. I’m just starting to worry because I can’t tell if it’s the cocaine or a serious issue that needs medical attention ASAP. My blood sugar is 100-120 so it’s not spiking but the urin test really spooked me. Does coke cause ketones to spike? Or am I fucked more than my genes already did to me?</t>
        </is>
      </c>
      <c r="D7421" t="n">
        <v>0</v>
      </c>
      <c r="E7421" t="n">
        <v>3</v>
      </c>
      <c r="F7421">
        <f>HYPERLINK("https://www.reddit.com/r/diabetes/comments/d0rt6l/high_blood_ketone_warnings/")</f>
        <v/>
      </c>
      <c r="G7421" t="inlineStr">
        <is>
          <t>2019-09-06 21:53:33</t>
        </is>
      </c>
      <c r="H7421" t="inlineStr">
        <is>
          <t>Type 1</t>
        </is>
      </c>
    </row>
    <row r="7422">
      <c r="A7422" t="inlineStr">
        <is>
          <t>d0yk8t</t>
        </is>
      </c>
      <c r="B7422" t="inlineStr">
        <is>
          <t>type 1 diabetes and Japan</t>
        </is>
      </c>
      <c r="C7422" t="inlineStr">
        <is>
          <t>hi, this might be a long shot but I'm willing to try anything. Are there any members on here who have diabetes, primarily type 1 but type 2 who need insulin as well, and have lived in Japan? I studied abroad in Osaka before I got diagnosed so I'm aware of some of the difficulties with medical care, but I have no idea where to even start now that I have t1d and want to go back. I'm planning on applying to a program (JET) by next year. I just don't know what steps I would need to take, what technology they have available, what the costs are, English speaking (I do speak Japanese but don't really know medical terminology lol) endocrinologists etc. If any of you know anything or know anyone who might, let me know 😁 thanks!</t>
        </is>
      </c>
      <c r="D7422" t="n">
        <v>5</v>
      </c>
      <c r="E7422" t="n">
        <v>3</v>
      </c>
      <c r="F7422">
        <f>HYPERLINK("https://www.reddit.com/r/diabetes/comments/d0yk8t/type_1_diabetes_and_japan/")</f>
        <v/>
      </c>
      <c r="G7422" t="inlineStr">
        <is>
          <t>2019-09-07 10:02:42</t>
        </is>
      </c>
      <c r="H7422" t="inlineStr">
        <is>
          <t>Type 1</t>
        </is>
      </c>
    </row>
    <row r="7423">
      <c r="A7423" t="inlineStr">
        <is>
          <t>d17s44</t>
        </is>
      </c>
      <c r="B7423" t="inlineStr">
        <is>
          <t>Statins Can Double the Risk of Type 2 Diabetes</t>
        </is>
      </c>
      <c r="C7423" t="inlineStr">
        <is>
          <t xml:space="preserve"> New research has found that people taking statins have a higher risk of type 2 diabetes. More and more people are taking statins to lower their cholesterol levels.  
Many people take the cholesterol-lowering drugs in an attempt to lower their risk of cardiovascular disease. Although statins can lower cholesterol levels, this is often accompanied by side effects such as muscle pain and headache. A new study now also adds type 2 diabetes to this list.  
The research conducted by Victoria Zigmont of the Ohio State University in Columbus has been published in the journal Diabetes Metabolism Research and Review . [Source](https://www.carerace.com/2019/09/statins-can-double-risk-of-type-2.html)</t>
        </is>
      </c>
      <c r="D7423" t="n">
        <v>3</v>
      </c>
      <c r="E7423" t="n">
        <v>3</v>
      </c>
      <c r="F7423">
        <f>HYPERLINK("https://www.reddit.com/r/diabetes/comments/d17s44/statins_can_double_the_risk_of_type_2_diabetes/")</f>
        <v/>
      </c>
      <c r="G7423" t="inlineStr">
        <is>
          <t>2019-09-08 00:04:19</t>
        </is>
      </c>
      <c r="H7423" t="inlineStr">
        <is>
          <t>Type 2</t>
        </is>
      </c>
    </row>
    <row r="7424">
      <c r="A7424" t="inlineStr">
        <is>
          <t>d181qh</t>
        </is>
      </c>
      <c r="B7424" t="inlineStr">
        <is>
          <t>Protocol for initiating keto for a type 2 on meds</t>
        </is>
      </c>
      <c r="C7424" t="inlineStr">
        <is>
          <t>Hello,
My father has type 2 diabetes and he is on metformin (if I am not mistaken).
I want him to try out keto or low carb, but am worried about possible lows.
After all, his medication is increasing his insulin (or rather decreasing his glucose genesis?) which in addition to a low carb diet could lead to a low glucose level?
How is this best handled? Gradually decrease carbs, while monitoring and after a day or two gradually start decreasing the meds?
Am I correct to assume, that the only low situation, that can happen can only be due to his meds? Without meds basically no low possible? In what situations can a low happen, if no meds are involved at all, for someone with type 2?</t>
        </is>
      </c>
      <c r="D7424" t="n">
        <v>4</v>
      </c>
      <c r="E7424" t="n">
        <v>34</v>
      </c>
      <c r="F7424">
        <f>HYPERLINK("https://www.reddit.com/r/diabetes/comments/d181qh/protocol_for_initiating_keto_for_a_type_2_on_meds/")</f>
        <v/>
      </c>
      <c r="G7424" t="inlineStr">
        <is>
          <t>2019-09-08 00:40:17</t>
        </is>
      </c>
      <c r="H7424" t="inlineStr">
        <is>
          <t>Type 2</t>
        </is>
      </c>
    </row>
    <row r="7425">
      <c r="A7425" t="inlineStr">
        <is>
          <t>d1ahao</t>
        </is>
      </c>
      <c r="B7425" t="inlineStr">
        <is>
          <t>Meter Accuracy</t>
        </is>
      </c>
      <c r="C7425" t="inlineStr">
        <is>
          <t>How can you tell if your meter is accurate or not? I use the Contour Next One, and I did Level 2 test serum and it was 137.
So, I usually just test my BG before breakfast. I try to keep around 125 +- 10. If the reading is high, I will try to analyze what I ate the day before to see if that was the problem.
So for the past few months it has hit 150+ on multiple days, which has been really concerning me. I have been that high before, but usually can explain it. So I went to my doctor this week and got my A1C tested. I had gone up, but only from 6.6 to 6.8. I was expecting much higher, like 8.0, given these readings.
So, is something wrong with my meter? How do I calibrate it if it is off?
Thanks!</t>
        </is>
      </c>
      <c r="D7425" t="n">
        <v>2</v>
      </c>
      <c r="E7425" t="n">
        <v>12</v>
      </c>
      <c r="F7425">
        <f>HYPERLINK("https://www.reddit.com/r/diabetes/comments/d1ahao/meter_accuracy/")</f>
        <v/>
      </c>
      <c r="G7425" t="inlineStr">
        <is>
          <t>2019-09-08 05:48:10</t>
        </is>
      </c>
      <c r="H7425" t="inlineStr">
        <is>
          <t>Type 2</t>
        </is>
      </c>
    </row>
    <row r="7426">
      <c r="A7426" t="inlineStr">
        <is>
          <t>d1mlhq</t>
        </is>
      </c>
      <c r="B7426" t="inlineStr">
        <is>
          <t>MODY, Trulicity, and some good old fashioned Diabetic Angst</t>
        </is>
      </c>
      <c r="C7426" t="inlineStr">
        <is>
          <t>After having been diagnosed with type 2 (insulin dependent) in July of 2017 and bouncing from insurance plan to insurance plan, I finally managed to see an endo for the very first time last month. I described my diabetes, how I got diagnosed at a young age (26), how I’ve been on a low dose of Levemir that doesn’t seem to be helping as much as it should be, the long line of relatives that got diagnosed in their mid to late 20s and my European ancestry. She then dropped the MODY bomb on me. After much obsessive research and feverish texts to my mother, she’s going to bring it up to her endo and request genetic testing. So at this point, MODY isn’t confirmed, I’m just suspicious. 
Like a couple of people with type 2 that I’ve talked to, I’ve been working through some shame related to my diagnosis. There’s always been that little voice in the back of my head saying “you did this to yourself, you fat fuck” in addition to all the vitriol I see spewed across every comment thread about type 2 known to humankind. It’s enough to make anyone feel a little guilty. But now that there’s even a glimmer of a possibility that my diabetes could be genetic, inherited, completely out of my control? I’ve felt layers of guilt fall away from me ever since my appointment, which brings about it’s own complex set of emotions, including a different kind of guilt. I guess the testing will tell the truth in time, but until the results come in it’s just another uncomfortable waiting game. Anyone who has gone through with genetic testing have any advice as to what to expect?
Another uncomfortable waiting game is seeing how Trulicity will effect me long term. I started my first dose last week (no longer on insulin, yay), and my appetite has vanished along with a time during which I existed without nausea. I’m not upset about my appetite, but I am pretty not cool with the nausea. Does anyone have any experience with this? I’d love for you to say it gets better, but honestly any kind of commiseration would be great.</t>
        </is>
      </c>
      <c r="D7426" t="n">
        <v>4</v>
      </c>
      <c r="E7426" t="n">
        <v>2</v>
      </c>
      <c r="F7426">
        <f>HYPERLINK("https://www.reddit.com/r/diabetes/comments/d1mlhq/mody_trulicity_and_some_good_old_fashioned/")</f>
        <v/>
      </c>
      <c r="G7426" t="inlineStr">
        <is>
          <t>2019-09-08 22:27:32</t>
        </is>
      </c>
      <c r="H7426" t="inlineStr">
        <is>
          <t>Type 2</t>
        </is>
      </c>
    </row>
    <row r="7427">
      <c r="A7427" t="inlineStr">
        <is>
          <t>d1rat6</t>
        </is>
      </c>
      <c r="B7427" t="inlineStr">
        <is>
          <t>“yay low blood sugar-_-”</t>
        </is>
      </c>
      <c r="C7427" t="inlineStr">
        <is>
          <t>On friday at school, i had nothing to eat that day, and my blood sugar got so low, i started physically shaking😳 i hate when it gets that low because i start to feel really sick:/ does anyone else get like that?</t>
        </is>
      </c>
      <c r="D7427" t="n">
        <v>2</v>
      </c>
      <c r="E7427" t="n">
        <v>13</v>
      </c>
      <c r="F7427">
        <f>HYPERLINK("https://www.reddit.com/r/diabetes/comments/d1rat6/yay_low_blood_sugar/")</f>
        <v/>
      </c>
      <c r="G7427" t="inlineStr">
        <is>
          <t>2019-09-09 07:01:33</t>
        </is>
      </c>
      <c r="H7427" t="inlineStr">
        <is>
          <t>Type 2</t>
        </is>
      </c>
    </row>
    <row r="7428">
      <c r="A7428" t="inlineStr">
        <is>
          <t>d1tein</t>
        </is>
      </c>
      <c r="B7428" t="inlineStr">
        <is>
          <t>Did anyone else get constant pain when they were on MDI?</t>
        </is>
      </c>
      <c r="C7428" t="inlineStr">
        <is>
          <t>I’m currently using an insulin pump (the tslim) and I just started using it this August and its my first ever insulin pump (and my first diaversary was a couple weeks ago)
I was on this subreddits discord server after doing a site change for my pump, and was complaining about how much the location of the removed site hurt despite the site feeling completely fine *before* removal (but it *had* been 3 days so I had to change it), but at least it’s only a pain for a few hours only once every 3 days unlike the constant pain of MDI
And then I had three different people all go “....yeah no constant pain on MDI doesn’t sound normal!” and was suggested to talk to my nurse about it. I sent her an email to my nurse, and she responded with “It is unusual and I would suggest you bring it up with your physician.” 
Now I’m just wondering if there’s anyone else who also experienced lingering pain after doing injections?
In the course of the last year I’ve gotten to inject humalog (100u and 200u concentrations, and now back to 100u for the pump), lantus (100u), tresiba (200u), and victoza, and ALL injections always cause lingering pain for a while. And I WAS rotating injection sites!
Not pain in the way lantus burns, but I’d just get lingering *aches* for a couple hours (up to 4-6 hours in the worst cases 😩)
I’d never brought it up with my nurse before because I just....assumed it’s normal to be in pain after stabbing myself and forcing a liquid into somewhere it isn’t supposed to be? 🤷🏻‍♀️</t>
        </is>
      </c>
      <c r="D7428" t="n">
        <v>3</v>
      </c>
      <c r="E7428" t="n">
        <v>10</v>
      </c>
      <c r="F7428">
        <f>HYPERLINK("https://www.reddit.com/r/diabetes/comments/d1tein/did_anyone_else_get_constant_pain_when_they_were/")</f>
        <v/>
      </c>
      <c r="G7428" t="inlineStr">
        <is>
          <t>2019-09-09 09:42:44</t>
        </is>
      </c>
      <c r="H7428" t="inlineStr">
        <is>
          <t>Type 1</t>
        </is>
      </c>
    </row>
    <row r="7429">
      <c r="A7429" t="inlineStr">
        <is>
          <t>d1tgz1</t>
        </is>
      </c>
      <c r="B7429" t="inlineStr">
        <is>
          <t>Unexpected BG rises - what would you do?</t>
        </is>
      </c>
      <c r="C7429" t="inlineStr">
        <is>
          <t>I've been having an issue with my BG rising in the morning and late afternoon, and I'm not sure what else to do about it.
For the afternoon one, its the same thing most days and typically looks like this:
* Noon: BG around 6.5mmol/L, inject NovoRapid, eat lunch
* 2pm: BG has risen to a peak of 10-11mmol/L and is now steadying out or beginning to fall
* 3pm: BG continues to fall and is almost back to pre-lunch reading
* 4:30pm: BG is starting to rise, from 6.5 to 8mmol/L
* 5pm: still rising, now 10mmol/L
* 6pm: still rising, now 13-14mmol/L
* 6.30pm: Inject for and eat evening meal
I always get this fall, then rise. Sometimes it keeps on falling and I have to have a small amount of fast acting carbs (10g or so) to prevent a hypo happening, but then it still rises but now even faster. If I don't eat, then I do hypo.
My lunch is usually the same thing, or close to it. A sandwich on wholemeal bread, bag of crisps (potato chips), fruit (apple, orange, pear, or banana). So I've eliminated the food being a variable by sticking to the same thing to test.
I've increased my basal (Tresiba) but this causes more hypos. I take 16 units of Tresiba - if I take 15 that's too few, 17 is too many. I've amended these and experimented to find the sweet spot of 16u.
What else can I try to prevent this afternoon climb every single day? I'm hesitant to take another bolus dose mid afternoon as I find it hard enough to plan my exercise as it is on MDI and having more NovoRapid in the system when I run is a guaranteed hypo, but having this rise everyday at the same time/in the same way is driving me crazy!
Thank you!</t>
        </is>
      </c>
      <c r="D7429" t="n">
        <v>2</v>
      </c>
      <c r="E7429" t="n">
        <v>10</v>
      </c>
      <c r="F7429">
        <f>HYPERLINK("https://www.reddit.com/r/diabetes/comments/d1tgz1/unexpected_bg_rises_what_would_you_do/")</f>
        <v/>
      </c>
      <c r="G7429" t="inlineStr">
        <is>
          <t>2019-09-09 09:48:03</t>
        </is>
      </c>
      <c r="H7429" t="inlineStr">
        <is>
          <t>Type 1</t>
        </is>
      </c>
    </row>
    <row r="7430">
      <c r="A7430" t="inlineStr">
        <is>
          <t>d1xhfz</t>
        </is>
      </c>
      <c r="B7430" t="inlineStr">
        <is>
          <t>Constant low blood sugars. Help!</t>
        </is>
      </c>
      <c r="C7430" t="inlineStr">
        <is>
          <t>Hi, I'm a 22 years old female type one diabetic. 
Today, two hours after dinner my blood sugar went low (40). 
I treated it, then three hours after dinner I felt low again and it was 80. I treated it again. 
One hour later, I felt low again and it was 70.
And one hour later, again, I went low.
There's no more insulin in my system for hours and I haven't even taken my Lantus because I'm scared to go to bed.
I'm starting to feel low again and I don't know what to do.
I should also mention that not long ago I dealt with a traumatic experience that made my blood sugars go crazy because of the stress, and now as everything is good again, my sugars are back in check.
However, I cannot explain the low blood sugars now. 
Has someone dealt with this? Please help.</t>
        </is>
      </c>
      <c r="D7430" t="n">
        <v>2</v>
      </c>
      <c r="E7430" t="n">
        <v>17</v>
      </c>
      <c r="F7430">
        <f>HYPERLINK("https://www.reddit.com/r/diabetes/comments/d1xhfz/constant_low_blood_sugars_help/")</f>
        <v/>
      </c>
      <c r="G7430" t="inlineStr">
        <is>
          <t>2019-09-09 14:32:52</t>
        </is>
      </c>
      <c r="H7430" t="inlineStr">
        <is>
          <t>Type 1</t>
        </is>
      </c>
    </row>
    <row r="7431">
      <c r="A7431" t="inlineStr">
        <is>
          <t>d27pvf</t>
        </is>
      </c>
      <c r="B7431" t="inlineStr">
        <is>
          <t>Is it weird for me to feel guilty about my a1cs in the low 6s?</t>
        </is>
      </c>
      <c r="C7431" t="inlineStr">
        <is>
          <t>Apologies for any formatting issues, I'm on mobile.
I was diagnosed almost 1 year ago right before my birthday at age 19, and at first I really thought I was handling this disease well. Three months after diagnosis I got my a1c down to 6.0 and my doctor seemed really happy with my results. I know one other type 1 and she also told me that it was a great a1c, so I felt pretty proud of it. Since then my highest a1c has been 6.4 
I have made slight changes to my diet since diagnosis. I only drink diet soda, I don't drink fruit juices, and I try not to eat a ton of carbs. With that being said, I eat mostly the same things I did before diagnosis. I just bolus for it, and if it's something especially sugary or carby I make sure I pre-bolus.
I thought that this was working well for me, which made me really happy. Being able to eat what I like to eat has really helped cope with this disease, because it helps me feel normal. Everyone had told me that my a1c was great and that whatever I was doing was perfectly fine. Coming on this sub, however, I'm starting to feel guilty. I see a lot of people with a1cs in the low 5s and high 4s that heavily restrict what they're eating and now I feel like I should be doing that as well to be a "good diabetic". Is it okay to keep my a1c in the 6s? I'm a relatively thin person with a history of disordered thinking surrounding food so I'm worried that if I try cut out carbs all together I'll either 1) spiral into an eating disorder and worsened depression or 2) make things worse by trying to restrict all day and then binging at night. Thoughts? 
TLDR; I basically eat what I want and keep my a1c in the low 6s. I'm wondering if this is bad and I should cut out carbs to get into the 5s.</t>
        </is>
      </c>
      <c r="D7431" t="n">
        <v>3</v>
      </c>
      <c r="E7431" t="n">
        <v>19</v>
      </c>
      <c r="F7431">
        <f>HYPERLINK("https://www.reddit.com/r/diabetes/comments/d27pvf/is_it_weird_for_me_to_feel_guilty_about_my_a1cs/")</f>
        <v/>
      </c>
      <c r="G7431" t="inlineStr">
        <is>
          <t>2019-09-10 06:43:40</t>
        </is>
      </c>
      <c r="H7431" t="inlineStr">
        <is>
          <t>Type 1</t>
        </is>
      </c>
    </row>
    <row r="7432">
      <c r="A7432" t="inlineStr">
        <is>
          <t>d2a2z4</t>
        </is>
      </c>
      <c r="B7432" t="inlineStr">
        <is>
          <t>670g Won't Process BG</t>
        </is>
      </c>
      <c r="C7432" t="inlineStr">
        <is>
          <t>I've been on the 670g for almost two months now and for the most part it is great. My A1C was down a full percent after a month. However, recently I have had two, first-day-use, sensors refuse to process my BG. It will ask for a BG for automode and I will enter it. The pump says processing BG for about five minutes before asking for another one. The first time I was on the road and stopped at a gas station for about an hour before I called Medtronic. I basically got a "it is not supposed to do that" kind of response. I ended up fixing it by removing the transmitter and then starting over with the same sensor. It was good for the week after that. It happened again this past weekend so I removed the transmitter and started over right away. It has been fine so far. 
My questions is, has anyone found an easier way of correcting this issue? It is a pain to remove the adhesive, remove, charge and replace the transmitter, and re-connect everything. Its especially frustrating when it bumps my warm-up time later in the day and needs calibrating at 3am. 
btw this is my first time using reddit and its crazy how powerful it feels to see other diabetics talk about their challenges and victories! I've never had much chance to interact with other diabetics, it is kind of a relief.</t>
        </is>
      </c>
      <c r="D7432" t="n">
        <v>2</v>
      </c>
      <c r="E7432" t="n">
        <v>2</v>
      </c>
      <c r="F7432">
        <f>HYPERLINK("https://www.reddit.com/r/diabetes/comments/d2a2z4/670g_wont_process_bg/")</f>
        <v/>
      </c>
      <c r="G7432" t="inlineStr">
        <is>
          <t>2019-09-10 09:29:02</t>
        </is>
      </c>
      <c r="H7432" t="inlineStr">
        <is>
          <t>Type 1</t>
        </is>
      </c>
    </row>
    <row r="7433">
      <c r="A7433" t="inlineStr">
        <is>
          <t>d2aboq</t>
        </is>
      </c>
      <c r="B7433" t="inlineStr">
        <is>
          <t>Im going to be travelling soon</t>
        </is>
      </c>
      <c r="C7433" t="inlineStr">
        <is>
          <t>I'm going on a 14 hour flight this week and it's my first time flying or travelling ever since I got diagnosed and im really nervous, any advice.</t>
        </is>
      </c>
      <c r="D7433" t="n">
        <v>2</v>
      </c>
      <c r="E7433" t="n">
        <v>10</v>
      </c>
      <c r="F7433">
        <f>HYPERLINK("https://www.reddit.com/r/diabetes/comments/d2aboq/im_going_to_be_travelling_soon/")</f>
        <v/>
      </c>
      <c r="G7433" t="inlineStr">
        <is>
          <t>2019-09-10 09:44:18</t>
        </is>
      </c>
      <c r="H7433" t="inlineStr">
        <is>
          <t>Type 1</t>
        </is>
      </c>
    </row>
    <row r="7434">
      <c r="A7434" t="inlineStr">
        <is>
          <t>d2c106</t>
        </is>
      </c>
      <c r="B7434" t="inlineStr">
        <is>
          <t>Diabetic/Kidney Disease Consortium⚕</t>
        </is>
      </c>
      <c r="C7434" t="inlineStr">
        <is>
          <t>As the producers of the program point out, diabetes isn’t just produced by eating too various carbs, medications or genetics — it’s caused by a “certain environmental toxin.”
The toxin is a particulate described PM2.5 that is connected to insulin resistance. PM2.5 stands for “particulate matter 2.5” and according to a study written in the journal Diabetes Care in 2010, diabetes prevalence rises with increasing PM2.5 concentrations. read more  
 These are only some of the courses,theres a big list,if you want to see every cause,and more being added with the global research that is now taking place 
[http://www.malagasy.co.uk](http://www.malagasy.co.uk/)</t>
        </is>
      </c>
      <c r="D7434" t="n">
        <v>0</v>
      </c>
      <c r="E7434" t="n">
        <v>4</v>
      </c>
      <c r="F7434">
        <f>HYPERLINK("https://www.reddit.com/r/diabetes/comments/d2c106/diabetickidney_disease_consortium/")</f>
        <v/>
      </c>
      <c r="G7434" t="inlineStr">
        <is>
          <t>2019-09-10 11:33:28</t>
        </is>
      </c>
      <c r="H7434" t="inlineStr">
        <is>
          <t>Type 2</t>
        </is>
      </c>
    </row>
    <row r="7435">
      <c r="A7435" t="inlineStr">
        <is>
          <t>d2h847</t>
        </is>
      </c>
      <c r="B7435" t="inlineStr">
        <is>
          <t>Honeymoon Woes (Rant)</t>
        </is>
      </c>
      <c r="C7435" t="inlineStr">
        <is>
          <t>My honeymoon period has been kicking my ass lately. Just when you think you figure it all out, things shift dramatically. Two weeks ago I couldn't get my sugar to be stable, would just keep creeping up overnight and I'd wake up in the 200s, so I upped my basal does to 7 units Tresiba from 5 units. Worked great all of last week. Now, this week all of a sudden it seems that 7 units is too much and my I:CHO is all wonky. What used to be 1 unit per 20 carbs just sends me crazy low the last few days. Finally said screw it for dinner and ate about 40g carb of potatoes and only took 1 unit. Sitting pretty and stable at 160. I really wish it would end and all settle down.
Any other honeymooners that wanna rant?</t>
        </is>
      </c>
      <c r="D7435" t="n">
        <v>3</v>
      </c>
      <c r="E7435" t="n">
        <v>5</v>
      </c>
      <c r="F7435">
        <f>HYPERLINK("https://www.reddit.com/r/diabetes/comments/d2h847/honeymoon_woes_rant/")</f>
        <v/>
      </c>
      <c r="G7435" t="inlineStr">
        <is>
          <t>2019-09-10 17:10:44</t>
        </is>
      </c>
      <c r="H7435" t="inlineStr">
        <is>
          <t>Type 1</t>
        </is>
      </c>
    </row>
    <row r="7436">
      <c r="A7436" t="inlineStr">
        <is>
          <t>d2o11f</t>
        </is>
      </c>
      <c r="B7436" t="inlineStr">
        <is>
          <t>Rant</t>
        </is>
      </c>
      <c r="C7436" t="inlineStr">
        <is>
          <t>I am down right now, I'm worried I won't have a long live ahead, at 28, type 1 diabetes and just now my doctor said my urine have high protein, and it may effect my kidney, need motivation and ways prevent any further damage to my kidney</t>
        </is>
      </c>
      <c r="D7436" t="n">
        <v>8</v>
      </c>
      <c r="E7436" t="n">
        <v>23</v>
      </c>
      <c r="F7436">
        <f>HYPERLINK("https://www.reddit.com/r/diabetes/comments/d2o11f/rant/")</f>
        <v/>
      </c>
      <c r="G7436" t="inlineStr">
        <is>
          <t>2019-09-11 03:33:33</t>
        </is>
      </c>
      <c r="H7436" t="inlineStr">
        <is>
          <t>Type 1</t>
        </is>
      </c>
    </row>
    <row r="7437">
      <c r="A7437" t="inlineStr">
        <is>
          <t>d2pbhl</t>
        </is>
      </c>
      <c r="B7437" t="inlineStr">
        <is>
          <t>Question to ask; Diabetic father gets up in middle of night to eat</t>
        </is>
      </c>
      <c r="C7437" t="inlineStr">
        <is>
          <t>I was staying at my father place last night and while sleeping on the couch my father (type 2) always wakes around 12-1 to start snacking. It looks like he’s low glycemic foods, but they do have a large assortment of white breads. I was too much in a sleep daze to tell what he’s eating. I’ve seen this before; once he was munching on potato chips. Is this normal?  Is BS and AC1 always fluctuate every morning</t>
        </is>
      </c>
      <c r="D7437" t="n">
        <v>1</v>
      </c>
      <c r="E7437" t="n">
        <v>3</v>
      </c>
      <c r="F7437">
        <f>HYPERLINK("https://www.reddit.com/r/diabetes/comments/d2pbhl/question_to_ask_diabetic_father_gets_up_in_middle/")</f>
        <v/>
      </c>
      <c r="G7437" t="inlineStr">
        <is>
          <t>2019-09-11 05:25:16</t>
        </is>
      </c>
      <c r="H7437" t="inlineStr">
        <is>
          <t>Type 2</t>
        </is>
      </c>
    </row>
    <row r="7438">
      <c r="A7438" t="inlineStr">
        <is>
          <t>d2peez</t>
        </is>
      </c>
      <c r="B7438" t="inlineStr">
        <is>
          <t>How are your relationships with your dieticians?</t>
        </is>
      </c>
      <c r="C7438" t="inlineStr">
        <is>
          <t>Are you happy with how often you see them? Is the advice useful? I live in Canada and seeing a dietician is so infrequent that it feels hard to accomplish my goals.</t>
        </is>
      </c>
      <c r="D7438" t="n">
        <v>2</v>
      </c>
      <c r="E7438" t="n">
        <v>11</v>
      </c>
      <c r="F7438">
        <f>HYPERLINK("https://www.reddit.com/r/diabetes/comments/d2peez/how_are_your_relationships_with_your_dieticians/")</f>
        <v/>
      </c>
      <c r="G7438" t="inlineStr">
        <is>
          <t>2019-09-11 05:31:38</t>
        </is>
      </c>
      <c r="H7438" t="inlineStr">
        <is>
          <t>Type 2</t>
        </is>
      </c>
    </row>
    <row r="7439">
      <c r="A7439" t="inlineStr">
        <is>
          <t>d2vf8g</t>
        </is>
      </c>
      <c r="B7439" t="inlineStr">
        <is>
          <t>Am I just being a bitch?</t>
        </is>
      </c>
      <c r="C7439" t="inlineStr">
        <is>
          <t>So iv been going around with doctors for the better part of a year, I finally got a diagnosis after they tested my GAD antibodies. They diagnosed me with LADA. But I can’t get an appt. with an endo till November 15th. The past week my sugars have been so erratic from 50-300.  
I’m pissed, I’m depressed, I threw a fucking recliner off the porch this morning. I can’t eat what I used to without my sugar spiking to 200+. I forgot my Glucometer at home and went to class and started sweating and got panicky and realized I forgot my meter and just sat there and cried. It’s beating me up because I feel like I’m just being a bitch and that everyone else takes it way better than me. And I have type 1.5 so it’s like not as bad as most peoples, which I should be thankful for. 
I’m just really upset and need some compassion. Oh also they think I have a pheochromocytoma because my metinephrens were through the roof.</t>
        </is>
      </c>
      <c r="D7439" t="n">
        <v>6</v>
      </c>
      <c r="E7439" t="n">
        <v>16</v>
      </c>
      <c r="F7439">
        <f>HYPERLINK("https://www.reddit.com/r/diabetes/comments/d2vf8g/am_i_just_being_a_bitch/")</f>
        <v/>
      </c>
      <c r="G7439" t="inlineStr">
        <is>
          <t>2019-09-11 12:21:02</t>
        </is>
      </c>
      <c r="H7439" t="inlineStr">
        <is>
          <t>Type 1.5/LADA</t>
        </is>
      </c>
    </row>
    <row r="7440">
      <c r="A7440" t="inlineStr">
        <is>
          <t>d2wve4</t>
        </is>
      </c>
      <c r="B7440" t="inlineStr">
        <is>
          <t>I have some Dexcom sensors up for trade.</t>
        </is>
      </c>
      <c r="C7440" t="inlineStr">
        <is>
          <t>Howdy! My insurance will not cover the Dexcom transmitters (but will cover the sensors) so I have 4 sensors (exp date is 1-29-2020) up for trade for some libre sensors. I pay OOP for the Libre sensors and this month I'm sort of struggling (my insurance won't cover any complete CGM supplies). TIA!</t>
        </is>
      </c>
      <c r="D7440" t="n">
        <v>2</v>
      </c>
      <c r="E7440" t="n">
        <v>0</v>
      </c>
      <c r="F7440">
        <f>HYPERLINK("https://www.reddit.com/r/diabetes/comments/d2wve4/i_have_some_dexcom_sensors_up_for_trade/")</f>
        <v/>
      </c>
      <c r="G7440" t="inlineStr">
        <is>
          <t>2019-09-11 13:57:00</t>
        </is>
      </c>
      <c r="H7440" t="inlineStr">
        <is>
          <t>Type 1</t>
        </is>
      </c>
    </row>
    <row r="7441">
      <c r="A7441" t="inlineStr">
        <is>
          <t>d2xl4k</t>
        </is>
      </c>
      <c r="B7441" t="inlineStr">
        <is>
          <t>Minor just diagnosed</t>
        </is>
      </c>
      <c r="C7441" t="inlineStr">
        <is>
          <t>Any tips on relaxing while getting poked? Thanks</t>
        </is>
      </c>
      <c r="D7441" t="n">
        <v>2</v>
      </c>
      <c r="E7441" t="n">
        <v>5</v>
      </c>
      <c r="F7441">
        <f>HYPERLINK("https://www.reddit.com/r/diabetes/comments/d2xl4k/minor_just_diagnosed/")</f>
        <v/>
      </c>
      <c r="G7441" t="inlineStr">
        <is>
          <t>2019-09-11 14:45:33</t>
        </is>
      </c>
      <c r="H7441" t="inlineStr">
        <is>
          <t>Type 1</t>
        </is>
      </c>
    </row>
    <row r="7442">
      <c r="A7442" t="inlineStr">
        <is>
          <t>d2zzn9</t>
        </is>
      </c>
      <c r="B7442" t="inlineStr">
        <is>
          <t>How long does Dexcom take to reach out after the initial online questionnaire?</t>
        </is>
      </c>
      <c r="C7442" t="inlineStr">
        <is>
          <t>I filled out the Dexcom questionnaire on their website a few days ago and they said a rep would be in touch shortly to discuss the next steps. How long does the process take from start to finish? Could I expect to be using it within a month? I live in the midwest of the United States and am on medicaid. Thanks</t>
        </is>
      </c>
      <c r="D7442" t="n">
        <v>1</v>
      </c>
      <c r="E7442" t="n">
        <v>2</v>
      </c>
      <c r="F7442">
        <f>HYPERLINK("https://www.reddit.com/r/diabetes/comments/d2zzn9/how_long_does_dexcom_take_to_reach_out_after_the/")</f>
        <v/>
      </c>
      <c r="G7442" t="inlineStr">
        <is>
          <t>2019-09-11 17:42:15</t>
        </is>
      </c>
      <c r="H7442" t="inlineStr">
        <is>
          <t>Type 1</t>
        </is>
      </c>
    </row>
    <row r="7443">
      <c r="A7443" t="inlineStr">
        <is>
          <t>d31sz8</t>
        </is>
      </c>
      <c r="B7443" t="inlineStr">
        <is>
          <t>What was your lowest blood sugar reading?</t>
        </is>
      </c>
      <c r="C7443" t="inlineStr">
        <is>
          <t>For me, mine was 2.4 mmol. (or 43.2mg), nothing crazy. It was in the middle of the night when it happened, and I had apparently texted my mom "help." When she came into my room, my face had turned grey according to her, and I was panting very heavily. She got me fixed up real quick but I feel bad for scaring her lol. 
What's your story?</t>
        </is>
      </c>
      <c r="D7443" t="n">
        <v>2</v>
      </c>
      <c r="E7443" t="n">
        <v>11</v>
      </c>
      <c r="F7443">
        <f>HYPERLINK("https://www.reddit.com/r/diabetes/comments/d31sz8/what_was_your_lowest_blood_sugar_reading/")</f>
        <v/>
      </c>
      <c r="G7443" t="inlineStr">
        <is>
          <t>2019-09-11 20:07:39</t>
        </is>
      </c>
      <c r="H7443" t="inlineStr">
        <is>
          <t>Type 1</t>
        </is>
      </c>
    </row>
    <row r="7444">
      <c r="A7444" t="inlineStr">
        <is>
          <t>d32qp9</t>
        </is>
      </c>
      <c r="B7444" t="inlineStr">
        <is>
          <t>Where to get supplies (URGENT)</t>
        </is>
      </c>
      <c r="C7444" t="inlineStr">
        <is>
          <t>Hello all. This is my first post. I Am in need of some urgent advice. My insurance has changed and the supplier I receive my medical supplies from said that they must get prior approval from my doctors office for all my prescriptions. They said this could take 2+ weeks. Problem is I’m already running out of supplies and I still have 2 weeks to go as this went down yesterday. I am worried I’m going to run out of supplies for my pump and I’m already out of dexcom’s. Does anyone on this forum know where I could get supplies? My doctors office says they don’t like to give stuff out. I called dexcom but not sure they are too helpful. I also called JDRF. Any other ideas. Usually I wouldn’t post things like this on the internet but I’m freaking out.</t>
        </is>
      </c>
      <c r="D7444" t="n">
        <v>2</v>
      </c>
      <c r="E7444" t="n">
        <v>4</v>
      </c>
      <c r="F7444">
        <f>HYPERLINK("https://www.reddit.com/r/diabetes/comments/d32qp9/where_to_get_supplies_urgent/")</f>
        <v/>
      </c>
      <c r="G7444" t="inlineStr">
        <is>
          <t>2019-09-11 21:32:18</t>
        </is>
      </c>
      <c r="H7444" t="inlineStr">
        <is>
          <t>Type 1</t>
        </is>
      </c>
    </row>
    <row r="7445">
      <c r="A7445" t="inlineStr">
        <is>
          <t>d32v2k</t>
        </is>
      </c>
      <c r="B7445" t="inlineStr">
        <is>
          <t>Still Rather New and worried</t>
        </is>
      </c>
      <c r="C7445" t="inlineStr">
        <is>
          <t>I was diagnosed with T1 about 4 months ago and although I did cry the first few nights after, it really hasn’t phased me much but I am scared of it. I get scared to face it or accept it as reality although I know it will never go away. I feel like if I just manage it well (which is easy as I’m a Honeymooner at the moment) and avoid thinking too much about it, that being diabetic is simply an inconvenience. 
I was wondering if y’all who have had it for much longer can tell me what it is going to be like in the future. I hear stories of people with bad side effects or even death and it makes me genuinely concerned for my future. Is it really that hard to manage or are the stories I hear just semi-rare cases. I’m scared for what life has in store for me when it comes to being diabetic. I guess I hope that I can live a 99% normal life and have diabetes always be just an inconvenience to manage properly but I’m unsure of how it will all play out. 
Any experience or encouragement or truths will be greatly appreciated. Maybe think back to when you were first diagnosed what you wish you knew. 
Thank you if you read this whole thing too lol.</t>
        </is>
      </c>
      <c r="D7445" t="n">
        <v>7</v>
      </c>
      <c r="E7445" t="n">
        <v>11</v>
      </c>
      <c r="F7445">
        <f>HYPERLINK("https://www.reddit.com/r/diabetes/comments/d32v2k/still_rather_new_and_worried/")</f>
        <v/>
      </c>
      <c r="G7445" t="inlineStr">
        <is>
          <t>2019-09-11 21:44:19</t>
        </is>
      </c>
      <c r="H7445" t="inlineStr">
        <is>
          <t>Type 1</t>
        </is>
      </c>
    </row>
    <row r="7446">
      <c r="A7446" t="inlineStr">
        <is>
          <t>d33jdu</t>
        </is>
      </c>
      <c r="B7446" t="inlineStr">
        <is>
          <t>Dexcom g5 calibration with multiple devices</t>
        </is>
      </c>
      <c r="C7446" t="inlineStr">
        <is>
          <t>Greetings all,  
I am using a Dexcom G5 and it's receiver as well as my android phone via xDrip+.  
Does the calibration change anything in the transmitter? i've been calibrating on both devices and just read about over-calibrating being able to confuse the system.  
Should i be entering my calibration BGs into both?  
Thanks in advance and for all the great advice i've gleaned from lurking.</t>
        </is>
      </c>
      <c r="D7446" t="n">
        <v>3</v>
      </c>
      <c r="E7446" t="n">
        <v>3</v>
      </c>
      <c r="F7446">
        <f>HYPERLINK("https://www.reddit.com/r/diabetes/comments/d33jdu/dexcom_g5_calibration_with_multiple_devices/")</f>
        <v/>
      </c>
      <c r="G7446" t="inlineStr">
        <is>
          <t>2019-09-11 22:53:51</t>
        </is>
      </c>
      <c r="H7446" t="inlineStr">
        <is>
          <t>Type 1</t>
        </is>
      </c>
    </row>
    <row r="7447">
      <c r="A7447" t="inlineStr">
        <is>
          <t>d38aww</t>
        </is>
      </c>
      <c r="B7447" t="inlineStr">
        <is>
          <t>UTI and Diabetes - how bad can it be?</t>
        </is>
      </c>
      <c r="C7447" t="inlineStr">
        <is>
          <t>I’ve been battling a UTI the past week and I was on a 3day treatment of 500 mg of Cipro. Low and behold, it didn’t go away so I had some 250mg of cipro so I’m trying to use that....it’s been so painful and some days I feel okay. 
Please tell me I’m not the only one that has experienced this....it’s making my life so miserable and depressed and I’ve never had a full blown one in my 20 years of being a T1 diabetic.</t>
        </is>
      </c>
      <c r="D7447" t="n">
        <v>3</v>
      </c>
      <c r="E7447" t="n">
        <v>16</v>
      </c>
      <c r="F7447">
        <f>HYPERLINK("https://www.reddit.com/r/diabetes/comments/d38aww/uti_and_diabetes_how_bad_can_it_be/")</f>
        <v/>
      </c>
      <c r="G7447" t="inlineStr">
        <is>
          <t>2019-09-12 06:59:00</t>
        </is>
      </c>
      <c r="H7447" t="inlineStr">
        <is>
          <t>Type 1</t>
        </is>
      </c>
    </row>
    <row r="7448">
      <c r="A7448" t="inlineStr">
        <is>
          <t>d38f4k</t>
        </is>
      </c>
      <c r="B7448" t="inlineStr">
        <is>
          <t>Low Carb Cereal?</t>
        </is>
      </c>
      <c r="C7448" t="inlineStr">
        <is>
          <t>I had no idea this existed! Cereal is one of those things I've missed terribly but just cannot handle. But I'm seeing companies like The Cereal School and Wholesome Protein advertising cereal with 1-4 grams of carbs per serving. It's pricier than normal for sure, so I was curious if anyone has tried these and had thoughts.</t>
        </is>
      </c>
      <c r="D7448" t="n">
        <v>3</v>
      </c>
      <c r="E7448" t="n">
        <v>5</v>
      </c>
      <c r="F7448">
        <f>HYPERLINK("https://www.reddit.com/r/diabetes/comments/d38f4k/low_carb_cereal/")</f>
        <v/>
      </c>
      <c r="G7448" t="inlineStr">
        <is>
          <t>2019-09-12 07:07:34</t>
        </is>
      </c>
      <c r="H7448" t="inlineStr">
        <is>
          <t>Type 1</t>
        </is>
      </c>
    </row>
    <row r="7449">
      <c r="A7449" t="inlineStr">
        <is>
          <t>d3aa0n</t>
        </is>
      </c>
      <c r="B7449" t="inlineStr">
        <is>
          <t>Early transmitter expiration</t>
        </is>
      </c>
      <c r="C7449" t="inlineStr">
        <is>
          <t>Is there any reason why my receiver would tell me "transmitter will expire in 14 days" and then it turned off a few days later? I didn't restart my sensor in this window. am I missing something or should I call dexcom? I'm using the g5</t>
        </is>
      </c>
      <c r="D7449" t="n">
        <v>2</v>
      </c>
      <c r="E7449" t="n">
        <v>4</v>
      </c>
      <c r="F7449">
        <f>HYPERLINK("https://www.reddit.com/r/diabetes/comments/d3aa0n/early_transmitter_expiration/")</f>
        <v/>
      </c>
      <c r="G7449" t="inlineStr">
        <is>
          <t>2019-09-12 09:19:56</t>
        </is>
      </c>
      <c r="H7449" t="inlineStr">
        <is>
          <t>Type 1</t>
        </is>
      </c>
    </row>
    <row r="7450">
      <c r="A7450" t="inlineStr">
        <is>
          <t>d3apl5</t>
        </is>
      </c>
      <c r="B7450" t="inlineStr">
        <is>
          <t>Peripheral Neuropathy or...?</t>
        </is>
      </c>
      <c r="C7450" t="inlineStr">
        <is>
          <t>My a1c is too high, but I've been steadily decreasing it of late. Been exercising more than ever in my life and eating very low or even zero carb with most of my meals. Despite this, I *think* I'm experiencing a sudden onset of diabetic peripheral neuropathy, but I'm not sure if my symptoms are consistent. Until I can get into my doctor to ask about it, was wondering if this sounds consistent with how it presents:
* Tip of pinky finger on left hand went slightly numb in late July.
* Tip of ring finger on left hand went slightly numb in early August.
* In late August, my left leg below the knee began to feel numb.
* In early September, my right leg below the knee began to feel numb.
* None of these areas are severely numb and there's no pain associated with the changes.
* In both my legs, the numbness didn't start in my toes/foot and spread to my calves; in each case, I just woke up one morning with general numbness below the knee.
I don't think the numbness in my fingers can be rationalized, but I have been pushing my legs rather hard (i.e. in the three days prior to the numbness in my left leg, I had run 4 miles one night, spent 20 minutes on the StairMaster the next, and then hiked 15 miles on the third). So I suppose I might have overexerted my legs and am simply not giving them time to recover? Never been that active in the past, so I don't know if this is possible or not.</t>
        </is>
      </c>
      <c r="D7450" t="n">
        <v>2</v>
      </c>
      <c r="E7450" t="n">
        <v>4</v>
      </c>
      <c r="F7450">
        <f>HYPERLINK("https://www.reddit.com/r/diabetes/comments/d3apl5/peripheral_neuropathy_or/")</f>
        <v/>
      </c>
      <c r="G7450" t="inlineStr">
        <is>
          <t>2019-09-12 09:49:42</t>
        </is>
      </c>
      <c r="H7450" t="inlineStr">
        <is>
          <t>Type 2</t>
        </is>
      </c>
    </row>
    <row r="7451">
      <c r="A7451" t="inlineStr">
        <is>
          <t>d3fj8x</t>
        </is>
      </c>
      <c r="B7451" t="inlineStr">
        <is>
          <t>Wondering about what can be done in public</t>
        </is>
      </c>
      <c r="C7451" t="inlineStr">
        <is>
          <t>So I am a teen diagnosed diabetic, and have been for just over a year. A few months into it, school started and I was checking my blood sugar (did not have Dexcom yet) a decent amount because I hadn't been in that position before and was paranoid that  I would go low. I did it and my insulin in front of my two best friends and she said she felt as though I was treating it as though it was a party trick, which really upset me. Then my mom said that I should always excuse myself when I'm doing insulin (which is fine, I totally get that some people hate shots, btw I'm on a pen).  However, this got me thinking about what is okay to do in public/ around other people or family. I have a CGM now and am getting a pump soon, so it shouldn't be that big of a deal, but I just wanted to get some opinions.</t>
        </is>
      </c>
      <c r="D7451" t="n">
        <v>16</v>
      </c>
      <c r="E7451" t="n">
        <v>43</v>
      </c>
      <c r="F7451">
        <f>HYPERLINK("https://www.reddit.com/r/diabetes/comments/d3fj8x/wondering_about_what_can_be_done_in_public/")</f>
        <v/>
      </c>
      <c r="G7451" t="inlineStr">
        <is>
          <t>2019-09-12 15:23:59</t>
        </is>
      </c>
      <c r="H7451" t="inlineStr">
        <is>
          <t>Type 1</t>
        </is>
      </c>
    </row>
    <row r="7452">
      <c r="A7452" t="inlineStr">
        <is>
          <t>d3hk1m</t>
        </is>
      </c>
      <c r="B7452" t="inlineStr">
        <is>
          <t>28 days using the Freestyle Libre 14 day</t>
        </is>
      </c>
      <c r="C7452" t="inlineStr">
        <is>
          <t>So I will put on my third Libre sensor tomorrow. I fucking love this thing. 446 scans later and zero complaints. 28 years of sticking my finger is over for the most part. I previously checked no less than 5 times a day and maybe as much as 10 if I had an upset I needed to manage. Insurance won’t pay for the Libre but for $225 I got a reader and 2 sensors vs $1600 for a Dexcom 6 and sensors. Really nice to know if my blood sugar in moving up, down or holding without multiple tests. Test strips are covered 100% on my insurance so I wasn’t sure if it was going to be worth the price but after using this I won’t go back to finger sticks. My A1C was 6.0 a couple months ago and I have no doubt it will be even better on my next test. This rig is a game changer.</t>
        </is>
      </c>
      <c r="D7452" t="n">
        <v>2</v>
      </c>
      <c r="E7452" t="n">
        <v>1</v>
      </c>
      <c r="F7452">
        <f>HYPERLINK("https://www.reddit.com/r/diabetes/comments/d3hk1m/28_days_using_the_freestyle_libre_14_day/")</f>
        <v/>
      </c>
      <c r="G7452" t="inlineStr">
        <is>
          <t>2019-09-12 18:02:17</t>
        </is>
      </c>
      <c r="H7452" t="inlineStr">
        <is>
          <t>Type 1</t>
        </is>
      </c>
    </row>
    <row r="7453">
      <c r="A7453" t="inlineStr">
        <is>
          <t>d3i5bg</t>
        </is>
      </c>
      <c r="B7453" t="inlineStr">
        <is>
          <t>My A1C is the lowest it's ever been</t>
        </is>
      </c>
      <c r="C7453" t="inlineStr">
        <is>
          <t>I'm a fairly new diabetic (type one), 4-5 years, compared to all the other diabetics on here. I recently got a Freestyle Libre and that's the newest thing I've gotten since my pump when I had diabetes for two years.
My Libre has helped me so much, and makes it so much easier for me to monitor my blood sugars during my classes. (I'm a freshman) 
My A1C is now 7.6, and I'm proud of it. It's usually around 7.8-7.9, and has stayed there for for a long time. It's not that low of an A1C, but I felt proud enough to share it.</t>
        </is>
      </c>
      <c r="D7453" t="n">
        <v>32</v>
      </c>
      <c r="E7453" t="n">
        <v>13</v>
      </c>
      <c r="F7453">
        <f>HYPERLINK("https://www.reddit.com/r/diabetes/comments/d3i5bg/my_a1c_is_the_lowest_its_ever_been/")</f>
        <v/>
      </c>
      <c r="G7453" t="inlineStr">
        <is>
          <t>2019-09-12 18:50:35</t>
        </is>
      </c>
      <c r="H7453" t="inlineStr">
        <is>
          <t>Type 1</t>
        </is>
      </c>
    </row>
    <row r="7454">
      <c r="A7454" t="inlineStr">
        <is>
          <t>d3i68i</t>
        </is>
      </c>
      <c r="B7454" t="inlineStr">
        <is>
          <t>Told to hide myself when I need to do a blood test</t>
        </is>
      </c>
      <c r="C7454" t="inlineStr">
        <is>
          <t>Just need to vent here.
I work at a mental health clinic, have been for almost a year. Was just told the other day by my supervisor that I need to be out of the public in order to test my blood sugar. I didn't show any emotion when my supe to me this, but was insulted and frustrated. Still am.
I've been testing when I needed to at that place since I got there, and only now is the supervisor mentioning it?! I think what made this person say that is they noticed me testing at my station because their office was right behind me, and I hadn't kept my back to them while doing what I do like normal.
Anyway, that's it. Felt good to finally get that out.</t>
        </is>
      </c>
      <c r="D7454" t="n">
        <v>4</v>
      </c>
      <c r="E7454" t="n">
        <v>5</v>
      </c>
      <c r="F7454">
        <f>HYPERLINK("https://www.reddit.com/r/diabetes/comments/d3i68i/told_to_hide_myself_when_i_need_to_do_a_blood_test/")</f>
        <v/>
      </c>
      <c r="G7454" t="inlineStr">
        <is>
          <t>2019-09-12 18:52:34</t>
        </is>
      </c>
      <c r="H7454" t="inlineStr">
        <is>
          <t>Type 1</t>
        </is>
      </c>
    </row>
    <row r="7455">
      <c r="A7455" t="inlineStr">
        <is>
          <t>d3kilq</t>
        </is>
      </c>
      <c r="B7455" t="inlineStr">
        <is>
          <t>I went to Hospital yesterday for check up.</t>
        </is>
      </c>
      <c r="C7455" t="inlineStr">
        <is>
          <t>First Time post here. 
My blood sugar have gone down to 106 which is great, 
but I am quite ambivalent right now.
10/09 is my birthday 
and I skipped my birthday cake for checkup on 12/09. 
I am content about the check up result and here I am still thinking about my birthday cake.</t>
        </is>
      </c>
      <c r="D7455" t="n">
        <v>4</v>
      </c>
      <c r="E7455" t="n">
        <v>4</v>
      </c>
      <c r="F7455">
        <f>HYPERLINK("https://www.reddit.com/r/diabetes/comments/d3kilq/i_went_to_hospital_yesterday_for_check_up/")</f>
        <v/>
      </c>
      <c r="G7455" t="inlineStr">
        <is>
          <t>2019-09-12 22:16:22</t>
        </is>
      </c>
      <c r="H7455" t="inlineStr">
        <is>
          <t>Type 2</t>
        </is>
      </c>
    </row>
    <row r="7456">
      <c r="A7456" t="inlineStr">
        <is>
          <t>d3ukha</t>
        </is>
      </c>
      <c r="B7456" t="inlineStr">
        <is>
          <t>Waking up with low blood sugar question</t>
        </is>
      </c>
      <c r="C7456" t="inlineStr">
        <is>
          <t>Hi everyone! I'm posting on behalf of my dad who has type 1. Recently he's had a few incidents of waking up at night with extremely low blood sugar. I thought maybe it would be a good idea to keep healthy snacks by his bed, but I'm not an expert so I don't want to suggest anything without consulting others. Unfortunately, his doctor has been no help. She only dedicates 10-15 minutes to each patient. When we told her about what was going on all she said, "I can't help with that, you need to see a nutritionist." And then didn't give him a referral. Any tips for combating the overnight lows would be really appreciated! Thank you in advance!</t>
        </is>
      </c>
      <c r="D7456" t="n">
        <v>3</v>
      </c>
      <c r="E7456" t="n">
        <v>3</v>
      </c>
      <c r="F7456">
        <f>HYPERLINK("https://www.reddit.com/r/diabetes/comments/d3ukha/waking_up_with_low_blood_sugar_question/")</f>
        <v/>
      </c>
      <c r="G7456" t="inlineStr">
        <is>
          <t>2019-09-13 12:49:34</t>
        </is>
      </c>
      <c r="H7456" t="inlineStr">
        <is>
          <t>Type 1</t>
        </is>
      </c>
    </row>
    <row r="7457">
      <c r="A7457" t="inlineStr">
        <is>
          <t>d3up6y</t>
        </is>
      </c>
      <c r="B7457" t="inlineStr">
        <is>
          <t>Pump overdosing?</t>
        </is>
      </c>
      <c r="C7457" t="inlineStr">
        <is>
          <t>Ever since I returned to my teaching job in September, I've been getting a lot of low warnings, I'm constantly hungry, and I'm putting on weight. 
This is essentially what happens with overinsulinizing and Type II. I'm on a 670G. And I've had to fix three lows today alone. Is it possible that this thing is trying to kill me, and how do I stop it? 
Thanks. Gotta go get some carbs.</t>
        </is>
      </c>
      <c r="D7457" t="n">
        <v>1</v>
      </c>
      <c r="E7457" t="n">
        <v>8</v>
      </c>
      <c r="F7457">
        <f>HYPERLINK("https://www.reddit.com/r/diabetes/comments/d3up6y/pump_overdosing/")</f>
        <v/>
      </c>
      <c r="G7457" t="inlineStr">
        <is>
          <t>2019-09-13 12:58:50</t>
        </is>
      </c>
      <c r="H7457" t="inlineStr">
        <is>
          <t>Type 1</t>
        </is>
      </c>
    </row>
    <row r="7458">
      <c r="A7458" t="inlineStr">
        <is>
          <t>d3wn9d</t>
        </is>
      </c>
      <c r="B7458" t="inlineStr">
        <is>
          <t>Upgraded, free old sensors/receiver - Toronto Canada</t>
        </is>
      </c>
      <c r="C7458" t="inlineStr">
        <is>
          <t>Hi all, I just received and inserted my new G6 and cleaned out my dia-drawer in honor of the new arrival.
I didn't use my G4 or G5 much at all and I have a sensor from each left over and the receiver. Anyone want it? Free. I'd rather someone get use out of it (if anyone still uses these) than it just go in the garbage. I live in the west end of Toronto, Canada.
Sorry if this type of post is not allowed.</t>
        </is>
      </c>
      <c r="D7458" t="n">
        <v>3</v>
      </c>
      <c r="E7458" t="n">
        <v>3</v>
      </c>
      <c r="F7458">
        <f>HYPERLINK("https://www.reddit.com/r/diabetes/comments/d3wn9d/upgraded_free_old_sensorsreceiver_toronto_canada/")</f>
        <v/>
      </c>
      <c r="G7458" t="inlineStr">
        <is>
          <t>2019-09-13 15:24:52</t>
        </is>
      </c>
      <c r="H7458" t="inlineStr">
        <is>
          <t>Type 1</t>
        </is>
      </c>
    </row>
    <row r="7459">
      <c r="A7459" t="inlineStr">
        <is>
          <t>d3x4vb</t>
        </is>
      </c>
      <c r="B7459" t="inlineStr">
        <is>
          <t>Dietary/Bloodsuger Numbers Advice questions from a new person</t>
        </is>
      </c>
      <c r="C7459" t="inlineStr">
        <is>
          <t>Hey everyone,
&amp;amp;#x200B;
I'm a fairly recent person to all this; I was hospitalized four or five months ago with DKA, and since then I've been trying to adjust to everything. I'm going to give an accounting of what my diet is like lately, so if you want to skip that, feel free.
So, I've cut out nearly all bread from my diet (every other day or so I'll have a tortilla or two, or a sandwich or two, but it really is only one meal two or three times a week). Everything else, I've switched to the low-sugar, sugar-free, low-carb version. One exception is peanut butter, but even then, I've cut back. I used to eat PB&amp;amp;Js a lot, so I switched to doing this weird thing where I take a scoop of peanut butter and pour some jelly on that, and it's basically half a PB&amp;amp;J minus the bread. I thought that was going to improve my bloodsugar, because of the lack of bread, but that hasn't really made a difference (I suspect it might be because I ate more of those breadless PB&amp;amp;Js because I felt safer with them, but I haven't tested that hypothesis). Anyway, I eventually cut those out too. Now my two main meals at home are either some deli turkey with miracle whip and cheese (basically a breadless turkey sandwich, should be basicaly 0 carbs) and meatballs and frozen mixed veggies (also very low carbs). If I go out for fast food, it's almost always a salad at Subway (the occasional guilty trip to Taco Bell accounts for the tortillas I mentioned earlier). I drink a lot of water and milk (admittedly there are carbs there, but not a ton). I also eat a lot of pickles, string cheese, low-sugar popsicles and low-carb ice cream for snacks, and that's close to it.
What's bugging me is that my readings are still consistently over 200. I check in the morning and at night, when I do my injections. I'm not sure what it is I'm not doing. I could exercise more, but I already do some lifting at home and walk fifteen minutes to work and back every day. I stay hydrated throughout the day. Am I missing something?
One thing I'm suspecting (maybe you can tell me if there's any validity to this idea) is that I wonder if my insulin pens just aren't working right? See, I spent the summer abroad, so I had to get a large supply of them, so the pen that I'm currently using has been in the fridge (both here and abroad) for over three months. Is that too long? Or do humulin kwikpens not really expire that fast? 
I'm going to get an appointment with my endocrinologist soon, I just need to get my insurance re-upped first, but I kinda want to get my numbers under control first too. That's probably dumb, but it's just how I feel. Anyway, does anyone have any suggestions for things I can do more to get my numbers down? I'm mostly thinking of diet, but other ideas are appreciated.
&amp;amp;#x200B;
Thanks!</t>
        </is>
      </c>
      <c r="D7459" t="n">
        <v>3</v>
      </c>
      <c r="E7459" t="n">
        <v>3</v>
      </c>
      <c r="F7459">
        <f>HYPERLINK("https://www.reddit.com/r/diabetes/comments/d3x4vb/dietarybloodsuger_numbers_advice_questions_from_a/")</f>
        <v/>
      </c>
      <c r="G7459" t="inlineStr">
        <is>
          <t>2019-09-13 16:02:53</t>
        </is>
      </c>
      <c r="H7459" t="inlineStr">
        <is>
          <t>Type 2</t>
        </is>
      </c>
    </row>
    <row r="7460">
      <c r="A7460" t="inlineStr">
        <is>
          <t>d435jh</t>
        </is>
      </c>
      <c r="B7460" t="inlineStr">
        <is>
          <t>Hi, I'm 13 and T1 and have a problem.</t>
        </is>
      </c>
      <c r="C7460" t="inlineStr">
        <is>
          <t>Hey guys, I was diagnosed a year ago with T1, and it was all going fine, I was taking and everything was cool until now. A few days ago I've had extremely high blood sugar, and have thrown up 3 times, I skipped school and took care of myself and everything went fine, until today... I've thrown up 2 more times and have no idea what to do, my blood sugar 13.7 mmol/L.</t>
        </is>
      </c>
      <c r="D7460" t="n">
        <v>13</v>
      </c>
      <c r="E7460" t="n">
        <v>22</v>
      </c>
      <c r="F7460">
        <f>HYPERLINK("https://www.reddit.com/r/diabetes/comments/d435jh/hi_im_13_and_t1_and_have_a_problem/")</f>
        <v/>
      </c>
      <c r="G7460" t="inlineStr">
        <is>
          <t>2019-09-14 02:42:14</t>
        </is>
      </c>
      <c r="H7460" t="inlineStr">
        <is>
          <t>Type 1</t>
        </is>
      </c>
    </row>
    <row r="7461">
      <c r="A7461" t="inlineStr">
        <is>
          <t>d44lsv</t>
        </is>
      </c>
      <c r="B7461" t="inlineStr">
        <is>
          <t>Fenugreek</t>
        </is>
      </c>
      <c r="C7461" t="inlineStr">
        <is>
          <t>No kids, this is not your usual cinnamon post. But, I would like to hear your experiences.
These days I am nursing my baby, and having some low milk supply issues. When I went to a lactation consultant, she said they usually suggest taking some fenugreek supplement but that in my case it is not suggested because I am diabetic and fenugreek is known to potentially cause hypoglycemia. So,
I didn’t take it.
However, if you days ago I bought some tea that is supposed to help milk supply, and have been drinking it. Over the days that I’ve been drinking it, I have had a number of unexpected and extreme drops in my blood sugar, much stronger reactions than normal to a bolus. Lo and behold, I checked the tea ingredients and there is fenugreek in it.
Was just wondering if the crashes were related to the tea, or something else. The tea has definitely helped my milk supply, so I’d like to keep taking it, but not if it’s going to make these drops keep occurring.
Any experience with this supplement?</t>
        </is>
      </c>
      <c r="D7461" t="n">
        <v>3</v>
      </c>
      <c r="E7461" t="n">
        <v>4</v>
      </c>
      <c r="F7461">
        <f>HYPERLINK("https://www.reddit.com/r/diabetes/comments/d44lsv/fenugreek/")</f>
        <v/>
      </c>
      <c r="G7461" t="inlineStr">
        <is>
          <t>2019-09-14 05:34:16</t>
        </is>
      </c>
      <c r="H7461" t="inlineStr">
        <is>
          <t>Type 1</t>
        </is>
      </c>
    </row>
    <row r="7462">
      <c r="A7462" t="inlineStr">
        <is>
          <t>d46khq</t>
        </is>
      </c>
      <c r="B7462" t="inlineStr">
        <is>
          <t>Newly Diagnosed T1, feeling horribly depressed (26f)</t>
        </is>
      </c>
      <c r="C7462" t="inlineStr">
        <is>
          <t>Little BG:
For weeks I had been feeling just \*weird\*. Then I started chugging insane amounts of water, but it would never quench my thirst. I remember on day being like... 'Have I always drank this much???' I was peeing so much, I thought I was going insane. I'd wake up with my lips stuck to my gums and my mouth covered in white. To boot I was on vacation eating like shit and somehow I'd lost like almost 15 pounds. I look up what this might be and... diabetes is the first thing that pops up. I think to myself... its must be type 2- cause I'm overweight and ate like a whole bag of Cheetos. I told myself type 2 is manageable and I can figure it out. 
I got home and waited a few days, hoping cutting back on eating would make it better- it didn't. Finally I felt like I had to see what my blood sugar was. I used to do CNA stuff (elderly home care) and take care of my grandparents- both of which made me familiar with diabetes (which spurred me to buy blood glucose tester from amazon out of curiosity a few years back). So I dug it out and tested my blood. 294! I know there's higher than that now, but at the time I thought I was legit dying. I'd never seen it so high from my grandparents or clients unless they downed a cake or something. I knew I had diabetes for sure.
In my fit of melodrama I went to the ER where they then admitted me for diabetic ketoacidosis, said my sugar was at 312.  I had bad shit in my pee. I was there for almost 4 days. It was a nightmare. I couldn't eat the first 2 days (I was one dextrose). I was on like five bags of fluid. The potassium they gave me was the worst pain of my life. I could only take naps here and there, as every few hours they would take a vial or two of my blood for testing. Literally there are holes up and down my arms and hands. Apparently I was severely dehydrated. I thought it was nightmare, for real. In all I spent 3 days in the ICU and 1 regular day to watch me.
Biggest shock of all of this was the Doc/nurses saying it was type 1! The incurable one! I cried. I felt sorry for myself. I just don't get how this happened. I don't know my fathers side, but no one on my mom's side has diabetes type 1! But I held on to hope that it was type 2 until I saw the Endo and he said type 1 as well.
Now I have to deal with this for the rest of my life. WHY?
To make it worse my sugar hasn't been under 200 the whole time I've been home!! I'm doing what they tell me? I don't want to eat carbs at all anymore- but they're telling me I have to. So I have been eating half and apple or a slice of wheat bread with my meals. One day I woke up with 311 sugar!! I hadn't eaten anything since 6pm the day before. I JUST DON'T GET IT.
I'm so frustrated. I'm scared cause I've been getting tingles in my left hand and feet. I feel like I'd rather be dead than lose a foot or something. I hate this. how do people deal with this?? And to boot my husband is leaving the military so I won't have insurance anymore! I fucking hate this.</t>
        </is>
      </c>
      <c r="D7462" t="n">
        <v>8</v>
      </c>
      <c r="E7462" t="n">
        <v>68</v>
      </c>
      <c r="F7462">
        <f>HYPERLINK("https://www.reddit.com/r/diabetes/comments/d46khq/newly_diagnosed_t1_feeling_horribly_depressed_26f/")</f>
        <v/>
      </c>
      <c r="G7462" t="inlineStr">
        <is>
          <t>2019-09-14 08:24:20</t>
        </is>
      </c>
      <c r="H7462" t="inlineStr">
        <is>
          <t>Type 1</t>
        </is>
      </c>
    </row>
    <row r="7463">
      <c r="A7463" t="inlineStr">
        <is>
          <t>d47g5o</t>
        </is>
      </c>
      <c r="B7463" t="inlineStr">
        <is>
          <t>Problems with blood sugar during training</t>
        </is>
      </c>
      <c r="C7463" t="inlineStr">
        <is>
          <t>Hi. I'm 19 years old and I have type I diabetes. Recently I started excersising regularly and because of that my blood sugars has started to go wild. In example, when I exercise in the morning my sugar keeps dropping drastically during the rest of the day, and when I go for a run in the evening, I can't sleep at night because of the constant blood sugar drops. I already consulted this issue with my doctor and she told me to eat something before exercise, but quite frankly that didn't help at all. Even after eating like 500 calories before training, my blood sugar keeps dropping during and after excerise. Now I'm wondering if any of you guys have some experience in dealing with this problem. What do you do, to keep your blood sugar in check while being physically active? Honestly, the constant sugar drops turn every day into a constant game of cat and mouse with diabetes, which I'm gonna loose eventually.</t>
        </is>
      </c>
      <c r="D7463" t="n">
        <v>3</v>
      </c>
      <c r="E7463" t="n">
        <v>13</v>
      </c>
      <c r="F7463">
        <f>HYPERLINK("https://www.reddit.com/r/diabetes/comments/d47g5o/problems_with_blood_sugar_during_training/")</f>
        <v/>
      </c>
      <c r="G7463" t="inlineStr">
        <is>
          <t>2019-09-14 09:32:10</t>
        </is>
      </c>
      <c r="H7463" t="inlineStr">
        <is>
          <t>Type 1</t>
        </is>
      </c>
    </row>
    <row r="7464">
      <c r="A7464" t="inlineStr">
        <is>
          <t>d4ldjl</t>
        </is>
      </c>
      <c r="B7464" t="inlineStr">
        <is>
          <t>Ed Gamble: Blood Sugar (Stand-up Comedy for Diabetics By a Diabetic)</t>
        </is>
      </c>
      <c r="C7464" t="inlineStr">
        <is>
          <t>if you haven't seen it, its really funny if you like stand up comedy. He just points out to aspects of diabetic life brilliantly, can't stop laughing right now - wanted to share it.</t>
        </is>
      </c>
      <c r="D7464" t="n">
        <v>4</v>
      </c>
      <c r="E7464" t="n">
        <v>2</v>
      </c>
      <c r="F7464">
        <f>HYPERLINK("https://www.reddit.com/r/diabetes/comments/d4ldjl/ed_gamble_blood_sugar_standup_comedy_for/")</f>
        <v/>
      </c>
      <c r="G7464" t="inlineStr">
        <is>
          <t>2019-09-15 07:48:08</t>
        </is>
      </c>
      <c r="H7464" t="inlineStr">
        <is>
          <t>Type 1</t>
        </is>
      </c>
    </row>
    <row r="7465">
      <c r="A7465" t="inlineStr">
        <is>
          <t>d4p8xj</t>
        </is>
      </c>
      <c r="B7465" t="inlineStr">
        <is>
          <t>How to handle a 54year old diabetic dad suffering with loss of appetite and intense weight loss refusing advice/food?</t>
        </is>
      </c>
      <c r="C7465" t="inlineStr">
        <is>
          <t>I am at loss of words how to handle the situation, we as a family have tried about whatever we could to cook up the best possible food that my father wishes, but for some reason he doesn't feel like eating it and always wants to try out something else which he again refuses to eat whole heartedly. 
He likes to take a lot of responsibility and doesn't believe in delegating, this personality of his is taking a toll on this health, I have had countless sitdowns with him where I have strongly suggested that he doesn't need to undertake chores, he can ask me to do it for him, I cant understand for the love of god why he doesn't tell me. He has lost nearly 8 kgs in the past 6 months, which is insanely alarming, we are going revisit a diabetes specialist this weekend to get some suggestions on his condition and how to improve it and thought if anyone here managed to overcome sudden loss of appetite and weight loss</t>
        </is>
      </c>
      <c r="D7465" t="n">
        <v>2</v>
      </c>
      <c r="E7465" t="n">
        <v>7</v>
      </c>
      <c r="F7465">
        <f>HYPERLINK("https://www.reddit.com/r/diabetes/comments/d4p8xj/how_to_handle_a_54year_old_diabetic_dad_suffering/")</f>
        <v/>
      </c>
      <c r="G7465" t="inlineStr">
        <is>
          <t>2019-09-15 12:31:59</t>
        </is>
      </c>
      <c r="H7465" t="inlineStr">
        <is>
          <t>Type 2</t>
        </is>
      </c>
    </row>
    <row r="7466">
      <c r="A7466" t="inlineStr">
        <is>
          <t>d4qdar</t>
        </is>
      </c>
      <c r="B7466" t="inlineStr">
        <is>
          <t>Correlating nightmares with high readings</t>
        </is>
      </c>
      <c r="C7466" t="inlineStr">
        <is>
          <t>For quite some time, dating back to my childhood, I’ve had stronger and more numerous nightmares than most people I talk with. Only since getting my pump have I had the data to see any real connection. To my surprise, at least for me, there is a direct correlation. Often when I’m really high, I don’t sleep well so I may not have / recall dreams, but if I’m in the zone of 200-300 I’m finding the nightmares are frequent and intense. Anyone else have this experience or wondered about it?</t>
        </is>
      </c>
      <c r="D7466" t="n">
        <v>2</v>
      </c>
      <c r="E7466" t="n">
        <v>3</v>
      </c>
      <c r="F7466">
        <f>HYPERLINK("https://www.reddit.com/r/diabetes/comments/d4qdar/correlating_nightmares_with_high_readings/")</f>
        <v/>
      </c>
      <c r="G7466" t="inlineStr">
        <is>
          <t>2019-09-15 13:53:27</t>
        </is>
      </c>
      <c r="H7466" t="inlineStr">
        <is>
          <t>Type 1</t>
        </is>
      </c>
    </row>
    <row r="7467">
      <c r="A7467" t="inlineStr">
        <is>
          <t>d4thfx</t>
        </is>
      </c>
      <c r="B7467" t="inlineStr">
        <is>
          <t>Blood sugar keeps going low.</t>
        </is>
      </c>
      <c r="C7467" t="inlineStr">
        <is>
          <t>My girlfriend is a type 1 diabetic and took 6 units for lunch today at 12, she hasn’t taking anything since yet has drank Gatorade eaten candy to get it up but it keeps going right back down.</t>
        </is>
      </c>
      <c r="D7467" t="n">
        <v>3</v>
      </c>
      <c r="E7467" t="n">
        <v>2</v>
      </c>
      <c r="F7467">
        <f>HYPERLINK("https://www.reddit.com/r/diabetes/comments/d4thfx/blood_sugar_keeps_going_low/")</f>
        <v/>
      </c>
      <c r="G7467" t="inlineStr">
        <is>
          <t>2019-09-15 18:01:34</t>
        </is>
      </c>
      <c r="H7467" t="inlineStr">
        <is>
          <t>Type 1</t>
        </is>
      </c>
    </row>
    <row r="7468">
      <c r="A7468" t="inlineStr">
        <is>
          <t>d4xci5</t>
        </is>
      </c>
      <c r="B7468" t="inlineStr">
        <is>
          <t>Just had a nice little midnight pdm/pod breakage.</t>
        </is>
      </c>
      <c r="C7468" t="inlineStr">
        <is>
          <t>Can’t wait to not be able to give myself insulin til  3 in the morning. Not to mention the crippling tiredness I now have from changing my pod at 12:20. This is fine. I’m fine.</t>
        </is>
      </c>
      <c r="D7468" t="n">
        <v>3</v>
      </c>
      <c r="E7468" t="n">
        <v>0</v>
      </c>
      <c r="F7468">
        <f>HYPERLINK("https://www.reddit.com/r/diabetes/comments/d4xci5/just_had_a_nice_little_midnight_pdmpod_breakage/")</f>
        <v/>
      </c>
      <c r="G7468" t="inlineStr">
        <is>
          <t>2019-09-16 00:30:25</t>
        </is>
      </c>
      <c r="H7468" t="inlineStr">
        <is>
          <t>Type 1</t>
        </is>
      </c>
    </row>
    <row r="7469">
      <c r="A7469" t="inlineStr">
        <is>
          <t>d4xk3w</t>
        </is>
      </c>
      <c r="B7469" t="inlineStr">
        <is>
          <t>Mg/dL meaning</t>
        </is>
      </c>
      <c r="C7469" t="inlineStr">
        <is>
          <t>Hi guys! Im 19 years old, I have diabetes for 3 months and I control the sugar levels very well so far(80-100 daily), but my question may seem pretty stupid. What exactly mean mg/dL? Is it like 90 miligrams of sugar per 1 deciliter blood or anything?</t>
        </is>
      </c>
      <c r="D7469" t="n">
        <v>7</v>
      </c>
      <c r="E7469" t="n">
        <v>10</v>
      </c>
      <c r="F7469">
        <f>HYPERLINK("https://www.reddit.com/r/diabetes/comments/d4xk3w/mgdl_meaning/")</f>
        <v/>
      </c>
      <c r="G7469" t="inlineStr">
        <is>
          <t>2019-09-16 00:58:11</t>
        </is>
      </c>
      <c r="H7469" t="inlineStr">
        <is>
          <t>Type 1</t>
        </is>
      </c>
    </row>
    <row r="7470">
      <c r="A7470" t="inlineStr">
        <is>
          <t>d520nc</t>
        </is>
      </c>
      <c r="B7470" t="inlineStr">
        <is>
          <t>Dexcom G6 vs Guardian Connect</t>
        </is>
      </c>
      <c r="C7470" t="inlineStr">
        <is>
          <t>I've been given the option of using the Dexcom G6 or Guardian Connect CGMs. 
I am on the Medtronic 640G pump.
So far I have only ever used Dexcom G5 and G6. I love it. Sometimes it cuts out signal and its not compatiable with my phone but other than that it is accurate and my control since using it has been amazing - the best it's ever been in 16 years. I am over the moon. 
Would anyone recommend the Guardian . as it does integrate with the pump? My concerns about switching would be user interface and accuracy. I've almost killed myself due to inaccurate readings before on bad dexcom sensors and on the freestyle libre.   
&amp;amp;#x200B;
Thanks!</t>
        </is>
      </c>
      <c r="D7470" t="n">
        <v>4</v>
      </c>
      <c r="E7470" t="n">
        <v>3</v>
      </c>
      <c r="F7470">
        <f>HYPERLINK("https://www.reddit.com/r/diabetes/comments/d520nc/dexcom_g6_vs_guardian_connect/")</f>
        <v/>
      </c>
      <c r="G7470" t="inlineStr">
        <is>
          <t>2019-09-16 08:12:46</t>
        </is>
      </c>
      <c r="H7470" t="inlineStr">
        <is>
          <t>Type 1</t>
        </is>
      </c>
    </row>
    <row r="7471">
      <c r="A7471" t="inlineStr">
        <is>
          <t>d52wt2</t>
        </is>
      </c>
      <c r="B7471" t="inlineStr">
        <is>
          <t>Frustrated</t>
        </is>
      </c>
      <c r="C7471" t="inlineStr">
        <is>
          <t>TL;DR excercise helped keep betus in check, emergency surgery means I can't excercise and my numbers show it.
T1D Diagnosed six months ago. I finally had four days in a row where every test was between 90-120! I was exercising quite a bit (7-9 mile bike ride, running, situps and push-ups daily), it really REALLY seemed to help. It also felt empowering, like I was finally getting the hang of things. 
Then I started getting a pain in my side, and it was getting exponentially worse quickly. One ER trip and minus one Gallbladder later, and I can't work out while I'm waiting for my core muscles to heal. My sugar levels have been everywhere. I've woke in the fifties three times last week, so I backed off my long-term insulin, now I've had a few after dinner tests in the 300s (and one in the 400...). I'm sure most/all of this is my own doing. Idle hands like snacks. I still have a month until I'm cleared to work out, it's just irksome trying to keep this regulated from my couch.
On the plus side I needed another surgery on my wrist, and got it done while I'm on the mend. So once my core is healed, my wrist will be almost 100% at the same time. I had a cyst pinching a nerve.</t>
        </is>
      </c>
      <c r="D7471" t="n">
        <v>1</v>
      </c>
      <c r="E7471" t="n">
        <v>5</v>
      </c>
      <c r="F7471">
        <f>HYPERLINK("https://www.reddit.com/r/diabetes/comments/d52wt2/frustrated/")</f>
        <v/>
      </c>
      <c r="G7471" t="inlineStr">
        <is>
          <t>2019-09-16 09:16:34</t>
        </is>
      </c>
      <c r="H7471" t="inlineStr">
        <is>
          <t>Type 1</t>
        </is>
      </c>
    </row>
    <row r="7472">
      <c r="A7472" t="inlineStr">
        <is>
          <t>d5959o</t>
        </is>
      </c>
      <c r="B7472" t="inlineStr">
        <is>
          <t>Type 1 here, string of highs, noticed: chest pains, swollen arm pit lymph nodes, also earlobe skin became super dry and gray peeling</t>
        </is>
      </c>
      <c r="C7472" t="inlineStr">
        <is>
          <t>For some reason this week I’ve had difficulty keeping my blood sugar down. I’m counting carbs, and taking my Lantus when I should but have been waking up around 6 in the morning with a blood sugar above 300. 
Also noticed even if I’m counting carbs for food, two hours or so later when I check my BS it’s super high. 
I quickly noticed that there was pain in my lymph nodes mainly in my armpits (these swole up a little bit) and also in my legs. 
I also started to feel chest/shoulder pain/soreness, face rashes, and randomly the skin on the top of my ear lobes became really dry and are peeling. 
I remember this happening before when I experienced a string of high blood sugars. 
Does anyone else experience this too?</t>
        </is>
      </c>
      <c r="D7472" t="n">
        <v>1</v>
      </c>
      <c r="E7472" t="n">
        <v>2</v>
      </c>
      <c r="F7472">
        <f>HYPERLINK("https://www.reddit.com/r/diabetes/comments/d5959o/type_1_here_string_of_highs_noticed_chest_pains/")</f>
        <v/>
      </c>
      <c r="G7472" t="inlineStr">
        <is>
          <t>2019-09-16 17:15:49</t>
        </is>
      </c>
      <c r="H7472" t="inlineStr">
        <is>
          <t>Type 1</t>
        </is>
      </c>
    </row>
    <row r="7473">
      <c r="A7473" t="inlineStr">
        <is>
          <t>d5b7tt</t>
        </is>
      </c>
      <c r="B7473" t="inlineStr">
        <is>
          <t>is the freestyle libre worth the try?</t>
        </is>
      </c>
      <c r="C7473" t="inlineStr">
        <is>
          <t>Hello everyone , 
Iam diabetic and on the verge of getting a CGM, FREESTYLE LIBRE,so i wanna have like a glimps of it , adv and dis adv . Hope you guys could help me . Thanks a lot ❤</t>
        </is>
      </c>
      <c r="D7473" t="n">
        <v>2</v>
      </c>
      <c r="E7473" t="n">
        <v>17</v>
      </c>
      <c r="F7473">
        <f>HYPERLINK("https://www.reddit.com/r/diabetes/comments/d5b7tt/is_the_freestyle_libre_worth_the_try/")</f>
        <v/>
      </c>
      <c r="G7473" t="inlineStr">
        <is>
          <t>2019-09-16 20:12:43</t>
        </is>
      </c>
      <c r="H7473" t="inlineStr">
        <is>
          <t>Type 1</t>
        </is>
      </c>
    </row>
    <row r="7474">
      <c r="A7474" t="inlineStr">
        <is>
          <t>d5fo5m</t>
        </is>
      </c>
      <c r="B7474" t="inlineStr">
        <is>
          <t>When High is really Too high?</t>
        </is>
      </c>
      <c r="C7474" t="inlineStr">
        <is>
          <t xml:space="preserve">
Today I forgot to inject the fast insulin for breakfast (15g). On top I don’t have my Dexcom transmitter. My insurance notified them that they could send me the Dexcom6 after my last Dexcom 5 transmitter died 5 week ago, and I’m still waiting. (BTW, Dexcom customer service in Germany sucks compared with FreeStyle Libre)
Around 11h I felt the clear symptoms of the ketoacidosis: little headache, the weird taste in the tongue, a feeling of being ill… and this time moment I knew what was coming: At best a late lunch. I did a test and I was at 348. I then checked the fast insulin pen and I confirmed I forgot to take the insulin after breakfast. Nice. I corrected and waited and tested and waited and tested… you know the drill. (I hope I had my GCM!!). 
This situation made me remember I doubt I always have. 15 years ago I went to the see the doctor because I was losing weight and being very thirsty. She measured my sugar level, saw the number, inject something (I guess insulin) and urged me to take a cab and go immediately to the closest emergency room. She insisted in going by cab, no driving or public transport. After that I spent a week in a hospital until they could stabilize my sugar level and teach me how to deal with the diabetes.
How high was then? I know we will never know but I wander when high is “too high” that you should not try to fix it on your own but seek medical advice.  More than 350? If not, should I have gone to the hospital also today? I certainly feel I can deal with it but I wonder what are your thoughts.
(I’ve been T1 for 15 years and have a reasonable good HbA1c)</t>
        </is>
      </c>
      <c r="D7474" t="n">
        <v>1</v>
      </c>
      <c r="E7474" t="n">
        <v>5</v>
      </c>
      <c r="F7474">
        <f>HYPERLINK("https://www.reddit.com/r/diabetes/comments/d5fo5m/when_high_is_really_too_high/")</f>
        <v/>
      </c>
      <c r="G7474" t="inlineStr">
        <is>
          <t>2019-09-17 04:34:28</t>
        </is>
      </c>
      <c r="H7474" t="inlineStr">
        <is>
          <t>Type 1</t>
        </is>
      </c>
    </row>
    <row r="7475">
      <c r="A7475" t="inlineStr">
        <is>
          <t>d5gj2x</t>
        </is>
      </c>
      <c r="B7475" t="inlineStr">
        <is>
          <t>When to bolus?</t>
        </is>
      </c>
      <c r="C7475" t="inlineStr">
        <is>
          <t>When do y'all bolus in relation to when you eat? When I was diagnosed 16 years ago I was told "every time you eat, you inject".  I recently started on my first CGM so I have a better idea of what my BG is throughout the day. I feel like the first hour or two after I eat and bolus my BG is fine, but maybe 3 hours after I get a spike. I feel like delaying the bolus might mitigate the spike later, but cause me to get one sooner after eating? I know this can depend on the type of food, just curious about general time frame y'all use.</t>
        </is>
      </c>
      <c r="D7475" t="n">
        <v>2</v>
      </c>
      <c r="E7475" t="n">
        <v>4</v>
      </c>
      <c r="F7475">
        <f>HYPERLINK("https://www.reddit.com/r/diabetes/comments/d5gj2x/when_to_bolus/")</f>
        <v/>
      </c>
      <c r="G7475" t="inlineStr">
        <is>
          <t>2019-09-17 05:51:23</t>
        </is>
      </c>
      <c r="H7475" t="inlineStr">
        <is>
          <t>Type 1</t>
        </is>
      </c>
    </row>
    <row r="7476">
      <c r="A7476" t="inlineStr">
        <is>
          <t>d5i5uj</t>
        </is>
      </c>
      <c r="B7476" t="inlineStr">
        <is>
          <t>Just trying to finally take care of myself.</t>
        </is>
      </c>
      <c r="C7476" t="inlineStr">
        <is>
          <t>I'm 22. I've been diabetic since I was 12, about to be 13. (In a month it'll be my "anniversary"). I remember when I was first diagnosed and I was taking like 2-3 units for each meal. Those where great times. Through school, I wasn't a fan of pumps so I never got one. I did try a dexcom in my senior year, but I kept having issues with it coming out, so I went back to being without. One I entered high school, my habits in general where just awful. Not just diabetes, but homework too. I was a lazy kid and it showed. My A1c was high, and I mean high. No issues, just high numbers and an increased risk of everything. You know the drill. 
&amp;amp;#x200B;
My Dr was great. Dr. Eilerman in Northern Kentucky was the best doctor I've ever had. He was compassionate and understanding that I was a shitty teenager and said he would do what he could, but if I didn't get my shit together, things would get worse. 
&amp;amp;#x200B;
Well I moved cities after high school, and I couldn't see him anymore as it wasn't feasible. I'll be 23 in two months, and I still don't have a regular doctor. I've been to a few over the years, but I've either not liked them, or there have been insurance issues where I'm actually not covered. This shouldn't be so difficult to find a doctor. I honest to god want to have regular checkups and get my life together. 
&amp;amp;#x200B;
It's been a few years since I started fucking up my life and I've started seeing the prizes I've won. I wear glasses now, my teeth are all fucked, and I had some hospital visits 2-3 years ago. Right out of school I had a hospital visit about once a year. 
&amp;amp;#x200B;
I can happily say I've not even had a scare in the 2 years since my last visit. (And it was related to an infection that because of my diabetes, I just couldn't fight off). For the last 6? months, I've been regularly taking my insulin and checking my blood sugar almost as often as I need to. My mother always thought I was embarrassed to check my blood sugar, but to be honest I liked the special attention. I was just too lazy. I don't know what's wrong with me.
&amp;amp;#x200B;
But I'm trying to change. I still don't always check when I should, but I never miss a day. In the past, I would also miss days of my Levemir or Lantus(when I was on Lantus). But I'm on a streak. I've gained the weight I've been wanting for years and I'm feeling better in general. I'm drinking more water and eating better. I'm trying. 
&amp;amp;#x200B;
Since I'm 22, I am still on my mother's insurance. Which is fantastic, as it covers almost everything normally, and my current job doesn't offer insurance. It's probably my dream job and it pays great, but the lack of insurance will be an issue in a couple years. Anyway, I called in some refills at the pharmacy. When I went to go get them, I had a charge of almost $50 for the needles. Not the insulin, nothing for strips, just $50 for needles. I use the pens, so it's the little caps. We have never paid for needles before. Not even the last time I had to get needles a month ago. After an hour with the insurance company I'm told they haven't been billing it correctly for years and to basically go fuck myself. I got a 1 time waive of the charge since I have never been charged for needles before. 
&amp;amp;#x200B;
This is just ridiculous. Sure my job pays decent, but $50 is a lot of money for me. I know there are many others paying way more for this medicine. My grandmother is one of them. It's just bullshit. I'm angry and a little defeated, but mostly angry. Looks like I can buy the same needles on Amazon for a fraction of the price, so fuck them. Nothing makes sense.
Another thing is that I've been taking Humalog for years. And I was given Lispro pens. I'm pretty sure it's the exact same thing, but I don't fully understand why I'm getting something different vs last month. I'm due for an A1c and I wanna get it, but again, I'm looking for a Dr. I have a supporting family, and great friends. And this community is great. I just wanted to talk a little bit. 
&amp;amp;#x200B;
&amp;amp;#x200B;
&amp;amp;#x200B;
Thank you.</t>
        </is>
      </c>
      <c r="D7476" t="n">
        <v>3</v>
      </c>
      <c r="E7476" t="n">
        <v>5</v>
      </c>
      <c r="F7476">
        <f>HYPERLINK("https://www.reddit.com/r/diabetes/comments/d5i5uj/just_trying_to_finally_take_care_of_myself/")</f>
        <v/>
      </c>
      <c r="G7476" t="inlineStr">
        <is>
          <t>2019-09-17 07:57:22</t>
        </is>
      </c>
      <c r="H7476" t="inlineStr">
        <is>
          <t>Type 1</t>
        </is>
      </c>
    </row>
    <row r="7477">
      <c r="A7477" t="inlineStr">
        <is>
          <t>d5psk4</t>
        </is>
      </c>
      <c r="B7477" t="inlineStr">
        <is>
          <t>My GP never warned me about pre-diabetes</t>
        </is>
      </c>
      <c r="C7477" t="inlineStr">
        <is>
          <t>Exactly one year ago I was diagnosed Type 2 with an A1C of 11.1! Today my numbers are under control and my A1C is 6.0 using Farxiga. 
I just went and got new blood work at labcorp. I decided to sign up for an account which i had never done before. To my surprise it pulled up results from years ago. I saw on my results from 5/2012 and 1/2014 my A1C was 5.9 both times. I was 24 and 26 years old at the time and my doctor didn’t say anything about it to me. I moved around the country a lot after that and didn’t have a regular doctor until I started peeing so much I couldn’t ignore it and found out my A1C was 11.1. 
I was in a pretty good mood that my new results saw such a big improvement. But now I’m kind of in a funk that my numbers were probably bad for years. I’m only 30 and just wondering what kind of damage has already been done. Pretty angry with my old doctor for not bringing it to my attention and at myself for not being educated about it with 2 diabetic parents.</t>
        </is>
      </c>
      <c r="D7477" t="n">
        <v>3</v>
      </c>
      <c r="E7477" t="n">
        <v>3</v>
      </c>
      <c r="F7477">
        <f>HYPERLINK("https://www.reddit.com/r/diabetes/comments/d5psk4/my_gp_never_warned_me_about_prediabetes/")</f>
        <v/>
      </c>
      <c r="G7477" t="inlineStr">
        <is>
          <t>2019-09-17 17:24:02</t>
        </is>
      </c>
      <c r="H7477" t="inlineStr">
        <is>
          <t>Type 2</t>
        </is>
      </c>
    </row>
    <row r="7478">
      <c r="A7478" t="inlineStr">
        <is>
          <t>d5sn44</t>
        </is>
      </c>
      <c r="B7478" t="inlineStr">
        <is>
          <t>What did you eat today? Type-1 here</t>
        </is>
      </c>
      <c r="C7478" t="inlineStr">
        <is>
          <t>Type-1 31 year old Male. 
Today I had a cup of black coffee with a serving of almonds and a Two Good yogurt for breakfast.
I had a Broccoli / Spinach / Kale super salad for dinner.
I had a diet coke and 2 pieces of wheat toast with almond butter before bed.
What did you eat today?</t>
        </is>
      </c>
      <c r="D7478" t="n">
        <v>1</v>
      </c>
      <c r="E7478" t="n">
        <v>1</v>
      </c>
      <c r="F7478">
        <f>HYPERLINK("https://www.reddit.com/r/diabetes/comments/d5sn44/what_did_you_eat_today_type1_here/")</f>
        <v/>
      </c>
      <c r="G7478" t="inlineStr">
        <is>
          <t>2019-09-17 21:31:46</t>
        </is>
      </c>
      <c r="H7478" t="inlineStr">
        <is>
          <t>Type 1</t>
        </is>
      </c>
    </row>
    <row r="7479">
      <c r="A7479" t="inlineStr">
        <is>
          <t>d5vxtf</t>
        </is>
      </c>
      <c r="B7479" t="inlineStr">
        <is>
          <t>I'm getting a pump!</t>
        </is>
      </c>
      <c r="C7479" t="inlineStr">
        <is>
          <t>After lots of flip flopping on my part, I applied for a pump and I've finally been offered one! I start on my new Omnipod on the 30th September.
I went for the Omnipod mainly because there is no contract involved - had I gone with a traditional, tubed pump I would be tied into a 4-5 year contract, this way I am effectively on a rolling 30 day contract so can stop using it at any point and go back to MDI without complaint.
So what tips can you share for a) pumping in general, or b) pumping with the Omnipod?
What's good/bad about Omnipod?
I'll be on the Eros system, no looping or anything like that just yet. My nurse said it may take a month or so to get the settings right and make everything work which has me kind of nervous - I have a big half marathon coming up mid-October and I don't want to be running high or low for that, I've trained bloody hard!</t>
        </is>
      </c>
      <c r="D7479" t="n">
        <v>14</v>
      </c>
      <c r="E7479" t="n">
        <v>9</v>
      </c>
      <c r="F7479">
        <f>HYPERLINK("https://www.reddit.com/r/diabetes/comments/d5vxtf/im_getting_a_pump/")</f>
        <v/>
      </c>
      <c r="G7479" t="inlineStr">
        <is>
          <t>2019-09-18 03:47:02</t>
        </is>
      </c>
      <c r="H7479" t="inlineStr">
        <is>
          <t>Type 1</t>
        </is>
      </c>
    </row>
    <row r="7480">
      <c r="A7480" t="inlineStr">
        <is>
          <t>d5x7js</t>
        </is>
      </c>
      <c r="B7480" t="inlineStr">
        <is>
          <t>AITA for refusing to celebrate dia-versary?</t>
        </is>
      </c>
      <c r="C7480" t="inlineStr">
        <is>
          <t>I was diagnosed when I was 11. I am now 23.  I passionately HATE that day. Though I'm doing very well (my last A1c was 6), I just don't want to be reminded of that awful day.</t>
        </is>
      </c>
      <c r="D7480" t="n">
        <v>12</v>
      </c>
      <c r="E7480" t="n">
        <v>14</v>
      </c>
      <c r="F7480">
        <f>HYPERLINK("https://www.reddit.com/r/diabetes/comments/d5x7js/aita_for_refusing_to_celebrate_diaversary/")</f>
        <v/>
      </c>
      <c r="G7480" t="inlineStr">
        <is>
          <t>2019-09-18 05:41:54</t>
        </is>
      </c>
      <c r="H7480" t="inlineStr">
        <is>
          <t>Type 1</t>
        </is>
      </c>
    </row>
    <row r="7481">
      <c r="A7481" t="inlineStr">
        <is>
          <t>d62ydg</t>
        </is>
      </c>
      <c r="B7481" t="inlineStr">
        <is>
          <t>Guys, I’m going insane. Please help.</t>
        </is>
      </c>
      <c r="C7481" t="inlineStr">
        <is>
          <t>I currently use the 670G (Medtronic). It seems I’m constantly hitting blood vessels/having to change my site before 3 days cause it goes bad. I use the 9mm cannula with an insertor device (green and gray one). What the hell do I do?! I just reached out to my endocrinologist so waiting for a response from her but I figured I’d reach out to you guys as well.</t>
        </is>
      </c>
      <c r="D7481" t="n">
        <v>1</v>
      </c>
      <c r="E7481" t="n">
        <v>4</v>
      </c>
      <c r="F7481">
        <f>HYPERLINK("https://www.reddit.com/r/diabetes/comments/d62ydg/guys_im_going_insane_please_help/")</f>
        <v/>
      </c>
      <c r="G7481" t="inlineStr">
        <is>
          <t>2019-09-18 12:37:05</t>
        </is>
      </c>
      <c r="H7481" t="inlineStr">
        <is>
          <t>Type 1</t>
        </is>
      </c>
    </row>
    <row r="7482">
      <c r="A7482" t="inlineStr">
        <is>
          <t>d65d8s</t>
        </is>
      </c>
      <c r="B7482" t="inlineStr">
        <is>
          <t>My uncle has T2 diabetes and is sad he can't eat the things that I bake. What ingredients can I substitute or omit in baking things like cookies or banana bread?</t>
        </is>
      </c>
      <c r="C7482" t="inlineStr">
        <is>
          <t>I love baking and I want my uncle to be included in the things that I bake. I don't even know where to start I'm guessing I definitely need a sugar-free alternative; there's just so many! I bake vegan already so I use almond milk and no eggs typically and use earth balance vegan butter and sometimes ground flaxseed in baking. Any guidance as to what's the best of the best in alternatives?</t>
        </is>
      </c>
      <c r="D7482" t="n">
        <v>1</v>
      </c>
      <c r="E7482" t="n">
        <v>9</v>
      </c>
      <c r="F7482">
        <f>HYPERLINK("https://www.reddit.com/r/diabetes/comments/d65d8s/my_uncle_has_t2_diabetes_and_is_sad_he_cant_eat/")</f>
        <v/>
      </c>
      <c r="G7482" t="inlineStr">
        <is>
          <t>2019-09-18 16:19:52</t>
        </is>
      </c>
      <c r="H7482" t="inlineStr">
        <is>
          <t>Type 2</t>
        </is>
      </c>
    </row>
    <row r="7483">
      <c r="A7483" t="inlineStr">
        <is>
          <t>d673j8</t>
        </is>
      </c>
      <c r="B7483" t="inlineStr">
        <is>
          <t>Does anyone else just get in moods where you just don’t care or lazy?</t>
        </is>
      </c>
      <c r="C7483" t="inlineStr">
        <is>
          <t>I get in theses moods where I don’t care. Or I get lazy and don’t feel like checking my blood and feel it later. Just needing someone else who gets like that. Can chat here or kik. Kik 08nike</t>
        </is>
      </c>
      <c r="D7483" t="n">
        <v>1</v>
      </c>
      <c r="E7483" t="n">
        <v>4</v>
      </c>
      <c r="F7483">
        <f>HYPERLINK("https://www.reddit.com/r/diabetes/comments/d673j8/does_anyone_else_just_get_in_moods_where_you_just/")</f>
        <v/>
      </c>
      <c r="G7483" t="inlineStr">
        <is>
          <t>2019-09-18 18:39:57</t>
        </is>
      </c>
      <c r="H7483" t="inlineStr">
        <is>
          <t>Type 1</t>
        </is>
      </c>
    </row>
    <row r="7484">
      <c r="A7484" t="inlineStr">
        <is>
          <t>d67mld</t>
        </is>
      </c>
      <c r="B7484" t="inlineStr">
        <is>
          <t>Accu-check test strip compatibility</t>
        </is>
      </c>
      <c r="C7484" t="inlineStr">
        <is>
          <t>I have an Accucheck Guide that I have been using, and i prefer..   
My insurance sent me a new meter, Accu-check Aviva.  
Are the test strips compatible between the two meters?</t>
        </is>
      </c>
      <c r="D7484" t="n">
        <v>1</v>
      </c>
      <c r="E7484" t="n">
        <v>3</v>
      </c>
      <c r="F7484">
        <f>HYPERLINK("https://www.reddit.com/r/diabetes/comments/d67mld/accucheck_test_strip_compatibility/")</f>
        <v/>
      </c>
      <c r="G7484" t="inlineStr">
        <is>
          <t>2019-09-18 19:24:40</t>
        </is>
      </c>
      <c r="H7484" t="inlineStr">
        <is>
          <t>Type 2</t>
        </is>
      </c>
    </row>
    <row r="7485">
      <c r="A7485" t="inlineStr">
        <is>
          <t>d6e2xm</t>
        </is>
      </c>
      <c r="B7485" t="inlineStr">
        <is>
          <t>Depressive/sucidial toughts when sugars go low or high?</t>
        </is>
      </c>
      <c r="C7485" t="inlineStr">
        <is>
          <t>Hey,
It's weird, sometimes I start to feel really down, and start thinking about how everything is going wrong with my life. I start to go downhill pretty quickly and thinking there's nothing I can do to fix my problems. Then I go and have a chocolate bar, and I return to normal in about 30 minutes and my thoughts are back to normal again.
I get super negative thoughts about everything in my life. Past, present, and future. 
Anyone else with the same experience?</t>
        </is>
      </c>
      <c r="D7485" t="n">
        <v>1</v>
      </c>
      <c r="E7485" t="n">
        <v>3</v>
      </c>
      <c r="F7485">
        <f>HYPERLINK("https://www.reddit.com/r/diabetes/comments/d6e2xm/depressivesucidial_toughts_when_sugars_go_low_or/")</f>
        <v/>
      </c>
      <c r="G7485" t="inlineStr">
        <is>
          <t>2019-09-19 06:30:47</t>
        </is>
      </c>
      <c r="H7485" t="inlineStr">
        <is>
          <t>Type 1</t>
        </is>
      </c>
    </row>
    <row r="7486">
      <c r="A7486" t="inlineStr">
        <is>
          <t>d6gwil</t>
        </is>
      </c>
      <c r="B7486" t="inlineStr">
        <is>
          <t>How do y'all handle giving 2am correction doses?</t>
        </is>
      </c>
      <c r="C7486" t="inlineStr">
        <is>
          <t>Last night I checked my 7 year olds levels and he was high. I had to give a correction dose because he was a bit high. I woke him up and told him what I was doing and then cleaned the area let it dry and gave him his dose. But I guess he wasnt fully awake so he suddenly grabbed the pen and yanked it down and ended up scratching himself with the needle. 
I feel like the worst mother ever because this happened. Hes fine. It was a mild scratch but I still feel horrible. Does any one have any advice for this situation? He didnt care about the finger stick but i guess the shot was different. Id imagine it feels very different. 
Situations like this make me wonder if i should just get him a pump when we have his next appointment.</t>
        </is>
      </c>
      <c r="D7486" t="n">
        <v>0</v>
      </c>
      <c r="E7486" t="n">
        <v>6</v>
      </c>
      <c r="F7486">
        <f>HYPERLINK("https://www.reddit.com/r/diabetes/comments/d6gwil/how_do_yall_handle_giving_2am_correction_doses/")</f>
        <v/>
      </c>
      <c r="G7486" t="inlineStr">
        <is>
          <t>2019-09-19 09:58:22</t>
        </is>
      </c>
      <c r="H7486" t="inlineStr">
        <is>
          <t>Type 1</t>
        </is>
      </c>
    </row>
    <row r="7487">
      <c r="A7487" t="inlineStr">
        <is>
          <t>d6hoqh</t>
        </is>
      </c>
      <c r="B7487" t="inlineStr">
        <is>
          <t>Dia-versary</t>
        </is>
      </c>
      <c r="C7487" t="inlineStr">
        <is>
          <t>Today is my diaversary, or “diabetes anniversary”! 2 years ago today I was diagnosed at the age of 21. I just heard about this concept a few months ago, and of course, I thought “why would anyone want to celebrate diabetes?” I’m not choosing to celebrate this disease, instead I’m choosing to celebrate another year of living life to the fullest.
I went on a 10 mile hike yesterday and thanks to technology like dexcom (and of course insulin) and how far my knowledge about type 1 has come, it was a perfect day! We can do anything. 🥳</t>
        </is>
      </c>
      <c r="D7487" t="n">
        <v>7</v>
      </c>
      <c r="E7487" t="n">
        <v>3</v>
      </c>
      <c r="F7487">
        <f>HYPERLINK("https://www.reddit.com/r/diabetes/comments/d6hoqh/diaversary/")</f>
        <v/>
      </c>
      <c r="G7487" t="inlineStr">
        <is>
          <t>2019-09-19 10:54:37</t>
        </is>
      </c>
      <c r="H7487" t="inlineStr">
        <is>
          <t>Type 1</t>
        </is>
      </c>
    </row>
    <row r="7488">
      <c r="A7488" t="inlineStr">
        <is>
          <t>d6lfbo</t>
        </is>
      </c>
      <c r="B7488" t="inlineStr">
        <is>
          <t>PSA: T2 diabetics can get a CGM.</t>
        </is>
      </c>
      <c r="C7488" t="inlineStr">
        <is>
          <t>I wish I had known this sooner, but T2 diabetics who have Medicare or any of their associated insurance providers, (I have Humana), can get a CGM, continuous glucose monitor, without requiring an insulin pump as had previously been required.    
Am I the last one to learn this?   Hopefully I'm cluing other people in on it who were as ignorant as me 2 hours ago.</t>
        </is>
      </c>
      <c r="D7488" t="n">
        <v>5</v>
      </c>
      <c r="E7488" t="n">
        <v>26</v>
      </c>
      <c r="F7488">
        <f>HYPERLINK("https://www.reddit.com/r/diabetes/comments/d6lfbo/psa_t2_diabetics_can_get_a_cgm/")</f>
        <v/>
      </c>
      <c r="G7488" t="inlineStr">
        <is>
          <t>2019-09-19 15:27:43</t>
        </is>
      </c>
      <c r="H7488" t="inlineStr">
        <is>
          <t>Type 2</t>
        </is>
      </c>
    </row>
    <row r="7489">
      <c r="A7489" t="inlineStr">
        <is>
          <t>d6m6la</t>
        </is>
      </c>
      <c r="B7489" t="inlineStr">
        <is>
          <t>Lost my G5 phone looking thing</t>
        </is>
      </c>
      <c r="C7489" t="inlineStr">
        <is>
          <t>I don't know if it is ok to ask, but does anyone have a phone looking g5 thing they could donate.</t>
        </is>
      </c>
      <c r="D7489" t="n">
        <v>3</v>
      </c>
      <c r="E7489" t="n">
        <v>7</v>
      </c>
      <c r="F7489">
        <f>HYPERLINK("https://www.reddit.com/r/diabetes/comments/d6m6la/lost_my_g5_phone_looking_thing/")</f>
        <v/>
      </c>
      <c r="G7489" t="inlineStr">
        <is>
          <t>2019-09-19 16:26:04</t>
        </is>
      </c>
      <c r="H7489" t="inlineStr">
        <is>
          <t>Type 1</t>
        </is>
      </c>
    </row>
    <row r="7490">
      <c r="A7490" t="inlineStr">
        <is>
          <t>d6nu2k</t>
        </is>
      </c>
      <c r="B7490" t="inlineStr">
        <is>
          <t>New T2 here</t>
        </is>
      </c>
      <c r="C7490" t="inlineStr">
        <is>
          <t>Hey guys. I was recently diagnosed with T2 as of August 1st. My A1C levels were at 12.5 and my blood sugar was at 290. I was weighing 321 lbs. Today I went to my first appointment with my Endocrinologist and my labs came back with my A1C levels and 8.1 and my weight is at 304. This is my journey and I wanted to share. I love this sub and I have found a lot of help just by reading your comments and everything. When I tell my friends about my diabetic progress I know they say omg awesome but I know they don’t really get it like you guys do. If you have any tips for advice for me please let me know.</t>
        </is>
      </c>
      <c r="D7490" t="n">
        <v>13</v>
      </c>
      <c r="E7490" t="n">
        <v>10</v>
      </c>
      <c r="F7490">
        <f>HYPERLINK("https://www.reddit.com/r/diabetes/comments/d6nu2k/new_t2_here/")</f>
        <v/>
      </c>
      <c r="G7490" t="inlineStr">
        <is>
          <t>2019-09-19 18:41:10</t>
        </is>
      </c>
      <c r="H7490" t="inlineStr">
        <is>
          <t>Type 2</t>
        </is>
      </c>
    </row>
    <row r="7491">
      <c r="A7491" t="inlineStr">
        <is>
          <t>d6rrza</t>
        </is>
      </c>
      <c r="B7491" t="inlineStr">
        <is>
          <t>What should I do?</t>
        </is>
      </c>
      <c r="C7491" t="inlineStr">
        <is>
          <t>I have eaten sweet things for breakfast and forgot to give insulin. After 2 hours I ate a sandwich and remembered it so i gave for both. I wanted to measure my blood sugar, but I can only measure it once because im out of lines to put in the measuring kit. And I could've asked for the other diabetic kid's measure kit but he is not in school.  I don't know how all this happened at once, but given these informations what should I do? I have like 7 more hours till I'll get home</t>
        </is>
      </c>
      <c r="D7491" t="n">
        <v>3</v>
      </c>
      <c r="E7491" t="n">
        <v>6</v>
      </c>
      <c r="F7491">
        <f>HYPERLINK("https://www.reddit.com/r/diabetes/comments/d6rrza/what_should_i_do/")</f>
        <v/>
      </c>
      <c r="G7491" t="inlineStr">
        <is>
          <t>2019-09-20 01:13:26</t>
        </is>
      </c>
      <c r="H7491" t="inlineStr">
        <is>
          <t>Type 1</t>
        </is>
      </c>
    </row>
    <row r="7492">
      <c r="A7492" t="inlineStr">
        <is>
          <t>d6ulat</t>
        </is>
      </c>
      <c r="B7492" t="inlineStr">
        <is>
          <t>Narrowly escaped death in the middle of the night</t>
        </is>
      </c>
      <c r="C7492" t="inlineStr">
        <is>
          <t>I know i went to bed with a low blood sugar, but of course i didn't do shit about that (i'm stubborn when i'm low). 
&amp;amp;#x200B;
Woke up at 1:30 AM in cold sweat (I was sweating profusely and I was so red) and I ended up sending like 5 garbled texts to my friends in group chat. Normally, when I wake up like this I usually pillage the fridge as we have all done that, but this time I did not and ended up going back to bed.  
&amp;amp;#x200B;
I woke up this morning feeling so weird (blood sugar was 85), I checked my fitbit and around the time i went back to bed it my heart rate went down to 44. I just put my CGM on today, but all I can say is I hate diabetes. I still feel a bit weird :(</t>
        </is>
      </c>
      <c r="D7492" t="n">
        <v>3</v>
      </c>
      <c r="E7492" t="n">
        <v>5</v>
      </c>
      <c r="F7492">
        <f>HYPERLINK("https://www.reddit.com/r/diabetes/comments/d6ulat/narrowly_escaped_death_in_the_middle_of_the_night/")</f>
        <v/>
      </c>
      <c r="G7492" t="inlineStr">
        <is>
          <t>2019-09-20 06:02:22</t>
        </is>
      </c>
      <c r="H7492" t="inlineStr">
        <is>
          <t>Type 1</t>
        </is>
      </c>
    </row>
    <row r="7493">
      <c r="A7493" t="inlineStr">
        <is>
          <t>d6uqyr</t>
        </is>
      </c>
      <c r="B7493" t="inlineStr">
        <is>
          <t>First HbA1c since I was diagnosed</t>
        </is>
      </c>
      <c r="C7493" t="inlineStr">
        <is>
          <t>Fellow T1 here and I want to share my A1c with you since this community helped me get trough tough times and thought me many things about diabetes. I was diagnosed about 4 months and my A1c was 11.8 mmol/L (212 mg/dl) then. Today I had my blood tested in the hospital and my A1c was 5.9 mmol/L (106 mg/dl). I was expecting like something like 7-8 I am both happy and surprised i was expecting something between 8-9 mmol/L.</t>
        </is>
      </c>
      <c r="D7493" t="n">
        <v>3</v>
      </c>
      <c r="E7493" t="n">
        <v>6</v>
      </c>
      <c r="F7493">
        <f>HYPERLINK("https://www.reddit.com/r/diabetes/comments/d6uqyr/first_hba1c_since_i_was_diagnosed/")</f>
        <v/>
      </c>
      <c r="G7493" t="inlineStr">
        <is>
          <t>2019-09-20 06:14:48</t>
        </is>
      </c>
      <c r="H7493" t="inlineStr">
        <is>
          <t>Type 1</t>
        </is>
      </c>
    </row>
    <row r="7494">
      <c r="A7494" t="inlineStr">
        <is>
          <t>d6wkcz</t>
        </is>
      </c>
      <c r="B7494" t="inlineStr">
        <is>
          <t>Maximum Safe Insulin/Carbs?</t>
        </is>
      </c>
      <c r="C7494" t="inlineStr">
        <is>
          <t>Fairly new T1D here (October 2018) about to go for a bit of a feast (you know how relatives with good cooking can be) and was wondering how high is generally stable to go with carbs/insulin? How many grams of carb can one eat where insulin will be stable/safe to shoot normally?</t>
        </is>
      </c>
      <c r="D7494" t="n">
        <v>3</v>
      </c>
      <c r="E7494" t="n">
        <v>6</v>
      </c>
      <c r="F7494">
        <f>HYPERLINK("https://www.reddit.com/r/diabetes/comments/d6wkcz/maximum_safe_insulincarbs/")</f>
        <v/>
      </c>
      <c r="G7494" t="inlineStr">
        <is>
          <t>2019-09-20 08:30:49</t>
        </is>
      </c>
      <c r="H7494" t="inlineStr">
        <is>
          <t>Type 1</t>
        </is>
      </c>
    </row>
    <row r="7495">
      <c r="A7495" t="inlineStr">
        <is>
          <t>d6xjm6</t>
        </is>
      </c>
      <c r="B7495" t="inlineStr">
        <is>
          <t>Really could use an e-hug</t>
        </is>
      </c>
      <c r="C7495" t="inlineStr">
        <is>
          <t>Type 2 here, struggled for years and even lost 50 pounds to prevent it from happening, but T2 is common on both sides of my family, regardless of weight. I've been diabetic for 2 ½ years now, and it's hard to not feel depressed over it. I had to argue for two years to get put on insulin, and while my A1Cs went from 13 to 8, I still feel like a failure. 
I can't go on keto due to being one of the rare folks who have severe reactions to the point a doctor wrote I am not to be advised to do that diet, so please do not post about keto. I watch what I eat, keep hydrated, avoid carbs as much as possible, don't eat too much fruit, yet still this hangs over me all the time. My aunt and sisters try to backseat manage my diabetes and screech at me to go on this or that diet of the week, which makes me feel even more guilt for being diabetic.
I just feel very alone and feel like a failure right now.</t>
        </is>
      </c>
      <c r="D7495" t="n">
        <v>6</v>
      </c>
      <c r="E7495" t="n">
        <v>5</v>
      </c>
      <c r="F7495">
        <f>HYPERLINK("https://www.reddit.com/r/diabetes/comments/d6xjm6/really_could_use_an_ehug/")</f>
        <v/>
      </c>
      <c r="G7495" t="inlineStr">
        <is>
          <t>2019-09-20 09:41:12</t>
        </is>
      </c>
      <c r="H7495" t="inlineStr">
        <is>
          <t>Type 2</t>
        </is>
      </c>
    </row>
    <row r="7496">
      <c r="A7496" t="inlineStr">
        <is>
          <t>d6zq4r</t>
        </is>
      </c>
      <c r="B7496" t="inlineStr">
        <is>
          <t>Choosing an insulin pump</t>
        </is>
      </c>
      <c r="C7496" t="inlineStr">
        <is>
          <t>I want to get an omnipod but I'm unable to get one due to me using too much insulin for it, I especially want it because of how it inserts (I'm scared of needles). 
Are there any good pumps that allow me to use as much insulin as I need (I think 250 units (mm?) ish per 3 days) and are easy to insert and take off, preferably waterproof as well but that's not necessary.
 I already checked a lot of pump websites, but it's difficult to properly get a good view of what it really is like to have, so I'd like some of your personal recommendations.</t>
        </is>
      </c>
      <c r="D7496" t="n">
        <v>3</v>
      </c>
      <c r="E7496" t="n">
        <v>17</v>
      </c>
      <c r="F7496">
        <f>HYPERLINK("https://www.reddit.com/r/diabetes/comments/d6zq4r/choosing_an_insulin_pump/")</f>
        <v/>
      </c>
      <c r="G7496" t="inlineStr">
        <is>
          <t>2019-09-20 12:19:00</t>
        </is>
      </c>
      <c r="H7496" t="inlineStr">
        <is>
          <t>Type 1</t>
        </is>
      </c>
    </row>
    <row r="7497">
      <c r="A7497" t="inlineStr">
        <is>
          <t>d6zzy9</t>
        </is>
      </c>
      <c r="B7497" t="inlineStr">
        <is>
          <t>Brother spilled brownie mix on my glucometer.</t>
        </is>
      </c>
      <c r="C7497" t="inlineStr">
        <is>
          <t>That's it. Felt like sharing lol. 
He still lives with our parents(23M). I was visiting and had my betus bag on the kitchen island. I normally put it there out of her dog's reach, yet accessable. I keep some food in them for lows, and I guess they smell them so I keep it high and dry. I had checked myself about an hour earlier, and decided to leave the glucometer out for laziness I guess, not really sure. It's my fault, I should have put it up, I just didn't think it was an issue. He was craving brownies, came in and decided "hey right here is the exact spot I need to make this," and it spilled on it. 
I honestly don't care, the irony made me laugh so I thought I'd share. I didn't even mention it to him (he didn't notice).</t>
        </is>
      </c>
      <c r="D7497" t="n">
        <v>2</v>
      </c>
      <c r="E7497" t="n">
        <v>2</v>
      </c>
      <c r="F7497">
        <f>HYPERLINK("https://www.reddit.com/r/diabetes/comments/d6zzy9/brother_spilled_brownie_mix_on_my_glucometer/")</f>
        <v/>
      </c>
      <c r="G7497" t="inlineStr">
        <is>
          <t>2019-09-20 12:38:48</t>
        </is>
      </c>
      <c r="H7497" t="inlineStr">
        <is>
          <t>Type 1</t>
        </is>
      </c>
    </row>
    <row r="7498">
      <c r="A7498" t="inlineStr">
        <is>
          <t>d70ln3</t>
        </is>
      </c>
      <c r="B7498" t="inlineStr">
        <is>
          <t>Just got my labs back</t>
        </is>
      </c>
      <c r="C7498" t="inlineStr">
        <is>
          <t>Hi. Im not a known diabetic. Im 44 year old male and I have a question.  My glucose levels in my lab report is 147. I did not fast for the test though. I had a smoothie in the morning and a protein bar about 20 mins before the test. I did not know if it was a fasting test or not.  I bought a home monitor and did a finger test right after lunch and my level was 99.. Did the 147 number need to be fasting? Is that number too high for post lunch?</t>
        </is>
      </c>
      <c r="D7498" t="n">
        <v>0</v>
      </c>
      <c r="E7498" t="n">
        <v>6</v>
      </c>
      <c r="F7498">
        <f>HYPERLINK("https://www.reddit.com/r/diabetes/comments/d70ln3/just_got_my_labs_back/")</f>
        <v/>
      </c>
      <c r="G7498" t="inlineStr">
        <is>
          <t>2019-09-20 13:24:22</t>
        </is>
      </c>
      <c r="H7498" t="inlineStr">
        <is>
          <t>Type 2</t>
        </is>
      </c>
    </row>
    <row r="7499">
      <c r="A7499" t="inlineStr">
        <is>
          <t>d74f82</t>
        </is>
      </c>
      <c r="B7499" t="inlineStr">
        <is>
          <t>Consistent Hypoglycemia?</t>
        </is>
      </c>
      <c r="C7499" t="inlineStr">
        <is>
          <t>Hey, so as of two days ago, I’ve had continuous lows no matter how little I dose. My blood sugar will only go up in the morning but somehow fixes itself. I’ve been off of my pump for about 6 hours and keep dropping. I don’t feel sick, I don’t have any symptoms of anything and the only medicine I take, aside from NovoLog, is Vyvanse (30mg). 
It isn’t possible for the body to randomly re-produce lost beta cells, is it? I’ve also begun developing more symptoms than normal from Hypoglycemia; such as hallucinations, psychotic tendencies, anxiety, and irregular aggressiveness that is in addition to the aggression that my Vyvanse gives me.</t>
        </is>
      </c>
      <c r="D7499" t="n">
        <v>2</v>
      </c>
      <c r="E7499" t="n">
        <v>8</v>
      </c>
      <c r="F7499">
        <f>HYPERLINK("https://www.reddit.com/r/diabetes/comments/d74f82/consistent_hypoglycemia/")</f>
        <v/>
      </c>
      <c r="G7499" t="inlineStr">
        <is>
          <t>2019-09-20 18:48:18</t>
        </is>
      </c>
      <c r="H7499" t="inlineStr">
        <is>
          <t>Type 1</t>
        </is>
      </c>
    </row>
    <row r="7500">
      <c r="A7500" t="inlineStr">
        <is>
          <t>d78xec</t>
        </is>
      </c>
      <c r="B7500" t="inlineStr">
        <is>
          <t>diabetes and sport</t>
        </is>
      </c>
      <c r="C7500" t="inlineStr">
        <is>
          <t>I want to ask about a pregnant woman suffering from diabetes and exercising
What exactly will happen
In my expectation, you either get hypoglycemia due to muscular exertion or increase the entry of glucose into the cells due to the need of the muscle.
Or it will develop a blood sugar hiccup due to the release of glycogen to glucose by inducing muscular exertion.
The two theories are contradictory, but I want your views because of the seriousness of this to the health of pregnant and fetal specifically</t>
        </is>
      </c>
      <c r="D7500" t="n">
        <v>3</v>
      </c>
      <c r="E7500" t="n">
        <v>2</v>
      </c>
      <c r="F7500">
        <f>HYPERLINK("https://www.reddit.com/r/diabetes/comments/d78xec/diabetes_and_sport/")</f>
        <v/>
      </c>
      <c r="G7500" t="inlineStr">
        <is>
          <t>2019-09-21 03:42:00</t>
        </is>
      </c>
      <c r="H7500" t="inlineStr">
        <is>
          <t>Type 2</t>
        </is>
      </c>
    </row>
    <row r="7501">
      <c r="A7501" t="inlineStr">
        <is>
          <t>d7aosv</t>
        </is>
      </c>
      <c r="B7501" t="inlineStr">
        <is>
          <t>i need help</t>
        </is>
      </c>
      <c r="C7501" t="inlineStr">
        <is>
          <t>i need advice on what to do if in going out drinking for abit, should i take it easy with drinks or cut out drinking altogether</t>
        </is>
      </c>
      <c r="D7501" t="n">
        <v>2</v>
      </c>
      <c r="E7501" t="n">
        <v>5</v>
      </c>
      <c r="F7501">
        <f>HYPERLINK("https://www.reddit.com/r/diabetes/comments/d7aosv/i_need_help/")</f>
        <v/>
      </c>
      <c r="G7501" t="inlineStr">
        <is>
          <t>2019-09-21 06:47:00</t>
        </is>
      </c>
      <c r="H7501" t="inlineStr">
        <is>
          <t>Type 1</t>
        </is>
      </c>
    </row>
    <row r="7502">
      <c r="A7502" t="inlineStr">
        <is>
          <t>d7atbp</t>
        </is>
      </c>
      <c r="B7502" t="inlineStr">
        <is>
          <t>How do you treat your low blood sugars?</t>
        </is>
      </c>
      <c r="C7502" t="inlineStr">
        <is>
          <t>Normally I just use glucose tabs or shot blocks, I was curious what everyone else uses?</t>
        </is>
      </c>
      <c r="D7502" t="n">
        <v>3</v>
      </c>
      <c r="E7502" t="n">
        <v>9</v>
      </c>
      <c r="F7502">
        <f>HYPERLINK("https://www.reddit.com/r/diabetes/comments/d7atbp/how_do_you_treat_your_low_blood_sugars/")</f>
        <v/>
      </c>
      <c r="G7502" t="inlineStr">
        <is>
          <t>2019-09-21 06:58:31</t>
        </is>
      </c>
      <c r="H7502" t="inlineStr">
        <is>
          <t>Type 1</t>
        </is>
      </c>
    </row>
    <row r="7503">
      <c r="A7503" t="inlineStr">
        <is>
          <t>d7d50z</t>
        </is>
      </c>
      <c r="B7503" t="inlineStr">
        <is>
          <t>I’m overwhelmed.</t>
        </is>
      </c>
      <c r="C7503" t="inlineStr">
        <is>
          <t>Little bit of background: I was diagnosed back in 2017. I haven’t even attempted to get healthy. Had my first blood work appointment since and EVERYTHING is bad. 
Starting from the top my A1C is 7.7. Glucose was 185. My GFR is 79. Not to mention some blood cell abnormalities and really bad cholesterol numbers. 
Doctor is putting me on 500mg once a day or metformin. (Please don’t mention side effects I have bad health anxiety about these things). I’m also on two pills to help with blood pressure.
I’m 28(F) currently weigh 228 just over 5 foot.
Some good info: I’ve dropped about 10lbs in the last 5 months from limiting my soda intake and eating out. I also began exercising a week ago. 30 mins of walking. Which I plan to keep up with and push for more. I don’t smoke or drink, but I eat emotionally.
After listening to the doctor explain everything and googling my numbers for their meaning again I still feel lost. I feel overwhelmed. How the heck am I going to do this? What can I even eat anymore? I’m such a picky eater. 
I’ve done Keto and loved it but hated how hard and expensive it was to keep up with. I also don’t think my cholesterol can take the heavy meat intake. 
Where do I start in changing my diet and tastes?</t>
        </is>
      </c>
      <c r="D7503" t="n">
        <v>4</v>
      </c>
      <c r="E7503" t="n">
        <v>2</v>
      </c>
      <c r="F7503">
        <f>HYPERLINK("https://www.reddit.com/r/diabetes/comments/d7d50z/im_overwhelmed/")</f>
        <v/>
      </c>
      <c r="G7503" t="inlineStr">
        <is>
          <t>2019-09-21 10:04:34</t>
        </is>
      </c>
      <c r="H7503" t="inlineStr">
        <is>
          <t>Type 2</t>
        </is>
      </c>
    </row>
    <row r="7504">
      <c r="A7504" t="inlineStr">
        <is>
          <t>d7dxrm</t>
        </is>
      </c>
      <c r="B7504" t="inlineStr">
        <is>
          <t>Why don't you personally use an insulin pump?</t>
        </is>
      </c>
      <c r="C7504" t="inlineStr">
        <is>
          <t>Hi! My mom is diabetic and we were talking about the pros and cons of using an insulin pump. I didn't realize how few people use one -- I always assumed that was the way people administered insulin when I was a kid because that's what my mom's always used.
Despite the cost (my mom has good insurance, so we are lucky!) why don't people use an insulin pump? My mom mentioned it requiring 24-hour care, but is that a big issue for many people?
Thanks for your input! I'm trying to learn all I can.</t>
        </is>
      </c>
      <c r="D7504" t="n">
        <v>2</v>
      </c>
      <c r="E7504" t="n">
        <v>13</v>
      </c>
      <c r="F7504">
        <f>HYPERLINK("https://www.reddit.com/r/diabetes/comments/d7dxrm/why_dont_you_personally_use_an_insulin_pump/")</f>
        <v/>
      </c>
      <c r="G7504" t="inlineStr">
        <is>
          <t>2019-09-21 11:06:34</t>
        </is>
      </c>
      <c r="H7504" t="inlineStr">
        <is>
          <t>Type 1</t>
        </is>
      </c>
    </row>
    <row r="7505">
      <c r="A7505" t="inlineStr">
        <is>
          <t>d7e4kz</t>
        </is>
      </c>
      <c r="B7505" t="inlineStr">
        <is>
          <t>Feeling a little down, have questions</t>
        </is>
      </c>
      <c r="C7505" t="inlineStr">
        <is>
          <t>I'm type One, and have been for over 20 years. For the most part, I've never struggled with getting insulin. I've always been covered by parents insurance, or I had low-income clinics that got it to me at low cost.
But I just moved, and the place I live in now has NOTHING, no income based clinics, I don't currently qualify for the state-sponsored insurance, etc.
Well, I'm getting low on insulin, and I went and got a script for some, only to have the pharmacy charge me over $900 for it, and though I'm working, I can't afford that. So, I didn't get it.
I'm just curious how others would go about this situation?
As I said, I'm rather "spoiled" as I've never had to worry about not getting my insulin when I needed it before. I either paid a small amount out of pocket, or I got it through insurance, and it's always been fine, but now in this new place, it's like learning all over again.</t>
        </is>
      </c>
      <c r="D7505" t="n">
        <v>9</v>
      </c>
      <c r="E7505" t="n">
        <v>11</v>
      </c>
      <c r="F7505">
        <f>HYPERLINK("https://www.reddit.com/r/diabetes/comments/d7e4kz/feeling_a_little_down_have_questions/")</f>
        <v/>
      </c>
      <c r="G7505" t="inlineStr">
        <is>
          <t>2019-09-21 11:21:21</t>
        </is>
      </c>
      <c r="H7505" t="inlineStr">
        <is>
          <t>Type 1</t>
        </is>
      </c>
    </row>
    <row r="7506">
      <c r="A7506" t="inlineStr">
        <is>
          <t>d7fld4</t>
        </is>
      </c>
      <c r="B7506" t="inlineStr">
        <is>
          <t>I have been to the doctor multple times in the past year, everytime checks bloodwork, just tested resting gluse is 300mg.dl shouldn't he have caught this?</t>
        </is>
      </c>
      <c r="C7506" t="inlineStr">
        <is>
          <t>I just tested my resting glucose withmy contour meter and it consistently gave me 300mg/dl and over.  I'm shocked, I have been really thirsty lately, so I decided to test it. I' always tired but I also have depression so didn't think anything of it.  I have lost no weight, only gaining. I'm shocked, I have no insurance, I'm going to the doctor Monday for another resting glucose and hoping this is a mistake. But I used the control solution on the monitor and it fell within the acceptable range. I'm 31, overweight.</t>
        </is>
      </c>
      <c r="D7506" t="n">
        <v>4</v>
      </c>
      <c r="E7506" t="n">
        <v>8</v>
      </c>
      <c r="F7506">
        <f>HYPERLINK("https://www.reddit.com/r/diabetes/comments/d7fld4/i_have_been_to_the_doctor_multple_times_in_the/")</f>
        <v/>
      </c>
      <c r="G7506" t="inlineStr">
        <is>
          <t>2019-09-21 13:12:19</t>
        </is>
      </c>
      <c r="H7506" t="inlineStr">
        <is>
          <t>Type 2</t>
        </is>
      </c>
    </row>
    <row r="7507">
      <c r="A7507" t="inlineStr">
        <is>
          <t>d7l622</t>
        </is>
      </c>
      <c r="B7507" t="inlineStr">
        <is>
          <t>is the off the counter glucose devices can be trusted ?</t>
        </is>
      </c>
      <c r="C7507" t="inlineStr">
        <is>
          <t>i recently bought this device from Amazon which it had so little review but good one. note\*\* my glucose blood test 12 months ago was 99mg
 [https://www.amazon.com/gp/product/B07R7GLN5J/ref=ppx\_yo\_dt\_b\_asin\_title\_o01\_s00?ie=UTF8&amp;amp;psc=1](https://www.amazon.com/gp/product/B07R7GLN5J/ref=ppx_yo_dt_b_asin_title_o01_s00?ie=UTF8&amp;amp;psc=1) 
test 1 : 109
test2 : 174
test3: 95
test4: 97
&amp;amp;#x200B;
i dont know if i  should trust it but what i know i've had weird symptoms showing up after a night out drinking too much i went to the gym a day later and my running shoes were tight and ran 4.5 miles in 1 hour period after that i feel those symptoms :
1- fatigue/can't focus/dizzy 
2- left foot numbs but so little and occasional pain in heels like a needle
3- right foot numbs more frequent and only my big toe feels a little needle once in a while
4- when i set the right foot numbs a lot almost always but my left foot is so little numb almost nothing
5- frequent urination but i do drink 2 gallons a day
symptoms i thought i should have but not sure if it related to diabetes 
1- skin color change (i got  1 or 2 little dark spots around my both ankles)
2- bleeding easily or wounds blood stops slow (mine seems to be normal)
3- equally numb, pain and needles feeling in both feet (i got a feet hurts more than the other)
&amp;amp;#x200B;
please if you experience any of those symptom or a similar situation to this that would help a lot i went to the doctor he is doing blood tests now but he is worried that i might have problems in my blood not a blood sugar because i mentioned to him about my feet but he didn't concern much about it</t>
        </is>
      </c>
      <c r="D7507" t="n">
        <v>1</v>
      </c>
      <c r="E7507" t="n">
        <v>9</v>
      </c>
      <c r="F7507">
        <f>HYPERLINK("https://www.reddit.com/r/diabetes/comments/d7l622/is_the_off_the_counter_glucose_devices_can_be/")</f>
        <v/>
      </c>
      <c r="G7507" t="inlineStr">
        <is>
          <t>2019-09-21 20:32:40</t>
        </is>
      </c>
      <c r="H7507" t="inlineStr">
        <is>
          <t>Type 2</t>
        </is>
      </c>
    </row>
    <row r="7508">
      <c r="A7508" t="inlineStr">
        <is>
          <t>d7nnar</t>
        </is>
      </c>
      <c r="B7508" t="inlineStr">
        <is>
          <t>Fiasp.. sudden, hard drops only recently?</t>
        </is>
      </c>
      <c r="C7508" t="inlineStr">
        <is>
          <t>Within the past 2 weeks, after using Fiasp for well over a year already, I suddenly had it occur 4 times in total, that my BG crashed HARD within moments of taking the injection. 
This happened in the mornings with my breakfast bolus, but also once at night with a small correction dose.
The behavior is always the same: Within minutes, my BG starts dropping by 20+ points per 5 minutes, worst one was a 2 unit correction dose that brought me from 147 to low 60s within 15 mins. 
When this happens, I have to shovel tons of carbs into me to stay ahead of it, much, much more than the amount of insulin would warrant.
&amp;amp;#x200B;
First time I thought I hit a blood vessel, second time I thought that was a very strange coincidence, at this point, I'm just thinking "what the hell is going on here".
&amp;amp;#x200B;
I swapped out the vial, it's not the first vial of a new box either, and the very same insulin from the very same pen has worked normally the past few days too. 
Anyone have any ideas, or seen this happen before?</t>
        </is>
      </c>
      <c r="D7508" t="n">
        <v>2</v>
      </c>
      <c r="E7508" t="n">
        <v>7</v>
      </c>
      <c r="F7508">
        <f>HYPERLINK("https://www.reddit.com/r/diabetes/comments/d7nnar/fiasp_sudden_hard_drops_only_recently/")</f>
        <v/>
      </c>
      <c r="G7508" t="inlineStr">
        <is>
          <t>2019-09-22 01:17:41</t>
        </is>
      </c>
      <c r="H7508" t="inlineStr">
        <is>
          <t>Type 1</t>
        </is>
      </c>
    </row>
    <row r="7509">
      <c r="A7509" t="inlineStr">
        <is>
          <t>d7q8hu</t>
        </is>
      </c>
      <c r="B7509" t="inlineStr">
        <is>
          <t>hello friend need insulin no take</t>
        </is>
      </c>
      <c r="C7509" t="inlineStr">
        <is>
          <t>friend got high. blood sugar 23. having bad trip. need insultin? thanks. love her</t>
        </is>
      </c>
      <c r="D7509" t="n">
        <v>1</v>
      </c>
      <c r="E7509" t="n">
        <v>0</v>
      </c>
      <c r="F7509">
        <f>HYPERLINK("https://www.reddit.com/r/diabetes/comments/d7q8hu/hello_friend_need_insulin_no_take/")</f>
        <v/>
      </c>
      <c r="G7509" t="inlineStr">
        <is>
          <t>2019-09-22 06:12:29</t>
        </is>
      </c>
      <c r="H7509" t="inlineStr">
        <is>
          <t>Type 1</t>
        </is>
      </c>
    </row>
    <row r="7510">
      <c r="A7510" t="inlineStr">
        <is>
          <t>d7tqtf</t>
        </is>
      </c>
      <c r="B7510" t="inlineStr">
        <is>
          <t>My Experience(s) so far with Diabetes</t>
        </is>
      </c>
      <c r="C7510" t="inlineStr">
        <is>
          <t>My wife and I went through quite the ordeal to have a baby. Roughly eight years, four losses, and a miraculously simple trouble-free pregnancy, aside from a major abdominal surgery to fix my wife’s cervical issues, we had a beautiful, perfectly healthy baby girl. This is just a short insight into “What’s next”.
I have never been “light”. I was a beanpole until high school and could best be described as husky/chubby post 9th grade. I had minor issues with sugar, hypoglycemia, and some issues with asthma growing up. I went into the army when I was 21, was discharged as “Medically unfit” due to an allergy to a specific mold in Lawton Ok. I was building calcification's in my lungs due to this allergy. At 6’0”, I left the army at 175 pounds. I was in the best shape of my life. I found work in IT, and as time went on gained weight. As ordeals went on with my wife and pregnancies, I gained weight. Shortly after our first loss, at 37, I clocked in a 380 pounds. After finding out my weight, I went on a medifast diet, which is a shake-based replacement for those not familiar. I dropped 80 pounds, felt better/healthier, and stopped the diet.
Fast forward to my daughters 1st birthday. I am 44, weigh myself, find out I am 330 pounds. I am always out of energy, don’t feel great, and now as my daughter is getting more active, I find the fact I am lagging while playing with a one year old annoying. I start exercising more, eating better/less food. Cut most soda’s out of my diet and start dropping weight. It does not really make me feel better, but once I start dropping weight, it gets easier to drop more weight. My 45th birthday, about six months after starting to diet, I weigh in at about 280 pounds. 
I feel like I should have more energy, but I have less. I attribute some of it to getting older. My legs start to have a continual “aching/burning” feel. It’s bad enough, it starts interrupting my sleep. I go from sleeping 7-8 hours nightly, to 3-5 hours. I don’t have a perfect description, but the soreness feels akin to having worked out the day before. I notice my skin is more sensitive on my feet. Again, I attribute it to age.
I continue to lose weight, and my aching legs get worse. I really do not go to the doctor often, but at this point, end of July, I decide I need to make an appointment. As a new patient, the appointment I get is End of September, but the practice has an urgent care, and I’m told they treat “everything” so if things get too bad, go to urgent care. About two week later I go into urgent care. Not sleeping and the pain in my legs/feet is driving me crazy. I also start having tingling/numbness in my fingers/toes, and the skin on my feet is so sensitive, my hands feel like sandpaper on my skin. I must brace myself to put on socks.
The Urgent care doctor doesn’t really know what’s going on but orders several blood tests and sends me on my way. I weigh in at 240 pounds. 3 days later, I get a call from the doctor, saying I have diabetes, and I need to test my blood sugar twice daily, and prescribes 500mg of Metformin daily. Once I can see my labs, I find my blood glucose was 340, and a1c 13.and high cholesterol. I make more dietary changes, influenced by what I read on the internet/reddit. 30 days later, the pain in my legs is worse, my blood sugar average is 210 and trending down instead of up, but slowly. I almost always have an unsettled feeling in my stomach. I have no alcohol, I try Tylenol, ibuprofen, and Aleve, to no benefit.
I go to urgent care again; my doctor’s appointment is still two weeks away. My practice has their diabetic specialist free, and I get routed to her instead of Urgent Care. I have dropped another 10 pounds (230) in the last 30 days. She changes my prescriptions, puts me on Crestor for cholesterol, Altace for hypertension (135/80) and for Diabetes, Actos, and Xigduo XR 10/1000. She says metformin often causes an unsettled stomach, or stomach cramps, but it should go away. She orders more labs, including an ultrasound test on extremities, looking for peripheral vascular disease. She tells me to expect another prescription, a weekly injectable, but it may take a bit because its from a different pharmacy. I did not get a name on that one. She diagnosed my leg pain as diabetic neuropathy, and said there is medication, she doesn’t like to prescribe, as it makes people hungry and tired, and that makes them fat. Lowering my bg and a1c should cause the neuropathy to lessen/go away.
I haven’t seen the doctor since, my appointment is in a week, but when I looked at the labs, everything was in the green, aside from urinalysis. No protein, which is good, but it listed Blood Glucose as 3+ and Ketones as 1+. My aching legs are driving me nuts, its constant. My morning blood sugar is testing 110-120, and my post dinner bg is measuring 170-200. 7 days after my UC visit, I weigh myself, at 225. 
I know I’ll find out more at my next appointment, Sept 30. Are there any suggestions for the neuropathy? If I spend another week with little sleep and constant aching legs, I don’t know what I’m going to do. Sleep has always been a refuge, not being able to sleep is devastating, and when coupled with constant aching/soreness, numbness in fingers/toes, its worse. I am concerned with the BG 3+ and Ketones 1+ in the urinalysis, after 30 days of metformin and what I thought was better diet control. I am concerned with feeling weak/shaky. Shouldn’t I feel better with BG more under control?</t>
        </is>
      </c>
      <c r="D7510" t="n">
        <v>2</v>
      </c>
      <c r="E7510" t="n">
        <v>4</v>
      </c>
      <c r="F7510">
        <f>HYPERLINK("https://www.reddit.com/r/diabetes/comments/d7tqtf/my_experiences_so_far_with_diabetes/")</f>
        <v/>
      </c>
      <c r="G7510" t="inlineStr">
        <is>
          <t>2019-09-22 10:40:46</t>
        </is>
      </c>
      <c r="H7510" t="inlineStr">
        <is>
          <t>Type 2</t>
        </is>
      </c>
    </row>
    <row r="7511">
      <c r="A7511" t="inlineStr">
        <is>
          <t>d7ttex</t>
        </is>
      </c>
      <c r="B7511" t="inlineStr">
        <is>
          <t>The cause of T1 diabetes...? Now suspected to be pancreas beta-cell stress!! CORTISOL the enemy?</t>
        </is>
      </c>
      <c r="C7511" t="inlineStr">
        <is>
          <t>**The disease cause appears to involve an increased demand for insulin caused by high levels of stress hormones like cortisol, which are known to affect humans under serious psychological stress.**
Beta cells in the pancreas are the source of insulin, the hormone all cells need to extract glucose from the blood and use it for energy. Undue stress can increase the resistance of cells to insulin, resulting in elevated blood levels of glucose. This, in turn, increases the demand for insulin and could overwhelm or exhaust the beta cells’ ability to supply it. 
Scholarly research [LINK](https://onlinelibrary.wiley.com/doi/epdf/10.1002/smi.1074?referrer_access_token=Qnst1ZDlmyrOcO1-frKgm04keas67K9QMdWULTWMo8NS6vNdCK1IIeMjuakDPinVYsoL74yNg8hg6t8HTzwwWFyxuWGmdALRqDFcoja3uGTvKFIQbD3LdA8DcNOuqAtxOT-2Jo8thRMheLWMTlYTSw%3D%3D)</t>
        </is>
      </c>
      <c r="D7511" t="n">
        <v>0</v>
      </c>
      <c r="E7511" t="n">
        <v>1</v>
      </c>
      <c r="F7511">
        <f>HYPERLINK("https://www.reddit.com/r/diabetes/comments/d7ttex/the_cause_of_t1_diabetes_now_suspected_to_be/")</f>
        <v/>
      </c>
      <c r="G7511" t="inlineStr">
        <is>
          <t>2019-09-22 10:46:03</t>
        </is>
      </c>
      <c r="H7511" t="inlineStr">
        <is>
          <t>Type 1</t>
        </is>
      </c>
    </row>
    <row r="7512">
      <c r="A7512" t="inlineStr">
        <is>
          <t>d7zjvd</t>
        </is>
      </c>
      <c r="B7512" t="inlineStr">
        <is>
          <t>Glucose meter compatible with Samsung S10+?</t>
        </is>
      </c>
      <c r="C7512" t="inlineStr">
        <is>
          <t>Hi everyone. First post here, my first three days on insulin injections (not happy, quite depressed).
Obviously have been bad about monitoring my sugar, until I pegged the meter at a reading of "HIGH" instead of a number. My doc says regular consumer meters top out at around 600, so... yeah. It's only been a few days, but I'm still averaging around 320 or so (fasting). I see the doc again in a couple of days.
To the point... I have an Accu-Check Aviva Connect, which used to connect perfectly to my iPhone. Now I've switched teams and have a spankin' new Samsung S10+. Which isn't compatible. Durr. 
I'm looking for a meter that'll be compatible with this phone, as I need all the help I can get tracking my numbers and staying on schedule. A physical notepad just isn't going to do it for me. I'll lose it, or not have a pen handy, be lazy about doing averages, etc.
I don't know if I'm going to be prescribed something like a Dexcom, which I believe IS compatible. I will try to find out. 
I know my numbers are still too high, but at least I can stand up without getting dizzy. And please, no more trips to the ER for fluids and insulin.
It's very early days, so I'm expecting changes in my dosages, or something.
But in the meantime, I need all the crutches I can lay my hands on to keep me honest and keep good track of my numbers. I'm a techno-fetishist, so things like smartphone apps, smartwatches, etc., all help.
Thanks in advance.
tl;dr - looking for a glucose meter compatible with a Samsung S10+ to make managing this crap a little easier.</t>
        </is>
      </c>
      <c r="D7512" t="n">
        <v>3</v>
      </c>
      <c r="E7512" t="n">
        <v>2</v>
      </c>
      <c r="F7512">
        <f>HYPERLINK("https://www.reddit.com/r/diabetes/comments/d7zjvd/glucose_meter_compatible_with_samsung_s10/")</f>
        <v/>
      </c>
      <c r="G7512" t="inlineStr">
        <is>
          <t>2019-09-22 18:17:54</t>
        </is>
      </c>
      <c r="H7512" t="inlineStr">
        <is>
          <t>Type 2</t>
        </is>
      </c>
    </row>
    <row r="7513">
      <c r="A7513" t="inlineStr">
        <is>
          <t>d7zonb</t>
        </is>
      </c>
      <c r="B7513" t="inlineStr">
        <is>
          <t>Helping</t>
        </is>
      </c>
      <c r="C7513" t="inlineStr">
        <is>
          <t>So I have a bit of a rant/questions I want to ask.   
1.) I haven't had insurance for the past couple of years. This has resulted in me being hospitalized a couple for infections. (Several days out of my life.) It's frustrating to me.   
2.) I am in a grey area. I make too much money doing part time work every week to qualify for medicare/medicaid, but I don't make enough money to be able to afford either my medication or ACA health care.   
3.) I really want this cycle to end, but I find it incredibly frustrating. Doctors at the hospital treat me like I am just being negligent. I have gotten the free stuff in the past for my insulin and pills. I just want to be healthy.   
Any help would be appreciated.</t>
        </is>
      </c>
      <c r="D7513" t="n">
        <v>2</v>
      </c>
      <c r="E7513" t="n">
        <v>3</v>
      </c>
      <c r="F7513">
        <f>HYPERLINK("https://www.reddit.com/r/diabetes/comments/d7zonb/helping/")</f>
        <v/>
      </c>
      <c r="G7513" t="inlineStr">
        <is>
          <t>2019-09-22 18:29:17</t>
        </is>
      </c>
      <c r="H7513" t="inlineStr">
        <is>
          <t>Type 2</t>
        </is>
      </c>
    </row>
    <row r="7514">
      <c r="A7514" t="inlineStr">
        <is>
          <t>d80hb2</t>
        </is>
      </c>
      <c r="B7514" t="inlineStr">
        <is>
          <t>My daughter was diagnosed with type 1 diabetes a few months ago shes only 2 years old, this has been the most stressful thing I have ever dealt with in my entire life... I'm looking for any advice.</t>
        </is>
      </c>
      <c r="C7514" t="inlineStr">
        <is>
          <t>She takes 2-2.5 units of basaglar each morning and 1-1.5 units humalog for each meal (20-30g carbs). a 0.5 unit correction will bring 20-24bgl (I guess canadians use a different unit of measurement then in USA) down to almost a low in most cases and it is very difficult to balance her our. I come to this sub in hopes to get some advice and wisdom beyond what the doctor is currently doing to guide us. If you know anything you feel could help me balance her out, feel free to give input, I'm all ears.</t>
        </is>
      </c>
      <c r="D7514" t="n">
        <v>23</v>
      </c>
      <c r="E7514" t="n">
        <v>37</v>
      </c>
      <c r="F7514">
        <f>HYPERLINK("https://www.reddit.com/r/diabetes/comments/d80hb2/my_daughter_was_diagnosed_with_type_1_diabetes_a/")</f>
        <v/>
      </c>
      <c r="G7514" t="inlineStr">
        <is>
          <t>2019-09-22 19:39:07</t>
        </is>
      </c>
      <c r="H7514" t="inlineStr">
        <is>
          <t>Type 1</t>
        </is>
      </c>
    </row>
    <row r="7515">
      <c r="A7515" t="inlineStr">
        <is>
          <t>d81xy9</t>
        </is>
      </c>
      <c r="B7515" t="inlineStr">
        <is>
          <t>Pumped Novolog now lasting 6+ hours</t>
        </is>
      </c>
      <c r="C7515" t="inlineStr">
        <is>
          <t>The past few weeks have been rough. Long story short, my insulin now seems to be lasting 6-8 hours when it was previously 2-3. I've been going through wild swings, mostly with a reasonable dinner needing what seemed like a crazy amount of insulin to come down, but then having to wake up 3x every night to keep pounding sugar to stay above 55mg/dl. I thought maybe I just had heavy resistance during the day followed by a total lack of needing insulin at night (using tandem with G6 and basal-iq so my basal is effectively off all night).
The past few days I kept bumping up the insulin duration settings and that finally seems to be the solution to avoiding the wild swings. I finally had a night where I could sleep a solid 6 hours last night.
Is 6-8 hours duration of Novolog weird? I've never had the pump set more than 3hrs until now and I've been pumping 15 years.</t>
        </is>
      </c>
      <c r="D7515" t="n">
        <v>6</v>
      </c>
      <c r="E7515" t="n">
        <v>8</v>
      </c>
      <c r="F7515">
        <f>HYPERLINK("https://www.reddit.com/r/diabetes/comments/d81xy9/pumped_novolog_now_lasting_6_hours/")</f>
        <v/>
      </c>
      <c r="G7515" t="inlineStr">
        <is>
          <t>2019-09-22 22:03:26</t>
        </is>
      </c>
      <c r="H7515" t="inlineStr">
        <is>
          <t>Type 1</t>
        </is>
      </c>
    </row>
    <row r="7516">
      <c r="A7516" t="inlineStr">
        <is>
          <t>d899zd</t>
        </is>
      </c>
      <c r="B7516" t="inlineStr">
        <is>
          <t>Should I prioritize Weight lifting or Cardio?</t>
        </is>
      </c>
      <c r="C7516" t="inlineStr">
        <is>
          <t>I'm a 36 yo male, diagnosed with type 2 diabetes about a year ago. 
After my diagnosis I changed up my lifestyle and now I eat healthy and workout regularly. I have gotten more in shape, have lost body fat, gained muscle and lost weight overall. I've lost a total of 20 pounds.
So far, I've been priorizing cardio to weights, even though I do both. I normally do 30 minutes on the stairmaster, burning around 800 calories in a session, then I do weights for 45 minutes to an hour. However, if I don't have much time I rather sacrifice lifting weights than my cardio session. 
I use 10 units of long acting insulin every night, and that's it. My glucose is always under control and my last A1C was 5.2.
However, I've been told several times by trainers that I should loft weights first and then do cardio, that If I did so, I would get better results. 
However, since I'm a diabetic, I feel like I have to prioritize my cardiovascular health over muscle building.
Any type 2 here with experience with excersise that can share their opinion? I would greatly appreciate it.</t>
        </is>
      </c>
      <c r="D7516" t="n">
        <v>10</v>
      </c>
      <c r="E7516" t="n">
        <v>23</v>
      </c>
      <c r="F7516">
        <f>HYPERLINK("https://www.reddit.com/r/diabetes/comments/d899zd/should_i_prioritize_weight_lifting_or_cardio/")</f>
        <v/>
      </c>
      <c r="G7516" t="inlineStr">
        <is>
          <t>2019-09-23 09:56:43</t>
        </is>
      </c>
      <c r="H7516" t="inlineStr">
        <is>
          <t>Type 2</t>
        </is>
      </c>
    </row>
    <row r="7517">
      <c r="A7517" t="inlineStr">
        <is>
          <t>d8btwq</t>
        </is>
      </c>
      <c r="B7517" t="inlineStr">
        <is>
          <t>Some days it's just really hard to get by</t>
        </is>
      </c>
      <c r="C7517" t="inlineStr">
        <is>
          <t>hey yall,
&amp;amp;#x200B;
I'm a 21 \[m\], been diagnosed for 11 years now. Just having a rough day. It was randomly really hard getting out of bed this morning. Sometimes I just wish I could put the covers over my head and black out all day so that I don't have to face the waves of stress from my life and I can just exist, rather than live.</t>
        </is>
      </c>
      <c r="D7517" t="n">
        <v>15</v>
      </c>
      <c r="E7517" t="n">
        <v>7</v>
      </c>
      <c r="F7517">
        <f>HYPERLINK("https://www.reddit.com/r/diabetes/comments/d8btwq/some_days_its_just_really_hard_to_get_by/")</f>
        <v/>
      </c>
      <c r="G7517" t="inlineStr">
        <is>
          <t>2019-09-23 12:48:02</t>
        </is>
      </c>
      <c r="H7517" t="inlineStr">
        <is>
          <t>Type 1</t>
        </is>
      </c>
    </row>
    <row r="7518">
      <c r="A7518" t="inlineStr">
        <is>
          <t>d8co2m</t>
        </is>
      </c>
      <c r="B7518" t="inlineStr">
        <is>
          <t>Potassium loss + update</t>
        </is>
      </c>
      <c r="C7518" t="inlineStr">
        <is>
          <t>First off, I don’t brag about this on other social media so I figure I can here:
My 3-month post-diagnosis results:
A1C DOWN from 10.9 to 6.5
Fasting glucose DOWN from 305 to 99
I’ve also lost about 50 pounds from my calorie/carb restricted diet!
🎉🎉🎉
My test also showed a low potassium level. I don’t account for potassium in my diet so it may be as simple as eating an extra banana now and then. (Maybe?) My doc appointment is tomorrow so he might have a suggestion. 
Have any of you dealt with this, and how did you handle it?</t>
        </is>
      </c>
      <c r="D7518" t="n">
        <v>6</v>
      </c>
      <c r="E7518" t="n">
        <v>4</v>
      </c>
      <c r="F7518">
        <f>HYPERLINK("https://www.reddit.com/r/diabetes/comments/d8co2m/potassium_loss_update/")</f>
        <v/>
      </c>
      <c r="G7518" t="inlineStr">
        <is>
          <t>2019-09-23 13:48:20</t>
        </is>
      </c>
      <c r="H7518" t="inlineStr">
        <is>
          <t>Type 2</t>
        </is>
      </c>
    </row>
    <row r="7519">
      <c r="A7519" t="inlineStr">
        <is>
          <t>d8geii</t>
        </is>
      </c>
      <c r="B7519" t="inlineStr">
        <is>
          <t>T1D &amp;amp; Cold Medication</t>
        </is>
      </c>
      <c r="C7519" t="inlineStr">
        <is>
          <t>What cold medications are safe to take with T1? 
My SO was only diagnosed about a year ago and doesn’t get sick very often so I’m wondering what he can take that won’t change his sugars too much.</t>
        </is>
      </c>
      <c r="D7519" t="n">
        <v>2</v>
      </c>
      <c r="E7519" t="n">
        <v>3</v>
      </c>
      <c r="F7519">
        <f>HYPERLINK("https://www.reddit.com/r/diabetes/comments/d8geii/t1d_cold_medication/")</f>
        <v/>
      </c>
      <c r="G7519" t="inlineStr">
        <is>
          <t>2019-09-23 18:40:57</t>
        </is>
      </c>
      <c r="H7519" t="inlineStr">
        <is>
          <t>Type 1</t>
        </is>
      </c>
    </row>
    <row r="7520">
      <c r="A7520" t="inlineStr">
        <is>
          <t>d8gh39</t>
        </is>
      </c>
      <c r="B7520" t="inlineStr">
        <is>
          <t>New to all of this, eye question.</t>
        </is>
      </c>
      <c r="C7520" t="inlineStr">
        <is>
          <t>Hey all,
I recently lived out of the country for 3 months and was diagnosed with diabetes shortly after returning. My blood sugar was over 750. My eyes were blurry before the diagnosis (I had eye lasik 10 years ago before that) but glasses easily fixed it. Then when I started insulin my eyes went crazy. I went from near sighted to +6 in about a week. Now, it's been about a month and I am maintainig my blood sugar to around 100 and my eyes are just about +1. They feel different though, it feels as if they are camera lenses that I have to focus over amd over. 
I don't know anyone with diabetes and just want to hear other people's experiences. I'm terrified of losing my vision and just really am hoping for a tiny bit of comfort. Thanks in advance.
TLDR: Did your eyes get messed up too, and did they get better?</t>
        </is>
      </c>
      <c r="D7520" t="n">
        <v>2</v>
      </c>
      <c r="E7520" t="n">
        <v>12</v>
      </c>
      <c r="F7520">
        <f>HYPERLINK("https://www.reddit.com/r/diabetes/comments/d8gh39/new_to_all_of_this_eye_question/")</f>
        <v/>
      </c>
      <c r="G7520" t="inlineStr">
        <is>
          <t>2019-09-23 18:47:01</t>
        </is>
      </c>
      <c r="H7520" t="inlineStr">
        <is>
          <t>Type 2</t>
        </is>
      </c>
    </row>
    <row r="7521">
      <c r="A7521" t="inlineStr">
        <is>
          <t>d8i4r5</t>
        </is>
      </c>
      <c r="B7521" t="inlineStr">
        <is>
          <t>Moderate ketones my first week of college</t>
        </is>
      </c>
      <c r="C7521" t="inlineStr">
        <is>
          <t>I just need a place to rant and figured this would be a good place. I moved into the dorm this past week and it had been terrible. Since the second day I have been struggling with stomachaches and nausea. I finally had enough on Sunday and put my symptoms into webmd and expected the worst.
Then it suggested DKA. And I felt so stupid because of course it was ketones. I was drinking a ton of water and was thirsty most of the time. So I went and tested and had moderate ketones.
That night the issue arose that my blood sugar was low. Because I wasn’t eating, I just kept dropping low. And without insulin, I can’t get rid of the ketones. But I don’t want to eat because it makes me nauseous.
Anyway, today I spent an hour on hold for the endo, who suggested I keep trying to eat and go to the doctor if it doesn’t get better. 
I think I’ll be fine overall, but it is really messing with me. Instead of meeting new people, I’m staying in my dorm internally dying. 
Sorry for all the complaining, I just need to write it down somewhere.</t>
        </is>
      </c>
      <c r="D7521" t="n">
        <v>5</v>
      </c>
      <c r="E7521" t="n">
        <v>3</v>
      </c>
      <c r="F7521">
        <f>HYPERLINK("https://www.reddit.com/r/diabetes/comments/d8i4r5/moderate_ketones_my_first_week_of_college/")</f>
        <v/>
      </c>
      <c r="G7521" t="inlineStr">
        <is>
          <t>2019-09-23 21:19:32</t>
        </is>
      </c>
      <c r="H7521" t="inlineStr">
        <is>
          <t>Type 1</t>
        </is>
      </c>
    </row>
    <row r="7522">
      <c r="A7522" t="inlineStr">
        <is>
          <t>d8jdwo</t>
        </is>
      </c>
      <c r="B7522" t="inlineStr">
        <is>
          <t>Alcohol is Harmful for Permanent Weight Loss in Diabetes [ University of Pennsylvania School of Nursing ]</t>
        </is>
      </c>
      <c r="C7522" t="inlineStr">
        <is>
          <t xml:space="preserve"> **People with** **type 2 diabetes** **who want to lose weight with a lifestyle intervention should stop using alcohol. Alcohol consumption reduces** **weight loss in the long term. This is the result of a survey of 2,448 overweight and diabetes people who have been followed for 4 years. The results are published in Obesity .** 
[Complete Study](https://www.carerace.com/2019/09/Weight-Loss-in-Diabetes.html)</t>
        </is>
      </c>
      <c r="D7522" t="n">
        <v>1</v>
      </c>
      <c r="E7522" t="n">
        <v>7</v>
      </c>
      <c r="F7522">
        <f>HYPERLINK("https://www.reddit.com/r/diabetes/comments/d8jdwo/alcohol_is_harmful_for_permanent_weight_loss_in/")</f>
        <v/>
      </c>
      <c r="G7522" t="inlineStr">
        <is>
          <t>2019-09-23 23:40:07</t>
        </is>
      </c>
      <c r="H7522" t="inlineStr">
        <is>
          <t>Type 2</t>
        </is>
      </c>
    </row>
    <row r="7523">
      <c r="A7523" t="inlineStr">
        <is>
          <t>d8jsn0</t>
        </is>
      </c>
      <c r="B7523" t="inlineStr">
        <is>
          <t>Does anyone else get knots from pump sites?</t>
        </is>
      </c>
      <c r="C7523" t="inlineStr">
        <is>
          <t>I have a Medtronic 670g pump. Seems like every time I change my site, I’m left with a knot. I favor my sides and sucks sometimes because they don’t go away for weeks so limits where I can put it next. Does this happen to anyone else?</t>
        </is>
      </c>
      <c r="D7523" t="n">
        <v>3</v>
      </c>
      <c r="E7523" t="n">
        <v>4</v>
      </c>
      <c r="F7523">
        <f>HYPERLINK("https://www.reddit.com/r/diabetes/comments/d8jsn0/does_anyone_else_get_knots_from_pump_sites/")</f>
        <v/>
      </c>
      <c r="G7523" t="inlineStr">
        <is>
          <t>2019-09-24 00:29:40</t>
        </is>
      </c>
      <c r="H7523" t="inlineStr">
        <is>
          <t>Type 1</t>
        </is>
      </c>
    </row>
    <row r="7524">
      <c r="A7524" t="inlineStr">
        <is>
          <t>d8mzkb</t>
        </is>
      </c>
      <c r="B7524" t="inlineStr">
        <is>
          <t>iOS13 and Dexcom App</t>
        </is>
      </c>
      <c r="C7524" t="inlineStr">
        <is>
          <t>I just updated my iOS and now I am getting a signal loss alert on my app even though the Dexcom app is still giving me constant glucose readings every 5 minutes ?
Anyone else have this issue?</t>
        </is>
      </c>
      <c r="D7524" t="n">
        <v>2</v>
      </c>
      <c r="E7524" t="n">
        <v>2</v>
      </c>
      <c r="F7524">
        <f>HYPERLINK("https://www.reddit.com/r/diabetes/comments/d8mzkb/ios13_and_dexcom_app/")</f>
        <v/>
      </c>
      <c r="G7524" t="inlineStr">
        <is>
          <t>2019-09-24 06:11:00</t>
        </is>
      </c>
      <c r="H7524" t="inlineStr">
        <is>
          <t>Type 1</t>
        </is>
      </c>
    </row>
    <row r="7525">
      <c r="A7525" t="inlineStr">
        <is>
          <t>d8nwre</t>
        </is>
      </c>
      <c r="B7525" t="inlineStr">
        <is>
          <t>Pump with smartphone control?</t>
        </is>
      </c>
      <c r="C7525" t="inlineStr">
        <is>
          <t>Is there a pump that is fully controleable with a smartphone app (preferably iOS)? On Google and here I keep getting results solely for the CGM part, but nothing about an app to actually control the pump itself. They all either have dedicated remotes or require input on the device itself. I’d be much more interested in a pump that can (also) be controlled from the iPhone. But so far, it looks like there are none?
I know about looping, still rather have it natively supported by the manufacturer.</t>
        </is>
      </c>
      <c r="D7525" t="n">
        <v>4</v>
      </c>
      <c r="E7525" t="n">
        <v>13</v>
      </c>
      <c r="F7525">
        <f>HYPERLINK("https://www.reddit.com/r/diabetes/comments/d8nwre/pump_with_smartphone_control/")</f>
        <v/>
      </c>
      <c r="G7525" t="inlineStr">
        <is>
          <t>2019-09-24 07:24:06</t>
        </is>
      </c>
      <c r="H7525" t="inlineStr">
        <is>
          <t>Type 1</t>
        </is>
      </c>
    </row>
    <row r="7526">
      <c r="A7526" t="inlineStr">
        <is>
          <t>d8vr4a</t>
        </is>
      </c>
      <c r="B7526" t="inlineStr">
        <is>
          <t>Looking to speak to women who've had gestational diabetes in the last 5 years (20 mins, $50 Amazon gift card)</t>
        </is>
      </c>
      <c r="C7526" t="inlineStr">
        <is>
          <t>I’m looking for women who have experience with Gestational Diabetes while pregnant for a 20-minute interview over the phone.
The research is for a CA-based healthcare provider called Steady Health ([http://steady.health](http://steady.health/)) and is meant to help us develop a completely new, and remote, care program specialized for gestational diabetes. If you want to contact us for questions, email me at henrik@steady.health
If you live in the US and would be up for a quick chat, find some time with someone from our team via this link.
[https://calendly.com/steadyhealth/user-interview-gestational-diabetes](https://calendly.com/steadyhealth/user-interview-gestational-diabetes)
Thanks for your help!</t>
        </is>
      </c>
      <c r="D7526" t="n">
        <v>1</v>
      </c>
      <c r="E7526" t="n">
        <v>4</v>
      </c>
      <c r="F7526">
        <f>HYPERLINK("https://www.reddit.com/r/diabetes/comments/d8vr4a/looking_to_speak_to_women_whove_had_gestational/")</f>
        <v/>
      </c>
      <c r="G7526" t="inlineStr">
        <is>
          <t>2019-09-24 17:14:00</t>
        </is>
      </c>
      <c r="H7526" t="inlineStr">
        <is>
          <t>Type 2</t>
        </is>
      </c>
    </row>
    <row r="7527">
      <c r="A7527" t="inlineStr">
        <is>
          <t>d8xp4t</t>
        </is>
      </c>
      <c r="B7527" t="inlineStr">
        <is>
          <t>I have a question.</t>
        </is>
      </c>
      <c r="C7527" t="inlineStr">
        <is>
          <t>I have a question for people who have more experience than me, specially Type ones. Do people ever assume that you got where you are from overeating, and if so, does it bother you? How much? What's your opinion on diabetes joke?</t>
        </is>
      </c>
      <c r="D7527" t="n">
        <v>3</v>
      </c>
      <c r="E7527" t="n">
        <v>7</v>
      </c>
      <c r="F7527">
        <f>HYPERLINK("https://www.reddit.com/r/diabetes/comments/d8xp4t/i_have_a_question/")</f>
        <v/>
      </c>
      <c r="G7527" t="inlineStr">
        <is>
          <t>2019-09-24 20:25:30</t>
        </is>
      </c>
      <c r="H7527" t="inlineStr">
        <is>
          <t>Type 1</t>
        </is>
      </c>
    </row>
    <row r="7528">
      <c r="A7528" t="inlineStr">
        <is>
          <t>d94d3b</t>
        </is>
      </c>
      <c r="B7528" t="inlineStr">
        <is>
          <t>Personality Changes</t>
        </is>
      </c>
      <c r="C7528" t="inlineStr">
        <is>
          <t>Anyone else here had a noticeable change in personality after starting metformin? Like a whatever, don’t care, and I’ll do what I want when I want personality change.</t>
        </is>
      </c>
      <c r="D7528" t="n">
        <v>3</v>
      </c>
      <c r="E7528" t="n">
        <v>2</v>
      </c>
      <c r="F7528">
        <f>HYPERLINK("https://www.reddit.com/r/diabetes/comments/d94d3b/personality_changes/")</f>
        <v/>
      </c>
      <c r="G7528" t="inlineStr">
        <is>
          <t>2019-09-25 07:51:52</t>
        </is>
      </c>
      <c r="H7528" t="inlineStr">
        <is>
          <t>Type 2</t>
        </is>
      </c>
    </row>
    <row r="7529">
      <c r="A7529" t="inlineStr">
        <is>
          <t>d97d1s</t>
        </is>
      </c>
      <c r="B7529" t="inlineStr">
        <is>
          <t>Anyone else have a constant problem with their stomach being big?</t>
        </is>
      </c>
      <c r="C7529" t="inlineStr">
        <is>
          <t>It seems like my stomach is always protruding out more than it should be. Im not overweight and the rest of my body is pretty lean. Whats causing this? Do i need to run a marathon or some shit</t>
        </is>
      </c>
      <c r="D7529" t="n">
        <v>1</v>
      </c>
      <c r="E7529" t="n">
        <v>5</v>
      </c>
      <c r="F7529">
        <f>HYPERLINK("https://www.reddit.com/r/diabetes/comments/d97d1s/anyone_else_have_a_constant_problem_with_their/")</f>
        <v/>
      </c>
      <c r="G7529" t="inlineStr">
        <is>
          <t>2019-09-25 11:26:49</t>
        </is>
      </c>
      <c r="H7529" t="inlineStr">
        <is>
          <t>Type 1</t>
        </is>
      </c>
    </row>
    <row r="7530">
      <c r="A7530" t="inlineStr">
        <is>
          <t>d989jj</t>
        </is>
      </c>
      <c r="B7530" t="inlineStr">
        <is>
          <t>Newly diagnosed type 2, Did you notice instant result on Metformin ?</t>
        </is>
      </c>
      <c r="C7530" t="inlineStr">
        <is>
          <t>So newly diagnosed type 2,  my doctor put me on metformin Monday, it stops my postprandial glucose from getting really high, but it has no effect on my fasting glucose.  My fasting glucose has been steady at 220.   I don't see how this could be, I am losing weight because I have so much diarrhea from the medication, there is no way my body is absorbing enough to keep me at 200mg.dl  I may just fast until noon tomorrow and see what happens. 
&amp;amp;#x200B;
Also, I'm losing weight on this med,  I'm not complaining since I have been trying to lose weight for a while now, but when does the diarrhea and nausea usually stop with metformin.</t>
        </is>
      </c>
      <c r="D7530" t="n">
        <v>2</v>
      </c>
      <c r="E7530" t="n">
        <v>4</v>
      </c>
      <c r="F7530">
        <f>HYPERLINK("https://www.reddit.com/r/diabetes/comments/d989jj/newly_diagnosed_type_2_did_you_notice_instant/")</f>
        <v/>
      </c>
      <c r="G7530" t="inlineStr">
        <is>
          <t>2019-09-25 12:30:39</t>
        </is>
      </c>
      <c r="H7530" t="inlineStr">
        <is>
          <t>Type 2</t>
        </is>
      </c>
    </row>
    <row r="7531">
      <c r="A7531" t="inlineStr">
        <is>
          <t>d9e5b5</t>
        </is>
      </c>
      <c r="B7531" t="inlineStr">
        <is>
          <t>Type 2 Diabetes Self-Management Survey Request (Repost - survey closing soon! Thank you!)</t>
        </is>
      </c>
      <c r="C7531" t="inlineStr">
        <is>
          <t>My name is Christine Dawson and I am a student researcher from Colorado State University in the Occupational Therapy Department. We are conducting a research study on Type 2 Diabetes Mellitus self-management. The purpose of the study is to gain a better understanding of the relationships among diabetes distress, social support, self-efficacy, and performance of diabetes self-management activities. The title of our project is the TODAY (Taking On Diabetes to Advance You) Project. The Principal Investigator is Dr. Matt Malcolm in the Occupational Therapy Department and I am the Co-Principal Investigator.
We would like you to take an online survey. In order to be eligible, you must meet the following criteria: (1) adult aged 18 and above, (2) diagnosed with Type 2 Diabetes, and (3) able to read and write English. Participation will take approximately 15 minutes. If you do not meet this criteria, but know someone who does, please feel free to pass this survey along to them.
Participants who fully complete the survey will be entered into a drawing to win an iPad. The chances of winning are 1 in 100. To indicate your willingness to participate in this research and to continue on to the survey, click here: [http://colostate.az1.qualtrics.com/jfe/form/SV\_etx48ZOYNnhh3V3](http://colostate.az1.qualtrics.com/jfe/form/SV_etx48ZOYNnhh3V3).
If you have any questions about the research, please contact Christine Dawson at [Christine.Dawson2@colostate.edu](mailto:Christine.Dawson2@colostate.edu) or Dr. Matt Malcolm at [Matt.Malcolm@colostate.edu](mailto:Matt.Malcolm@colostate.edu). If you have any questions about your rights as a volunteer in this research, contact the CSU IRB at: [RICRO\_IRB@mail.colostate.edu](mailto:RICRO_IRB@mail.colostate.edu) or 970-491-1553. Address: 1573 Campus Delivery, Fort Collins, CO 80523-1573</t>
        </is>
      </c>
      <c r="D7531" t="n">
        <v>1</v>
      </c>
      <c r="E7531" t="n">
        <v>1</v>
      </c>
      <c r="F7531">
        <f>HYPERLINK("https://www.reddit.com/r/diabetes/comments/d9e5b5/type_2_diabetes_selfmanagement_survey_request/")</f>
        <v/>
      </c>
      <c r="G7531" t="inlineStr">
        <is>
          <t>2019-09-25 20:33:35</t>
        </is>
      </c>
      <c r="H7531" t="inlineStr">
        <is>
          <t>Type 2</t>
        </is>
      </c>
    </row>
    <row r="7532">
      <c r="A7532" t="inlineStr">
        <is>
          <t>d9qqdd</t>
        </is>
      </c>
      <c r="B7532" t="inlineStr">
        <is>
          <t>Confused</t>
        </is>
      </c>
      <c r="C7532" t="inlineStr">
        <is>
          <t>Dexcom says LOW with arrow down, meter says 129. I feel fine. Is there some reason that the dexcom is malfunctioning or something?</t>
        </is>
      </c>
      <c r="D7532" t="n">
        <v>3</v>
      </c>
      <c r="E7532" t="n">
        <v>3</v>
      </c>
      <c r="F7532">
        <f>HYPERLINK("https://www.reddit.com/r/diabetes/comments/d9qqdd/confused/")</f>
        <v/>
      </c>
      <c r="G7532" t="inlineStr">
        <is>
          <t>2019-09-26 15:02:40</t>
        </is>
      </c>
      <c r="H7532" t="inlineStr">
        <is>
          <t>Type 1</t>
        </is>
      </c>
    </row>
    <row r="7533">
      <c r="A7533" t="inlineStr">
        <is>
          <t>d9t8n1</t>
        </is>
      </c>
      <c r="B7533" t="inlineStr">
        <is>
          <t>2nd A1C test after 5 1/2 weeks</t>
        </is>
      </c>
      <c r="C7533" t="inlineStr">
        <is>
          <t>My pops was diagnosed with Diabetes type 2 approximately 6 weeks ago. He had a A1C of 15. Super high
The doctor requested a 2nd A1c to be done before his next check up which was this week. The 2nd test showed A1C of 12.5. This was 5 1/2 weeks after the first test. I was under the assumption that A1C doesnt really drop until 2-3 months since that is how long it takes for the blood cells  to die and new cells to regenerate. 
I have measured his blood glucose multiple times a day for the last 6 weeks and it was always between 120-170. His 6 week average was 140. I thought it was a big improvement. I am of the opinion that the 2nd A1C test was too soon and doesnt really show the improvement. I think a later test will show a much lower a1c.
Any thoughts?</t>
        </is>
      </c>
      <c r="D7533" t="n">
        <v>4</v>
      </c>
      <c r="E7533" t="n">
        <v>9</v>
      </c>
      <c r="F7533">
        <f>HYPERLINK("https://www.reddit.com/r/diabetes/comments/d9t8n1/2nd_a1c_test_after_5_12_weeks/")</f>
        <v/>
      </c>
      <c r="G7533" t="inlineStr">
        <is>
          <t>2019-09-26 18:18:47</t>
        </is>
      </c>
      <c r="H7533" t="inlineStr">
        <is>
          <t>Type 2</t>
        </is>
      </c>
    </row>
    <row r="7534">
      <c r="A7534" t="inlineStr">
        <is>
          <t>d9uq8f</t>
        </is>
      </c>
      <c r="B7534" t="inlineStr">
        <is>
          <t>One question about metformin</t>
        </is>
      </c>
      <c r="C7534" t="inlineStr">
        <is>
          <t>When will I stop going diarrhea?</t>
        </is>
      </c>
      <c r="D7534" t="n">
        <v>2</v>
      </c>
      <c r="E7534" t="n">
        <v>11</v>
      </c>
      <c r="F7534">
        <f>HYPERLINK("https://www.reddit.com/r/diabetes/comments/d9uq8f/one_question_about_metformin/")</f>
        <v/>
      </c>
      <c r="G7534" t="inlineStr">
        <is>
          <t>2019-09-26 20:31:35</t>
        </is>
      </c>
      <c r="H7534" t="inlineStr">
        <is>
          <t>Type 2</t>
        </is>
      </c>
    </row>
    <row r="7535">
      <c r="A7535" t="inlineStr">
        <is>
          <t>d9ww3d</t>
        </is>
      </c>
      <c r="B7535" t="inlineStr">
        <is>
          <t>xDrip+ bluetooth problem with Dexcom G6</t>
        </is>
      </c>
      <c r="C7535" t="inlineStr">
        <is>
          <t>Hello fellow redditers!  
Today I inserted a new Dexcom G6 sensor, clipped in the old transmitter, but xDrip+ won't connect with it, on the system status page it says:  
Bluetooth Device: None Set  
Connection Status: Not Connected
And on the G5/G6 status page:  
Scan Error: Failed to register application for bluetooth scan  
Queue Items: (1) Start G6 Sensor  
My phone is a Xiaomi Mi 5x</t>
        </is>
      </c>
      <c r="D7535" t="n">
        <v>4</v>
      </c>
      <c r="E7535" t="n">
        <v>1</v>
      </c>
      <c r="F7535">
        <f>HYPERLINK("https://www.reddit.com/r/diabetes/comments/d9ww3d/xdrip_bluetooth_problem_with_dexcom_g6/")</f>
        <v/>
      </c>
      <c r="G7535" t="inlineStr">
        <is>
          <t>2019-09-27 00:21:29</t>
        </is>
      </c>
      <c r="H7535" t="inlineStr">
        <is>
          <t>Type 1</t>
        </is>
      </c>
    </row>
    <row r="7536">
      <c r="A7536" t="inlineStr">
        <is>
          <t>da13rh</t>
        </is>
      </c>
      <c r="B7536" t="inlineStr">
        <is>
          <t>Appropriate diets to gain weight</t>
        </is>
      </c>
      <c r="C7536" t="inlineStr">
        <is>
          <t>Hi,
My mother is a 56-year-old female with type 2 diabetes. Lately she's been losing weight and struggles to gain back/maintain a healthy weight. She currently weighs about 44 - 45kg (97lbs) while being 156cm (5'1) and just generally feels weaker/less energetic. She still works full-time and doing at least half the chores as we can barely make ends meets. 
Her diet contains mostly of boiled vegetables, very lean meat, low-sugar biscuits, fruits like avocado, guava, green tea, and a bit of rice.
I just started to work an entry level job and though I would love to support my family and finally let my mom have a rest after years and years of labor it's just not realistic at the moment. But I want to at least buy her some good food with my salary instead of using it all to pay our debt. I've googled the topic myself but I also want to hear more from personal experience. 
I'm not fluent in English and still new to reddit, please forgive me if this thread is not correctly made. Thank you so much for your time.</t>
        </is>
      </c>
      <c r="D7536" t="n">
        <v>3</v>
      </c>
      <c r="E7536" t="n">
        <v>9</v>
      </c>
      <c r="F7536">
        <f>HYPERLINK("https://www.reddit.com/r/diabetes/comments/da13rh/appropriate_diets_to_gain_weight/")</f>
        <v/>
      </c>
      <c r="G7536" t="inlineStr">
        <is>
          <t>2019-09-27 07:21:10</t>
        </is>
      </c>
      <c r="H7536" t="inlineStr">
        <is>
          <t>Type 2</t>
        </is>
      </c>
    </row>
    <row r="7537">
      <c r="A7537" t="inlineStr">
        <is>
          <t>da9uru</t>
        </is>
      </c>
      <c r="B7537" t="inlineStr">
        <is>
          <t>I (23, type 1 since 17) feel low all day, back to back days. But I'm not?</t>
        </is>
      </c>
      <c r="C7537" t="inlineStr">
        <is>
          <t>I will firstly admit, I am stupid. I haven't been taking care of myself at all. I give insulin, but I don't count carbs, and I barely check my blood sugar.
&amp;amp;#x200B;
Basically, from morning to night, all day I will shake like I'm low and I feel weak. I'll check my blood sugar and I'm anywhere from 150-350, so I'm definitely not low. In the 150-200 I'm not high enough to mistake it for being low.
&amp;amp;#x200B;
I'm scared I messed up really badly. I'm scared of the neuropathy problems. Why do I feel super low when I'm not? :(</t>
        </is>
      </c>
      <c r="D7537" t="n">
        <v>2</v>
      </c>
      <c r="E7537" t="n">
        <v>4</v>
      </c>
      <c r="F7537">
        <f>HYPERLINK("https://www.reddit.com/r/diabetes/comments/da9uru/i_23_type_1_since_17_feel_low_all_day_back_to/")</f>
        <v/>
      </c>
      <c r="G7537" t="inlineStr">
        <is>
          <t>2019-09-27 18:49:09</t>
        </is>
      </c>
      <c r="H7537" t="inlineStr">
        <is>
          <t>Type 1</t>
        </is>
      </c>
    </row>
    <row r="7538">
      <c r="A7538" t="inlineStr">
        <is>
          <t>daahmd</t>
        </is>
      </c>
      <c r="B7538" t="inlineStr">
        <is>
          <t>Freestyle Libre in the Sauna</t>
        </is>
      </c>
      <c r="C7538" t="inlineStr">
        <is>
          <t>Can anyone tell me if I can wear my Freestyle Libre in a sauna?  Thanks in advance for any and all replies.</t>
        </is>
      </c>
      <c r="D7538" t="n">
        <v>2</v>
      </c>
      <c r="E7538" t="n">
        <v>3</v>
      </c>
      <c r="F7538">
        <f>HYPERLINK("https://www.reddit.com/r/diabetes/comments/daahmd/freestyle_libre_in_the_sauna/")</f>
        <v/>
      </c>
      <c r="G7538" t="inlineStr">
        <is>
          <t>2019-09-27 19:49:55</t>
        </is>
      </c>
      <c r="H7538" t="inlineStr">
        <is>
          <t>Type 1</t>
        </is>
      </c>
    </row>
    <row r="7539">
      <c r="A7539" t="inlineStr">
        <is>
          <t>dabdh3</t>
        </is>
      </c>
      <c r="B7539" t="inlineStr">
        <is>
          <t>Are you even listening to me, doc?</t>
        </is>
      </c>
      <c r="C7539" t="inlineStr">
        <is>
          <t>Back, years ago, I told my doctor I was hypoglycemic, diagnosed at 15, and "maternal diagnosis" at 4.  She had watched a Donahue show about parents whose kids wouldn't sleep and the way to solve it was to feed them a small snack just before bed.  Yes, most of us here know it as "spiking your sugars for sleep."
August 2018, I faint and end up loosing 40 lbs due to stress - getting rid of someone you find out later was so very toxic to you is a life changing event.  I told him that loosing that much weight that fast was NOT good.
December, 2018, my nuclear gojira Karen of a mother freaked me the hell out when she a: called out of the blue, and b: decided that she was going to scare me to death with "the family genetic time bomb in our brains" and more.  Polycystic kidney disease.  Note: I have a 4cm cyst on one of my kidneys.
January 2019, "You're prediabetic/diabetic type 2."  I argued with him about my hypoglycemia diagnosis and he dismissed me as it was nothing to be worried about.  He put me on Metformin and I started to have tons of way too lows.  I was also experimenting with my diet to see what foods would tip me over.  Stuff I like to eat would raise it, but not skyrocket.  But the lows with Metformin were scaring me. I was hitting tooo low, especially right after a high.  Doc didn't say anything positive or negative about it and I wanted to smack him. "Doc, I have reactive hypoglycemia - see?  It's no wonder I eat so much sugar and carbs - I have a hard time keeping it up!"  (penis joke there for ya'll...)
In the last couple of months, I finally texted my mother back and told her this is my doctor's number.  Have your doctor call mine and give over your medical records.
What does that gojira Karen do?  She calls my doctor and he had a "charming" phone call with him.  I don't know if we have HIPAA here in Canada, or anything similar, but he was NOT supposed to tell her anything of my health, and I know she charmed it out of him.  She has a way of manipulating people and they don't realize they're being manipulated, and give everything she asks for.  I could see it in his eyes and what he was saying - she had charmed him!  I can't prove what he said to her, but still... GRRR. BITCH. Get Away From Me!
Anyway... "How are your hypo events?"
Wait... what???? I have complained about them for years, and years and years, and you waved them off as nothing, even with the last 8 months glucometre readings and because she said I was always like that and officially diagnosed at 15 - the same thing I told you!!! - you believe her???
\*headdeskbang\*
So, I'm a reactive hypoglycemic diabetic of unknown type - i still think I'm LADA or something else.  Run Some Fucking Genetic Tests Doctor Or I Will!!! \*growls\*
TLDR: doc may have broken Canadian HIPAA and got snake charmed by my estranged mother.</t>
        </is>
      </c>
      <c r="D7539" t="n">
        <v>2</v>
      </c>
      <c r="E7539" t="n">
        <v>6</v>
      </c>
      <c r="F7539">
        <f>HYPERLINK("https://www.reddit.com/r/diabetes/comments/dabdh3/are_you_even_listening_to_me_doc/")</f>
        <v/>
      </c>
      <c r="G7539" t="inlineStr">
        <is>
          <t>2019-09-27 21:20:42</t>
        </is>
      </c>
      <c r="H7539" t="inlineStr">
        <is>
          <t>Type 1.5/LADA</t>
        </is>
      </c>
    </row>
    <row r="7540">
      <c r="A7540" t="inlineStr">
        <is>
          <t>daepho</t>
        </is>
      </c>
      <c r="B7540" t="inlineStr">
        <is>
          <t>Recently diagnosed t2, confused and have some questions</t>
        </is>
      </c>
      <c r="C7540" t="inlineStr">
        <is>
          <t>Hi all, I'm 23 and I've recently been diagnosed today with t2 diabetes. When I went to the doctor I found out my a1c is 8.3 (not sure if I used that correctly but it's the average over 3 months thing, I think)
Anyway the doctor prescribed me some metformin. When I asked if there were any side affects he said 'not really'. However when I went through this sub I read that a number of people has had really bad experiences with metformin and that makes me a little worried. Is metformin really that bad?
Also as I'm new I'm not really familiar with the hypoglycemic state but I was briefed about it by the dietician. However, I'm still a little unclear about it, does being on metformin and dieting lead to the hypoglycemic state or is it an insulin thing? I'm a little worried about falling unconscious as I live alone.
Thanks for any advice. Have a nice day</t>
        </is>
      </c>
      <c r="D7540" t="n">
        <v>3</v>
      </c>
      <c r="E7540" t="n">
        <v>9</v>
      </c>
      <c r="F7540">
        <f>HYPERLINK("https://www.reddit.com/r/diabetes/comments/daepho/recently_diagnosed_t2_confused_and_have_some/")</f>
        <v/>
      </c>
      <c r="G7540" t="inlineStr">
        <is>
          <t>2019-09-28 04:16:02</t>
        </is>
      </c>
      <c r="H7540" t="inlineStr">
        <is>
          <t>Type 2</t>
        </is>
      </c>
    </row>
    <row r="7541">
      <c r="A7541" t="inlineStr">
        <is>
          <t>daf0iw</t>
        </is>
      </c>
      <c r="B7541" t="inlineStr">
        <is>
          <t>Dexcom Follow for Apple Watch</t>
        </is>
      </c>
      <c r="C7541" t="inlineStr">
        <is>
          <t>Dexcom Follow for Apple Watch is not available in the Canadian App Store?! Are there any third party apps for the Apple Watch?</t>
        </is>
      </c>
      <c r="D7541" t="n">
        <v>3</v>
      </c>
      <c r="E7541" t="n">
        <v>3</v>
      </c>
      <c r="F7541">
        <f>HYPERLINK("https://www.reddit.com/r/diabetes/comments/daf0iw/dexcom_follow_for_apple_watch/")</f>
        <v/>
      </c>
      <c r="G7541" t="inlineStr">
        <is>
          <t>2019-09-28 04:52:56</t>
        </is>
      </c>
      <c r="H7541" t="inlineStr">
        <is>
          <t>Type 1</t>
        </is>
      </c>
    </row>
    <row r="7542">
      <c r="A7542" t="inlineStr">
        <is>
          <t>dahpxg</t>
        </is>
      </c>
      <c r="B7542" t="inlineStr">
        <is>
          <t>Nightscout extended daily graph?</t>
        </is>
      </c>
      <c r="C7542" t="inlineStr">
        <is>
          <t>Does anyone know a way to export a multi-day graph with Nightscout or Nightscout Reporter or some other third-party addon? 
I mean one single graph that spans 72 hours (3 days) or 168 hours (7 days) in a row. Currently, the export functions can show multiple days with the "weekly" graph, but that's all days having separate lines crossing each other. Hard to read and hard to follow trends/patterns accurately.</t>
        </is>
      </c>
      <c r="D7542" t="n">
        <v>2</v>
      </c>
      <c r="E7542" t="n">
        <v>9</v>
      </c>
      <c r="F7542">
        <f>HYPERLINK("https://www.reddit.com/r/diabetes/comments/dahpxg/nightscout_extended_daily_graph/")</f>
        <v/>
      </c>
      <c r="G7542" t="inlineStr">
        <is>
          <t>2019-09-28 08:51:12</t>
        </is>
      </c>
      <c r="H7542" t="inlineStr">
        <is>
          <t>Type 1</t>
        </is>
      </c>
    </row>
    <row r="7543">
      <c r="A7543" t="inlineStr">
        <is>
          <t>daiids</t>
        </is>
      </c>
      <c r="B7543" t="inlineStr">
        <is>
          <t>Question for Dexcom users with new, updated transmitters</t>
        </is>
      </c>
      <c r="C7543" t="inlineStr">
        <is>
          <t>Has anyone with a new transmitter (ones that start with 81) been able to successfully reset theirs? I tried to use the method of forgetting the device via bluetooth and waiting the two hours (detailed [here] (https://seemycgm.com/2019/08/01/restarting-dexcom-g6-sensors-updated/)) but it was unable to work. Anyone have success using another method?
Signed,
Broke Type 1 who wants a dexcom to last more than 10 days</t>
        </is>
      </c>
      <c r="D7543" t="n">
        <v>5</v>
      </c>
      <c r="E7543" t="n">
        <v>2</v>
      </c>
      <c r="F7543">
        <f>HYPERLINK("https://www.reddit.com/r/diabetes/comments/daiids/question_for_dexcom_users_with_new_updated/")</f>
        <v/>
      </c>
      <c r="G7543" t="inlineStr">
        <is>
          <t>2019-09-28 09:51:38</t>
        </is>
      </c>
      <c r="H7543" t="inlineStr">
        <is>
          <t>Type 1</t>
        </is>
      </c>
    </row>
    <row r="7544">
      <c r="A7544" t="inlineStr">
        <is>
          <t>dajrqx</t>
        </is>
      </c>
      <c r="B7544" t="inlineStr">
        <is>
          <t>Want a CGM, but insurance won't cover because I'm T2?</t>
        </is>
      </c>
      <c r="C7544" t="inlineStr">
        <is>
          <t>I have BCBS of KS and they refuse to cover any CGM as a T2. If I were a T1, they would cover them as long as DR thought it was medically necessary.  However, DR thinks it's necessary now and I feel my diabetes would be better managed by it. I hate finger sticks and never really kept up with monitoring because of them. I know it sounds childish, but that's my thinking.
My induction into the world of diabetes was quite traumatic. The first meter I had required me to milk my fingers like an udder to load up a test strip with blood. Only had a minute to do this before the strip was bad, lol!
Childhood misgivings aside, my eyes are suffering now from my inability to manage myself properly. Seeing a specialist Tuesday due to retinopathy in both eyes. Right eye has worse vision then the left. Plus, have had a history of ketone acidosis since my teenage years which landed me in the hospital for a week a few years ago.
So, after recent events, I'm going to try to manage myself better. The hardest part is the diet. I have a very hard time staying away from sweets and all the wrong foods. But a lot of that derives from my dietary habits from my childhood.
So, if anyone has had any sort of success getting their insurance to cover a CGM for T2 diabetes, I would like to read how you achieved this. Thank you!</t>
        </is>
      </c>
      <c r="D7544" t="n">
        <v>0</v>
      </c>
      <c r="E7544" t="n">
        <v>8</v>
      </c>
      <c r="F7544">
        <f>HYPERLINK("https://www.reddit.com/r/diabetes/comments/dajrqx/want_a_cgm_but_insurance_wont_cover_because_im_t2/")</f>
        <v/>
      </c>
      <c r="G7544" t="inlineStr">
        <is>
          <t>2019-09-28 11:25:42</t>
        </is>
      </c>
      <c r="H7544" t="inlineStr">
        <is>
          <t>Type 2</t>
        </is>
      </c>
    </row>
    <row r="7545">
      <c r="A7545" t="inlineStr">
        <is>
          <t>dalffk</t>
        </is>
      </c>
      <c r="B7545" t="inlineStr">
        <is>
          <t>Recently been diagnosed with Type 1 after living with symptoms since I remember</t>
        </is>
      </c>
      <c r="C7545" t="inlineStr">
        <is>
          <t>Hello guys, I'm fairly new here and I want to ask you guys who are more experienced with Type 1 for some tips.
So, I was recently diagnosed with it after experiencing a few heavier symptoms than the ones I usually lived with everyday for the past 10 years.
It was "normal" for me to eat whatever I wanted in colossal quantities and never get any fatter, since I'd eat so much I'd be always thristy so I also thought that was something regular for me.
These past few months I've noticed that my hands and feet felt numb and I couldn't lift a leg without getting horrible cramps. It got so bad that I couldn't go up a pair of stairs without feeling lightheaded and weak.
I went to the ER and they hospitalized me imediatly because appearantly I had about  700 mg/dl.
Since then I've been using insulin pens, now I never had blurry vision but lately I've been struggling hard.
I believe my body got used to be living with such high numbers that when I reach a lower than usual number I can't see anything. Everytime I'm lower than 300/400 mg/dl I feel weak, shaky and can't see anything.
Also after a week using insuline, my body is bloating at an alarming rate.
I'm 22, 1,80 m, 65 kg and phisycally active, and I have no other medical conditions.
I'd appreciate any tips,
Thanks.</t>
        </is>
      </c>
      <c r="D7545" t="n">
        <v>3</v>
      </c>
      <c r="E7545" t="n">
        <v>6</v>
      </c>
      <c r="F7545">
        <f>HYPERLINK("https://www.reddit.com/r/diabetes/comments/dalffk/recently_been_diagnosed_with_type_1_after_living/")</f>
        <v/>
      </c>
      <c r="G7545" t="inlineStr">
        <is>
          <t>2019-09-28 13:30:40</t>
        </is>
      </c>
      <c r="H7545" t="inlineStr">
        <is>
          <t>Type 1</t>
        </is>
      </c>
    </row>
    <row r="7546">
      <c r="A7546" t="inlineStr">
        <is>
          <t>dao0gb</t>
        </is>
      </c>
      <c r="B7546" t="inlineStr">
        <is>
          <t>New Pump - Frequent Lows</t>
        </is>
      </c>
      <c r="C7546" t="inlineStr">
        <is>
          <t>I've moved from a Medtronic 530G to a Tandem t:slim X2 and I've had a lot more lows since day one on the t:slim. The settings are the same between pumps.   My infusion sets haven't changed to be honest. I used the Sure T with medtronic and use the Tru Steel with the t:slim and they are almost identical.  I actually brought this up with my doctor and he didn't have much to say other than I should get the dexcom (working on it).  I had my lowest low in a while (35) while at work yesterday which freaked me out.   Is this normal? Has anyone else experienced this? 
&amp;amp;#x200B;
TLDR: 
New Pump, getting frequent lows. 
Is this normal?</t>
        </is>
      </c>
      <c r="D7546" t="n">
        <v>2</v>
      </c>
      <c r="E7546" t="n">
        <v>5</v>
      </c>
      <c r="F7546">
        <f>HYPERLINK("https://www.reddit.com/r/diabetes/comments/dao0gb/new_pump_frequent_lows/")</f>
        <v/>
      </c>
      <c r="G7546" t="inlineStr">
        <is>
          <t>2019-09-28 17:14:40</t>
        </is>
      </c>
      <c r="H7546" t="inlineStr">
        <is>
          <t>Type 1</t>
        </is>
      </c>
    </row>
    <row r="7547">
      <c r="A7547" t="inlineStr">
        <is>
          <t>daqorc</t>
        </is>
      </c>
      <c r="B7547" t="inlineStr">
        <is>
          <t>Possibly stupid question</t>
        </is>
      </c>
      <c r="C7547" t="inlineStr">
        <is>
          <t>I was diagnosed this past February with Type 1 diabetes. I went to the hospital with a severe, almost life ending DKA and Pancreatitis. I was put on insulin and I am mostly okay, with some random highs and lows mixed in. The thing is I was a diagnosed barely a month after 31. 
I see a lot of people diagnosed as an adult being labeled as LADA. Is being diagnosed as Type 1 at my age mean I'm LADA or is that a different thing? I was told by several doctors and nurses it is Type 1 and none of them has ever mentioned the term to me. I also know my great grandma and her son, my grandfather were Type 1. He was in his 70s when he was diagnosed and she was a kid.</t>
        </is>
      </c>
      <c r="D7547" t="n">
        <v>1</v>
      </c>
      <c r="E7547" t="n">
        <v>19</v>
      </c>
      <c r="F7547">
        <f>HYPERLINK("https://www.reddit.com/r/diabetes/comments/daqorc/possibly_stupid_question/")</f>
        <v/>
      </c>
      <c r="G7547" t="inlineStr">
        <is>
          <t>2019-09-28 21:36:52</t>
        </is>
      </c>
      <c r="H7547" t="inlineStr">
        <is>
          <t>Type 1</t>
        </is>
      </c>
    </row>
    <row r="7548">
      <c r="A7548" t="inlineStr">
        <is>
          <t>datrub</t>
        </is>
      </c>
      <c r="B7548" t="inlineStr">
        <is>
          <t>Hope rollercoasters</t>
        </is>
      </c>
      <c r="C7548" t="inlineStr">
        <is>
          <t>Well well well… 
Few days ago I was quite happy to share with you that I finally succeeded having a steady night. 
32yo T1 male here. 
I always had spikes (250) around 3am and because of that, rough nights for months, waking up and correcting. 
https://i.imgur.com/xKJdosn.jpg
I could'nt blame my Toujeo timing, as I usually do it at 11pm. So I raised this fellow friend to 25u instead of 24u and boom, miracle: Steady night! I was so happy. 
https://i.imgur.com/RMGJeqM.png
But it's back again. And in crazy mode. 
https://i.imgur.com/GcL2V2l.png
I'm really tired of this. 
Ok, i'm not the best for low carb diet, but I totally stopped drinks, I take complex carbs and no more than 50g or 70g of them. 
I also try to do my corrections or boluses at the perfect timing. Do I take my dinner too late in the evening? It's hard to me with work to do better. 
And can't use a pump to do my job…
Insulin resistance at night? What can I do? Thank you</t>
        </is>
      </c>
      <c r="D7548" t="n">
        <v>2</v>
      </c>
      <c r="E7548" t="n">
        <v>5</v>
      </c>
      <c r="F7548">
        <f>HYPERLINK("https://www.reddit.com/r/diabetes/comments/datrub/hope_rollercoasters/")</f>
        <v/>
      </c>
      <c r="G7548" t="inlineStr">
        <is>
          <t>2019-09-29 04:06:02</t>
        </is>
      </c>
      <c r="H7548" t="inlineStr">
        <is>
          <t>Type 1</t>
        </is>
      </c>
    </row>
    <row r="7549">
      <c r="A7549" t="inlineStr">
        <is>
          <t>daxubn</t>
        </is>
      </c>
      <c r="B7549" t="inlineStr">
        <is>
          <t>Traveling for 3-4 months in other countries</t>
        </is>
      </c>
      <c r="C7549" t="inlineStr">
        <is>
          <t>Hey guys and gals, I want to travel with my gf in a couple years in south america (argentina, bolivia, chile and peru) I an a T1D and take shots 4 times a day. Do you have any tips for make my life easier while I am traveling? And most importantly: can I buy my supplies in these countries at a resonable price? (Needles, Apidra, Tresiba and possibly Freestyle Libre) what is the best: Buy supplies for 4 months and bring it with me or buy them while I'm away?
I have so many questions, but fortunately it is in a couple years so I have time to figure this all out.
Thanks a lot!</t>
        </is>
      </c>
      <c r="D7549" t="n">
        <v>2</v>
      </c>
      <c r="E7549" t="n">
        <v>7</v>
      </c>
      <c r="F7549">
        <f>HYPERLINK("https://www.reddit.com/r/diabetes/comments/daxubn/traveling_for_34_months_in_other_countries/")</f>
        <v/>
      </c>
      <c r="G7549" t="inlineStr">
        <is>
          <t>2019-09-29 10:00:05</t>
        </is>
      </c>
      <c r="H7549" t="inlineStr">
        <is>
          <t>Type 1</t>
        </is>
      </c>
    </row>
    <row r="7550">
      <c r="A7550" t="inlineStr">
        <is>
          <t>dazner</t>
        </is>
      </c>
      <c r="B7550" t="inlineStr">
        <is>
          <t>Please help a diabetes dummy...</t>
        </is>
      </c>
      <c r="C7550" t="inlineStr">
        <is>
          <t>Diagnosed 1.5 years ago, and for 16 of those months, everything was fine. Controlled with diet and metformin, my A1c dropped to 5.4, I had no major swings, I thought things were looking up. However, in the past month, I’ve been having readings anywhere from 50 to 250. I was told that 250 isn’t *horrible*, but it sure makes ME feel bad. 
My question is, is it “good” that my body will knock the sugar down so far because that means at least I’m making enough of my own insulin, OR is it bad, because I’m clearly malfunctioning somewhere along the line? 
I hate bothering my doctor with dumb things if I’m overreacting, but if this is a sign that my pancreas is on its last legs, I guess I’d like to know? Any help is appreciated.</t>
        </is>
      </c>
      <c r="D7550" t="n">
        <v>1</v>
      </c>
      <c r="E7550" t="n">
        <v>7</v>
      </c>
      <c r="F7550">
        <f>HYPERLINK("https://www.reddit.com/r/diabetes/comments/dazner/please_help_a_diabetes_dummy/")</f>
        <v/>
      </c>
      <c r="G7550" t="inlineStr">
        <is>
          <t>2019-09-29 12:11:08</t>
        </is>
      </c>
      <c r="H7550" t="inlineStr">
        <is>
          <t>Type 2</t>
        </is>
      </c>
    </row>
    <row r="7551">
      <c r="A7551" t="inlineStr">
        <is>
          <t>db05j1</t>
        </is>
      </c>
      <c r="B7551" t="inlineStr">
        <is>
          <t>I just had a huge f’ing DKA scare</t>
        </is>
      </c>
      <c r="C7551" t="inlineStr">
        <is>
          <t>I stuck this with Type 1.5 because that was the diagnosis of my childhood but I actually have MODY 3. 
Anyway. 
Hi, my name is jeopardy_themesong and I have diabetes. I also have depression and anxiety. 
I have been self harming by not managing my diabetes. 
Yesterday, I was drinking (non-alcoholic) fluids like a fish. I couldn’t get enough. Last night, I had a headache and was nauseous. 
It didn’t go away this morning. I had a headache, nausea, and abdominal pain. My mouth was dry. I wanted to continue guzzling fluid but I couldn’t handle anything. I also got a fever and was having muscle ache/spasm in my lower back. 
As I lay in bed (probably literally) dying, I had a realization: take some motherfucking insulin. 
I feel better now. I looked up keto acidosis and sure as shit, most of my symptoms were there. My DH doesn’t know very much about my diabetes (not that it’s on him to) and it would have been me on my whacked out brain to decide to go to the ER/UC if insulin hadn’t worked. 
I feel like an idiot. This was a wake up call. 
I’m not looking for sympathy. I don’t need a lecture, I know where I fucked up. Just...be careful, I guess. If you’re experiencing depression and it’s fucking with your treatment please seek help. DKA is an incredibly painful way to go.</t>
        </is>
      </c>
      <c r="D7551" t="n">
        <v>25</v>
      </c>
      <c r="E7551" t="n">
        <v>11</v>
      </c>
      <c r="F7551">
        <f>HYPERLINK("https://www.reddit.com/r/diabetes/comments/db05j1/i_just_had_a_huge_fing_dka_scare/")</f>
        <v/>
      </c>
      <c r="G7551" t="inlineStr">
        <is>
          <t>2019-09-29 12:46:55</t>
        </is>
      </c>
      <c r="H7551" t="inlineStr">
        <is>
          <t>Type 1.5/LADA</t>
        </is>
      </c>
    </row>
    <row r="7552">
      <c r="A7552" t="inlineStr">
        <is>
          <t>db50xp</t>
        </is>
      </c>
      <c r="B7552" t="inlineStr">
        <is>
          <t>I’m so sick of having this</t>
        </is>
      </c>
      <c r="C7552" t="inlineStr">
        <is>
          <t>I hate how it is just constantly looming over me no matter what I do I’m so sick of constantly checking and doseing I just wanna give up</t>
        </is>
      </c>
      <c r="D7552" t="n">
        <v>9</v>
      </c>
      <c r="E7552" t="n">
        <v>13</v>
      </c>
      <c r="F7552">
        <f>HYPERLINK("https://www.reddit.com/r/diabetes/comments/db50xp/im_so_sick_of_having_this/")</f>
        <v/>
      </c>
      <c r="G7552" t="inlineStr">
        <is>
          <t>2019-09-29 19:21:39</t>
        </is>
      </c>
      <c r="H7552" t="inlineStr">
        <is>
          <t>Type 1</t>
        </is>
      </c>
    </row>
    <row r="7553">
      <c r="A7553" t="inlineStr">
        <is>
          <t>db5hw8</t>
        </is>
      </c>
      <c r="B7553" t="inlineStr">
        <is>
          <t>I’ve kinda gone rogue</t>
        </is>
      </c>
      <c r="C7553" t="inlineStr">
        <is>
          <t>So i doubt anybody remembers me but I’m the one that kept trying to get seen by an endo bc me along with everyone else on here thought I was definitely not t2. Well I finally bitched enough/threatened to leave Kaiser and got my referral! First and foremost my endo is t1 so it was refreshing to have a dr understand in depth the shit was talking about! Not just on a medical basis but a personal one. I cried tears of joy to finally feel heard. She strongly believes I have 1.5 and wants me screened every year for the antibodies bc right now I haven’t developed them but she has a strong gut feeling that I have it especially based on family history. And to think my gp was reluctant to retest me earlier this year bc my ‘results will not change’ -.- so when she said she’ll order the tests every year so I don’t have to explain all this to my gp was great lol 
For now she’s keeping me on R and Nph since i’m still t2 rn and she also doesn’t want to change it bc it’s technically ‘generally keeping me in good range’ but I honestly didn’t feel like it was enough. She was insistent that I would adjust. But I still spike even after low carb meals and I’m so sensitive to highs now that I puke usually around the 200 range. So even though within two hours I’d be in range (usually 105-120) I’d end up still having high symptoms. So I went rogue and honestly it’s been the best decision for me. 
My grandparents regularly go to Mexico for my grandmas meds since they are cheaper there. They went this week and I asked them to bring a vial of humalog for me. (Was only 50 bucks btw(,: ) with the help of my libre and my t1 friend I think I’ve finally found the right mix! I’ve kept my nph the same, but for larger meals I do a mix of humalog and the r and smaller ones just the humalog. (More or less understand my carb ratio, with every meal I’m closer to narrowing it down) I’ve seen a WORLD of difference. With the exception of dawn phenomenon and under-dosing my breakfast this morning, I haven’t gone above 120 even after a meal! My graph still looks like ^v^v but it’s a lot tighter! I’m now 75-120 and I’m feeling so much relief. Relief that I am going to be able to have better control and that I won’t be having so many spikes that end up making me puke!  
And yes I will tell my dr eventually. She already knows I’ve gone rogue from what my diabetic nurse has planned for me (correcting when needed, more of a sliding scale for myself rather than fixed doses) and she was fine with it. Glad I was taking my health into my hands (within safe means). Sorry for the long story it’s just great feeling hope within this disease. I felt so hopeless for a while but finally seeing some great things ahead of me. 
TLDR; fought to see an endo and might have t1.5. However dr doesn’t want to change my insulin type just yet so I went a lil rogue. With the help of libre and t1 friend, the risk has paid off bc now my general range is 75-120 even after meals (-:</t>
        </is>
      </c>
      <c r="D7553" t="n">
        <v>2</v>
      </c>
      <c r="E7553" t="n">
        <v>1</v>
      </c>
      <c r="F7553">
        <f>HYPERLINK("https://www.reddit.com/r/diabetes/comments/db5hw8/ive_kinda_gone_rogue/")</f>
        <v/>
      </c>
      <c r="G7553" t="inlineStr">
        <is>
          <t>2019-09-29 20:03:13</t>
        </is>
      </c>
      <c r="H7553" t="inlineStr">
        <is>
          <t>Type 1.5/LADA</t>
        </is>
      </c>
    </row>
    <row r="7554">
      <c r="A7554" t="inlineStr">
        <is>
          <t>dbbo7n</t>
        </is>
      </c>
      <c r="B7554" t="inlineStr">
        <is>
          <t>Hospital refusing to give appropriate doses of insulin</t>
        </is>
      </c>
      <c r="C7554" t="inlineStr">
        <is>
          <t>I started out with gestational diabetes in 1994. (I believe I had it in 1982 as well but they didn’t test), and almost exactly a year later I developed Type II. 
I have several other chronic illnesses and spend a good amount of time in the hospital. 
They NEVER give me my prescribed amount of insulin - claiming they fear I’ll bottom out. Instead they let my sugars hang at 350-400. I’ve talked to the drs and the pharmacist to no avail. 
One time I was feeling so sick (how can sepsis be resolved with high sugars?) that I had my husband bring in my insulin from home. My nurse found out and the hospital threatened to kick me out for going AMA. 
I’m afraid of going back to the hospital, I don’t know how to get them to give me my prescribed doses!</t>
        </is>
      </c>
      <c r="D7554" t="n">
        <v>7</v>
      </c>
      <c r="E7554" t="n">
        <v>42</v>
      </c>
      <c r="F7554">
        <f>HYPERLINK("https://www.reddit.com/r/diabetes/comments/dbbo7n/hospital_refusing_to_give_appropriate_doses_of/")</f>
        <v/>
      </c>
      <c r="G7554" t="inlineStr">
        <is>
          <t>2019-09-30 06:37:05</t>
        </is>
      </c>
      <c r="H7554" t="inlineStr">
        <is>
          <t>Type 2</t>
        </is>
      </c>
    </row>
    <row r="7555">
      <c r="A7555" t="inlineStr">
        <is>
          <t>dbdfow</t>
        </is>
      </c>
      <c r="B7555" t="inlineStr">
        <is>
          <t>A new medication for diabetes that reduces diabetes and obesity.</t>
        </is>
      </c>
      <c r="C7555" t="inlineStr">
        <is>
          <t>A new medication for diabetes that reduces diabetes and obesity. 
Not only has diabetes shown blood glucose deficiency after a new experimental drug, but it has also played a key role in dissolving excess fat.</t>
        </is>
      </c>
      <c r="D7555" t="n">
        <v>0</v>
      </c>
      <c r="E7555" t="n">
        <v>1</v>
      </c>
      <c r="F7555">
        <f>HYPERLINK("https://www.reddit.com/r/diabetes/comments/dbdfow/a_new_medication_for_diabetes_that_reduces/")</f>
        <v/>
      </c>
      <c r="G7555" t="inlineStr">
        <is>
          <t>2019-09-30 08:43:02</t>
        </is>
      </c>
      <c r="H7555" t="inlineStr">
        <is>
          <t>Type 2</t>
        </is>
      </c>
    </row>
    <row r="7556">
      <c r="A7556" t="inlineStr">
        <is>
          <t>dbgemz</t>
        </is>
      </c>
      <c r="B7556" t="inlineStr">
        <is>
          <t>How do I make my mum calm down???</t>
        </is>
      </c>
      <c r="C7556" t="inlineStr">
        <is>
          <t>I'm 13 and have been type 1 diabetic for 3 years...I think I deal with it well but my Mum never calms down about it and gets really upset and angry if my blood sugars are slightly high or low...
She does things like takes my phone and sits looking through all my readings and going crazy at me for my blood sugar being high 2 weeks ago...she gets really angry and blames it on me all the time so it's just really annoying and makes me kinda depressed...shes the worst thing about having diabetes :(
Does anyone know how I can make her more chill about it and not freak out all the time? Every time I try to say anything about it she just gets angry and it turns into a big argument.</t>
        </is>
      </c>
      <c r="D7556" t="n">
        <v>13</v>
      </c>
      <c r="E7556" t="n">
        <v>14</v>
      </c>
      <c r="F7556">
        <f>HYPERLINK("https://www.reddit.com/r/diabetes/comments/dbgemz/how_do_i_make_my_mum_calm_down/")</f>
        <v/>
      </c>
      <c r="G7556" t="inlineStr">
        <is>
          <t>2019-09-30 12:01:14</t>
        </is>
      </c>
      <c r="H7556" t="inlineStr">
        <is>
          <t>Type 1</t>
        </is>
      </c>
    </row>
    <row r="7557">
      <c r="A7557" t="inlineStr">
        <is>
          <t>dbswjx</t>
        </is>
      </c>
      <c r="B7557" t="inlineStr">
        <is>
          <t>I can't afford being T1D anymore</t>
        </is>
      </c>
      <c r="C7557" t="inlineStr">
        <is>
          <t xml:space="preserve">   I live in Turkey, and we supposed to have free health care, but government doesn't pay for insulin pump parts and blood glucose meter strips. 
  1 box of those strips are 65TL now and the minimum wage is around 2000TL here. You do the math.
  I started checking my blood sugar only 1 time a day. 
I really don't know what to do. Any fellow Turkish people can help?</t>
        </is>
      </c>
      <c r="D7557" t="n">
        <v>8</v>
      </c>
      <c r="E7557" t="n">
        <v>7</v>
      </c>
      <c r="F7557">
        <f>HYPERLINK("https://www.reddit.com/r/diabetes/comments/dbswjx/i_cant_afford_being_t1d_anymore/")</f>
        <v/>
      </c>
      <c r="G7557" t="inlineStr">
        <is>
          <t>2019-10-01 05:49:09</t>
        </is>
      </c>
      <c r="H7557" t="inlineStr">
        <is>
          <t>Type 1</t>
        </is>
      </c>
    </row>
    <row r="7558">
      <c r="A7558" t="inlineStr">
        <is>
          <t>dbubjh</t>
        </is>
      </c>
      <c r="B7558" t="inlineStr">
        <is>
          <t>Huel</t>
        </is>
      </c>
      <c r="C7558" t="inlineStr">
        <is>
          <t>Hi guys. Recently, I started to drink Huel in order to eat a healthy, quick lunch. The first dose worked great. My blood sugar was wonderful, however the second and third day of drinking huel instead of eating lunch completely ruined my blood sugar (it exceeded 300 for almost 24 hours straight). So here's my question - did any of you try out huel? How did it work out for you? Is it possible that it triggered an allergic reaction hence the high blood sugar?</t>
        </is>
      </c>
      <c r="D7558" t="n">
        <v>2</v>
      </c>
      <c r="E7558" t="n">
        <v>1</v>
      </c>
      <c r="F7558">
        <f>HYPERLINK("https://www.reddit.com/r/diabetes/comments/dbubjh/huel/")</f>
        <v/>
      </c>
      <c r="G7558" t="inlineStr">
        <is>
          <t>2019-10-01 07:39:05</t>
        </is>
      </c>
      <c r="H7558" t="inlineStr">
        <is>
          <t>Type 1</t>
        </is>
      </c>
    </row>
    <row r="7559">
      <c r="A7559" t="inlineStr">
        <is>
          <t>dbvwtn</t>
        </is>
      </c>
      <c r="B7559" t="inlineStr">
        <is>
          <t>Hot showers spike my sugar?</t>
        </is>
      </c>
      <c r="C7559" t="inlineStr">
        <is>
          <t>Anyone else get this? I can be cruising flat line at 100mg/dl and I'll take a 10 minute hot shower and my bs rises up to 130 or 140.
I have to correct for freaking showers!
Everywhere I read online says the opposite should happen. I am curious if my blood sugar is not actually rising, but the shower is affecting the interstitial fluid that the dexcom g6 reads. ???</t>
        </is>
      </c>
      <c r="D7559" t="n">
        <v>2</v>
      </c>
      <c r="E7559" t="n">
        <v>6</v>
      </c>
      <c r="F7559">
        <f>HYPERLINK("https://www.reddit.com/r/diabetes/comments/dbvwtn/hot_showers_spike_my_sugar/")</f>
        <v/>
      </c>
      <c r="G7559" t="inlineStr">
        <is>
          <t>2019-10-01 09:31:39</t>
        </is>
      </c>
      <c r="H7559" t="inlineStr">
        <is>
          <t>Type 1</t>
        </is>
      </c>
    </row>
    <row r="7560">
      <c r="A7560" t="inlineStr">
        <is>
          <t>dby11t</t>
        </is>
      </c>
      <c r="B7560" t="inlineStr">
        <is>
          <t>Good Dexcom Hunting</t>
        </is>
      </c>
      <c r="C7560" t="inlineStr">
        <is>
          <t>I recently spoke with my diabetes educator about continuous glucose monitors and he recommended getting a Dexcom G6. My insurance (Aetna/CVS) allegedly supports purchase of this system but I cannot figure out how much it is going to cost me.
I called both Aetna and CVS in an attempt to find out how much I will need to pay. No one could find anything regarding Dexcom or the G6. One person suggested I call some other folks she thought were durable medical equipment suppliers, and gave me the phone numbers for Lifescan and Abbot systems who are obviously not DME suppliers.
Went to a local Target CVS and was told they don't have that stuff so they can't look it up.
So I am frustratingly still at square one, unable to find out how much this is going to cost me. Contacted Dexcom and they said contact the pharmacist. Even for the question of how their voucher works.
Now that I am done venting, hoping someone can help with some questions...
\- According to one source, I might have to pay for the transmitters. How long do these last?
\- Does the Receiver need to be replaced every year?
\- The sensors seem to involve a bit of waste with that big plastic applicator apparatus. Whew! Can these be recycled?
Why should I get this over the Freestyle Libre, which has a smaller applicator apparatus?
Thanks!</t>
        </is>
      </c>
      <c r="D7560" t="n">
        <v>3</v>
      </c>
      <c r="E7560" t="n">
        <v>16</v>
      </c>
      <c r="F7560">
        <f>HYPERLINK("https://www.reddit.com/r/diabetes/comments/dby11t/good_dexcom_hunting/")</f>
        <v/>
      </c>
      <c r="G7560" t="inlineStr">
        <is>
          <t>2019-10-01 12:02:48</t>
        </is>
      </c>
      <c r="H7560" t="inlineStr">
        <is>
          <t>Type 2</t>
        </is>
      </c>
    </row>
    <row r="7561">
      <c r="A7561" t="inlineStr">
        <is>
          <t>dbyp5m</t>
        </is>
      </c>
      <c r="B7561" t="inlineStr">
        <is>
          <t>Diagnosed at 22 a few months ago. Never cried about it, but then...</t>
        </is>
      </c>
      <c r="C7561" t="inlineStr">
        <is>
          <t>I saw my diagnosis as good news. Better to know I have it now and live longer than not know and have complications later. But then my girlfriend (who knows) made a comment about how I only get a chicken salad when we're out and I asked her to "show me anything else on the menu that I could eat." I proceeded to get up, go to the bathroom, and it was the first time I that cried about this. I overreacted for sure, her tone was a joking one and I had no right to be upset because we joke all the time. But I think the 3 months of keeping my feelings about this condition bottled up just decided to blow up in that moment by a small comment that I would have found funny any other time. We talked about it, and it was the first dialogue I had about my diabetes with anyone besides my doctor. So I decided to look for a small community that knew how I felt so these feelings don't stay pent up and break out at unfortunate times. So here I am.</t>
        </is>
      </c>
      <c r="D7561" t="n">
        <v>23</v>
      </c>
      <c r="E7561" t="n">
        <v>13</v>
      </c>
      <c r="F7561">
        <f>HYPERLINK("https://www.reddit.com/r/diabetes/comments/dbyp5m/diagnosed_at_22_a_few_months_ago_never_cried/")</f>
        <v/>
      </c>
      <c r="G7561" t="inlineStr">
        <is>
          <t>2019-10-01 12:48:15</t>
        </is>
      </c>
      <c r="H7561" t="inlineStr">
        <is>
          <t>Type 1</t>
        </is>
      </c>
    </row>
    <row r="7562">
      <c r="A7562" t="inlineStr">
        <is>
          <t>dc0p2a</t>
        </is>
      </c>
      <c r="B7562" t="inlineStr">
        <is>
          <t>Freestyle Libre Issue</t>
        </is>
      </c>
      <c r="C7562" t="inlineStr">
        <is>
          <t>I've had the freestyle libre since the middle of this past summer and its been great, with no issues. Now, all of a sudden, im having a skin reaction to the libre. While wearing it it becomes very itchy and the past two times ive put it on, its only lasted seven days rather than fourteen. The last one that was applied left a red circle on my arm even after a couple weeks break from not using it. Took my new one off today which was the seven day mark and my arm is red and has puss coming out of it (gross I know). its a shame this is happening since it made life so much easier when it was working.
Anyway I don't think I'll be using it again until they change the adhesive back to whatever it was. If anyone else has experienced this id like to know! and if anyone has any info it would be much appreciated!</t>
        </is>
      </c>
      <c r="D7562" t="n">
        <v>3</v>
      </c>
      <c r="E7562" t="n">
        <v>8</v>
      </c>
      <c r="F7562">
        <f>HYPERLINK("https://www.reddit.com/r/diabetes/comments/dc0p2a/freestyle_libre_issue/")</f>
        <v/>
      </c>
      <c r="G7562" t="inlineStr">
        <is>
          <t>2019-10-01 15:05:19</t>
        </is>
      </c>
      <c r="H7562" t="inlineStr">
        <is>
          <t>Type 1</t>
        </is>
      </c>
    </row>
    <row r="7563">
      <c r="A7563" t="inlineStr">
        <is>
          <t>dc34ep</t>
        </is>
      </c>
      <c r="B7563" t="inlineStr">
        <is>
          <t>Humalog vs. generic lispro</t>
        </is>
      </c>
      <c r="C7563" t="inlineStr">
        <is>
          <t>I recently was prescribed a pump (April) and used Humalog for 3-4 months (yes, I am type 2).  Within the last month the pharmacy has been giving me lispro instead of Humalog.  I know they are supposed to be the same molecule, but my glucose has been all over the place on lispro, where as humalog was fairly even and level.  It could be that my sensitivity has changed, or I am miscounting carbs (but i don't think I am miscounting).  I have an appointment with a new endo, but it's in March (don't switch endos if you can help it!)  
Has anyone else had a similar experience with lispro?</t>
        </is>
      </c>
      <c r="D7563" t="n">
        <v>3</v>
      </c>
      <c r="E7563" t="n">
        <v>0</v>
      </c>
      <c r="F7563">
        <f>HYPERLINK("https://www.reddit.com/r/diabetes/comments/dc34ep/humalog_vs_generic_lispro/")</f>
        <v/>
      </c>
      <c r="G7563" t="inlineStr">
        <is>
          <t>2019-10-01 18:11:17</t>
        </is>
      </c>
      <c r="H7563" t="inlineStr">
        <is>
          <t>Type 2</t>
        </is>
      </c>
    </row>
    <row r="7564">
      <c r="A7564" t="inlineStr">
        <is>
          <t>dcaxp1</t>
        </is>
      </c>
      <c r="B7564" t="inlineStr">
        <is>
          <t>Looking for engaging/fun resources for teen with T1D</t>
        </is>
      </c>
      <c r="C7564" t="inlineStr">
        <is>
          <t>My son is a newly diagnosed T1D, and currently is really engaged in this new lifestyle. As a parent I've found tons of reading/resource materials that are geared towards me, but I'd like to capitalize on their current interest by providing them with resources geared towards them as a teen. So if you know of any great comics, podcasts, books, youtube channels please share. Thanks!</t>
        </is>
      </c>
      <c r="D7564" t="n">
        <v>2</v>
      </c>
      <c r="E7564" t="n">
        <v>3</v>
      </c>
      <c r="F7564">
        <f>HYPERLINK("https://www.reddit.com/r/diabetes/comments/dcaxp1/looking_for_engagingfun_resources_for_teen_with/")</f>
        <v/>
      </c>
      <c r="G7564" t="inlineStr">
        <is>
          <t>2019-10-02 07:27:01</t>
        </is>
      </c>
      <c r="H7564" t="inlineStr">
        <is>
          <t>Type 1</t>
        </is>
      </c>
    </row>
    <row r="7565">
      <c r="A7565" t="inlineStr">
        <is>
          <t>dce96b</t>
        </is>
      </c>
      <c r="B7565" t="inlineStr">
        <is>
          <t>Medicare B and Libre?</t>
        </is>
      </c>
      <c r="C7565" t="inlineStr">
        <is>
          <t>From what I read Medicare B should be able to covers the Freestyle Libre. Anyone having trouble with CVS or Walmart not  approving medicare for this device?</t>
        </is>
      </c>
      <c r="D7565" t="n">
        <v>2</v>
      </c>
      <c r="E7565" t="n">
        <v>1</v>
      </c>
      <c r="F7565">
        <f>HYPERLINK("https://www.reddit.com/r/diabetes/comments/dce96b/medicare_b_and_libre/")</f>
        <v/>
      </c>
      <c r="G7565" t="inlineStr">
        <is>
          <t>2019-10-02 11:29:12</t>
        </is>
      </c>
      <c r="H7565" t="inlineStr">
        <is>
          <t>Type 2</t>
        </is>
      </c>
    </row>
    <row r="7566">
      <c r="A7566" t="inlineStr">
        <is>
          <t>dcfi35</t>
        </is>
      </c>
      <c r="B7566" t="inlineStr">
        <is>
          <t>(Type 1) Question about insulin costs through job insurance</t>
        </is>
      </c>
      <c r="C7566" t="inlineStr">
        <is>
          <t>So basically right now i am living at home and working -almost full time- at a restaurant... just enough hours that i can stay on medicare which covers my insulin and supplies completely. I am interested in applying myself and finding a nice job with health benefits. But i would like to know what people are paying monthly for their insulin and supplies, or if their job's benefits cover it all completely?</t>
        </is>
      </c>
      <c r="D7566" t="n">
        <v>5</v>
      </c>
      <c r="E7566" t="n">
        <v>4</v>
      </c>
      <c r="F7566">
        <f>HYPERLINK("https://www.reddit.com/r/diabetes/comments/dcfi35/type_1_question_about_insulin_costs_through_job/")</f>
        <v/>
      </c>
      <c r="G7566" t="inlineStr">
        <is>
          <t>2019-10-02 12:55:10</t>
        </is>
      </c>
      <c r="H7566" t="inlineStr">
        <is>
          <t>Type 1</t>
        </is>
      </c>
    </row>
    <row r="7567">
      <c r="A7567" t="inlineStr">
        <is>
          <t>dcfywu</t>
        </is>
      </c>
      <c r="B7567" t="inlineStr">
        <is>
          <t>Insulin doses not working anymore</t>
        </is>
      </c>
      <c r="C7567" t="inlineStr">
        <is>
          <t>Hi 
As the title says, 22 year old male, been diabetic 12 years. Just recently I’ve been lowering and lowering my carb to insulin ratio drastically, I’ve had very poor control for quite a while but I’ve been trying to get on top of it. I was on 10:1 but I’ve taken it all the way down to 2:1 and today I even injected the max my pen will let me (60 units) for a meal that by my maths should be about 40 units. 
And yet, my sugar levels are  still WAY too high, my latest A1C was 99, and I’m talking high 20s low 30s (UK) despite massively overdosing.. it’s just not having any effect and I have no clue as to why? I’ve been rotating injection sites and always used clean needles every time and just wondering how or why this is happening? 
I use humalog for meals and tresiba for night time. I’m on 50 units of Tresiba a night.
TL;DR I’ve massively increased my insulin doses to try bring down my sugar levels, even overdosing with meals and it’s still not bringing them down to even 15. How/why?</t>
        </is>
      </c>
      <c r="D7567" t="n">
        <v>2</v>
      </c>
      <c r="E7567" t="n">
        <v>12</v>
      </c>
      <c r="F7567">
        <f>HYPERLINK("https://www.reddit.com/r/diabetes/comments/dcfywu/insulin_doses_not_working_anymore/")</f>
        <v/>
      </c>
      <c r="G7567" t="inlineStr">
        <is>
          <t>2019-10-02 13:26:54</t>
        </is>
      </c>
      <c r="H7567" t="inlineStr">
        <is>
          <t>Type 1</t>
        </is>
      </c>
    </row>
    <row r="7568">
      <c r="A7568" t="inlineStr">
        <is>
          <t>dct2ro</t>
        </is>
      </c>
      <c r="B7568" t="inlineStr">
        <is>
          <t>tslim or medtronic</t>
        </is>
      </c>
      <c r="C7568" t="inlineStr">
        <is>
          <t>So im due to get a new pump, after 5 years its finally time. I currently own a medtronic pump with the cgm and though i love it its not advanced enough for me.  If you had a choice to get either one, which would you get and why? pros for each would be great.  As well as maybe current situations with each companies customer care team. I keep reading about the troubles with the new medtronic pump.
ALSO are either of those companyes coming out with a new pump. Last time i got my medtronic, a new one came out like a few months later, so anything on the horizon?
&amp;amp;#x200B;
look forward to response while im here at work</t>
        </is>
      </c>
      <c r="D7568" t="n">
        <v>3</v>
      </c>
      <c r="E7568" t="n">
        <v>23</v>
      </c>
      <c r="F7568">
        <f>HYPERLINK("https://www.reddit.com/r/diabetes/comments/dct2ro/tslim_or_medtronic/")</f>
        <v/>
      </c>
      <c r="G7568" t="inlineStr">
        <is>
          <t>2019-10-03 09:13:51</t>
        </is>
      </c>
      <c r="H7568" t="inlineStr">
        <is>
          <t>Type 1</t>
        </is>
      </c>
    </row>
    <row r="7569">
      <c r="A7569" t="inlineStr">
        <is>
          <t>dcuxti</t>
        </is>
      </c>
      <c r="B7569" t="inlineStr">
        <is>
          <t>Nightmares?</t>
        </is>
      </c>
      <c r="C7569" t="inlineStr">
        <is>
          <t>Can traumatic nightmares and night terrors cause a spike in blood sugar?</t>
        </is>
      </c>
      <c r="D7569" t="n">
        <v>2</v>
      </c>
      <c r="E7569" t="n">
        <v>3</v>
      </c>
      <c r="F7569">
        <f>HYPERLINK("https://www.reddit.com/r/diabetes/comments/dcuxti/nightmares/")</f>
        <v/>
      </c>
      <c r="G7569" t="inlineStr">
        <is>
          <t>2019-10-03 11:28:12</t>
        </is>
      </c>
      <c r="H7569" t="inlineStr">
        <is>
          <t>Type 2</t>
        </is>
      </c>
    </row>
    <row r="7570">
      <c r="A7570" t="inlineStr">
        <is>
          <t>dcwgw9</t>
        </is>
      </c>
      <c r="B7570" t="inlineStr">
        <is>
          <t>Scholarships?</t>
        </is>
      </c>
      <c r="C7570" t="inlineStr">
        <is>
          <t>I'm a college student in Canada with a 4.0 GPA, does anyone know of scholarships I can apply to? Thank you</t>
        </is>
      </c>
      <c r="D7570" t="n">
        <v>1</v>
      </c>
      <c r="E7570" t="n">
        <v>1</v>
      </c>
      <c r="F7570">
        <f>HYPERLINK("https://www.reddit.com/r/diabetes/comments/dcwgw9/scholarships/")</f>
        <v/>
      </c>
      <c r="G7570" t="inlineStr">
        <is>
          <t>2019-10-03 13:15:18</t>
        </is>
      </c>
      <c r="H7570" t="inlineStr">
        <is>
          <t>Type 1</t>
        </is>
      </c>
    </row>
    <row r="7571">
      <c r="A7571" t="inlineStr">
        <is>
          <t>dczduk</t>
        </is>
      </c>
      <c r="B7571" t="inlineStr">
        <is>
          <t>Can anyone else not eat in the morning?</t>
        </is>
      </c>
      <c r="C7571" t="inlineStr">
        <is>
          <t>If I eat anything in the morning, even 5g of carbs, it just shoots my levels up ridiculously high and can't get them down for hours. My carb ratio is double in the morning compared to the rest of the day. I've even tried more insulin but it does nothing. If I don't eat, then i'm fine. No dawn phenomenon or anything if I don't eat. Just curious if anyone else experiences the same thing.</t>
        </is>
      </c>
      <c r="D7571" t="n">
        <v>4</v>
      </c>
      <c r="E7571" t="n">
        <v>12</v>
      </c>
      <c r="F7571">
        <f>HYPERLINK("https://www.reddit.com/r/diabetes/comments/dczduk/can_anyone_else_not_eat_in_the_morning/")</f>
        <v/>
      </c>
      <c r="G7571" t="inlineStr">
        <is>
          <t>2019-10-03 16:50:45</t>
        </is>
      </c>
      <c r="H7571" t="inlineStr">
        <is>
          <t>Type 1</t>
        </is>
      </c>
    </row>
    <row r="7572">
      <c r="A7572" t="inlineStr">
        <is>
          <t>dd0x2k</t>
        </is>
      </c>
      <c r="B7572" t="inlineStr">
        <is>
          <t>newly diagnosed type 2, blood sugar always between 100 and 200, is that okay?</t>
        </is>
      </c>
      <c r="C7572" t="inlineStr">
        <is>
          <t>I was diagnosed a couple of weeks ago, started metformin. My BS is always between 100 and 200, I have been exercising to get it down but seems stuck in this range.  Also, I suffer from the dawn effect,  would taking metformin right before bed help or is there something else I could try?</t>
        </is>
      </c>
      <c r="D7572" t="n">
        <v>1</v>
      </c>
      <c r="E7572" t="n">
        <v>6</v>
      </c>
      <c r="F7572">
        <f>HYPERLINK("https://www.reddit.com/r/diabetes/comments/dd0x2k/newly_diagnosed_type_2_blood_sugar_always_between/")</f>
        <v/>
      </c>
      <c r="G7572" t="inlineStr">
        <is>
          <t>2019-10-03 19:03:06</t>
        </is>
      </c>
      <c r="H7572" t="inlineStr">
        <is>
          <t>Type 2</t>
        </is>
      </c>
    </row>
    <row r="7573">
      <c r="A7573" t="inlineStr">
        <is>
          <t>dd3nyz</t>
        </is>
      </c>
      <c r="B7573" t="inlineStr">
        <is>
          <t>Looking for some insight</t>
        </is>
      </c>
      <c r="C7573" t="inlineStr">
        <is>
          <t>I’m on a G6 and Dash. I was diagnosed roughly 5 years ago when I was 28. I probably had it for upwards of a year or so before being diagnosed. I still eat like shit and just cover it with insulin because I just can’t help myself sometimes. Im heading to the endo tomorrow and had blood work done so I’m hoping for some good results good my A1C. According to Clarity from Dexcom it suggests it should be around 8. Also my avg 90 day BG is 230. 
How much damage is done when you eat like shit and run high even if you wind up coming down from it shortly after? There’s times I eat and think I time it well and I wind up at or over 300 or worse but eventually come down a short time later. Any insight? I know I need to fix my diet and also prebolusing to prevent highs is something I’m working on.</t>
        </is>
      </c>
      <c r="D7573" t="n">
        <v>2</v>
      </c>
      <c r="E7573" t="n">
        <v>9</v>
      </c>
      <c r="F7573">
        <f>HYPERLINK("https://www.reddit.com/r/diabetes/comments/dd3nyz/looking_for_some_insight/")</f>
        <v/>
      </c>
      <c r="G7573" t="inlineStr">
        <is>
          <t>2019-10-03 23:41:13</t>
        </is>
      </c>
      <c r="H7573" t="inlineStr">
        <is>
          <t>Type 1</t>
        </is>
      </c>
    </row>
    <row r="7574">
      <c r="A7574" t="inlineStr">
        <is>
          <t>dd4pmn</t>
        </is>
      </c>
      <c r="B7574" t="inlineStr">
        <is>
          <t>Anyone else get weird cravings when experiencing high blood sugar?</t>
        </is>
      </c>
      <c r="C7574" t="inlineStr">
        <is>
          <t>For some reason, I tend to crave fruit juices, Snapple, Gatorade and sometimes specific foods when my blood sugar is running high, which I find super odd!</t>
        </is>
      </c>
      <c r="D7574" t="n">
        <v>3</v>
      </c>
      <c r="E7574" t="n">
        <v>12</v>
      </c>
      <c r="F7574">
        <f>HYPERLINK("https://www.reddit.com/r/diabetes/comments/dd4pmn/anyone_else_get_weird_cravings_when_experiencing/")</f>
        <v/>
      </c>
      <c r="G7574" t="inlineStr">
        <is>
          <t>2019-10-04 01:52:31</t>
        </is>
      </c>
      <c r="H7574" t="inlineStr">
        <is>
          <t>Type 1</t>
        </is>
      </c>
    </row>
    <row r="7575">
      <c r="A7575" t="inlineStr">
        <is>
          <t>dd8l47</t>
        </is>
      </c>
      <c r="B7575" t="inlineStr">
        <is>
          <t>Can Severe Nonproliferative Retinopathy be reverse or stop from worsening?</t>
        </is>
      </c>
      <c r="C7575" t="inlineStr">
        <is>
          <t>Hi, I am a type 1 diabetic, I just got me eye check and the doctor said I my eyes are worsening and I have Severe Nonproliferative Retinopathy and floater and bleeding in the eye, my next appointment would be in 3 months, but he did not say about laser treatment or anything just a follow up, anyone here experience such encounter and what can I do to prevent from surgery or laser treatment to my eye, thanks</t>
        </is>
      </c>
      <c r="D7575" t="n">
        <v>1</v>
      </c>
      <c r="E7575" t="n">
        <v>2</v>
      </c>
      <c r="F7575">
        <f>HYPERLINK("https://www.reddit.com/r/diabetes/comments/dd8l47/can_severe_nonproliferative_retinopathy_be/")</f>
        <v/>
      </c>
      <c r="G7575" t="inlineStr">
        <is>
          <t>2019-10-04 08:05:09</t>
        </is>
      </c>
      <c r="H7575" t="inlineStr">
        <is>
          <t>Type 1</t>
        </is>
      </c>
    </row>
    <row r="7576">
      <c r="A7576" t="inlineStr">
        <is>
          <t>ddbng1</t>
        </is>
      </c>
      <c r="B7576" t="inlineStr">
        <is>
          <t>An intolerable self congratulatory brag post, a1c now 5.4</t>
        </is>
      </c>
      <c r="C7576" t="inlineStr">
        <is>
          <t>Slightly because I'm pleased with myself, but mainly because someone in the same situation as I was in 22 months ago might find this encouraging...
December 2017 I had a set of blood tests after a rare doc visit for an unrelated issue. I hadn't had blood work done for a few years. My a1c came back at 7.4 - shit! I spent some time reading up online after that, I never even \*considered\* blood sugar could be an issue for me - heart attack, liver disease maybe, but not diabetes. It gave me a motivating scare. I read a lot in this subreddit.
I'm 6-2 and weighed 245lbs in December 2017. I cut a lot of carbs out of my diet. Bread, pasta, potatoes, rice, cereal, icecream, my beloved IPAs (that one hurt) - all gone. I weigh 198lbs as of today, and my a1c is now 5.4 (i.e. normal!). My cholesterol and liver function have also markedly improved. I haven't really been exercising, it was all dietary changes. No medications. I wanted to fix a self-inflicted problem with diet alone.
So, if you're reading this and in the "oh shit" mode after getting a bad a1c number like I did 22 months ago, take heart. Adjust your diet, lose weight, you can do it! My doc said as far as she's concerned I've "cured the problem" if I maintain this. Works for me.
I deserve a couple of slices of pizza and a beer tomorrow, then back to the healthier diet.</t>
        </is>
      </c>
      <c r="D7576" t="n">
        <v>16</v>
      </c>
      <c r="E7576" t="n">
        <v>16</v>
      </c>
      <c r="F7576">
        <f>HYPERLINK("https://www.reddit.com/r/diabetes/comments/ddbng1/an_intolerable_self_congratulatory_brag_post_a1c/")</f>
        <v/>
      </c>
      <c r="G7576" t="inlineStr">
        <is>
          <t>2019-10-04 11:51:44</t>
        </is>
      </c>
      <c r="H7576" t="inlineStr">
        <is>
          <t>Type 2</t>
        </is>
      </c>
    </row>
    <row r="7577">
      <c r="A7577" t="inlineStr">
        <is>
          <t>dddxzp</t>
        </is>
      </c>
      <c r="B7577" t="inlineStr">
        <is>
          <t>Does Type 2 diabetes kill beta cells over time and would that show up on a blood test?</t>
        </is>
      </c>
      <c r="C7577" t="inlineStr">
        <is>
          <t>I've had pre-diabetes and now Type 2 diabetes for a long time. It's always been in the not really bad zone but not really good zone either. It's been very slow progressing.
When it started I would go high and then have reactive hypoglycemia. But over time even with weight loss and metformin I noticed that it would go high and then slowly creep back down, but never below fasting like before.
I don't know, but I would guess my body releases less insulin than it used to. I did a little research and found that even in Type 2 diabetes beta cells die over time.
I'm kind of curious to know if that shows up in a blood test since the typical blood test for death of beta cells is for autoantibodies. Is that a process that only happens in Type 1?
I feel like my diabetes has gotten worse in that lately if I have just one piece of Ezekiel bread  and peanut butter my sugar will go to 150, which is much higher than that type of food used to make me go. On my birthday I got breakfast in bed which was a piece of sourdough bread with jam. That made me go to 190. And yet I am losing weight (actually unintentionally) and my latest A1C just from a few days ago was 5.3. I was really shocked at the A1C because it does not at all match my blood sugar readings, which using the mySugr app average to about 130 per day. An A1C of 5.3 suggests my average blood sugar is 105, but that's really the lowest I ever see my sugar on rare occasions. 
Part of me is curious if my high blood sugar spikes are killing off pancreas cells. The other reason I thought that is that I measure my ketones (mostly probably because of my OCD), and I've noticed they are higher all the time than they used to be. They go lower the higher my sugar is, but if I go a day without eating my blood ketone levels go as high as 2.1. I used to have them rise when not eating but not that high, which makes me think my body is having more trouble using stored glucose.
I was tested for autoantibodies a little over a year ago when I was being diagnosed and they were negative. It's not so much that I think I'm type 1 (I don't think that), but I am curious if there is a way to know if my pancreas is decreasing its healthy cells. Would it be that same test that measures for autoantibodies or does that only work when the destruction is due to an immune process?</t>
        </is>
      </c>
      <c r="D7577" t="n">
        <v>1</v>
      </c>
      <c r="E7577" t="n">
        <v>2</v>
      </c>
      <c r="F7577">
        <f>HYPERLINK("https://www.reddit.com/r/diabetes/comments/dddxzp/does_type_2_diabetes_kill_beta_cells_over_time/")</f>
        <v/>
      </c>
      <c r="G7577" t="inlineStr">
        <is>
          <t>2019-10-04 14:36:35</t>
        </is>
      </c>
      <c r="H7577" t="inlineStr">
        <is>
          <t>Type 2</t>
        </is>
      </c>
    </row>
    <row r="7578">
      <c r="A7578" t="inlineStr">
        <is>
          <t>ddi0it</t>
        </is>
      </c>
      <c r="B7578" t="inlineStr">
        <is>
          <t>Insurance?</t>
        </is>
      </c>
      <c r="C7578" t="inlineStr">
        <is>
          <t>Hey guys,
I was wondering if anyone had a good 8nsurance off the marketplace? The insurance at my current job is way too high and getting meds off insurance is starting to hurt. I was hoping someone would know a good place to start or even one they're using that theyre happy with. I would appreciate the help, feeling a bit daunted everytime I start looking through on my own.</t>
        </is>
      </c>
      <c r="D7578" t="n">
        <v>3</v>
      </c>
      <c r="E7578" t="n">
        <v>2</v>
      </c>
      <c r="F7578">
        <f>HYPERLINK("https://www.reddit.com/r/diabetes/comments/ddi0it/insurance/")</f>
        <v/>
      </c>
      <c r="G7578" t="inlineStr">
        <is>
          <t>2019-10-04 20:33:37</t>
        </is>
      </c>
      <c r="H7578" t="inlineStr">
        <is>
          <t>Type 1</t>
        </is>
      </c>
    </row>
    <row r="7579">
      <c r="A7579" t="inlineStr">
        <is>
          <t>ddll6l</t>
        </is>
      </c>
      <c r="B7579" t="inlineStr">
        <is>
          <t>Anyone?</t>
        </is>
      </c>
      <c r="C7579" t="inlineStr">
        <is>
          <t>How does the use of pedometers benefit people at high risk for type 2 diabetes?</t>
        </is>
      </c>
      <c r="D7579" t="n">
        <v>2</v>
      </c>
      <c r="E7579" t="n">
        <v>2</v>
      </c>
      <c r="F7579">
        <f>HYPERLINK("https://www.reddit.com/r/diabetes/comments/ddll6l/anyone/")</f>
        <v/>
      </c>
      <c r="G7579" t="inlineStr">
        <is>
          <t>2019-10-05 03:39:36</t>
        </is>
      </c>
      <c r="H7579" t="inlineStr">
        <is>
          <t>Type 2</t>
        </is>
      </c>
    </row>
    <row r="7580">
      <c r="A7580" t="inlineStr">
        <is>
          <t>ddwp05</t>
        </is>
      </c>
      <c r="B7580" t="inlineStr">
        <is>
          <t>Diabetic pets?</t>
        </is>
      </c>
      <c r="C7580" t="inlineStr">
        <is>
          <t>So I watched a tv show where a woman mentions her dog is a type 1 diabetic.
Got me wondering if I any fellow diabetics would mind looking after pets that had the same illness, part of me would love it but part of me would also hate it :/</t>
        </is>
      </c>
      <c r="D7580" t="n">
        <v>2</v>
      </c>
      <c r="E7580" t="n">
        <v>5</v>
      </c>
      <c r="F7580">
        <f>HYPERLINK("https://www.reddit.com/r/diabetes/comments/ddwp05/diabetic_pets/")</f>
        <v/>
      </c>
      <c r="G7580" t="inlineStr">
        <is>
          <t>2019-10-05 18:30:26</t>
        </is>
      </c>
      <c r="H7580" t="inlineStr">
        <is>
          <t>Type 1</t>
        </is>
      </c>
    </row>
    <row r="7581">
      <c r="A7581" t="inlineStr">
        <is>
          <t>ddx4a4</t>
        </is>
      </c>
      <c r="B7581" t="inlineStr">
        <is>
          <t>JDRF Questions</t>
        </is>
      </c>
      <c r="C7581" t="inlineStr">
        <is>
          <t>Hi everyone. I was diagnosed as Type 1 earlier this year at age 31. About two weeks after I was diagnosed a former coworker posted on Facebook her son was super sick and they had to go to the E.R. His symtoms sounded pretty much exactly like mine during my DKA. He was diagnosed as Type 1 at 9.
It seems like his family and a few others are trying to raise money for the JDRF. I have heard of them before and I am pretty sure they are a legit non profit but I did have a few questions before I donate. Are they a good organization to donate to? I can't donate much but I do want to give to someone who will actually do good in the world. I know they want to cure diabetes but is that their only aim? Of course I want a cure but at this point in time it may be more prudent to spread awareness and intelligent information as well making sure all diabetics have access to insulin and proper healthcare. I have a feeling even if there was a cure us lower income folks wouldn't have access to it.
Thank you for your time. I know it may be silly, because again I can't donate much, but I would like to support fellow diabetics if I feel good about the organization.</t>
        </is>
      </c>
      <c r="D7581" t="n">
        <v>6</v>
      </c>
      <c r="E7581" t="n">
        <v>4</v>
      </c>
      <c r="F7581">
        <f>HYPERLINK("https://www.reddit.com/r/diabetes/comments/ddx4a4/jdrf_questions/")</f>
        <v/>
      </c>
      <c r="G7581" t="inlineStr">
        <is>
          <t>2019-10-05 19:07:12</t>
        </is>
      </c>
      <c r="H7581" t="inlineStr">
        <is>
          <t>Type 1</t>
        </is>
      </c>
    </row>
    <row r="7582">
      <c r="A7582" t="inlineStr">
        <is>
          <t>de5hir</t>
        </is>
      </c>
      <c r="B7582" t="inlineStr">
        <is>
          <t>Worried about long term complications and getting my ass into gear with type one diabetes .</t>
        </is>
      </c>
      <c r="C7582" t="inlineStr">
        <is>
          <t>I have been diabetic for 13 years now, (adolescent onset) I have failed to keep my blood sugars in control for 4 years now but still have a HBA1C of 5-7 obviously this is due to dosing when needed to combat highs which then leads to brutal lows I nearly died a few times (so stupid of me I know !!!) 
I just cant seem to get my ratios right at all I am taking Tougeo and Humlog insulin's 
I cant work out my Carb to insulin ratio I would guess this would be a place to start. 
I have given up with asking the doctors as I just don't seem to understand what they are talking about a'lot of the time. 
I just want to get control before its too late and I go blind my blood sugar is regularly 7.5 - 14.6 sometimes it will sit at 5.2 but its rare seems to be high all the time now no matter what I eat. 
I am not active in the evenings and seem to have highs most of the evenings. 
Chocolate is a real problem in my life that i need to knock on the head.</t>
        </is>
      </c>
      <c r="D7582" t="n">
        <v>1</v>
      </c>
      <c r="E7582" t="n">
        <v>3</v>
      </c>
      <c r="F7582">
        <f>HYPERLINK("https://www.reddit.com/r/diabetes/comments/de5hir/worried_about_long_term_complications_and_getting/")</f>
        <v/>
      </c>
      <c r="G7582" t="inlineStr">
        <is>
          <t>2019-10-06 09:28:16</t>
        </is>
      </c>
      <c r="H7582" t="inlineStr">
        <is>
          <t>Type 1</t>
        </is>
      </c>
    </row>
    <row r="7583">
      <c r="A7583" t="inlineStr">
        <is>
          <t>dek9su</t>
        </is>
      </c>
      <c r="B7583" t="inlineStr">
        <is>
          <t>Just woke up at 583</t>
        </is>
      </c>
      <c r="C7583" t="inlineStr">
        <is>
          <t>Pump site failure combined with a dex failure is the perfect shit storm for disaster. This is going to be a fun day.</t>
        </is>
      </c>
      <c r="D7583" t="n">
        <v>14</v>
      </c>
      <c r="E7583" t="n">
        <v>11</v>
      </c>
      <c r="F7583">
        <f>HYPERLINK("https://www.reddit.com/r/diabetes/comments/dek9su/just_woke_up_at_583/")</f>
        <v/>
      </c>
      <c r="G7583" t="inlineStr">
        <is>
          <t>2019-10-07 07:35:00</t>
        </is>
      </c>
      <c r="H7583" t="inlineStr">
        <is>
          <t>Type 1</t>
        </is>
      </c>
    </row>
    <row r="7584">
      <c r="A7584" t="inlineStr">
        <is>
          <t>delv8e</t>
        </is>
      </c>
      <c r="B7584" t="inlineStr">
        <is>
          <t>Anyone else have issues with Accu-Check Test Strips?</t>
        </is>
      </c>
      <c r="C7584" t="inlineStr">
        <is>
          <t>I’ve been T1D for 20 years. 19 of those years (from what I can remember) I always used One Touch. I got married and now I have new health insurance and have Accu-Check.
During my entire time using One Touch, only once did my strips ever become unusable (even when you test they get an error code) and One Touch immediately replaced them once I contacted them. With Accu-Check, since January 1st, it’s been 3 vials. This is absolutely ridiculous. I am not sure how this could be real.
Is it due to how cheap the strips are? I keep the vial closed, test kit sealed, dry place, etc. the company’s customer service is ridiculous. I just wonder if anyone else has dealt with something similar?</t>
        </is>
      </c>
      <c r="D7584" t="n">
        <v>1</v>
      </c>
      <c r="E7584" t="n">
        <v>11</v>
      </c>
      <c r="F7584">
        <f>HYPERLINK("https://www.reddit.com/r/diabetes/comments/delv8e/anyone_else_have_issues_with_accucheck_test_strips/")</f>
        <v/>
      </c>
      <c r="G7584" t="inlineStr">
        <is>
          <t>2019-10-07 09:31:33</t>
        </is>
      </c>
      <c r="H7584" t="inlineStr">
        <is>
          <t>Type 1</t>
        </is>
      </c>
    </row>
    <row r="7585">
      <c r="A7585" t="inlineStr">
        <is>
          <t>den8dj</t>
        </is>
      </c>
      <c r="B7585" t="inlineStr">
        <is>
          <t>Starting with Omnipod</t>
        </is>
      </c>
      <c r="C7585" t="inlineStr">
        <is>
          <t>My son's omnipod is arriving this week.  We still have 4 boxes of humalog kwikpens left.  Is is possible to load the omnipod with a kwikpen?  I haven't been able to find a definitive answer about this.  Thank you!</t>
        </is>
      </c>
      <c r="D7585" t="n">
        <v>3</v>
      </c>
      <c r="E7585" t="n">
        <v>5</v>
      </c>
      <c r="F7585">
        <f>HYPERLINK("https://www.reddit.com/r/diabetes/comments/den8dj/starting_with_omnipod/")</f>
        <v/>
      </c>
      <c r="G7585" t="inlineStr">
        <is>
          <t>2019-10-07 11:07:49</t>
        </is>
      </c>
      <c r="H7585" t="inlineStr">
        <is>
          <t>Type 1</t>
        </is>
      </c>
    </row>
    <row r="7586">
      <c r="A7586" t="inlineStr">
        <is>
          <t>deq4qc</t>
        </is>
      </c>
      <c r="B7586" t="inlineStr">
        <is>
          <t>Does anyone else feel weird when they correct a low blood glucose</t>
        </is>
      </c>
      <c r="C7586" t="inlineStr">
        <is>
          <t>I had a low blood sugar (69 lol) and corrected it by eating my dinner but I still feel shaky and weak even though my sugar now reads 108. Is it because it rose too rapidly or just residual symptoms from the low? Does anyone have any experience with this?</t>
        </is>
      </c>
      <c r="D7586" t="n">
        <v>4</v>
      </c>
      <c r="E7586" t="n">
        <v>3</v>
      </c>
      <c r="F7586">
        <f>HYPERLINK("https://www.reddit.com/r/diabetes/comments/deq4qc/does_anyone_else_feel_weird_when_they_correct_a/")</f>
        <v/>
      </c>
      <c r="G7586" t="inlineStr">
        <is>
          <t>2019-10-07 14:31:34</t>
        </is>
      </c>
      <c r="H7586" t="inlineStr">
        <is>
          <t>Type 2</t>
        </is>
      </c>
    </row>
    <row r="7587">
      <c r="A7587" t="inlineStr">
        <is>
          <t>des0c5</t>
        </is>
      </c>
      <c r="B7587" t="inlineStr">
        <is>
          <t>Help</t>
        </is>
      </c>
      <c r="C7587" t="inlineStr">
        <is>
          <t>I took my doses of levemir before i went to bed but my bs keeps going up, i dont know what to do please help</t>
        </is>
      </c>
      <c r="D7587" t="n">
        <v>2</v>
      </c>
      <c r="E7587" t="n">
        <v>4</v>
      </c>
      <c r="F7587">
        <f>HYPERLINK("https://www.reddit.com/r/diabetes/comments/des0c5/help/")</f>
        <v/>
      </c>
      <c r="G7587" t="inlineStr">
        <is>
          <t>2019-10-07 16:55:47</t>
        </is>
      </c>
      <c r="H7587" t="inlineStr">
        <is>
          <t>Type 1</t>
        </is>
      </c>
    </row>
    <row r="7588">
      <c r="A7588" t="inlineStr">
        <is>
          <t>dewd8u</t>
        </is>
      </c>
      <c r="B7588" t="inlineStr">
        <is>
          <t>I wrote this for an ask Reddit thread and realized it didn't fit but still wanted to post it somewhere</t>
        </is>
      </c>
      <c r="C7588" t="inlineStr">
        <is>
          <t>When I was around 11 I had a dka
I was in the hospital for about two weeks, for the first few days my brain wasn't functional, I couldn't talk, comprehend what I was hearing or seeing, or at least I couldn't commit them to memory.
For the rest of the time I was getting an IV drip because I couldn't eat anything, I always threw up immediately after. I couldn't walk to the bathroom so I just went in the bed. I was fainting constantly, and essentially had retrograde amnesia during that time.
It took me a while to comprehend how lucky I was, if we didn't have insurance, if the ambulance had been a little later, if something else totally unexpected went wrong, I might've died.
The funny thing is, this should be the most traumatic thing I've ever experienced, but it's not, whenever my dad talks about it he cries, but for me it's all a blur now.</t>
        </is>
      </c>
      <c r="D7588" t="n">
        <v>6</v>
      </c>
      <c r="E7588" t="n">
        <v>2</v>
      </c>
      <c r="F7588">
        <f>HYPERLINK("https://www.reddit.com/r/diabetes/comments/dewd8u/i_wrote_this_for_an_ask_reddit_thread_and/")</f>
        <v/>
      </c>
      <c r="G7588" t="inlineStr">
        <is>
          <t>2019-10-07 23:51:25</t>
        </is>
      </c>
      <c r="H7588" t="inlineStr">
        <is>
          <t>Type 1</t>
        </is>
      </c>
    </row>
    <row r="7589">
      <c r="A7589" t="inlineStr">
        <is>
          <t>dewfi1</t>
        </is>
      </c>
      <c r="B7589" t="inlineStr">
        <is>
          <t>Lantus vs. Tresiba</t>
        </is>
      </c>
      <c r="C7589" t="inlineStr">
        <is>
          <t>I'm a user of Tresiba (which was prescribed to me in the UK) however it is not available in Australia and it's been suggested I switch to Lantus.  Is there anything I should know prior to switching?  From what I've read, Lantus isn't as long acting as Tresiba, so I was wondering whether I should split the dose or do a direct swap in dosage?  Thanks!</t>
        </is>
      </c>
      <c r="D7589" t="n">
        <v>2</v>
      </c>
      <c r="E7589" t="n">
        <v>9</v>
      </c>
      <c r="F7589">
        <f>HYPERLINK("https://www.reddit.com/r/diabetes/comments/dewfi1/lantus_vs_tresiba/")</f>
        <v/>
      </c>
      <c r="G7589" t="inlineStr">
        <is>
          <t>2019-10-07 23:59:13</t>
        </is>
      </c>
      <c r="H7589" t="inlineStr">
        <is>
          <t>Type 1</t>
        </is>
      </c>
    </row>
    <row r="7590">
      <c r="A7590" t="inlineStr">
        <is>
          <t>df0n3a</t>
        </is>
      </c>
      <c r="B7590" t="inlineStr">
        <is>
          <t>Rant and questions for t:slim X2 pump users.</t>
        </is>
      </c>
      <c r="C7590" t="inlineStr">
        <is>
          <t>Is anyone else super annoyed with all the alarms?? There is no way to turn off certain alarms and no way to turn down the sound of the alarms either!! It is so embarrassing when I am at work or having a conversation with someone and I’m interrupted with a LOUD BEEP!! People who aren’t aware of my pump will look really concerned and I have to explain and they are always like OMG are you dying?? That sounded like a very serious alert!! I am very thankful for alerts when my blood sugar is dropping at night but my god!! I don’t need people thinking a bomb is about to be set off! I just need a simple vibration to let me know.. Anyway, how does anyone deal with the constant alarms and alerts? My main concern is being at work and having the entire office know when my BS is high/low because it is that loud that everyone can hear it. I don’t need to announce that. I’m so desperate I’ve though about wrapping my pump is something to muffle the noise. Ugh!</t>
        </is>
      </c>
      <c r="D7590" t="n">
        <v>4</v>
      </c>
      <c r="E7590" t="n">
        <v>16</v>
      </c>
      <c r="F7590">
        <f>HYPERLINK("https://www.reddit.com/r/diabetes/comments/df0n3a/rant_and_questions_for_tslim_x2_pump_users/")</f>
        <v/>
      </c>
      <c r="G7590" t="inlineStr">
        <is>
          <t>2019-10-08 07:22:41</t>
        </is>
      </c>
      <c r="H7590" t="inlineStr">
        <is>
          <t>Type 1</t>
        </is>
      </c>
    </row>
    <row r="7591">
      <c r="A7591" t="inlineStr">
        <is>
          <t>df26k7</t>
        </is>
      </c>
      <c r="B7591" t="inlineStr">
        <is>
          <t>Sugar levels and pregnancy?</t>
        </is>
      </c>
      <c r="C7591" t="inlineStr">
        <is>
          <t>Hey fellow diabetics!! I am a T2 and currently trying for a baby. I have been closely monitoring my sugars for the last 1.5 years and my A1C is currently 5.8. Just curious how concerned I should be when my sugars spike? I had a bowl of cereal for breakfast, 1 hour post cereal I was a 10.1 - 1.5 hours post meal a 5.4. I find I get back to a normal range within 2 hours after eating, but I do get the odd spike. Any advice on how to prevent spikes and just how harmful they are for pregnancy?</t>
        </is>
      </c>
      <c r="D7591" t="n">
        <v>4</v>
      </c>
      <c r="E7591" t="n">
        <v>8</v>
      </c>
      <c r="F7591">
        <f>HYPERLINK("https://www.reddit.com/r/diabetes/comments/df26k7/sugar_levels_and_pregnancy/")</f>
        <v/>
      </c>
      <c r="G7591" t="inlineStr">
        <is>
          <t>2019-10-08 09:13:57</t>
        </is>
      </c>
      <c r="H7591" t="inlineStr">
        <is>
          <t>Type 2</t>
        </is>
      </c>
    </row>
    <row r="7592">
      <c r="A7592" t="inlineStr">
        <is>
          <t>df2k0o</t>
        </is>
      </c>
      <c r="B7592" t="inlineStr">
        <is>
          <t>Any holistic doctors in Long Island that can help me out?</t>
        </is>
      </c>
      <c r="C7592" t="inlineStr">
        <is>
          <t>My father has type 2 diabetes and high blood pressure and is trying to get off of conventional medication. We are looking for people or holistic doctors in the Long Island area that can help him with his diseases. In person consultations would be preferred, but if you have any suggestions that have been personally successful for you leave it in the comments below, thanks!</t>
        </is>
      </c>
      <c r="D7592" t="n">
        <v>0</v>
      </c>
      <c r="E7592" t="n">
        <v>11</v>
      </c>
      <c r="F7592">
        <f>HYPERLINK("https://www.reddit.com/r/diabetes/comments/df2k0o/any_holistic_doctors_in_long_island_that_can_help/")</f>
        <v/>
      </c>
      <c r="G7592" t="inlineStr">
        <is>
          <t>2019-10-08 09:40:58</t>
        </is>
      </c>
      <c r="H7592" t="inlineStr">
        <is>
          <t>Type 2</t>
        </is>
      </c>
    </row>
    <row r="7593">
      <c r="A7593" t="inlineStr">
        <is>
          <t>df5yxe</t>
        </is>
      </c>
      <c r="B7593" t="inlineStr">
        <is>
          <t>God dammit</t>
        </is>
      </c>
      <c r="C7593" t="inlineStr">
        <is>
          <t>Blood sugar was 104 when I went to lunch.  I hate a bowl of chicken flavored rice.  85g of carbs.  I took my insulin and ate it.  45 min later, my CGM alerts me that it's at 60.  I drive the rest of the way back to work, now it's 45.  I am usually not able to feel my lows, but I'm sweating a ton.  I gorge on some Reeses Pieces and now it's up to 197 with double up arrows... and I feel like I got hit by a truck.  What the fuck... I was doing perfectly and now I can barely stay focused...
Just bitching...</t>
        </is>
      </c>
      <c r="D7593" t="n">
        <v>75</v>
      </c>
      <c r="E7593" t="n">
        <v>21</v>
      </c>
      <c r="F7593">
        <f>HYPERLINK("https://www.reddit.com/r/diabetes/comments/df5yxe/god_dammit/")</f>
        <v/>
      </c>
      <c r="G7593" t="inlineStr">
        <is>
          <t>2019-10-08 13:46:10</t>
        </is>
      </c>
      <c r="H7593" t="inlineStr">
        <is>
          <t>Type 1</t>
        </is>
      </c>
    </row>
    <row r="7594">
      <c r="A7594" t="inlineStr">
        <is>
          <t>df9i5o</t>
        </is>
      </c>
      <c r="B7594" t="inlineStr">
        <is>
          <t>Power outage and insulin</t>
        </is>
      </c>
      <c r="C7594" t="inlineStr">
        <is>
          <t>I live on the west coast of the US, and in the next 12 hours or so, PG&amp;amp;E, the company that runs the electrical grid, will turn off power to almost a million houses for a few days (basically a bunch of bullshit so that they don't get their asses sued if a fire starts again). I store my insulin in a small refrigerator (about 0.3m^3). Will all of the insulin become expired if gradually warmed to room temperature due to the loss of power for about 48 hours? Should I go right now to buy a generator to power this refrigerator, or am I fine?</t>
        </is>
      </c>
      <c r="D7594" t="n">
        <v>2</v>
      </c>
      <c r="E7594" t="n">
        <v>12</v>
      </c>
      <c r="F7594">
        <f>HYPERLINK("https://www.reddit.com/r/diabetes/comments/df9i5o/power_outage_and_insulin/")</f>
        <v/>
      </c>
      <c r="G7594" t="inlineStr">
        <is>
          <t>2019-10-08 17:55:23</t>
        </is>
      </c>
      <c r="H7594" t="inlineStr">
        <is>
          <t>Type 1</t>
        </is>
      </c>
    </row>
    <row r="7595">
      <c r="A7595" t="inlineStr">
        <is>
          <t>dfaw35</t>
        </is>
      </c>
      <c r="B7595" t="inlineStr">
        <is>
          <t>I’m type 1 - and now my brother might be, too?</t>
        </is>
      </c>
      <c r="C7595" t="inlineStr">
        <is>
          <t>Hi guys. So I’m currently trying to figure out what the hell is going on, and thought this forum would be the best place to start. I’m a 24y/o F with type ONE - I was diagnosed at age 18. Like I’m sure most of you are familiar with, I had the classic symptoms. Lost 20 pounds, was constantly chugging water then peeing, dry skin, etc. When I was finally admitted my blood sugar was roughly 750. (Today, I’m happily on the Omnipod/Dexcom with a great A1C!) 
But yesterday, my world shook. My brother reached out to me (22y/o) and asked what my symptoms were, because he’s been peeing a lot in the middle of the night and excessively thirsty. I had him check his weight, and he’s lost ten pounds. I immediately had him test his sugar, and it was 330. Long story short - he was admitted to the ER, and they said that his A1C is around 9 and has been for a few months. I thought without hesitation that he has type one. However, the doctors said they aren’t sure if it’s type one or type two? For reference: he’s completely average weight, and really active. We live in different cities so I don’t watch what he eats that closely, but I’m certain his diet isn’t that bad. They prescribed him metformin? An oral pill for blood sugar lowering. 
When he left the hospital, his blood sugar was down to 250. Basically, that seems to be where it’s been hanging out. Today, he ate goldfish and had ginger ale, and immediately spiked to 330. A while after that he was back to 250. (He has not been prescribed insulin and we’re pulling teeth trying to get him into my endocrinologist). 
Basically, my question is: does this seem like type one or type two? It just seems like a VERY different onset experience from my type 1, but yet again maybe we’ve caught his type 1 so early that his pancreas is clearly still working. What are the odds that one sibling would have type one, and the other would get type 2 (at age 22, with a relatively healthy and active lifestyle and not over weight at all)? 
We were braced for the news that this would be a type 1 diagnosis. Now, it seems that there’s almost a sliver of “hope” that it isn’t... but I just don’t know what to think. Any insight would be appreciated. This has been so frustrating.</t>
        </is>
      </c>
      <c r="D7595" t="n">
        <v>3</v>
      </c>
      <c r="E7595" t="n">
        <v>9</v>
      </c>
      <c r="F7595">
        <f>HYPERLINK("https://www.reddit.com/r/diabetes/comments/dfaw35/im_type_1_and_now_my_brother_might_be_too/")</f>
        <v/>
      </c>
      <c r="G7595" t="inlineStr">
        <is>
          <t>2019-10-08 19:50:04</t>
        </is>
      </c>
      <c r="H7595" t="inlineStr">
        <is>
          <t>Type 1</t>
        </is>
      </c>
    </row>
    <row r="7596">
      <c r="A7596" t="inlineStr">
        <is>
          <t>dfdmv7</t>
        </is>
      </c>
      <c r="B7596" t="inlineStr">
        <is>
          <t>Early complications have lead me to depression and panic - all advice welcome</t>
        </is>
      </c>
      <c r="C7596" t="inlineStr">
        <is>
          <t>Hi all. I could really use some advice.
&amp;amp;#x200B;
I recently got a blind spot in one eye, and so immediately went to see my doctor. Long story short there was a small bleed in the eye, which was almost certainly due to my blood sugar spiking and dropping rapidly over time.
&amp;amp;#x200B;
It's really knocked me for six. I'm relatively young and have only had T1 diabetes for 10 years. My control wasn't great to start, but in the last few years at least I've really understood how it all works and work closely with my doctor and nurse to correct my sugars. It's a lot of effort but I can proudly say my A1C has improved drastically - from 14 down to 6.
&amp;amp;#x200B;
But no matter how hard I try I can't seem to avoid spikes and drops. My sugar ALWAYS raises itself in the morning. I'm on a waiting list for a pump to fix that but it's been 4 years on the list and I'm still a ways down. I have so many other issues that I work so hard on and just seem to get nowhere - I fix one and another crops up.
&amp;amp;#x200B;
Now, the bleed in the eye is unlikely to get worse, but I'm likely never going to get that vision back. 10 years in and I already have a complication from this disease and it's honestly making me panic hard. I don't know what to do.</t>
        </is>
      </c>
      <c r="D7596" t="n">
        <v>2</v>
      </c>
      <c r="E7596" t="n">
        <v>5</v>
      </c>
      <c r="F7596">
        <f>HYPERLINK("https://www.reddit.com/r/diabetes/comments/dfdmv7/early_complications_have_lead_me_to_depression/")</f>
        <v/>
      </c>
      <c r="G7596" t="inlineStr">
        <is>
          <t>2019-10-09 00:26:49</t>
        </is>
      </c>
      <c r="H7596" t="inlineStr">
        <is>
          <t>Type 1</t>
        </is>
      </c>
    </row>
    <row r="7597">
      <c r="A7597" t="inlineStr">
        <is>
          <t>dff8wu</t>
        </is>
      </c>
      <c r="B7597" t="inlineStr">
        <is>
          <t>Is it just me or does anyone else eat to combat low blood sugar with no solution?</t>
        </is>
      </c>
      <c r="C7597" t="inlineStr">
        <is>
          <t>For 3 consecutive nights I've had to wake up mid sleep cycle to eat extra cereal (my choice of snack) to bring my blood sugar levels up. 
I eat what feels like is enough or maybe even a lot... Only to wake up a second time to eat the same amount again. I should decrease from 25 to 20 units. Lol I'm talking to myself.
Alright back to sleep.</t>
        </is>
      </c>
      <c r="D7597" t="n">
        <v>11</v>
      </c>
      <c r="E7597" t="n">
        <v>19</v>
      </c>
      <c r="F7597">
        <f>HYPERLINK("https://www.reddit.com/r/diabetes/comments/dff8wu/is_it_just_me_or_does_anyone_else_eat_to_combat/")</f>
        <v/>
      </c>
      <c r="G7597" t="inlineStr">
        <is>
          <t>2019-10-09 03:43:37</t>
        </is>
      </c>
      <c r="H7597" t="inlineStr">
        <is>
          <t>Type 1</t>
        </is>
      </c>
    </row>
    <row r="7598">
      <c r="A7598" t="inlineStr">
        <is>
          <t>dfjpiw</t>
        </is>
      </c>
      <c r="B7598" t="inlineStr">
        <is>
          <t>How do you guys get on with your eyes?</t>
        </is>
      </c>
      <c r="C7598" t="inlineStr">
        <is>
          <t>I recently went for a eye test to find out how bad my eyes became over more that 10 years of being a T1D. I had really good eyes when I was younger. Now it has became quite shitty. How do you guys get on?</t>
        </is>
      </c>
      <c r="D7598" t="n">
        <v>2</v>
      </c>
      <c r="E7598" t="n">
        <v>17</v>
      </c>
      <c r="F7598">
        <f>HYPERLINK("https://www.reddit.com/r/diabetes/comments/dfjpiw/how_do_you_guys_get_on_with_your_eyes/")</f>
        <v/>
      </c>
      <c r="G7598" t="inlineStr">
        <is>
          <t>2019-10-09 09:43:53</t>
        </is>
      </c>
      <c r="H7598" t="inlineStr">
        <is>
          <t>Type 1</t>
        </is>
      </c>
    </row>
    <row r="7599">
      <c r="A7599" t="inlineStr">
        <is>
          <t>dfom4l</t>
        </is>
      </c>
      <c r="B7599" t="inlineStr">
        <is>
          <t>Renewing Drivers License with Diabetes</t>
        </is>
      </c>
      <c r="C7599" t="inlineStr">
        <is>
          <t>Diabetes is listed in the Medical Conditions category for my Drivers License renewal form. I’m renewing my license and was recently diagnosed with t1d. Will this impact my license in any way? I’m renewing my Canadian Drivers License but I live in the US. Are there different rules for driving in each country?
Thanks!</t>
        </is>
      </c>
      <c r="D7599" t="n">
        <v>6</v>
      </c>
      <c r="E7599" t="n">
        <v>7</v>
      </c>
      <c r="F7599">
        <f>HYPERLINK("https://www.reddit.com/r/diabetes/comments/dfom4l/renewing_drivers_license_with_diabetes/")</f>
        <v/>
      </c>
      <c r="G7599" t="inlineStr">
        <is>
          <t>2019-10-09 15:31:52</t>
        </is>
      </c>
      <c r="H7599" t="inlineStr">
        <is>
          <t>Type 1</t>
        </is>
      </c>
    </row>
    <row r="7600">
      <c r="A7600" t="inlineStr">
        <is>
          <t>dfq0al</t>
        </is>
      </c>
      <c r="B7600" t="inlineStr">
        <is>
          <t>Pancakes, oh what have they done to me?</t>
        </is>
      </c>
      <c r="C7600" t="inlineStr">
        <is>
          <t>This is more a vent thread. Something has happened to the way my body is reacting to insulin in the last month. I had pancakes (only two and easy on the syrup) and took my standard dose for this. I had to add an additional 25 units to get my sugars to come down. I feel horrid right now and just am close to tears. I mean I've eaten this meal often, and usually it's pretty easy to guess the dose. Prior to this month, 25 units is what I would have for an entire day including my lantus doses. I mean it's not like it was a stack of pancakes, it was just two. 
I'm not sure why I'm posting, but I'm so mad at my body right now. First I had my GI system betray me and ruin my life with Crohn's 20 years ago. Then it caused my liver to start failing and last year my stupid pancreas gave up on me as well. I'm so tired and so frustrated and so angry at the powers that be. 
Thank you for letting me shout out into the void because times like this, I have a hard time with continuing to fight. I'm so tired right now.</t>
        </is>
      </c>
      <c r="D7600" t="n">
        <v>2</v>
      </c>
      <c r="E7600" t="n">
        <v>2</v>
      </c>
      <c r="F7600">
        <f>HYPERLINK("https://www.reddit.com/r/diabetes/comments/dfq0al/pancakes_oh_what_have_they_done_to_me/")</f>
        <v/>
      </c>
      <c r="G7600" t="inlineStr">
        <is>
          <t>2019-10-09 17:21:17</t>
        </is>
      </c>
      <c r="H7600" t="inlineStr">
        <is>
          <t>Type 1.5/LADA</t>
        </is>
      </c>
    </row>
    <row r="7601">
      <c r="A7601" t="inlineStr">
        <is>
          <t>dfwbh9</t>
        </is>
      </c>
      <c r="B7601" t="inlineStr">
        <is>
          <t>I need help</t>
        </is>
      </c>
      <c r="C7601" t="inlineStr">
        <is>
          <t>I'm having hypo very often can someone help?
(Sorry my english is not very goog)</t>
        </is>
      </c>
      <c r="D7601" t="n">
        <v>3</v>
      </c>
      <c r="E7601" t="n">
        <v>8</v>
      </c>
      <c r="F7601">
        <f>HYPERLINK("https://www.reddit.com/r/diabetes/comments/dfwbh9/i_need_help/")</f>
        <v/>
      </c>
      <c r="G7601" t="inlineStr">
        <is>
          <t>2019-10-10 03:58:30</t>
        </is>
      </c>
      <c r="H7601" t="inlineStr">
        <is>
          <t>Type 1</t>
        </is>
      </c>
    </row>
    <row r="7602">
      <c r="A7602" t="inlineStr">
        <is>
          <t>dfz6bc</t>
        </is>
      </c>
      <c r="B7602" t="inlineStr">
        <is>
          <t>Those who hit the gym AND not on a pump - how do you adjust your insulin after your workout?</t>
        </is>
      </c>
      <c r="C7602" t="inlineStr">
        <is>
          <t>Specifically, i take a basal dose of 8 units every 12 hours - 16 units a day, when im NOT considerably active
So if i start strength training to build muscle, is there a certain time frame that works best? Should i workout *near* one of the doses and just lower it by a couple of units?
I know there are a lot of variables</t>
        </is>
      </c>
      <c r="D7602" t="n">
        <v>13</v>
      </c>
      <c r="E7602" t="n">
        <v>11</v>
      </c>
      <c r="F7602">
        <f>HYPERLINK("https://www.reddit.com/r/diabetes/comments/dfz6bc/those_who_hit_the_gym_and_not_on_a_pump_how_do/")</f>
        <v/>
      </c>
      <c r="G7602" t="inlineStr">
        <is>
          <t>2019-10-10 07:55:02</t>
        </is>
      </c>
      <c r="H7602" t="inlineStr">
        <is>
          <t>Type 1</t>
        </is>
      </c>
    </row>
    <row r="7603">
      <c r="A7603" t="inlineStr">
        <is>
          <t>dg1emv</t>
        </is>
      </c>
      <c r="B7603" t="inlineStr">
        <is>
          <t>Do sugar free wafers raise anyone elses sugars high?</t>
        </is>
      </c>
      <c r="C7603" t="inlineStr">
        <is>
          <t>Hello. I have been posting great numbers, normal post prandiel and good fasting for a few months now. Todfay i tried these sugar free strawberry wafers. They have sorbitol in them. I have never tried these before. @ hours later and my sugar spiked to 168 . This hasnt even happend when i have had small amounts of regular sugar. Has this happened to anyone else? thanks!</t>
        </is>
      </c>
      <c r="D7603" t="n">
        <v>3</v>
      </c>
      <c r="E7603" t="n">
        <v>5</v>
      </c>
      <c r="F7603">
        <f>HYPERLINK("https://www.reddit.com/r/diabetes/comments/dg1emv/do_sugar_free_wafers_raise_anyone_elses_sugars/")</f>
        <v/>
      </c>
      <c r="G7603" t="inlineStr">
        <is>
          <t>2019-10-10 10:30:39</t>
        </is>
      </c>
      <c r="H7603" t="inlineStr">
        <is>
          <t>Type 2</t>
        </is>
      </c>
    </row>
    <row r="7604">
      <c r="A7604" t="inlineStr">
        <is>
          <t>dg44au</t>
        </is>
      </c>
      <c r="B7604" t="inlineStr">
        <is>
          <t>ISO "diabetes friendly" chocolate covered pretzels recipe</t>
        </is>
      </c>
      <c r="C7604" t="inlineStr">
        <is>
          <t>Hey all,
My MIL's birthday is on Tuesday and she has Type 1 diabetes. She loves chocolate covered pretzels but doesn't  get to eat them often with her condition. I've been looking for recipes online, but wanted to see if you guys had any recipes already or suggestions.
My biggest issue is that all of the "diabetes friendly" recipes I've found call for different types of chocolate. Some call for semi-sweet chips, some call for dark, and some call far sugar-free (like Amber Lynn). Which would be the best for someone with diabetes? Thoughts, comments, concerns are welcome.
 I just want to make sure I'm using a recipe that will work well for her! 
TIA!</t>
        </is>
      </c>
      <c r="D7604" t="n">
        <v>1</v>
      </c>
      <c r="E7604" t="n">
        <v>8</v>
      </c>
      <c r="F7604">
        <f>HYPERLINK("https://www.reddit.com/r/diabetes/comments/dg44au/iso_diabetes_friendly_chocolate_covered_pretzels/")</f>
        <v/>
      </c>
      <c r="G7604" t="inlineStr">
        <is>
          <t>2019-10-10 13:35:15</t>
        </is>
      </c>
      <c r="H7604" t="inlineStr">
        <is>
          <t>Type 1</t>
        </is>
      </c>
    </row>
    <row r="7605">
      <c r="A7605" t="inlineStr">
        <is>
          <t>dg536l</t>
        </is>
      </c>
      <c r="B7605" t="inlineStr">
        <is>
          <t>Instant parenting- going to be caring for my SIL's 9 year old newly diagnosed T1 son on weekends for the next six months. Help!</t>
        </is>
      </c>
      <c r="C7605" t="inlineStr">
        <is>
          <t>**TL:DR**\- My husband and I are not parents, but due to family circumstances, we will now be caring for our 9 year old nephew on weekends for the next six months minimum. Looking for tools and education resources to help ramp up our knowledge and ability to care for him well!
The full story: My SIL (let's call her Jane) has been struggling mightily with drinking for the last several years. This February her 9 year old (let's call him Joe) was diagnosed with type 1 diabetes after getting rushed to the hospital from a doctor's visit for what they thought was the flu. Shortly after, she lost her job. Her story is that it was because she had to take so much time off to take care of her son. The story she has told me reveals drinking was at least a partial factor, and I suspect the  primary factor. About three months after that, she shot herself with 7 units of insulin in a suicide attempt. Sadly not her first. Her last one was in 2010 after she divorced and her ex got full custody of her other kids (after she cheated on him and essentially said she didn't want the kids, but that is another story for another day).  
Since the latest attempt, CPS has been heavily involved and Joe (until recently) had been temporarily placed with a friend of Jane's who despite Jane never being romantically involved, grew to be a father figure to Joe. (Jane had Joe as a single mom purposely never intending the father to be involved so she could have  one "all to herself" in her words). Benefit of the family friend is that he lived in her area so she was still seeing her son regularly and CPS actually allowed him to go back with her a couple of times... until she'd get wasted again. She ended up in detox twice in the last month and was picked up by the cops one other time. Also pulling stunts like hiding from CPS when they visit and asking her older kid (who was home visiting from college) to tell them she wasn't there. Long story short, CPS has finally taken her son away. 
Joe has been placed with my other SIL (let's call her Karen) who lives in my town (about 1.5 hours from Jane). DH and I have offered to help care for Joe on weekends to help lessen the burden on Karen, her husband, and their 13 year old daughter. We have no kids and are totally clueless. I have some diabetes questions and will also take any general parenting style tips on how to keep a super hyper 9 year old boy entertained and out of trouble! 
**Diabetes Questions**
1. Karen wrote up a 2 page instruction sheet with the basics on how to calculate Joe's carbs &amp;amp; units for his shots/when to correct/bedtime and mealtime routine, and we will be able to call her with questions, but I feel like I want to absorb and internalize more info. Can anyone recommend concise/accurate educational videos that I can watch?
2. Right now Joe's carbs are being looked up in a thick paperback book that lists many restaurants, fast food places, and other common foods. But having done my own calorie counting in the past, I know how complicated it can be to calculate things when you either don't have the recipe that was used, or even when it is something you made yourself but includes many ingredients. Is there a better source for carbs in an app, website, or other tool that we can use as a reference?
3. I have seen people reference continuous glucose monitors and pumps in other posts in this group. Right now Joe doesn't have either- he is testing with strips and just doing shots. I am not sure if he will be eligible for a pump until it's been a full year, and since he is not on my insurance, I'm not sure I have the power to get him a CGM either. Jane is on public assistance right now and gets free health care through our state. I know this is highly subjective, but can folks give me a ballpark range of what this stuff costs with &amp;amp; without insurance coverage? We may offer to help subsidize the cost of a CGM or pump for Jane just to make life easier for Joe. Joe is pretty good about recognizing when he's feeling low, but he has had some big swings from what I understand. 
4. Joe has also been developing a somewhat unhealthy relationship with food, guessing somewhat in response to the stress he's going through because of all the perceived restriction and because of all he's dealing with in terms of his mom's behavior. At first he had lost weight after the diagnosis because he was avoiding foods that would require more units. Now he's gaining weight again because he's going a bit nuts-- wanting a footlong sub instead of a six inch, wanting ice cream, cake, and candy as snacks, etc.... any advice on managing that other than him seeing a counselor (which he will be doing)?
Any other advice?? We want to make him feel loved and supported  during this very difficult time.  Note, we are going camping this weekend with Joe and Karen and may not have great internet access after Friday noonish, but I'll come back to check for advice when we return, to prepare for our first solo weekend with Joe starting Oct 18.</t>
        </is>
      </c>
      <c r="D7605" t="n">
        <v>2</v>
      </c>
      <c r="E7605" t="n">
        <v>5</v>
      </c>
      <c r="F7605">
        <f>HYPERLINK("https://www.reddit.com/r/diabetes/comments/dg536l/instant_parenting_going_to_be_caring_for_my_sils/")</f>
        <v/>
      </c>
      <c r="G7605" t="inlineStr">
        <is>
          <t>2019-10-10 14:45:46</t>
        </is>
      </c>
      <c r="H7605" t="inlineStr">
        <is>
          <t>Type 1</t>
        </is>
      </c>
    </row>
    <row r="7606">
      <c r="A7606" t="inlineStr">
        <is>
          <t>dg5mri</t>
        </is>
      </c>
      <c r="B7606" t="inlineStr">
        <is>
          <t>Weight gain from high blood sugars</t>
        </is>
      </c>
      <c r="C7606" t="inlineStr">
        <is>
          <t>Is there any world where it is possible to gain wait when you’re running high? I’m diagnosed type 1 for 3 years. When I was diagnosed I was misdiagnosed with type 2, I was 21 years old and didn’t do a ton of eating after my diagnosis, especially of carbs because I didn’t understand diabetes and was very afraid I was gonna die lol. I lost a ton of weight (I was not overweight to begin with) but after three months had an A1C of 5.5 because I must have still had some pancreas function (caught the fact that I had diabetes through blood tests for something unrelated very early) and consumed almost literally 0 carb. I point this out because I know many people lose weight right before diagnosis because of their high blood sugars but I was very controlled. 
So to my actual question, I’ve noticed that if I’m going through a period where I’m struggling with my BGs and run high for a couple days or weeks I gain weight. This seems completely counter intuitive because of the fact that I wouldn’t be absorbing the glucose? So I’m confused. Is it actually possible that my weight is easier to control when I’m controlled and I gain when I’m high? I tested positive for antibodies so am pretty certain of my type 1 diagnosis but it just seems so strange to me and can’t find any info on it.
TLDR: I think I gain weight when my blood sugar is high but have an easier time losing weight when I’m controlled. Is this possible/is there science to support this or am is it in my head?</t>
        </is>
      </c>
      <c r="D7606" t="n">
        <v>1</v>
      </c>
      <c r="E7606" t="n">
        <v>1</v>
      </c>
      <c r="F7606">
        <f>HYPERLINK("https://www.reddit.com/r/diabetes/comments/dg5mri/weight_gain_from_high_blood_sugars/")</f>
        <v/>
      </c>
      <c r="G7606" t="inlineStr">
        <is>
          <t>2019-10-10 15:26:56</t>
        </is>
      </c>
      <c r="H7606" t="inlineStr">
        <is>
          <t>Type 1</t>
        </is>
      </c>
    </row>
    <row r="7607">
      <c r="A7607" t="inlineStr">
        <is>
          <t>dg7jof</t>
        </is>
      </c>
      <c r="B7607" t="inlineStr">
        <is>
          <t>34 years old and A1C of 10</t>
        </is>
      </c>
      <c r="C7607" t="inlineStr">
        <is>
          <t>I’m pretty devastated right now. I was diagnosed a 2 years ago and given a cocktail of metformin and trulicity. Due to my IBS life was awful on those meds...   missed work, could barely stomach food. My PCP at the time didn’t seem to care and crassly said “Which is worse, losing a limb or some bathroom breaks? At least you’re losing weight!” No doubt from malnutrition. I was a bad patient and quit them cold turkey and turned to diet only, on my own. I started a low carb high fat diet with varying success - I was able to keep my fasting number around 120 and postprandial around 115 after 3 months. I felt amazing. And then a big life changed caused me to go back to my old habits.
I’ve been back to eating keto for the past month. I feel good again but have been too afraid to track my sugars out of fear (stupid, I know). Today I got my A1C results and they are abysmal... I didn’t expect them to be so high. I have my first endo appointment ever booked. I’m determined to turn this around. It’ll never go away, I know that, but I don’t want to live in fear around this anymore. I want to be healthy. Both my parents are type 2 also and they’re going through hell now. 
Anyway, I’m not sure why I’m posting here. I’m just feeling really deflated and I’m worried I’ve already done too much lasting damage to ever be normal. I know it’s not true, but ugh. Any support or tips would be really appreciated right now.</t>
        </is>
      </c>
      <c r="D7607" t="n">
        <v>2</v>
      </c>
      <c r="E7607" t="n">
        <v>8</v>
      </c>
      <c r="F7607">
        <f>HYPERLINK("https://www.reddit.com/r/diabetes/comments/dg7jof/34_years_old_and_a1c_of_10/")</f>
        <v/>
      </c>
      <c r="G7607" t="inlineStr">
        <is>
          <t>2019-10-10 17:57:20</t>
        </is>
      </c>
      <c r="H7607" t="inlineStr">
        <is>
          <t>Type 2</t>
        </is>
      </c>
    </row>
    <row r="7608">
      <c r="A7608" t="inlineStr">
        <is>
          <t>dgbaie</t>
        </is>
      </c>
      <c r="B7608" t="inlineStr">
        <is>
          <t>I'm diabetic type 1 and asking how many diffrent treatments around the world are?</t>
        </is>
      </c>
      <c r="C7608" t="inlineStr">
        <is>
          <t>I'm diabetic for 10 years now and started with a Insulin pen. Few years ago I got the Insulin pump and now I'm wondering if there are more ways than just those 2.?</t>
        </is>
      </c>
      <c r="D7608" t="n">
        <v>5</v>
      </c>
      <c r="E7608" t="n">
        <v>18</v>
      </c>
      <c r="F7608">
        <f>HYPERLINK("https://www.reddit.com/r/diabetes/comments/dgbaie/im_diabetic_type_1_and_asking_how_many_diffrent/")</f>
        <v/>
      </c>
      <c r="G7608" t="inlineStr">
        <is>
          <t>2019-10-10 23:49:33</t>
        </is>
      </c>
      <c r="H7608" t="inlineStr">
        <is>
          <t>Type 1</t>
        </is>
      </c>
    </row>
    <row r="7609">
      <c r="A7609" t="inlineStr">
        <is>
          <t>dgbtap</t>
        </is>
      </c>
      <c r="B7609" t="inlineStr">
        <is>
          <t>Am I doing something wrong?</t>
        </is>
      </c>
      <c r="C7609" t="inlineStr">
        <is>
          <t>* 11:00 PM - I pre-bolus 4.5U for the chips (doritos) i'm about to eat (110 mg/dl)
* 11:05 PM - I eat around 30g carbs worth of chips
* 11:30 PM - bg looking good (120 mg/dl)
* 11:50 PM - bg looking good (125 mg/dl)
* 12:30 AM - slight rise in bg but still looking good (140 mg/dl)
* 1:30 AM -  increasing arrow ( ↗) (160 mg/dl)
* 1:35 AM - bolus 1.5U to correct
* 2:00 AM -  ↗ 240 mg/dl
* 2:40 AM -  ↗262 mg/dl, began writing this
Am I missing something? I swear sometimes my insulin acts like saline out of nowhere sometimes.</t>
        </is>
      </c>
      <c r="D7609" t="n">
        <v>1</v>
      </c>
      <c r="E7609" t="n">
        <v>8</v>
      </c>
      <c r="F7609">
        <f>HYPERLINK("https://www.reddit.com/r/diabetes/comments/dgbtap/am_i_doing_something_wrong/")</f>
        <v/>
      </c>
      <c r="G7609" t="inlineStr">
        <is>
          <t>2019-10-11 00:48:40</t>
        </is>
      </c>
      <c r="H7609" t="inlineStr">
        <is>
          <t>Type 1</t>
        </is>
      </c>
    </row>
    <row r="7610">
      <c r="A7610" t="inlineStr">
        <is>
          <t>dgfih9</t>
        </is>
      </c>
      <c r="B7610" t="inlineStr">
        <is>
          <t>Omnipod and insulin absorption struggles</t>
        </is>
      </c>
      <c r="C7610" t="inlineStr">
        <is>
          <t>(27 y/o male T1 for 13 years, had my pump for 2 years) I have found a lot of trouble lately with my insulin and absorption rates. I have gone through 150 units of insulin in 2 days , two consecutive pumps in a row. No matter how low carb my meals are my blood sugar raises to high levels and I need to almost double or triple the amount of insulin I am taking over the few hours after my meal in order to correct it. 
I typically wear my pumps on my thighs and alternate each thigh and location every 3 days or whenever I change the pump. I wear it either on the side of my thighs or on top.
&amp;amp;#x200B;
An example of my usual breakfast meal and blood sugar results:
For breakfast I usually eat 2 eggs(0-1 carb), 1 piece of breakfast sausage (0 carbs) and occasionally some oatmeal (24 carbs). I also drink coffee but usually only use one small creamer package (3 carbs) and stevia (0 carbs).
This morning my blood sugar was 140 when I ate breakfast, according to the 30 carbs I accounted for I was to take 4.7 units of insulin. It has been 2 hours and my blood sugar just continues to climb. It's currently 180 and still trending upwards. (I use a dexcom glucose monitor)
&amp;amp;#x200B;
I was wondering if there's anything I can do to help with this? I am getting very frustrated that every meal I eat, almost no matter what my blood sugar is, results in high blood sugar levels. I'm also having lots of trouble with exercise but I am starting to want to go back to using insulin pen injections I am getting so discouraged. It took me a long time to want to use the pump, then to get insurance to cover it, so I would like to try and find a solution but if I cannot eat a meal without having a high blood sugar every single time then I am beginning to think it's not worth it.
&amp;amp;#x200B;
Any help or advice would be greatly appreciated.</t>
        </is>
      </c>
      <c r="D7610" t="n">
        <v>1</v>
      </c>
      <c r="E7610" t="n">
        <v>6</v>
      </c>
      <c r="F7610">
        <f>HYPERLINK("https://www.reddit.com/r/diabetes/comments/dgfih9/omnipod_and_insulin_absorption_struggles/")</f>
        <v/>
      </c>
      <c r="G7610" t="inlineStr">
        <is>
          <t>2019-10-11 06:54:28</t>
        </is>
      </c>
      <c r="H7610" t="inlineStr">
        <is>
          <t>Type 1</t>
        </is>
      </c>
    </row>
    <row r="7611">
      <c r="A7611" t="inlineStr">
        <is>
          <t>dglob4</t>
        </is>
      </c>
      <c r="B7611" t="inlineStr">
        <is>
          <t>Sharp rise when upset?</t>
        </is>
      </c>
      <c r="C7611" t="inlineStr">
        <is>
          <t>Anyone notice their sugars rise substantially (+100mg/L) when they get emotionally distraught? Blubbering etc. I’ve noticed recently when I get super upset, dex spikes like crazy. I try to calm down but the damage appears done. 
I’ve experienced this in high adrenaline scenarios ie. Bungee jumping, roller coasters. But never noticed with emotional distress before. 
I’m curious - does this happen to you?</t>
        </is>
      </c>
      <c r="D7611" t="n">
        <v>3</v>
      </c>
      <c r="E7611" t="n">
        <v>6</v>
      </c>
      <c r="F7611">
        <f>HYPERLINK("https://www.reddit.com/r/diabetes/comments/dglob4/sharp_rise_when_upset/")</f>
        <v/>
      </c>
      <c r="G7611" t="inlineStr">
        <is>
          <t>2019-10-11 14:34:56</t>
        </is>
      </c>
      <c r="H7611" t="inlineStr">
        <is>
          <t>Type 1</t>
        </is>
      </c>
    </row>
    <row r="7612">
      <c r="A7612" t="inlineStr">
        <is>
          <t>dgrlzw</t>
        </is>
      </c>
      <c r="B7612" t="inlineStr">
        <is>
          <t>Ingrown toenails and diabetes</t>
        </is>
      </c>
      <c r="C7612" t="inlineStr">
        <is>
          <t>I’m 27/F and I’ve been diagnosed with T2 for a year now. I’ve always had a problem with ingrown toenails on my big toes since I was a kid. Usually when the nail gets to a certain length to start hurting I just cut them out myself. But I recently remembered hearing that we aren’t supposed to even cut our own toenails. Debating if I should try having them removed permanently (OUCH) so I don’t have to worry about it anymore but also wondering if the minor surgery in general would be a risk... anyone have experience with this? What’s your solution, if so?</t>
        </is>
      </c>
      <c r="D7612" t="n">
        <v>0</v>
      </c>
      <c r="E7612" t="n">
        <v>8</v>
      </c>
      <c r="F7612">
        <f>HYPERLINK("https://www.reddit.com/r/diabetes/comments/dgrlzw/ingrown_toenails_and_diabetes/")</f>
        <v/>
      </c>
      <c r="G7612" t="inlineStr">
        <is>
          <t>2019-10-11 23:47:30</t>
        </is>
      </c>
      <c r="H7612" t="inlineStr">
        <is>
          <t>Type 2</t>
        </is>
      </c>
    </row>
    <row r="7613">
      <c r="A7613" t="inlineStr">
        <is>
          <t>dgxlu0</t>
        </is>
      </c>
      <c r="B7613" t="inlineStr">
        <is>
          <t>Dexcom G6 question</t>
        </is>
      </c>
      <c r="C7613" t="inlineStr">
        <is>
          <t>I recently got my brand new dexcom in the mail with about 9 kits. I was checking last night because I felt I needed a shower and it says that the sensor is not waterproof.
Is there any way to remove the sensor without removing the entire site from my body? 
Thank you all in advance.</t>
        </is>
      </c>
      <c r="D7613" t="n">
        <v>15</v>
      </c>
      <c r="E7613" t="n">
        <v>19</v>
      </c>
      <c r="F7613">
        <f>HYPERLINK("https://www.reddit.com/r/diabetes/comments/dgxlu0/dexcom_g6_question/")</f>
        <v/>
      </c>
      <c r="G7613" t="inlineStr">
        <is>
          <t>2019-10-12 09:47:29</t>
        </is>
      </c>
      <c r="H7613" t="inlineStr">
        <is>
          <t>Type 1</t>
        </is>
      </c>
    </row>
    <row r="7614">
      <c r="A7614" t="inlineStr">
        <is>
          <t>dgxsd8</t>
        </is>
      </c>
      <c r="B7614" t="inlineStr">
        <is>
          <t>Tattoo on Insulin Pump Site</t>
        </is>
      </c>
      <c r="C7614" t="inlineStr">
        <is>
          <t>So, I wear an omnipod insulin pump, usually on my arms, sides, or sometimes thighs. I really want to get an upper arm tattoo that would cover the area where I typically put my insulin pump. 
Obviously during the healing process my pump would be in other spots, but I am wondering if there could be any long term effects, such as with the needle damaging the tattoo over time or even pushing ink under my skin. Any thoughts, experiences, or studies on this? 
Thank you!</t>
        </is>
      </c>
      <c r="D7614" t="n">
        <v>7</v>
      </c>
      <c r="E7614" t="n">
        <v>4</v>
      </c>
      <c r="F7614">
        <f>HYPERLINK("https://www.reddit.com/r/diabetes/comments/dgxsd8/tattoo_on_insulin_pump_site/")</f>
        <v/>
      </c>
      <c r="G7614" t="inlineStr">
        <is>
          <t>2019-10-12 10:01:41</t>
        </is>
      </c>
      <c r="H7614" t="inlineStr">
        <is>
          <t>Type 1</t>
        </is>
      </c>
    </row>
    <row r="7615">
      <c r="A7615" t="inlineStr">
        <is>
          <t>dgzufj</t>
        </is>
      </c>
      <c r="B7615" t="inlineStr">
        <is>
          <t>Is the Metformin working??? How is my blood sugar increasing.</t>
        </is>
      </c>
      <c r="C7615" t="inlineStr">
        <is>
          <t>After exercising last night, my BS was 109.  I then took 500mg of Metformin and went to sleep.  I woke up this morning and my BS was 140.  I did not eat anything before going to bed. Metformin is supposed to stop glucose release from the liver.  Obviously it didn't because I woke up with a higher BS than I  went to sleep with.  Would taking the extended-release Metformin help this?</t>
        </is>
      </c>
      <c r="D7615" t="n">
        <v>5</v>
      </c>
      <c r="E7615" t="n">
        <v>4</v>
      </c>
      <c r="F7615">
        <f>HYPERLINK("https://www.reddit.com/r/diabetes/comments/dgzufj/is_the_metformin_working_how_is_my_blood_sugar/")</f>
        <v/>
      </c>
      <c r="G7615" t="inlineStr">
        <is>
          <t>2019-10-12 12:41:31</t>
        </is>
      </c>
      <c r="H7615" t="inlineStr">
        <is>
          <t>Type 2</t>
        </is>
      </c>
    </row>
    <row r="7616">
      <c r="A7616" t="inlineStr">
        <is>
          <t>dh3dqc</t>
        </is>
      </c>
      <c r="B7616" t="inlineStr">
        <is>
          <t>Hi! I am a highschooler living with T1D and I need your help!</t>
        </is>
      </c>
      <c r="C7616" t="inlineStr">
        <is>
          <t xml:space="preserve"> 
I am currently working on a product to make the lives of T:Slim insulin pump users (including myself) easier and more manageable. I am committed to making the world an easier place for diabetics.
If you could take just 60 seconds out of your day to fill out this form it would be a huge help to me.
[https://forms.gle/QYztjhuHxeWDTvxJ8](https://forms.gle/QYztjhuHxeWDTvxJ8)</t>
        </is>
      </c>
      <c r="D7616" t="n">
        <v>5</v>
      </c>
      <c r="E7616" t="n">
        <v>3</v>
      </c>
      <c r="F7616">
        <f>HYPERLINK("https://www.reddit.com/r/diabetes/comments/dh3dqc/hi_i_am_a_highschooler_living_with_t1d_and_i_need/")</f>
        <v/>
      </c>
      <c r="G7616" t="inlineStr">
        <is>
          <t>2019-10-12 17:28:26</t>
        </is>
      </c>
      <c r="H7616" t="inlineStr">
        <is>
          <t>Type 1</t>
        </is>
      </c>
    </row>
    <row r="7617">
      <c r="A7617" t="inlineStr">
        <is>
          <t>dh62yh</t>
        </is>
      </c>
      <c r="B7617" t="inlineStr">
        <is>
          <t>Need slow-acting insulin (For Type 1)</t>
        </is>
      </c>
      <c r="C7617" t="inlineStr">
        <is>
          <t>So I just ran out of my Lantis (I take 6 units before bed) only to find out that most, if not all, business are closed tomorrow (because most business are closed on Sundays for historic reasons) and the day after (because it's Columbus Day). Is there any way I could get an emergency supply of insulin to last me three days? Like do hospitals offer those or am I screwed? I'm in America btw (yeah I know fml).</t>
        </is>
      </c>
      <c r="D7617" t="n">
        <v>3</v>
      </c>
      <c r="E7617" t="n">
        <v>22</v>
      </c>
      <c r="F7617">
        <f>HYPERLINK("https://www.reddit.com/r/diabetes/comments/dh62yh/need_slowacting_insulin_for_type_1/")</f>
        <v/>
      </c>
      <c r="G7617" t="inlineStr">
        <is>
          <t>2019-10-12 21:43:10</t>
        </is>
      </c>
      <c r="H7617" t="inlineStr">
        <is>
          <t>Type 1</t>
        </is>
      </c>
    </row>
    <row r="7618">
      <c r="A7618" t="inlineStr">
        <is>
          <t>dh6utq</t>
        </is>
      </c>
      <c r="B7618" t="inlineStr">
        <is>
          <t>CGM adhesive tape.. Need help.</t>
        </is>
      </c>
      <c r="C7618" t="inlineStr">
        <is>
          <t>So I’m having an issue with the adhesive tape that comes with my CGM (continuous glucose monitor). Each box of sensors only comes with 10 pieces of tape and I am constantly having an issue where my tape comes off during sleep, after a shower, while I’m working out.. etc. I’m a naturally sweaty person who also has a very active lifestyle and I just can’t seem to find a lasting way to tape up my sensor and transmitter. Does anybody have any experience with tegaderm tape or other medical adhesive tapes that they could recommend? I’ve also tried using the tape that comes with the sensors along with IV3000 tape.. still only lasts me 3 to 4 days tops. I can’t be the only person that has this issue.. Any tips or leads on products you use would be GREATLY appreciated.</t>
        </is>
      </c>
      <c r="D7618" t="n">
        <v>2</v>
      </c>
      <c r="E7618" t="n">
        <v>10</v>
      </c>
      <c r="F7618">
        <f>HYPERLINK("https://www.reddit.com/r/diabetes/comments/dh6utq/cgm_adhesive_tape_need_help/")</f>
        <v/>
      </c>
      <c r="G7618" t="inlineStr">
        <is>
          <t>2019-10-12 23:10:16</t>
        </is>
      </c>
      <c r="H7618" t="inlineStr">
        <is>
          <t>Type 1</t>
        </is>
      </c>
    </row>
    <row r="7619">
      <c r="A7619" t="inlineStr">
        <is>
          <t>dh7ams</t>
        </is>
      </c>
      <c r="B7619" t="inlineStr">
        <is>
          <t>G6 question</t>
        </is>
      </c>
      <c r="C7619" t="inlineStr">
        <is>
          <t>My last sensor I remember getting a warning saying it was my last with the current transmitter but then yesterday I started a new one and it didn’t ask for a new transmitter. The date on the start was 7/4/19 so I should be due, no? When starting my current sensor, I had a few issues with the two hour period as 2-3 times it lost connection and gave me that “wait up to 3 hours” error but it eventually synced and seems to be fine. What’s the deal? Am I an idiot or had this happen to anyone else?</t>
        </is>
      </c>
      <c r="D7619" t="n">
        <v>5</v>
      </c>
      <c r="E7619" t="n">
        <v>5</v>
      </c>
      <c r="F7619">
        <f>HYPERLINK("https://www.reddit.com/r/diabetes/comments/dh7ams/g6_question/")</f>
        <v/>
      </c>
      <c r="G7619" t="inlineStr">
        <is>
          <t>2019-10-13 00:08:16</t>
        </is>
      </c>
      <c r="H7619" t="inlineStr">
        <is>
          <t>Type 1</t>
        </is>
      </c>
    </row>
    <row r="7620">
      <c r="A7620" t="inlineStr">
        <is>
          <t>dh7t64</t>
        </is>
      </c>
      <c r="B7620" t="inlineStr">
        <is>
          <t>Diabetes type 2 underweight 173 cm 53kg</t>
        </is>
      </c>
      <c r="C7620" t="inlineStr">
        <is>
          <t>i cant eat more to gain weight because blood sugar will increase. im currently eat 2 meals a day 600 calsx2 = 1200 cals a day.
i dont take any meds, i only use herbs like cinnamon.
will metphormin help me take my 3rd meals and gain weight? or should i just take insulin on 3rd meal.</t>
        </is>
      </c>
      <c r="D7620" t="n">
        <v>0</v>
      </c>
      <c r="E7620" t="n">
        <v>30</v>
      </c>
      <c r="F7620">
        <f>HYPERLINK("https://www.reddit.com/r/diabetes/comments/dh7t64/diabetes_type_2_underweight_173_cm_53kg/")</f>
        <v/>
      </c>
      <c r="G7620" t="inlineStr">
        <is>
          <t>2019-10-13 01:15:35</t>
        </is>
      </c>
      <c r="H7620" t="inlineStr">
        <is>
          <t>Type 2</t>
        </is>
      </c>
    </row>
    <row r="7621">
      <c r="A7621" t="inlineStr">
        <is>
          <t>dh8u2n</t>
        </is>
      </c>
      <c r="B7621" t="inlineStr">
        <is>
          <t>I counted the numbers of test stripes I used in my diabetes life, I'm horrified :|</t>
        </is>
      </c>
      <c r="C7621" t="inlineStr">
        <is>
          <t>I have diabetes since 13 August 1999, which means, that as of today it's been 7366 days. As an average in the last 20 years, I've been testing my blood sugar an average 12-15 times a day (I've always been super paranoid and wanted to keep a tight control).
But let's count with 13 times a day. 7366x13=95758
Also let's add another 5% due to the errors (not enough blood, faulty test stripe, etc).. That's 100546 test stripes, 100546 pokes on the finger :/</t>
        </is>
      </c>
      <c r="D7621" t="n">
        <v>67</v>
      </c>
      <c r="E7621" t="n">
        <v>70</v>
      </c>
      <c r="F7621">
        <f>HYPERLINK("https://www.reddit.com/r/diabetes/comments/dh8u2n/i_counted_the_numbers_of_test_stripes_i_used_in/")</f>
        <v/>
      </c>
      <c r="G7621" t="inlineStr">
        <is>
          <t>2019-10-13 03:23:16</t>
        </is>
      </c>
      <c r="H7621" t="inlineStr">
        <is>
          <t>Type 1</t>
        </is>
      </c>
    </row>
    <row r="7622">
      <c r="A7622" t="inlineStr">
        <is>
          <t>dhhb1p</t>
        </is>
      </c>
      <c r="B7622" t="inlineStr">
        <is>
          <t>Omnipod controller just wont turn on (Urgent)</t>
        </is>
      </c>
      <c r="C7622" t="inlineStr">
        <is>
          <t>Ok its like midnight here and i was just going to change my omnipod insulin pump right before i went to sleep and it just wont turn on, ive tried changing the batteries and nothing. Nothing happens when i plug it in to my computer. Ive already taken off the old pod and now i cant apply the new one! Sorry if this is poorly structured im really tired and dont know what to do, nothing like this has happened to me before. Tl;dr My omnipod controller wont work what the hell do i do</t>
        </is>
      </c>
      <c r="D7622" t="n">
        <v>2</v>
      </c>
      <c r="E7622" t="n">
        <v>7</v>
      </c>
      <c r="F7622">
        <f>HYPERLINK("https://www.reddit.com/r/diabetes/comments/dhhb1p/omnipod_controller_just_wont_turn_on_urgent/")</f>
        <v/>
      </c>
      <c r="G7622" t="inlineStr">
        <is>
          <t>2019-10-13 15:04:00</t>
        </is>
      </c>
      <c r="H7622" t="inlineStr">
        <is>
          <t>Type 1</t>
        </is>
      </c>
    </row>
    <row r="7623">
      <c r="A7623" t="inlineStr">
        <is>
          <t>dhhytc</t>
        </is>
      </c>
      <c r="B7623" t="inlineStr">
        <is>
          <t>How much does Acetaminophen effect dexcom and blood sugar readings?</t>
        </is>
      </c>
      <c r="C7623" t="inlineStr">
        <is>
          <t>I always avoid taking it but I have a bad rib injury and can't afford ibuprofen right now.  Does it make your blood sugar readings way higher and inaccurate?</t>
        </is>
      </c>
      <c r="D7623" t="n">
        <v>1</v>
      </c>
      <c r="E7623" t="n">
        <v>2</v>
      </c>
      <c r="F7623">
        <f>HYPERLINK("https://www.reddit.com/r/diabetes/comments/dhhytc/how_much_does_acetaminophen_effect_dexcom_and/")</f>
        <v/>
      </c>
      <c r="G7623" t="inlineStr">
        <is>
          <t>2019-10-13 16:01:01</t>
        </is>
      </c>
      <c r="H7623" t="inlineStr">
        <is>
          <t>Type 1</t>
        </is>
      </c>
    </row>
    <row r="7624">
      <c r="A7624" t="inlineStr">
        <is>
          <t>dhq5og</t>
        </is>
      </c>
      <c r="B7624" t="inlineStr">
        <is>
          <t>BG won’t come down after worst hangover ever.</t>
        </is>
      </c>
      <c r="C7624" t="inlineStr">
        <is>
          <t>29M been Type 1 for 17yrs, generally healthy and active. Just back from a holiday in Rotterdam where after a great night of truffles, lots of beer and a winger to top things off, I spent 24hrs in bed throwing up. Couldn’t keep down water never mind food. My BG was high but my insulin wasn’t working to bring it down. I started on small doses because I was scared I’d hypo when I wasn’t able to eat. It was actually getting higher. After my 24hrs from hell the insulin finally started working and my BG dropped enough that I was able to stop vomiting and get my buses, trains and flight home. I spent the whole day drinking fluids to try and rehydrate my body so basically went two full days without eating anything solid. Now I’m home and although I’m no longer being sick, I’m still not feeling very healthy. BG is rising rapidly after eating anything at all and insulin seems to be much slower to act than usual. 
Could this be DKA? Dehydration? Overuse of injection sites (habitual abdomen user but no previous problems)? Or just the effects of not eating for 2 days? I’ve taken much more drugs and alcohol on different occasions before but never had a hangover like this. Any tips or suggestions or should I just get my ass to hospital if it doesn’t improve? 
Tl;dr Partied too hard in Rotterdam and now I think I’ve given myself superdiabetes.</t>
        </is>
      </c>
      <c r="D7624" t="n">
        <v>57</v>
      </c>
      <c r="E7624" t="n">
        <v>35</v>
      </c>
      <c r="F7624">
        <f>HYPERLINK("https://www.reddit.com/r/diabetes/comments/dhq5og/bg_wont_come_down_after_worst_hangover_ever/")</f>
        <v/>
      </c>
      <c r="G7624" t="inlineStr">
        <is>
          <t>2019-10-14 05:53:53</t>
        </is>
      </c>
      <c r="H7624" t="inlineStr">
        <is>
          <t>Type 1</t>
        </is>
      </c>
    </row>
    <row r="7625">
      <c r="A7625" t="inlineStr">
        <is>
          <t>dhqtxu</t>
        </is>
      </c>
      <c r="B7625" t="inlineStr">
        <is>
          <t>I just really need some solidarity</t>
        </is>
      </c>
      <c r="C7625" t="inlineStr">
        <is>
          <t>I feel completely run down by this and I have only been a diabetic for 2 1/2 years. I keep my carbs low, watch my sugar and salt intakes, I do my best to make my meals healthy. I exercise at least an hour a day and my blood sugar levels are still 200 to 300 most days. I cannot take metformin as even the extended release makes me ill.
I want to cry out of sheer despair, and I am tired of non diabetics telling me to go on keto when I have been barred from it by doctors due to the severe reactions I was having to it. I will not go keto again. I will not go vegan. I will not go vegetarian. If it works for someone diabetic, awesome.
I really hope this new doctor has some good advice, I'm just so tired of feeling like a failure. I grew up with a diabetic mom so I especially hate knowing I am doing everything right....but my body doesn't seem to be getting the memo.</t>
        </is>
      </c>
      <c r="D7625" t="n">
        <v>5</v>
      </c>
      <c r="E7625" t="n">
        <v>21</v>
      </c>
      <c r="F7625">
        <f>HYPERLINK("https://www.reddit.com/r/diabetes/comments/dhqtxu/i_just_really_need_some_solidarity/")</f>
        <v/>
      </c>
      <c r="G7625" t="inlineStr">
        <is>
          <t>2019-10-14 06:50:24</t>
        </is>
      </c>
      <c r="H7625" t="inlineStr">
        <is>
          <t>Type 2</t>
        </is>
      </c>
    </row>
    <row r="7626">
      <c r="A7626" t="inlineStr">
        <is>
          <t>dhrhkr</t>
        </is>
      </c>
      <c r="B7626" t="inlineStr">
        <is>
          <t>Oral contraceptives &amp;amp; insulin resistance?</t>
        </is>
      </c>
      <c r="C7626" t="inlineStr">
        <is>
          <t>Does anyone know if there’s a correlation between taking the pill and insulin resistance? I take the combination pill and for the entire 3 weeks my sugars are harder to control. On the one week off the pill (where I also get my period) my blood sugar is relatively well behaved. I’m not sure if it’s the effect of not taking the pill or the effect of having my period?</t>
        </is>
      </c>
      <c r="D7626" t="n">
        <v>6</v>
      </c>
      <c r="E7626" t="n">
        <v>4</v>
      </c>
      <c r="F7626">
        <f>HYPERLINK("https://www.reddit.com/r/diabetes/comments/dhrhkr/oral_contraceptives_insulin_resistance/")</f>
        <v/>
      </c>
      <c r="G7626" t="inlineStr">
        <is>
          <t>2019-10-14 07:40:52</t>
        </is>
      </c>
      <c r="H7626" t="inlineStr">
        <is>
          <t>Type 1</t>
        </is>
      </c>
    </row>
    <row r="7627">
      <c r="A7627" t="inlineStr">
        <is>
          <t>di0puj</t>
        </is>
      </c>
      <c r="B7627" t="inlineStr">
        <is>
          <t>Dating someone with Type 1 - what do I need to know?</t>
        </is>
      </c>
      <c r="C7627" t="inlineStr">
        <is>
          <t>Hi everyone!
I am in an amazing relationship with a Type 1 diabetic. He does not really like to talk about it which I respect fully and do not push him to share too much about his experiences. I am hoping that I can just get some advice from this community on things that you think I should know / how to be the best possible partner to him.
Essentially, what would you want your significant other to know / understand about T1D.
Thank you in advance!</t>
        </is>
      </c>
      <c r="D7627" t="n">
        <v>2</v>
      </c>
      <c r="E7627" t="n">
        <v>11</v>
      </c>
      <c r="F7627">
        <f>HYPERLINK("https://www.reddit.com/r/diabetes/comments/di0puj/dating_someone_with_type_1_what_do_i_need_to_know/")</f>
        <v/>
      </c>
      <c r="G7627" t="inlineStr">
        <is>
          <t>2019-10-14 18:42:23</t>
        </is>
      </c>
      <c r="H7627" t="inlineStr">
        <is>
          <t>Type 1</t>
        </is>
      </c>
    </row>
    <row r="7628">
      <c r="A7628" t="inlineStr">
        <is>
          <t>di143m</t>
        </is>
      </c>
      <c r="B7628" t="inlineStr">
        <is>
          <t>Urgent</t>
        </is>
      </c>
      <c r="C7628" t="inlineStr">
        <is>
          <t>Hi guys I’m a 21 year old male who’s had type 1 for 11 years. I had a failed pump site and my sugar is currently 368 and I had moderate ketones. I took a correction injection but after I took the syringe out I was bleeding. So did the insulin go through correctly or do I need to take another one?</t>
        </is>
      </c>
      <c r="D7628" t="n">
        <v>2</v>
      </c>
      <c r="E7628" t="n">
        <v>3</v>
      </c>
      <c r="F7628">
        <f>HYPERLINK("https://www.reddit.com/r/diabetes/comments/di143m/urgent/")</f>
        <v/>
      </c>
      <c r="G7628" t="inlineStr">
        <is>
          <t>2019-10-14 19:16:06</t>
        </is>
      </c>
      <c r="H7628" t="inlineStr">
        <is>
          <t>Type 1</t>
        </is>
      </c>
    </row>
    <row r="7629">
      <c r="A7629" t="inlineStr">
        <is>
          <t>di56xo</t>
        </is>
      </c>
      <c r="B7629" t="inlineStr">
        <is>
          <t>It's 3am and I'm up watching the dexcom app because my GF is low</t>
        </is>
      </c>
      <c r="C7629" t="inlineStr">
        <is>
          <t>Been below 90 since 1:30am. Woke her up twice now for more sugar... 58 total carbs taken in and still going down about 2 points every 5 minutes. Trying to wait for the upward rocket to get some insulin on board otherwise I know we will be up again in another hour with a high alert.
Anyone else up with a high/low browsing Reddit?</t>
        </is>
      </c>
      <c r="D7629" t="n">
        <v>1</v>
      </c>
      <c r="E7629" t="n">
        <v>0</v>
      </c>
      <c r="F7629">
        <f>HYPERLINK("https://www.reddit.com/r/diabetes/comments/di56xo/its_3am_and_im_up_watching_the_dexcom_app_because/")</f>
        <v/>
      </c>
      <c r="G7629" t="inlineStr">
        <is>
          <t>2019-10-15 02:08:02</t>
        </is>
      </c>
      <c r="H7629" t="inlineStr">
        <is>
          <t>Type 1</t>
        </is>
      </c>
    </row>
    <row r="7630">
      <c r="A7630" t="inlineStr">
        <is>
          <t>di88in</t>
        </is>
      </c>
      <c r="B7630" t="inlineStr">
        <is>
          <t>Poor injection discipline</t>
        </is>
      </c>
      <c r="C7630" t="inlineStr">
        <is>
          <t>**BACKGROUND**
I've been living with Type 1 for the past 12 years, the first 3 years, I've been managing well but that discipline had gone downhill. I've got poor discipline of injections and checking my glucose, my A1C has been increasing these past years with my last one reaching 11%. I just don't know how to handle it with being busy with a packed schedule and such.
There's no such thing as an insulin pump or CGM, it's just so expensive to think about the monthly cost from where I'm from. Even the initial costs could set me back around 2 months wages.
IDK how I lost it, injecting myself 4-5 times a day, pricking my fingers even more. Should've been muscle memory by now but nope. Anything I could try to get back in-shape with managing?</t>
        </is>
      </c>
      <c r="D7630" t="n">
        <v>2</v>
      </c>
      <c r="E7630" t="n">
        <v>1</v>
      </c>
      <c r="F7630">
        <f>HYPERLINK("https://www.reddit.com/r/diabetes/comments/di88in/poor_injection_discipline/")</f>
        <v/>
      </c>
      <c r="G7630" t="inlineStr">
        <is>
          <t>2019-10-15 06:54:11</t>
        </is>
      </c>
      <c r="H7630" t="inlineStr">
        <is>
          <t>Type 1</t>
        </is>
      </c>
    </row>
    <row r="7631">
      <c r="A7631" t="inlineStr">
        <is>
          <t>dic6bc</t>
        </is>
      </c>
      <c r="B7631" t="inlineStr">
        <is>
          <t>Looping with Omnipod and Dexcom 6</t>
        </is>
      </c>
      <c r="C7631" t="inlineStr">
        <is>
          <t>How does someone not tech savvy even begin?</t>
        </is>
      </c>
      <c r="D7631" t="n">
        <v>3</v>
      </c>
      <c r="E7631" t="n">
        <v>12</v>
      </c>
      <c r="F7631">
        <f>HYPERLINK("https://www.reddit.com/r/diabetes/comments/dic6bc/looping_with_omnipod_and_dexcom_6/")</f>
        <v/>
      </c>
      <c r="G7631" t="inlineStr">
        <is>
          <t>2019-10-15 11:32:55</t>
        </is>
      </c>
      <c r="H7631" t="inlineStr">
        <is>
          <t>Type 2</t>
        </is>
      </c>
    </row>
    <row r="7632">
      <c r="A7632" t="inlineStr">
        <is>
          <t>dicbda</t>
        </is>
      </c>
      <c r="B7632" t="inlineStr">
        <is>
          <t>Any suggestions for carb counting apps?</t>
        </is>
      </c>
      <c r="C7632" t="inlineStr">
        <is>
          <t>I’ve never been particularly good at carb counting and would like to improve. Instead of guessing, I figured I could look at an app on my phone. I’ve tried a few apps but they are more weight lost focused, not carb counting. Any suggestions?</t>
        </is>
      </c>
      <c r="D7632" t="n">
        <v>1</v>
      </c>
      <c r="E7632" t="n">
        <v>3</v>
      </c>
      <c r="F7632">
        <f>HYPERLINK("https://www.reddit.com/r/diabetes/comments/dicbda/any_suggestions_for_carb_counting_apps/")</f>
        <v/>
      </c>
      <c r="G7632" t="inlineStr">
        <is>
          <t>2019-10-15 11:42:33</t>
        </is>
      </c>
      <c r="H7632" t="inlineStr">
        <is>
          <t>Type 1</t>
        </is>
      </c>
    </row>
    <row r="7633">
      <c r="A7633" t="inlineStr">
        <is>
          <t>dicczp</t>
        </is>
      </c>
      <c r="B7633" t="inlineStr">
        <is>
          <t>Low BG and bloody nose</t>
        </is>
      </c>
      <c r="C7633" t="inlineStr">
        <is>
          <t>BG has been hitting the low 80s, and BG has been lower in general the last few days. To me, this means my lifestyle is working. However, I have had a couple bloody noses when I get down to the 80s. I also get super sleepy. I have a doc appt in a few days but was hoping for some insight.</t>
        </is>
      </c>
      <c r="D7633" t="n">
        <v>1</v>
      </c>
      <c r="E7633" t="n">
        <v>1</v>
      </c>
      <c r="F7633">
        <f>HYPERLINK("https://www.reddit.com/r/diabetes/comments/dicczp/low_bg_and_bloody_nose/")</f>
        <v/>
      </c>
      <c r="G7633" t="inlineStr">
        <is>
          <t>2019-10-15 11:45:54</t>
        </is>
      </c>
      <c r="H7633" t="inlineStr">
        <is>
          <t>Type 2</t>
        </is>
      </c>
    </row>
    <row r="7634">
      <c r="A7634" t="inlineStr">
        <is>
          <t>diedij</t>
        </is>
      </c>
      <c r="B7634" t="inlineStr">
        <is>
          <t>Newly diagnosed and a little afraid.</t>
        </is>
      </c>
      <c r="C7634" t="inlineStr">
        <is>
          <t>Last Sunday I was diagnosed after going to the ER for not felling well and feeling extremely dizzy. My blood sugar was at 580 and my A1C was at 11. The ER doctor gave me a prescription for Metformin and sent me on my way. I made a follow up appointment to my Doctor just to have them give me papers about diabetes diet and a class that I could take (costing $300). No testing my Blood Sugar, no  glucometer, just the papers. To top it all off I was having people tell me that I should have been watching out for this years ago and this was my fault. So I bought my own  glucometer and all the testing supplies etc. I take my Blood sugar and it is 346. My wife is then freaking out and worrying about how she is going to feed me, since she said that she is not going to change her diet just to feed me. Then Friday comes and my eye sight goes from perfect vision to total trash. I feel like my body is just breaking down. I feel like I have no support and no one to turn to. So that's why I am here. Hopefully I can find that support here.</t>
        </is>
      </c>
      <c r="D7634" t="n">
        <v>4</v>
      </c>
      <c r="E7634" t="n">
        <v>9</v>
      </c>
      <c r="F7634">
        <f>HYPERLINK("https://www.reddit.com/r/diabetes/comments/diedij/newly_diagnosed_and_a_little_afraid/")</f>
        <v/>
      </c>
      <c r="G7634" t="inlineStr">
        <is>
          <t>2019-10-15 14:00:17</t>
        </is>
      </c>
      <c r="H7634" t="inlineStr">
        <is>
          <t>Type 2</t>
        </is>
      </c>
    </row>
    <row r="7635">
      <c r="A7635" t="inlineStr">
        <is>
          <t>dieox7</t>
        </is>
      </c>
      <c r="B7635" t="inlineStr">
        <is>
          <t>Type 1 Diabetes Fear Ruined My Sports Lifes</t>
        </is>
      </c>
      <c r="C7635" t="inlineStr">
        <is>
          <t>Hey! Kinda new here, first post! I didn't realize there was a community here! I'm excited to get involved. 
I'm Andrew been T1D for 21 years! I make videos to help encourage, inspire and empower T1D's out there! 
I was always a sports player as a kid, being diagnosed at 14 with T1 brought fear in so strong I stopped playing... Years later, I finally overcame my fear and started getting out there and playing sports again with the added steps to manage diabetes.
Check out this video for some good information from Rob Howe and Andrew Slyfox a former pro athlete with Type 1 Diabetes!
**Andrew Slyfox:**  
[https://youtu.be/zfpdK40h8Mk](https://youtu.be/zfpdK40h8Mk)</t>
        </is>
      </c>
      <c r="D7635" t="n">
        <v>1</v>
      </c>
      <c r="E7635" t="n">
        <v>1</v>
      </c>
      <c r="F7635">
        <f>HYPERLINK("https://www.reddit.com/r/diabetes/comments/dieox7/type_1_diabetes_fear_ruined_my_sports_lifes/")</f>
        <v/>
      </c>
      <c r="G7635" t="inlineStr">
        <is>
          <t>2019-10-15 14:21:49</t>
        </is>
      </c>
      <c r="H7635" t="inlineStr">
        <is>
          <t>Type 1</t>
        </is>
      </c>
    </row>
    <row r="7636">
      <c r="A7636" t="inlineStr">
        <is>
          <t>difjln</t>
        </is>
      </c>
      <c r="B7636" t="inlineStr">
        <is>
          <t>Diabetes Remedies</t>
        </is>
      </c>
      <c r="C7636" t="inlineStr">
        <is>
          <t>Wondering if anyone has come across this Halki Diabetes Remedies?? 
My friend sent me the link, which I found very interesting and found some suggestions in it I have never heard or seen before which could be the secret remedies i've been looking for al these years. If anyone has used this or seen it before could you please give me advice.</t>
        </is>
      </c>
      <c r="D7636" t="n">
        <v>0</v>
      </c>
      <c r="E7636" t="n">
        <v>8</v>
      </c>
      <c r="F7636">
        <f>HYPERLINK("https://www.reddit.com/r/diabetes/comments/difjln/diabetes_remedies/")</f>
        <v/>
      </c>
      <c r="G7636" t="inlineStr">
        <is>
          <t>2019-10-15 15:21:25</t>
        </is>
      </c>
      <c r="H7636" t="inlineStr">
        <is>
          <t>Type 2</t>
        </is>
      </c>
    </row>
    <row r="7637">
      <c r="A7637" t="inlineStr">
        <is>
          <t>din5hp</t>
        </is>
      </c>
      <c r="B7637" t="inlineStr">
        <is>
          <t>Is anyone a type 1 diabetic and active duty military?</t>
        </is>
      </c>
      <c r="C7637" t="inlineStr">
        <is>
          <t>I know this is a long shot but I’ve been in the Air Force for 3.5 years and was just diagnosed as type 1 back in May. I’m on the Medtronic 670G and it’s amazing. I just have a few questions to anyone dealing with Tricare. I heard it’s different if you’re active duty compared to being reserve/guard or being a spouse of a military member but I’m not too sure how accurate that is.
Anyway, at about my 2 month mark I called Medtronic to order more supplies, which is what my trainer told me to do. But I guess Medtronic says that they’re waiting in my insurance again? When I initially got set up on my pump Tricare took months before they approved it. Is this how long it normally takes to get more supplies? And if so what time do you normally order more supplies?</t>
        </is>
      </c>
      <c r="D7637" t="n">
        <v>3</v>
      </c>
      <c r="E7637" t="n">
        <v>26</v>
      </c>
      <c r="F7637">
        <f>HYPERLINK("https://www.reddit.com/r/diabetes/comments/din5hp/is_anyone_a_type_1_diabetic_and_active_duty/")</f>
        <v/>
      </c>
      <c r="G7637" t="inlineStr">
        <is>
          <t>2019-10-16 03:06:19</t>
        </is>
      </c>
      <c r="H7637" t="inlineStr">
        <is>
          <t>Type 1</t>
        </is>
      </c>
    </row>
    <row r="7638">
      <c r="A7638" t="inlineStr">
        <is>
          <t>dixm1g</t>
        </is>
      </c>
      <c r="B7638" t="inlineStr">
        <is>
          <t>Question for T2s who are not on insulin</t>
        </is>
      </c>
      <c r="C7638" t="inlineStr">
        <is>
          <t>I’m still new to all this and learning. I’m wondering how everybody corrects their lows without going too high? Since I’m not on insulin I have no way of bringing my sugars down besides exercise and waiting. When I get low as much as I’d love to grab some juice or a candy bar I’m always worried about swinging the opposite way and ending up too high. 
Any advice?</t>
        </is>
      </c>
      <c r="D7638" t="n">
        <v>3</v>
      </c>
      <c r="E7638" t="n">
        <v>14</v>
      </c>
      <c r="F7638">
        <f>HYPERLINK("https://www.reddit.com/r/diabetes/comments/dixm1g/question_for_t2s_who_are_not_on_insulin/")</f>
        <v/>
      </c>
      <c r="G7638" t="inlineStr">
        <is>
          <t>2019-10-16 16:15:15</t>
        </is>
      </c>
      <c r="H7638" t="inlineStr">
        <is>
          <t>Type 2</t>
        </is>
      </c>
    </row>
    <row r="7639">
      <c r="A7639" t="inlineStr">
        <is>
          <t>dizy3e</t>
        </is>
      </c>
      <c r="B7639" t="inlineStr">
        <is>
          <t>My 2 year old son was diagnosed with type 1 18 days ago</t>
        </is>
      </c>
      <c r="C7639" t="inlineStr">
        <is>
          <t>This whole new world of diabetes is overwhelming. Just when I think I’m starting to understand it, his sugar levels do crazy things like one minute super high and then all of a sudden really low :| 
He was diagnosed a week before his second birthday. 
I feel very angry. Alone. Sad. And did I mention overwhelmed ?... ! 
Just looking for any tips or do &amp;amp; don’ts.. or even some insight on “Diabetic lingo” I probably should know... 
This is a l o t. Taking it one reading at a time. .</t>
        </is>
      </c>
      <c r="D7639" t="n">
        <v>3</v>
      </c>
      <c r="E7639" t="n">
        <v>10</v>
      </c>
      <c r="F7639">
        <f>HYPERLINK("https://www.reddit.com/r/diabetes/comments/dizy3e/my_2_year_old_son_was_diagnosed_with_type_1_18/")</f>
        <v/>
      </c>
      <c r="G7639" t="inlineStr">
        <is>
          <t>2019-10-16 19:29:47</t>
        </is>
      </c>
      <c r="H7639" t="inlineStr">
        <is>
          <t>Type 1</t>
        </is>
      </c>
    </row>
    <row r="7640">
      <c r="A7640" t="inlineStr">
        <is>
          <t>dj2mfq</t>
        </is>
      </c>
      <c r="B7640" t="inlineStr">
        <is>
          <t>Sickness highs</t>
        </is>
      </c>
      <c r="C7640" t="inlineStr">
        <is>
          <t>Been sick the past week, perfectly coinciding with starting (back) on pump therapy, so I don't know if my inability to come down from my highs/rise from my lows is due to my basal rates/icr or if it's just my sickness. Plus I won't have an endocrinologist at all for a few months starting tuesday. At the point of rage bolusing and high (for me) temp basal. Just needed to vent I guess. I hope I'm better soon. Ugh.</t>
        </is>
      </c>
      <c r="D7640" t="n">
        <v>5</v>
      </c>
      <c r="E7640" t="n">
        <v>1</v>
      </c>
      <c r="F7640">
        <f>HYPERLINK("https://www.reddit.com/r/diabetes/comments/dj2mfq/sickness_highs/")</f>
        <v/>
      </c>
      <c r="G7640" t="inlineStr">
        <is>
          <t>2019-10-16 23:55:00</t>
        </is>
      </c>
      <c r="H7640" t="inlineStr">
        <is>
          <t>Type 1</t>
        </is>
      </c>
    </row>
    <row r="7641">
      <c r="A7641" t="inlineStr">
        <is>
          <t>dj2nrm</t>
        </is>
      </c>
      <c r="B7641" t="inlineStr">
        <is>
          <t>Two year anniversary.</t>
        </is>
      </c>
      <c r="C7641" t="inlineStr">
        <is>
          <t>So, I realized today was the day I got to the hospital two years ago with 600+ of sugar.   I don't know if I could have survived without help.
Here's something I always think but never say: Diabetes saved my life. 
Two years ago I was 40 pounds heavier, depressed, sad. I was really in a bad place. I may have killed myself back then.  Then diabetes happened and being in the hospital really opened my eyes. It obliges you to take care of yourself in everyway possible because this is it, this is the limit.  Of course we don't have to be so hard on ourselves but we have to be honest.
And it is hard to have it.  I don't have anyone to talk about this. My father has it but all we talk about related to this are "tips" and doctor's appointments; and what's inside is something most of us have to keep to ourselves. 
Now I'm 25 and even though it is something I have to be careful the next two thirds of my life, I can't wait for it.
It's hard. It's ok to ask for help. It's great to have a second chance.</t>
        </is>
      </c>
      <c r="D7641" t="n">
        <v>6</v>
      </c>
      <c r="E7641" t="n">
        <v>4</v>
      </c>
      <c r="F7641">
        <f>HYPERLINK("https://www.reddit.com/r/diabetes/comments/dj2nrm/two_year_anniversary/")</f>
        <v/>
      </c>
      <c r="G7641" t="inlineStr">
        <is>
          <t>2019-10-16 23:59:27</t>
        </is>
      </c>
      <c r="H7641" t="inlineStr">
        <is>
          <t>Type 2</t>
        </is>
      </c>
    </row>
    <row r="7642">
      <c r="A7642" t="inlineStr">
        <is>
          <t>dj4z0p</t>
        </is>
      </c>
      <c r="B7642" t="inlineStr">
        <is>
          <t>I’ve got a stupid question (residual insulin)</t>
        </is>
      </c>
      <c r="C7642" t="inlineStr">
        <is>
          <t>Hi warriors. 
I’ve got a stupid question (well, at least I found myself stupid asking it after 25 years of being T1D)
It’s noon, 
I’m 200;
I eat my 60g lunch. 
My carb ratio is 1.2:10 and my correction ratio is 1:40. 
I inject myself 3u of correction and 7u for my lunch, 10u of humalog total. 
Humalog is supposed to last around 4hrs. 
It’s now 2pm, I eat 30g, same ratio. 
I’m not supposed to check my bg as my insulin from noon is supposed to be acting for it. 
I inject 3,5u of humalog (Following my 30g*1.2 ratio) to process my 30g, I don’t care of what’s left from my noon’s injection. 
Those are just exemples, because I don’t eat that much, but I don’t understand the residual insulin concept. 
Am I handling well? Am I not?</t>
        </is>
      </c>
      <c r="D7642" t="n">
        <v>2</v>
      </c>
      <c r="E7642" t="n">
        <v>8</v>
      </c>
      <c r="F7642">
        <f>HYPERLINK("https://www.reddit.com/r/diabetes/comments/dj4z0p/ive_got_a_stupid_question_residual_insulin/")</f>
        <v/>
      </c>
      <c r="G7642" t="inlineStr">
        <is>
          <t>2019-10-17 04:22:15</t>
        </is>
      </c>
      <c r="H7642" t="inlineStr">
        <is>
          <t>Type 1</t>
        </is>
      </c>
    </row>
    <row r="7643">
      <c r="A7643" t="inlineStr">
        <is>
          <t>dj8kcq</t>
        </is>
      </c>
      <c r="B7643" t="inlineStr">
        <is>
          <t>Pros and Cons of CGMs</t>
        </is>
      </c>
      <c r="C7643" t="inlineStr">
        <is>
          <t>I am looking to get a CGM, diabetes educator recommended the Dexcom G6, but I'm open to thinking about the Freestyle Libre or others. Wife on the other hand is skeptical as she thinks having things like CGM transmitter or insulin pump connected to the body increases risk for infections. Also, someone told her CGMs are not accurate and you still have to stick your fingers. 
We are going to have a big discussion about this tonight and wonder if anyone has any suggestions for what I can say to her about CGMs? Pros and cons. Thus far, I have these:
\+ Fewer finger sticks (I have read the Libre requires calibration from time to time).
\+ Less reliance on standard meter and strips, but still need to use every once in awhile.
\+ CGM, to me, has less chance of infection at injection area than the multiple finger sticks every day.
\+ More accurate than my regular BG meter because there is a continuous measurement (Libre being a little different here).
\+ Get a much better picture of body BG compared to BG meter at every meal.
\- I get my BG meter and test strips free. I think I can get the CGM Receiver, transmitter, sensors free. At the very least, the sensors are free.
\- Dexcom wear for 10 days, Libre 14 days. Adhesive can come off or gather dirt.
\- That Dexcom sensor inserter is a big hulking bit of plastic that adds to the landfill.
Anything else I can add, pros and cons? Anything anecdotal?
Thanks!</t>
        </is>
      </c>
      <c r="D7643" t="n">
        <v>1</v>
      </c>
      <c r="E7643" t="n">
        <v>13</v>
      </c>
      <c r="F7643">
        <f>HYPERLINK("https://www.reddit.com/r/diabetes/comments/dj8kcq/pros_and_cons_of_cgms/")</f>
        <v/>
      </c>
      <c r="G7643" t="inlineStr">
        <is>
          <t>2019-10-17 09:11:03</t>
        </is>
      </c>
      <c r="H7643" t="inlineStr">
        <is>
          <t>Type 2</t>
        </is>
      </c>
    </row>
    <row r="7644">
      <c r="A7644" t="inlineStr">
        <is>
          <t>dj97xk</t>
        </is>
      </c>
      <c r="B7644" t="inlineStr">
        <is>
          <t>Alcohol and Diabetes</t>
        </is>
      </c>
      <c r="C7644" t="inlineStr">
        <is>
          <t>So I'm going to a Halloween/Fancy dress party in two weeks and I'm planning to get drunk. However the only thing preventing me is that I'm a Type 1 Diabetic. I've been told by my optician (I know weird) that I need to be careful when drinking as It could cause problems in the future in my eyes which is not what I want. Does any have any tips like what to drink, what to do if my bloods are high when drinking and I want to drink more. Please feel free to PM me if needed.</t>
        </is>
      </c>
      <c r="D7644" t="n">
        <v>0</v>
      </c>
      <c r="E7644" t="n">
        <v>12</v>
      </c>
      <c r="F7644">
        <f>HYPERLINK("https://www.reddit.com/r/diabetes/comments/dj97xk/alcohol_and_diabetes/")</f>
        <v/>
      </c>
      <c r="G7644" t="inlineStr">
        <is>
          <t>2019-10-17 09:57:13</t>
        </is>
      </c>
      <c r="H7644" t="inlineStr">
        <is>
          <t>Type 1</t>
        </is>
      </c>
    </row>
    <row r="7645">
      <c r="A7645" t="inlineStr">
        <is>
          <t>djbm2k</t>
        </is>
      </c>
      <c r="B7645" t="inlineStr">
        <is>
          <t>New T1 (t1.5/LADA)</t>
        </is>
      </c>
      <c r="C7645" t="inlineStr">
        <is>
          <t>Like the title says, newly diagnosed as a type 1 diabetic. I was misdiagnosed as a type 2 for almost two years so its a relief to finally get the right diagnosis and the tools for better control. About two months ago my numbers got way worse without any major changes in diet and exercise/oral meds so I went into the endo. Positive GAD antibodies and a lowering C peptide from previous measurements snagged me a type 1 (type 1.5) diagnosis. Not sure what the right terms are tbh, my understanding is that LADA is just slow onset type 1 so probably easier to just call myself a type 1 and not confuse people? 23y/M. Frankly, while the two year struggle was REAL until this diagnosis, it was a pretty gentle type 1 onset. No DKA or major complications.
&amp;amp;#x200B;
That being said... Man where do I start? Picking up my insulin prescriptions today (novolog and tresiba I think). Low doses because I still am making a decent amount of my own insulin because of what seems to be a strong honeymoon period. 
&amp;amp;#x200B;
Any tips for a new type 1 to get started? 
Things you wish you knew or had been told early on in your journey?  
Supplies you consider essential?
I am pretty active and play soccer about twice a week... I don't even know how to go about dealing with insulin doses and intense exercise. Thoughts? 
 I am very new to all of this. Any advice anyone has is much appreciated. I have very supportive friends and family and great health insurance. I know I'm in a really good starting position for all of this so it would be awesome to build up the good/useful habits early. I got basic training on how to inject the insulin and how much but that's about it.
&amp;amp;#x200B;
I currently have a freestyle libre, which has been awesome ( i got it last week) and a contour next one meter for fingerstick checks. I have an appointment with a diabetic educator in 10ish days and a follow up with my endo about a month after that to see how things are going. Going to try to switch to the dexcom if possible, I have some hypo unawareness and the alarms would be awesome.
&amp;amp;#x200B;
also... should my cake day be today or the one from two years ago when diagnosed "diabetic"?.... decisions decisions.</t>
        </is>
      </c>
      <c r="D7645" t="n">
        <v>3</v>
      </c>
      <c r="E7645" t="n">
        <v>8</v>
      </c>
      <c r="F7645">
        <f>HYPERLINK("https://www.reddit.com/r/diabetes/comments/djbm2k/new_t1_t15lada/")</f>
        <v/>
      </c>
      <c r="G7645" t="inlineStr">
        <is>
          <t>2019-10-17 12:48:35</t>
        </is>
      </c>
      <c r="H7645" t="inlineStr">
        <is>
          <t>Type 1.5/LADA</t>
        </is>
      </c>
    </row>
    <row r="7646">
      <c r="A7646" t="inlineStr">
        <is>
          <t>djcg1e</t>
        </is>
      </c>
      <c r="B7646" t="inlineStr">
        <is>
          <t>Miao Miao Libre 14 Day US</t>
        </is>
      </c>
      <c r="C7646" t="inlineStr">
        <is>
          <t>So I live in the US and use the Freestyle Libre, previously I used the Miao Miao in conjunction with this to create my ideal cgm, however, with the loss of Libre 10 day sensors I can no longer use the Miao Miao as the US 14 day is encrypted. I have been trying to find a way around this and I have heard that there is a way to get the Miao Miao to still work, but haven't had any luck. I heard there was something like a beta for the tomato app that allowed this to work, but I haven't had any luck with getting that to work as I am pretty sure I downloaded the proper APK for it and it still is unable to read the sensor. Does anyone have a way for this to work, or do we just have to wait for Miao Miao to make an update to the Miao Miao 2 and then buy that?</t>
        </is>
      </c>
      <c r="D7646" t="n">
        <v>3</v>
      </c>
      <c r="E7646" t="n">
        <v>7</v>
      </c>
      <c r="F7646">
        <f>HYPERLINK("https://www.reddit.com/r/diabetes/comments/djcg1e/miao_miao_libre_14_day_us/")</f>
        <v/>
      </c>
      <c r="G7646" t="inlineStr">
        <is>
          <t>2019-10-17 13:45:06</t>
        </is>
      </c>
      <c r="H7646" t="inlineStr">
        <is>
          <t>Type 1</t>
        </is>
      </c>
    </row>
    <row r="7647">
      <c r="A7647" t="inlineStr">
        <is>
          <t>djeyqi</t>
        </is>
      </c>
      <c r="B7647" t="inlineStr">
        <is>
          <t>22 weeks pregnant, diagnosed with type 2 (not gestational)</t>
        </is>
      </c>
      <c r="C7647" t="inlineStr">
        <is>
          <t>Like the title says, I'm 22 weeks pregnant and was just diagnosed with type 2 diabetes. I'm 27, female, 5'4", and weigh approximately 276lb (272 prepregnancy). My fasting blood sugar was tested with my initial prenatal blood work and was normal (or so I assume as my doctor didn't mention anything about it). Because of my BMI my OB ordered the glucose tolerance test early at just under 21 weeks, whereas it's normally done between 24-28 weeks. I had the 1 hour test done and was told the test came back "inconclusive" (I wasn't told anything other than this), so I had the 2 hour test done about a week after the first test. I saw my OB yesterday and was told that my results indicate that I was diabetic pre-pregnancy. My fasting glucose was 5.5mmol/L (100mg/dl), my 1 hour glucose was 7.3mmol/L (131.4mg/dl), and my 2 hour glucose was 9.1mmol//L (163.8mg/dl). From the research I've done, all of these numbers are within normal ranges. My OB said that because my numbers were "high" before the 24 week mark, it indicated I was diabetic before I got pregnant. He sent a referral for me to see the diabetic nurse. Has this happened to anybody else, or does anybody have any input on this? Not asking if I have it, because I'm technically diagnosed. I'm just confused.</t>
        </is>
      </c>
      <c r="D7647" t="n">
        <v>3</v>
      </c>
      <c r="E7647" t="n">
        <v>3</v>
      </c>
      <c r="F7647">
        <f>HYPERLINK("https://www.reddit.com/r/diabetes/comments/djeyqi/22_weeks_pregnant_diagnosed_with_type_2_not/")</f>
        <v/>
      </c>
      <c r="G7647" t="inlineStr">
        <is>
          <t>2019-10-17 16:53:12</t>
        </is>
      </c>
      <c r="H7647" t="inlineStr">
        <is>
          <t>Type 2</t>
        </is>
      </c>
    </row>
    <row r="7648">
      <c r="A7648" t="inlineStr">
        <is>
          <t>djf70i</t>
        </is>
      </c>
      <c r="B7648" t="inlineStr">
        <is>
          <t>My brother keeps eating my snacks</t>
        </is>
      </c>
      <c r="C7648" t="inlineStr">
        <is>
          <t>My little brother keeps eating the snacks my mom bought for me for school because my lunch is early so I have to have a snack so my blood sugar doesn’t go too low, they. The snacks were suppose to last for about a month and a half but there’s 6 left and it’s only been 2 weeks.</t>
        </is>
      </c>
      <c r="D7648" t="n">
        <v>6</v>
      </c>
      <c r="E7648" t="n">
        <v>14</v>
      </c>
      <c r="F7648">
        <f>HYPERLINK("https://www.reddit.com/r/diabetes/comments/djf70i/my_brother_keeps_eating_my_snacks/")</f>
        <v/>
      </c>
      <c r="G7648" t="inlineStr">
        <is>
          <t>2019-10-17 17:11:54</t>
        </is>
      </c>
      <c r="H7648" t="inlineStr">
        <is>
          <t>Type 1</t>
        </is>
      </c>
    </row>
    <row r="7649">
      <c r="A7649" t="inlineStr">
        <is>
          <t>djov3v</t>
        </is>
      </c>
      <c r="B7649" t="inlineStr">
        <is>
          <t>Post DKA Symptom Concerns</t>
        </is>
      </c>
      <c r="C7649" t="inlineStr">
        <is>
          <t>Please note that I'm going to share a bit of information below that might be a little "TMI." Sorry in advance!
I was very recently diagnosed with type 1 diabetes. The diagnosis came only after I went into DKA while at home--I experienced about 12 hours of symptoms such as vomiting, diarrhea, dizziness, clouded vision, etc. for several hours before ending up in the hospital for 5 days. 
Since being released, I've still only had diarrhea, no solid BMs. It's only been about a week and a half, but I'm unsure if this is normal? I've changed my diet significantly, and am eating very limited carbs and sugars (basically, only what's naturally in fruits, veggies, and nuts--almost no bread/rice/grains, and no candy or treats.). Could this diet change be the cause? 
Has anyone else experienced this after going into DKA? My endocrinologist suggested that we test for Celiac's, as she stated that there can be a link between Celiac's and diabetes, but I feel like I'm consuming very little gluten right now. I also do have Grave disease (which is very mild and I think pretty common in diabetics), but I don't think diarrhea is a symptom of it or a side effect of the medication.</t>
        </is>
      </c>
      <c r="D7649" t="n">
        <v>7</v>
      </c>
      <c r="E7649" t="n">
        <v>11</v>
      </c>
      <c r="F7649">
        <f>HYPERLINK("https://www.reddit.com/r/diabetes/comments/djov3v/post_dka_symptom_concerns/")</f>
        <v/>
      </c>
      <c r="G7649" t="inlineStr">
        <is>
          <t>2019-10-18 08:11:04</t>
        </is>
      </c>
      <c r="H7649" t="inlineStr">
        <is>
          <t>Type 1</t>
        </is>
      </c>
    </row>
    <row r="7650">
      <c r="A7650" t="inlineStr">
        <is>
          <t>djp0i0</t>
        </is>
      </c>
      <c r="B7650" t="inlineStr">
        <is>
          <t>Is there a way to test insulin to see if it not compromised</t>
        </is>
      </c>
      <c r="C7650" t="inlineStr">
        <is>
          <t>I have been messed up for the last three days - can't get my blood sugar to regular. i have stopped eating. I think either my Lantus is not working or I am resistant to it.....  
Anyone have any thoughts?</t>
        </is>
      </c>
      <c r="D7650" t="n">
        <v>2</v>
      </c>
      <c r="E7650" t="n">
        <v>10</v>
      </c>
      <c r="F7650">
        <f>HYPERLINK("https://www.reddit.com/r/diabetes/comments/djp0i0/is_there_a_way_to_test_insulin_to_see_if_it_not/")</f>
        <v/>
      </c>
      <c r="G7650" t="inlineStr">
        <is>
          <t>2019-10-18 08:22:16</t>
        </is>
      </c>
      <c r="H7650" t="inlineStr">
        <is>
          <t>Type 1</t>
        </is>
      </c>
    </row>
    <row r="7651">
      <c r="A7651" t="inlineStr">
        <is>
          <t>djqpo9</t>
        </is>
      </c>
      <c r="B7651" t="inlineStr">
        <is>
          <t>5.1 A1C!!! (T1D)</t>
        </is>
      </c>
      <c r="C7651" t="inlineStr">
        <is>
          <t>My A1C came back today at the endo as a 5.1! To get a low A1C you don’t have to eat a specific diet , cut out certain foods or anything crazy like that - live a normal life! Go eat at Cheesecake Factory, go eat pancakes, go have that milkshake! I do not eat on a low carb diet at all and as you can see, you can still get amazing A1C values. 
Before anyone asks what magic water I drink or how I did this let me give you one word - LOOP.
Loop is a app that connects your CGM and Insulin pump to make them work together. It raises and lowers your basal rate to make your blood sugar level stay at a set number. 
Loop has truly changed my life. I used to always watch my blood sugar levels on my Apple Watch and would get so worked up about them. To be able to live my life without worrying about my blood sugar levels is truly mind blowing. I don’t stress out about it I’m high or if I’m low - I just let loop work it’s magic! 
If you would like to know any more about this please use the link below to get more info about it! (No this is not a paid add I just want people to know about it!)
https://loopkit.github.io/loopdocs/</t>
        </is>
      </c>
      <c r="D7651" t="n">
        <v>22</v>
      </c>
      <c r="E7651" t="n">
        <v>8</v>
      </c>
      <c r="F7651">
        <f>HYPERLINK("https://www.reddit.com/r/diabetes/comments/djqpo9/51_a1c_t1d/")</f>
        <v/>
      </c>
      <c r="G7651" t="inlineStr">
        <is>
          <t>2019-10-18 10:23:38</t>
        </is>
      </c>
      <c r="H7651" t="inlineStr">
        <is>
          <t>Type 1</t>
        </is>
      </c>
    </row>
    <row r="7652">
      <c r="A7652" t="inlineStr">
        <is>
          <t>djsid4</t>
        </is>
      </c>
      <c r="B7652" t="inlineStr">
        <is>
          <t>A1C Dropped from 9.3 to 8.0!!!!!</t>
        </is>
      </c>
      <c r="C7652" t="inlineStr">
        <is>
          <t>Just got my first follow up blood work, and my score has dropped by a whole 1.3 points! 1 more point and I'm officially "managed'. I don't know if this is a really  lot or not  since it's been six months, maybe it should have been more, but screw it, I'm moving in the right direction and I'm happy about it!</t>
        </is>
      </c>
      <c r="D7652" t="n">
        <v>218</v>
      </c>
      <c r="E7652" t="n">
        <v>61</v>
      </c>
      <c r="F7652">
        <f>HYPERLINK("https://www.reddit.com/r/diabetes/comments/djsid4/a1c_dropped_from_93_to_80/")</f>
        <v/>
      </c>
      <c r="G7652" t="inlineStr">
        <is>
          <t>2019-10-18 12:28:53</t>
        </is>
      </c>
      <c r="H7652" t="inlineStr">
        <is>
          <t>Type 2</t>
        </is>
      </c>
    </row>
    <row r="7653">
      <c r="A7653" t="inlineStr">
        <is>
          <t>djt300</t>
        </is>
      </c>
      <c r="B7653" t="inlineStr">
        <is>
          <t>Can a Type 2 diabetic get down to 70-80 bg, wih only metformin and exercise</t>
        </is>
      </c>
      <c r="C7653" t="inlineStr">
        <is>
          <t>And if they can get down to 70-80, and maintain it, are they no longer diabetic?   I am 30 years old, diagnosed not too long ago,  my bg gets lowest around 1pm I'm at about 115,  after eating I am usually no higher than 180.  Could I get down to 70s-80s?  I always heard you could reverse diabetes, don't know if it's really possible.</t>
        </is>
      </c>
      <c r="D7653" t="n">
        <v>3</v>
      </c>
      <c r="E7653" t="n">
        <v>14</v>
      </c>
      <c r="F7653">
        <f>HYPERLINK("https://www.reddit.com/r/diabetes/comments/djt300/can_a_type_2_diabetic_get_down_to_7080_bg_wih/")</f>
        <v/>
      </c>
      <c r="G7653" t="inlineStr">
        <is>
          <t>2019-10-18 13:08:57</t>
        </is>
      </c>
      <c r="H7653" t="inlineStr">
        <is>
          <t>Type 2</t>
        </is>
      </c>
    </row>
    <row r="7654">
      <c r="A7654" t="inlineStr">
        <is>
          <t>dk5yd1</t>
        </is>
      </c>
      <c r="B7654" t="inlineStr">
        <is>
          <t>My SO never has any Candy for me</t>
        </is>
      </c>
      <c r="C7654" t="inlineStr">
        <is>
          <t>We have been dating for a significant amount of time and I have been diagnosed for about 4 years. I usually spend weekends with him since we live about 50 miles apart. 
I have read so many posts here on how many SOs always stock their fridge with juice etc. I have dropped Low and could be because of waking up later than usual....and he never seems to have anything for me.  I have asked him multiple times if he could keep something like juice or candy for me. He always says yeah he’ll stock and then just seems to forget all the time. 
I’m getting frustrated, I really feel like he doesn’t care.</t>
        </is>
      </c>
      <c r="D7654" t="n">
        <v>3</v>
      </c>
      <c r="E7654" t="n">
        <v>14</v>
      </c>
      <c r="F7654">
        <f>HYPERLINK("https://www.reddit.com/r/diabetes/comments/dk5yd1/my_so_never_has_any_candy_for_me/")</f>
        <v/>
      </c>
      <c r="G7654" t="inlineStr">
        <is>
          <t>2019-10-19 09:23:43</t>
        </is>
      </c>
      <c r="H7654" t="inlineStr">
        <is>
          <t>Type 1</t>
        </is>
      </c>
    </row>
    <row r="7655">
      <c r="A7655" t="inlineStr">
        <is>
          <t>dk7iqc</t>
        </is>
      </c>
      <c r="B7655" t="inlineStr">
        <is>
          <t>T2 42M - From HbA1C 13.3 to 6.7 without insulin.</t>
        </is>
      </c>
      <c r="C7655" t="inlineStr">
        <is>
          <t>Hi all,  
I Just wanted to share my latest A1C of 6.7 (10/2019) and how I got here from 13.3 in 201.  
When diagnosed in 2013, I was 36, overweight and mostly ignoring the symptoms of excessive sweating and urination, headaches, hunger pangs etc. The doctor immediately put me on Metformin and Glymepiride and asked to change my diet and exercise levels.  The lifestyle changes were gradual and mostly a mental exercise of breaking old bad habits.   
Quitting Soda, all sugar and all other high glycemic foods like grains and other carbs did not happen immediately.   
Month over month, year over year, I made permanent changes to the kinds of things I ate, and along with some increase in the medication and exercise levels, I saw my A1C drop to 11, 10 and 9 (in 2018).   
I switched doctors a couple of times cos I moved and not all have the same opinion. Some were insistent that I go on insulin right away, but I kept insisting, that I can bring it down without becoming dependent on insulin. 
I was prepared for the next step of being really strict with my diet  and monitoring my BS more religiously with my OneTouch when I finally found a doctor who was open to and encouraged the ketogenic diet and lifestyle.   
Once I was on keto (or almost keto), I saw my one touch readings go to 100mg/dl or even 80 sometimes. When I cheat and eat a piece of toast it might shoot up to 160 or so but I rarely let it go above that and regulating my carb intake started becoming automatic. Now I am at a point where I mostly eat just veggies, salads and meat, zero sugar chocolotes and other keto snacks like almond flour stevia cookies etc. No rice, pasta, bread, potatoes etc. Sure once in a while if I am traveling in Europe and I see some amazing bread, I might have a slice of toast for breakfast after ensuring that my sugar is at 100 or so and I know the toast will only take me to a 140 if I make sure I go for a long walk in the next hour or so.   
I also try to do intermittent fasting when possible by skipping either breakfast or dinner and having a late lunch.  
Anyways, all this has paid off and I was happy when my doctor congratulated me on an A1C of 6.7 yesterday. I am no longer stressed that I am going to die early and leave my two adorable boys fatherless at too early an age.  
I know I can sustain this lifestyle and in fact do even better.   
I am still not too active and do not exercise more than twice a week. I am confident that if I make that change to my life and introduce daily walks, jogs my A1C is going to get to lower. I want to get to the 5s in the next few months.   
That's it. Just wanted to share.</t>
        </is>
      </c>
      <c r="D7655" t="n">
        <v>4</v>
      </c>
      <c r="E7655" t="n">
        <v>6</v>
      </c>
      <c r="F7655">
        <f>HYPERLINK("https://www.reddit.com/r/diabetes/comments/dk7iqc/t2_42m_from_hba1c_133_to_67_without_insulin/")</f>
        <v/>
      </c>
      <c r="G7655" t="inlineStr">
        <is>
          <t>2019-10-19 11:18:23</t>
        </is>
      </c>
      <c r="H7655" t="inlineStr">
        <is>
          <t>Type 2</t>
        </is>
      </c>
    </row>
    <row r="7656">
      <c r="A7656" t="inlineStr">
        <is>
          <t>dk8tjp</t>
        </is>
      </c>
      <c r="B7656" t="inlineStr">
        <is>
          <t>CBD</t>
        </is>
      </c>
      <c r="C7656" t="inlineStr">
        <is>
          <t>Does anyone use cbd to help reduce insulin resistance? What kind brand do you use?</t>
        </is>
      </c>
      <c r="D7656" t="n">
        <v>1</v>
      </c>
      <c r="E7656" t="n">
        <v>4</v>
      </c>
      <c r="F7656">
        <f>HYPERLINK("https://www.reddit.com/r/diabetes/comments/dk8tjp/cbd/")</f>
        <v/>
      </c>
      <c r="G7656" t="inlineStr">
        <is>
          <t>2019-10-19 12:57:42</t>
        </is>
      </c>
      <c r="H7656" t="inlineStr">
        <is>
          <t>Type 1</t>
        </is>
      </c>
    </row>
    <row r="7657">
      <c r="A7657" t="inlineStr">
        <is>
          <t>dkdfmm</t>
        </is>
      </c>
      <c r="B7657" t="inlineStr">
        <is>
          <t>Does anyone else always go high after changing the infusion site. (Omnipod)</t>
        </is>
      </c>
      <c r="C7657" t="inlineStr">
        <is>
          <t>Everytime I change my pod, no matter what time or what my bs is looking before. I always spike to the 300s for no reason.  It then takes way more insulin to bring it back down.  It almost seems like the pod doesn't work at first but then it does.
Does anyone else have this issue?</t>
        </is>
      </c>
      <c r="D7657" t="n">
        <v>8</v>
      </c>
      <c r="E7657" t="n">
        <v>29</v>
      </c>
      <c r="F7657">
        <f>HYPERLINK("https://www.reddit.com/r/diabetes/comments/dkdfmm/does_anyone_else_always_go_high_after_changing/")</f>
        <v/>
      </c>
      <c r="G7657" t="inlineStr">
        <is>
          <t>2019-10-19 19:09:21</t>
        </is>
      </c>
      <c r="H7657" t="inlineStr">
        <is>
          <t>Type 1</t>
        </is>
      </c>
    </row>
    <row r="7658">
      <c r="A7658" t="inlineStr">
        <is>
          <t>dkg4u1</t>
        </is>
      </c>
      <c r="B7658" t="inlineStr">
        <is>
          <t>weirdly high blood sugar</t>
        </is>
      </c>
      <c r="C7658" t="inlineStr">
        <is>
          <t>this is my first time posting, so i apologize for any scatter brained ranting in this. 
i’m relatively new to the diabetic “scene” (i got diagnosed 2 months ago) and i haven’t had blood sugars this high since i got diagnosed. i checked today at noon and was at about 210, so i gave myself a correction dose and ate lunch. i checked again at dinner and was at 280, so again, i did corrections and forgot about it. i checked before bed and i was at 360. i have no idea how it got to this point, and this might be a little TMI, but i don’t know if periods have any affect on this?? any info or tips are appreciated!!</t>
        </is>
      </c>
      <c r="D7658" t="n">
        <v>2</v>
      </c>
      <c r="E7658" t="n">
        <v>5</v>
      </c>
      <c r="F7658">
        <f>HYPERLINK("https://www.reddit.com/r/diabetes/comments/dkg4u1/weirdly_high_blood_sugar/")</f>
        <v/>
      </c>
      <c r="G7658" t="inlineStr">
        <is>
          <t>2019-10-19 23:45:38</t>
        </is>
      </c>
      <c r="H7658" t="inlineStr">
        <is>
          <t>Type 1</t>
        </is>
      </c>
    </row>
    <row r="7659">
      <c r="A7659" t="inlineStr">
        <is>
          <t>dkndkk</t>
        </is>
      </c>
      <c r="B7659" t="inlineStr">
        <is>
          <t>Never traveled before. How does the GP letter work?</t>
        </is>
      </c>
      <c r="C7659" t="inlineStr">
        <is>
          <t>Apparently you must carry a letter from your GP to show to the people at the airport to confirm why you are carrying your medical equipment.
However, what if I am going somewhere like Japan? 
What if they cannot speak English?
I am actually clueless on how this works? Could someone explain.
Thanks. 
Ps. I am in the UK.</t>
        </is>
      </c>
      <c r="D7659" t="n">
        <v>1</v>
      </c>
      <c r="E7659" t="n">
        <v>10</v>
      </c>
      <c r="F7659">
        <f>HYPERLINK("https://www.reddit.com/r/diabetes/comments/dkndkk/never_traveled_before_how_does_the_gp_letter_work/")</f>
        <v/>
      </c>
      <c r="G7659" t="inlineStr">
        <is>
          <t>2019-10-20 11:15:26</t>
        </is>
      </c>
      <c r="H7659" t="inlineStr">
        <is>
          <t>Type 1</t>
        </is>
      </c>
    </row>
    <row r="7660">
      <c r="A7660" t="inlineStr">
        <is>
          <t>dknkku</t>
        </is>
      </c>
      <c r="B7660" t="inlineStr">
        <is>
          <t>What are my workers rights when it comes to discrimination?</t>
        </is>
      </c>
      <c r="C7660" t="inlineStr">
        <is>
          <t>My management team has made some pretty shifty requests in regards to my type 1 diabetes such as, I cannot leave my area if only one other person will be there and I have to walk all the way to the entrance and punch out if I need to take care of myself. These requests seemed a little bit off to me. What say you, fellow diabetics?</t>
        </is>
      </c>
      <c r="D7660" t="n">
        <v>4</v>
      </c>
      <c r="E7660" t="n">
        <v>11</v>
      </c>
      <c r="F7660">
        <f>HYPERLINK("https://www.reddit.com/r/diabetes/comments/dknkku/what_are_my_workers_rights_when_it_comes_to/")</f>
        <v/>
      </c>
      <c r="G7660" t="inlineStr">
        <is>
          <t>2019-10-20 11:28:56</t>
        </is>
      </c>
      <c r="H7660" t="inlineStr">
        <is>
          <t>Type 1</t>
        </is>
      </c>
    </row>
    <row r="7661">
      <c r="A7661" t="inlineStr">
        <is>
          <t>dkq9ch</t>
        </is>
      </c>
      <c r="B7661" t="inlineStr">
        <is>
          <t>Diet drinks</t>
        </is>
      </c>
      <c r="C7661" t="inlineStr">
        <is>
          <t>I wish restaurants had more diet options. I’m tired of Diet Coke/Coke Zero.
But that’s my life. It sucks, but we all just have to work through this.</t>
        </is>
      </c>
      <c r="D7661" t="n">
        <v>3</v>
      </c>
      <c r="E7661" t="n">
        <v>25</v>
      </c>
      <c r="F7661">
        <f>HYPERLINK("https://www.reddit.com/r/diabetes/comments/dkq9ch/diet_drinks/")</f>
        <v/>
      </c>
      <c r="G7661" t="inlineStr">
        <is>
          <t>2019-10-20 14:34:18</t>
        </is>
      </c>
      <c r="H7661" t="inlineStr">
        <is>
          <t>Type 1</t>
        </is>
      </c>
    </row>
    <row r="7662">
      <c r="A7662" t="inlineStr">
        <is>
          <t>dktrnv</t>
        </is>
      </c>
      <c r="B7662" t="inlineStr">
        <is>
          <t>6 Years</t>
        </is>
      </c>
      <c r="C7662" t="inlineStr">
        <is>
          <t>First time posting about this and I don't really know where to begin - I'm usually not one for verbalizing my feelings, especially those related to diabetes since I only tell people who need to know, but here we go.
Tomorrow is my 25th birthday, which marks 6 years since I was diagnosed with Type 1. I've never been a big birthday guy, but I'm especially dreading tomorrow. 6 years ago I had to leave college due to diabetes, but since then I've done generally pretty well. During my 24th year I was given 2 promotions at work, bought a new car and moved out into my own apartment. I manage my blood sugar pretty well, and it's actually been improving with my A1C dropping from 7.4 to 6.3.
I don't usually let the stress of managing this disease bother me (aside from the occasional bit of depression), but these past 2 weeks have been the hardest thus far. Work has been incredibly stressful lately, now requiring me to put in an average of 10-11 hours per day and I'm signed up for 3 classes at the local community college on top of this. I'm doing horrible this semester, and the thought of that plus the additional stress from work has had a huge effect on my sugar levels. They've been either shooting up incredibly high (seemingly despite how much insulin I put in) or dropping down to dangerous levels (seemingly despite how much gatorade I chug). This can go on for a while and has caused me to stay up to ridiculous hours of the morning trying to manage it. Once I do finally get to sleep, I wake up for work that same morning, and the cycle repeats.
This weekend I was supposed to go out and have a good time to celebrate my birthday, but on both nights I just wasn't in the mood. I really would have loved to have just stayed home and watched a couple movies, but it's almost like I'm now obligated to go out and celebrate because that's what other people expect you to do at my age. So I did, and I hated every second of it. At one point I snapped on one of my good buddies and tonight I went to dinner with my parents, but I was just agitated the entire time.
All I can think about is what my life would look like if I was never diagnosed. Dropping out of school really set me way back, and trying to manage classes on top of a full time job is tough. Also, it really ruined my self-confidence. I don't have anyone in my life who really understands what I'm going through, no matter how many times I try to explain to them the stress that this disease can cause on someone. No matter what I do, my parents seem disappointed with me because I had to leave school and I'm not doing so well at it even now. Overall, my parents are really great and I owe them so much for supporting me through everything, but they will never understand the pressure they are putting on me and how it's affecting my ability to manage this.
Before I go, I want to point out that I'm not suicidal or anything and am generally a pretty happy person. I guess I just wanted to finally talk about how tough things have seemed lately to people who might actually understand the weight behind those words. Thanks for reading.</t>
        </is>
      </c>
      <c r="D7662" t="n">
        <v>5</v>
      </c>
      <c r="E7662" t="n">
        <v>3</v>
      </c>
      <c r="F7662">
        <f>HYPERLINK("https://www.reddit.com/r/diabetes/comments/dktrnv/6_years/")</f>
        <v/>
      </c>
      <c r="G7662" t="inlineStr">
        <is>
          <t>2019-10-20 19:18:32</t>
        </is>
      </c>
      <c r="H7662" t="inlineStr">
        <is>
          <t>Type 1</t>
        </is>
      </c>
    </row>
    <row r="7663">
      <c r="A7663" t="inlineStr">
        <is>
          <t>dkwgo8</t>
        </is>
      </c>
      <c r="B7663" t="inlineStr">
        <is>
          <t>How in the world do you avoid spikes in blood sugar after meals?</t>
        </is>
      </c>
      <c r="C7663" t="inlineStr">
        <is>
          <t>How do you time insulin perfectly with food? I take admelog injections and don't have a cgm. When I had a temporary cgm on, my blood sugar had spikes up into the high 200s after eating, even when it was fine 2 hours after eating.
&amp;amp;#x200B;
How do you work out how to take insulin without spikes? How are the people with super stable levels doing this?</t>
        </is>
      </c>
      <c r="D7663" t="n">
        <v>4</v>
      </c>
      <c r="E7663" t="n">
        <v>7</v>
      </c>
      <c r="F7663">
        <f>HYPERLINK("https://www.reddit.com/r/diabetes/comments/dkwgo8/how_in_the_world_do_you_avoid_spikes_in_blood/")</f>
        <v/>
      </c>
      <c r="G7663" t="inlineStr">
        <is>
          <t>2019-10-20 23:40:46</t>
        </is>
      </c>
      <c r="H7663" t="inlineStr">
        <is>
          <t>Type 1</t>
        </is>
      </c>
    </row>
    <row r="7664">
      <c r="A7664" t="inlineStr">
        <is>
          <t>dl29bl</t>
        </is>
      </c>
      <c r="B7664" t="inlineStr">
        <is>
          <t>Fatigue and drowsiness</t>
        </is>
      </c>
      <c r="C7664" t="inlineStr">
        <is>
          <t>Do any of you fine folks have experience combating fatigue with type 1 diabetes?  I was diagnosed with adult onset type one about 13 months ago. My A1C has dropped from a 14 to a 6.3, but despite being well controlled now, I'm always soo tired.  I've tried speaking with both my endocrinologist and a general practitioner. Neither of them had much to say.  Any advice?</t>
        </is>
      </c>
      <c r="D7664" t="n">
        <v>3</v>
      </c>
      <c r="E7664" t="n">
        <v>13</v>
      </c>
      <c r="F7664">
        <f>HYPERLINK("https://www.reddit.com/r/diabetes/comments/dl29bl/fatigue_and_drowsiness/")</f>
        <v/>
      </c>
      <c r="G7664" t="inlineStr">
        <is>
          <t>2019-10-21 08:35:04</t>
        </is>
      </c>
      <c r="H7664" t="inlineStr">
        <is>
          <t>Type 1</t>
        </is>
      </c>
    </row>
    <row r="7665">
      <c r="A7665" t="inlineStr">
        <is>
          <t>dl2l7a</t>
        </is>
      </c>
      <c r="B7665" t="inlineStr">
        <is>
          <t>Another insurance rant</t>
        </is>
      </c>
      <c r="C7665" t="inlineStr">
        <is>
          <t>Went to pick up my RX from the local pharmacy for a 3 month supply of my Freestyle Libre 14 day sensors on Friday. They only had 1 sensor ready for me (instead of 6). They said I needed my doc to call in a new RX with the proper amount. Fine...put those wheels in motion. 
This morning, I call the pharmacy to ask what the status is. They have the RX, but can only fill 2 sensors through the end of the year. Apparently I have reached the maximum allowed limit of the sensors? Told me to call insurance.
Called insurance and talked to a few different reps. I switched from the 10 day sensors this year, so I was originally getting 9 sensors at a time. For whatever absurd reason, they lump all of the sensors into the same category, and count the 10 day sensors into my 14 day allotment. I was told I needed my doc to call them for prior auth to exceed the limit. Even though I never exceeded the limit...it's just their messed up way of categorizing this. So here I am on my last sensor hoping that I won't have to jump through any more hoops to get my darn sensors!!! Has anybody else had to deal with this before. 
It. Should. Not. Be. This. Hard. I swear there is some sort of issue I have to work through every single time I refill one of my diabetes meds. I would love to be able to just get my prescriptions without spending hours on the phone calling different places back and forth!
Thanks for listening.</t>
        </is>
      </c>
      <c r="D7665" t="n">
        <v>4</v>
      </c>
      <c r="E7665" t="n">
        <v>2</v>
      </c>
      <c r="F7665">
        <f>HYPERLINK("https://www.reddit.com/r/diabetes/comments/dl2l7a/another_insurance_rant/")</f>
        <v/>
      </c>
      <c r="G7665" t="inlineStr">
        <is>
          <t>2019-10-21 08:59:06</t>
        </is>
      </c>
      <c r="H7665" t="inlineStr">
        <is>
          <t>Type 1</t>
        </is>
      </c>
    </row>
    <row r="7666">
      <c r="A7666" t="inlineStr">
        <is>
          <t>dl423q</t>
        </is>
      </c>
      <c r="B7666" t="inlineStr">
        <is>
          <t>What do you hope the future holds (technology wise) for Type 1?</t>
        </is>
      </c>
      <c r="C7666" t="inlineStr">
        <is>
          <t>Nursing student here, doing a research for a teaching project that I have to target my audience for parents and adolescents with type 1 who mainly do CGM. So my question to those with Type 1, what advances do you hope or want to see come out? In the last decade or less we have seen the CGM monitors and connecting to the smart phones etc, but are there any specifics you would want to see come out in the next decade for Type 1? Thank you for any responses.</t>
        </is>
      </c>
      <c r="D7666" t="n">
        <v>1</v>
      </c>
      <c r="E7666" t="n">
        <v>8</v>
      </c>
      <c r="F7666">
        <f>HYPERLINK("https://www.reddit.com/r/diabetes/comments/dl423q/what_do_you_hope_the_future_holds_technology_wise/")</f>
        <v/>
      </c>
      <c r="G7666" t="inlineStr">
        <is>
          <t>2019-10-21 10:42:43</t>
        </is>
      </c>
      <c r="H7666" t="inlineStr">
        <is>
          <t>Type 1</t>
        </is>
      </c>
    </row>
    <row r="7667">
      <c r="A7667" t="inlineStr">
        <is>
          <t>dl4u38</t>
        </is>
      </c>
      <c r="B7667" t="inlineStr">
        <is>
          <t>pump infusion site insertion</t>
        </is>
      </c>
      <c r="C7667" t="inlineStr">
        <is>
          <t>I've been pumping since April. Every time I have to change my insertion site, it's a mind fuck. Some days I can insert the needle quickly with no pain but a lot of the time it takes several tries. I get an intense pinching/burning feeling and bleeding, leaving an ugly bruise. Am I the only one that struggles with this? I thought it would be quick and automatic by this point but it's not.</t>
        </is>
      </c>
      <c r="D7667" t="n">
        <v>3</v>
      </c>
      <c r="E7667" t="n">
        <v>15</v>
      </c>
      <c r="F7667">
        <f>HYPERLINK("https://www.reddit.com/r/diabetes/comments/dl4u38/pump_infusion_site_insertion/")</f>
        <v/>
      </c>
      <c r="G7667" t="inlineStr">
        <is>
          <t>2019-10-21 11:38:30</t>
        </is>
      </c>
      <c r="H7667" t="inlineStr">
        <is>
          <t>Type 1</t>
        </is>
      </c>
    </row>
    <row r="7668">
      <c r="A7668" t="inlineStr">
        <is>
          <t>dli15o</t>
        </is>
      </c>
      <c r="B7668" t="inlineStr">
        <is>
          <t>BG keeps rising even tho I’m not eating carbs/sugar and using metformin?</t>
        </is>
      </c>
      <c r="C7668" t="inlineStr">
        <is>
          <t>Sugar reading is usually 75-110 on average but it shot up to 180 after a meal which surprised me. I don’t feel very good because of it but this morning I cooked eggs with meat (NO CARBS OR SUGAR WHAT SO EVER) and my sugar went from 90 to 112 and keeps rising even tho I’m on metformin? I had a blood draw yesterday where they took some of my blood could that be the reason or could it be a serious cause for action?</t>
        </is>
      </c>
      <c r="D7668" t="n">
        <v>2</v>
      </c>
      <c r="E7668" t="n">
        <v>9</v>
      </c>
      <c r="F7668">
        <f>HYPERLINK("https://www.reddit.com/r/diabetes/comments/dli15o/bg_keeps_rising_even_tho_im_not_eating_carbssugar/")</f>
        <v/>
      </c>
      <c r="G7668" t="inlineStr">
        <is>
          <t>2019-10-22 06:35:44</t>
        </is>
      </c>
      <c r="H7668" t="inlineStr">
        <is>
          <t>Type 2</t>
        </is>
      </c>
    </row>
    <row r="7669">
      <c r="A7669" t="inlineStr">
        <is>
          <t>dljril</t>
        </is>
      </c>
      <c r="B7669" t="inlineStr">
        <is>
          <t>Medtronic 670G failure</t>
        </is>
      </c>
      <c r="C7669" t="inlineStr">
        <is>
          <t>I have a Medtronic 670G and yesterday it just gave me an alarm that said “complete pump failure, seek other insulin treatment”!! I called Medtronic and my new one should’ve coming in the mail and minute now, but what the heck! This is the sixth (+-1) pump ive had to get from Medtronic. I rely on this to stay alive/safe! And it literally just died on me! Medtronic is a fast and loose company that only cares about their bottom line. Long story short, beware Medtronic users. Pumps be acting funny 🧐🧐🧐</t>
        </is>
      </c>
      <c r="D7669" t="n">
        <v>1</v>
      </c>
      <c r="E7669" t="n">
        <v>4</v>
      </c>
      <c r="F7669">
        <f>HYPERLINK("https://www.reddit.com/r/diabetes/comments/dljril/medtronic_670g_failure/")</f>
        <v/>
      </c>
      <c r="G7669" t="inlineStr">
        <is>
          <t>2019-10-22 08:46:54</t>
        </is>
      </c>
      <c r="H7669" t="inlineStr">
        <is>
          <t>Type 1</t>
        </is>
      </c>
    </row>
    <row r="7670">
      <c r="A7670" t="inlineStr">
        <is>
          <t>dlq32g</t>
        </is>
      </c>
      <c r="B7670" t="inlineStr">
        <is>
          <t>Two siblings with Type 1 Diabetes that don’t take care of themselves.</t>
        </is>
      </c>
      <c r="C7670" t="inlineStr">
        <is>
          <t>On mobile just in case that’s relevant
Me and my mom don’t know what else to do.We’ve tried so many different ways to try and keep them on top of things. My mom is stressed beyond and depressed. She feels at fault and breaks down frequently. 
My brother is 19 and rarely checks his sugar. He’s had type one diabetes since he was 11. Protein is apparently spilling out of his kidneys. He never takes the medication for it. We talk with him and try to ask him why and he always says he doesn’t know. My mom thinks he’ll die before he realizes it. One of our doctors pretty much gave up on him and wouldn’t see him anymore. I think he may have depression but I don’t know. Some therapist? Or consultant for psychology came and recommended group therapy, he didn’t want to do it. 
My sister is 13 she just got diagnosed with type one diabetes almost 2 years ago. It seems like she’s following his path now. She’s not checking her sugar and eating when she isn’t supposed to. She claims she doesn’t know why either. I tried to help her develop strategies for logging and trying to remember checking your sugar and getting insulin. She stopped trying shortly after returning to her previous habits.
I feel like I’m going to lose both my siblings. My mom wouldn’t be able to live with that. I don’t think I could live a happy life if something like that were to happen. I can’t help but feel I’m at fault and that I need to do more. I want to know how I can help them get through this. I can’t lose them.  I just need to know if there’s anyway of helping them, or maybe I just needed to rant. I’ve thought of therapy but we have pretty much no money after bills. My mom works by herself and me and my brother help a LITTLE with bills but even then there’s pretty much nothing left. I think my sister has Medicaid. I want my mom and siblings to go to therapy but there is no way we can afford it. My brother just started going to college so I’m going to look into that. I feel I did not articulate anything well and I’m sorry. If this isn’t a good place to post this delete away.
Thank you.</t>
        </is>
      </c>
      <c r="D7670" t="n">
        <v>5</v>
      </c>
      <c r="E7670" t="n">
        <v>8</v>
      </c>
      <c r="F7670">
        <f>HYPERLINK("https://www.reddit.com/r/diabetes/comments/dlq32g/two_siblings_with_type_1_diabetes_that_dont_take/")</f>
        <v/>
      </c>
      <c r="G7670" t="inlineStr">
        <is>
          <t>2019-10-22 15:57:38</t>
        </is>
      </c>
      <c r="H7670" t="inlineStr">
        <is>
          <t>Type 1</t>
        </is>
      </c>
    </row>
    <row r="7671">
      <c r="A7671" t="inlineStr">
        <is>
          <t>dlqmt9</t>
        </is>
      </c>
      <c r="B7671" t="inlineStr">
        <is>
          <t>t:slim and xDrip - confused calibrations</t>
        </is>
      </c>
      <c r="C7671" t="inlineStr">
        <is>
          <t>Hi all, posted this on the xDrip Facebook page but figured I'd also post here in case anyone here has an answer.
How does xDrip work with the t:slim x2 pump? I have dexcom g6, I've been using xDrip for a year (and love it), just started on the pump last week (from MDI). At first no issues, I entered the transmitter number (not the sensor number) into the pump and got the same readings on my Pixel 2 phone and the pump. Few days ago I change the sensor, go through the normal process on xDrip and seems ok. Then I start to get readings way off like xDrip says 92 and fingerstick says 134. I tried calibrating, but get errors that the calibration is rejected, or "Insufficient Calibration." I tried deleting all calibrations, but the same issue happened again. I tried stopping the sensor and restarting, but again the same issue. Since I just started on the pump I'm assuming that's causing this. Is there a setting on xDrip I should be using? Do I need to stop and restart the sensor on the pump at the same time as I do on xDrip? Any help is appreciated!
Using G6 native, alpha build BTW.</t>
        </is>
      </c>
      <c r="D7671" t="n">
        <v>1</v>
      </c>
      <c r="E7671" t="n">
        <v>0</v>
      </c>
      <c r="F7671">
        <f>HYPERLINK("https://www.reddit.com/r/diabetes/comments/dlqmt9/tslim_and_xdrip_confused_calibrations/")</f>
        <v/>
      </c>
      <c r="G7671" t="inlineStr">
        <is>
          <t>2019-10-22 16:37:35</t>
        </is>
      </c>
      <c r="H7671" t="inlineStr">
        <is>
          <t>Type 1</t>
        </is>
      </c>
    </row>
    <row r="7672">
      <c r="A7672" t="inlineStr">
        <is>
          <t>dlr750</t>
        </is>
      </c>
      <c r="B7672" t="inlineStr">
        <is>
          <t>Breakfast options?</t>
        </is>
      </c>
      <c r="C7672" t="inlineStr">
        <is>
          <t>What’s something that fills you up in the morning without being too heavy on the carbs?</t>
        </is>
      </c>
      <c r="D7672" t="n">
        <v>5</v>
      </c>
      <c r="E7672" t="n">
        <v>10</v>
      </c>
      <c r="F7672">
        <f>HYPERLINK("https://www.reddit.com/r/diabetes/comments/dlr750/breakfast_options/")</f>
        <v/>
      </c>
      <c r="G7672" t="inlineStr">
        <is>
          <t>2019-10-22 17:25:13</t>
        </is>
      </c>
      <c r="H7672" t="inlineStr">
        <is>
          <t>Type 1</t>
        </is>
      </c>
    </row>
    <row r="7673">
      <c r="A7673" t="inlineStr">
        <is>
          <t>dltru8</t>
        </is>
      </c>
      <c r="B7673" t="inlineStr">
        <is>
          <t>Diabetic Neuropathy ???</t>
        </is>
      </c>
      <c r="C7673" t="inlineStr">
        <is>
          <t>Hi -   
So I'm having sever hair loss in both my lower legs - outer side of my calves. I got the ABI test done and the results came back as completely normal.   
My doctor told me that since I'm not losing the hair on my toes, I'm good.   
But today i realized that I've lost complete sensation (in the part i have circled) below my knees. I don't know how to explain, but i can feel the touch, but the sensation is very very different.   
Its like I'm wearing a leather boot and someone is touching the outside of my leather boots and i can feel the pressure. But I don't feel the touch, as the rest of my leg does.    
Is this a start of diabetic neuropathy?  Can it start randomly, when my feel feel perfectly fine?   
Also, so far I do not feel any pain while walking. In fact, I enjoy walking tremendously.   
My sugars have been out of control over the past 4 years. I got diagnosed at 32 and stayed in denial for a long time. Is it too late for me now?</t>
        </is>
      </c>
      <c r="D7673" t="n">
        <v>2</v>
      </c>
      <c r="E7673" t="n">
        <v>12</v>
      </c>
      <c r="F7673">
        <f>HYPERLINK("https://www.reddit.com/r/diabetes/comments/dltru8/diabetic_neuropathy/")</f>
        <v/>
      </c>
      <c r="G7673" t="inlineStr">
        <is>
          <t>2019-10-22 20:55:56</t>
        </is>
      </c>
      <c r="H7673" t="inlineStr">
        <is>
          <t>Type 2</t>
        </is>
      </c>
    </row>
    <row r="7674">
      <c r="A7674" t="inlineStr">
        <is>
          <t>dlu0ux</t>
        </is>
      </c>
      <c r="B7674" t="inlineStr">
        <is>
          <t>Cost of treatment</t>
        </is>
      </c>
      <c r="C7674" t="inlineStr">
        <is>
          <t>Hi! Anybody like to comment how much you spend on treating your diabetic condition per month on average? So this would include meds, doctor consultations, ancillary treatment such as physiotherapy, treatment of complications if any - total cost.</t>
        </is>
      </c>
      <c r="D7674" t="n">
        <v>3</v>
      </c>
      <c r="E7674" t="n">
        <v>18</v>
      </c>
      <c r="F7674">
        <f>HYPERLINK("https://www.reddit.com/r/diabetes/comments/dlu0ux/cost_of_treatment/")</f>
        <v/>
      </c>
      <c r="G7674" t="inlineStr">
        <is>
          <t>2019-10-22 21:19:52</t>
        </is>
      </c>
      <c r="H7674" t="inlineStr">
        <is>
          <t>Type 2</t>
        </is>
      </c>
    </row>
    <row r="7675">
      <c r="A7675" t="inlineStr">
        <is>
          <t>dlue4z</t>
        </is>
      </c>
      <c r="B7675" t="inlineStr">
        <is>
          <t>Being a T1 is easier now</t>
        </is>
      </c>
      <c r="C7675" t="inlineStr">
        <is>
          <t>I recently got a Dexcom Bg scanner, and now I don't spend CRAZY amounts of money on Bg testing strips. The only thing is that my phone (the receiver, in this case) makes a LOUD beep when my Bg is high or low. The Chicago public school strike is still going on, I have not gone to class with my Dexcom yet, and im worried that it'll be too annoying for the other kids in class. But, I don't have to draw blood from my fingers and get scabs anymore! and thats GREAT!
If anybody has a pump, I want to know what it's like, im kinda scared/nervous about getting one. I'll get one in 4-5 months.</t>
        </is>
      </c>
      <c r="D7675" t="n">
        <v>10</v>
      </c>
      <c r="E7675" t="n">
        <v>5</v>
      </c>
      <c r="F7675">
        <f>HYPERLINK("https://www.reddit.com/r/diabetes/comments/dlue4z/being_a_t1_is_easier_now/")</f>
        <v/>
      </c>
      <c r="G7675" t="inlineStr">
        <is>
          <t>2019-10-22 21:57:38</t>
        </is>
      </c>
      <c r="H7675" t="inlineStr">
        <is>
          <t>Type 1</t>
        </is>
      </c>
    </row>
    <row r="7676">
      <c r="A7676" t="inlineStr">
        <is>
          <t>dm0c4z</t>
        </is>
      </c>
      <c r="B7676" t="inlineStr">
        <is>
          <t>High Cholesterol - finding an optimal diet (T1D)</t>
        </is>
      </c>
      <c r="C7676" t="inlineStr">
        <is>
          <t>Hi everyone,
It seems as though I've consistently had high cholesterol for \~2 years now. I have T1D and I'm lactose intolerant, so finding a diet that works has been tough. Does anyone have similar experience? Or tips? Have you seen a nutritionist? 
Every morning I have coconut milk and unfiltered french press coffee. I heard those aren't good for cholesterol levels…
&amp;amp;#x200B;
Thanks!</t>
        </is>
      </c>
      <c r="D7676" t="n">
        <v>1</v>
      </c>
      <c r="E7676" t="n">
        <v>11</v>
      </c>
      <c r="F7676">
        <f>HYPERLINK("https://www.reddit.com/r/diabetes/comments/dm0c4z/high_cholesterol_finding_an_optimal_diet_t1d/")</f>
        <v/>
      </c>
      <c r="G7676" t="inlineStr">
        <is>
          <t>2019-10-23 07:46:42</t>
        </is>
      </c>
      <c r="H7676" t="inlineStr">
        <is>
          <t>Type 1</t>
        </is>
      </c>
    </row>
    <row r="7677">
      <c r="A7677" t="inlineStr">
        <is>
          <t>dm0gx4</t>
        </is>
      </c>
      <c r="B7677" t="inlineStr">
        <is>
          <t>Dexcom G6 Alarm Not Working Consistently</t>
        </is>
      </c>
      <c r="C7677" t="inlineStr">
        <is>
          <t>I'm writing this after waking up this morning at 3AM with a "LOW" reading (too low for a number) on my Dexcom G6; and it didn't beep or go off the entire time if took me to drop that low (approximately 1 hour). I woke up in a cold sweat, checked my dexcom receiver, and it was flatlined at the lowest value it could read and had been flatlined there for about 30 min. My receiver had been totally silent.
&amp;amp;#x200B;
The alarm is fine. I've tested it. It usually goes off once a day if I dip below 70 or go above 140.
&amp;amp;#x200B;
But not always! Sometimes, if I am going low at a slow rate (so slow that my blood sugar will be dropping but the arrow on the Dexcom will point sideways), it will totally ignore that I am going low. Sometimes, the second it goes below 70 it hits me with a loud alarm (I always keep the alarms on the loudest setting). I have my low alarm to repeat every 15 minutes.
&amp;amp;#x200B;
Is my receiver just defective or something?? My dexcom can always show my blood sugar, and its alarm WORKS, but it is quite inconsistent with its decision to alarm me. Kinda concerned because I'm a college student who lives alone and can go quite some time without seeing/talking to anyone, so if I had passed out in my sleep last night I can't imagine I'd have survived.</t>
        </is>
      </c>
      <c r="D7677" t="n">
        <v>1</v>
      </c>
      <c r="E7677" t="n">
        <v>8</v>
      </c>
      <c r="F7677">
        <f>HYPERLINK("https://www.reddit.com/r/diabetes/comments/dm0gx4/dexcom_g6_alarm_not_working_consistently/")</f>
        <v/>
      </c>
      <c r="G7677" t="inlineStr">
        <is>
          <t>2019-10-23 07:56:54</t>
        </is>
      </c>
      <c r="H7677" t="inlineStr">
        <is>
          <t>Type 1</t>
        </is>
      </c>
    </row>
    <row r="7678">
      <c r="A7678" t="inlineStr">
        <is>
          <t>dm17xs</t>
        </is>
      </c>
      <c r="B7678" t="inlineStr">
        <is>
          <t>Just venting: the Medtronic 670G CGM is such a joke.</t>
        </is>
      </c>
      <c r="C7678" t="inlineStr">
        <is>
          <t>I have been incredibly loyal to Medtronic for sixteen years now. They have always been the company I got my pump from. However, I never sang the praises of their CGM because honestly, they kind of sucked. 
The 670G CGM is so different from all their other CGMs that I was instantly blown away. I constantly go low at work, and the CGM has saved me so many times from catastrophe (at my job, I can’t just give myself a juice break when I need one. I work at an amusement park as a ride operator and you can’t exactly just step away from the ride while it’s in motion). When the CGM works, it works great.
But lately about 75% of the time, it hasn’t worked at all. 
Put in a new sensor yesterday. Calibration wasn’t accepted. Calibration finally accepted over an hour later (with consistent numbers, mind you), all of a sudden it needs another calibration with no warning. I put my sensor on my right arm and my pump site on my left side. Big mistake. The pump now has no signal to the CGM even when I put them literally right next to each other. It’s been *twelve hours* and it’s still searching for a signal with nothing I can do but place them next to each other. 
The majority of sensors that I’ve had for the past two months have been this way. I want to like this CGM so bad because like I said, it works amazingly when it actually works. But I’m tired of all the failed sensors, loss of signals, unaccepted calibrations. I can’t stay in auto mode to save my life, the pump constantly kicks me out for what seems like no reason. 
Medtronic has such a great product when it actually works, but the problem is it doesn’t work often, and the errors when it doesn’t work are so aggravating that I would give up on this CGM if I were the one paying for it (still on my parents’ insurance). Medtronic seriously needs to fix this or they’re about to lose a practically lifelong customer.</t>
        </is>
      </c>
      <c r="D7678" t="n">
        <v>3</v>
      </c>
      <c r="E7678" t="n">
        <v>2</v>
      </c>
      <c r="F7678">
        <f>HYPERLINK("https://www.reddit.com/r/diabetes/comments/dm17xs/just_venting_the_medtronic_670g_cgm_is_such_a_joke/")</f>
        <v/>
      </c>
      <c r="G7678" t="inlineStr">
        <is>
          <t>2019-10-23 08:51:24</t>
        </is>
      </c>
      <c r="H7678" t="inlineStr">
        <is>
          <t>Type 1</t>
        </is>
      </c>
    </row>
    <row r="7679">
      <c r="A7679" t="inlineStr">
        <is>
          <t>dm1k3w</t>
        </is>
      </c>
      <c r="B7679" t="inlineStr">
        <is>
          <t>Going old school for a couple days.</t>
        </is>
      </c>
      <c r="C7679" t="inlineStr">
        <is>
          <t>I’m out camping in our RV and needed to replace my Dexcom G5 sensors.  Okay, I packed a spare for this 7 day trip.  Installs and calibrates fine.  A day later my dog jumps on my lap and rips it right out.  Joy....finger sticks and manual log here I come!</t>
        </is>
      </c>
      <c r="D7679" t="n">
        <v>1</v>
      </c>
      <c r="E7679" t="n">
        <v>4</v>
      </c>
      <c r="F7679">
        <f>HYPERLINK("https://www.reddit.com/r/diabetes/comments/dm1k3w/going_old_school_for_a_couple_days/")</f>
        <v/>
      </c>
      <c r="G7679" t="inlineStr">
        <is>
          <t>2019-10-23 09:14:50</t>
        </is>
      </c>
      <c r="H7679" t="inlineStr">
        <is>
          <t>Type 1</t>
        </is>
      </c>
    </row>
    <row r="7680">
      <c r="A7680" t="inlineStr">
        <is>
          <t>dm41iv</t>
        </is>
      </c>
      <c r="B7680" t="inlineStr">
        <is>
          <t>Diabetes and puberty?</t>
        </is>
      </c>
      <c r="C7680" t="inlineStr">
        <is>
          <t>I'm 13 and today at clinic my doctor said something about puberty affecting my diabetes and making it worse? He didnt really explain anything so Im kinda confused.
How does puberty affect diabetes? I dont wanna ask my parents because that would be awkward. My blood sugar is usually goo and I dont have many hypos or highs a lot</t>
        </is>
      </c>
      <c r="D7680" t="n">
        <v>2</v>
      </c>
      <c r="E7680" t="n">
        <v>5</v>
      </c>
      <c r="F7680">
        <f>HYPERLINK("https://www.reddit.com/r/diabetes/comments/dm41iv/diabetes_and_puberty/")</f>
        <v/>
      </c>
      <c r="G7680" t="inlineStr">
        <is>
          <t>2019-10-23 12:09:57</t>
        </is>
      </c>
      <c r="H7680" t="inlineStr">
        <is>
          <t>Type 1</t>
        </is>
      </c>
    </row>
    <row r="7681">
      <c r="A7681" t="inlineStr">
        <is>
          <t>dm4deg</t>
        </is>
      </c>
      <c r="B7681" t="inlineStr">
        <is>
          <t>Tandem X2 t slim pro tips? Best management practices?</t>
        </is>
      </c>
      <c r="C7681" t="inlineStr">
        <is>
          <t>Starting on the tandem x2 t slim tomorrow after 9 years of pumping with Medtronic. I’ve had Dexcom for a few years, currently G6. T1d 15yrs.
Seeking protips from all you tandem lovers out that. fave thing about your pump? Unique ways it’s helpful to you? 
I’m most excited for basalIQ!</t>
        </is>
      </c>
      <c r="D7681" t="n">
        <v>3</v>
      </c>
      <c r="E7681" t="n">
        <v>5</v>
      </c>
      <c r="F7681">
        <f>HYPERLINK("https://www.reddit.com/r/diabetes/comments/dm4deg/tandem_x2_t_slim_pro_tips_best_management/")</f>
        <v/>
      </c>
      <c r="G7681" t="inlineStr">
        <is>
          <t>2019-10-23 12:33:11</t>
        </is>
      </c>
      <c r="H7681" t="inlineStr">
        <is>
          <t>Type 1</t>
        </is>
      </c>
    </row>
    <row r="7682">
      <c r="A7682" t="inlineStr">
        <is>
          <t>dm66ls</t>
        </is>
      </c>
      <c r="B7682" t="inlineStr">
        <is>
          <t>Could this be possible kidney failure?</t>
        </is>
      </c>
      <c r="C7682" t="inlineStr">
        <is>
          <t>My blood sugar is ok range but my pee is a little foamy but not very. My pee is light yellow but not full on pale but it never turns dark and I don’t pee very often. I feel tired and lately after meals even if they have VERY little carbs will spike my sugar significantly. I’m just worried mostly cuz my pee never turns dark unless I absolutely do not drink water. I drink water all day however. I also feel this just awkward feeling in my body lately I don’t know how to explain it. I already got labs done but the results won’t be back till next week and I’m worried at what this could be.</t>
        </is>
      </c>
      <c r="D7682" t="n">
        <v>0</v>
      </c>
      <c r="E7682" t="n">
        <v>14</v>
      </c>
      <c r="F7682">
        <f>HYPERLINK("https://www.reddit.com/r/diabetes/comments/dm66ls/could_this_be_possible_kidney_failure/")</f>
        <v/>
      </c>
      <c r="G7682" t="inlineStr">
        <is>
          <t>2019-10-23 14:34:45</t>
        </is>
      </c>
      <c r="H7682" t="inlineStr">
        <is>
          <t>Type 2</t>
        </is>
      </c>
    </row>
    <row r="7683">
      <c r="A7683" t="inlineStr">
        <is>
          <t>dm7848</t>
        </is>
      </c>
      <c r="B7683" t="inlineStr">
        <is>
          <t>Dexcom G6 inaccuracy during sleep (positional?)</t>
        </is>
      </c>
      <c r="C7683" t="inlineStr">
        <is>
          <t>Just started on my G6 yesterday and everything went great with the set up. No glitches and I’m loving seeing how things like food, exercise, and basal versus bolus insulin impact my BG. BUT....
I placed the sensor as recommended on my abdomen - near my belly button area. Last night when I was sleeping my BG would go up precipitously when I laid on my opposite side from the sensor, and down precipitously when I laid on the same side as the sensor. Even though I was laying ON the sensor. Neither was accurate and my graph goes up and down like a see saw depending on which side I’m laying on. 
I find nothing in the Dexcom documentation about this. Is it normal? Anything I can do to prevent it? I hate sleeping on my back but I guess that’s what I have to do until my next sensor change.</t>
        </is>
      </c>
      <c r="D7683" t="n">
        <v>1</v>
      </c>
      <c r="E7683" t="n">
        <v>2</v>
      </c>
      <c r="F7683">
        <f>HYPERLINK("https://www.reddit.com/r/diabetes/comments/dm7848/dexcom_g6_inaccuracy_during_sleep_positional/")</f>
        <v/>
      </c>
      <c r="G7683" t="inlineStr">
        <is>
          <t>2019-10-23 15:47:10</t>
        </is>
      </c>
      <c r="H7683" t="inlineStr">
        <is>
          <t>Type 1</t>
        </is>
      </c>
    </row>
    <row r="7684">
      <c r="A7684" t="inlineStr">
        <is>
          <t>dm7jxb</t>
        </is>
      </c>
      <c r="B7684" t="inlineStr">
        <is>
          <t>Life with diabetes is a daily restart.</t>
        </is>
      </c>
      <c r="C7684" t="inlineStr">
        <is>
          <t>I’ve been diagnosed with T2D in 2017. In the beginning it was really hard to accept my hereditary destiny (my mom’s family is all diabetic). Since then I tried to keep taking the medicines but not had time to exercises and not following a properly diet. So my A1C skyrocketed to 13.0% and gained around 6 kg (92 kg total) and now I’m have to take three different types of medicines, follow a rigorous diet and get moderate or high level exercise almost everyday to try to down it. I already lost 3 kg since 30th September and I’m “sober” of sugar and junkie foods since that day. Hopefully the A1C will be in a good % and then I can eat at least an ice cream and bread, things that I love!</t>
        </is>
      </c>
      <c r="D7684" t="n">
        <v>1</v>
      </c>
      <c r="E7684" t="n">
        <v>5</v>
      </c>
      <c r="F7684">
        <f>HYPERLINK("https://www.reddit.com/r/diabetes/comments/dm7jxb/life_with_diabetes_is_a_daily_restart/")</f>
        <v/>
      </c>
      <c r="G7684" t="inlineStr">
        <is>
          <t>2019-10-23 16:10:32</t>
        </is>
      </c>
      <c r="H7684" t="inlineStr">
        <is>
          <t>Type 2</t>
        </is>
      </c>
    </row>
    <row r="7685">
      <c r="A7685" t="inlineStr">
        <is>
          <t>dm8h56</t>
        </is>
      </c>
      <c r="B7685" t="inlineStr">
        <is>
          <t>Yesterday marked 1 year since I was diagnosed with Type One</t>
        </is>
      </c>
      <c r="C7685" t="inlineStr">
        <is>
          <t>I know it's a rather small milestone, but it means a lot to me. When I was diagnosed, I also struggled with horrible social anxiety and depression. I've come a long way and making it to this point means a lot to me. It gets better. Always keep fighting, no matter how long or short you've had this shit. I wish I never had to deal with it - when someone asks me how I handle it, I just respond "I don't have a choice." But it does get better. Stay strong.</t>
        </is>
      </c>
      <c r="D7685" t="n">
        <v>17</v>
      </c>
      <c r="E7685" t="n">
        <v>7</v>
      </c>
      <c r="F7685">
        <f>HYPERLINK("https://www.reddit.com/r/diabetes/comments/dm8h56/yesterday_marked_1_year_since_i_was_diagnosed/")</f>
        <v/>
      </c>
      <c r="G7685" t="inlineStr">
        <is>
          <t>2019-10-23 17:21:59</t>
        </is>
      </c>
      <c r="H7685" t="inlineStr">
        <is>
          <t>Type 1</t>
        </is>
      </c>
    </row>
    <row r="7686">
      <c r="A7686" t="inlineStr">
        <is>
          <t>dmbhn3</t>
        </is>
      </c>
      <c r="B7686" t="inlineStr">
        <is>
          <t>How do you cope?</t>
        </is>
      </c>
      <c r="C7686" t="inlineStr">
        <is>
          <t>Sometimes I just will lay in bed and my stomach drops thinking about how I will have to live with this for the rest of my life. I try and talk to it with my friends, but they don’t have it and don’t understand. It’s such a dreadful feeling that there will never be a day I won’t have diabetes again, but I remember clearly what it was like to not have it.
Sorry if this is depressing I just don’t know how to cope with it...</t>
        </is>
      </c>
      <c r="D7686" t="n">
        <v>9</v>
      </c>
      <c r="E7686" t="n">
        <v>9</v>
      </c>
      <c r="F7686">
        <f>HYPERLINK("https://www.reddit.com/r/diabetes/comments/dmbhn3/how_do_you_cope/")</f>
        <v/>
      </c>
      <c r="G7686" t="inlineStr">
        <is>
          <t>2019-10-23 21:47:22</t>
        </is>
      </c>
      <c r="H7686" t="inlineStr">
        <is>
          <t>Type 1</t>
        </is>
      </c>
    </row>
    <row r="7687">
      <c r="A7687" t="inlineStr">
        <is>
          <t>dmbrak</t>
        </is>
      </c>
      <c r="B7687" t="inlineStr">
        <is>
          <t>Life expectancy?</t>
        </is>
      </c>
      <c r="C7687" t="inlineStr">
        <is>
          <t>I’ve done some unsettling reading online and found that Type One’s are expected to live 10-20 years less than those without diabetes. What I also understand, however, is that the people currently dying from this disease are those who weren’t able to take advantage of today’s technology. Do you think these estimates are still accurate for those of us with pumps and CGM’s? 
Follow up question, what is your take on diabetes and mortality? How do you approach the idea of the possibility of complications?</t>
        </is>
      </c>
      <c r="D7687" t="n">
        <v>9</v>
      </c>
      <c r="E7687" t="n">
        <v>15</v>
      </c>
      <c r="F7687">
        <f>HYPERLINK("https://www.reddit.com/r/diabetes/comments/dmbrak/life_expectancy/")</f>
        <v/>
      </c>
      <c r="G7687" t="inlineStr">
        <is>
          <t>2019-10-23 22:15:11</t>
        </is>
      </c>
      <c r="H7687" t="inlineStr">
        <is>
          <t>Type 1</t>
        </is>
      </c>
    </row>
    <row r="7688">
      <c r="A7688" t="inlineStr">
        <is>
          <t>dmdk2a</t>
        </is>
      </c>
      <c r="B7688" t="inlineStr">
        <is>
          <t>I am having my first extreme high</t>
        </is>
      </c>
      <c r="C7688" t="inlineStr">
        <is>
          <t>My meter says my blood sugar is over 600(I'm American), I have given myself a ton of insulin, how screwed am i, can someone tell me if I will be ok.</t>
        </is>
      </c>
      <c r="D7688" t="n">
        <v>16</v>
      </c>
      <c r="E7688" t="n">
        <v>15</v>
      </c>
      <c r="F7688">
        <f>HYPERLINK("https://www.reddit.com/r/diabetes/comments/dmdk2a/i_am_having_my_first_extreme_high/")</f>
        <v/>
      </c>
      <c r="G7688" t="inlineStr">
        <is>
          <t>2019-10-24 01:44:05</t>
        </is>
      </c>
      <c r="H7688" t="inlineStr">
        <is>
          <t>Type 1</t>
        </is>
      </c>
    </row>
    <row r="7689">
      <c r="A7689" t="inlineStr">
        <is>
          <t>dmhxb5</t>
        </is>
      </c>
      <c r="B7689" t="inlineStr">
        <is>
          <t>Great HbA1c improvement :)</t>
        </is>
      </c>
      <c r="C7689" t="inlineStr">
        <is>
          <t>HbA1c time....     
April 2019 - 83   
October 2019 - 55   
I ❤️ my Libre</t>
        </is>
      </c>
      <c r="D7689" t="n">
        <v>6</v>
      </c>
      <c r="E7689" t="n">
        <v>1</v>
      </c>
      <c r="F7689">
        <f>HYPERLINK("https://www.reddit.com/r/diabetes/comments/dmhxb5/great_hba1c_improvement/")</f>
        <v/>
      </c>
      <c r="G7689" t="inlineStr">
        <is>
          <t>2019-10-24 08:21:53</t>
        </is>
      </c>
      <c r="H7689" t="inlineStr">
        <is>
          <t>Type 1</t>
        </is>
      </c>
    </row>
    <row r="7690">
      <c r="A7690" t="inlineStr">
        <is>
          <t>dmke4h</t>
        </is>
      </c>
      <c r="B7690" t="inlineStr">
        <is>
          <t>Vegan diet tips for T1D *Specifically breakfast foods*</t>
        </is>
      </c>
      <c r="C7690" t="inlineStr">
        <is>
          <t>I'm looking to change my diet and wondering what vegan diets you're on. I'm lactose intolerant and T1D, so vegan would be the way to go…
&amp;amp;#x200B;
Have any food tips? Breakfast food tips?
&amp;amp;#x200B;
Thanks!</t>
        </is>
      </c>
      <c r="D7690" t="n">
        <v>0</v>
      </c>
      <c r="E7690" t="n">
        <v>5</v>
      </c>
      <c r="F7690">
        <f>HYPERLINK("https://www.reddit.com/r/diabetes/comments/dmke4h/vegan_diet_tips_for_t1d_specifically_breakfast/")</f>
        <v/>
      </c>
      <c r="G7690" t="inlineStr">
        <is>
          <t>2019-10-24 11:19:09</t>
        </is>
      </c>
      <c r="H7690" t="inlineStr">
        <is>
          <t>Type 1</t>
        </is>
      </c>
    </row>
    <row r="7691">
      <c r="A7691" t="inlineStr">
        <is>
          <t>dml5d1</t>
        </is>
      </c>
      <c r="B7691" t="inlineStr">
        <is>
          <t>Need Questions and Topic Input for Juvenile Diabetes Research Foundation (JDRF) Summit</t>
        </is>
      </c>
      <c r="C7691" t="inlineStr">
        <is>
          <t>I am a Registered Dietitian and Type 1 Diabetic since the age of 9 (21 years). I have grown from injections to now I have the 670g Medtronic Pump and Glucose Sensor.
I am hosting a "Ask a Dietitian" table at the Annual JDRF TypeOneNation Summit on November 23rd in Danbury CT.
I wanted to reach out and ask for anyone who has been newly diagnosed over the past few years and/or anyone who is always looking for new information; what are some topics or questions you believe I should tackle or prepare for?
I am trying to think outside the box as I am accustom to the "basic" questions regarding what can or can't I eat, but since it has been so long since I initially was diagnosed, I would like to know what concerns many of newly diagnosed individuals or parents with newly diagnosed children have? Situations that you encounter? Problems that erupt? etc.
I will be providing handouts and putting together a slide show but I would really like to come equipped with enough information that I can seriously help those that reach out. Thank you</t>
        </is>
      </c>
      <c r="D7691" t="n">
        <v>1</v>
      </c>
      <c r="E7691" t="n">
        <v>1</v>
      </c>
      <c r="F7691">
        <f>HYPERLINK("https://www.reddit.com/r/diabetes/comments/dml5d1/need_questions_and_topic_input_for_juvenile/")</f>
        <v/>
      </c>
      <c r="G7691" t="inlineStr">
        <is>
          <t>2019-10-24 12:12:41</t>
        </is>
      </c>
      <c r="H7691" t="inlineStr">
        <is>
          <t>Type 1</t>
        </is>
      </c>
    </row>
    <row r="7692">
      <c r="A7692" t="inlineStr">
        <is>
          <t>dmla0e</t>
        </is>
      </c>
      <c r="B7692" t="inlineStr">
        <is>
          <t>T1D here. Does anyone else wake up with a hacking cough due to high blood sugar?</t>
        </is>
      </c>
      <c r="C7692" t="inlineStr">
        <is>
          <t>I'm not 100% sure that it's a diabetes thing, but mornings that I wake up and my sugar is 180+ (which is about 95% of the time) I have a brutal hacking cough. I never thought it was diabetes related but then I did the whole 30 diet a few months ago which eliminates a huge amount of carbs you can consume. In that month my BG was as been as good as it's been in the last 8-9 years probably. And for the first time since I remember I was waking up and not coughing up a lung.  I suppose this could be more related to the food that I eat and not so much about diabetes, but I just wanted to see if anyone here also wakes up with a hacking cough when their sugar is too high or if it's just me</t>
        </is>
      </c>
      <c r="D7692" t="n">
        <v>2</v>
      </c>
      <c r="E7692" t="n">
        <v>4</v>
      </c>
      <c r="F7692">
        <f>HYPERLINK("https://www.reddit.com/r/diabetes/comments/dmla0e/t1d_here_does_anyone_else_wake_up_with_a_hacking/")</f>
        <v/>
      </c>
      <c r="G7692" t="inlineStr">
        <is>
          <t>2019-10-24 12:22:43</t>
        </is>
      </c>
      <c r="H7692" t="inlineStr">
        <is>
          <t>Type 1</t>
        </is>
      </c>
    </row>
    <row r="7693">
      <c r="A7693" t="inlineStr">
        <is>
          <t>dmmwnn</t>
        </is>
      </c>
      <c r="B7693" t="inlineStr">
        <is>
          <t>(not) sugar free drinks</t>
        </is>
      </c>
      <c r="C7693" t="inlineStr">
        <is>
          <t>Hello, i just thought i'd let people know it seems pepsi for the second time labelled a pepsi normal as a pepsi max and it's fucked my bloods up completely for today, beware and try a bit and test if you buy some.</t>
        </is>
      </c>
      <c r="D7693" t="n">
        <v>0</v>
      </c>
      <c r="E7693" t="n">
        <v>29</v>
      </c>
      <c r="F7693">
        <f>HYPERLINK("https://www.reddit.com/r/diabetes/comments/dmmwnn/not_sugar_free_drinks/")</f>
        <v/>
      </c>
      <c r="G7693" t="inlineStr">
        <is>
          <t>2019-10-24 14:12:55</t>
        </is>
      </c>
      <c r="H7693" t="inlineStr">
        <is>
          <t>Type 1</t>
        </is>
      </c>
    </row>
    <row r="7694">
      <c r="A7694" t="inlineStr">
        <is>
          <t>dmnudq</t>
        </is>
      </c>
      <c r="B7694" t="inlineStr">
        <is>
          <t>Does it make any sense that injecting to the left-arm makes faster results? (MDI, Humalog)</t>
        </is>
      </c>
      <c r="C7694" t="inlineStr">
        <is>
          <t>Does it make any sense that injecting to the left-arm makes faster results? (MDI, Humalog)
I was wondering if I totally made that up, but that would make a lot of coincidences, or if it could be linked to some physical logic, like having our hearts on the left side… I don't know, sorry if that's silly.</t>
        </is>
      </c>
      <c r="D7694" t="n">
        <v>2</v>
      </c>
      <c r="E7694" t="n">
        <v>5</v>
      </c>
      <c r="F7694">
        <f>HYPERLINK("https://www.reddit.com/r/diabetes/comments/dmnudq/does_it_make_any_sense_that_injecting_to_the/")</f>
        <v/>
      </c>
      <c r="G7694" t="inlineStr">
        <is>
          <t>2019-10-24 15:17:54</t>
        </is>
      </c>
      <c r="H7694" t="inlineStr">
        <is>
          <t>Type 1</t>
        </is>
      </c>
    </row>
    <row r="7695">
      <c r="A7695" t="inlineStr">
        <is>
          <t>dmx7ay</t>
        </is>
      </c>
      <c r="B7695" t="inlineStr">
        <is>
          <t>Sometimes I didn’t understand my T2M</t>
        </is>
      </c>
      <c r="C7695" t="inlineStr">
        <is>
          <t>Yesterday I ate around 400g of carbs all day long.
I only took my medicines and didn’t have time to exercise myself, but my BG today morning was 102, totally in my range.
The first one yesterday was around 130 and the last one around 160.
Yes I know that I can’t eat so much carbs, but today I will follow the diet and I intend to go outside for a run after work.</t>
        </is>
      </c>
      <c r="D7695" t="n">
        <v>1</v>
      </c>
      <c r="E7695" t="n">
        <v>4</v>
      </c>
      <c r="F7695">
        <f>HYPERLINK("https://www.reddit.com/r/diabetes/comments/dmx7ay/sometimes_i_didnt_understand_my_t2m/")</f>
        <v/>
      </c>
      <c r="G7695" t="inlineStr">
        <is>
          <t>2019-10-25 06:07:24</t>
        </is>
      </c>
      <c r="H7695" t="inlineStr">
        <is>
          <t>Type 2</t>
        </is>
      </c>
    </row>
    <row r="7696">
      <c r="A7696" t="inlineStr">
        <is>
          <t>dmzxvk</t>
        </is>
      </c>
      <c r="B7696" t="inlineStr">
        <is>
          <t>Just got diagnosed with diabetic nephropathy</t>
        </is>
      </c>
      <c r="C7696" t="inlineStr">
        <is>
          <t>Hey fellow diabetics. 
I am 23 years old and just got diagnosed with diabetic nephropathy (the one that can only be slowed down and not reversed). I got diabetes at 3 years old and apparently the last 20 years took a  toll on my kidneys. My hba1c has usually been below 7 for the last few years. Needless to say that now I will even watch it more closely and ensure it is around the 6,5 mark. Now my first appointment with an expert for kidney issues is scheduled in two weeks. I obviously am panicking and would like to ask a few questions to those who might have the disease or have more knowledge about it than me.
&amp;amp;#x200B;
1. the most important one basically: with todays medicine if blood pressure, medication and hb1ac are adjusted correctly can the disease be slowed down drasticall enough for me to avoid kidney failure and dialysis? 
2. If no, can I have 20 or 30 more good years until it happens?
3. Can I, with the possibility of dialysis and a kidney transplant grow old? Or will I die before I reach 60 or 70?
4. I will consult a therapist to deal with this crap, can someone maybe share a positive story or experience about this stuff? Like is life still worth living and can I have children and find a loving partner?
&amp;amp;#x200B;
I  basically hate my life right now. But it's only been hours since the diagnosis. Please watch your health guys, we only have one chance and this stupid disease is unforgiving, no matter how old you were when you made mistakes.</t>
        </is>
      </c>
      <c r="D7696" t="n">
        <v>4</v>
      </c>
      <c r="E7696" t="n">
        <v>6</v>
      </c>
      <c r="F7696">
        <f>HYPERLINK("https://www.reddit.com/r/diabetes/comments/dmzxvk/just_got_diagnosed_with_diabetic_nephropathy/")</f>
        <v/>
      </c>
      <c r="G7696" t="inlineStr">
        <is>
          <t>2019-10-25 09:32:41</t>
        </is>
      </c>
      <c r="H7696" t="inlineStr">
        <is>
          <t>Type 1</t>
        </is>
      </c>
    </row>
    <row r="7697">
      <c r="A7697" t="inlineStr">
        <is>
          <t>dn1ci1</t>
        </is>
      </c>
      <c r="B7697" t="inlineStr">
        <is>
          <t>Good News! I got my Kid's 90 Day Novalog Script Free!......</t>
        </is>
      </c>
      <c r="C7697" t="inlineStr">
        <is>
          <t>.....because I met my $5000 deductible and cleared out $3000 flexible spending account. 
And we have pretty good insurance.</t>
        </is>
      </c>
      <c r="D7697" t="n">
        <v>6</v>
      </c>
      <c r="E7697" t="n">
        <v>2</v>
      </c>
      <c r="F7697">
        <f>HYPERLINK("https://www.reddit.com/r/diabetes/comments/dn1ci1/good_news_i_got_my_kids_90_day_novalog_script_free/")</f>
        <v/>
      </c>
      <c r="G7697" t="inlineStr">
        <is>
          <t>2019-10-25 11:11:23</t>
        </is>
      </c>
      <c r="H7697" t="inlineStr">
        <is>
          <t>Type 1</t>
        </is>
      </c>
    </row>
    <row r="7698">
      <c r="A7698" t="inlineStr">
        <is>
          <t>dn1t3b</t>
        </is>
      </c>
      <c r="B7698" t="inlineStr">
        <is>
          <t>I’m in need of motivation</t>
        </is>
      </c>
      <c r="C7698" t="inlineStr">
        <is>
          <t>Hey guys! You’ve probably seen me post a quite a few months ago asking for help, and here I am again, asking for more.... 
My diabetic doctor has been away on maternity leave for quite a few months now and I haven’t been able to talk to anyone about my sugars! I’ve fallen back into not doing them and I really need to get into! If I could get some POSITIVE inspo and advice it would much appreciated!
About me in case you need/want it:
I am 16
Been diabetic for 15 years
Only have one doctor to go to
I am female and identify as such</t>
        </is>
      </c>
      <c r="D7698" t="n">
        <v>3</v>
      </c>
      <c r="E7698" t="n">
        <v>2</v>
      </c>
      <c r="F7698">
        <f>HYPERLINK("https://www.reddit.com/r/diabetes/comments/dn1t3b/im_in_need_of_motivation/")</f>
        <v/>
      </c>
      <c r="G7698" t="inlineStr">
        <is>
          <t>2019-10-25 11:43:20</t>
        </is>
      </c>
      <c r="H7698" t="inlineStr">
        <is>
          <t>Type 1</t>
        </is>
      </c>
    </row>
    <row r="7699">
      <c r="A7699" t="inlineStr">
        <is>
          <t>dn21lr</t>
        </is>
      </c>
      <c r="B7699" t="inlineStr">
        <is>
          <t>I accidentally stopped my pump from filling the set's cannula. Will it affect my insulin delivery?</t>
        </is>
      </c>
      <c r="C7699" t="inlineStr">
        <is>
          <t>I use a Tandem t-slim X2 pump with the 3mL cartridge and AutoSoft 90 insets. This tandem pump is new, because my old one suddenly malfunctioned and had to be replaced. As such, I had to re-enter all of my settings into the new pump. However, when I inserted a new inset, I forgot to change the amount of insulin that is used to fill the cannula. It's automatically set to 0.7, but for my inset, it needs to be 0.3, so I stopped the cannula fill. I tried to do it again, but it wouldn't let me. I ended up needing to give myself a bolus, so I added an extra 0.3 units. Will this make up for the missing cannula fill, or is this going to have an effect on the rest of my insulin delivery with this set?</t>
        </is>
      </c>
      <c r="D7699" t="n">
        <v>3</v>
      </c>
      <c r="E7699" t="n">
        <v>4</v>
      </c>
      <c r="F7699">
        <f>HYPERLINK("https://www.reddit.com/r/diabetes/comments/dn21lr/i_accidentally_stopped_my_pump_from_filling_the/")</f>
        <v/>
      </c>
      <c r="G7699" t="inlineStr">
        <is>
          <t>2019-10-25 12:00:00</t>
        </is>
      </c>
      <c r="H7699" t="inlineStr">
        <is>
          <t>Type 1</t>
        </is>
      </c>
    </row>
    <row r="7700">
      <c r="A7700" t="inlineStr">
        <is>
          <t>dn5ggm</t>
        </is>
      </c>
      <c r="B7700" t="inlineStr">
        <is>
          <t>My A1C was so good my endo said to not change a thing.</t>
        </is>
      </c>
      <c r="C7700" t="inlineStr">
        <is>
          <t>Went to the endo today. They have that A1C reader at her clinic. Result last visit was 6.2. This visit it was 5.8, with 90% bl glucose in range over the past two weeks. My graph was practically a flat line. She said I have the lowest A1C out of all her patients, and that I should just keep doing what I'm doing. Quickest visit I ever had. lol</t>
        </is>
      </c>
      <c r="D7700" t="n">
        <v>52</v>
      </c>
      <c r="E7700" t="n">
        <v>7</v>
      </c>
      <c r="F7700">
        <f>HYPERLINK("https://www.reddit.com/r/diabetes/comments/dn5ggm/my_a1c_was_so_good_my_endo_said_to_not_change_a/")</f>
        <v/>
      </c>
      <c r="G7700" t="inlineStr">
        <is>
          <t>2019-10-25 16:08:31</t>
        </is>
      </c>
      <c r="H7700" t="inlineStr">
        <is>
          <t>Type 1</t>
        </is>
      </c>
    </row>
    <row r="7701">
      <c r="A7701" t="inlineStr">
        <is>
          <t>dn9rn8</t>
        </is>
      </c>
      <c r="B7701" t="inlineStr">
        <is>
          <t>Embarrassed boyfriend</t>
        </is>
      </c>
      <c r="C7701" t="inlineStr">
        <is>
          <t>My boyfeiend told me he is uncomfortable taking his insulin around pretty much anyone. In my mind, there isn't anything to be embarrassed about. I respect his feelings though.  
I'm wondering if anyone has advice on how to help him feel more comfortable with taking it around me? I'm not going to be upset if he never will, but I want to make sure I'm not going to do anything to make him feel uncomfortable.</t>
        </is>
      </c>
      <c r="D7701" t="n">
        <v>3</v>
      </c>
      <c r="E7701" t="n">
        <v>12</v>
      </c>
      <c r="F7701">
        <f>HYPERLINK("https://www.reddit.com/r/diabetes/comments/dn9rn8/embarrassed_boyfriend/")</f>
        <v/>
      </c>
      <c r="G7701" t="inlineStr">
        <is>
          <t>2019-10-25 22:41:03</t>
        </is>
      </c>
      <c r="H7701" t="inlineStr">
        <is>
          <t>Type 1</t>
        </is>
      </c>
    </row>
    <row r="7702">
      <c r="A7702" t="inlineStr">
        <is>
          <t>dnflrp</t>
        </is>
      </c>
      <c r="B7702" t="inlineStr">
        <is>
          <t>Dexcom G6 sensor issues!</t>
        </is>
      </c>
      <c r="C7702" t="inlineStr">
        <is>
          <t>Has anyone had problems with the reliability of G6 sensors?
After wearing a G6 for about a year, I'm pretty happy with the improved technology but swear G5 sensors were more reliable!
I had my 3rd crap out this morning.....</t>
        </is>
      </c>
      <c r="D7702" t="n">
        <v>2</v>
      </c>
      <c r="E7702" t="n">
        <v>2</v>
      </c>
      <c r="F7702">
        <f>HYPERLINK("https://www.reddit.com/r/diabetes/comments/dnflrp/dexcom_g6_sensor_issues/")</f>
        <v/>
      </c>
      <c r="G7702" t="inlineStr">
        <is>
          <t>2019-10-26 08:51:24</t>
        </is>
      </c>
      <c r="H7702" t="inlineStr">
        <is>
          <t>Type 1</t>
        </is>
      </c>
    </row>
    <row r="7703">
      <c r="A7703" t="inlineStr">
        <is>
          <t>dnmff0</t>
        </is>
      </c>
      <c r="B7703" t="inlineStr">
        <is>
          <t>Recently diagnosed</t>
        </is>
      </c>
      <c r="C7703" t="inlineStr">
        <is>
          <t>I'm really trying to stay positive but I'm rewiring 18 years of eating habits and it's really difficult, especially when I'm feeling a lack of support around me. Are there any tips I should know? Any ways to make this easier?  I feel super demoralized.</t>
        </is>
      </c>
      <c r="D7703" t="n">
        <v>3</v>
      </c>
      <c r="E7703" t="n">
        <v>5</v>
      </c>
      <c r="F7703">
        <f>HYPERLINK("https://www.reddit.com/r/diabetes/comments/dnmff0/recently_diagnosed/")</f>
        <v/>
      </c>
      <c r="G7703" t="inlineStr">
        <is>
          <t>2019-10-26 17:47:25</t>
        </is>
      </c>
      <c r="H7703" t="inlineStr">
        <is>
          <t>Type 1</t>
        </is>
      </c>
    </row>
    <row r="7704">
      <c r="A7704" t="inlineStr">
        <is>
          <t>dnn4pr</t>
        </is>
      </c>
      <c r="B7704" t="inlineStr">
        <is>
          <t>Disability Benefits</t>
        </is>
      </c>
      <c r="C7704" t="inlineStr">
        <is>
          <t>What money and tax benefits are you currently receiving due to your diabetes diagnosis? Also include what treatment you do for your condition.</t>
        </is>
      </c>
      <c r="D7704" t="n">
        <v>0</v>
      </c>
      <c r="E7704" t="n">
        <v>14</v>
      </c>
      <c r="F7704">
        <f>HYPERLINK("https://www.reddit.com/r/diabetes/comments/dnn4pr/disability_benefits/")</f>
        <v/>
      </c>
      <c r="G7704" t="inlineStr">
        <is>
          <t>2019-10-26 18:51:06</t>
        </is>
      </c>
      <c r="H7704" t="inlineStr">
        <is>
          <t>Type 2</t>
        </is>
      </c>
    </row>
    <row r="7705">
      <c r="A7705" t="inlineStr">
        <is>
          <t>dno1tx</t>
        </is>
      </c>
      <c r="B7705" t="inlineStr">
        <is>
          <t>Tandem's new Control-IQ. When's it coming to Canada?</t>
        </is>
      </c>
      <c r="C7705" t="inlineStr">
        <is>
          <t>So, I've been hearing that Tandem is working with Dexcom and someone else to make a Control-IQ auto basal system.
I'm looking to get a T:slim pump and this would be a great selling point for me.
Thing is, I'm Canadian and I've heard it takes time for new technologies to cross the border.
Does anybody have any idea when this new software would be coming to Canada if at all?</t>
        </is>
      </c>
      <c r="D7705" t="n">
        <v>2</v>
      </c>
      <c r="E7705" t="n">
        <v>1</v>
      </c>
      <c r="F7705">
        <f>HYPERLINK("https://www.reddit.com/r/diabetes/comments/dno1tx/tandems_new_controliq_whens_it_coming_to_canada/")</f>
        <v/>
      </c>
      <c r="G7705" t="inlineStr">
        <is>
          <t>2019-10-26 20:19:23</t>
        </is>
      </c>
      <c r="H7705" t="inlineStr">
        <is>
          <t>Type 1</t>
        </is>
      </c>
    </row>
    <row r="7706">
      <c r="A7706" t="inlineStr">
        <is>
          <t>dnwfqp</t>
        </is>
      </c>
      <c r="B7706" t="inlineStr">
        <is>
          <t>Are chicken thighs ok for people with T2?</t>
        </is>
      </c>
      <c r="C7706" t="inlineStr">
        <is>
          <t>Recently took a hit at work with hours getting cut, so that means I kind of have to change my diet up a bit. I used to eat Salmon, steak, chicken breasts, ground turkey, etc. But now for sure I have to cut out the salmon and the steak, they're way too expensive for me now. Is it ok to add in chicken thighs along with ground turkey and chicken breasts? I know they have a lot of fat, not sure if it considered "healthy" or not. Also any suggestions for cheaper meat/fish sources? I know tuna is cheap but don't want to eat them everyday because of the mercury issue.
Also if anyone can give me a general critique on my current diet, would be appreciated.
&amp;amp;#x200B;
Current diet:
Blueberries
Cheese
Ground turkey or beef
Salmon
Steak
Chicken breasts
Almonds
Eggs
Almond butter
Broccoli
Spinach
Flax seeds
Occasional tuna
Olive Oil.
&amp;amp;#x200B;
Any suggestions on anything I can add to my diet or anything I should take out?</t>
        </is>
      </c>
      <c r="D7706" t="n">
        <v>2</v>
      </c>
      <c r="E7706" t="n">
        <v>13</v>
      </c>
      <c r="F7706">
        <f>HYPERLINK("https://www.reddit.com/r/diabetes/comments/dnwfqp/are_chicken_thighs_ok_for_people_with_t2/")</f>
        <v/>
      </c>
      <c r="G7706" t="inlineStr">
        <is>
          <t>2019-10-27 10:16:00</t>
        </is>
      </c>
      <c r="H7706" t="inlineStr">
        <is>
          <t>Type 2</t>
        </is>
      </c>
    </row>
    <row r="7707">
      <c r="A7707" t="inlineStr">
        <is>
          <t>dnygce</t>
        </is>
      </c>
      <c r="B7707" t="inlineStr">
        <is>
          <t>For those who experienced weight loss on Metformin, how long did the weight loss continue?</t>
        </is>
      </c>
      <c r="C7707" t="inlineStr">
        <is>
          <t>I started Metformin on the 29th of last month. I have lost 10 pounds so far this month. I'm just never hungry and if I do eat something I get violent painful diarrhea that makes me not want to eat anything. If I were a normal weight this would be a problem, but I started this med at 260 at 5'10, now I am 250. Hopefully, I can get down to 190 or so if the side effects continue long term.</t>
        </is>
      </c>
      <c r="D7707" t="n">
        <v>0</v>
      </c>
      <c r="E7707" t="n">
        <v>5</v>
      </c>
      <c r="F7707">
        <f>HYPERLINK("https://www.reddit.com/r/diabetes/comments/dnygce/for_those_who_experienced_weight_loss_on/")</f>
        <v/>
      </c>
      <c r="G7707" t="inlineStr">
        <is>
          <t>2019-10-27 12:46:05</t>
        </is>
      </c>
      <c r="H7707" t="inlineStr">
        <is>
          <t>Type 2</t>
        </is>
      </c>
    </row>
    <row r="7708">
      <c r="A7708" t="inlineStr">
        <is>
          <t>dnyrx2</t>
        </is>
      </c>
      <c r="B7708" t="inlineStr">
        <is>
          <t>I don’t like to brag but...</t>
        </is>
      </c>
      <c r="C7708" t="inlineStr">
        <is>
          <t>I was diagnosed 6 months ago and the other day I did my a1c thingy (I know that’s not the name of it but I forget the name) and it’s 51 which I am told is good! Especially because I haven’t even started carb counting yet! I start tomorrow.</t>
        </is>
      </c>
      <c r="D7708" t="n">
        <v>2</v>
      </c>
      <c r="E7708" t="n">
        <v>6</v>
      </c>
      <c r="F7708">
        <f>HYPERLINK("https://www.reddit.com/r/diabetes/comments/dnyrx2/i_dont_like_to_brag_but/")</f>
        <v/>
      </c>
      <c r="G7708" t="inlineStr">
        <is>
          <t>2019-10-27 13:17:19</t>
        </is>
      </c>
      <c r="H7708" t="inlineStr">
        <is>
          <t>Type 1</t>
        </is>
      </c>
    </row>
    <row r="7709">
      <c r="A7709" t="inlineStr">
        <is>
          <t>dnzxkl</t>
        </is>
      </c>
      <c r="B7709" t="inlineStr">
        <is>
          <t>U-500 questions</t>
        </is>
      </c>
      <c r="C7709" t="inlineStr">
        <is>
          <t>My education nurse informed me at my next upcoming endo meeting my endo is wanting discuss changing me to u-500 insulin based on my constant maximum in auto mode for my 670g. Im not truly thrilled by this because after reading up its just humilin R. Previously before pump I was off insurance and living on humilin r from the diabetic survival guide and it absolutely wrecked me numbers wise. I'm frustrated kinda because I'd have to bolus almost an hour before meal to not hit the 400s I got previously on humilin r and due to my job that would be unacceptable. Bolusing an hour early too I might not even get time to eat lunch due to whatever may happen within that hour.  The concentrated amount seems cool to take less insulin but I'm not keen on messing myself up again.
Has anyone else been through this? Does anyone have advice on questions to ask? Or this situation? My insurance only wants to cover novolog but I know the doc can sign paperwork to say this is the treatment and they'll play ball with that.  
Thanks</t>
        </is>
      </c>
      <c r="D7709" t="n">
        <v>2</v>
      </c>
      <c r="E7709" t="n">
        <v>5</v>
      </c>
      <c r="F7709">
        <f>HYPERLINK("https://www.reddit.com/r/diabetes/comments/dnzxkl/u500_questions/")</f>
        <v/>
      </c>
      <c r="G7709" t="inlineStr">
        <is>
          <t>2019-10-27 15:09:50</t>
        </is>
      </c>
      <c r="H7709" t="inlineStr">
        <is>
          <t>Type 1</t>
        </is>
      </c>
    </row>
    <row r="7710">
      <c r="A7710" t="inlineStr">
        <is>
          <t>do0vdy</t>
        </is>
      </c>
      <c r="B7710" t="inlineStr">
        <is>
          <t>I'm having a lot of (non-neuropathy related) pain. I'm going to ask my endo next week to screen me for peripheral artery disease. What else should I ask to be screened for?</t>
        </is>
      </c>
      <c r="C7710" t="inlineStr">
        <is>
          <t>I already know this isn't neuropathy because I've had neuropathy since I was diagnosed, and it has a very distinct pressurized stinging pain associated with it.
&amp;amp;#x200B;
This is different. This pain is directly correlated to the amount of physical activity I do. If I try to write for more than five minutes then my hands start to freeze up and it gets difficult to write. If I try to push through it, then I start feeling a lot of pain in my hands. I'd think that it was just writer's cramp, but if it is, then why is it happening after just a few minutes of writing/10 minutes of typing and why is it also happening in my legs. I feel like I'm unable to run. If I try to walk more than a  block, then my legs start to freeze up and I have to move them weirdly, like I have to move my hips more than my calves. And when I try to push through it, then my legs start to be in pain.  Just yesterday I speed walked three blocks and was in pain for 15-30 minutes. I couldn't bare to bend my legs and was having a lot of difficulty standing. 
&amp;amp;#x200B;
I've been diagnosed with t1 diabetes since I was 9 and I am now 20. I didn't get proper control of my diabetes until I was around 16, but it has definitely gotten worse since then. I'm not overweight but I AM unfit. Could that be the only reason Im in pain when I try to do anything that requires physical effort? 
&amp;amp;#x200B;
It is significantly affecting my life and I want this to stop.
&amp;amp;#x200B;
What things besides peripheral artery disease are there that are complications from diabetes and could be causing this?</t>
        </is>
      </c>
      <c r="D7710" t="n">
        <v>1</v>
      </c>
      <c r="E7710" t="n">
        <v>4</v>
      </c>
      <c r="F7710">
        <f>HYPERLINK("https://www.reddit.com/r/diabetes/comments/do0vdy/im_having_a_lot_of_nonneuropathy_related_pain_im/")</f>
        <v/>
      </c>
      <c r="G7710" t="inlineStr">
        <is>
          <t>2019-10-27 16:27:18</t>
        </is>
      </c>
      <c r="H7710" t="inlineStr">
        <is>
          <t>Type 1</t>
        </is>
      </c>
    </row>
    <row r="7711">
      <c r="A7711" t="inlineStr">
        <is>
          <t>do2ojj</t>
        </is>
      </c>
      <c r="B7711" t="inlineStr">
        <is>
          <t>High readings</t>
        </is>
      </c>
      <c r="C7711" t="inlineStr">
        <is>
          <t>I have had readings of 590 (32.8mmol) on my meter (confirmed on two meters) I am on metformin 2000mg I’m on ardix gliclazide 120mg, and jardiance 10mg. I visited my doctor and he didn’t seem that concerned. 
I have been told by the health care line that blood glucose levels that high is an emergency situation. 
My doctor doesn’t want to put me on insulin because I’m only 32 years old. 
Should I be worried?</t>
        </is>
      </c>
      <c r="D7711" t="n">
        <v>4</v>
      </c>
      <c r="E7711" t="n">
        <v>26</v>
      </c>
      <c r="F7711">
        <f>HYPERLINK("https://www.reddit.com/r/diabetes/comments/do2ojj/high_readings/")</f>
        <v/>
      </c>
      <c r="G7711" t="inlineStr">
        <is>
          <t>2019-10-27 19:12:06</t>
        </is>
      </c>
      <c r="H7711" t="inlineStr">
        <is>
          <t>Type 2</t>
        </is>
      </c>
    </row>
    <row r="7712">
      <c r="A7712" t="inlineStr">
        <is>
          <t>do42hj</t>
        </is>
      </c>
      <c r="B7712" t="inlineStr">
        <is>
          <t>AirPods + Dexcom G6. Any Drawbacks? Does one run the risk of not hearing Low BG alerts?</t>
        </is>
      </c>
      <c r="C7712" t="inlineStr">
        <is>
          <t>Please advise.</t>
        </is>
      </c>
      <c r="D7712" t="n">
        <v>4</v>
      </c>
      <c r="E7712" t="n">
        <v>1</v>
      </c>
      <c r="F7712">
        <f>HYPERLINK("https://www.reddit.com/r/diabetes/comments/do42hj/airpods_dexcom_g6_any_drawbacks_does_one_run_the/")</f>
        <v/>
      </c>
      <c r="G7712" t="inlineStr">
        <is>
          <t>2019-10-27 21:32:50</t>
        </is>
      </c>
      <c r="H7712" t="inlineStr">
        <is>
          <t>Type 1</t>
        </is>
      </c>
    </row>
    <row r="7713">
      <c r="A7713" t="inlineStr">
        <is>
          <t>do8crd</t>
        </is>
      </c>
      <c r="B7713" t="inlineStr">
        <is>
          <t>Change for the better... do you remember us?</t>
        </is>
      </c>
      <c r="C7713" t="inlineStr">
        <is>
          <t>You may remember us, I’m under a new account. I was the boyfriend of the non-compliant diabetic girlfriend. She was diagnosed in 2008 at 10 years old. She was constantly running high blood sugars (400+), in DKA, and had an A1C of 16+... she never wanted a pump or anything to do with getting better.
Here we are 1-2 years later, anddddddd *drumroll* she is doing sooo much better! She has a A1C of 8, average blood sugar of 150, the only trips to the hospital/medical office are to her endocrine checking up and about getting a pump.</t>
        </is>
      </c>
      <c r="D7713" t="n">
        <v>20</v>
      </c>
      <c r="E7713" t="n">
        <v>6</v>
      </c>
      <c r="F7713">
        <f>HYPERLINK("https://www.reddit.com/r/diabetes/comments/do8crd/change_for_the_better_do_you_remember_us/")</f>
        <v/>
      </c>
      <c r="G7713" t="inlineStr">
        <is>
          <t>2019-10-28 05:47:09</t>
        </is>
      </c>
      <c r="H7713" t="inlineStr">
        <is>
          <t>Type 1</t>
        </is>
      </c>
    </row>
    <row r="7714">
      <c r="A7714" t="inlineStr">
        <is>
          <t>dos44u</t>
        </is>
      </c>
      <c r="B7714" t="inlineStr">
        <is>
          <t>Question about ketones</t>
        </is>
      </c>
      <c r="C7714" t="inlineStr">
        <is>
          <t>Hey everyone, 
Last week i could not get my glucoses stable to save my life. I averaged around 14mmol and went up to 18 maybe once or twice. Since yesterday i’ve been in range again, between 4-9. 
The thing is that I felt really ill ever since then. All the symptoms would point towards DKA but i’m also unsure since my family recently had a stomach flu and i was the only one that didn’t. 
My question is, is it possible to have DKA with glucoses that are in normal range? 
((I cant measure my ketones. I didn’t even know you could measure them at home up until now. I ordered one but i’m not sure if waiting would be a good idea if there’s a possibility of me having DKA))
Thank you.</t>
        </is>
      </c>
      <c r="D7714" t="n">
        <v>2</v>
      </c>
      <c r="E7714" t="n">
        <v>4</v>
      </c>
      <c r="F7714">
        <f>HYPERLINK("https://www.reddit.com/r/diabetes/comments/dos44u/question_about_ketones/")</f>
        <v/>
      </c>
      <c r="G7714" t="inlineStr">
        <is>
          <t>2019-10-29 09:19:27</t>
        </is>
      </c>
      <c r="H7714" t="inlineStr">
        <is>
          <t>Type 1</t>
        </is>
      </c>
    </row>
    <row r="7715">
      <c r="A7715" t="inlineStr">
        <is>
          <t>dov5u9</t>
        </is>
      </c>
      <c r="B7715" t="inlineStr">
        <is>
          <t>Frustrated and Floundering</t>
        </is>
      </c>
      <c r="C7715" t="inlineStr">
        <is>
          <t>I'm fairly newly diagnosed, and I'm not getting the care I need. And I'm frustrated.
I've suffered since puberty from PCOS which has created many additional health issues. I wasn't diagnosed till my early to mid 20's, and even then I was given a half-hearted attempt to help at best. It wasn't until late last year that I found a new doctor who is actually worth anything. At the time, I was being diagnosed with melanoma and going through surgery to remove the cancer. It was the surgery that managed to pinpoint that I had become diabetic. My fasting blood sugar was slightly over 10, and my A1C was at 9.8.
My new doctor sent out referral after referral to get me some decent care. I now have a wonderful Gyno who is treating my PCOS with an IUD to help moderate and stabilize my endocrine system. The difference has been amazing.
While I was undergoing care from my gyno, I also got referred to a diabetic endocrinologist. It was a waitlist of 3 months. The first appointment was only seeing a nurse and a dietician, and then it was another 6 weeks before I could see the doctor. He was abrupt, and seemed like he barely acknowledged me as a person. My GP had started me on metformin and I was doing everything right according to the dietician, and was even working hard to lose weight (I'm down 35 lbs in the past year), so he prescribed Victoza injections for me and left. He didn't go discuss the side effects, contraindications, or anything. I was given lessons on how to inject it, and sent in my way. The only thing he'd said was that he didn't want to put me on insulin because it would make it harder for me to be successful at weight loss.
So I left the office and looked up Victoza online to see what it does. It wasn't a good fit for me with my health history, so I tried to see the doctor again, but I was told I had to wait till my follow up in 3 months. I continued to take the metformin and try to eat low carb so that I could maintain my health.
When I finally was able to see him again, the doctor refused to listen to my reasons as to why I didn't feel good about taking this medicine. He said I don't understand, he talked over me. He asked if I were subjected to issues with my ears (I am, and I'm going to see an audiologist soon because I'm hard of hearing), and a few other things which I do have issues with. He got frustrated with me, and I watched him write in my chart that I was noncompliant and hysterical. He was the one who has raised his voice, not me. I was not pleased. He then left, saying he'd give me 6 months "to do things [my] way, but then treatment is needed!" And he was gone.
I've never been so angry! He refused to take any time to explain any treatment options or what would be best with my complicated history. I saw my GP the next day and asked her to refer me to someone else. In the mean time, I'm stuck taking a really high dose of metformin, and my sugar is still high. The metformin has given me chronic watery BMs and therefore, I always feel tired and run down, and I struggle to eat anything at all because everything makes me feel sick. My GP refuses to do anything other than metformin because she's just past residency and wants the support of a specialist to stabilize me.
I'm so frustrated. I want to manage my illnesses well, but I don't feel like I'm getting timely and appropriate care regarding my diabetes. I'm still working on other issues in the mean time, but this has really been taking a toll on me, and I have seen first hand the damage that prolonged high blood sugar can do to a person, and I'm scared.</t>
        </is>
      </c>
      <c r="D7715" t="n">
        <v>3</v>
      </c>
      <c r="E7715" t="n">
        <v>11</v>
      </c>
      <c r="F7715">
        <f>HYPERLINK("https://www.reddit.com/r/diabetes/comments/dov5u9/frustrated_and_floundering/")</f>
        <v/>
      </c>
      <c r="G7715" t="inlineStr">
        <is>
          <t>2019-10-29 12:52:44</t>
        </is>
      </c>
      <c r="H7715" t="inlineStr">
        <is>
          <t>Type 2</t>
        </is>
      </c>
    </row>
    <row r="7716">
      <c r="A7716" t="inlineStr">
        <is>
          <t>doyi19</t>
        </is>
      </c>
      <c r="B7716" t="inlineStr">
        <is>
          <t>New to diabetes and I have a quick question.</t>
        </is>
      </c>
      <c r="C7716" t="inlineStr">
        <is>
          <t>I generally try to keep my carbs under 60 for meals and it has been 6 to 7 hrs since I last ate and my blood sugar is 120. Does your blood sugar rise after you take a nap? I am pre dia bordering type 2. Also I can't find anything that is decent to eat the actually fills me up or at least makes me feel like I am not starving that doesn't have massive amounts of carbs and sugars if anyone has any advice on that because my stomach acid feels like it is going to eat me alive most times. Also, can the dawn phenomenon happen at any time of the day like if you work third shift will it be at a different time than 2 am to 8 am?</t>
        </is>
      </c>
      <c r="D7716" t="n">
        <v>1</v>
      </c>
      <c r="E7716" t="n">
        <v>10</v>
      </c>
      <c r="F7716">
        <f>HYPERLINK("https://www.reddit.com/r/diabetes/comments/doyi19/new_to_diabetes_and_i_have_a_quick_question/")</f>
        <v/>
      </c>
      <c r="G7716" t="inlineStr">
        <is>
          <t>2019-10-29 16:45:29</t>
        </is>
      </c>
      <c r="H7716" t="inlineStr">
        <is>
          <t>Type 2</t>
        </is>
      </c>
    </row>
    <row r="7717">
      <c r="A7717" t="inlineStr">
        <is>
          <t>dp07t0</t>
        </is>
      </c>
      <c r="B7717" t="inlineStr">
        <is>
          <t>Ketones but blood sugar not currently high?</t>
        </is>
      </c>
      <c r="C7717" t="inlineStr">
        <is>
          <t>So I've been feeling funky all day and thought to test for ketones and the stick is showing moderate. My blood sugar has been all over the place since yesterday but has been under 150 since about 3 PM today (currently 9 PM my time.) Trying to drink a lot of water and monitoring my blood sugar but not sure best course of action here.</t>
        </is>
      </c>
      <c r="D7717" t="n">
        <v>4</v>
      </c>
      <c r="E7717" t="n">
        <v>7</v>
      </c>
      <c r="F7717">
        <f>HYPERLINK("https://www.reddit.com/r/diabetes/comments/dp07t0/ketones_but_blood_sugar_not_currently_high/")</f>
        <v/>
      </c>
      <c r="G7717" t="inlineStr">
        <is>
          <t>2019-10-29 18:57:57</t>
        </is>
      </c>
      <c r="H7717" t="inlineStr">
        <is>
          <t>Type 1</t>
        </is>
      </c>
    </row>
    <row r="7718">
      <c r="A7718" t="inlineStr">
        <is>
          <t>dp0oec</t>
        </is>
      </c>
      <c r="B7718" t="inlineStr">
        <is>
          <t>New Dexcom G6 Sensor Start Issues</t>
        </is>
      </c>
      <c r="C7718" t="inlineStr">
        <is>
          <t>Hey all! 
I seem to be having an issue with a new Dexcom G6 sensor. I've placed a new sensor on, attached the transmitter and started a session, only to be told I can't reuse the sensor. I know that's a feature, but this is one that's brand new. 
Other than restarting the sensor session, are there any trouble shooting tips I can use? The CGM is transmitting to the t:slim X2.</t>
        </is>
      </c>
      <c r="D7718" t="n">
        <v>4</v>
      </c>
      <c r="E7718" t="n">
        <v>4</v>
      </c>
      <c r="F7718">
        <f>HYPERLINK("https://www.reddit.com/r/diabetes/comments/dp0oec/new_dexcom_g6_sensor_start_issues/")</f>
        <v/>
      </c>
      <c r="G7718" t="inlineStr">
        <is>
          <t>2019-10-29 19:35:44</t>
        </is>
      </c>
      <c r="H7718" t="inlineStr">
        <is>
          <t>Type 1</t>
        </is>
      </c>
    </row>
    <row r="7719">
      <c r="A7719" t="inlineStr">
        <is>
          <t>dp2sr2</t>
        </is>
      </c>
      <c r="B7719" t="inlineStr">
        <is>
          <t>Mental Health and Control over Blood Sugars</t>
        </is>
      </c>
      <c r="C7719" t="inlineStr">
        <is>
          <t>So, I am still in High School, and was actually doing okay for a while with my blood sugars (A1C of 7.2, which was HUGE for me). I happen to have a few mental issues, and they've gotten significantly worse as of late. My depression and anxiety drive me through the roof, mood swings control a ton of things relating to how I care for myself. I looked at my Dexcom's Clarity app to see what my predicted A1C would be (since I have an appointment coming up in like 10 days), and it predicted 9.0. My Endo is going to be so mad at me. I feel even worse than I did before but I don't feel like I have the motivation to actually want to like fight and try to get everything back in check when it just burns me out even more than I already am. Don't worry, I have a psychiatrist appointment coming up in like 8 days, but I'm really scared about what the Endo will say.</t>
        </is>
      </c>
      <c r="D7719" t="n">
        <v>10</v>
      </c>
      <c r="E7719" t="n">
        <v>8</v>
      </c>
      <c r="F7719">
        <f>HYPERLINK("https://www.reddit.com/r/diabetes/comments/dp2sr2/mental_health_and_control_over_blood_sugars/")</f>
        <v/>
      </c>
      <c r="G7719" t="inlineStr">
        <is>
          <t>2019-10-29 23:11:30</t>
        </is>
      </c>
      <c r="H7719" t="inlineStr">
        <is>
          <t>Type 1</t>
        </is>
      </c>
    </row>
    <row r="7720">
      <c r="A7720" t="inlineStr">
        <is>
          <t>dp3lh9</t>
        </is>
      </c>
      <c r="B7720" t="inlineStr">
        <is>
          <t>Type 2, Stress</t>
        </is>
      </c>
      <c r="C7720" t="inlineStr">
        <is>
          <t>Compared to my last results, my a1c went up. I am not surprised,and even told my doctor before the blood test it would be up, for the fact that  I had a death in my family and you know things happen. 
On the bright side, almost everything is normal.
Triglycerides are high,
LDL is Lo
I'm doing better in my opinion.</t>
        </is>
      </c>
      <c r="D7720" t="n">
        <v>1</v>
      </c>
      <c r="E7720" t="n">
        <v>0</v>
      </c>
      <c r="F7720">
        <f>HYPERLINK("https://www.reddit.com/r/diabetes/comments/dp3lh9/type_2_stress/")</f>
        <v/>
      </c>
      <c r="G7720" t="inlineStr">
        <is>
          <t>2019-10-30 00:51:28</t>
        </is>
      </c>
      <c r="H7720" t="inlineStr">
        <is>
          <t>Type 2</t>
        </is>
      </c>
    </row>
    <row r="7721">
      <c r="A7721" t="inlineStr">
        <is>
          <t>dp5k1u</t>
        </is>
      </c>
      <c r="B7721" t="inlineStr">
        <is>
          <t>T1 for 10 years today - a quick thank you note</t>
        </is>
      </c>
      <c r="C7721" t="inlineStr">
        <is>
          <t>Today is the 10th anniversary of my diagnosis, or as i like to call it, 'diabirthday'. The last year was my hardest until now, with my A1C temporarily rising to an 8.3, luckily i managed to bring it down to a 6.7. Through that time, i got a lot of 'passive support' through this sub, since i wasn't really actively participating.  Looking at your perfect days and rants aboit the bad ones - seeing i wasn't the only one struggling really helped me. 
So... thank you for sharing your experiences, good and bad, with a couple of strangers, you're helping more people than you realise.</t>
        </is>
      </c>
      <c r="D7721" t="n">
        <v>22</v>
      </c>
      <c r="E7721" t="n">
        <v>5</v>
      </c>
      <c r="F7721">
        <f>HYPERLINK("https://www.reddit.com/r/diabetes/comments/dp5k1u/t1_for_10_years_today_a_quick_thank_you_note/")</f>
        <v/>
      </c>
      <c r="G7721" t="inlineStr">
        <is>
          <t>2019-10-30 04:42:27</t>
        </is>
      </c>
      <c r="H7721" t="inlineStr">
        <is>
          <t>Type 1</t>
        </is>
      </c>
    </row>
    <row r="7722">
      <c r="A7722" t="inlineStr">
        <is>
          <t>dp7otb</t>
        </is>
      </c>
      <c r="B7722" t="inlineStr">
        <is>
          <t>Tattoos? How, when and what to know/ask your doctor?</t>
        </is>
      </c>
      <c r="C7722" t="inlineStr">
        <is>
          <t>So I have an appointment on the 1st with my diabetologist and I wanted to talk about getting a tattoo. What should I ask, what should I know?
What should I also talk with the tattoo shop? Anything I should have in mind?
I'm still deciding my tattoo (they are forever, after all,  so I want something I won't regret easily lol), but I want to start asking around so I don't screw it up in the process. 
And, if any of you got tattoos after your diagnosis,  I would love to hear about how it went :D</t>
        </is>
      </c>
      <c r="D7722" t="n">
        <v>2</v>
      </c>
      <c r="E7722" t="n">
        <v>6</v>
      </c>
      <c r="F7722">
        <f>HYPERLINK("https://www.reddit.com/r/diabetes/comments/dp7otb/tattoos_how_when_and_what_to_knowask_your_doctor/")</f>
        <v/>
      </c>
      <c r="G7722" t="inlineStr">
        <is>
          <t>2019-10-30 07:44:03</t>
        </is>
      </c>
      <c r="H7722" t="inlineStr">
        <is>
          <t>Type 2</t>
        </is>
      </c>
    </row>
    <row r="7723">
      <c r="A7723" t="inlineStr">
        <is>
          <t>dp7rg6</t>
        </is>
      </c>
      <c r="B7723" t="inlineStr">
        <is>
          <t>Dexcom G6 issues</t>
        </is>
      </c>
      <c r="C7723" t="inlineStr">
        <is>
          <t>Hey, so I'm  a newly diagnosed type 1 diabetic (sept 26 2019) and my mom and me thought it would be great to try out the Dexcom G6 CGM. We got all the equipment (receiver (standalone), 3 sensors and a transmitter (from the starter kit).
The first sensor worked like a charm on my left abdomen, and I took it off last night to replace it and try it out on my arm.
Guess what? I put it in and did the 2 hour sensor warmup 3 times just for it to sensor error after my 2 hour wait.
So I took that sensor off and tried the third and final one from the starter kit and put it on my right abdomen and then went to bed (It was 1 am) my Dad woke me up at 2:30 am because he checked my receiver and it showed that I was 2.9.
So I took a fingerstick measure, it said I was a 6 so I took it as fact and waited to calibrate until tomorrow morning.
Guess what? I'm awake now at and posting this, but when I woke up at 7:30, it still said I was 2.8. So I calibrated it 10 mins ago and now it says I'm 4.2. 
Has anyone had this problem with their G6 before where are too low? 
Is it inaccurate because I might be sick (don't know, but I feel a bit sick)?
Can Dexcom support replace the 2 sensors, and the transmitter (it says battery bad, I've been using it for a week wtf)
Does anyone have any advice on how to proceed with this faulty sensor in my body or should I take it out (This is my last sensor though and I did 4 fingersticks a day which already made my hands half numb.)?</t>
        </is>
      </c>
      <c r="D7723" t="n">
        <v>2</v>
      </c>
      <c r="E7723" t="n">
        <v>3</v>
      </c>
      <c r="F7723">
        <f>HYPERLINK("https://www.reddit.com/r/diabetes/comments/dp7rg6/dexcom_g6_issues/")</f>
        <v/>
      </c>
      <c r="G7723" t="inlineStr">
        <is>
          <t>2019-10-30 07:49:35</t>
        </is>
      </c>
      <c r="H7723" t="inlineStr">
        <is>
          <t>Type 1</t>
        </is>
      </c>
    </row>
    <row r="7724">
      <c r="A7724" t="inlineStr">
        <is>
          <t>dp9tax</t>
        </is>
      </c>
      <c r="B7724" t="inlineStr">
        <is>
          <t>Low Carb Beer</t>
        </is>
      </c>
      <c r="C7724" t="inlineStr">
        <is>
          <t>Yesterday, I just started drinking beer and you know what beer leads to, right? More beer. I landed up drinking about 7 pints of beer (Michelob Ultra) and then checked my blood sugar, and it was still at 105.   
I don't know if this was a one off read but it does make sense, given the fact that Michelob Ultra has only 2.5 grams of Carbs per pint. So, in all, I still consumed only 17.5 g of carbs for the night.   
But my out-of-bed blood sugar went to 140 (usually my out of bed blood sugar is always very close to what it is during the night) - so this was sad.   
Have you noticed anything similar? Do you drink low-carb beer while trying to keep your sugars under control?</t>
        </is>
      </c>
      <c r="D7724" t="n">
        <v>5</v>
      </c>
      <c r="E7724" t="n">
        <v>8</v>
      </c>
      <c r="F7724">
        <f>HYPERLINK("https://www.reddit.com/r/diabetes/comments/dp9tax/low_carb_beer/")</f>
        <v/>
      </c>
      <c r="G7724" t="inlineStr">
        <is>
          <t>2019-10-30 10:28:26</t>
        </is>
      </c>
      <c r="H7724" t="inlineStr">
        <is>
          <t>Type 2</t>
        </is>
      </c>
    </row>
    <row r="7725">
      <c r="A7725" t="inlineStr">
        <is>
          <t>dph2dg</t>
        </is>
      </c>
      <c r="B7725" t="inlineStr">
        <is>
          <t>Looking for a glucose reader with more than just blood checking functionality</t>
        </is>
      </c>
      <c r="C7725" t="inlineStr">
        <is>
          <t>Hi, 
I'm surprised this is yet to become an actual thing, however, I really would love to have a blood glucose monitor that does more than check my blood sugar, does such a thing exist? For example, a glucose reader with a built-in torch or USB drive? Something along those lines. Given that I'll have this condition my entire life and need the thing on me 24/7, I really would love something that's even more handy!</t>
        </is>
      </c>
      <c r="D7725" t="n">
        <v>1</v>
      </c>
      <c r="E7725" t="n">
        <v>0</v>
      </c>
      <c r="F7725">
        <f>HYPERLINK("https://www.reddit.com/r/diabetes/comments/dph2dg/looking_for_a_glucose_reader_with_more_than_just/")</f>
        <v/>
      </c>
      <c r="G7725" t="inlineStr">
        <is>
          <t>2019-10-30 19:15:53</t>
        </is>
      </c>
      <c r="H7725" t="inlineStr">
        <is>
          <t>Type 1</t>
        </is>
      </c>
    </row>
    <row r="7726">
      <c r="A7726" t="inlineStr">
        <is>
          <t>dphyb6</t>
        </is>
      </c>
      <c r="B7726" t="inlineStr">
        <is>
          <t>What is the formula for a correction bolus for high BG?</t>
        </is>
      </c>
      <c r="C7726" t="inlineStr">
        <is>
          <t>I am using a medtronic pump and have been for nearly 2 decades, and I have been noticing over the past few months that my correction boluses aren't working as effectively as they did a year or two ago. I tried looking around on a couple of sites, and I have only been able to find the formula for normal basil rates, but not specifically the one for correction boluses. I was hoping to try and see what would be the recommended formula, how that compares to what I have set currently, and then talk with my Endocrinologist about how to change it since this constant high BG is really irking me.  
My current rate is 1units/40BG, but I will do so after seeing my number in the high 200s/low 300s, and it gives me only a slight dip, and I usually need to deliver another several units before my number drops, and even then it drops extremely slowly(10 points or so per 10 minutes.</t>
        </is>
      </c>
      <c r="D7726" t="n">
        <v>3</v>
      </c>
      <c r="E7726" t="n">
        <v>5</v>
      </c>
      <c r="F7726">
        <f>HYPERLINK("https://www.reddit.com/r/diabetes/comments/dphyb6/what_is_the_formula_for_a_correction_bolus_for/")</f>
        <v/>
      </c>
      <c r="G7726" t="inlineStr">
        <is>
          <t>2019-10-30 20:31:44</t>
        </is>
      </c>
      <c r="H7726" t="inlineStr">
        <is>
          <t>Type 1</t>
        </is>
      </c>
    </row>
    <row r="7727">
      <c r="A7727" t="inlineStr">
        <is>
          <t>dpips8</t>
        </is>
      </c>
      <c r="B7727" t="inlineStr">
        <is>
          <t>I’ve been having a lot of trouble recently.</t>
        </is>
      </c>
      <c r="C7727" t="inlineStr">
        <is>
          <t>I was diagnosed with T1D about a year and a half ago, and I’ve mostly been fine dealing with it, until a few weeks ago.  
For the past few weeks, I’ve been dealing with steadily dropping Lantus levels. For half a year I’ve been at 22u of Lantus, and in the past two weeks its been gradually dropping every few days, and is currently at 17. I haven’t had this happen before, and I don’t know when its going to stop dropping.  
My CGM ran out a week ago, and problems occurred preventing me from getting a new one until today, but the new one doesn’t seem to be working right. I’m currently feeling ill, so its hard for my body to tell what BS level I’m at. I’ve had to set alarms to wake myself up every 3 hours to check my BS to fix lows often, which definitely isn’t helping my mental state.  
I’ve tried getting an appointment with my diabetes specialist to get some advice, but the nearest available appointment is a month away.  
I’m really stressed out and freaking out about everything thats happening. I had problems with anxiety and depression before being diagnosed, and dealing with all this shit now is making it harder than ever.  
Dealing with all this, combined with thinking about having to deal with this kind of stuff for the rest of my life is making me feel hopeless.  
I’ve tried talking to my family about it, but they just keep saying “just stop stressing about it, that’s making it worse.”  
And tonight, my BS has been dropping steadily. I’ve eaten 70g of carbs to bring it up but its still dropping, an hour later.
I’m feeling really shitty right now. I could really use some advice.</t>
        </is>
      </c>
      <c r="D7727" t="n">
        <v>3</v>
      </c>
      <c r="E7727" t="n">
        <v>9</v>
      </c>
      <c r="F7727">
        <f>HYPERLINK("https://www.reddit.com/r/diabetes/comments/dpips8/ive_been_having_a_lot_of_trouble_recently/")</f>
        <v/>
      </c>
      <c r="G7727" t="inlineStr">
        <is>
          <t>2019-10-30 21:46:10</t>
        </is>
      </c>
      <c r="H7727" t="inlineStr">
        <is>
          <t>Type 1</t>
        </is>
      </c>
    </row>
    <row r="7728">
      <c r="A7728" t="inlineStr">
        <is>
          <t>dpo3qk</t>
        </is>
      </c>
      <c r="B7728" t="inlineStr">
        <is>
          <t>Happy Halloween, fellow diabetics!</t>
        </is>
      </c>
      <c r="C7728" t="inlineStr">
        <is>
          <t>&amp;amp;#x200B;
https://preview.redd.it/bdy95crswvv31.png?width=512&amp;amp;format=png&amp;amp;auto=webp&amp;amp;s=7b235feefbb67984910f95d39830bcf504d17b2f</t>
        </is>
      </c>
      <c r="D7728" t="n">
        <v>226</v>
      </c>
      <c r="E7728" t="n">
        <v>43</v>
      </c>
      <c r="F7728">
        <f>HYPERLINK("https://www.reddit.com/r/diabetes/comments/dpo3qk/happy_halloween_fellow_diabetics/")</f>
        <v/>
      </c>
      <c r="G7728" t="inlineStr">
        <is>
          <t>2019-10-31 07:12:45</t>
        </is>
      </c>
      <c r="H7728" t="inlineStr">
        <is>
          <t>Type 1</t>
        </is>
      </c>
    </row>
    <row r="7729">
      <c r="A7729" t="inlineStr">
        <is>
          <t>dpswx6</t>
        </is>
      </c>
      <c r="B7729" t="inlineStr">
        <is>
          <t>How efficient/effective is the liver's sugar pumping response?</t>
        </is>
      </c>
      <c r="C7729" t="inlineStr">
        <is>
          <t>Just wondering if a type 1 were to go too low and didnt have access to any carbs for some reason, how reliable is your liver response in these situations? Would it be less likely to save you if your sugar was crashing real fast?</t>
        </is>
      </c>
      <c r="D7729" t="n">
        <v>2</v>
      </c>
      <c r="E7729" t="n">
        <v>4</v>
      </c>
      <c r="F7729">
        <f>HYPERLINK("https://www.reddit.com/r/diabetes/comments/dpswx6/how_efficienteffective_is_the_livers_sugar/")</f>
        <v/>
      </c>
      <c r="G7729" t="inlineStr">
        <is>
          <t>2019-10-31 12:53:41</t>
        </is>
      </c>
      <c r="H7729" t="inlineStr">
        <is>
          <t>Type 1</t>
        </is>
      </c>
    </row>
    <row r="7730">
      <c r="A7730" t="inlineStr">
        <is>
          <t>dpu2gc</t>
        </is>
      </c>
      <c r="B7730" t="inlineStr">
        <is>
          <t>[Pumpers] How do you manage slower absorption rates in hips/upper buttocks?</t>
        </is>
      </c>
      <c r="C7730" t="inlineStr">
        <is>
          <t>I’m trying to rotate my sites to my hips/upper buttock area more frequently but find the slower absobtion rates lead to prolonged high. It is so frustrating and more difficult to control as compared to abdomen infusion sites. How do you handle variation in absorption rates depending on location of your site? 
The site itself is fine, no bleeding or kinks, day 2, no scarring. This happens often when I use anywhere but my abdomen. Just slooooooow.</t>
        </is>
      </c>
      <c r="D7730" t="n">
        <v>1</v>
      </c>
      <c r="E7730" t="n">
        <v>3</v>
      </c>
      <c r="F7730">
        <f>HYPERLINK("https://www.reddit.com/r/diabetes/comments/dpu2gc/pumpers_how_do_you_manage_slower_absorption_rates/")</f>
        <v/>
      </c>
      <c r="G7730" t="inlineStr">
        <is>
          <t>2019-10-31 14:14:03</t>
        </is>
      </c>
      <c r="H7730" t="inlineStr">
        <is>
          <t>Type 1</t>
        </is>
      </c>
    </row>
    <row r="7731">
      <c r="A7731" t="inlineStr">
        <is>
          <t>dpwmt8</t>
        </is>
      </c>
      <c r="B7731" t="inlineStr">
        <is>
          <t>Liquor and low BG questions</t>
        </is>
      </c>
      <c r="C7731" t="inlineStr">
        <is>
          <t>So I plan to go out and get drunk this weekend and plan to drink liquor as beer has way to many fucking carbs. Usually my BG drops... low when drinking liquor (if I drink ALOT) however I’m curious on if my BG will go up while drinking if I eat something sugary when it gets low or will it continue to stay low until the alcohol leaves my system? I’m usually fine if I only take a few shots every couple of hrs but I really wanna get hammered. It’s been a while :-/</t>
        </is>
      </c>
      <c r="D7731" t="n">
        <v>1</v>
      </c>
      <c r="E7731" t="n">
        <v>11</v>
      </c>
      <c r="F7731">
        <f>HYPERLINK("https://www.reddit.com/r/diabetes/comments/dpwmt8/liquor_and_low_bg_questions/")</f>
        <v/>
      </c>
      <c r="G7731" t="inlineStr">
        <is>
          <t>2019-10-31 17:20:58</t>
        </is>
      </c>
      <c r="H7731" t="inlineStr">
        <is>
          <t>Type 2</t>
        </is>
      </c>
    </row>
    <row r="7732">
      <c r="A7732" t="inlineStr">
        <is>
          <t>dq8e6x</t>
        </is>
      </c>
      <c r="B7732" t="inlineStr">
        <is>
          <t>Any good resources out there (basic, 101, dummies) for my recently diagnosed SO?</t>
        </is>
      </c>
      <c r="C7732" t="inlineStr">
        <is>
          <t>My SO was diagnosed today. His glucose was so high the meter couldn’t read it. The doctor didn’t do his lab work because he had drank something between midnight and his appointment and therefore wasn’t fasting. They prescribed him Metformin and Tresiba and made him an appointment with a specialist next Friday. Any good resources you can recommend for him to learn all about Diabetes type 2? Or any tips you could give for him right now? This is going to be a huge challenge for him as he really struggles with self-discipline and health. 
Thanks!</t>
        </is>
      </c>
      <c r="D7732" t="n">
        <v>2</v>
      </c>
      <c r="E7732" t="n">
        <v>5</v>
      </c>
      <c r="F7732">
        <f>HYPERLINK("https://www.reddit.com/r/diabetes/comments/dq8e6x/any_good_resources_out_there_basic_101_dummies/")</f>
        <v/>
      </c>
      <c r="G7732" t="inlineStr">
        <is>
          <t>2019-11-01 11:40:35</t>
        </is>
      </c>
      <c r="H7732" t="inlineStr">
        <is>
          <t>Type 2</t>
        </is>
      </c>
    </row>
    <row r="7733">
      <c r="A7733" t="inlineStr">
        <is>
          <t>dqc8xy</t>
        </is>
      </c>
      <c r="B7733" t="inlineStr">
        <is>
          <t>I'm possibly a T1, what do you think?</t>
        </is>
      </c>
      <c r="C7733" t="inlineStr">
        <is>
          <t>Hey all,
I want to preface this by saying I have made a doctor's appointment for next weekend to do a blood test, but the wait i turning out to be very dreadful so I wanted to hear some second opinions on my situation.
So my mother told me over a year ago that she thinks i could have diabetes type one because drink a lot of water and also experience increased hunger, even though I keep being a skinny fella after being slightly overweight 'till the age of about 6-7.  
I initially didn't think much of it, because I had been living with this thirst and hunger for a long time and I couldn't think of a moment where I ever really noticed any super urgent effects. I do however notice when my blood sugar is low, sometimes completely separate from being hungry, I get pretty weak, can't concentrate, slightly shake and my vision also changes the same way an HDR filter changes a picture.
I recently started thinking about it more and did some research on the symptoms and started to have a growing suspicion that I might have Type 1. I also feel tired most of the time, but this is such a common thing I never really took it seriously.
I decided to take action because my aunt, who has a pretty severe case of Type 1, had her second (extremely) near death experience in a short time while on low blood sugar.
I don't have blurry vision, nor do I pee a lot even though I can easily drink 4 liters in a day, sometimes even 5 liters just by constantly slowly drinking. I guess I just have a big bladder and am good at suppressing the feeling that I need to pee until i absolutely have to.
&amp;amp;#x200B;
I'm not really sure what to think, i feel like all these symptoms can be explained by different things, no weight gain can end once I older (Turning 19 in a week, day after the test lol), Drinking a lot doesn't seem to be too difficult if sufficiently spreaded out over the day, large appetite is also a pretty common thing just like being tired, only the feeling of low blood sugar (I assume it's that) is a bit more difficult to explain but I don't seem to have too extreme symptoms.
Any thoughts? Am I reading too much into this or could this very well be a case of Type 1 with milder symptoms of low blood sugar? (if that's even a thing)...
Thanks a lot in advance!</t>
        </is>
      </c>
      <c r="D7733" t="n">
        <v>0</v>
      </c>
      <c r="E7733" t="n">
        <v>11</v>
      </c>
      <c r="F7733">
        <f>HYPERLINK("https://www.reddit.com/r/diabetes/comments/dqc8xy/im_possibly_a_t1_what_do_you_think/")</f>
        <v/>
      </c>
      <c r="G7733" t="inlineStr">
        <is>
          <t>2019-11-01 16:26:28</t>
        </is>
      </c>
      <c r="H7733" t="inlineStr">
        <is>
          <t>Type 1</t>
        </is>
      </c>
    </row>
    <row r="7734">
      <c r="A7734" t="inlineStr">
        <is>
          <t>dqca4w</t>
        </is>
      </c>
      <c r="B7734" t="inlineStr">
        <is>
          <t>I need a little help</t>
        </is>
      </c>
      <c r="C7734" t="inlineStr">
        <is>
          <t>I've just been diagnosed with Diabetes a few days ago and I'm really struggling to cope.  
I am Bulimic, and in the process of dealing with the eating disorder I went from pre-diabetic to full blown diabetic. I've only been that way for less than a year, and have heard that it's possible to put diabetes into a sort of remission. For that reason I really want to focus hard on trying to shift my diet and loose weight to help manage this better, but because of my ED, my treatment team is really reluctant to.   
My dietitian wants me to keep eating as normal and not really change anything, which scares me a lot.   
So I wanted to ask, is remission possible? And what is the best way to try and help lower my blood sugar?   
Any advice at all is welcome, I know so little about this because it's so new to me (I just learned my diagnosis this Monday). I want to be realistic about what's possible.   
Thanks in advance for the help.</t>
        </is>
      </c>
      <c r="D7734" t="n">
        <v>0</v>
      </c>
      <c r="E7734" t="n">
        <v>2</v>
      </c>
      <c r="F7734">
        <f>HYPERLINK("https://www.reddit.com/r/diabetes/comments/dqca4w/i_need_a_little_help/")</f>
        <v/>
      </c>
      <c r="G7734" t="inlineStr">
        <is>
          <t>2019-11-01 16:28:57</t>
        </is>
      </c>
      <c r="H7734" t="inlineStr">
        <is>
          <t>Type 2</t>
        </is>
      </c>
    </row>
    <row r="7735">
      <c r="A7735" t="inlineStr">
        <is>
          <t>dqcs2z</t>
        </is>
      </c>
      <c r="B7735" t="inlineStr">
        <is>
          <t>Do you ever pre bolus but then forget to eat and end up going low?</t>
        </is>
      </c>
      <c r="C7735" t="inlineStr">
        <is>
          <t>Or pre bolus, and not finish your food for some reason, and end up going low?</t>
        </is>
      </c>
      <c r="D7735" t="n">
        <v>0</v>
      </c>
      <c r="E7735" t="n">
        <v>2</v>
      </c>
      <c r="F7735">
        <f>HYPERLINK("https://www.reddit.com/r/diabetes/comments/dqcs2z/do_you_ever_pre_bolus_but_then_forget_to_eat_and/")</f>
        <v/>
      </c>
      <c r="G7735" t="inlineStr">
        <is>
          <t>2019-11-01 17:09:57</t>
        </is>
      </c>
      <c r="H7735" t="inlineStr">
        <is>
          <t>Type 1</t>
        </is>
      </c>
    </row>
    <row r="7736">
      <c r="A7736" t="inlineStr">
        <is>
          <t>dqea28</t>
        </is>
      </c>
      <c r="B7736" t="inlineStr">
        <is>
          <t>I can't get more than 5 or so days out of my dexcom g6 :(</t>
        </is>
      </c>
      <c r="C7736" t="inlineStr">
        <is>
          <t>I can't really do the stomach, I find that extremely uncomfortable and I often rub things across my stomach at work. I've been doing the back of the arms and they keep failing after about 5 days. I'm 6'1" and 135lbs so fat on me is hard to find... Does anyone have another spot they've had success with?</t>
        </is>
      </c>
      <c r="D7736" t="n">
        <v>2</v>
      </c>
      <c r="E7736" t="n">
        <v>3</v>
      </c>
      <c r="F7736">
        <f>HYPERLINK("https://www.reddit.com/r/diabetes/comments/dqea28/i_cant_get_more_than_5_or_so_days_out_of_my/")</f>
        <v/>
      </c>
      <c r="G7736" t="inlineStr">
        <is>
          <t>2019-11-01 19:21:00</t>
        </is>
      </c>
      <c r="H7736" t="inlineStr">
        <is>
          <t>Type 1</t>
        </is>
      </c>
    </row>
    <row r="7737">
      <c r="A7737" t="inlineStr">
        <is>
          <t>dqgcvc</t>
        </is>
      </c>
      <c r="B7737" t="inlineStr">
        <is>
          <t>Does anybody use CBD oil to help with their levels?</t>
        </is>
      </c>
      <c r="C7737" t="inlineStr">
        <is>
          <t>I've heard a few good things about CBD and type 1 diabetes.</t>
        </is>
      </c>
      <c r="D7737" t="n">
        <v>0</v>
      </c>
      <c r="E7737" t="n">
        <v>3</v>
      </c>
      <c r="F7737">
        <f>HYPERLINK("https://www.reddit.com/r/diabetes/comments/dqgcvc/does_anybody_use_cbd_oil_to_help_with_their_levels/")</f>
        <v/>
      </c>
      <c r="G7737" t="inlineStr">
        <is>
          <t>2019-11-01 23:01:42</t>
        </is>
      </c>
      <c r="H7737" t="inlineStr">
        <is>
          <t>Type 1</t>
        </is>
      </c>
    </row>
    <row r="7738">
      <c r="A7738" t="inlineStr">
        <is>
          <t>dqj0ko</t>
        </is>
      </c>
      <c r="B7738" t="inlineStr">
        <is>
          <t>Constantly feeling hypo</t>
        </is>
      </c>
      <c r="C7738" t="inlineStr">
        <is>
          <t>For more than a week now I’ve been feeling low the entire time, I have been rarely getting actual hypos during this time and my levels are usually regular or high since this has started. It’s stopping me from going to school as it’s hard to focus when you’re feeling like this. I don’t think anything is wrong with my equipment as nothing is past it’s due date, I’ve changed batteries, used a different box of strips and different needles. I tend to try not to google my symptoms as the last time I did I thought I had cancer when I had diabetes instead so I came to ask for help here. What could be wrong with me, should I see a doctor, is there anything I can do, etc?</t>
        </is>
      </c>
      <c r="D7738" t="n">
        <v>1</v>
      </c>
      <c r="E7738" t="n">
        <v>7</v>
      </c>
      <c r="F7738">
        <f>HYPERLINK("https://www.reddit.com/r/diabetes/comments/dqj0ko/constantly_feeling_hypo/")</f>
        <v/>
      </c>
      <c r="G7738" t="inlineStr">
        <is>
          <t>2019-11-02 04:39:25</t>
        </is>
      </c>
      <c r="H7738" t="inlineStr">
        <is>
          <t>Type 1</t>
        </is>
      </c>
    </row>
    <row r="7739">
      <c r="A7739" t="inlineStr">
        <is>
          <t>dqml6i</t>
        </is>
      </c>
      <c r="B7739" t="inlineStr">
        <is>
          <t>Afraid to switch to t:slim X2</t>
        </is>
      </c>
      <c r="C7739" t="inlineStr">
        <is>
          <t>I've been on an old medtronic pump for years and I use a dexcom G5 with it.  I keep pretty tight control.  Sometimes the Dexcom irritates me because it says I'm a little lower than I actually am and alarms when I'm trying to cruise in the 70s, 80s and 90s. I want to hear from people who have the whole new shebang with a Dexcom G6 and a t:slim X2.  What are the best A1Cs people get running the X2 and using basal IQ a lot of the time.  Are people able to get A1Cs in the low fives without a problem?  Is it easier to get really tight numbers with that system?  Are there any tricks to set up for those who like to maintain really tight control?  Can I switch to complete manual control any time I want?  What won't I like about it if I'm a person who really likes to keep things tweaked.  Any info on control IQ with regard to these questions will be appreciated too.</t>
        </is>
      </c>
      <c r="D7739" t="n">
        <v>1</v>
      </c>
      <c r="E7739" t="n">
        <v>8</v>
      </c>
      <c r="F7739">
        <f>HYPERLINK("https://www.reddit.com/r/diabetes/comments/dqml6i/afraid_to_switch_to_tslim_x2/")</f>
        <v/>
      </c>
      <c r="G7739" t="inlineStr">
        <is>
          <t>2019-11-02 09:34:17</t>
        </is>
      </c>
      <c r="H7739" t="inlineStr">
        <is>
          <t>Type 1</t>
        </is>
      </c>
    </row>
    <row r="7740">
      <c r="A7740" t="inlineStr">
        <is>
          <t>dqq7ho</t>
        </is>
      </c>
      <c r="B7740" t="inlineStr">
        <is>
          <t>Tandem Control IQ update is available for request</t>
        </is>
      </c>
      <c r="C7740" t="inlineStr">
        <is>
          <t>I was in the Tandem portal and noticed that they’ve added the Control IQ update today. You’ll have to fill out the request and get a prescription for it.</t>
        </is>
      </c>
      <c r="D7740" t="n">
        <v>3</v>
      </c>
      <c r="E7740" t="n">
        <v>13</v>
      </c>
      <c r="F7740">
        <f>HYPERLINK("https://www.reddit.com/r/diabetes/comments/dqq7ho/tandem_control_iq_update_is_available_for_request/")</f>
        <v/>
      </c>
      <c r="G7740" t="inlineStr">
        <is>
          <t>2019-11-02 13:47:58</t>
        </is>
      </c>
      <c r="H7740" t="inlineStr">
        <is>
          <t>Type 1</t>
        </is>
      </c>
    </row>
    <row r="7741">
      <c r="A7741" t="inlineStr">
        <is>
          <t>dqso34</t>
        </is>
      </c>
      <c r="B7741" t="inlineStr">
        <is>
          <t>Blood Tests and Hunger</t>
        </is>
      </c>
      <c r="C7741" t="inlineStr">
        <is>
          <t>Forgive the newbie post. I'm relatively new to diabetes.
T2 taking insulin and metformin (does that make me a T1)?
My blood tests don't match my hunger. Some days I test in the 110s and feel fine. Other days I will test in the 170s and feel like I'm crashing. Ideas and thoughts welcome. Thank you.</t>
        </is>
      </c>
      <c r="D7741" t="n">
        <v>1</v>
      </c>
      <c r="E7741" t="n">
        <v>5</v>
      </c>
      <c r="F7741">
        <f>HYPERLINK("https://www.reddit.com/r/diabetes/comments/dqso34/blood_tests_and_hunger/")</f>
        <v/>
      </c>
      <c r="G7741" t="inlineStr">
        <is>
          <t>2019-11-02 16:54:19</t>
        </is>
      </c>
      <c r="H7741" t="inlineStr">
        <is>
          <t>Type 2</t>
        </is>
      </c>
    </row>
    <row r="7742">
      <c r="A7742" t="inlineStr">
        <is>
          <t>dqvo2v</t>
        </is>
      </c>
      <c r="B7742" t="inlineStr">
        <is>
          <t>What do I do?</t>
        </is>
      </c>
      <c r="C7742" t="inlineStr">
        <is>
          <t>Ok, so I understand none of you are likely doctors and if you are, you cannot comment a treatment plan yaddie yadda yadda yadda. BUT I'm kinda really sorta freaking out.
My body doesn't typically respond the way it should but had been behaving for a long time until today. Today, I woke up with a sugar of 122. I've been extremely active today and have been checking my sugar periodically. Each time it was around 191 so I'd take a glipizide to try to get it to come down. I've taken 4 doses and my sugar has bounced up to 232 and climbing. Ive never had a day where the glipizide didn't have any effect and I'm kinda scared. I have 4 hours of activity logged and about 15000 steps. I know I've been active and I've given my body time to come down but I'm still climbing. 
What do I do? I'm currently at 232 but since I can't get it under control with my meds, should I go to the ER? I'm exhausted and exercise hasn't helped. Nothing I've ate was terribly carb heavy either. 
Help! What do I do? I'm not on any implications.</t>
        </is>
      </c>
      <c r="D7742" t="n">
        <v>2</v>
      </c>
      <c r="E7742" t="n">
        <v>6</v>
      </c>
      <c r="F7742">
        <f>HYPERLINK("https://www.reddit.com/r/diabetes/comments/dqvo2v/what_do_i_do/")</f>
        <v/>
      </c>
      <c r="G7742" t="inlineStr">
        <is>
          <t>2019-11-02 21:15:42</t>
        </is>
      </c>
      <c r="H7742" t="inlineStr">
        <is>
          <t>Type 2</t>
        </is>
      </c>
    </row>
    <row r="7743">
      <c r="A7743" t="inlineStr">
        <is>
          <t>dr26v0</t>
        </is>
      </c>
      <c r="B7743" t="inlineStr">
        <is>
          <t>Help, please</t>
        </is>
      </c>
      <c r="C7743" t="inlineStr">
        <is>
          <t>I have been diabetic for almost 3 years, and have only recently been introduced to the concept of burnout, and i am absolutely terrified (i am 11, i know naughty me) at the thought of me as a dumb teenager deciding i have had enough and getting into serious medical trouble, is this a big thing i should be worried about?</t>
        </is>
      </c>
      <c r="D7743" t="n">
        <v>2</v>
      </c>
      <c r="E7743" t="n">
        <v>6</v>
      </c>
      <c r="F7743">
        <f>HYPERLINK("https://www.reddit.com/r/diabetes/comments/dr26v0/help_please/")</f>
        <v/>
      </c>
      <c r="G7743" t="inlineStr">
        <is>
          <t>2019-11-03 07:50:38</t>
        </is>
      </c>
      <c r="H7743" t="inlineStr">
        <is>
          <t>Type 1</t>
        </is>
      </c>
    </row>
    <row r="7744">
      <c r="A7744" t="inlineStr">
        <is>
          <t>dr3jbl</t>
        </is>
      </c>
      <c r="B7744" t="inlineStr">
        <is>
          <t>Help!</t>
        </is>
      </c>
      <c r="C7744" t="inlineStr">
        <is>
          <t>Hi everyone! My boyfriend has type one diabetes. Our families are really close. 
Recently, he had a seizure because he wasn’t paying close enough attention to himself. He woke up really pale and couldn’t even focus enough to eat cereal. Then it happened. 
He continues to not listen to his parents. When they tell him to adjust or take measures for his food he just gets annoyed. We are all worried about him but don’t want to smother him. 
Advice? Suggestions?</t>
        </is>
      </c>
      <c r="D7744" t="n">
        <v>2</v>
      </c>
      <c r="E7744" t="n">
        <v>8</v>
      </c>
      <c r="F7744">
        <f>HYPERLINK("https://www.reddit.com/r/diabetes/comments/dr3jbl/help/")</f>
        <v/>
      </c>
      <c r="G7744" t="inlineStr">
        <is>
          <t>2019-11-03 09:23:09</t>
        </is>
      </c>
      <c r="H7744" t="inlineStr">
        <is>
          <t>Type 1</t>
        </is>
      </c>
    </row>
    <row r="7745">
      <c r="A7745" t="inlineStr">
        <is>
          <t>dr3mki</t>
        </is>
      </c>
      <c r="B7745" t="inlineStr">
        <is>
          <t>Spot on field of vision won’t go away</t>
        </is>
      </c>
      <c r="C7745" t="inlineStr">
        <is>
          <t>Today I am playing the game of “Is this diabetes?” or “am I dying from something unrelated?”  I have this spot in my right eye’s field of vision: it’s in the lower part of my vision (so not my fovea) that’s been there for a couple days and won’t go away. It’s like when you look at a bright light and then there’s that bluish spot that lingers for a little bit. It’s always in the same place and the shape is unchanging; I can technically see through it, so it’s not a blind spot, just blurred. It’s been there for about two days now. My blood sugar has been running a little high lately because I’ve been fighting off a cold so that’s the only real diabetes related change that has happened recently, but has anyone else experienced this? If so, what was the cause/remedy?</t>
        </is>
      </c>
      <c r="D7745" t="n">
        <v>1</v>
      </c>
      <c r="E7745" t="n">
        <v>12</v>
      </c>
      <c r="F7745">
        <f>HYPERLINK("https://www.reddit.com/r/diabetes/comments/dr3mki/spot_on_field_of_vision_wont_go_away/")</f>
        <v/>
      </c>
      <c r="G7745" t="inlineStr">
        <is>
          <t>2019-11-03 09:29:21</t>
        </is>
      </c>
      <c r="H7745" t="inlineStr">
        <is>
          <t>Type 1</t>
        </is>
      </c>
    </row>
    <row r="7746">
      <c r="A7746" t="inlineStr">
        <is>
          <t>dr782t</t>
        </is>
      </c>
      <c r="B7746" t="inlineStr">
        <is>
          <t>Is there any reason a type 1 should be wary of getting a flu shot?</t>
        </is>
      </c>
      <c r="C7746" t="inlineStr">
        <is>
          <t>Could they have any really bad adverse effects? Or should every type 1 diabetic definitely get it done</t>
        </is>
      </c>
      <c r="D7746" t="n">
        <v>0</v>
      </c>
      <c r="E7746" t="n">
        <v>7</v>
      </c>
      <c r="F7746">
        <f>HYPERLINK("https://www.reddit.com/r/diabetes/comments/dr782t/is_there_any_reason_a_type_1_should_be_wary_of/")</f>
        <v/>
      </c>
      <c r="G7746" t="inlineStr">
        <is>
          <t>2019-11-03 13:40:57</t>
        </is>
      </c>
      <c r="H7746" t="inlineStr">
        <is>
          <t>Type 1</t>
        </is>
      </c>
    </row>
    <row r="7747">
      <c r="A7747" t="inlineStr">
        <is>
          <t>dr961u</t>
        </is>
      </c>
      <c r="B7747" t="inlineStr">
        <is>
          <t>A really rough night</t>
        </is>
      </c>
      <c r="C7747" t="inlineStr">
        <is>
          <t>spent the last 2 hours trying to get my blood sugar up from being low, have been disconnected from my pump and very nauseous, with some vomiting. I was practically alone through it and had no glucagon in the house.
Very anxious for these two hours. felt like it was never going to end.
I particularly do not like diabetes tonight. But the sun will come up tomorrow and i’ll try my best again.
if anyone ever goes through this just know you are not alone. even if there’s nobody there for you there are people out there who understand and go through the same things as you. All you can do is your best. xx</t>
        </is>
      </c>
      <c r="D7747" t="n">
        <v>9</v>
      </c>
      <c r="E7747" t="n">
        <v>6</v>
      </c>
      <c r="F7747">
        <f>HYPERLINK("https://www.reddit.com/r/diabetes/comments/dr961u/a_really_rough_night/")</f>
        <v/>
      </c>
      <c r="G7747" t="inlineStr">
        <is>
          <t>2019-11-03 16:04:01</t>
        </is>
      </c>
      <c r="H7747" t="inlineStr">
        <is>
          <t>Type 1</t>
        </is>
      </c>
    </row>
    <row r="7748">
      <c r="A7748" t="inlineStr">
        <is>
          <t>drc9dq</t>
        </is>
      </c>
      <c r="B7748" t="inlineStr">
        <is>
          <t>Best New Meters in 2019?</t>
        </is>
      </c>
      <c r="C7748" t="inlineStr">
        <is>
          <t>I hate my contour next link's with a passion. The display degraded on all of them after a year; random lines show up on the screen. Some of them don't even link to my new pump. The 5 second timer is archaic and I just don't have time in my life to wait an extra 5 seconds on top of the 20 seconds it takes to put the strip in and poke. 
&amp;amp;#x200B;
Any suggestions so I can throw mine in the trash?
&amp;amp;#x200B;
Are there any nonpoking meters you've used with decent results?</t>
        </is>
      </c>
      <c r="D7748" t="n">
        <v>0</v>
      </c>
      <c r="E7748" t="n">
        <v>20</v>
      </c>
      <c r="F7748">
        <f>HYPERLINK("https://www.reddit.com/r/diabetes/comments/drc9dq/best_new_meters_in_2019/")</f>
        <v/>
      </c>
      <c r="G7748" t="inlineStr">
        <is>
          <t>2019-11-03 20:05:05</t>
        </is>
      </c>
      <c r="H7748" t="inlineStr">
        <is>
          <t>Type 1</t>
        </is>
      </c>
    </row>
    <row r="7749">
      <c r="A7749" t="inlineStr">
        <is>
          <t>drd429</t>
        </is>
      </c>
      <c r="B7749" t="inlineStr">
        <is>
          <t>Hi my name is Mohammed i have diabetes for 16 years</t>
        </is>
      </c>
      <c r="C7749" t="inlineStr">
        <is>
          <t>I was diagnosed with diabetes when i was 1 years old 
I’m careless about my health I don’t check my diabetes level i was at the hospital because my glucose was above  15 they said i need to put my life together can anyone give me tips how to change my life</t>
        </is>
      </c>
      <c r="D7749" t="n">
        <v>9</v>
      </c>
      <c r="E7749" t="n">
        <v>14</v>
      </c>
      <c r="F7749">
        <f>HYPERLINK("https://www.reddit.com/r/diabetes/comments/drd429/hi_my_name_is_mohammed_i_have_diabetes_for_16/")</f>
        <v/>
      </c>
      <c r="G7749" t="inlineStr">
        <is>
          <t>2019-11-03 21:23:00</t>
        </is>
      </c>
      <c r="H7749" t="inlineStr">
        <is>
          <t>Type 1</t>
        </is>
      </c>
    </row>
    <row r="7750">
      <c r="A7750" t="inlineStr">
        <is>
          <t>drjbec</t>
        </is>
      </c>
      <c r="B7750" t="inlineStr">
        <is>
          <t>got dx 2 days ago</t>
        </is>
      </c>
      <c r="C7750" t="inlineStr">
        <is>
          <t>i hate my type 1 :( im 14 and got dx 2 days ago. I use Lantus barely any.  But heres my question? why is the world so cruel? WHYY i have the fear of losing my vision my feet my legs. This is a burden.</t>
        </is>
      </c>
      <c r="D7750" t="n">
        <v>3</v>
      </c>
      <c r="E7750" t="n">
        <v>13</v>
      </c>
      <c r="F7750">
        <f>HYPERLINK("https://www.reddit.com/r/diabetes/comments/drjbec/got_dx_2_days_ago/")</f>
        <v/>
      </c>
      <c r="G7750" t="inlineStr">
        <is>
          <t>2019-11-04 07:41:50</t>
        </is>
      </c>
      <c r="H7750" t="inlineStr">
        <is>
          <t>Type 1</t>
        </is>
      </c>
    </row>
    <row r="7751">
      <c r="A7751" t="inlineStr">
        <is>
          <t>drl5el</t>
        </is>
      </c>
      <c r="B7751" t="inlineStr">
        <is>
          <t>Long time reader, first time poster!</t>
        </is>
      </c>
      <c r="C7751" t="inlineStr">
        <is>
          <t>Hi everyone! I've been diabetic for just over 21 years and I'm on a tandem insulin pump as well as the Dexcom G5 (in Canada so no BasalIQ just yet).
Long story short, I've had meh A1Cs a good chunk of the time I've been diabetic (8s, 9s) and two years a go I really started getting my act together. I'm now in the low 6s and feeling really great about my diabetes management (for the first time ever I'm not scared of my endo appts which is real feat)! \[If you're working at your diabetes control, know that you can do it too! I never thought I'd get here.\]
All of that to say, I've always been a touch overweight - this is something that I've always struggled with and genetically I definitely have an uphill battle. As part of getting into better control with diabetes and generally improving on my health and wellness I've been eating low-ish carb and going to the gym consistently 3x week for about two years now. Over that time I have consistently gained weight rather than losing any and it's really starting to bother me and affect my motivation. I know that part of this is probably insulin-related as well as the fact that I'm going low more often than I used to (and that means extra calorie consumption). 
Other things I'm trying to be mindful of:
\- I have high cholesterol/BP so I'm eating low carb for my blood sugar but I also have to be careful about fat/protein consumption.
\- I have some minor retinopathy so I'm trying not to do exercise that is too high impact or HIIT-style. I've been doing mostly 30ish min of cardio and then some low weights at higher reps. 
Does anyone have any insight or tips they could share or fitness/eating resources? I'm really just feeling stuck. I try and motivate myself with fitness and eating just by reminding myself that this is good for me and my diabetes control regardless of any weight change, but it's getting more difficult. 
Thanks!</t>
        </is>
      </c>
      <c r="D7751" t="n">
        <v>2</v>
      </c>
      <c r="E7751" t="n">
        <v>1</v>
      </c>
      <c r="F7751">
        <f>HYPERLINK("https://www.reddit.com/r/diabetes/comments/drl5el/long_time_reader_first_time_poster/")</f>
        <v/>
      </c>
      <c r="G7751" t="inlineStr">
        <is>
          <t>2019-11-04 09:45:24</t>
        </is>
      </c>
      <c r="H7751" t="inlineStr">
        <is>
          <t>Type 1</t>
        </is>
      </c>
    </row>
    <row r="7752">
      <c r="A7752" t="inlineStr">
        <is>
          <t>drlqud</t>
        </is>
      </c>
      <c r="B7752" t="inlineStr">
        <is>
          <t>Building muscle and losing weight</t>
        </is>
      </c>
      <c r="C7752" t="inlineStr">
        <is>
          <t>Not seeking advice rather trying to give it. I've been type 1 for 6 years and wanted to share my experience with exercise or get things straight (if I am in the wrong here).
I remember reading that building muscle requires you to keep your BG levels normal so the protein synthesis works normally. It should be given. Didn't know this when I used to go to the gym religiously.
Weight loss: you can instantly burn the food you eat by eating a needed amount to raise your BG levels so you can exercise without going too low and injecting just a bit. Note that if you don't eat enough you'll be burned out. 
Also, don't overcorrect. Always start with a dose that you believe will get you to your hoped levels but so you don't need to eat any extra (glucose tablets, candy, carbs in general).
Open for discussion.</t>
        </is>
      </c>
      <c r="D7752" t="n">
        <v>3</v>
      </c>
      <c r="E7752" t="n">
        <v>6</v>
      </c>
      <c r="F7752">
        <f>HYPERLINK("https://www.reddit.com/r/diabetes/comments/drlqud/building_muscle_and_losing_weight/")</f>
        <v/>
      </c>
      <c r="G7752" t="inlineStr">
        <is>
          <t>2019-11-04 10:24:55</t>
        </is>
      </c>
      <c r="H7752" t="inlineStr">
        <is>
          <t>Type 1</t>
        </is>
      </c>
    </row>
    <row r="7753">
      <c r="A7753" t="inlineStr">
        <is>
          <t>drlw3f</t>
        </is>
      </c>
      <c r="B7753" t="inlineStr">
        <is>
          <t>T2D, Should I be doing a keto diet?</t>
        </is>
      </c>
      <c r="C7753" t="inlineStr">
        <is>
          <t>Some background: I am a male in early 30's. I have been T2D for 6 years now. I thought, I was managing the condition well and was compliant with the medications. However lately, due to workload stress, I did a bad job managing my blood sugars and A1c. 
Results:  Recent reports showed my A1C was 8.8. Cholesterol : 184, Triglycerides 400, HDL: 28. I lost close to 9 pounds (weight went from 144 lbs to 135 lbs in past 4-6 months).
My doctor first increased the dose of metformin from 850 to 1000 mg BID. With the diet monitoring, my fasting blood sugar levels were still in the range of 145-170. Later he added 50mg Januvia (sitagliptin), last week. For past week my fasting blood sugar has been in the range 105-125. I try to test 2 hrs post meals too and readings have been in the same range. 
I have read information on keto on how it has helped individuals in managing A1c and cutting diabetes medication. However, I am wondering if keto is right for me? I dont have to lose weight, rather need to gain weight.  Also, wondering, if keto could further lead to an increase in my cholesterol levels.
I will be definitely discussing this with my Dr. However wanted to an opinion from this helpful community too.  Has anyone experienced similar situation.</t>
        </is>
      </c>
      <c r="D7753" t="n">
        <v>1</v>
      </c>
      <c r="E7753" t="n">
        <v>13</v>
      </c>
      <c r="F7753">
        <f>HYPERLINK("https://www.reddit.com/r/diabetes/comments/drlw3f/t2d_should_i_be_doing_a_keto_diet/")</f>
        <v/>
      </c>
      <c r="G7753" t="inlineStr">
        <is>
          <t>2019-11-04 10:34:30</t>
        </is>
      </c>
      <c r="H7753" t="inlineStr">
        <is>
          <t>Type 2</t>
        </is>
      </c>
    </row>
    <row r="7754">
      <c r="A7754" t="inlineStr">
        <is>
          <t>drph7j</t>
        </is>
      </c>
      <c r="B7754" t="inlineStr">
        <is>
          <t>How can I support my loved one</t>
        </is>
      </c>
      <c r="C7754" t="inlineStr">
        <is>
          <t>Hi Guys, 
Just looking for advice on ways I can support my S/O on frustrating diabetes days. He's been struggling with pods not staying in place and insulin not working like usual and i'm sure you all have things that make you feel better, so just looking for new ideas! 
TIA</t>
        </is>
      </c>
      <c r="D7754" t="n">
        <v>5</v>
      </c>
      <c r="E7754" t="n">
        <v>9</v>
      </c>
      <c r="F7754">
        <f>HYPERLINK("https://www.reddit.com/r/diabetes/comments/drph7j/how_can_i_support_my_loved_one/")</f>
        <v/>
      </c>
      <c r="G7754" t="inlineStr">
        <is>
          <t>2019-11-04 14:34:26</t>
        </is>
      </c>
      <c r="H7754" t="inlineStr">
        <is>
          <t>Type 1</t>
        </is>
      </c>
    </row>
    <row r="7755">
      <c r="A7755" t="inlineStr">
        <is>
          <t>drq6oc</t>
        </is>
      </c>
      <c r="B7755" t="inlineStr">
        <is>
          <t>Just sharing because I'm excited!</t>
        </is>
      </c>
      <c r="C7755" t="inlineStr">
        <is>
          <t>After nearly four years of being diabetic, I'm finally getting a pump! I took a lot of time to make my decision, but today I called my doctor to tell him what I want and we're getting the ball rolling! 😄</t>
        </is>
      </c>
      <c r="D7755" t="n">
        <v>160</v>
      </c>
      <c r="E7755" t="n">
        <v>25</v>
      </c>
      <c r="F7755">
        <f>HYPERLINK("https://www.reddit.com/r/diabetes/comments/drq6oc/just_sharing_because_im_excited/")</f>
        <v/>
      </c>
      <c r="G7755" t="inlineStr">
        <is>
          <t>2019-11-04 15:22:56</t>
        </is>
      </c>
      <c r="H7755" t="inlineStr">
        <is>
          <t>Type 1</t>
        </is>
      </c>
    </row>
    <row r="7756">
      <c r="A7756" t="inlineStr">
        <is>
          <t>drs3f9</t>
        </is>
      </c>
      <c r="B7756" t="inlineStr">
        <is>
          <t>He picked me up - hylo ramblings</t>
        </is>
      </c>
      <c r="C7756" t="inlineStr">
        <is>
          <t>I do martial arts and recently upped my sports a little. I came an hour early to the session so the only other person there was my friend who was also the sensei. The last five minutes of driving there I felt low but my dex was saying I was still 130, but dropping fast. By the time I got in five minutes later I was 54 on my meter and 90 on the dex.
Told my sensei friend I was low and crashing fast. He opened my sugar packet for me and fed me my sugar, rubbed my back and spoke soothingly to me. He held me straight in the chair so I wouldn't fall out of it because I was swaying. I think I dropped lower and I put my head down on my arms and closed my eyes. Tbh if he wasn't there I think I'd have been fine, just layed still for twenty minutes till the sugar kicked in. I was coherent and could still chat away and move if I really forced myself, just very tired (haven't slept much tge last few days). But I was shaking and getting that "brain freeze" feeling and lifting myself took so much effort.
He asked if I wanted to lie down on the mat. I hate lying down when low, it feels dumb and I cant get up, I feel like a dead body. I said no at first but he asked again so i said yes. He carried me in the bridal (although i could only think of it as the baby position) and laid me on the mat. I managed to communicate that I wanted to sit by the wall so he dragged me to the wall instead and got me in a sitting position.
Tbh i think i could have got myself there if I really had to and I didn't really need to move to the mat but i found it very sweet, if embarrassing.
Later I trained for half an hour but then crashed again. Not below 70 but i felt like 50. Sat out for the next 90 mins because i felt so off and weak even after my levels came up (and went way too high) but all my friends waited for me at the end, offered to follow me home so i didnt crash, asked if i was ok. It was really sweet, i feel so blessed, but im worried they will treat me like glass now. Always overly concerned about hypos. Thats what happened at my work... It alsof felt quite humiliating and simultaneously i felt like i was exaggerating it's seriousness because it was also nice to be taken caee of, when i probably could have got through on my own.
Idk does anyone else relate? I often think about what would happen if i had a severe low on the matt, especially in front of my friend, and it played our almost like my fantasies... But this wasn't planned or anything.
Idk, exhausted, emotional post hypo ramblings.</t>
        </is>
      </c>
      <c r="D7756" t="n">
        <v>1</v>
      </c>
      <c r="E7756" t="n">
        <v>2</v>
      </c>
      <c r="F7756">
        <f>HYPERLINK("https://www.reddit.com/r/diabetes/comments/drs3f9/he_picked_me_up_hylo_ramblings/")</f>
        <v/>
      </c>
      <c r="G7756" t="inlineStr">
        <is>
          <t>2019-11-04 17:43:57</t>
        </is>
      </c>
      <c r="H7756" t="inlineStr">
        <is>
          <t>Type 1</t>
        </is>
      </c>
    </row>
    <row r="7757">
      <c r="A7757" t="inlineStr">
        <is>
          <t>drsyuh</t>
        </is>
      </c>
      <c r="B7757" t="inlineStr">
        <is>
          <t>Quick rant “Death by Arizona” lol</t>
        </is>
      </c>
      <c r="C7757" t="inlineStr">
        <is>
          <t>Someone drank my gallon of Arizona ice  tea in my apartment and replaced it because that’s how we role. But they accidentally replaced it with regular sweetened ice tea. I didn’t realize it was sweetened until 2 glasses in and 78-310Bg later while studying for midterms 😢. I know it was an accident but shit what a careless mistake on my part. Should of read it, double checked. Feel like absolute shit now. Crazy how such a little mistake can lead to (god forbid) a trip to the ER.</t>
        </is>
      </c>
      <c r="D7757" t="n">
        <v>7</v>
      </c>
      <c r="E7757" t="n">
        <v>4</v>
      </c>
      <c r="F7757">
        <f>HYPERLINK("https://www.reddit.com/r/diabetes/comments/drsyuh/quick_rant_death_by_arizona_lol/")</f>
        <v/>
      </c>
      <c r="G7757" t="inlineStr">
        <is>
          <t>2019-11-04 18:49:12</t>
        </is>
      </c>
      <c r="H7757" t="inlineStr">
        <is>
          <t>Type 1</t>
        </is>
      </c>
    </row>
    <row r="7758">
      <c r="A7758" t="inlineStr">
        <is>
          <t>drxxff</t>
        </is>
      </c>
      <c r="B7758" t="inlineStr">
        <is>
          <t>So, I've just got a freestyle libre and I put it in last night.</t>
        </is>
      </c>
      <c r="C7758" t="inlineStr">
        <is>
          <t>Is there a way to calibrate this thing because its showing that I'm at least 100 over what I actually am</t>
        </is>
      </c>
      <c r="D7758" t="n">
        <v>2</v>
      </c>
      <c r="E7758" t="n">
        <v>19</v>
      </c>
      <c r="F7758">
        <f>HYPERLINK("https://www.reddit.com/r/diabetes/comments/drxxff/so_ive_just_got_a_freestyle_libre_and_i_put_it_in/")</f>
        <v/>
      </c>
      <c r="G7758" t="inlineStr">
        <is>
          <t>2019-11-05 03:34:11</t>
        </is>
      </c>
      <c r="H7758" t="inlineStr">
        <is>
          <t>Type 1</t>
        </is>
      </c>
    </row>
    <row r="7759">
      <c r="A7759" t="inlineStr">
        <is>
          <t>dryjeo</t>
        </is>
      </c>
      <c r="B7759" t="inlineStr">
        <is>
          <t>Please help me</t>
        </is>
      </c>
      <c r="C7759" t="inlineStr">
        <is>
          <t>I need help, I have a friend who was diagnosed nearly 5 years ago and they have had uncontrolled sugars for 3 years, how can I help and is it too late (she has no chronic illnesses)</t>
        </is>
      </c>
      <c r="D7759" t="n">
        <v>3</v>
      </c>
      <c r="E7759" t="n">
        <v>17</v>
      </c>
      <c r="F7759">
        <f>HYPERLINK("https://www.reddit.com/r/diabetes/comments/dryjeo/please_help_me/")</f>
        <v/>
      </c>
      <c r="G7759" t="inlineStr">
        <is>
          <t>2019-11-05 04:36:33</t>
        </is>
      </c>
      <c r="H7759" t="inlineStr">
        <is>
          <t>Type 1</t>
        </is>
      </c>
    </row>
    <row r="7760">
      <c r="A7760" t="inlineStr">
        <is>
          <t>ds0qz3</t>
        </is>
      </c>
      <c r="B7760" t="inlineStr">
        <is>
          <t>Anyone doing OTF ?</t>
        </is>
      </c>
      <c r="C7760" t="inlineStr">
        <is>
          <t>Started OTF about 1.5 months ago now. LOVE it. I was doing amazing thing for my BG. That was the main reason I started. But now things have seemed to go back to how it was and I am beginning to go through those unexplainable highs once again - you know the ones where you have calculated your carbs correctly, bolused correctly - but for some reason, 40 min later you get the double arrows up on your pump??
&amp;amp;#x200B;
Anyways, I was just feeling a little sorry for myself and wanted to talk about it/rant. I know this is just how it is- there are so many variables that affect our BG on the daily even if you are doing everything "right." 
&amp;amp;#x200B;
On a brighter note - if anyone is looking for a new workout and has the financial means at the moment- try OTF. The mixture of weights and cardio is really good for diabetics I feel. A full workout fo weights didn't work well for me- so this is a great mix.</t>
        </is>
      </c>
      <c r="D7760" t="n">
        <v>0</v>
      </c>
      <c r="E7760" t="n">
        <v>6</v>
      </c>
      <c r="F7760">
        <f>HYPERLINK("https://www.reddit.com/r/diabetes/comments/ds0qz3/anyone_doing_otf/")</f>
        <v/>
      </c>
      <c r="G7760" t="inlineStr">
        <is>
          <t>2019-11-05 07:31:32</t>
        </is>
      </c>
      <c r="H7760" t="inlineStr">
        <is>
          <t>Type 1</t>
        </is>
      </c>
    </row>
    <row r="7761">
      <c r="A7761" t="inlineStr">
        <is>
          <t>ds300p</t>
        </is>
      </c>
      <c r="B7761" t="inlineStr">
        <is>
          <t>I can no longer feel low sugars after accident; does this come back?</t>
        </is>
      </c>
      <c r="C7761" t="inlineStr">
        <is>
          <t>About a year ago, my sugar dropped to about 20 mg/dL, and I was sent to the ER. I lost my memory for the day, but one thing changed--I could no longer feel low sugars. I don't get sweaty, hungry, shaky, or whatever (hypoglycemia unawareness).  Because of this, I have a much higher risk of running into another attack as I can easily drop again and not feel it. I was wondering if anyone knows anything about this, **and if I will ever get the ability back**. I am testing numerous times a day, have 2 sensors on at all times, as well as an insulin pump. My doctor told me I should get the feeling back, but it's been a year, and nothing has changed.
&amp;amp;#x200B;
tl;dr I can no longer feel low sugars and was wondering if anyone knows if this is permanent.</t>
        </is>
      </c>
      <c r="D7761" t="n">
        <v>6</v>
      </c>
      <c r="E7761" t="n">
        <v>7</v>
      </c>
      <c r="F7761">
        <f>HYPERLINK("https://www.reddit.com/r/diabetes/comments/ds300p/i_can_no_longer_feel_low_sugars_after_accident/")</f>
        <v/>
      </c>
      <c r="G7761" t="inlineStr">
        <is>
          <t>2019-11-05 10:07:10</t>
        </is>
      </c>
      <c r="H7761" t="inlineStr">
        <is>
          <t>Type 1</t>
        </is>
      </c>
    </row>
    <row r="7762">
      <c r="A7762" t="inlineStr">
        <is>
          <t>ds48z5</t>
        </is>
      </c>
      <c r="B7762" t="inlineStr">
        <is>
          <t>Recently Diagnosed, Wondering about good desserts with less sugar?</t>
        </is>
      </c>
      <c r="C7762" t="inlineStr">
        <is>
          <t>I only got diagnosed with diabetes type 1 last week, and i’m trying to find things to make as a dessert that are low carb so I don’t have to up my insulin. I’ve read that refined sugar is super bad for diabetics so i want to steer clear of that too. Does anyone have any recipes?</t>
        </is>
      </c>
      <c r="D7762" t="n">
        <v>1</v>
      </c>
      <c r="E7762" t="n">
        <v>15</v>
      </c>
      <c r="F7762">
        <f>HYPERLINK("https://www.reddit.com/r/diabetes/comments/ds48z5/recently_diagnosed_wondering_about_good_desserts/")</f>
        <v/>
      </c>
      <c r="G7762" t="inlineStr">
        <is>
          <t>2019-11-05 11:33:10</t>
        </is>
      </c>
      <c r="H7762" t="inlineStr">
        <is>
          <t>Type 1</t>
        </is>
      </c>
    </row>
    <row r="7763">
      <c r="A7763" t="inlineStr">
        <is>
          <t>ds4k7s</t>
        </is>
      </c>
      <c r="B7763" t="inlineStr">
        <is>
          <t>I can "sense" my Freestyle Libre all the time...</t>
        </is>
      </c>
      <c r="C7763" t="inlineStr">
        <is>
          <t>I've been using Libre sensors for a little over a year, with no problems.  But about 6 weeks ago, I started being able to "feel" the sensor 24/7.  In fact, after I'd taken one off my left arm when it expired, for several days afterward I could feel that it had been there.  It's as if I'm becoming more sensitive to them.  I try to rotate them well, but am concerned this will only get worse. Has this happened to anyone else?</t>
        </is>
      </c>
      <c r="D7763" t="n">
        <v>2</v>
      </c>
      <c r="E7763" t="n">
        <v>4</v>
      </c>
      <c r="F7763">
        <f>HYPERLINK("https://www.reddit.com/r/diabetes/comments/ds4k7s/i_can_sense_my_freestyle_libre_all_the_time/")</f>
        <v/>
      </c>
      <c r="G7763" t="inlineStr">
        <is>
          <t>2019-11-05 11:54:49</t>
        </is>
      </c>
      <c r="H7763" t="inlineStr">
        <is>
          <t>Type 1</t>
        </is>
      </c>
    </row>
    <row r="7764">
      <c r="A7764" t="inlineStr">
        <is>
          <t>ds5i1p</t>
        </is>
      </c>
      <c r="B7764" t="inlineStr">
        <is>
          <t>Dexcom g6 transmitter won't pair with phone</t>
        </is>
      </c>
      <c r="C7764" t="inlineStr">
        <is>
          <t>"Transmitter not found". Any ideas on what could be causing this?</t>
        </is>
      </c>
      <c r="D7764" t="n">
        <v>1</v>
      </c>
      <c r="E7764" t="n">
        <v>3</v>
      </c>
      <c r="F7764">
        <f>HYPERLINK("https://www.reddit.com/r/diabetes/comments/ds5i1p/dexcom_g6_transmitter_wont_pair_with_phone/")</f>
        <v/>
      </c>
      <c r="G7764" t="inlineStr">
        <is>
          <t>2019-11-05 13:01:40</t>
        </is>
      </c>
      <c r="H7764" t="inlineStr">
        <is>
          <t>Type 1</t>
        </is>
      </c>
    </row>
    <row r="7765">
      <c r="A7765" t="inlineStr">
        <is>
          <t>ds75x2</t>
        </is>
      </c>
      <c r="B7765" t="inlineStr">
        <is>
          <t>Haven’t been over 200 in three days 🙏🏼🙏🏼🙏🏼</t>
        </is>
      </c>
      <c r="C7765" t="inlineStr">
        <is>
          <t>Dropped below 50 a few times but no 200’s haha</t>
        </is>
      </c>
      <c r="D7765" t="n">
        <v>1</v>
      </c>
      <c r="E7765" t="n">
        <v>0</v>
      </c>
      <c r="F7765">
        <f>HYPERLINK("https://www.reddit.com/r/diabetes/comments/ds75x2/havent_been_over_200_in_three_days/")</f>
        <v/>
      </c>
      <c r="G7765" t="inlineStr">
        <is>
          <t>2019-11-05 15:02:08</t>
        </is>
      </c>
      <c r="H7765" t="inlineStr">
        <is>
          <t>Type 1</t>
        </is>
      </c>
    </row>
    <row r="7766">
      <c r="A7766" t="inlineStr">
        <is>
          <t>ds7fbz</t>
        </is>
      </c>
      <c r="B7766" t="inlineStr">
        <is>
          <t>Changing Lancet</t>
        </is>
      </c>
      <c r="C7766" t="inlineStr">
        <is>
          <t>Been diabetic for like 6-7 years. Just found out today your suppose to change out your lancet every time. I’ve had the same lancet for 6-7 years. No wonder why it hurts every time</t>
        </is>
      </c>
      <c r="D7766" t="n">
        <v>0</v>
      </c>
      <c r="E7766" t="n">
        <v>3</v>
      </c>
      <c r="F7766">
        <f>HYPERLINK("https://www.reddit.com/r/diabetes/comments/ds7fbz/changing_lancet/")</f>
        <v/>
      </c>
      <c r="G7766" t="inlineStr">
        <is>
          <t>2019-11-05 15:21:23</t>
        </is>
      </c>
      <c r="H7766" t="inlineStr">
        <is>
          <t>Type 1</t>
        </is>
      </c>
    </row>
    <row r="7767">
      <c r="A7767" t="inlineStr">
        <is>
          <t>ds86n1</t>
        </is>
      </c>
      <c r="B7767" t="inlineStr">
        <is>
          <t>He picked me up - hypo ramblings</t>
        </is>
      </c>
      <c r="C7767" t="inlineStr">
        <is>
          <t>I do martial arts and recently upped my sports a little. I came an hour early to the session so the only other person there was my friend T, who is also the sensei. The last five minutes of driving there I felt low, however my dex was saying I was still 130, but dropping fast. By the time I got in five minutes later I was 54 on my meter and 90 on the dex.
Told T I was low and crashing fast. He opened my sugar packet for me and fed me my sugar, rubbed my back and spoke soothingly to me. He held me straight in the chair so I wouldn't fall out of it because I was swaying. I think I dropped lower and I put my head down on my arms and closed my eyes. Tbh, if he wasn't there I think I'd have been fine, just layed still for twenty minutes till the sugar kicked in. I was coherent and could still chat away and move if I really forced myself, just very tired (haven't slept much the last few days). But I was shaking and getting that "brain freeze" feeling and lifting myself took so much effort. 
He asked if I wanted to lie down on the mat. I hate lying down when low, it feels dumb and I cant get up, I feel like a dead body. I said no at first but he asked again so i said yes. He carried me in the bridal (although I could feel like a baby in that position) and laid me on the mat. I managed to communicate that I wanted to sit by the wall so he dragged me to the wall instead and got me in a sitting position.
Tbh i think i could have got myself there if I really had to and I didn't really need to move to the mat but I found it very sweet, if embarrassing.
Later I trained for half an hour but then crashed again. Not below 70 but i felt like 50. Sat out for the next 90 mins because I felt so off and weak even after my levels came up (and went way too high) but all my friends waited for me at the end, offered to follow me home so I didnt crash (the car, or sugar wise), asked if I was ok. It was really sweet, I feel so blessed, but I'm worried they will treat me like glass now. Always overly concerned about hypos. Thats what happened at my work... 
It felt quite humiliating and simultaneously I felt like I was exaggerating the low's seriousness because it was also nice to be taken care of, when I probably could have got through on my own.
Idk does anyone else relate? I often think about what would happen if I had a severe low on the matt, especially in front of my friend, and it played our almost like my fantasies... But this wasn't planned or anything.
Idk, exhausted, emotional post hypo ramblings.</t>
        </is>
      </c>
      <c r="D7767" t="n">
        <v>0</v>
      </c>
      <c r="E7767" t="n">
        <v>1</v>
      </c>
      <c r="F7767">
        <f>HYPERLINK("https://www.reddit.com/r/diabetes/comments/ds86n1/he_picked_me_up_hypo_ramblings/")</f>
        <v/>
      </c>
      <c r="G7767" t="inlineStr">
        <is>
          <t>2019-11-05 16:20:12</t>
        </is>
      </c>
      <c r="H7767" t="inlineStr">
        <is>
          <t>Type 1</t>
        </is>
      </c>
    </row>
    <row r="7768">
      <c r="A7768" t="inlineStr">
        <is>
          <t>dsfl0v</t>
        </is>
      </c>
      <c r="B7768" t="inlineStr">
        <is>
          <t>How can I calculate my Macros and Calories for losing weight [T1]</t>
        </is>
      </c>
      <c r="C7768" t="inlineStr">
        <is>
          <t>Weight: 77Kg
Height: 174
Age: 24
Gender: Male
I have been going to the gym for 2-3 months and I'm trying to eat healthy with much lower portion ( Trying to do the macros and calories thing but It is not accurate, but at least it is much better than my food before I started)
I don't have a lot of fat and I'm in a pretty good shape even without going to the gym, I lost about 3Kg and now I'm in plateau.
I heard that it is harder for diabetic to lose weight and there are extra steps that needed to be done.
And I know my diet might be wrong, but I'm here for any tips and advises
Sorry for bad English</t>
        </is>
      </c>
      <c r="D7768" t="n">
        <v>0</v>
      </c>
      <c r="E7768" t="n">
        <v>4</v>
      </c>
      <c r="F7768">
        <f>HYPERLINK("https://www.reddit.com/r/diabetes/comments/dsfl0v/how_can_i_calculate_my_macros_and_calories_for/")</f>
        <v/>
      </c>
      <c r="G7768" t="inlineStr">
        <is>
          <t>2019-11-06 04:25:06</t>
        </is>
      </c>
      <c r="H7768" t="inlineStr">
        <is>
          <t>Type 1</t>
        </is>
      </c>
    </row>
    <row r="7769">
      <c r="A7769" t="inlineStr">
        <is>
          <t>dshfil</t>
        </is>
      </c>
      <c r="B7769" t="inlineStr">
        <is>
          <t>Creatine to help manage blood sugar?</t>
        </is>
      </c>
      <c r="C7769" t="inlineStr">
        <is>
          <t>Been using Creatine a couple days and noticed my BG hasn’t been bad actually dropping to 70 and staying for a couple hrs. Just curious if it’s safe to use Creatine every day with diabetes. I actually have type 1 but it’s treated like type 2 until my pancreas fully dies and I need insulin injections/pump. Definitely like the Creatine as it makes me look a good deal bulkier and my arms are rock solid haha. Just wanna make sure it’s safe for continuous usage</t>
        </is>
      </c>
      <c r="D7769" t="n">
        <v>1</v>
      </c>
      <c r="E7769" t="n">
        <v>2</v>
      </c>
      <c r="F7769">
        <f>HYPERLINK("https://www.reddit.com/r/diabetes/comments/dshfil/creatine_to_help_manage_blood_sugar/")</f>
        <v/>
      </c>
      <c r="G7769" t="inlineStr">
        <is>
          <t>2019-11-06 06:58:14</t>
        </is>
      </c>
      <c r="H7769" t="inlineStr">
        <is>
          <t>Type 2</t>
        </is>
      </c>
    </row>
    <row r="7770">
      <c r="A7770" t="inlineStr">
        <is>
          <t>dsim3h</t>
        </is>
      </c>
      <c r="B7770" t="inlineStr">
        <is>
          <t>Parents who have T1D: What recommendations have you gotten with regard to your children and screening for T1D?</t>
        </is>
      </c>
      <c r="C7770" t="inlineStr">
        <is>
          <t>I am a mom with type 1 diabetes. There is a strong history of T1D in my family (father, an aunt, and several siblings of my paternal grandmother). My child does not have T1D. Our family has been involved in TrialNet, but we have not yet enrolled our child (are still debating whether to go down that path). 
Prior to having our child, I was able to meet with someone at Joslin to discuss genetic concerns. Bloodwork was done and it was confirmed that I (most likely) DID NOT have T1D due to polyglandular autoimmune syndrome type 2. Therefore, because I am the T1 and the mother and had our child after age 25, we were told that our child's risk of developing T1D was statistically no greater than any other child's risk. The only recommendation we were given was to give our baby high-dose vitamin D supplements until about age 2 (which we did).
Of course, as a parent, I still worry. Thus far, our child has displayed no symptoms of T1D. We did an antibody screen and A1C test when our child was about 1 (due to a couple of home finger pricks being a bit high), but A1C was normal and there were no antibodies. That was several years ago and while our child now refuses to let me prick a finger just to test, I always watch closely for symptoms. 
Over the years, when I bring up our family history with doctors in our pediatric practice or the endo I see, I always get mixed opinions about how parents with T1 should deal with their non-T1 children in terms of screening. One pediatrician felt annual A1C testing starting around age 4 or 5 was a good idea, a couple of others have said we should do nothing and just watch for symptoms. My endo think TrialNet is the way to go. Yet another pediatrician suggested regular finger pricks at home to check fasting blood work, along with periodic A1C testing. 
I am not hugely conflicted or worried about this, and may go forward with TrialNet enrollment if I can bribe our kiddo into doing some bloodwork, but it made me wonder what other T1 parents are being told with regard to their kids. There doesn't seem to be any consensus about screening and that kind of shocked me. So what are other parents being told?</t>
        </is>
      </c>
      <c r="D7770" t="n">
        <v>3</v>
      </c>
      <c r="E7770" t="n">
        <v>14</v>
      </c>
      <c r="F7770">
        <f>HYPERLINK("https://www.reddit.com/r/diabetes/comments/dsim3h/parents_who_have_t1d_what_recommendations_have/")</f>
        <v/>
      </c>
      <c r="G7770" t="inlineStr">
        <is>
          <t>2019-11-06 08:23:21</t>
        </is>
      </c>
      <c r="H7770" t="inlineStr">
        <is>
          <t>Type 1</t>
        </is>
      </c>
    </row>
    <row r="7771">
      <c r="A7771" t="inlineStr">
        <is>
          <t>dsn584</t>
        </is>
      </c>
      <c r="B7771" t="inlineStr">
        <is>
          <t>Need help figuring this out</t>
        </is>
      </c>
      <c r="C7771" t="inlineStr">
        <is>
          <t>Been diabetic for about 3 years.  Got my A1C back after a year and its 11.6.  I talked to a diabetic care specialist the first few months and she basicly told me what was the devil and I needed less stress. I tried not eating wheat and it kept my a1c around 7, but I couldn't sustain it.  The stress of the last year and a half basicly turned everything on its head.  I have a dr appt next friday to change up my meds but what can I do other then that? I'm trying to figure out a way I can do stuff that I can stick with.</t>
        </is>
      </c>
      <c r="D7771" t="n">
        <v>2</v>
      </c>
      <c r="E7771" t="n">
        <v>3</v>
      </c>
      <c r="F7771">
        <f>HYPERLINK("https://www.reddit.com/r/diabetes/comments/dsn584/need_help_figuring_this_out/")</f>
        <v/>
      </c>
      <c r="G7771" t="inlineStr">
        <is>
          <t>2019-11-06 13:44:23</t>
        </is>
      </c>
      <c r="H7771" t="inlineStr">
        <is>
          <t>Type 2</t>
        </is>
      </c>
    </row>
    <row r="7772">
      <c r="A7772" t="inlineStr">
        <is>
          <t>dspsnp</t>
        </is>
      </c>
      <c r="B7772" t="inlineStr">
        <is>
          <t>Dexcom G6 re-pair Android</t>
        </is>
      </c>
      <c r="C7772" t="inlineStr">
        <is>
          <t>Long story short, I had to do a network reset on my android device. This means, it deleted all bluetooth, wifi, etc data. Now booting back up my device, how do I get it to reconnect to the transmitter? Or am screwed and have to get a new transmitter AND sensor?</t>
        </is>
      </c>
      <c r="D7772" t="n">
        <v>1</v>
      </c>
      <c r="E7772" t="n">
        <v>0</v>
      </c>
      <c r="F7772">
        <f>HYPERLINK("https://www.reddit.com/r/diabetes/comments/dspsnp/dexcom_g6_repair_android/")</f>
        <v/>
      </c>
      <c r="G7772" t="inlineStr">
        <is>
          <t>2019-11-06 17:00:04</t>
        </is>
      </c>
      <c r="H7772" t="inlineStr">
        <is>
          <t>Type 1</t>
        </is>
      </c>
    </row>
    <row r="7773">
      <c r="A7773" t="inlineStr">
        <is>
          <t>dspzee</t>
        </is>
      </c>
      <c r="B7773" t="inlineStr">
        <is>
          <t>HaA1C result</t>
        </is>
      </c>
      <c r="C7773" t="inlineStr">
        <is>
          <t>My HbA1C result came back...and it's down from 69 (8.5) to 48 (6.5)
I'm SO proud of myself, especially as the news came during my most recent mental health crisis.</t>
        </is>
      </c>
      <c r="D7773" t="n">
        <v>155</v>
      </c>
      <c r="E7773" t="n">
        <v>26</v>
      </c>
      <c r="F7773">
        <f>HYPERLINK("https://www.reddit.com/r/diabetes/comments/dspzee/haa1c_result/")</f>
        <v/>
      </c>
      <c r="G7773" t="inlineStr">
        <is>
          <t>2019-11-06 17:14:28</t>
        </is>
      </c>
      <c r="H7773" t="inlineStr">
        <is>
          <t>Type 2</t>
        </is>
      </c>
    </row>
    <row r="7774">
      <c r="A7774" t="inlineStr">
        <is>
          <t>dsq4m4</t>
        </is>
      </c>
      <c r="B7774" t="inlineStr">
        <is>
          <t>One year ago today, I was diagnosed with T1D.</t>
        </is>
      </c>
      <c r="C7774" t="inlineStr">
        <is>
          <t>11/6/2018</t>
        </is>
      </c>
      <c r="D7774" t="n">
        <v>26</v>
      </c>
      <c r="E7774" t="n">
        <v>11</v>
      </c>
      <c r="F7774">
        <f>HYPERLINK("https://www.reddit.com/r/diabetes/comments/dsq4m4/one_year_ago_today_i_was_diagnosed_with_t1d/")</f>
        <v/>
      </c>
      <c r="G7774" t="inlineStr">
        <is>
          <t>2019-11-06 17:25:41</t>
        </is>
      </c>
      <c r="H7774" t="inlineStr">
        <is>
          <t>Type 1</t>
        </is>
      </c>
    </row>
    <row r="7775">
      <c r="A7775" t="inlineStr">
        <is>
          <t>dsw5ur</t>
        </is>
      </c>
      <c r="B7775" t="inlineStr">
        <is>
          <t>18 Year old, Newly diagnosed Type 1</t>
        </is>
      </c>
      <c r="C7775" t="inlineStr">
        <is>
          <t>Hello everyone, 
This will be my first post here and hopefully my first of many. On the 29th of October a Tuesday morning after months of feeling unwell with extreme thirst, dizzy spells, unexplained weight loss and generally feeling like crap I finally decided to go to the doctors after I rapidly deteriorated over three days of a bad chest infection and not eating.  I hate the doctors I have since a child so it really took a lot to get me there, upon arrival I spoke to a nice lady and explained my symptoms to her, she then gave me a small cup with a yellow lid and told me to give a urine sample it was only a few minutes after the sample and a little finger prick I was told I may have type 1 diabetes and I had to go to emergency as soon as possible as they were already expecting me. I called my brother and told him to meet me on the way and explained the best I could to him at the time. I was soon rushed to the emergency room and immediately hooked up to so many machines I had three drips in me a pulse monitor and a bunch on wires hooked up to my chest. At this point I was trying to laugh it off and I was hoping there had been a mistake just waiting for someone to tell me they were wrong and I was okay. But sure enough I was soon told I was indeed type 1 diabetic and that I was in bad state of DKA i was soon taken to ICU and kept there for a few days. I was released from hospital 6 days after being admitted. From there I had to go to the chemist and pick up so many scripts. As of now I'm currently on 4 injections a day and if I'm being honest I'm scared. I've tried to educate myself the best I can I've set up a GP had my eyes checked gotten an appointment set up at a young adult's diabetic clinic and am in the process of starting a carb counting course. But no matter how much I study or talk to people I'm scared and it's as simple as that. I'm sorry if this post is a bit long but I really needed to say this I'm not okay and I don't think I will be for a while. But everyone on this subreddit has given me so much hope and I look forward to being apart of this community and thank you for reading if you've gotten this far, Thank you all.</t>
        </is>
      </c>
      <c r="D7775" t="n">
        <v>1</v>
      </c>
      <c r="E7775" t="n">
        <v>8</v>
      </c>
      <c r="F7775">
        <f>HYPERLINK("https://www.reddit.com/r/diabetes/comments/dsw5ur/18_year_old_newly_diagnosed_type_1/")</f>
        <v/>
      </c>
      <c r="G7775" t="inlineStr">
        <is>
          <t>2019-11-07 02:59:35</t>
        </is>
      </c>
      <c r="H7775" t="inlineStr">
        <is>
          <t>Type 1</t>
        </is>
      </c>
    </row>
    <row r="7776">
      <c r="A7776" t="inlineStr">
        <is>
          <t>dt0m0i</t>
        </is>
      </c>
      <c r="B7776" t="inlineStr">
        <is>
          <t>Sleep</t>
        </is>
      </c>
      <c r="C7776" t="inlineStr">
        <is>
          <t xml:space="preserve">  
Hi guys
I am 28 years old and have had type 1 diabetes for 18 years.
Overall, during the day at least, my control is good. However, at night I have this fear that my blood sugar will drop low during the night, that I won't notice and put quite bluntly, that I'll will end up dead! 
The consequence of this fear is that I tend to have a snack before bed to give me confidence that I won't drop low in the night. As a result I often wake up in the morning with blood sugars higher than they should be (probably an average of around 11mmol).
I live in the UK and CGM isn't such a big thing over here. If I'm honest I don't really know of its availability over here or how I would go about getting hold of such a system.
Does anyone have any other tips or reassuring words?!</t>
        </is>
      </c>
      <c r="D7776" t="n">
        <v>1</v>
      </c>
      <c r="E7776" t="n">
        <v>8</v>
      </c>
      <c r="F7776">
        <f>HYPERLINK("https://www.reddit.com/r/diabetes/comments/dt0m0i/sleep/")</f>
        <v/>
      </c>
      <c r="G7776" t="inlineStr">
        <is>
          <t>2019-11-07 09:04:25</t>
        </is>
      </c>
      <c r="H7776" t="inlineStr">
        <is>
          <t>Type 1</t>
        </is>
      </c>
    </row>
    <row r="7777">
      <c r="A7777" t="inlineStr">
        <is>
          <t>dt49hu</t>
        </is>
      </c>
      <c r="B7777" t="inlineStr">
        <is>
          <t>[Update] 4.6 A1c but failed home OGTT with 215 (2 hour mark)—not sure what to do next</t>
        </is>
      </c>
      <c r="C7777" t="inlineStr">
        <is>
          <t>I finally got my lab work done at the doctor’s (I was able to squeeze in an early appointment) and got the results back today. 
* BMI: 19
* Family history of “skinny” type 2 (dad’s side—grandmother had it and my dad and all of his brothers have it)
* No current symptoms aside from feeling a little sleepy after eating a high carb meal (50g+)
* Diet: Fairly low-ish carb (75g-100g a day)
* Fasting glucose: 72-86
* A1c: 4.6
* LDL: 100
* HDL: 63
* Triglycerides: 67
The doctor only ordered a post prandial test at the lab (eat a meal and come back to the lab for a blood draw) so I opted out as I already have a meter at home for testing. However, I decided to perform a home OGTT with 10 twizzlers ([link to study](https://www.ncbi.nlm.nih.gov/pmc/articles/PMC3781564/)). For anyone curious, 10 twizzlers equates to 50g sugar and 100g carbs. Here are the results (also tested my boyfriend at the same time):
*Not sure if it matters much but I was dehydrated 
* FBG: 83
* 1 hour: 193
* 2 hours: 215
* 3 hours: 185
**Boyfriend’s results** *(normally eats about 150g+ carbs a day)
* FBG: 83
* 1 hour: 145
* 2 hours: 133
* 3 hours: (didn’t test :p)
For what it’s worth, I tried to “carb up” by eating about 100-120g’s worth of complex carbs (rye/multigrain bread, apples, lentil pasta, sweet potatoes, etc.) for at least 3 days leading up to the home OGTT. I’m not sure if I should have aimed for a longer duration or a higher carb count?
If it helps, here are my readings during carb week:
**DAY 1** | *41.5g carbs total*
**Meal 1**: 1/2 plate of zucchini noodles with pesto, beyond sausage crumbles, parmesan, and sun dried tomatoes, 10 cauliflower cheese sticks (17.5g carbs)
* 1 hour: 118
* 2 hours: 93
**Meal 2**: 1/2 steak, 1 sweet potato, sautéed spinach with tomatoes and parmesan, strawberry stevia soda (24g carbs)
* 1 hour: 146
* 1 hour, 10 min: 125
* 2 hours: 122
**DAY 2** | *91g carbs total*
* FBG: 72
**Meal 3**: 1 slice of rye toast with almond butter, scrambled eggs with spinach and parmesan, 2 pieces of bacon (30g carbs)
* 1 hour: 92
* 2 hours: 90
**Meal 4**: 10 cauliflower cheese sticks (17g carbs)
* 1 hour: 119
**Meal 5**: Magic spoon cereal with oat milk (14g carbs)
* 1 hour: 95
**Meal 6**: 2 oz lentil pasta with marinara sauce and parmesan, diced bell peppers, chicken sausage (30g carbs)
* 1 hour: 137
*2 hours: 143
* 3 hours: 103
**DAY THREE** | *140g carbs total*
* FBG: 78
**Meal 7**: multigrain bagel with fried egg, avocado, cream cheese, and parmesan, 1 tablespoon almond butter (43g carbs)
* 1 hour: 146
* 2 hours: 111
**Meal 8**: Baked sweet potato, mozzarella cheese stick, apple with almond butter (44g carbs)
* 1 hour: 118
* 2 hours: 128
**Meal 9**: 2 oz lentil pasta with marinara sauce, spinach, and parmesan, chicken sausage, apple with almond butter (53g carbs)
* 1 hour: 132
* 2 hours: 115 (walked around grocery store for 20 min before taking second reading)
**DAY FOUR** | *142.5g carbs*
* FBG: 86 (overslept, felt groggy)
**Meal 10**: 1/2 bagel with fried egg and parmesan, 2.5 pieces of bacon, apple with almond butter (44.5g carbs)
* 1 hour: 125
* 2 hours: 125
**Meal 11**: 24 cheese cauliflower sticks, apple with almond butter, 1/2 protein drink (43g carbs)
* 1 hour: 112
**Meal 12**: pumpkin ravioli with marinara sauce and parmesan, chicken sausage, apple with almond butter, 2 pieces of Lily’s chocolate (55g carbs)
* 1 hour: 133
* 2 hours: 129
**DAY FIVE** | *130.5g carbs*
* FBG: 78
**Meal 13**: 1/2 bagel with fried egg and parmesan, 2 pieces of bacon, apple with almond butter (44.5g carbs)
* 1 hour: 122
* 2 hours: 123
**Meal 14**: 1/2 plate of quinoa brown fried rice, string bean chicken, kung pao chicken, 2 apples with almond butter (86g carbs)
* 1 hour: 126
* 2 hours: 125
**DAY SIX l** | *57g carbs total*
* FBG: 81
**Meal 15 (this was my only meal of the day at around 4 pm which might explain the spike?)**: *1/2 quinoa brown fried rice, string bean chicken, kung pao chicken, 24 cauliflower cheese sticks, 3 pieces of Lily’s chocolate (57g carbs)*
* 1 hour: 163
* 2 hours: 146
I’ve noticed that my BG doesn’t seem to move much until the 3 hour mark after eating carbs. I was also getting somewhat higher readings (140ish)  when I initially started eating carbs again but they seemed to get lower later on in the week. The home OGTT kinda upended everything so I’m not really sure what to think. 
I have a follow up appointment with my doctor tomorrow and I’m not really sure what to do.. I’m pretty sure he’s going to tell me that I’m not diabetic. Do I try to get another opinion? Insist on an actual OGTT? Accept that I might have t2 and continue what I’ve been doing with diet and exercise? I also don’t have health insurance so I’d like to weigh my options very carefully. 
Also, do huge spikes over 140+ cause permanent damage? Or will my body heal itself as long as it goes back to baseline and stays there? I’m pretty worried about the spike from the home OGTT—I’ve never seen my BG go that high. 
Thanks in advance!</t>
        </is>
      </c>
      <c r="D7777" t="n">
        <v>1</v>
      </c>
      <c r="E7777" t="n">
        <v>18</v>
      </c>
      <c r="F7777">
        <f>HYPERLINK("https://www.reddit.com/r/diabetes/comments/dt49hu/update_46_a1c_but_failed_home_ogtt_with_215_2/")</f>
        <v/>
      </c>
      <c r="G7777" t="inlineStr">
        <is>
          <t>2019-11-07 13:03:41</t>
        </is>
      </c>
      <c r="H7777" t="inlineStr">
        <is>
          <t>Type 2</t>
        </is>
      </c>
    </row>
    <row r="7778">
      <c r="A7778" t="inlineStr">
        <is>
          <t>dt4dim</t>
        </is>
      </c>
      <c r="B7778" t="inlineStr">
        <is>
          <t>My 8.9 A1C scared the hell out of me, so I went Keto for 90 days and got another test.</t>
        </is>
      </c>
      <c r="C7778" t="inlineStr">
        <is>
          <t>I am the father of a T1D kid and was/am obese.  I was never really thin but it has been a gradual rise over 18 years or so, peaking at 325lbs or so.
After pretending there was nothing wrong for years I went to the doc and finally got bloodwork done.  A1C of 8.9, Cholesterol was 248 ish, and triglycerides were through the roof.
I knew that it was going to be bad so I had made a commitment to do low carb, diet for 90 days and take the test again, so before my "bad news" appointment I explained above I began my food changes.
I began walking.  I ate only vegetables, meats, eggs, and nuts.  I cut out all obvious carbs (ALL sugar, rice, potatoes, pasta, bread)  I also lowered my caloric intake from about 5000-6000 calories a day(!) to somewhere between 1000 and 1500.
The results: (Preliminary, just a quick call from nurse at doc's office and my own observations)
*  I went from 325 to 234 pounds in 100 days
* My A1C went from 8.9 to 6.1
* My Chlosteral went from 248 ish to 180
* My triglycerides drop was huge (Not sure what my beginning was but it was really bad) and now it is in the healthy range.
I still have a lot to go but I am pretty proud of myself.  
I want to get this A1C to the mid 5's, so I am continuing my journey for 90 more days.</t>
        </is>
      </c>
      <c r="D7778" t="n">
        <v>1</v>
      </c>
      <c r="E7778" t="n">
        <v>27</v>
      </c>
      <c r="F7778">
        <f>HYPERLINK("https://www.reddit.com/r/diabetes/comments/dt4dim/my_89_a1c_scared_the_hell_out_of_me_so_i_went/")</f>
        <v/>
      </c>
      <c r="G7778" t="inlineStr">
        <is>
          <t>2019-11-07 13:11:02</t>
        </is>
      </c>
      <c r="H7778" t="inlineStr">
        <is>
          <t>Type 2</t>
        </is>
      </c>
    </row>
    <row r="7779">
      <c r="A7779" t="inlineStr">
        <is>
          <t>dt4o5f</t>
        </is>
      </c>
      <c r="B7779" t="inlineStr">
        <is>
          <t>Equal vs Splenda</t>
        </is>
      </c>
      <c r="C7779" t="inlineStr">
        <is>
          <t>Something I've been noticing recently is the gradual disappearance of Equal/aspartame sweetener from restaurants and coffee shops (Im in the US); most now seem to offer Splenda only. 
Ive got no love for Splenda/sucralose; I think it gives most things its added to a nasty taste, but wondered what was driving the change. They both seem to be approximately the same cost.
Ive taken to carrying my own Equal everywhere. Anyone noticed the same?</t>
        </is>
      </c>
      <c r="D7779" t="n">
        <v>1</v>
      </c>
      <c r="E7779" t="n">
        <v>6</v>
      </c>
      <c r="F7779">
        <f>HYPERLINK("https://www.reddit.com/r/diabetes/comments/dt4o5f/equal_vs_splenda/")</f>
        <v/>
      </c>
      <c r="G7779" t="inlineStr">
        <is>
          <t>2019-11-07 13:30:59</t>
        </is>
      </c>
      <c r="H7779" t="inlineStr">
        <is>
          <t>Type 1</t>
        </is>
      </c>
    </row>
    <row r="7780">
      <c r="A7780" t="inlineStr">
        <is>
          <t>dt9x5l</t>
        </is>
      </c>
      <c r="B7780" t="inlineStr">
        <is>
          <t>[Diabetes Research] Calling for all people living with diabetes !!!</t>
        </is>
      </c>
      <c r="C7780" t="inlineStr">
        <is>
          <t>Hey guys, we are PhD and masters from Oxford University, University of Toronto, and New York University and we are running a qualitative research on diabetes and diet. We are currently on our last stage, where we need to crowdsource different participants’ opinions on sources of supports. We truly hope that one day our research can in turn open up more opportunity in aid of reaching a more holistic support for this community, whereas now, this is where we start.  
\*\*\*Please know that this is absolutely voluntary, and we will keep all informations secure with us — It is completely anonymous.  
It might take you around 1\~2 minutes. We will really appreciate your help, thank you!! \*\*\*  
Survey link:  
[https://docs.google.com/…/1FAIpQLSf5LkQTMwSpQyFKF8…/viewform](https://docs.google.com/forms/d/e/1FAIpQLSf5LkQTMwSpQyFKF8F9SEAQiCZDpBWr6DRMMcA4-TVjOyy6IQ/viewform?fbclid=IwAR1Ycvmt0w4hNhzRqCeH_OyQYi-mAIWI9KqNN9U64Xg3FxS1gArhdMmPUhg)
Please feel free to check out our Facebook page: [https://www.facebook.com/humango.health/](https://www.facebook.com/humango.health/)</t>
        </is>
      </c>
      <c r="D7780" t="n">
        <v>1</v>
      </c>
      <c r="E7780" t="n">
        <v>8</v>
      </c>
      <c r="F7780">
        <f>HYPERLINK("https://www.reddit.com/r/diabetes/comments/dt9x5l/diabetes_research_calling_for_all_people_living/")</f>
        <v/>
      </c>
      <c r="G7780" t="inlineStr">
        <is>
          <t>2019-11-07 20:09:20</t>
        </is>
      </c>
      <c r="H7780" t="inlineStr">
        <is>
          <t>Type 2</t>
        </is>
      </c>
    </row>
    <row r="7781">
      <c r="A7781" t="inlineStr">
        <is>
          <t>dtafdh</t>
        </is>
      </c>
      <c r="B7781" t="inlineStr">
        <is>
          <t>Type 1 Diabetes makes me want to kill my self (rant)</t>
        </is>
      </c>
      <c r="C7781" t="inlineStr">
        <is>
          <t xml:space="preserve">
1. Because of the insulin racket in America and lack of centralized health care I am forced to work a job I hate solely because of the insurance  coverage I receive. 
2. This is an invisible disease that needs monitoring 24/7 lest I fall into diabetic shock and die. No insulin, I die. Too much insulin, I die. 
3. Diabetic complications and other related diseases like hypothyroidism and severe depression both of which I have. 
4. As I get older, the realization that it’s possible I could lose limbs, go blind, loose all of my teeth, etc if I do not slave away at taking care of myself 24/7. 
5. People making jokes when they eat sugar like lolololol this cake is so sweet I’m going to become diabetic. Fuck you fuck you fuck you fuck you.
6. All the needles all the time, the pumps the sites the reservoirs the blood tests the urine tests the organ tests I fucking hate it all.
7. ‘You shouldn’t eat that’ go fuck yourself 
This shit doesn’t get better. It DOESN’T GET BETTER THIS IS MY LIFE. I’ve been diabetic my entire fucking life and it’s been absolute hell the entire time.  I’m so sick of this shit, I’m so sick of the jokes and the INSANELY EXPENSIVE MEDICAL DEVICES AND SUPPLIES I NEED JIST TO LIVE. this existence is bullshit, and anyone who has a chronic illness understands. I’m not humble about it I’m fucking mad. 
Are you mad about it? Fucking tell me. I want to hear it. I’m not the only angry asshole out there.</t>
        </is>
      </c>
      <c r="D7781" t="n">
        <v>1</v>
      </c>
      <c r="E7781" t="n">
        <v>1</v>
      </c>
      <c r="F7781">
        <f>HYPERLINK("https://www.reddit.com/r/diabetes/comments/dtafdh/type_1_diabetes_makes_me_want_to_kill_my_self_rant/")</f>
        <v/>
      </c>
      <c r="G7781" t="inlineStr">
        <is>
          <t>2019-11-07 20:55:19</t>
        </is>
      </c>
      <c r="H7781" t="inlineStr">
        <is>
          <t>Type 1</t>
        </is>
      </c>
    </row>
    <row r="7782">
      <c r="A7782" t="inlineStr">
        <is>
          <t>dtd17f</t>
        </is>
      </c>
      <c r="B7782" t="inlineStr">
        <is>
          <t>can anyone else relate..?</t>
        </is>
      </c>
      <c r="C7782" t="inlineStr">
        <is>
          <t>idk if this is a thing only i experience but sometimes i feel rly hot and i genuinely cant tell if i'm just feeling weird bc its hot in the room im in or because my blood sugar is dropping at a rapid rate. has anyone else felt the same?</t>
        </is>
      </c>
      <c r="D7782" t="n">
        <v>1</v>
      </c>
      <c r="E7782" t="n">
        <v>4</v>
      </c>
      <c r="F7782">
        <f>HYPERLINK("https://www.reddit.com/r/diabetes/comments/dtd17f/can_anyone_else_relate/")</f>
        <v/>
      </c>
      <c r="G7782" t="inlineStr">
        <is>
          <t>2019-11-08 01:29:31</t>
        </is>
      </c>
      <c r="H7782" t="inlineStr">
        <is>
          <t>Type 1</t>
        </is>
      </c>
    </row>
    <row r="7783">
      <c r="A7783" t="inlineStr">
        <is>
          <t>dti9tu</t>
        </is>
      </c>
      <c r="B7783" t="inlineStr">
        <is>
          <t>Question regarding Tandem pumps vs. Medtronic Pumps vs. Other Pumps</t>
        </is>
      </c>
      <c r="C7783" t="inlineStr">
        <is>
          <t>I have been a Medtronic pump user since about 1998. I have had Type I diabetes for about 28 years. I am starting to explore options for a new pump when my warranty expires. I am trying to decide with whom I would like to go. I don't like the idea of the omnipods, but the Tandem seems like it has good features. Do you guys have any thoughts on a pump that:
1. Has an insulin load of at least 300 units (3ml)
2. Has CGM (preferably integrated with the infusion/soft set) (including a basal suspend and reable, auto would be legit).
3. Provides detailed and useful reporting tools (preferably internet/cloud based)
4. (If they have this elsewhere) Automatic bolus (based on CGM) would be an awesome feature
I know I'm asking for a very detailed response I could easily research myself if I just called the sales reps but I wanted to get opinions from folks who have to use them in real life, all the time.
My doctor is awesome about checking my report uploads, he even calls me on weekends if I need to make a change. I have always seen an Endo every 3 months, despite this, there are some issues like insulin resistance that I am dealing with.</t>
        </is>
      </c>
      <c r="D7783" t="n">
        <v>1</v>
      </c>
      <c r="E7783" t="n">
        <v>10</v>
      </c>
      <c r="F7783">
        <f>HYPERLINK("https://www.reddit.com/r/diabetes/comments/dti9tu/question_regarding_tandem_pumps_vs_medtronic/")</f>
        <v/>
      </c>
      <c r="G7783" t="inlineStr">
        <is>
          <t>2019-11-08 09:01:04</t>
        </is>
      </c>
      <c r="H7783" t="inlineStr">
        <is>
          <t>Type 1</t>
        </is>
      </c>
    </row>
    <row r="7784">
      <c r="A7784" t="inlineStr">
        <is>
          <t>dtibxc</t>
        </is>
      </c>
      <c r="B7784" t="inlineStr">
        <is>
          <t>Heat-sensitive skin question</t>
        </is>
      </c>
      <c r="C7784" t="inlineStr">
        <is>
          <t>Does anyone else get splotchy or irritated skin (almost like a rash) when getting out of something hot? I’m talking like a hot shower, jacuzzi, or a sauna?</t>
        </is>
      </c>
      <c r="D7784" t="n">
        <v>1</v>
      </c>
      <c r="E7784" t="n">
        <v>1</v>
      </c>
      <c r="F7784">
        <f>HYPERLINK("https://www.reddit.com/r/diabetes/comments/dtibxc/heatsensitive_skin_question/")</f>
        <v/>
      </c>
      <c r="G7784" t="inlineStr">
        <is>
          <t>2019-11-08 09:05:02</t>
        </is>
      </c>
      <c r="H7784" t="inlineStr">
        <is>
          <t>Type 1</t>
        </is>
      </c>
    </row>
    <row r="7785">
      <c r="A7785" t="inlineStr">
        <is>
          <t>dtljm2</t>
        </is>
      </c>
      <c r="B7785" t="inlineStr">
        <is>
          <t>Evening hyperglycemia</t>
        </is>
      </c>
      <c r="C7785" t="inlineStr">
        <is>
          <t>Hi guys, in the past few days my blood sugar would raise after every dinner(180mg/dl), although I have good blood sugar levels during the whole day.
Why does it raise only after dinner? I inject 5 units of humalog for 50carbs and 13 lantus at 22pm. I would apprectiate any advices:) thanks in advance.</t>
        </is>
      </c>
      <c r="D7785" t="n">
        <v>1</v>
      </c>
      <c r="E7785" t="n">
        <v>12</v>
      </c>
      <c r="F7785">
        <f>HYPERLINK("https://www.reddit.com/r/diabetes/comments/dtljm2/evening_hyperglycemia/")</f>
        <v/>
      </c>
      <c r="G7785" t="inlineStr">
        <is>
          <t>2019-11-08 12:46:39</t>
        </is>
      </c>
      <c r="H7785" t="inlineStr">
        <is>
          <t>Type 1</t>
        </is>
      </c>
    </row>
    <row r="7786">
      <c r="A7786" t="inlineStr">
        <is>
          <t>dtlwea</t>
        </is>
      </c>
      <c r="B7786" t="inlineStr">
        <is>
          <t>Diabetes wins!</t>
        </is>
      </c>
      <c r="C7786" t="inlineStr">
        <is>
          <t>Diabetic wins!
I was diagnosed with type 2 diabetes in March at 21 years old which is really young for that type. I wasn’t a heavy meat eater before, but I did consume a lot of sugar and junk food and gained over 80 pounds in college. Unrelated to my diagnosis, I decided to go vegan for ethical reasons. Since my vegan journey began, I have lost 22 lbs and my a1c is down from 7.6 to 5.4. I was worried about eating a lot of carbs as a vegan, but my body and blood glucose is reacting well to all the veggies and beans I eat now. I just wanted to share the good news with you all and thank you for helping me out on this life change.
Edit: I posted this originally on r/vegan but I wanted to celebrate here too. I also want to note that before starting any dietary changes, consult your endo. Diabetes is a very “touchy-feely”  disease and what works for me may not work for everyone else.</t>
        </is>
      </c>
      <c r="D7786" t="n">
        <v>1</v>
      </c>
      <c r="E7786" t="n">
        <v>6</v>
      </c>
      <c r="F7786">
        <f>HYPERLINK("https://www.reddit.com/r/diabetes/comments/dtlwea/diabetes_wins/")</f>
        <v/>
      </c>
      <c r="G7786" t="inlineStr">
        <is>
          <t>2019-11-08 13:11:12</t>
        </is>
      </c>
      <c r="H7786" t="inlineStr">
        <is>
          <t>Type 2</t>
        </is>
      </c>
    </row>
    <row r="7787">
      <c r="A7787" t="inlineStr">
        <is>
          <t>dtxzuz</t>
        </is>
      </c>
      <c r="B7787" t="inlineStr">
        <is>
          <t>Tight nighttime control, CGM, sugar, and tooth care!</t>
        </is>
      </c>
      <c r="C7787" t="inlineStr">
        <is>
          <t>Background - My HbA1c is the best it's ever been, thanks to CGM. I use Freestyle Libre, MiaoMiao2, a smart watch, and MDI.
So here's my question. I keep much tighter control now at night by having a nighttime alarm set for sugar lower than 5mmol/l. When it goes off, I eat some sugar from my bedside table, and go straight back to sleep.
This works really well for me because the alarm goes off early enough that I can "nudge" my sugar back up and maintain really tight control at night.
However I'm concerned about my teeth! I am eating sugar, in the middle of the night, maybe 3 nights a week, and then going straight back to sleep.
Has anyone thought about this or found a solution? I would be interested to hear. Thanks for reading!</t>
        </is>
      </c>
      <c r="D7787" t="n">
        <v>1</v>
      </c>
      <c r="E7787" t="n">
        <v>8</v>
      </c>
      <c r="F7787">
        <f>HYPERLINK("https://www.reddit.com/r/diabetes/comments/dtxzuz/tight_nighttime_control_cgm_sugar_and_tooth_care/")</f>
        <v/>
      </c>
      <c r="G7787" t="inlineStr">
        <is>
          <t>2019-11-09 08:18:51</t>
        </is>
      </c>
      <c r="H7787" t="inlineStr">
        <is>
          <t>Type 1</t>
        </is>
      </c>
    </row>
    <row r="7788">
      <c r="A7788" t="inlineStr">
        <is>
          <t>du0jxs</t>
        </is>
      </c>
      <c r="B7788" t="inlineStr">
        <is>
          <t>Relpased and just trying to get back on my feet</t>
        </is>
      </c>
      <c r="C7788" t="inlineStr">
        <is>
          <t>I have type one. I relapsed, stopped testing, drank soda and ate badly. I still took my meds. But I woke up today. Feeling sad, knowing that if I keep doing this I am being selfish. To my wife, daughter and myself. I just want to change and hang in there. But it's just so tough.  
I know other people have it worse than I do. So for all of you out there, I am sticking myself. Going to eat better and take things seriously.</t>
        </is>
      </c>
      <c r="D7788" t="n">
        <v>1</v>
      </c>
      <c r="E7788" t="n">
        <v>5</v>
      </c>
      <c r="F7788">
        <f>HYPERLINK("https://www.reddit.com/r/diabetes/comments/du0jxs/relpased_and_just_trying_to_get_back_on_my_feet/")</f>
        <v/>
      </c>
      <c r="G7788" t="inlineStr">
        <is>
          <t>2019-11-09 11:34:06</t>
        </is>
      </c>
      <c r="H7788" t="inlineStr">
        <is>
          <t>Type 2</t>
        </is>
      </c>
    </row>
    <row r="7789">
      <c r="A7789" t="inlineStr">
        <is>
          <t>du0p1g</t>
        </is>
      </c>
      <c r="B7789" t="inlineStr">
        <is>
          <t>Anyone else having trouble keeping Freestyle Libre sensors applied?</t>
        </is>
      </c>
      <c r="C7789" t="inlineStr">
        <is>
          <t>I’ve been using libre sensors for probably two months now. And probably 3 of them have had to come off halfway through because the adhesive had lost its strength. Any recommendations or solutions?
Thanks</t>
        </is>
      </c>
      <c r="D7789" t="n">
        <v>1</v>
      </c>
      <c r="E7789" t="n">
        <v>14</v>
      </c>
      <c r="F7789">
        <f>HYPERLINK("https://www.reddit.com/r/diabetes/comments/du0p1g/anyone_else_having_trouble_keeping_freestyle/")</f>
        <v/>
      </c>
      <c r="G7789" t="inlineStr">
        <is>
          <t>2019-11-09 11:45:13</t>
        </is>
      </c>
      <c r="H7789" t="inlineStr">
        <is>
          <t>Type 1</t>
        </is>
      </c>
    </row>
    <row r="7790">
      <c r="A7790" t="inlineStr">
        <is>
          <t>du1cqo</t>
        </is>
      </c>
      <c r="B7790" t="inlineStr">
        <is>
          <t>Eating the same foods everyday?</t>
        </is>
      </c>
      <c r="C7790" t="inlineStr">
        <is>
          <t>Is it fine for me  to eat generally the same foods everyday? I realized that eating around the same meals and snacks has been much easier for me than trying to figure out what I'm going to eat everyday. Also how often do you guys fry your food in olive oil compared to baking it? Am I fine If I prefer using Olive oil to cook my meats and other foods?</t>
        </is>
      </c>
      <c r="D7790" t="n">
        <v>1</v>
      </c>
      <c r="E7790" t="n">
        <v>3</v>
      </c>
      <c r="F7790">
        <f>HYPERLINK("https://www.reddit.com/r/diabetes/comments/du1cqo/eating_the_same_foods_everyday/")</f>
        <v/>
      </c>
      <c r="G7790" t="inlineStr">
        <is>
          <t>2019-11-09 12:36:22</t>
        </is>
      </c>
      <c r="H7790" t="inlineStr">
        <is>
          <t>Type 2</t>
        </is>
      </c>
    </row>
    <row r="7791">
      <c r="A7791" t="inlineStr">
        <is>
          <t>du2qo7</t>
        </is>
      </c>
      <c r="B7791" t="inlineStr">
        <is>
          <t>Dexcom G6</t>
        </is>
      </c>
      <c r="C7791" t="inlineStr">
        <is>
          <t>New to this, but I got a dexcom g6 today, and was about to insert it, but have some concerns. I typically sleep on my side, or stomach, so I don't want to put the sensor on my arm or abdomen, is it ok to insert it into my thigh? Also should I shave the area first? I'm not super hairy, but I have a decent amount of hair.</t>
        </is>
      </c>
      <c r="D7791" t="n">
        <v>1</v>
      </c>
      <c r="E7791" t="n">
        <v>4</v>
      </c>
      <c r="F7791">
        <f>HYPERLINK("https://www.reddit.com/r/diabetes/comments/du2qo7/dexcom_g6/")</f>
        <v/>
      </c>
      <c r="G7791" t="inlineStr">
        <is>
          <t>2019-11-09 14:22:58</t>
        </is>
      </c>
      <c r="H7791" t="inlineStr">
        <is>
          <t>Type 2</t>
        </is>
      </c>
    </row>
    <row r="7792">
      <c r="A7792" t="inlineStr">
        <is>
          <t>du4tdg</t>
        </is>
      </c>
      <c r="B7792" t="inlineStr">
        <is>
          <t>Can't "Pull the trigger"</t>
        </is>
      </c>
      <c r="C7792" t="inlineStr">
        <is>
          <t>I am somewhat ashamed to admit that I literally just spent 4 hours trying to insert a Guardian 3 sensor. It was right around 4pm EST when I began. I got the site ready, and pulled up a queue of YouTube videos. I clicked one side of the spring loaded inserter.. Then stood there TRYING to push the other side.
The last time I inserted a sensor it hurt, a lot. There was also quite a bit of blood. Now I was expecting a similar amount of pain. I kept reasoning with myself that it probably wouldn't hurt. I grabbed a spare inserter and dry-fired it. Then I would go back to the loaded inserter and my thumbs just wouldn't work. My hands were extremely sweaty. I was double-thumbing the button, sort of rocking it from side-to-side, waiting for it to finally release and insert the sensor.
Finally at 8pm it FINALLY fired! Then I felt stupid because there was literally NO PAIN.
Just needed to vent.</t>
        </is>
      </c>
      <c r="D7792" t="n">
        <v>1</v>
      </c>
      <c r="E7792" t="n">
        <v>6</v>
      </c>
      <c r="F7792">
        <f>HYPERLINK("https://www.reddit.com/r/diabetes/comments/du4tdg/cant_pull_the_trigger/")</f>
        <v/>
      </c>
      <c r="G7792" t="inlineStr">
        <is>
          <t>2019-11-09 17:13:13</t>
        </is>
      </c>
      <c r="H7792" t="inlineStr">
        <is>
          <t>Type 1</t>
        </is>
      </c>
    </row>
    <row r="7793">
      <c r="A7793" t="inlineStr">
        <is>
          <t>du6ezm</t>
        </is>
      </c>
      <c r="B7793" t="inlineStr">
        <is>
          <t>Potentially silly question for closed-loop users</t>
        </is>
      </c>
      <c r="C7793" t="inlineStr">
        <is>
          <t>Hey guys, 
First off, I'm a little fuzzy on how many "closed-loop" options are actually available at this time, so forgive me if this question doesn't really make sense. For context, I'm in Canada, and I'm still doing the ol' insulin pen and glucometer thang. 
My question is this: If you're on a closed-loop system, do you still need to enter info about the carbs you've consumed when you eat a meal? Or does your pump just continue adjusting based on the info it's getting from the CGM, with no info from you at all? My understanding is that it's the latter, but please correct me if I'm wrong.
Thank you!</t>
        </is>
      </c>
      <c r="D7793" t="n">
        <v>1</v>
      </c>
      <c r="E7793" t="n">
        <v>10</v>
      </c>
      <c r="F7793">
        <f>HYPERLINK("https://www.reddit.com/r/diabetes/comments/du6ezm/potentially_silly_question_for_closedloop_users/")</f>
        <v/>
      </c>
      <c r="G7793" t="inlineStr">
        <is>
          <t>2019-11-09 19:42:24</t>
        </is>
      </c>
      <c r="H7793" t="inlineStr">
        <is>
          <t>Type 1</t>
        </is>
      </c>
    </row>
    <row r="7794">
      <c r="A7794" t="inlineStr">
        <is>
          <t>du8l83</t>
        </is>
      </c>
      <c r="B7794" t="inlineStr">
        <is>
          <t>Lows during the night</t>
        </is>
      </c>
      <c r="C7794" t="inlineStr">
        <is>
          <t>**Please help.** When I wake up during the night from the alarm on my cgm, I rarely stay awake to treat my low. I just fall back asleep thinking of what I'm gonna eat to treat it. Being low all night gives me the worst headaches the next day. Luckily for me, I've never dipped so low that I've lost consciousness, but I live alone and that is my greatest fear. 
**I need some tips on how to treat lows during the night, or how to stay awake long enough after the alarm has woken me up.** I always have glucose tablets right next to the bed, so I don't get why I won't just eat them.</t>
        </is>
      </c>
      <c r="D7794" t="n">
        <v>1</v>
      </c>
      <c r="E7794" t="n">
        <v>7</v>
      </c>
      <c r="F7794">
        <f>HYPERLINK("https://www.reddit.com/r/diabetes/comments/du8l83/lows_during_the_night/")</f>
        <v/>
      </c>
      <c r="G7794" t="inlineStr">
        <is>
          <t>2019-11-09 23:41:24</t>
        </is>
      </c>
      <c r="H7794" t="inlineStr">
        <is>
          <t>Type 1</t>
        </is>
      </c>
    </row>
    <row r="7795">
      <c r="A7795" t="inlineStr">
        <is>
          <t>ducsv5</t>
        </is>
      </c>
      <c r="B7795" t="inlineStr">
        <is>
          <t>Diabetes update, 4 months</t>
        </is>
      </c>
      <c r="C7795" t="inlineStr">
        <is>
          <t>Went to the doctor this week and had my blood drawn to check everything out. 
In July I was diagnosed, had BS running in the 200s - 400s. A1C was off the chart, just 15+. 
November bloodwork came back with A1C at 5.8. 
I guess my wife gets to keep me around a bit longer. Even the doctor doesn’t know how I survived in the beginning.</t>
        </is>
      </c>
      <c r="D7795" t="n">
        <v>1</v>
      </c>
      <c r="E7795" t="n">
        <v>11</v>
      </c>
      <c r="F7795">
        <f>HYPERLINK("https://www.reddit.com/r/diabetes/comments/ducsv5/diabetes_update_4_months/")</f>
        <v/>
      </c>
      <c r="G7795" t="inlineStr">
        <is>
          <t>2019-11-10 07:28:25</t>
        </is>
      </c>
      <c r="H7795" t="inlineStr">
        <is>
          <t>Type 2</t>
        </is>
      </c>
    </row>
    <row r="7796">
      <c r="A7796" t="inlineStr">
        <is>
          <t>dud43u</t>
        </is>
      </c>
      <c r="B7796" t="inlineStr">
        <is>
          <t>Passing out at a festival...</t>
        </is>
      </c>
      <c r="C7796" t="inlineStr">
        <is>
          <t>So, yesterday I was at a festival with my mom (also type 2), my sister, and a retired ER nurse. We were sitting at a table talking when all the sudden I started seeing everyone's faces as lights, their voices went really far away, I started seeing like sparkles, then I got extremely nauseous, and then it was lights out. When I woke up I was like, "did I pass out?" They were like, "yes and you don't look good." I had no color in my face at all. I've never had low BG and I didn't feel bad before it happened. I left my glucometer at home by accident so I couldn't test to see what my BG was. When I got home a few hours later it was 190. Not super horrible or anything but not super great either. Definitely not high or low enough to cause an event like this. The retired ER nurse we were with said, to her, it looked like an absence seizure. She said because I was awake but completely unresponsive to anything. I'm not sure how long it lasted because I forgot to ask but it didn't seem like long. So, I guess what I'm wondering is if anyone experiences anything like this as a diabetic. Oh, and one thing I should add is that I was actually DXed with absence seizures in like 2004, but I rarely ever have an issue. I just call it "glitching out" cause I'm sorta light out and lose muscle control for a half a second. I was on anti seizure meds but I haven't been lately. And also this time was different because I don't normally get the weird vision, people getting further away, or nausea. I'm just wondering if this is that again or something to do with my diabetes... or even something else all together. I'm going to see my dr about it ASAP, but until then I just want some peer input I guess. Thanks in advance for any help!</t>
        </is>
      </c>
      <c r="D7796" t="n">
        <v>1</v>
      </c>
      <c r="E7796" t="n">
        <v>10</v>
      </c>
      <c r="F7796">
        <f>HYPERLINK("https://www.reddit.com/r/diabetes/comments/dud43u/passing_out_at_a_festival/")</f>
        <v/>
      </c>
      <c r="G7796" t="inlineStr">
        <is>
          <t>2019-11-10 07:53:19</t>
        </is>
      </c>
      <c r="H7796" t="inlineStr">
        <is>
          <t>Type 2</t>
        </is>
      </c>
    </row>
    <row r="7797">
      <c r="A7797" t="inlineStr">
        <is>
          <t>duip3n</t>
        </is>
      </c>
      <c r="B7797" t="inlineStr">
        <is>
          <t>Drugs and type 2</t>
        </is>
      </c>
      <c r="C7797" t="inlineStr">
        <is>
          <t>Hello this is my first time writing here so, I'm 16 y/o male I have type 2 diabetes and have few questions about mixing whit drugs. 
So when i smoke weed i fell like my hard is going to explode how fast is beating, didn't have chance to test right after I smoked but I did like 2h after and it wasn't that high so just wanted to ask is this   normal or?</t>
        </is>
      </c>
      <c r="D7797" t="n">
        <v>1</v>
      </c>
      <c r="E7797" t="n">
        <v>5</v>
      </c>
      <c r="F7797">
        <f>HYPERLINK("https://www.reddit.com/r/diabetes/comments/duip3n/drugs_and_type_2/")</f>
        <v/>
      </c>
      <c r="G7797" t="inlineStr">
        <is>
          <t>2019-11-10 14:37:35</t>
        </is>
      </c>
      <c r="H7797" t="inlineStr">
        <is>
          <t>Type 2</t>
        </is>
      </c>
    </row>
    <row r="7798">
      <c r="A7798" t="inlineStr">
        <is>
          <t>duk0u4</t>
        </is>
      </c>
      <c r="B7798" t="inlineStr">
        <is>
          <t>Question about Dexcom G6 insertion sites</t>
        </is>
      </c>
      <c r="C7798" t="inlineStr">
        <is>
          <t>Hello all, I recently got a Dexcom G6 and I’m just going through setting it up. The setup video suggested that I put the sensor somewhere on my stomach/abdomen. My problem with that is I’m a very lean person, and that’s where I put my insulin pump, and I’m honestly too nervous to manage both of these devices in the same spot. I can’t really put my pump anywhere else because of how lean I am, so is there another place where I could put my G6, or will I just have to manage them together?</t>
        </is>
      </c>
      <c r="D7798" t="n">
        <v>1</v>
      </c>
      <c r="E7798" t="n">
        <v>7</v>
      </c>
      <c r="F7798">
        <f>HYPERLINK("https://www.reddit.com/r/diabetes/comments/duk0u4/question_about_dexcom_g6_insertion_sites/")</f>
        <v/>
      </c>
      <c r="G7798" t="inlineStr">
        <is>
          <t>2019-11-10 16:17:26</t>
        </is>
      </c>
      <c r="H7798" t="inlineStr">
        <is>
          <t>Type 1</t>
        </is>
      </c>
    </row>
    <row r="7799">
      <c r="A7799" t="inlineStr">
        <is>
          <t>dul6k7</t>
        </is>
      </c>
      <c r="B7799" t="inlineStr">
        <is>
          <t>Looking for MOTIVATED individuals to trial new online program</t>
        </is>
      </c>
      <c r="C7799" t="inlineStr">
        <is>
          <t>Hi guys,
My name is Juliet and I am a Consultant Pharmacist, Credentialed Diabetes Educator, certified practitioner in Lifestyle Medicine and Health Coach. I have just developed a new online program called the Diabetes Lifestyle Coaching Program designed to coach people out of diabetes and into good health. I am looking for **five** motivated individuals who have recently been diagnosed with type 2 diabetes to trial it out for FREE. All I need from you in return is honest feedback!!
Visit  [https://www.thediabetesandhealthclinic.com/](https://www.thediabetesandhealthclinic.com/)  for more details.
PM me if you are interested. 
I hope to hear from you! :) 
Juliet</t>
        </is>
      </c>
      <c r="D7799" t="n">
        <v>1</v>
      </c>
      <c r="E7799" t="n">
        <v>3</v>
      </c>
      <c r="F7799">
        <f>HYPERLINK("https://www.reddit.com/r/diabetes/comments/dul6k7/looking_for_motivated_individuals_to_trial_new/")</f>
        <v/>
      </c>
      <c r="G7799" t="inlineStr">
        <is>
          <t>2019-11-10 17:47:25</t>
        </is>
      </c>
      <c r="H7799" t="inlineStr">
        <is>
          <t>Type 2</t>
        </is>
      </c>
    </row>
    <row r="7800">
      <c r="A7800" t="inlineStr">
        <is>
          <t>duli2g</t>
        </is>
      </c>
      <c r="B7800" t="inlineStr">
        <is>
          <t>Low Blood Sugar Anxiety Help</t>
        </is>
      </c>
      <c r="C7800" t="inlineStr">
        <is>
          <t>I'm living with T1D and I tend to suffer from low blood sugar the most. When I have lows I get insane anxiety. Sometimes, being low can trigger a really intense anxiety attack and if that happens, it is insanely difficult to get myself to eat sugar. For me, these anxiety attacks involve hyperventilation, dizziness, and an overwhelming feeling that I am dying. Obviously, this poses a really dangerous situation.
Does anyone have any good tips for fighting off these anxiety attacks so that I can eat sugar in a timely manner and begin to get my blood sugar normalized? Yes, I have talked to my doctor and we are working to be proactive about it. But, I need tips in the moment if the anxiety has already begun.
I'm new to this reddit page but I'm hopeful that y'all can help!</t>
        </is>
      </c>
      <c r="D7800" t="n">
        <v>1</v>
      </c>
      <c r="E7800" t="n">
        <v>8</v>
      </c>
      <c r="F7800">
        <f>HYPERLINK("https://www.reddit.com/r/diabetes/comments/duli2g/low_blood_sugar_anxiety_help/")</f>
        <v/>
      </c>
      <c r="G7800" t="inlineStr">
        <is>
          <t>2019-11-10 18:11:50</t>
        </is>
      </c>
      <c r="H7800" t="inlineStr">
        <is>
          <t>Type 1</t>
        </is>
      </c>
    </row>
    <row r="7801">
      <c r="A7801" t="inlineStr">
        <is>
          <t>dund9d</t>
        </is>
      </c>
      <c r="B7801" t="inlineStr">
        <is>
          <t>Random highs</t>
        </is>
      </c>
      <c r="C7801" t="inlineStr">
        <is>
          <t>I'm really not understanding these spontaneous highs, could someone explain? My current basal on my pump is 0.8U/hr.
7:00 PM: Pre-bolus 3 units and have around 20 grams of a low-carb snack (Insulin/Carb ratio is 1U/10g)
7:30 PM: 130 mg/dl  → 
8:00 PM: 110 mg/dl  🡖 
8:30 PM: 90 mg/dl  → 
9:00 PM: 87 mg/dl  → 
9:30 PM: 94 mg/dl → 
10:00 PM: 100 mg/dl  → 
10:20 PM: 170  mg/dl  🡕  (what the hell happened? Bolus 1.5U to correct)
10:30 PM: 200 mg/dl  🡕  
10:40 PM: 225 mg/dl  ↑   
At the time of writing this: 239 mg/dl  🡕
Am I doing something wrong?</t>
        </is>
      </c>
      <c r="D7801" t="n">
        <v>1</v>
      </c>
      <c r="E7801" t="n">
        <v>3</v>
      </c>
      <c r="F7801">
        <f>HYPERLINK("https://www.reddit.com/r/diabetes/comments/dund9d/random_highs/")</f>
        <v/>
      </c>
      <c r="G7801" t="inlineStr">
        <is>
          <t>2019-11-10 20:44:48</t>
        </is>
      </c>
      <c r="H7801" t="inlineStr">
        <is>
          <t>Type 1</t>
        </is>
      </c>
    </row>
    <row r="7802">
      <c r="A7802" t="inlineStr">
        <is>
          <t>duulj4</t>
        </is>
      </c>
      <c r="B7802" t="inlineStr">
        <is>
          <t>Best food tracking app to go along with tracking insulin, exercise, etc?</t>
        </is>
      </c>
      <c r="C7802" t="inlineStr">
        <is>
          <t>Hi everyone. I’ve had T1D for almost 30 years, but I feel like I need to get back to basics. I have a good A1C, but often feel like I’m on a roller coaster from not counting carbs right, under bolusing, getting nervous about getting low, etc. my husband and I want to start trying to get pregnant soon and I really need to get a better grip on things. 
So I’m going to see a CDE/RDN and I want to be able to track everything in the meantime. What do folks like to use? I use a Dexcom and a tslim pump, am I just not taking advantage of the Dexcom clarity app? Have people found other apps they like? MyFitnessPal?
For example, I need to understand these things so I can get a better hold on my carb ratios, and I want to understand how different foods affect my sugar differently. 
Thanks everyone!</t>
        </is>
      </c>
      <c r="D7802" t="n">
        <v>1</v>
      </c>
      <c r="E7802" t="n">
        <v>2</v>
      </c>
      <c r="F7802">
        <f>HYPERLINK("https://www.reddit.com/r/diabetes/comments/duulj4/best_food_tracking_app_to_go_along_with_tracking/")</f>
        <v/>
      </c>
      <c r="G7802" t="inlineStr">
        <is>
          <t>2019-11-11 08:18:08</t>
        </is>
      </c>
      <c r="H7802" t="inlineStr">
        <is>
          <t>Type 1</t>
        </is>
      </c>
    </row>
    <row r="7803">
      <c r="A7803" t="inlineStr">
        <is>
          <t>duwt2k</t>
        </is>
      </c>
      <c r="B7803" t="inlineStr">
        <is>
          <t>I'm tryna get a cgm</t>
        </is>
      </c>
      <c r="C7803" t="inlineStr">
        <is>
          <t>Hey yall im a T1D (Type 1.5 still in honeymoon phase) and im trying to get a cgm as soon as i can but i was wondering if i needed to get prescribed it from an endocrinologist or if i could go to a regular Doctor.</t>
        </is>
      </c>
      <c r="D7803" t="n">
        <v>1</v>
      </c>
      <c r="E7803" t="n">
        <v>2</v>
      </c>
      <c r="F7803">
        <f>HYPERLINK("https://www.reddit.com/r/diabetes/comments/duwt2k/im_tryna_get_a_cgm/")</f>
        <v/>
      </c>
      <c r="G7803" t="inlineStr">
        <is>
          <t>2019-11-11 10:45:36</t>
        </is>
      </c>
      <c r="H7803" t="inlineStr">
        <is>
          <t>Type 1.5/LADA</t>
        </is>
      </c>
    </row>
    <row r="7804">
      <c r="A7804" t="inlineStr">
        <is>
          <t>duwwsh</t>
        </is>
      </c>
      <c r="B7804" t="inlineStr">
        <is>
          <t>Pregnancy and diabetes?</t>
        </is>
      </c>
      <c r="C7804" t="inlineStr">
        <is>
          <t>Hi, I (26F) am starting to think about having kids in the next couple years. I've had type 1 for 16 years and I'm lucky to have fairly good control and no real complications yet (mild retinopathy) and based in the UK. One of my siblings also has type 1 but no other history of it in the family. 
I just want to know what it's been like for other people with Type 1 to have a baby? Is it as hard as it seems? Did you have complications because of it? What was it like after? Did anyone go down a surrogacy or adoption route? Did any of your kids end up with type 1?
I just want to have a wider understanding of what it's been like for others.
Thanks a bunch</t>
        </is>
      </c>
      <c r="D7804" t="n">
        <v>1</v>
      </c>
      <c r="E7804" t="n">
        <v>8</v>
      </c>
      <c r="F7804">
        <f>HYPERLINK("https://www.reddit.com/r/diabetes/comments/duwwsh/pregnancy_and_diabetes/")</f>
        <v/>
      </c>
      <c r="G7804" t="inlineStr">
        <is>
          <t>2019-11-11 10:52:26</t>
        </is>
      </c>
      <c r="H7804" t="inlineStr">
        <is>
          <t>Type 1</t>
        </is>
      </c>
    </row>
    <row r="7805">
      <c r="A7805" t="inlineStr">
        <is>
          <t>duxojj</t>
        </is>
      </c>
      <c r="B7805" t="inlineStr">
        <is>
          <t>This last week</t>
        </is>
      </c>
      <c r="C7805" t="inlineStr">
        <is>
          <t>Over the past week, I've jumped from using 25 units a day to 45. I've been having insane highs that just don't respond. I'm working with my doctor and we just changed all my settings to be stronger, for the third time this week. I've gone from a carb ratio of 1:15 that was working fine last Saturday to changing all my daytime ratios to 1:9. It's like someone replaced half my insulin with water. (I've changed vials, sets, used injections - it's not user error.) I keep expecting this bubble to burst and to wind up with 16 lows a day, but it hasn't happened. My doctor isn't sure why this is happening - I'm still using a reasonable amount of insulin for my weight, just a crazy amount for me. She mentioned poor diet, lack of exercise, stress, etc. as reasons for increased insulin resistance. I'm feeling guilty because I probably eat too many snacks and I don't exercise enough, but I'm frustrated because I'm putting in more effort than usual. I do yoga once a week, try to walk when I have the chance, I saw a nutritionist last month and I've been purposeful about eating more fruits and vegetables.  I feel strangely guilty that I have to use this much insulin, like I did something wrong - but I can't imagine what I did that would have caused my insulin use to basically double suddenly.</t>
        </is>
      </c>
      <c r="D7805" t="n">
        <v>1</v>
      </c>
      <c r="E7805" t="n">
        <v>12</v>
      </c>
      <c r="F7805">
        <f>HYPERLINK("https://www.reddit.com/r/diabetes/comments/duxojj/this_last_week/")</f>
        <v/>
      </c>
      <c r="G7805" t="inlineStr">
        <is>
          <t>2019-11-11 11:42:27</t>
        </is>
      </c>
      <c r="H7805" t="inlineStr">
        <is>
          <t>Type 1</t>
        </is>
      </c>
    </row>
    <row r="7806">
      <c r="A7806" t="inlineStr">
        <is>
          <t>dv0g5q</t>
        </is>
      </c>
      <c r="B7806" t="inlineStr">
        <is>
          <t>How to lower ketones while vomiting</t>
        </is>
      </c>
      <c r="C7806" t="inlineStr">
        <is>
          <t>Right now my blood sugar is 16 mmol/l but my ketones are 5.4 mmol/l, and I'm vomiting. How can i lower my ketones without drinking much because I don't want to be sick again. Thanks so much.</t>
        </is>
      </c>
      <c r="D7806" t="n">
        <v>1</v>
      </c>
      <c r="E7806" t="n">
        <v>8</v>
      </c>
      <c r="F7806">
        <f>HYPERLINK("https://www.reddit.com/r/diabetes/comments/dv0g5q/how_to_lower_ketones_while_vomiting/")</f>
        <v/>
      </c>
      <c r="G7806" t="inlineStr">
        <is>
          <t>2019-11-11 14:50:18</t>
        </is>
      </c>
      <c r="H7806" t="inlineStr">
        <is>
          <t>Type 1</t>
        </is>
      </c>
    </row>
    <row r="7807">
      <c r="A7807" t="inlineStr">
        <is>
          <t>dv0y31</t>
        </is>
      </c>
      <c r="B7807" t="inlineStr">
        <is>
          <t>Omnipod placement - Constant Lows</t>
        </is>
      </c>
      <c r="C7807" t="inlineStr">
        <is>
          <t>So earlier I put a new omnipod on my leg and for them whole 3 days my blood sugar was dropping constantly, I had to decrease my basal down by a really big amount. What was weird was that I had to drop my basal down for mostly the whole day, apart from around 6am till 4pm, so it didn't affect me all day for the 3 days if that makes sense. After them 3 days when I put the next omnipod on I could go back to my old basal and everything was fine.
I'm fairly lean and I'm not sure if that would've affected it, like if I was maybe injecting into muscle? But then that also should have hurt really bad too, which it didn't, so I'm not sure.
Does anyone else ever have this issue?</t>
        </is>
      </c>
      <c r="D7807" t="n">
        <v>1</v>
      </c>
      <c r="E7807" t="n">
        <v>5</v>
      </c>
      <c r="F7807">
        <f>HYPERLINK("https://www.reddit.com/r/diabetes/comments/dv0y31/omnipod_placement_constant_lows/")</f>
        <v/>
      </c>
      <c r="G7807" t="inlineStr">
        <is>
          <t>2019-11-11 15:24:35</t>
        </is>
      </c>
      <c r="H7807" t="inlineStr">
        <is>
          <t>Type 1</t>
        </is>
      </c>
    </row>
    <row r="7808">
      <c r="A7808" t="inlineStr">
        <is>
          <t>dv48bb</t>
        </is>
      </c>
      <c r="B7808" t="inlineStr">
        <is>
          <t>Does portion size effect lightheadedness?</t>
        </is>
      </c>
      <c r="C7808" t="inlineStr">
        <is>
          <t>So I just ate about 2 1/2 portions of a keto Chili dish because I was starving, and I’m lightheaded and sleepy.  This seems to always happen after a bigger than normal meal. I’m also pretty sure I’d get a high BG reading (e.g., 160 is my upper limit).  Throw in question - my BG readings seem to get worse if I eat really late at night. Any relation between midnight snacking and BG? Thanks.</t>
        </is>
      </c>
      <c r="D7808" t="n">
        <v>1</v>
      </c>
      <c r="E7808" t="n">
        <v>4</v>
      </c>
      <c r="F7808">
        <f>HYPERLINK("https://www.reddit.com/r/diabetes/comments/dv48bb/does_portion_size_effect_lightheadedness/")</f>
        <v/>
      </c>
      <c r="G7808" t="inlineStr">
        <is>
          <t>2019-11-11 19:32:46</t>
        </is>
      </c>
      <c r="H7808" t="inlineStr">
        <is>
          <t>Type 2</t>
        </is>
      </c>
    </row>
    <row r="7809">
      <c r="A7809" t="inlineStr">
        <is>
          <t>dv5sev</t>
        </is>
      </c>
      <c r="B7809" t="inlineStr">
        <is>
          <t>Does it ever get easier?</t>
        </is>
      </c>
      <c r="C7809" t="inlineStr">
        <is>
          <t>Today is my five year “diaversary” and every year I dread it. I have friends with T1D and every year they make a game out of it, celebrate with cake and showing how they don’t let it stop them. But not me. I feel guilty. I got diagnosed my senior year of high school, only a few months before graduation and was in the process of enlisting in the Marines. Today is also Veterans Day and quite ironic to be diagnosed on that day. Every year I think about what should have been and how I feel guilty that I’m not out there serving my country. Every year it feels like it gets better, until I face the reality that where I am in life feels like I’m not where I should be. Maybe some day that will change, but I can’t shake the feeling that I don’t do enough. Will that ever change? Have you ever dealt with guilt?</t>
        </is>
      </c>
      <c r="D7809" t="n">
        <v>1</v>
      </c>
      <c r="E7809" t="n">
        <v>2</v>
      </c>
      <c r="F7809">
        <f>HYPERLINK("https://www.reddit.com/r/diabetes/comments/dv5sev/does_it_ever_get_easier/")</f>
        <v/>
      </c>
      <c r="G7809" t="inlineStr">
        <is>
          <t>2019-11-11 21:59:03</t>
        </is>
      </c>
      <c r="H7809" t="inlineStr">
        <is>
          <t>Type 1</t>
        </is>
      </c>
    </row>
    <row r="7810">
      <c r="A7810" t="inlineStr">
        <is>
          <t>dv7iuh</t>
        </is>
      </c>
      <c r="B7810" t="inlineStr">
        <is>
          <t>Neuropathy and exercise</t>
        </is>
      </c>
      <c r="C7810" t="inlineStr">
        <is>
          <t>Hi,
I'm looking for some advise regarding exercise for weight loss after neuropathy has begun.
My wife has damage to her femeral nerve in her leg meaning that prolonged movement causes a lot of pain. We think that the exercise done on the past may have caused more damage.
Can anyone suggest any forms of exercise that can help weight loss that may be focused on upper body?
Does anyone know if the exercise could cause more damage over time?
Thanks</t>
        </is>
      </c>
      <c r="D7810" t="n">
        <v>1</v>
      </c>
      <c r="E7810" t="n">
        <v>5</v>
      </c>
      <c r="F7810">
        <f>HYPERLINK("https://www.reddit.com/r/diabetes/comments/dv7iuh/neuropathy_and_exercise/")</f>
        <v/>
      </c>
      <c r="G7810" t="inlineStr">
        <is>
          <t>2019-11-12 01:09:51</t>
        </is>
      </c>
      <c r="H7810" t="inlineStr">
        <is>
          <t>Type 1</t>
        </is>
      </c>
    </row>
    <row r="7811">
      <c r="A7811" t="inlineStr">
        <is>
          <t>dvdmis</t>
        </is>
      </c>
      <c r="B7811" t="inlineStr">
        <is>
          <t>Seeking for volunteers for research/ surveys with compensation</t>
        </is>
      </c>
      <c r="C7811" t="inlineStr">
        <is>
          <t xml:space="preserve">City University of New York (CUNY), in conjunction with SIPPA Solutions and Heritage Integrated Health Services, are looking for volunteers to join a behavioral study approved by the CUNY Institutional Review Board. Study found patient engagement on self-management has high impact on improving health and reducing cost, but less than 25% of patients were reported highly engaged by 42% of clinicians. We are looking for participants to help us test a platform solution to deliver personalized services with the goal of assisting an individual to better self-manage (diabetes) chronic condition via a mobile device.
&amp;amp;#x200B;
* The estimated time for the whole process will be 3 months (take about 10-15 mins per day). 
* The compensation can go from $200 to $300 along the process. 
* We are targeting at Type II diabetes or at risk of developing diabetes (pre-diabetes).
* You may go to our website “[https://www.sippasolutions.com](https://www.sippasolutions.com/)” click sign up to learn more to sign up. </t>
        </is>
      </c>
      <c r="D7811" t="n">
        <v>1</v>
      </c>
      <c r="E7811" t="n">
        <v>0</v>
      </c>
      <c r="F7811">
        <f>HYPERLINK("https://www.reddit.com/r/diabetes/comments/dvdmis/seeking_for_volunteers_for_research_surveys_with/")</f>
        <v/>
      </c>
      <c r="G7811" t="inlineStr">
        <is>
          <t>2019-11-12 10:00:12</t>
        </is>
      </c>
      <c r="H7811" t="inlineStr">
        <is>
          <t>Type 2</t>
        </is>
      </c>
    </row>
    <row r="7812">
      <c r="A7812" t="inlineStr">
        <is>
          <t>dvdrjw</t>
        </is>
      </c>
      <c r="B7812" t="inlineStr">
        <is>
          <t>Correction</t>
        </is>
      </c>
      <c r="C7812" t="inlineStr">
        <is>
          <t>Hey all! I have struggled with this for some time now. How do you properly calculate your correction ratio? Right now mine is set as 1:140 in my tandem t-slim. I really don't know how I came up with that number. It was okayish for a while ....as of lately, it is not enough. Is there some methodology to this or is it all just trial and error?</t>
        </is>
      </c>
      <c r="D7812" t="n">
        <v>1</v>
      </c>
      <c r="E7812" t="n">
        <v>6</v>
      </c>
      <c r="F7812">
        <f>HYPERLINK("https://www.reddit.com/r/diabetes/comments/dvdrjw/correction/")</f>
        <v/>
      </c>
      <c r="G7812" t="inlineStr">
        <is>
          <t>2019-11-12 10:09:23</t>
        </is>
      </c>
      <c r="H7812" t="inlineStr">
        <is>
          <t>Type 1</t>
        </is>
      </c>
    </row>
    <row r="7813">
      <c r="A7813" t="inlineStr">
        <is>
          <t>dvfswp</t>
        </is>
      </c>
      <c r="B7813" t="inlineStr">
        <is>
          <t>Thank you Dexcom and T:Slim!!! I've never had an A1C this low in 33 years of having diabetes! Imagine what I can do with Control IQ!</t>
        </is>
      </c>
      <c r="C7813" t="inlineStr">
        <is>
          <t>&amp;amp;#x200B;
[Under 6&amp;amp;#37; A1C for the first time!](https://preview.redd.it/j7xntmwreby31.png?width=722&amp;amp;format=png&amp;amp;auto=webp&amp;amp;s=f16891f6bde5daffc302951f6e9b03a8eabd0299)</t>
        </is>
      </c>
      <c r="D7813" t="n">
        <v>1</v>
      </c>
      <c r="E7813" t="n">
        <v>8</v>
      </c>
      <c r="F7813">
        <f>HYPERLINK("https://www.reddit.com/r/diabetes/comments/dvfswp/thank_you_dexcom_and_tslim_ive_never_had_an_a1c/")</f>
        <v/>
      </c>
      <c r="G7813" t="inlineStr">
        <is>
          <t>2019-11-12 12:29:21</t>
        </is>
      </c>
      <c r="H7813" t="inlineStr">
        <is>
          <t>Type 1</t>
        </is>
      </c>
    </row>
    <row r="7814">
      <c r="A7814" t="inlineStr">
        <is>
          <t>dvj0wg</t>
        </is>
      </c>
      <c r="B7814" t="inlineStr">
        <is>
          <t>Blood lab in the morning, fasting for the next 12 hours but blood sugar is low... What do I do?</t>
        </is>
      </c>
      <c r="C7814" t="inlineStr">
        <is>
          <t>I feel like I was told a while ago but I can't remember :/</t>
        </is>
      </c>
      <c r="D7814" t="n">
        <v>1</v>
      </c>
      <c r="E7814" t="n">
        <v>9</v>
      </c>
      <c r="F7814">
        <f>HYPERLINK("https://www.reddit.com/r/diabetes/comments/dvj0wg/blood_lab_in_the_morning_fasting_for_the_next_12/")</f>
        <v/>
      </c>
      <c r="G7814" t="inlineStr">
        <is>
          <t>2019-11-12 16:00:08</t>
        </is>
      </c>
      <c r="H7814" t="inlineStr">
        <is>
          <t>Type 1</t>
        </is>
      </c>
    </row>
    <row r="7815">
      <c r="A7815" t="inlineStr">
        <is>
          <t>dvpfkz</t>
        </is>
      </c>
      <c r="B7815" t="inlineStr">
        <is>
          <t>Question about Lows?</t>
        </is>
      </c>
      <c r="C7815" t="inlineStr">
        <is>
          <t>So my ratio right now is 1/10. For every 10 g of carbs I take one unit of insulin.
So when I go low (let's play it safe and say 60-ish) I have no idea what to do. Do I eat a low amount of carbs with minimal insulin or eat for example 40 g of carbs and take the usual 4 units of insulin? I've found that I'm too hungry to do the first but I don't want to burn through insulin. I'm type 1 btw.</t>
        </is>
      </c>
      <c r="D7815" t="n">
        <v>1</v>
      </c>
      <c r="E7815" t="n">
        <v>14</v>
      </c>
      <c r="F7815">
        <f>HYPERLINK("https://www.reddit.com/r/diabetes/comments/dvpfkz/question_about_lows/")</f>
        <v/>
      </c>
      <c r="G7815" t="inlineStr">
        <is>
          <t>2019-11-13 01:39:03</t>
        </is>
      </c>
      <c r="H7815" t="inlineStr">
        <is>
          <t>Type 1</t>
        </is>
      </c>
    </row>
    <row r="7816">
      <c r="A7816" t="inlineStr">
        <is>
          <t>dvscox</t>
        </is>
      </c>
      <c r="B7816" t="inlineStr">
        <is>
          <t>Alternative to medical alert bracelet. Awesome for kids too</t>
        </is>
      </c>
      <c r="C7816" t="inlineStr">
        <is>
          <t>Hey there is this awesome woman owned etsy shop that makes Type 1 temporary tattoos. My Daughter loves them. Check them out and give her some support!!  
[Warriortats.com](https://Warriortats.com) 
https://preview.redd.it/q0mot669pgy31.png?width=794&amp;amp;format=png&amp;amp;auto=webp&amp;amp;s=f0c3176cd15fbf529d456e8f6be5c6ff89e41023
https://preview.redd.it/6xfulme7pgy31.png?width=794&amp;amp;format=png&amp;amp;auto=webp&amp;amp;s=58e33a53d1a2de8df38efa6cd5c4e032857bbe1e
https://preview.redd.it/n4uj3s95pgy31.png?width=794&amp;amp;format=png&amp;amp;auto=webp&amp;amp;s=a7cbfb26a5703e92d8e5ae53da17e8354c69f40f
https://preview.redd.it/n0hqk624pgy31.png?width=794&amp;amp;format=png&amp;amp;auto=webp&amp;amp;s=a6f5e82be84c038693f99a912e76eec8b313351d</t>
        </is>
      </c>
      <c r="D7816" t="n">
        <v>1</v>
      </c>
      <c r="E7816" t="n">
        <v>11</v>
      </c>
      <c r="F7816">
        <f>HYPERLINK("https://www.reddit.com/r/diabetes/comments/dvscox/alternative_to_medical_alert_bracelet_awesome_for/")</f>
        <v/>
      </c>
      <c r="G7816" t="inlineStr">
        <is>
          <t>2019-11-13 06:15:30</t>
        </is>
      </c>
      <c r="H7816" t="inlineStr">
        <is>
          <t>Type 1</t>
        </is>
      </c>
    </row>
    <row r="7817">
      <c r="A7817" t="inlineStr">
        <is>
          <t>dvtu5i</t>
        </is>
      </c>
      <c r="B7817" t="inlineStr">
        <is>
          <t>Low Carb is the way to go</t>
        </is>
      </c>
      <c r="C7817" t="inlineStr">
        <is>
          <t>Seriously, low carb diet has done wonders to my blood sugars. I didn't have such good glucose even before falling ill.</t>
        </is>
      </c>
      <c r="D7817" t="n">
        <v>1</v>
      </c>
      <c r="E7817" t="n">
        <v>17</v>
      </c>
      <c r="F7817">
        <f>HYPERLINK("https://www.reddit.com/r/diabetes/comments/dvtu5i/low_carb_is_the_way_to_go/")</f>
        <v/>
      </c>
      <c r="G7817" t="inlineStr">
        <is>
          <t>2019-11-13 08:04:08</t>
        </is>
      </c>
      <c r="H7817" t="inlineStr">
        <is>
          <t>Type 2</t>
        </is>
      </c>
    </row>
    <row r="7818">
      <c r="A7818" t="inlineStr">
        <is>
          <t>dvw599</t>
        </is>
      </c>
      <c r="B7818" t="inlineStr">
        <is>
          <t>A1C down to 6.2% from 13.6%!!</t>
        </is>
      </c>
      <c r="C7818" t="inlineStr">
        <is>
          <t>I was diagnosed with Type 1 in June. Although I may still be honeymooning I’m really proud of this! Thanks to my Dexcom I’ve been able to have really great control so far. I feel soooo much better now that I’m getting everything figured out.  Next is the decision to get a pump or not, something to think about</t>
        </is>
      </c>
      <c r="D7818" t="n">
        <v>1</v>
      </c>
      <c r="E7818" t="n">
        <v>18</v>
      </c>
      <c r="F7818">
        <f>HYPERLINK("https://www.reddit.com/r/diabetes/comments/dvw599/a1c_down_to_62_from_136/")</f>
        <v/>
      </c>
      <c r="G7818" t="inlineStr">
        <is>
          <t>2019-11-13 10:43:36</t>
        </is>
      </c>
      <c r="H7818" t="inlineStr">
        <is>
          <t>Type 1</t>
        </is>
      </c>
    </row>
    <row r="7819">
      <c r="A7819" t="inlineStr">
        <is>
          <t>dw35e2</t>
        </is>
      </c>
      <c r="B7819" t="inlineStr">
        <is>
          <t>Do you remember your pre-diabetes life?</t>
        </is>
      </c>
      <c r="C7819" t="inlineStr">
        <is>
          <t>Hello everyone!
My 8th dianiversary is coming soon, and I just realized that I don't remember my life before the dm1 diagnosis. some isolated meaningful moments yes, but not that much.
FYI, I am 24 and was diagnosed at 16. So, I guess there was pretty much life to remember, but I honestly don't.</t>
        </is>
      </c>
      <c r="D7819" t="n">
        <v>1</v>
      </c>
      <c r="E7819" t="n">
        <v>15</v>
      </c>
      <c r="F7819">
        <f>HYPERLINK("https://www.reddit.com/r/diabetes/comments/dw35e2/do_you_remember_your_prediabetes_life/")</f>
        <v/>
      </c>
      <c r="G7819" t="inlineStr">
        <is>
          <t>2019-11-13 18:59:06</t>
        </is>
      </c>
      <c r="H7819" t="inlineStr">
        <is>
          <t>Type 1</t>
        </is>
      </c>
    </row>
    <row r="7820">
      <c r="A7820" t="inlineStr">
        <is>
          <t>dw5feq</t>
        </is>
      </c>
      <c r="B7820" t="inlineStr">
        <is>
          <t>A1C went down!</t>
        </is>
      </c>
      <c r="C7820" t="inlineStr">
        <is>
          <t>I got a call from my doctor who told me that my a1c went from 11.2(July) to 5.6.I'm newly diagnosed with type 2 and pcos.  I'm very excited and am trying to maintain that score or go lower. I've made a huge change to my diet and increased fiber. What are forms of exercise you take? I work 2 jobs and attend school full time. What is some advice you can give me on lowering my a1c and exercise? thank you!</t>
        </is>
      </c>
      <c r="D7820" t="n">
        <v>1</v>
      </c>
      <c r="E7820" t="n">
        <v>5</v>
      </c>
      <c r="F7820">
        <f>HYPERLINK("https://www.reddit.com/r/diabetes/comments/dw5feq/a1c_went_down/")</f>
        <v/>
      </c>
      <c r="G7820" t="inlineStr">
        <is>
          <t>2019-11-13 22:25:16</t>
        </is>
      </c>
      <c r="H7820" t="inlineStr">
        <is>
          <t>Type 2</t>
        </is>
      </c>
    </row>
    <row r="7821">
      <c r="A7821" t="inlineStr">
        <is>
          <t>dwcm0o</t>
        </is>
      </c>
      <c r="B7821" t="inlineStr">
        <is>
          <t>newbie</t>
        </is>
      </c>
      <c r="C7821" t="inlineStr">
        <is>
          <t>i just got diagnosed last week (21 F). A1C was at 11.6 and my BG was at 366. i started insulin a week ago today and started meal insulin yesterday. my fasting BG went from 253 to 160 in two days but now is slowly going back up and is at 218. how long does it take to maintain your body’s levels? does any of this get any easier? planning to get pregnant soon. any advice on T1 diabetes while pregnant?</t>
        </is>
      </c>
      <c r="D7821" t="n">
        <v>1</v>
      </c>
      <c r="E7821" t="n">
        <v>3</v>
      </c>
      <c r="F7821">
        <f>HYPERLINK("https://www.reddit.com/r/diabetes/comments/dwcm0o/newbie/")</f>
        <v/>
      </c>
      <c r="G7821" t="inlineStr">
        <is>
          <t>2019-11-14 09:19:26</t>
        </is>
      </c>
      <c r="H7821" t="inlineStr">
        <is>
          <t>Type 1</t>
        </is>
      </c>
    </row>
    <row r="7822">
      <c r="A7822" t="inlineStr">
        <is>
          <t>dwd8j9</t>
        </is>
      </c>
      <c r="B7822" t="inlineStr">
        <is>
          <t>Frustrated and feel horrible</t>
        </is>
      </c>
      <c r="C7822" t="inlineStr">
        <is>
          <t>I have been having a few bad days in a row and I don't know what's going on. Wednesday my blood sugar was a little higher than normal but not too bad, did my normal site change and started a new vial of insulin. Yesterday when I woke up I was at a 275 so I tested and had moderate ketones. Didnt get below 200 for most of the day despite a higher basal rate and a ton of corrections. Called my endo in the afternoon when my heart started racing and she said try another site change and another new bottle of insulin. That got me down to 150 so I went to bed but had my boyfriend wake me up several times and ended up spending the night in the 300's. Now it's morning, I'm at a 250 with small ketones and I have no idea what to do. I've tried drinking tons of water, replenishing electrolytes, I've been eating but not a lot of carbs and upped my insulin everywhere. The cherry on top is it is World Diabetes day and also my two year diaversary. I think I'm just ranting, I'll call my endo again here soon but I have never been so frustrated with this disease than I am right now.</t>
        </is>
      </c>
      <c r="D7822" t="n">
        <v>1</v>
      </c>
      <c r="E7822" t="n">
        <v>15</v>
      </c>
      <c r="F7822">
        <f>HYPERLINK("https://www.reddit.com/r/diabetes/comments/dwd8j9/frustrated_and_feel_horrible/")</f>
        <v/>
      </c>
      <c r="G7822" t="inlineStr">
        <is>
          <t>2019-11-14 10:02:07</t>
        </is>
      </c>
      <c r="H7822" t="inlineStr">
        <is>
          <t>Type 1</t>
        </is>
      </c>
    </row>
    <row r="7823">
      <c r="A7823" t="inlineStr">
        <is>
          <t>dwfs6v</t>
        </is>
      </c>
      <c r="B7823" t="inlineStr">
        <is>
          <t>Need advice/guidance regarding Dexcom 3rd party apps and currently best Android phone compatibility options</t>
        </is>
      </c>
      <c r="C7823" t="inlineStr">
        <is>
          <t>Hey everyone! With Apple cracking down on the Spike app months ago, I'm looking for a more stable solution for my dexcom management. I figure an android phone would give me more flexibility with a comparable 3rd party app and I wouldn't have to worry about the rug being yanked out from under me. I have a rough idea of my options, but I'm unclear on the particulars. If you have time, would you mind sharing your experiences with me? Particularly:
&amp;amp;#x200B;
1. What 3rd party android apps do you use to manage your dexcom? How stable/reliable are they, and do you ever find yourself needing to fall back on the official dexcom app?
2. What phone do you have? Do you have any suggestions for what I should look out for in buying an android phone that will play nice with the 3rd party diabetes tools that are available?
Thank you for your time! May the glucose gods ever be in your favor!</t>
        </is>
      </c>
      <c r="D7823" t="n">
        <v>1</v>
      </c>
      <c r="E7823" t="n">
        <v>5</v>
      </c>
      <c r="F7823">
        <f>HYPERLINK("https://www.reddit.com/r/diabetes/comments/dwfs6v/need_adviceguidance_regarding_dexcom_3rd_party/")</f>
        <v/>
      </c>
      <c r="G7823" t="inlineStr">
        <is>
          <t>2019-11-14 13:01:45</t>
        </is>
      </c>
      <c r="H7823" t="inlineStr">
        <is>
          <t>Type 1</t>
        </is>
      </c>
    </row>
    <row r="7824">
      <c r="A7824" t="inlineStr">
        <is>
          <t>dwfumd</t>
        </is>
      </c>
      <c r="B7824" t="inlineStr">
        <is>
          <t>DKA</t>
        </is>
      </c>
      <c r="C7824" t="inlineStr">
        <is>
          <t>So I just got diagnosed with type II. Last Thursday I felt sick and called out of work and threw up a few times. Felt better by 7pm. Went to work Friday. Then Saturday morning around 5am felt nauseous then it went away. But by 730am I was feeling sick again. Then couldn't stop throwing up the entire day. Then the entire night. It felt like battery acid pouring out of my throat. So with no sleep and still vomiting Sunday morning I went to the ER. Long story short, after some blood work they told me I was diabetic. My blood sugar was 329. I spent 4 days in ICU then got moved last night finally to another room and released today. I feel crappy but way better. I still have to make myself eat something though. Just left Walmart buying my kit and strips and lancer device. About to check my own level. Did I mention I hate needles. Anyway I look forward to advice and help from the community and maybe someday be that help for someone</t>
        </is>
      </c>
      <c r="D7824" t="n">
        <v>1</v>
      </c>
      <c r="E7824" t="n">
        <v>7</v>
      </c>
      <c r="F7824">
        <f>HYPERLINK("https://www.reddit.com/r/diabetes/comments/dwfumd/dka/")</f>
        <v/>
      </c>
      <c r="G7824" t="inlineStr">
        <is>
          <t>2019-11-14 13:06:30</t>
        </is>
      </c>
      <c r="H7824" t="inlineStr">
        <is>
          <t>Type 2</t>
        </is>
      </c>
    </row>
    <row r="7825">
      <c r="A7825" t="inlineStr">
        <is>
          <t>dwleyt</t>
        </is>
      </c>
      <c r="B7825" t="inlineStr">
        <is>
          <t>Where to stick myself...?</t>
        </is>
      </c>
      <c r="C7825" t="inlineStr">
        <is>
          <t>I consistently insert my infusion set around my stomach but I'm starting to build up some scar tissue and getting lots of little red dots from my past needle sites. Any other areas people like for a tubed pump? I dont think I want to do the arm because I feel the the cord would get annoying. 
Can anyone help a diabetic sister out?🙏</t>
        </is>
      </c>
      <c r="D7825" t="n">
        <v>1</v>
      </c>
      <c r="E7825" t="n">
        <v>6</v>
      </c>
      <c r="F7825">
        <f>HYPERLINK("https://www.reddit.com/r/diabetes/comments/dwleyt/where_to_stick_myself/")</f>
        <v/>
      </c>
      <c r="G7825" t="inlineStr">
        <is>
          <t>2019-11-14 20:17:09</t>
        </is>
      </c>
      <c r="H7825" t="inlineStr">
        <is>
          <t>Type 1</t>
        </is>
      </c>
    </row>
    <row r="7826">
      <c r="A7826" t="inlineStr">
        <is>
          <t>dwm66b</t>
        </is>
      </c>
      <c r="B7826" t="inlineStr">
        <is>
          <t>Metformin</t>
        </is>
      </c>
      <c r="C7826" t="inlineStr">
        <is>
          <t>Has anyone ever had issues with constipation when starting metformin? I know it’s not usually the symptoms so I’m so confused (and uncomfortable!!)</t>
        </is>
      </c>
      <c r="D7826" t="n">
        <v>1</v>
      </c>
      <c r="E7826" t="n">
        <v>5</v>
      </c>
      <c r="F7826">
        <f>HYPERLINK("https://www.reddit.com/r/diabetes/comments/dwm66b/metformin/")</f>
        <v/>
      </c>
      <c r="G7826" t="inlineStr">
        <is>
          <t>2019-11-14 21:27:43</t>
        </is>
      </c>
      <c r="H7826" t="inlineStr">
        <is>
          <t>Type 2</t>
        </is>
      </c>
    </row>
    <row r="7827">
      <c r="A7827" t="inlineStr">
        <is>
          <t>dwoa51</t>
        </is>
      </c>
      <c r="B7827" t="inlineStr">
        <is>
          <t>The lack of quality for diebetics in public American health Care is unbelievable</t>
        </is>
      </c>
      <c r="C7827" t="inlineStr">
        <is>
          <t>Most of my life, I had private endos through my families healthcare. Turning 18, and a family divorse along the way , my mother and I are on medical. Good Lord. It's terrible for appointments. Atleast in my city. Granted, I'm getting free insulin // supplies (ty tax payers)
But my doctor? Complete joke. Barely speaks English, has not once downloaded my pump (seen him 4 times) 
First time I met him, he asked how much Insulin do I take per day??? What kind of question is that? He's the clinics official Endo. It's unbelievable. Today, he checked my breathing? Didn't mention my, oh, idk, DIEBETES? He have me the wrong a1c, which needed a vial of blood (he ordered blood testing, but only did an a1c with it. )
It's a complete joke. Two years ago, with the other Endo (before father cut my insurance) she told me news, new pimps, got me on the gcm. Before her, when I was 19, we accidentally have myself insulin instead of lantis (10ish units, new diebetic) imagine if I had to call this man. 
That's all. Sorry for rant</t>
        </is>
      </c>
      <c r="D7827" t="n">
        <v>1</v>
      </c>
      <c r="E7827" t="n">
        <v>7</v>
      </c>
      <c r="F7827">
        <f>HYPERLINK("https://www.reddit.com/r/diabetes/comments/dwoa51/the_lack_of_quality_for_diebetics_in_public/")</f>
        <v/>
      </c>
      <c r="G7827" t="inlineStr">
        <is>
          <t>2019-11-15 01:15:32</t>
        </is>
      </c>
      <c r="H7827" t="inlineStr">
        <is>
          <t>Type 1</t>
        </is>
      </c>
    </row>
    <row r="7828">
      <c r="A7828" t="inlineStr">
        <is>
          <t>dwwwp0</t>
        </is>
      </c>
      <c r="B7828" t="inlineStr">
        <is>
          <t>Meter reading "HI"</t>
        </is>
      </c>
      <c r="C7828" t="inlineStr">
        <is>
          <t>Uhh so this has never happened to me before (Except when I was diagnosed) but my latest blood sugar reading just says HI. I tested my ketones and they're 0.1
My meter didn't even suggest a correction dose because i'm so high. So I kind of just guessed a correction dose which in hindsight is probably way too much. I gave around 7u correction and usually my correction ratio is 1:3</t>
        </is>
      </c>
      <c r="D7828" t="n">
        <v>1</v>
      </c>
      <c r="E7828" t="n">
        <v>4</v>
      </c>
      <c r="F7828">
        <f>HYPERLINK("https://www.reddit.com/r/diabetes/comments/dwwwp0/meter_reading_hi/")</f>
        <v/>
      </c>
      <c r="G7828" t="inlineStr">
        <is>
          <t>2019-11-15 13:05:21</t>
        </is>
      </c>
      <c r="H7828" t="inlineStr">
        <is>
          <t>Type 1</t>
        </is>
      </c>
    </row>
    <row r="7829">
      <c r="A7829" t="inlineStr">
        <is>
          <t>dwxw0k</t>
        </is>
      </c>
      <c r="B7829" t="inlineStr">
        <is>
          <t>Constant feeling of pee in my urethra</t>
        </is>
      </c>
      <c r="C7829" t="inlineStr">
        <is>
          <t>I have just recently been diagnosed with type 2 diabetes. I am a 25 yo male and The constant urge to pee is what caused my diagnosis. 
This feeling has not gone away for a week now. It feels like a tiny bit of urine is trapped in the tip of my penis. 
Has anyone else experienced this?
Is there a way to stop it from happening?</t>
        </is>
      </c>
      <c r="D7829" t="n">
        <v>1</v>
      </c>
      <c r="E7829" t="n">
        <v>5</v>
      </c>
      <c r="F7829">
        <f>HYPERLINK("https://www.reddit.com/r/diabetes/comments/dwxw0k/constant_feeling_of_pee_in_my_urethra/")</f>
        <v/>
      </c>
      <c r="G7829" t="inlineStr">
        <is>
          <t>2019-11-15 14:18:16</t>
        </is>
      </c>
      <c r="H7829" t="inlineStr">
        <is>
          <t>Type 2</t>
        </is>
      </c>
    </row>
    <row r="7830">
      <c r="A7830" t="inlineStr">
        <is>
          <t>dx6t8t</t>
        </is>
      </c>
      <c r="B7830" t="inlineStr">
        <is>
          <t>Diabetes first aid: how to deal with irresponsible type 1 boyfriends?</t>
        </is>
      </c>
      <c r="C7830" t="inlineStr">
        <is>
          <t>So last night my boyfriend (type 1) came home late and past out on the couch. I woke up because his alarm clock was wailing for minutes (he sets one when he drinks so he doesn’t forget to measure his blood sugar). When I went to check on him he was black out drunk and when I woke him up he went straight to the bathroom to throw up.
This doesn’t happen very often, but I know what to do. I gathered his supplies: water, sugar, roasted bread with peanutbutter and his blood sugar measuring gear (don’t know the english lingo :))
When he came back from the bathroom he made zero sense and it turned out his sugar level had crashed very low. I tried to feed him and convince him to eat. I managed to get a few bites into him until he started to throw up again. This happend a couple of times and his sugar levels kept dropping. I got really scared and called 911 for the first time in my life. 
They talked me through some stuff and told me to be patient. After three hours of painstakenly feeding him a few of sugar tablets his levels were okay again and we fell asleep at 6 am.
I’ve been in this relationship for 4 years and I’ve had to ‘revive’ him a couple of times now. But this was seriously scary!  He apologised a lot and said he didn’t know how it happend and he will be more careful from now on. 
But I realised that I need to know more and want to learn first aid for diabetes! If anyone has tips and tricks let me know!! What do I do in these situations? I don’t even think I know what can go wrong! How can I prepare when I don’t even know?</t>
        </is>
      </c>
      <c r="D7830" t="n">
        <v>1</v>
      </c>
      <c r="E7830" t="n">
        <v>5</v>
      </c>
      <c r="F7830">
        <f>HYPERLINK("https://www.reddit.com/r/diabetes/comments/dx6t8t/diabetes_first_aid_how_to_deal_with_irresponsible/")</f>
        <v/>
      </c>
      <c r="G7830" t="inlineStr">
        <is>
          <t>2019-11-16 05:19:54</t>
        </is>
      </c>
      <c r="H7830" t="inlineStr">
        <is>
          <t>Type 1</t>
        </is>
      </c>
    </row>
    <row r="7831">
      <c r="A7831" t="inlineStr">
        <is>
          <t>dxezf3</t>
        </is>
      </c>
      <c r="B7831" t="inlineStr">
        <is>
          <t>Why do I keep loosing weight?</t>
        </is>
      </c>
      <c r="C7831" t="inlineStr">
        <is>
          <t>So it’s treated like type 2 diabetes because my pancreas hasn’t 100% died yet and is still making enough insulin for me to be able to use with metformin but I’m still loosing weight even tho my blood sugar ranges from 75-110 range for the majority of the day unless I happen to eat something with a lot of carbs. I’m 5’10 male, used to have a built strong size body but now I’m so skinny I’m 163lbs. I used to be 180... all results coming back from the hospital say nothings wrong yet I continue to loose weight. I’m so worried...</t>
        </is>
      </c>
      <c r="D7831" t="n">
        <v>1</v>
      </c>
      <c r="E7831" t="n">
        <v>11</v>
      </c>
      <c r="F7831">
        <f>HYPERLINK("https://www.reddit.com/r/diabetes/comments/dxezf3/why_do_i_keep_loosing_weight/")</f>
        <v/>
      </c>
      <c r="G7831" t="inlineStr">
        <is>
          <t>2019-11-16 16:00:44</t>
        </is>
      </c>
      <c r="H7831" t="inlineStr">
        <is>
          <t>Type 1</t>
        </is>
      </c>
    </row>
    <row r="7832">
      <c r="A7832" t="inlineStr">
        <is>
          <t>dxhjuf</t>
        </is>
      </c>
      <c r="B7832" t="inlineStr">
        <is>
          <t>Celiac</t>
        </is>
      </c>
      <c r="C7832" t="inlineStr">
        <is>
          <t>My son was diagnosed at 14 months old with type 1 diabetes. That was 2.5 years ago. Now he's been diagnosed with Celiac. I'm guessing some of you are in the same boat. I've always thought Celiac wouldn't even compare to t1d but this has been pretty rough. Not sure which one is a bigger challenge for us. We'd found regular meals that our son liked and knew how much to dose him for everything. His A1C was 6.8 or lower each of our last 3 doctors visits. Now all the gluten free options we've found he doesn't like or they have twice as many carbs. I don't even know what advice I'm asking for.</t>
        </is>
      </c>
      <c r="D7832" t="n">
        <v>1</v>
      </c>
      <c r="E7832" t="n">
        <v>10</v>
      </c>
      <c r="F7832">
        <f>HYPERLINK("https://www.reddit.com/r/diabetes/comments/dxhjuf/celiac/")</f>
        <v/>
      </c>
      <c r="G7832" t="inlineStr">
        <is>
          <t>2019-11-16 19:38:54</t>
        </is>
      </c>
      <c r="H7832" t="inlineStr">
        <is>
          <t>Type 1</t>
        </is>
      </c>
    </row>
    <row r="7833">
      <c r="A7833" t="inlineStr">
        <is>
          <t>dxz6ed</t>
        </is>
      </c>
      <c r="B7833" t="inlineStr">
        <is>
          <t>Dexcom is failing me :(</t>
        </is>
      </c>
      <c r="C7833" t="inlineStr">
        <is>
          <t>I've never posted before but I had a question for you all. I've been type 1 for almost 2 years now, diagnosed on my 18th birthday. I just got set up with Dexcom about two months ago, and my sensors keep failing. Out of the 6 total sensors I've used since starting the Dexcom, 4 of them have failed, and the most recent failed only 4 hours after startup! Am I causing them to fail somehow, or is Dexcom just not as reliable as they seem to be? Maybe they've just been sending me duds? Has anyone else had these kinds of problems with Dexcom? Thanks in advance!</t>
        </is>
      </c>
      <c r="D7833" t="n">
        <v>1</v>
      </c>
      <c r="E7833" t="n">
        <v>21</v>
      </c>
      <c r="F7833">
        <f>HYPERLINK("https://www.reddit.com/r/diabetes/comments/dxz6ed/dexcom_is_failing_me/")</f>
        <v/>
      </c>
      <c r="G7833" t="inlineStr">
        <is>
          <t>2019-11-17 22:03:11</t>
        </is>
      </c>
      <c r="H7833" t="inlineStr">
        <is>
          <t>Type 1</t>
        </is>
      </c>
    </row>
    <row r="7834">
      <c r="A7834" t="inlineStr">
        <is>
          <t>dy17f5</t>
        </is>
      </c>
      <c r="B7834" t="inlineStr">
        <is>
          <t>T1 people of islamic faith, how do you fast during ramadan if you are insulin dependent ?</t>
        </is>
      </c>
      <c r="C7834" t="inlineStr">
        <is>
          <t>Just asking because I get low  all the time in my daily life. I was just wondering how the period of Ramadan is delt with if you are type 1.  This is really just  curiosity, but I hope to learn something.</t>
        </is>
      </c>
      <c r="D7834" t="n">
        <v>1</v>
      </c>
      <c r="E7834" t="n">
        <v>6</v>
      </c>
      <c r="F7834">
        <f>HYPERLINK("https://www.reddit.com/r/diabetes/comments/dy17f5/t1_people_of_islamic_faith_how_do_you_fast_during/")</f>
        <v/>
      </c>
      <c r="G7834" t="inlineStr">
        <is>
          <t>2019-11-18 01:57:54</t>
        </is>
      </c>
      <c r="H7834" t="inlineStr">
        <is>
          <t>Type 1</t>
        </is>
      </c>
    </row>
    <row r="7835">
      <c r="A7835" t="inlineStr">
        <is>
          <t>dy2tkq</t>
        </is>
      </c>
      <c r="B7835" t="inlineStr">
        <is>
          <t>Recently diagnosed with Type 2 - Ozempic and Glucophage.</t>
        </is>
      </c>
      <c r="C7835" t="inlineStr">
        <is>
          <t>Hi,
I was recently diagnosed with Type 2 diabetes and my doctor prescribed me Glucophage 850mg twice a day and Ozempic once a week.
I have a couple of questions for those on the same meds:
1. One of the side effects of Ozempic is thyroid cancer and it's making me very reluctant about starting it. Does anyone else have personal experience with it?
2. Is it normal that even while taking Glucophage 850mg twice a day, I don't need to measure my sugar levels? Last time I checked them at the clinic around 2 hours after breakfast and they were 98 mg/dL. The only reason they were even able to find out I was diabetic is because I did the Glucose Tolerance Test for my PCOS.
Would it be a good idea to buy a glucose meter and check my sugar levels once in a while or should I just let it be as my doctor suggested?
Thank you very much to anyone who'll reply :)</t>
        </is>
      </c>
      <c r="D7835" t="n">
        <v>1</v>
      </c>
      <c r="E7835" t="n">
        <v>4</v>
      </c>
      <c r="F7835">
        <f>HYPERLINK("https://www.reddit.com/r/diabetes/comments/dy2tkq/recently_diagnosed_with_type_2_ozempic_and/")</f>
        <v/>
      </c>
      <c r="G7835" t="inlineStr">
        <is>
          <t>2019-11-18 04:54:47</t>
        </is>
      </c>
      <c r="H7835" t="inlineStr">
        <is>
          <t>Type 2</t>
        </is>
      </c>
    </row>
    <row r="7836">
      <c r="A7836" t="inlineStr">
        <is>
          <t>dy3193</t>
        </is>
      </c>
      <c r="B7836" t="inlineStr">
        <is>
          <t>Today I try to stop unhealthy snacking. Any advice?</t>
        </is>
      </c>
      <c r="C7836" t="inlineStr">
        <is>
          <t>Hey!
I usually snack a lot through the day. Not for the sake of hunger, rather for the routine and or sensation of eating certain things.
I will finish everything I already own in the house by the end of the week and attempt to no longer buy new snacks.
I'm sure there will be urges and cravings. Do you have any advice that worked for you? 
&amp;amp;#x200B;
Thank you :)</t>
        </is>
      </c>
      <c r="D7836" t="n">
        <v>1</v>
      </c>
      <c r="E7836" t="n">
        <v>8</v>
      </c>
      <c r="F7836">
        <f>HYPERLINK("https://www.reddit.com/r/diabetes/comments/dy3193/today_i_try_to_stop_unhealthy_snacking_any_advice/")</f>
        <v/>
      </c>
      <c r="G7836" t="inlineStr">
        <is>
          <t>2019-11-18 05:14:53</t>
        </is>
      </c>
      <c r="H7836" t="inlineStr">
        <is>
          <t>Type 1</t>
        </is>
      </c>
    </row>
    <row r="7837">
      <c r="A7837" t="inlineStr">
        <is>
          <t>dy4e5r</t>
        </is>
      </c>
      <c r="B7837" t="inlineStr">
        <is>
          <t>HELP protein in urine</t>
        </is>
      </c>
      <c r="C7837" t="inlineStr">
        <is>
          <t>Recent urine test showed that I had traces of protein in my urine (8mg of albumin) which has really shaken me up as I’ve just turned 20 recently and hearing I may develop a kidney disease in the future. I aim to bring down my glucose levels but is there anything else I should do to lower the protein levels in my urine or is it too late?</t>
        </is>
      </c>
      <c r="D7837" t="n">
        <v>1</v>
      </c>
      <c r="E7837" t="n">
        <v>5</v>
      </c>
      <c r="F7837">
        <f>HYPERLINK("https://www.reddit.com/r/diabetes/comments/dy4e5r/help_protein_in_urine/")</f>
        <v/>
      </c>
      <c r="G7837" t="inlineStr">
        <is>
          <t>2019-11-18 07:10:29</t>
        </is>
      </c>
      <c r="H7837" t="inlineStr">
        <is>
          <t>Type 1</t>
        </is>
      </c>
    </row>
    <row r="7838">
      <c r="A7838" t="inlineStr">
        <is>
          <t>dy4i30</t>
        </is>
      </c>
      <c r="B7838" t="inlineStr">
        <is>
          <t>I kinda wish I was diagnosed younger</t>
        </is>
      </c>
      <c r="C7838" t="inlineStr">
        <is>
          <t>I'm 13 and got diagnosed with type 1 about 3 months ago and I feel like it's pretty much the worst age to get diagnosed.
I know it's bad to get it at any age but at least if I was like a baby or 2-3yrs old I'd be used to it and would have  grown up with it. For me it's  like I suddenly need to learn loads and change loads of stuff and it really sucks...</t>
        </is>
      </c>
      <c r="D7838" t="n">
        <v>1</v>
      </c>
      <c r="E7838" t="n">
        <v>17</v>
      </c>
      <c r="F7838">
        <f>HYPERLINK("https://www.reddit.com/r/diabetes/comments/dy4i30/i_kinda_wish_i_was_diagnosed_younger/")</f>
        <v/>
      </c>
      <c r="G7838" t="inlineStr">
        <is>
          <t>2019-11-18 07:18:41</t>
        </is>
      </c>
      <c r="H7838" t="inlineStr">
        <is>
          <t>Type 1</t>
        </is>
      </c>
    </row>
    <row r="7839">
      <c r="A7839" t="inlineStr">
        <is>
          <t>dy7w18</t>
        </is>
      </c>
      <c r="B7839" t="inlineStr">
        <is>
          <t>I was just diagnosed with type 1 diabetes, can I still smoke weed?</t>
        </is>
      </c>
      <c r="C7839" t="inlineStr">
        <is>
          <t>I’m 16 and I was just diagnosed, I know smoking weed is probably not the best thing for me in the first place, I’m not a stoner or anything I just smoke casually sometimes when my friends do. I just want to be safe does anyone have any advice?</t>
        </is>
      </c>
      <c r="D7839" t="n">
        <v>1</v>
      </c>
      <c r="E7839" t="n">
        <v>12</v>
      </c>
      <c r="F7839">
        <f>HYPERLINK("https://www.reddit.com/r/diabetes/comments/dy7w18/i_was_just_diagnosed_with_type_1_diabetes_can_i/")</f>
        <v/>
      </c>
      <c r="G7839" t="inlineStr">
        <is>
          <t>2019-11-18 11:19:26</t>
        </is>
      </c>
      <c r="H7839" t="inlineStr">
        <is>
          <t>Type 1</t>
        </is>
      </c>
    </row>
    <row r="7840">
      <c r="A7840" t="inlineStr">
        <is>
          <t>dy8ymi</t>
        </is>
      </c>
      <c r="B7840" t="inlineStr">
        <is>
          <t>16 and not eating right</t>
        </is>
      </c>
      <c r="C7840" t="inlineStr">
        <is>
          <t>So I have diabetes for 3 years already and i'm eating like I don't have diabetes at all. Can somebody tell me if I keep eating like this what will happen? And anybody here didn't eat right and back fired on them.</t>
        </is>
      </c>
      <c r="D7840" t="n">
        <v>1</v>
      </c>
      <c r="E7840" t="n">
        <v>35</v>
      </c>
      <c r="F7840">
        <f>HYPERLINK("https://www.reddit.com/r/diabetes/comments/dy8ymi/16_and_not_eating_right/")</f>
        <v/>
      </c>
      <c r="G7840" t="inlineStr">
        <is>
          <t>2019-11-18 12:30:12</t>
        </is>
      </c>
      <c r="H7840" t="inlineStr">
        <is>
          <t>Type 2</t>
        </is>
      </c>
    </row>
    <row r="7841">
      <c r="A7841" t="inlineStr">
        <is>
          <t>dy97ra</t>
        </is>
      </c>
      <c r="B7841" t="inlineStr">
        <is>
          <t>Newly diagnosed Type 1 needing some advice</t>
        </is>
      </c>
      <c r="C7841" t="inlineStr">
        <is>
          <t>I just got home from the hospital after dealing with DKA for the first time. I had no idea I was suffering from complications from Diabetes, I thought I had a nasty flu. Long story short I am now confirmed Type 1, back home, and on Insulin. My numbers are still high though and seem to just stay above 150 (sometimes over 200+) no matter what I do...it's making me insanely worried that I am doing something wrong. Should I be worried that my sugar levels are still that high???
Any tips to help a newbie would be much appreciated. I've done tons of research and reading online but would love some first hand advice from people who have actually lived with it. 
YES, I have spoken to the doc, and am going to see the Endo next week.
Any good food tips would be appreciated as well...</t>
        </is>
      </c>
      <c r="D7841" t="n">
        <v>1</v>
      </c>
      <c r="E7841" t="n">
        <v>4</v>
      </c>
      <c r="F7841">
        <f>HYPERLINK("https://www.reddit.com/r/diabetes/comments/dy97ra/newly_diagnosed_type_1_needing_some_advice/")</f>
        <v/>
      </c>
      <c r="G7841" t="inlineStr">
        <is>
          <t>2019-11-18 12:47:14</t>
        </is>
      </c>
      <c r="H7841" t="inlineStr">
        <is>
          <t>Type 1</t>
        </is>
      </c>
    </row>
    <row r="7842">
      <c r="A7842" t="inlineStr">
        <is>
          <t>dy9uo8</t>
        </is>
      </c>
      <c r="B7842" t="inlineStr">
        <is>
          <t>I just lost 12 years</t>
        </is>
      </c>
      <c r="C7842" t="inlineStr">
        <is>
          <t>I'm 25 and was just diagnosed with Type 1 about a month ago.  It took 8 months of unexpected weight loss to bring me into a doctors office and after 5 minutes I was on the way to the hospital for a 2 night stay.  My blood sugar was "too High to read" meaning it was over 500.  
Everything just happened so fast, doctors, endocrinologists, primary care physicians, prescriptions, needles, monitors, so I never really looked into the long term effects until today.  Type 1's on average lose 10-12 years off their lives.  Men on average succumb to the disease by the age of 66.  I'm 8 years away from the halfway point in my life.  I'm a full time law student.  I'm literally studying to land a job where I sit in an office and argue for the rest of my life.  I'm 50k in debt and will take another 25k for my last year next year.  I've been crying all day. I don't want to go home because I know i'll lash out at my girlfriend.  I hate this, I hate everything.  I'm going to die with 3 toes and one leg in my 60's.  It's not fair.  I'm the only athletic person in the entire family, from childhood through college, I'm the only non-smoker, im the only person who ever gave a shit about their health, I'm the one who works out, I'm the one who watches what they eat, and now Im the one with Type 1.  
Sorry, I am definitely not the type of person to throw a pity party, I dont ever remember crying this hard, I just needed to say what was on my mind in an anonymous way but now I'm ugly crying in class so I need to stop.
I think I'll go for a drive today.</t>
        </is>
      </c>
      <c r="D7842" t="n">
        <v>1</v>
      </c>
      <c r="E7842" t="n">
        <v>22</v>
      </c>
      <c r="F7842">
        <f>HYPERLINK("https://www.reddit.com/r/diabetes/comments/dy9uo8/i_just_lost_12_years/")</f>
        <v/>
      </c>
      <c r="G7842" t="inlineStr">
        <is>
          <t>2019-11-18 13:29:44</t>
        </is>
      </c>
      <c r="H7842" t="inlineStr">
        <is>
          <t>Type 1</t>
        </is>
      </c>
    </row>
    <row r="7843">
      <c r="A7843" t="inlineStr">
        <is>
          <t>dyc4sn</t>
        </is>
      </c>
      <c r="B7843" t="inlineStr">
        <is>
          <t>Huge Drop in my A1C</t>
        </is>
      </c>
      <c r="C7843" t="inlineStr">
        <is>
          <t>I was diagnosed with type 2 this August and I had an A1C level of 12.5. Just got back my results today and my A1C is at 5.4. 
I want to thank this community for helping my out and just reading and learning more about this one thing we all have in common. I post here because I know you guys will understand what those number mean. I tell my friends but they just don’t get it lol</t>
        </is>
      </c>
      <c r="D7843" t="n">
        <v>1</v>
      </c>
      <c r="E7843" t="n">
        <v>71</v>
      </c>
      <c r="F7843">
        <f>HYPERLINK("https://www.reddit.com/r/diabetes/comments/dyc4sn/huge_drop_in_my_a1c/")</f>
        <v/>
      </c>
      <c r="G7843" t="inlineStr">
        <is>
          <t>2019-11-18 16:09:27</t>
        </is>
      </c>
      <c r="H7843" t="inlineStr">
        <is>
          <t>Type 2</t>
        </is>
      </c>
    </row>
    <row r="7844">
      <c r="A7844" t="inlineStr">
        <is>
          <t>dygc4x</t>
        </is>
      </c>
      <c r="B7844" t="inlineStr">
        <is>
          <t>Big A1C Drop! *high five*</t>
        </is>
      </c>
      <c r="C7844" t="inlineStr">
        <is>
          <t>I got the results of my first A1C this morning since starting on the Eversense CGM. My first insertion was in the middle of August and aft that time I was at 9.1%... I am so excited to say that my new number is 6.7%! I got the new sensor today, and I'm excited to see what number I can get for the next sensor in February. 😁
Bonus... my kidney function is returning to normal, and my eye appointment last week went swimmingly as well. It's all falling into place... so nice to finally have control!</t>
        </is>
      </c>
      <c r="D7844" t="n">
        <v>1</v>
      </c>
      <c r="E7844" t="n">
        <v>4</v>
      </c>
      <c r="F7844">
        <f>HYPERLINK("https://www.reddit.com/r/diabetes/comments/dygc4x/big_a1c_drop_high_five/")</f>
        <v/>
      </c>
      <c r="G7844" t="inlineStr">
        <is>
          <t>2019-11-18 21:53:49</t>
        </is>
      </c>
      <c r="H7844" t="inlineStr">
        <is>
          <t>Type 2</t>
        </is>
      </c>
    </row>
    <row r="7845">
      <c r="A7845" t="inlineStr">
        <is>
          <t>dykywr</t>
        </is>
      </c>
      <c r="B7845" t="inlineStr">
        <is>
          <t>Blood Sugar drops to 70 during sleep.</t>
        </is>
      </c>
      <c r="C7845" t="inlineStr">
        <is>
          <t>Hi all, I'm 22 and I've been diagnosed with type 1 for about 4 months now. I've been able to get a good handle on things in that time. But for the past few days, in the middle of the night, I wake up from my dexcom alarm and my mg/dL is 70 and dropping. I'm confused because nothing has changed in the past few days, the only thing I can think of is that I started going to the gym a few weeks ago later in the day, around 5pm. But this is a recent phenomenon.  Thoughts? Thank you!</t>
        </is>
      </c>
      <c r="D7845" t="n">
        <v>1</v>
      </c>
      <c r="E7845" t="n">
        <v>12</v>
      </c>
      <c r="F7845">
        <f>HYPERLINK("https://www.reddit.com/r/diabetes/comments/dykywr/blood_sugar_drops_to_70_during_sleep/")</f>
        <v/>
      </c>
      <c r="G7845" t="inlineStr">
        <is>
          <t>2019-11-19 06:16:48</t>
        </is>
      </c>
      <c r="H7845" t="inlineStr">
        <is>
          <t>Type 1</t>
        </is>
      </c>
    </row>
    <row r="7846">
      <c r="A7846" t="inlineStr">
        <is>
          <t>dylie7</t>
        </is>
      </c>
      <c r="B7846" t="inlineStr">
        <is>
          <t>Proud Dad: Daughter's A1C from 13.2 to 7.4 in 3 months</t>
        </is>
      </c>
      <c r="C7846" t="inlineStr">
        <is>
          <t>I don't know how many other folks here are parents vs diabetes sufferers, but I just wanted to give a shout out to my 13 year old daughter for crushing it these last few months and, hopefully going forward as well.
Last endo visit was incredibly frustrating for me and I was shocked by the 13.2 A1C reading.  Turns out she'd been forgetting to take her Tresiba (often), getting BG readings as high as 450 (without telling anyone) and generally doing teenage stuff with respect to responsibility (like some days just not checking BG at all and just making up a number to tell us).  She's done very well managing things since she was diagnosed at 9, so this was very much a backslide.  I was super pissed.
The endo (pretty cool lady) talked me down a bit and assured me that this is normal for teenagers - their brains are literally not fully functional.  So, I endeavored to make some routine changes for the whole family that  would ensure accountability (for all of us) and produce a better result.
We switched from slow-acting at 7AM to doing it at 7PM (because she never sees 7AM on a non-school day, in truth).  We also turned it into a nightly "event" where everyone's phone alarm goes off at the same time and all of us (including her older sister, when home) review her BG readings for the day and talk about how it went and what to try tomorrow if it was a bit high.
Anyway, at the visit yesterday, her A1C was 7.4 and I know in the last month she's made some headway to do even better; targeting less than 5.5 for next visit.  And, honestly, there is a lot less stress in the house around it because it's a discussion we have every single day even when things are going well (which is a good time to give some praise).
So, congrats to my little girl and here's hoping for continued improvement for next time!  Any of you other parents feeling frustrated, hope you can find ways to flip the conversation as well - it sure made the difference for us!</t>
        </is>
      </c>
      <c r="D7846" t="n">
        <v>1</v>
      </c>
      <c r="E7846" t="n">
        <v>25</v>
      </c>
      <c r="F7846">
        <f>HYPERLINK("https://www.reddit.com/r/diabetes/comments/dylie7/proud_dad_daughters_a1c_from_132_to_74_in_3_months/")</f>
        <v/>
      </c>
      <c r="G7846" t="inlineStr">
        <is>
          <t>2019-11-19 07:01:10</t>
        </is>
      </c>
      <c r="H7846" t="inlineStr">
        <is>
          <t>Type 1</t>
        </is>
      </c>
    </row>
    <row r="7847">
      <c r="A7847" t="inlineStr">
        <is>
          <t>dyliw5</t>
        </is>
      </c>
      <c r="B7847" t="inlineStr">
        <is>
          <t>Best Android Smartwatches in 2019 for Dexcom G6 data.</t>
        </is>
      </c>
      <c r="C7847" t="inlineStr">
        <is>
          <t>Anyone using a smartwatch with the G6 CGM?</t>
        </is>
      </c>
      <c r="D7847" t="n">
        <v>1</v>
      </c>
      <c r="E7847" t="n">
        <v>4</v>
      </c>
      <c r="F7847">
        <f>HYPERLINK("https://www.reddit.com/r/diabetes/comments/dyliw5/best_android_smartwatches_in_2019_for_dexcom_g6/")</f>
        <v/>
      </c>
      <c r="G7847" t="inlineStr">
        <is>
          <t>2019-11-19 07:02:07</t>
        </is>
      </c>
      <c r="H7847" t="inlineStr">
        <is>
          <t>Type 1</t>
        </is>
      </c>
    </row>
    <row r="7848">
      <c r="A7848" t="inlineStr">
        <is>
          <t>dyommp</t>
        </is>
      </c>
      <c r="B7848" t="inlineStr">
        <is>
          <t>About to start insulin, excited that I’ll be able to gain weight again but worried.</t>
        </is>
      </c>
      <c r="C7848" t="inlineStr">
        <is>
          <t>Diagnosis said I was type 2, turns out it was 1.5 and honeymooning. Doctor told me I’m no longer making enough insulin to keep weight on, I’m 155lbs as a 5’10 MALE who used to have a very solid well built healthy body. I was 163 last week, I’ve lost almost 10 fucking pounds in a WEEK. I look like skin and bone, my eyes are sunken, my energy levels are low. I’m pale with bright red lips. I feel very weak. Glad I’ll finally be on insulin, I’ve been needing it for months but you know... unfortunately life has kept me to busy to go in and get checked out. I won’t be on too much insulin but I’m curious how quickly will I put on pounds? And will working out turn it into muscle? I’m not wanting to get fat but I heard people who start insulin gain a lot of weight. Obviously I need to get back into healthy body mass limit but will exercising make the weight I gain turn into muscle or will it become fat no matter what because I’ll be using insulin? Also another question is obviously I’ll still have to watch my carb intake but will I have more food options like bread/sweets? It doesn’t bother me that I can’t eat it now... but I wouldn’t mind having a pot brownie or a slice of cake once in a while without my sugar rising to dangerous levels</t>
        </is>
      </c>
      <c r="D7848" t="n">
        <v>1</v>
      </c>
      <c r="E7848" t="n">
        <v>8</v>
      </c>
      <c r="F7848">
        <f>HYPERLINK("https://www.reddit.com/r/diabetes/comments/dyommp/about_to_start_insulin_excited_that_ill_be_able/")</f>
        <v/>
      </c>
      <c r="G7848" t="inlineStr">
        <is>
          <t>2019-11-19 10:42:43</t>
        </is>
      </c>
      <c r="H7848" t="inlineStr">
        <is>
          <t>Type 1</t>
        </is>
      </c>
    </row>
    <row r="7849">
      <c r="A7849" t="inlineStr">
        <is>
          <t>dyp3bw</t>
        </is>
      </c>
      <c r="B7849" t="inlineStr">
        <is>
          <t>Question: What does it mean your blood sugar feels high but isn't?</t>
        </is>
      </c>
      <c r="C7849" t="inlineStr">
        <is>
          <t>I've never taken great care of my diabetes, to my own detriment, but recently have started getting on top of it. When I was less healthy about my diabetes I would wake up in the middle night having to pee and feeling generally sick because of high blood sugar. Now that my sugars are down to around \~200 at night. Still kind of high, but far better. I'm still waking up in the middle night as if my blood sugar is high (same symptoms) , but I assumed it was because my sugars are normally lower that I now 'feel' high at \~200. Well, last night I woke up and my blood sugar felt high, and I had to pee, these all seemed like signs, so I checked my sugar. It was 97.  I'm at a loss, I rechecked, 95. I'm fairly certain the reading was accurate. I spent the rest of the morning trying to sleep, waking up twice more to use the restroom. When I got up for work, my sugar was 223. That seemed more likely but I was confused about my readings at night.
&amp;amp;#x200B;
Has this happened to anyone?</t>
        </is>
      </c>
      <c r="D7849" t="n">
        <v>1</v>
      </c>
      <c r="E7849" t="n">
        <v>3</v>
      </c>
      <c r="F7849">
        <f>HYPERLINK("https://www.reddit.com/r/diabetes/comments/dyp3bw/question_what_does_it_mean_your_blood_sugar_feels/")</f>
        <v/>
      </c>
      <c r="G7849" t="inlineStr">
        <is>
          <t>2019-11-19 11:13:39</t>
        </is>
      </c>
      <c r="H7849" t="inlineStr">
        <is>
          <t>Type 1</t>
        </is>
      </c>
    </row>
    <row r="7850">
      <c r="A7850" t="inlineStr">
        <is>
          <t>dyq7bg</t>
        </is>
      </c>
      <c r="B7850" t="inlineStr">
        <is>
          <t>Huge A1C Progress!</t>
        </is>
      </c>
      <c r="C7850" t="inlineStr">
        <is>
          <t>Initially diagnosed in early August with an A1C of 8.6. Had my 3-month checkup last week after committing to Weight Watchers and losing a significant amount. My doctor just called to let me know my A1C is 5.5! From my understanding, if I can maintain or lower that by my next check-up, I’ll be considered in “remission” from Type 2! I’m pretty proud of myself right now!</t>
        </is>
      </c>
      <c r="D7850" t="n">
        <v>3</v>
      </c>
      <c r="E7850" t="n">
        <v>5</v>
      </c>
      <c r="F7850">
        <f>HYPERLINK("https://www.reddit.com/r/diabetes/comments/dyq7bg/huge_a1c_progress/")</f>
        <v/>
      </c>
      <c r="G7850" t="inlineStr">
        <is>
          <t>2019-11-19 12:26:58</t>
        </is>
      </c>
      <c r="H7850" t="inlineStr">
        <is>
          <t>Type 2</t>
        </is>
      </c>
    </row>
    <row r="7851">
      <c r="A7851" t="inlineStr">
        <is>
          <t>dys36z</t>
        </is>
      </c>
      <c r="B7851" t="inlineStr">
        <is>
          <t>Diagnosed with Neuropathy now - please help</t>
        </is>
      </c>
      <c r="C7851" t="inlineStr">
        <is>
          <t xml:space="preserve"> 
Hi folks - I'm just 36 year old (but been diabetic for about 4 years now) and I have been diagnosed with Peripheral Neuropathy.  
The doctor did not give me any medicines and only asked me to control my diabetes (which is decently under control).
I went for the test because I have been experiencing numbness in my leg, under the knee. So I'm already exhibiting some symptoms of it. I do experience pain sometimes. I do experience pins and needles sometimes.
No medicine. No treatment. I'm scared to death. Things are only going to get worse from this point, is it?
What can I do to control this? Any exercise?
I believe i have to wear soft, cotton socks all the time. And perhaps padded shoes.  
What else?
If at 36 I've been diagnosed with neuropathy, how long do I have my legs in running shape? Please tell me. I don't think i can live with this depression.</t>
        </is>
      </c>
      <c r="D7851" t="n">
        <v>1</v>
      </c>
      <c r="E7851" t="n">
        <v>19</v>
      </c>
      <c r="F7851">
        <f>HYPERLINK("https://www.reddit.com/r/diabetes/comments/dys36z/diagnosed_with_neuropathy_now_please_help/")</f>
        <v/>
      </c>
      <c r="G7851" t="inlineStr">
        <is>
          <t>2019-11-19 14:32:43</t>
        </is>
      </c>
      <c r="H7851" t="inlineStr">
        <is>
          <t>Type 2</t>
        </is>
      </c>
    </row>
    <row r="7852">
      <c r="A7852" t="inlineStr">
        <is>
          <t>dyufkz</t>
        </is>
      </c>
      <c r="B7852" t="inlineStr">
        <is>
          <t>Steroids and type 1 diabetes help</t>
        </is>
      </c>
      <c r="C7852" t="inlineStr">
        <is>
          <t>My wife got sick, she has type 1 diabetes , at the clinic we went to the doctor didnt ask about it and we didnt know steroids can effect blood sugar. 
Well her sugars have skyrocketed and we cant get them down due to it, problem is we have been doing keto to, so now her ketones are going up as well .
We need to get more insulin in her but I cant find any info on whether or not it's going to build up , since the problem is the liver not up taking it, is  just sitting there and she is going to drop hard at some point or is it going to disappear?
Could use some help here</t>
        </is>
      </c>
      <c r="D7852" t="n">
        <v>1</v>
      </c>
      <c r="E7852" t="n">
        <v>11</v>
      </c>
      <c r="F7852">
        <f>HYPERLINK("https://www.reddit.com/r/diabetes/comments/dyufkz/steroids_and_type_1_diabetes_help/")</f>
        <v/>
      </c>
      <c r="G7852" t="inlineStr">
        <is>
          <t>2019-11-19 17:24:23</t>
        </is>
      </c>
      <c r="H7852" t="inlineStr">
        <is>
          <t>Type 1</t>
        </is>
      </c>
    </row>
    <row r="7853">
      <c r="A7853" t="inlineStr">
        <is>
          <t>dz3fx9</t>
        </is>
      </c>
      <c r="B7853" t="inlineStr">
        <is>
          <t>my diabetes tattoo, more remembrance then awareness</t>
        </is>
      </c>
      <c r="C7853" t="inlineStr">
        <is>
          <t>&amp;amp;#x200B;
*Processing img wh7e76fryuz31...*
Long time lurker on this sub.  This is my type 1 diabetes tattoo.  Diagnosed on 10/28/2016 at 16 years old,  1000 days later got this tattoo.  1 by 1 inch solid black square,  a silent reminder to me about the struggle I have gone through and have survived,  all the sleepless nights and wasted days due to high or low sugars.   
18 inches or so around that part of thigh with ¼ inch margins can fit near 14 of these squares,  around 38 years of diabetes history. When and if it gets cured I will end the square on whatever proportion of the thousand,  if i die from this disease or otherwise  it will end on the last square.   
I believe that having it in a position that it is only visible when i go to the bathroom, wear shorts and shower has been beneficial because I can decide who to share it with.   And now I have shared it with you beautiful people. 
Have a good day diabuddies.</t>
        </is>
      </c>
      <c r="D7853" t="n">
        <v>1</v>
      </c>
      <c r="E7853" t="n">
        <v>3</v>
      </c>
      <c r="F7853">
        <f>HYPERLINK("https://www.reddit.com/r/diabetes/comments/dz3fx9/my_diabetes_tattoo_more_remembrance_then_awareness/")</f>
        <v/>
      </c>
      <c r="G7853" t="inlineStr">
        <is>
          <t>2019-11-20 07:19:12</t>
        </is>
      </c>
      <c r="H7853" t="inlineStr">
        <is>
          <t>Type 1</t>
        </is>
      </c>
    </row>
    <row r="7854">
      <c r="A7854" t="inlineStr">
        <is>
          <t>dz7sbl</t>
        </is>
      </c>
      <c r="B7854" t="inlineStr">
        <is>
          <t>sometimes you get it right</t>
        </is>
      </c>
      <c r="C7854" t="inlineStr">
        <is>
          <t>I just want to share a little story because I felt like the stars aligned for me this morning.
Last night I checked my sugar before going to sleep and I was 135. To prevent a low in the middle of the night, I ate a pack of skittles and edited my basal to 25% for 2 1/2 hours. 
This morning I woke up at 134 and I was so happy.</t>
        </is>
      </c>
      <c r="D7854" t="n">
        <v>1</v>
      </c>
      <c r="E7854" t="n">
        <v>7</v>
      </c>
      <c r="F7854">
        <f>HYPERLINK("https://www.reddit.com/r/diabetes/comments/dz7sbl/sometimes_you_get_it_right/")</f>
        <v/>
      </c>
      <c r="G7854" t="inlineStr">
        <is>
          <t>2019-11-20 12:26:07</t>
        </is>
      </c>
      <c r="H7854" t="inlineStr">
        <is>
          <t>Type 1</t>
        </is>
      </c>
    </row>
    <row r="7855">
      <c r="A7855" t="inlineStr">
        <is>
          <t>dzbu4p</t>
        </is>
      </c>
      <c r="B7855" t="inlineStr">
        <is>
          <t>Finally saved up enough for a freestyle libre!</t>
        </is>
      </c>
      <c r="C7855" t="inlineStr">
        <is>
          <t>I'm so excited! Any tips or tricks I should know?</t>
        </is>
      </c>
      <c r="D7855" t="n">
        <v>1</v>
      </c>
      <c r="E7855" t="n">
        <v>0</v>
      </c>
      <c r="F7855">
        <f>HYPERLINK("https://www.reddit.com/r/diabetes/comments/dzbu4p/finally_saved_up_enough_for_a_freestyle_libre/")</f>
        <v/>
      </c>
      <c r="G7855" t="inlineStr">
        <is>
          <t>2019-11-20 17:33:30</t>
        </is>
      </c>
      <c r="H7855" t="inlineStr">
        <is>
          <t>Type 1</t>
        </is>
      </c>
    </row>
    <row r="7856">
      <c r="A7856" t="inlineStr">
        <is>
          <t>dzc4uq</t>
        </is>
      </c>
      <c r="B7856" t="inlineStr">
        <is>
          <t>Sudden Spike in Insulin Sensitivity?</t>
        </is>
      </c>
      <c r="C7856" t="inlineStr">
        <is>
          <t>I’m currently on a TSlim: X2 and use a Dexcom G6. For the past two weeks I’ve had a sharp increase in insulin sensitivity. I’ve got no idea why though. I haven’t changed any ratios and have been dosing just the same as usual. This past month I took an annual blood test and my doctor gave me a few vitamins; 1,000mcg of Active B12 with 800mcg of L-5-MTHF, 10,000 IU of D3, and a tablespoon of Liver COD Oil. I also take 40mg of Vyvanse daily for my ADHD along with 100-250mg of Modafinil off-label. I’m unaware of any affects that the medications/vitamins have on Type 1 Diabetes but if you do please let me know. I am usually in great control of my blood sugars, with an A1C of 6.4, but I don’t know why I’ve suddenly begun reacting to insulin so heavily lately. For example, my blood sugar was at 140 with two arrows up about 20 minutes ago and I then dosed 4 units of insulin and I topped out at 155. Now I’m at 75 with two arrows down. Please tell me if you can help or give me suggestions</t>
        </is>
      </c>
      <c r="D7856" t="n">
        <v>1</v>
      </c>
      <c r="E7856" t="n">
        <v>4</v>
      </c>
      <c r="F7856">
        <f>HYPERLINK("https://www.reddit.com/r/diabetes/comments/dzc4uq/sudden_spike_in_insulin_sensitivity/")</f>
        <v/>
      </c>
      <c r="G7856" t="inlineStr">
        <is>
          <t>2019-11-20 17:57:21</t>
        </is>
      </c>
      <c r="H7856" t="inlineStr">
        <is>
          <t>Type 1</t>
        </is>
      </c>
    </row>
    <row r="7857">
      <c r="A7857" t="inlineStr">
        <is>
          <t>dzeq5d</t>
        </is>
      </c>
      <c r="B7857" t="inlineStr">
        <is>
          <t>Potentially Switching to Kaiser for a Tandem Pump; also curious about Endos in SF/Bay Area</t>
        </is>
      </c>
      <c r="C7857" t="inlineStr">
        <is>
          <t>Hi There,
Looking for some advice from anyone who is on Kaiser about getting CGM coverage. Also if there are any thoughts on the Kaiser endocrinologists in the SF/Bay Area from anywhere here who happens to see them?
I am currently with UHC and would like a Tandem pump which is not covered, so am considering switching to Kaiser.
On the CGMs, I read a couple posts on this thread that Kaiser will ask for data on your BGs, but then usually will approve CGMs. Curious what other's experience has been? I definitely want to keep my Dexcom G6, which is covered by UHC.
Also curious for those on Kasier if getting the Tandem is any easier or harder than a medtronic pump. I have a really old Medtronic paradigm currently (not old enough to loop sadly). So am hoping to upgrade to take advantage of Tandem's BasalIQ (and eventually ControlIQ).
Given the Endo seems to have a lot of impact on getting CGM approval, curious if anyone works with a Kaiser Endo in the SF/Bay Area that they find especially good? I only see a couple online...
Thanks for the advice!</t>
        </is>
      </c>
      <c r="D7857" t="n">
        <v>1</v>
      </c>
      <c r="E7857" t="n">
        <v>4</v>
      </c>
      <c r="F7857">
        <f>HYPERLINK("https://www.reddit.com/r/diabetes/comments/dzeq5d/potentially_switching_to_kaiser_for_a_tandem_pump/")</f>
        <v/>
      </c>
      <c r="G7857" t="inlineStr">
        <is>
          <t>2019-11-20 21:39:44</t>
        </is>
      </c>
      <c r="H7857" t="inlineStr">
        <is>
          <t>Type 1</t>
        </is>
      </c>
    </row>
    <row r="7858">
      <c r="A7858" t="inlineStr">
        <is>
          <t>dzg7e3</t>
        </is>
      </c>
      <c r="B7858" t="inlineStr">
        <is>
          <t>Doctor appointments</t>
        </is>
      </c>
      <c r="C7858" t="inlineStr">
        <is>
          <t>My mental state during doctor appointments generally ranges between beyond low, am willing to kill myself at any moment just to get out of the hospital to IDGAF, everything is fine. 
Was diagnosed as a 1 y/o am now 27. Any ideas on emotion management during visits?
Tbh I would even visit the darn place if I could insulin otherwise.</t>
        </is>
      </c>
      <c r="D7858" t="n">
        <v>1</v>
      </c>
      <c r="E7858" t="n">
        <v>4</v>
      </c>
      <c r="F7858">
        <f>HYPERLINK("https://www.reddit.com/r/diabetes/comments/dzg7e3/doctor_appointments/")</f>
        <v/>
      </c>
      <c r="G7858" t="inlineStr">
        <is>
          <t>2019-11-21 00:16:49</t>
        </is>
      </c>
      <c r="H7858" t="inlineStr">
        <is>
          <t>Type 1</t>
        </is>
      </c>
    </row>
    <row r="7859">
      <c r="A7859" t="inlineStr">
        <is>
          <t>dzgue1</t>
        </is>
      </c>
      <c r="B7859" t="inlineStr">
        <is>
          <t>Kinda feel like a failure.</t>
        </is>
      </c>
      <c r="C7859" t="inlineStr">
        <is>
          <t>I always felt like I was invincible, that I could eat whatever I wanted and be fine. I am a little overweight but nothing crazy and I’m only 31. Well that all changed this weekend when I was hanging out in my kitchen after having a little bit of weed, and the next thing I knew I was on the floor covered in vomit, chewing what I thought was apples and peanut butter, surrounded by my wife and two friends, my dogs running around covered in my vomit. I thought, what just happened, it must just be me being a little high, why does it feel like I’m the center of attention now? 
I start spitting out what I was chewing, it was my own vomit, and I’m looking around at the towels and vomit everywhere, asking those around me in a dazed but overly calm tone, “What happened, what is all this?”
They all breathe a sigh of relief but are contemplating calling an ambulance, my pregnant wife is breathing heavily, her face painted with fear, and that worried me most since she’s a nurse and not much scares her, but she says “You’re gray. Do you remember what happened?” I explain I felt dizzy and a little light headed but I remember closing my eyes, the room spinning and the feeling that my jaw was harder to move as i tried to chew the peanut butter, and the next thing I remember was that I was on the floor. I stopped breathing, and was convulsing against the kitchen cabinet until my wife hit me on the back a few times and I finally took a breath, and finished vomiting. She saved my life, but I didn’t know that then. 
After two and a half agonizingly claustrophobic days in the hospital, they finally cleared me. The EEG, CT Scan, MRI, Echocardiogram, EKG, and constant blood pressure monitoring all came back fine, the doctors were stumped since I’ve had no history or family history of seizures but the worrisome original blood sugar when I arrived was 300. My A1C was an 8 and I went from being a happy soon to be father to a newly diagnosed type 3 diabetic. I was going home but I’d be doing so with some medication and monitoring of my blood sugar three times a day. I knew it could definitely be worse and I was putting on a front of positivity so everyone thinks I’m okay, but I’m not. I’m really not. 
Fast forward to today, I’m awake at 3:45 am lying in bed, with a mixture of fear, anger, and on the verge of tears because I feel like i failed myself, my wife, and my future family. I’ve fucked up so bad that now my family line will always have that history of diabetes. I can’t help but feel like if I had just listened to my inner self, maybe I could have avoided this, that now I’m a burden to myself and my family. I feel like a fat fucking slob, and I feel sorry for myself, even though deep down I know everything could be a lot worse. It’s only been a day, but this really sucks, I want a cigarette so bad, but I know I shouldn’t, and I just wish was all a bad dream. I don’t eat tons of sugar or drink tons of soda, I’m not morbidly obese but unknown I don’t drink enough water and exercise. This is all so hard for me because I love Japanese food, and food in general, and cooking is what brings me joy. I feel like I fucked it all up and won’t truly be able to cook and eat what I want until I do what I can to bring my numbers down and try and persevere.  I damn near almost cried last night when I ate half a cheese and mustard sandwich, realizing I had to really limit myself going forward.  I know I’m able to eat so much more but I’m really struggling with this notion that I have a disease that will never go away and I can only have myself to blame. 
If you read this whole stupid sob story and didn’t hate me right away, thank you for taking the time. This is horrible and I really don’t even know where to start. I know I need to for my wife and future child. This is just me facing the fact that I’m not invincible, and there really isn’t anything special about me.</t>
        </is>
      </c>
      <c r="D7859" t="n">
        <v>1</v>
      </c>
      <c r="E7859" t="n">
        <v>18</v>
      </c>
      <c r="F7859">
        <f>HYPERLINK("https://www.reddit.com/r/diabetes/comments/dzgue1/kinda_feel_like_a_failure/")</f>
        <v/>
      </c>
      <c r="G7859" t="inlineStr">
        <is>
          <t>2019-11-21 01:30:44</t>
        </is>
      </c>
      <c r="H7859" t="inlineStr">
        <is>
          <t>Type 2</t>
        </is>
      </c>
    </row>
    <row r="7860">
      <c r="A7860" t="inlineStr">
        <is>
          <t>dzju87</t>
        </is>
      </c>
      <c r="B7860" t="inlineStr">
        <is>
          <t>Blood sugar higher than usually and I don't know why</t>
        </is>
      </c>
      <c r="C7860" t="inlineStr">
        <is>
          <t>I was diagnosed 2 months ago and I've been on Metformin for a week. Since then my blood sugars after meals are around 120 most of the time (Before Metformin they were mostly around 160). But today after lunch (measured it two hours after eating) my blood sugar suddenly was 186. For lunch I had some very low carb pasta with tomato sauce, which I've had before without having any problems. I can't explain why my blood sugar suddenly climbed like this, my morning reading was 94 and as I said, I've had this pasta before and my blood sugar never reacted to it like this. Can anyone help me?</t>
        </is>
      </c>
      <c r="D7860" t="n">
        <v>1</v>
      </c>
      <c r="E7860" t="n">
        <v>9</v>
      </c>
      <c r="F7860">
        <f>HYPERLINK("https://www.reddit.com/r/diabetes/comments/dzju87/blood_sugar_higher_than_usually_and_i_dont_know/")</f>
        <v/>
      </c>
      <c r="G7860" t="inlineStr">
        <is>
          <t>2019-11-21 06:11:11</t>
        </is>
      </c>
      <c r="H7860" t="inlineStr">
        <is>
          <t>Type 2</t>
        </is>
      </c>
    </row>
    <row r="7861">
      <c r="A7861" t="inlineStr">
        <is>
          <t>dzjyri</t>
        </is>
      </c>
      <c r="B7861" t="inlineStr">
        <is>
          <t>Got Diagnosed as Type 2, 29 days Ago...</t>
        </is>
      </c>
      <c r="C7861" t="inlineStr">
        <is>
          <t>&amp;amp;#x200B;
[I found out on 10\/23\/19 I have type 2. A1C of 8.2. Weighted 230 pounds at 5'8, just wasn't living right at all. 29 days later 6.3 A1C!  I was in denial, but also scared. I quit smoking, eased up on drinking and cut the crap out of my calories and carbs. Meet with a Diabetic Nurse yesterday and figured, what the heck I know red blood cells live for an average of 90 days, but seeing any posistive results would motivate me more. Looks pretty good. Do have some Questions, She don't me that the hospital doesn't suggest Keto diet. I'm doing that right now, and feel like why stop if its working, what's her reasoning behind that? Also I am currently on 500 MG of Medformin extended release, I don't notice any side effects of taking it, is there any other downside to taking metformin, I guess I just don't get what it does.](https://preview.redd.it/3cqktrdgs1041.png?width=597&amp;amp;format=png&amp;amp;auto=webp&amp;amp;s=23494b48b656e787c7a14dd443dcc832ad758bdf)</t>
        </is>
      </c>
      <c r="D7861" t="n">
        <v>1</v>
      </c>
      <c r="E7861" t="n">
        <v>4</v>
      </c>
      <c r="F7861">
        <f>HYPERLINK("https://www.reddit.com/r/diabetes/comments/dzjyri/got_diagnosed_as_type_2_29_days_ago/")</f>
        <v/>
      </c>
      <c r="G7861" t="inlineStr">
        <is>
          <t>2019-11-21 06:21:04</t>
        </is>
      </c>
      <c r="H7861" t="inlineStr">
        <is>
          <t>Type 2</t>
        </is>
      </c>
    </row>
    <row r="7862">
      <c r="A7862" t="inlineStr">
        <is>
          <t>dzk68s</t>
        </is>
      </c>
      <c r="B7862" t="inlineStr">
        <is>
          <t>How to get mass for the gym?</t>
        </is>
      </c>
      <c r="C7862" t="inlineStr">
        <is>
          <t>I'm going to the gym and want to get more mass, but it somehow doesn't work. Is it because of the diabetes?</t>
        </is>
      </c>
      <c r="D7862" t="n">
        <v>1</v>
      </c>
      <c r="E7862" t="n">
        <v>3</v>
      </c>
      <c r="F7862">
        <f>HYPERLINK("https://www.reddit.com/r/diabetes/comments/dzk68s/how_to_get_mass_for_the_gym/")</f>
        <v/>
      </c>
      <c r="G7862" t="inlineStr">
        <is>
          <t>2019-11-21 06:37:10</t>
        </is>
      </c>
      <c r="H7862" t="inlineStr">
        <is>
          <t>Type 1</t>
        </is>
      </c>
    </row>
    <row r="7863">
      <c r="A7863" t="inlineStr">
        <is>
          <t>dzlmps</t>
        </is>
      </c>
      <c r="B7863" t="inlineStr">
        <is>
          <t>Twitch Charity Stream for the ADA with Giveaways</t>
        </is>
      </c>
      <c r="C7863" t="inlineStr">
        <is>
          <t>Every year I do a Twitch charity stream for the American Diabetes Association. I'm a type 1 who has worked as a game developer and I decided to use my passion for gaming to raise money for the ADA. I'll be streaming Friday (11/22) and Saturday (11/23) from 9am-9pm (PT) both days. For every $500 I raise I'll be giving away a game as well as other giveaways throughout the stream. Come watch on [my Twitch channel](https://www.twitch.tv/thesolidhair) or donate [here](http://main.diabetes.org/site/TR?px=10681213&amp;amp;fr_id=12878&amp;amp;pg=personal). Thanks!</t>
        </is>
      </c>
      <c r="D7863" t="n">
        <v>1</v>
      </c>
      <c r="E7863" t="n">
        <v>1</v>
      </c>
      <c r="F7863">
        <f>HYPERLINK("https://www.reddit.com/r/diabetes/comments/dzlmps/twitch_charity_stream_for_the_ada_with_giveaways/")</f>
        <v/>
      </c>
      <c r="G7863" t="inlineStr">
        <is>
          <t>2019-11-21 08:19:29</t>
        </is>
      </c>
      <c r="H7863" t="inlineStr">
        <is>
          <t>Type 1</t>
        </is>
      </c>
    </row>
    <row r="7864">
      <c r="A7864" t="inlineStr">
        <is>
          <t>dzt8ye</t>
        </is>
      </c>
      <c r="B7864" t="inlineStr">
        <is>
          <t>Omnipod Newbie, Beginners luck?</t>
        </is>
      </c>
      <c r="C7864" t="inlineStr">
        <is>
          <t>Hey all! So i've been a T1D for about 10 years now and just about 2 weeks ago switched to the Omnipod. Was super rough the first 4-5 days but it seems like everything is calming down now. My numbers have been incredibly steady and part of me feels like it's almost too good to be true as I have never had this good of control before. Have others had this good of an experience switching to a pump? Would you ever go back to daily injections? I'm not sure why no one ever recommended I be on a pump sooner. Hoping this good feeling lasts.</t>
        </is>
      </c>
      <c r="D7864" t="n">
        <v>1</v>
      </c>
      <c r="E7864" t="n">
        <v>6</v>
      </c>
      <c r="F7864">
        <f>HYPERLINK("https://www.reddit.com/r/diabetes/comments/dzt8ye/omnipod_newbie_beginners_luck/")</f>
        <v/>
      </c>
      <c r="G7864" t="inlineStr">
        <is>
          <t>2019-11-21 16:57:52</t>
        </is>
      </c>
      <c r="H7864" t="inlineStr">
        <is>
          <t>Type 1</t>
        </is>
      </c>
    </row>
    <row r="7865">
      <c r="A7865" t="inlineStr">
        <is>
          <t>dzutg1</t>
        </is>
      </c>
      <c r="B7865" t="inlineStr">
        <is>
          <t>Do you do anything for your diaversary?</t>
        </is>
      </c>
      <c r="C7865" t="inlineStr">
        <is>
          <t>As an adult, I celebrate my diaversary by eating a shit ton of whatever I want, as many carbs as I want. (With appropriate insulin)
I was diagnosed just about 21 years ago, a month after I turned 9. Back then things were super strict. I had to eat a set amount of carbs whether I was not hungry or super hungry. There was no flexibility. Missed out on birthday cake, holiday treats, candy. I had a weird relationship with food and poor control in my teens. I am good now, but I 'celebrate' with a big f you to diabetes.</t>
        </is>
      </c>
      <c r="D7865" t="n">
        <v>1</v>
      </c>
      <c r="E7865" t="n">
        <v>17</v>
      </c>
      <c r="F7865">
        <f>HYPERLINK("https://www.reddit.com/r/diabetes/comments/dzutg1/do_you_do_anything_for_your_diaversary/")</f>
        <v/>
      </c>
      <c r="G7865" t="inlineStr">
        <is>
          <t>2019-11-21 19:00:37</t>
        </is>
      </c>
      <c r="H7865" t="inlineStr">
        <is>
          <t>Type 1</t>
        </is>
      </c>
    </row>
    <row r="7866">
      <c r="A7866" t="inlineStr">
        <is>
          <t>dzvuts</t>
        </is>
      </c>
      <c r="B7866" t="inlineStr">
        <is>
          <t>My insurance is changing my insulin</t>
        </is>
      </c>
      <c r="C7866" t="inlineStr">
        <is>
          <t>I lost my company insurance, I am broke and on state insurance(Co).  I received a letter stating that I can not continue with humalog.  I asked my doctor to petition this but I still got denied. 
I don't like changing insulin for two major reasons First I am scared to change insulin because of the way my long acting insulin affected me..I was told by another diabetic that when he was on Lantus he was depressed and he got off it and it was like night and day.  I talked to my doctor and went from lantus to levimir and noticed a significant difference in my mood and depression.  I think it has something to do with how the insulin affects dopamine absorption, but the change in my mental state after switching was noticeable enough I didnt have to understand the science behind it, and my doctor thought it was all in my head. 
That was years ago...I am currently on a pump.
Being on a pump is my second reason not wanting to change.Does anyone have experience in changing insulin with a pump?  Do I have to change settings or just use it the way I have been?  I would asume I am getting novolog, will that work with my pump the same way ?
I am going to reach out to medtronic, and try and schedule a diabetes education appointment where maybe they will have answers...but the last time I went to one of them I felt like I knew more about the process than they did and ultimately had the wrong basal and bolus settings for a month before I could get in to seeing them to change it.
&amp;amp;#x200B;
Anyways, I freaking out a little bit.  I hate this shit</t>
        </is>
      </c>
      <c r="D7866" t="n">
        <v>1</v>
      </c>
      <c r="E7866" t="n">
        <v>6</v>
      </c>
      <c r="F7866">
        <f>HYPERLINK("https://www.reddit.com/r/diabetes/comments/dzvuts/my_insurance_is_changing_my_insulin/")</f>
        <v/>
      </c>
      <c r="G7866" t="inlineStr">
        <is>
          <t>2019-11-21 20:27:24</t>
        </is>
      </c>
      <c r="H7866" t="inlineStr">
        <is>
          <t>Type 1</t>
        </is>
      </c>
    </row>
    <row r="7867">
      <c r="A7867" t="inlineStr">
        <is>
          <t>e00zai</t>
        </is>
      </c>
      <c r="B7867" t="inlineStr">
        <is>
          <t>Doing study for type 1</t>
        </is>
      </c>
      <c r="C7867" t="inlineStr">
        <is>
          <t>So I was diagnosed around the beginning of October, and while I was in the hospital, they asked me if I wanted to participate in a study and me and my parents thought over it and we decided that we would, and now it’s the 10th day of the study and I have 2 more to go. The study is basically trying to make the “honeymoon period” last for longer, the medicine distracts the immune system so the beta cells can last for longer. The study is done by “Teresa quattrin MD”  so you can search her up.</t>
        </is>
      </c>
      <c r="D7867" t="n">
        <v>1</v>
      </c>
      <c r="E7867" t="n">
        <v>12</v>
      </c>
      <c r="F7867">
        <f>HYPERLINK("https://www.reddit.com/r/diabetes/comments/e00zai/doing_study_for_type_1/")</f>
        <v/>
      </c>
      <c r="G7867" t="inlineStr">
        <is>
          <t>2019-11-22 05:29:21</t>
        </is>
      </c>
      <c r="H7867" t="inlineStr">
        <is>
          <t>Type 1</t>
        </is>
      </c>
    </row>
    <row r="7868">
      <c r="A7868" t="inlineStr">
        <is>
          <t>e01pks</t>
        </is>
      </c>
      <c r="B7868" t="inlineStr">
        <is>
          <t>Omnipod not delivering insulin??</t>
        </is>
      </c>
      <c r="C7868" t="inlineStr">
        <is>
          <t>Just a question for my fellow podders, would you know if the Omnipod wasn't delivering insulin? Would the pod alert you??</t>
        </is>
      </c>
      <c r="D7868" t="n">
        <v>1</v>
      </c>
      <c r="E7868" t="n">
        <v>11</v>
      </c>
      <c r="F7868">
        <f>HYPERLINK("https://www.reddit.com/r/diabetes/comments/e01pks/omnipod_not_delivering_insulin/")</f>
        <v/>
      </c>
      <c r="G7868" t="inlineStr">
        <is>
          <t>2019-11-22 06:29:35</t>
        </is>
      </c>
      <c r="H7868" t="inlineStr">
        <is>
          <t>Type 1</t>
        </is>
      </c>
    </row>
    <row r="7869">
      <c r="A7869" t="inlineStr">
        <is>
          <t>e09omu</t>
        </is>
      </c>
      <c r="B7869" t="inlineStr">
        <is>
          <t>Going to the gym</t>
        </is>
      </c>
      <c r="C7869" t="inlineStr">
        <is>
          <t>Regularly when I go to the rec center, I have to consume more calories than I burn just to keep my numbers up so I can finish my workout. It’s definitely more difficult to successfully go to the gym if you’re diabetic, but is anyone having the same problem I am?</t>
        </is>
      </c>
      <c r="D7869" t="n">
        <v>1</v>
      </c>
      <c r="E7869" t="n">
        <v>4</v>
      </c>
      <c r="F7869">
        <f>HYPERLINK("https://www.reddit.com/r/diabetes/comments/e09omu/going_to_the_gym/")</f>
        <v/>
      </c>
      <c r="G7869" t="inlineStr">
        <is>
          <t>2019-11-22 15:53:18</t>
        </is>
      </c>
      <c r="H7869" t="inlineStr">
        <is>
          <t>Type 1</t>
        </is>
      </c>
    </row>
    <row r="7870">
      <c r="A7870" t="inlineStr">
        <is>
          <t>e09wmi</t>
        </is>
      </c>
      <c r="B7870" t="inlineStr">
        <is>
          <t>Advice and all.</t>
        </is>
      </c>
      <c r="C7870" t="inlineStr">
        <is>
          <t>I’m about to transition to a freestyle libre, any advice or things I should be aware about? I’m on pens but I’ve used a pump in the past so I’m familiar with the concept of a port.</t>
        </is>
      </c>
      <c r="D7870" t="n">
        <v>1</v>
      </c>
      <c r="E7870" t="n">
        <v>8</v>
      </c>
      <c r="F7870">
        <f>HYPERLINK("https://www.reddit.com/r/diabetes/comments/e09wmi/advice_and_all/")</f>
        <v/>
      </c>
      <c r="G7870" t="inlineStr">
        <is>
          <t>2019-11-22 16:09:48</t>
        </is>
      </c>
      <c r="H7870" t="inlineStr">
        <is>
          <t>Type 1</t>
        </is>
      </c>
    </row>
    <row r="7871">
      <c r="A7871" t="inlineStr">
        <is>
          <t>e0dn17</t>
        </is>
      </c>
      <c r="B7871" t="inlineStr">
        <is>
          <t>*ADVICE: abscesses!! urgent!</t>
        </is>
      </c>
      <c r="C7871" t="inlineStr">
        <is>
          <t>TLDR; am abscess directly above my eye drained inside my body, and not sure how to go about it. Need advice. 
I’m a 21yr old diabetic (diagnosed at 5) who has been experiencing frequent abscesses since I was 18 (uncontrolled diabetes). I started developing the abscesses on my face a few months ago, and about 2 weeks ago I got one right above my eye (below my eyebrow, within my orbital socket). I tried to puncture it on the white head and missed, and punctured a random spot. It proceeded to drain inside my body. It is half deflated (as it often does even when draining outside the body) and my nose stuffed up and my eyes got swollen and puffy. It’s been about 6 hours since this occurred. I feel okay, but not sure how to go about this. Is this dangerous? Should I see a doctor? Need advice</t>
        </is>
      </c>
      <c r="D7871" t="n">
        <v>1</v>
      </c>
      <c r="E7871" t="n">
        <v>10</v>
      </c>
      <c r="F7871">
        <f>HYPERLINK("https://www.reddit.com/r/diabetes/comments/e0dn17/advice_abscesses_urgent/")</f>
        <v/>
      </c>
      <c r="G7871" t="inlineStr">
        <is>
          <t>2019-11-22 21:31:53</t>
        </is>
      </c>
      <c r="H7871" t="inlineStr">
        <is>
          <t>Type 1</t>
        </is>
      </c>
    </row>
    <row r="7872">
      <c r="A7872" t="inlineStr">
        <is>
          <t>e0gqbd</t>
        </is>
      </c>
      <c r="B7872" t="inlineStr">
        <is>
          <t>Incorrect Sensor Code - G6?</t>
        </is>
      </c>
      <c r="C7872" t="inlineStr">
        <is>
          <t>Out of curiosity, does anyone know what happens if you enter the wrong sensor code when starting a new sensor? I just changed mine and had an old code hanging around (I try to make sure my new sensor has a different code from the previous since sometimes I get the "no restarts" error when I start a new sensor with the same code as the previous one), but am 99.9999% sure I used the correct new one. But just curious what happens if the wrong one were used.</t>
        </is>
      </c>
      <c r="D7872" t="n">
        <v>1</v>
      </c>
      <c r="E7872" t="n">
        <v>2</v>
      </c>
      <c r="F7872">
        <f>HYPERLINK("https://www.reddit.com/r/diabetes/comments/e0gqbd/incorrect_sensor_code_g6/")</f>
        <v/>
      </c>
      <c r="G7872" t="inlineStr">
        <is>
          <t>2019-11-23 03:27:33</t>
        </is>
      </c>
      <c r="H7872" t="inlineStr">
        <is>
          <t>Type 1</t>
        </is>
      </c>
    </row>
    <row r="7873">
      <c r="A7873" t="inlineStr">
        <is>
          <t>e0nz1b</t>
        </is>
      </c>
      <c r="B7873" t="inlineStr">
        <is>
          <t>Food suggestions?</t>
        </is>
      </c>
      <c r="C7873" t="inlineStr">
        <is>
          <t>Does anyone have any food suggestions to eat before going to the gym? I always try to eat something before going to the gym. I'll normally eat a sandwich but even after the gym my bg is still too high. Last night I didn't eating anything and my bg was 160 and after 45 minutes I had to stop cause I was close to going low. So any suggestions? I know everyones diabetes is different and foods will effect each person differently just thought I'd tried some out. I'm also still new to being diabetic. Was diagnosed almost 3 months ago?</t>
        </is>
      </c>
      <c r="D7873" t="n">
        <v>1</v>
      </c>
      <c r="E7873" t="n">
        <v>4</v>
      </c>
      <c r="F7873">
        <f>HYPERLINK("https://www.reddit.com/r/diabetes/comments/e0nz1b/food_suggestions/")</f>
        <v/>
      </c>
      <c r="G7873" t="inlineStr">
        <is>
          <t>2019-11-23 12:55:32</t>
        </is>
      </c>
      <c r="H7873" t="inlineStr">
        <is>
          <t>Type 1</t>
        </is>
      </c>
    </row>
    <row r="7874">
      <c r="A7874" t="inlineStr">
        <is>
          <t>e0pk69</t>
        </is>
      </c>
      <c r="B7874" t="inlineStr">
        <is>
          <t>Nightscout data export and visualisation for better Diabetes Type 1 control</t>
        </is>
      </c>
      <c r="C7874" t="inlineStr">
        <is>
          <t>Hi guys,
I have an idea how easily to visualise and optimise the control of my DT1.
And yes, the Reports tab is cool, but this would make the whole picture much clearer and help many people have better control and at the end feel better in the long run.
**Question:** is there a way to export the data from Nightscout into Google Sheets? 
**Idea:** 
1. Set up an automatic export of the data into Sheets (if possible in real time or on a daily basis)
2. Create an Google Data Studio dashboard/s, with specific charts and graphics (this is highly customisable)
3. Connect Sheets with Data Studio and make all visualisation settings
*and* *voilà...*
**Now we can easily see trends, calculate more complex metrics indicating the success of the DT1 control and make changes in the food/treatments/exercise and lifestyle in general.** 
See the screenshot and imagine having metrics like:
\- HbA1C trends - daily, monthly, quarterly etc;- daily insulin dosage from the beginning the year
\- low/normal/high hourly/daily rates YTD 
 time and tension of exercise; grams of carbs trends)
I thought about using an **API** to pull the data from the data base, but I'm not sure if this is technically possible.
How do you think, is it manageable? 
All ideas would be highly appreciated!</t>
        </is>
      </c>
      <c r="D7874" t="n">
        <v>1</v>
      </c>
      <c r="E7874" t="n">
        <v>10</v>
      </c>
      <c r="F7874">
        <f>HYPERLINK("https://www.reddit.com/r/diabetes/comments/e0pk69/nightscout_data_export_and_visualisation_for/")</f>
        <v/>
      </c>
      <c r="G7874" t="inlineStr">
        <is>
          <t>2019-11-23 14:50:21</t>
        </is>
      </c>
      <c r="H7874" t="inlineStr">
        <is>
          <t>Type 1</t>
        </is>
      </c>
    </row>
    <row r="7875">
      <c r="A7875" t="inlineStr">
        <is>
          <t>e0qdnw</t>
        </is>
      </c>
      <c r="B7875" t="inlineStr">
        <is>
          <t>Anyone notice a difference between meal size and blood glucose levels?</t>
        </is>
      </c>
      <c r="C7875" t="inlineStr">
        <is>
          <t>I've been searching for answers online,  it is crazy how conflicting the info was.  Some say blood sugar should rise by a similar amount no matter what the size of the meal was.</t>
        </is>
      </c>
      <c r="D7875" t="n">
        <v>1</v>
      </c>
      <c r="E7875" t="n">
        <v>0</v>
      </c>
      <c r="F7875">
        <f>HYPERLINK("https://www.reddit.com/r/diabetes/comments/e0qdnw/anyone_notice_a_difference_between_meal_size_and/")</f>
        <v/>
      </c>
      <c r="G7875" t="inlineStr">
        <is>
          <t>2019-11-23 15:51:06</t>
        </is>
      </c>
      <c r="H7875" t="inlineStr">
        <is>
          <t>Type 2</t>
        </is>
      </c>
    </row>
    <row r="7876">
      <c r="A7876" t="inlineStr">
        <is>
          <t>e0t00n</t>
        </is>
      </c>
      <c r="B7876" t="inlineStr">
        <is>
          <t>Insulin pump</t>
        </is>
      </c>
      <c r="C7876" t="inlineStr">
        <is>
          <t>Just joined the community here and am a type 1 living in Australia, diagnosed about 2.5 years ago.
Just wanted some peoples opinions on pumps as I haven't really had a proper chat with a endo or GP as they said when I was first diagnosed to "see how I go" first with regular methods.
Is it as easy as plug in and you can now eat whatever you want? 
Do they also monitor sugar levels and auto inject insulin?
Brands? are there certain brands to look for that are better?
Can you eat whatever foods you want and the pump will work most of it out for you, or is it not as easy as that?
Alot of questions but would appreciate any advise from anyone who uses these as my levels haven't been great recently and would love some thoughts on what to do.
&amp;amp;#x200B;
Thankyou again</t>
        </is>
      </c>
      <c r="D7876" t="n">
        <v>1</v>
      </c>
      <c r="E7876" t="n">
        <v>7</v>
      </c>
      <c r="F7876">
        <f>HYPERLINK("https://www.reddit.com/r/diabetes/comments/e0t00n/insulin_pump/")</f>
        <v/>
      </c>
      <c r="G7876" t="inlineStr">
        <is>
          <t>2019-11-23 19:22:23</t>
        </is>
      </c>
      <c r="H7876" t="inlineStr">
        <is>
          <t>Type 1</t>
        </is>
      </c>
    </row>
    <row r="7877">
      <c r="A7877" t="inlineStr">
        <is>
          <t>e0utg3</t>
        </is>
      </c>
      <c r="B7877" t="inlineStr">
        <is>
          <t>This is going to suck...</t>
        </is>
      </c>
      <c r="C7877" t="inlineStr">
        <is>
          <t>Well I'm gonna have a fun next two hours. I had some packaged bologna and a slimfast keto bar a little bit ago. Checked my blood sugar because I figured I would need to correct for the carbs in the bologna...373...wtf? Took a dose to correct but decided to double check...253. well...shit. already corrected for the 373...just waiting for the impending doom crash now!</t>
        </is>
      </c>
      <c r="D7877" t="n">
        <v>1</v>
      </c>
      <c r="E7877" t="n">
        <v>5</v>
      </c>
      <c r="F7877">
        <f>HYPERLINK("https://www.reddit.com/r/diabetes/comments/e0utg3/this_is_going_to_suck/")</f>
        <v/>
      </c>
      <c r="G7877" t="inlineStr">
        <is>
          <t>2019-11-23 22:14:48</t>
        </is>
      </c>
      <c r="H7877" t="inlineStr">
        <is>
          <t>Type 1</t>
        </is>
      </c>
    </row>
    <row r="7878">
      <c r="A7878" t="inlineStr">
        <is>
          <t>e0zkbx</t>
        </is>
      </c>
      <c r="B7878" t="inlineStr">
        <is>
          <t>Using syringe to get insulin out of pens?</t>
        </is>
      </c>
      <c r="C7878" t="inlineStr">
        <is>
          <t>I recently switched over to an Omnipod from MDI. I have a huge supply of left over Novolog pens...has anyone ever tried getting insulin out of the pens with a syringe to then fill an omnipod or pump cartridge? I would rather not waste all of the left over insulin I have if I don't have to.</t>
        </is>
      </c>
      <c r="D7878" t="n">
        <v>1</v>
      </c>
      <c r="E7878" t="n">
        <v>6</v>
      </c>
      <c r="F7878">
        <f>HYPERLINK("https://www.reddit.com/r/diabetes/comments/e0zkbx/using_syringe_to_get_insulin_out_of_pens/")</f>
        <v/>
      </c>
      <c r="G7878" t="inlineStr">
        <is>
          <t>2019-11-24 07:06:05</t>
        </is>
      </c>
      <c r="H7878" t="inlineStr">
        <is>
          <t>Type 1</t>
        </is>
      </c>
    </row>
    <row r="7879">
      <c r="A7879" t="inlineStr">
        <is>
          <t>e13vyf</t>
        </is>
      </c>
      <c r="B7879" t="inlineStr">
        <is>
          <t>Can we grow old?</t>
        </is>
      </c>
      <c r="C7879" t="inlineStr">
        <is>
          <t>I‘ve been a diabetic for 22 years now (Diagnosed at 2 years old). Though I don‘t have any issues with eyes, kidneys etc. I become increasingly worried about problems this shitty disease may cause.
Do you know people who lived with diabetes for 70+ years without big complications?  I could really use some encouragement right now..
And any other tips other than keeping A1C and blood pressure low?</t>
        </is>
      </c>
      <c r="D7879" t="n">
        <v>1</v>
      </c>
      <c r="E7879" t="n">
        <v>16</v>
      </c>
      <c r="F7879">
        <f>HYPERLINK("https://www.reddit.com/r/diabetes/comments/e13vyf/can_we_grow_old/")</f>
        <v/>
      </c>
      <c r="G7879" t="inlineStr">
        <is>
          <t>2019-11-24 12:13:01</t>
        </is>
      </c>
      <c r="H7879" t="inlineStr">
        <is>
          <t>Type 1</t>
        </is>
      </c>
    </row>
    <row r="7880">
      <c r="A7880" t="inlineStr">
        <is>
          <t>e13xuz</t>
        </is>
      </c>
      <c r="B7880" t="inlineStr">
        <is>
          <t>School Project - Type 1 Diabetes Survey</t>
        </is>
      </c>
      <c r="C7880" t="inlineStr">
        <is>
          <t>I am conducting a survey as part of a senior project for college. I am surveying people with type 1 diabetes. Participation in this survey is completely voluntary and all responses are anonymous; no identifying information will be retained. No compensation will be provided to participants. If you would like to participate or know someone who may be interested, please click on the link below and follow the instructions for the survey.  
Thank you so much!
[https://tourocollege.az1.qualtrics.com/jfe/form/SV\_3EH5sJyDxcDvziR](https://tourocollege.az1.qualtrics.com/jfe/form/SV_3EH5sJyDxcDvziR)</t>
        </is>
      </c>
      <c r="D7880" t="n">
        <v>1</v>
      </c>
      <c r="E7880" t="n">
        <v>2</v>
      </c>
      <c r="F7880">
        <f>HYPERLINK("https://www.reddit.com/r/diabetes/comments/e13xuz/school_project_type_1_diabetes_survey/")</f>
        <v/>
      </c>
      <c r="G7880" t="inlineStr">
        <is>
          <t>2019-11-24 12:16:39</t>
        </is>
      </c>
      <c r="H7880" t="inlineStr">
        <is>
          <t>Type 1</t>
        </is>
      </c>
    </row>
    <row r="7881">
      <c r="A7881" t="inlineStr">
        <is>
          <t>e15559</t>
        </is>
      </c>
      <c r="B7881" t="inlineStr">
        <is>
          <t>My neighbor who has a diabetic daughter my age just gave me a bag of 370 needle tips, and about 8 boxes of alcohol wipes since i'm struggling financially..</t>
        </is>
      </c>
      <c r="C7881" t="inlineStr">
        <is>
          <t>People like this, are the best. I am so thankful for this and knowing people like this are near me and understand it makes me so so so happy.</t>
        </is>
      </c>
      <c r="D7881" t="n">
        <v>1</v>
      </c>
      <c r="E7881" t="n">
        <v>10</v>
      </c>
      <c r="F7881">
        <f>HYPERLINK("https://www.reddit.com/r/diabetes/comments/e15559/my_neighbor_who_has_a_diabetic_daughter_my_age/")</f>
        <v/>
      </c>
      <c r="G7881" t="inlineStr">
        <is>
          <t>2019-11-24 13:35:52</t>
        </is>
      </c>
      <c r="H7881" t="inlineStr">
        <is>
          <t>Type 1</t>
        </is>
      </c>
    </row>
    <row r="7882">
      <c r="A7882" t="inlineStr">
        <is>
          <t>e157di</t>
        </is>
      </c>
      <c r="B7882" t="inlineStr">
        <is>
          <t>Hello Type 1</t>
        </is>
      </c>
      <c r="C7882" t="inlineStr">
        <is>
          <t>Hello,
Was diagnosed with type 2 about 3 weeks ago. Ran some additional tests. Now it looks like Late Onset Type 1. GAD 65 Antibody test result of 711.4. Wildly out of range. 
Anyone else had a similar test result?</t>
        </is>
      </c>
      <c r="D7882" t="n">
        <v>1</v>
      </c>
      <c r="E7882" t="n">
        <v>7</v>
      </c>
      <c r="F7882">
        <f>HYPERLINK("https://www.reddit.com/r/diabetes/comments/e157di/hello_type_1/")</f>
        <v/>
      </c>
      <c r="G7882" t="inlineStr">
        <is>
          <t>2019-11-24 13:39:52</t>
        </is>
      </c>
      <c r="H7882" t="inlineStr">
        <is>
          <t>Type 1</t>
        </is>
      </c>
    </row>
    <row r="7883">
      <c r="A7883" t="inlineStr">
        <is>
          <t>e166tw</t>
        </is>
      </c>
      <c r="B7883" t="inlineStr">
        <is>
          <t>Movie mistakes</t>
        </is>
      </c>
      <c r="C7883" t="inlineStr">
        <is>
          <t>Rant - ooh this drives me nuts. 
I have just watched "A stranger outside" (A babysitters nightmare) and the medical mistakes mad me mad.
The kid in the movie is type 1 and has "cheat days"?!?!?!!!
Then when he is hypoglycemic his babysitter gives him insulin. If course he is instantly ok rather than dying. 
There were more errors but those two drive me crazy. No wonder the general population think we need insulin if hypo for god's sake!!!
Rant over.</t>
        </is>
      </c>
      <c r="D7883" t="n">
        <v>1</v>
      </c>
      <c r="E7883" t="n">
        <v>3</v>
      </c>
      <c r="F7883">
        <f>HYPERLINK("https://www.reddit.com/r/diabetes/comments/e166tw/movie_mistakes/")</f>
        <v/>
      </c>
      <c r="G7883" t="inlineStr">
        <is>
          <t>2019-11-24 14:42:52</t>
        </is>
      </c>
      <c r="H7883" t="inlineStr">
        <is>
          <t>Type 1</t>
        </is>
      </c>
    </row>
    <row r="7884">
      <c r="A7884" t="inlineStr">
        <is>
          <t>e191xi</t>
        </is>
      </c>
      <c r="B7884" t="inlineStr">
        <is>
          <t>MDI Strategy for Dawn Phenomenon?</t>
        </is>
      </c>
      <c r="C7884" t="inlineStr">
        <is>
          <t xml:space="preserve"> Hi, everyone. I'm a long-time Type 1 on MDI (multiple daily injections). Take Tresiba for basal twice daily. Novolog pre-meals. My A1C is 5.5.
Things going fine ... except for that darned Dawn Phenomenon. I literally get out of bed at 5:30 a.m. with decent sugar readings on my CGM ... example, 80 ... and then it immediately starts going up. So I've been taking a unit of Novolog right away. This works ... kinda. Sometimes the BG rise happens even before I wake up, and then I have to chase it all morning. Argh.
Does anyone have any strategy to take care of this issue? I really don't want to go on the pump.
Thanks very much!</t>
        </is>
      </c>
      <c r="D7884" t="n">
        <v>1</v>
      </c>
      <c r="E7884" t="n">
        <v>8</v>
      </c>
      <c r="F7884">
        <f>HYPERLINK("https://www.reddit.com/r/diabetes/comments/e191xi/mdi_strategy_for_dawn_phenomenon/")</f>
        <v/>
      </c>
      <c r="G7884" t="inlineStr">
        <is>
          <t>2019-11-24 18:12:47</t>
        </is>
      </c>
      <c r="H7884" t="inlineStr">
        <is>
          <t>Type 1</t>
        </is>
      </c>
    </row>
    <row r="7885">
      <c r="A7885" t="inlineStr">
        <is>
          <t>e1bq4l</t>
        </is>
      </c>
      <c r="B7885" t="inlineStr">
        <is>
          <t>To People That Want To Start DIABETES BREAKFAST RECIPES But Are Affraid To Get Started</t>
        </is>
      </c>
      <c r="C7885" t="inlineStr">
        <is>
          <t>[https://reviewsatproducts.blogspot.com/2019/11/to-people-that-want-to-start-diabetes.html](https://reviewsatproducts.blogspot.com/2019/11/to-people-that-want-to-start-diabetes.html)
 Start the day with a healthy **diabetes breakfast recipes** that will benefit almost everyone. This healthy habit is especially important for people with diabetes. There is even evidence that eating a healthy breakfast can help with weight loss, which can positively improve blood glucose control and insulin sensitivity.
![video](ie0i3ympvr041 "Diabetes breakfast recipes")</t>
        </is>
      </c>
      <c r="D7885" t="n">
        <v>1</v>
      </c>
      <c r="E7885" t="n">
        <v>3</v>
      </c>
      <c r="F7885">
        <f>HYPERLINK("https://www.reddit.com/r/diabetes/comments/e1bq4l/to_people_that_want_to_start_diabetes_breakfast/")</f>
        <v/>
      </c>
      <c r="G7885" t="inlineStr">
        <is>
          <t>2019-11-24 22:00:57</t>
        </is>
      </c>
      <c r="H7885" t="inlineStr">
        <is>
          <t>Type 2</t>
        </is>
      </c>
    </row>
    <row r="7886">
      <c r="A7886" t="inlineStr">
        <is>
          <t>e1d8ft</t>
        </is>
      </c>
      <c r="B7886" t="inlineStr">
        <is>
          <t>(story) my worst low bsl</t>
        </is>
      </c>
      <c r="C7886" t="inlineStr">
        <is>
          <t>Apart from the time I had a seizure. By far my worst low bsl occurred when I was 13 during diabetes camp. I remember waking up during the night extremely sweaty and confused. I knew I had a low blood sugar and had to do something about it. I climbed off the top bunk (tried to) only to fall off it. I crawled to the door of the cabin and thats about as far as I got before I ran out of energy. I remember feeling so sleepy that I just forgot about my low BSL and started slipping to sleep. I remember laying down for I think maybe 10 minutes until one of the night watch people who were doing night bsl checks saw me laying on the floor. They asked me if I was alright? (no? duh) I looked up at them then blurted out "Im low" and rested my head back down and closed my eyes knowing I would be safe. Apparently I fell asleep a few times when they were getting the lollies for me. Pretty scary but glad im ok today as I think that easily could've ended up in me fitting if they were not doing a night check.</t>
        </is>
      </c>
      <c r="D7886" t="n">
        <v>1</v>
      </c>
      <c r="E7886" t="n">
        <v>0</v>
      </c>
      <c r="F7886">
        <f>HYPERLINK("https://www.reddit.com/r/diabetes/comments/e1d8ft/story_my_worst_low_bsl/")</f>
        <v/>
      </c>
      <c r="G7886" t="inlineStr">
        <is>
          <t>2019-11-25 00:40:24</t>
        </is>
      </c>
      <c r="H7886" t="inlineStr">
        <is>
          <t>Type 1</t>
        </is>
      </c>
    </row>
    <row r="7887">
      <c r="A7887" t="inlineStr">
        <is>
          <t>e1geag</t>
        </is>
      </c>
      <c r="B7887" t="inlineStr">
        <is>
          <t>Scared</t>
        </is>
      </c>
      <c r="C7887" t="inlineStr">
        <is>
          <t>So I just got my retinal screen back. I have minor retinopathy. Haven't been managing well too much shit food. How serious is this am I fucked. T1 about 7 years hba1c down to 59 last check.</t>
        </is>
      </c>
      <c r="D7887" t="n">
        <v>1</v>
      </c>
      <c r="E7887" t="n">
        <v>3</v>
      </c>
      <c r="F7887">
        <f>HYPERLINK("https://www.reddit.com/r/diabetes/comments/e1geag/scared/")</f>
        <v/>
      </c>
      <c r="G7887" t="inlineStr">
        <is>
          <t>2019-11-25 05:57:54</t>
        </is>
      </c>
      <c r="H7887" t="inlineStr">
        <is>
          <t>Type 1</t>
        </is>
      </c>
    </row>
    <row r="7888">
      <c r="A7888" t="inlineStr">
        <is>
          <t>e1gpo6</t>
        </is>
      </c>
      <c r="B7888" t="inlineStr">
        <is>
          <t>Anyone is Texas</t>
        </is>
      </c>
      <c r="C7888" t="inlineStr">
        <is>
          <t>Hey There,
New Type 1 looking for lots of information before the year-end (and the end of open enrollment for insurance).
What's the best private insurance for folks with Diabetes in Texas? Hubby is self-employed.
Any info offered will be greatly appreciated.</t>
        </is>
      </c>
      <c r="D7888" t="n">
        <v>1</v>
      </c>
      <c r="E7888" t="n">
        <v>13</v>
      </c>
      <c r="F7888">
        <f>HYPERLINK("https://www.reddit.com/r/diabetes/comments/e1gpo6/anyone_is_texas/")</f>
        <v/>
      </c>
      <c r="G7888" t="inlineStr">
        <is>
          <t>2019-11-25 06:24:02</t>
        </is>
      </c>
      <c r="H7888" t="inlineStr">
        <is>
          <t>Type 1</t>
        </is>
      </c>
    </row>
    <row r="7889">
      <c r="A7889" t="inlineStr">
        <is>
          <t>e1huva</t>
        </is>
      </c>
      <c r="B7889" t="inlineStr">
        <is>
          <t>Help me cope</t>
        </is>
      </c>
      <c r="C7889" t="inlineStr">
        <is>
          <t>Hi,
I first know that I have diabetes 3 years ago when I was 18 years old.
But since then I couldn't control it. My blood sugar  for most time high and some night very low.
Any advice?</t>
        </is>
      </c>
      <c r="D7889" t="n">
        <v>1</v>
      </c>
      <c r="E7889" t="n">
        <v>6</v>
      </c>
      <c r="F7889">
        <f>HYPERLINK("https://www.reddit.com/r/diabetes/comments/e1huva/help_me_cope/")</f>
        <v/>
      </c>
      <c r="G7889" t="inlineStr">
        <is>
          <t>2019-11-25 07:50:35</t>
        </is>
      </c>
      <c r="H7889" t="inlineStr">
        <is>
          <t>Type 1</t>
        </is>
      </c>
    </row>
    <row r="7890">
      <c r="A7890" t="inlineStr">
        <is>
          <t>e1j7lx</t>
        </is>
      </c>
      <c r="B7890" t="inlineStr">
        <is>
          <t>should I toss out old Humalog?</t>
        </is>
      </c>
      <c r="C7890" t="inlineStr">
        <is>
          <t>I just completed a research study for the past four months where the insulin was provided for me. Now that it's over I still have Humalog from August still in my fridge. As much as I hate to waste it, I've been warned it will go bad after 30 days. Has anyone used "old" insulin and have it still work effectively?</t>
        </is>
      </c>
      <c r="D7890" t="n">
        <v>1</v>
      </c>
      <c r="E7890" t="n">
        <v>4</v>
      </c>
      <c r="F7890">
        <f>HYPERLINK("https://www.reddit.com/r/diabetes/comments/e1j7lx/should_i_toss_out_old_humalog/")</f>
        <v/>
      </c>
      <c r="G7890" t="inlineStr">
        <is>
          <t>2019-11-25 09:21:56</t>
        </is>
      </c>
      <c r="H7890" t="inlineStr">
        <is>
          <t>Type 1</t>
        </is>
      </c>
    </row>
    <row r="7891">
      <c r="A7891" t="inlineStr">
        <is>
          <t>e1mlhi</t>
        </is>
      </c>
      <c r="B7891" t="inlineStr">
        <is>
          <t>Can I risk getting diabetes type 2 if suddenly just stop eating alot of sugar?</t>
        </is>
      </c>
      <c r="C7891" t="inlineStr">
        <is>
          <t>I feel like I'm eating a lot of sugar, and I'm scared of my health. I have hear that your body get used to getting slot of insulin, and if you don't get what your body is used to, you can get diabetes.</t>
        </is>
      </c>
      <c r="D7891" t="n">
        <v>1</v>
      </c>
      <c r="E7891" t="n">
        <v>2</v>
      </c>
      <c r="F7891">
        <f>HYPERLINK("https://www.reddit.com/r/diabetes/comments/e1mlhi/can_i_risk_getting_diabetes_type_2_if_suddenly/")</f>
        <v/>
      </c>
      <c r="G7891" t="inlineStr">
        <is>
          <t>2019-11-25 12:58:40</t>
        </is>
      </c>
      <c r="H7891" t="inlineStr">
        <is>
          <t>Type 2</t>
        </is>
      </c>
    </row>
    <row r="7892">
      <c r="A7892" t="inlineStr">
        <is>
          <t>e1nu4u</t>
        </is>
      </c>
      <c r="B7892" t="inlineStr">
        <is>
          <t>should i switch from medtronic to tslim?</t>
        </is>
      </c>
      <c r="C7892" t="inlineStr">
        <is>
          <t>I have been using the Medtronic pump with the closed loop system for a couple years now. When it works, it works decently. Unfortunately, I find myself out of Automode for about 80% of the time because the CGM fails quickly or never even accepts my calibrations (even when I am in range). I have tried replacing equipment and nothing seems to be working. I know I want to switch back to Dexcom. 
My warranty is not up for a year, so is it worth switching to the tslim?</t>
        </is>
      </c>
      <c r="D7892" t="n">
        <v>1</v>
      </c>
      <c r="E7892" t="n">
        <v>2</v>
      </c>
      <c r="F7892">
        <f>HYPERLINK("https://www.reddit.com/r/diabetes/comments/e1nu4u/should_i_switch_from_medtronic_to_tslim/")</f>
        <v/>
      </c>
      <c r="G7892" t="inlineStr">
        <is>
          <t>2019-11-25 14:18:49</t>
        </is>
      </c>
      <c r="H7892" t="inlineStr">
        <is>
          <t>Type 1</t>
        </is>
      </c>
    </row>
    <row r="7893">
      <c r="A7893" t="inlineStr">
        <is>
          <t>e1pe1v</t>
        </is>
      </c>
      <c r="B7893" t="inlineStr">
        <is>
          <t>I think I suck at injecting</t>
        </is>
      </c>
      <c r="C7893" t="inlineStr">
        <is>
          <t>Hi reddit, I was doagnosed with type one about a month ago, and in that time i have come to the conclusion that i suck at injecting insulin, by which i mean it hurts a lot.
Now i dont mind the 'sharp scratch' of the needle going in, but more often than not, a few seconds into injecting, i get an intense searing pain like muscle cramps.
Is this expected? are there tips to avoid this? Is this just life now? Thanks in advance :P</t>
        </is>
      </c>
      <c r="D7893" t="n">
        <v>1</v>
      </c>
      <c r="E7893" t="n">
        <v>3</v>
      </c>
      <c r="F7893">
        <f>HYPERLINK("https://www.reddit.com/r/diabetes/comments/e1pe1v/i_think_i_suck_at_injecting/")</f>
        <v/>
      </c>
      <c r="G7893" t="inlineStr">
        <is>
          <t>2019-11-25 16:06:25</t>
        </is>
      </c>
      <c r="H7893" t="inlineStr">
        <is>
          <t>Type 1</t>
        </is>
      </c>
    </row>
    <row r="7894">
      <c r="A7894" t="inlineStr">
        <is>
          <t>e1sb87</t>
        </is>
      </c>
      <c r="B7894" t="inlineStr">
        <is>
          <t>Training a dog to smell low blood sugar?</t>
        </is>
      </c>
      <c r="C7894" t="inlineStr">
        <is>
          <t>Hi all, I'm getting a Labrador retriever puppy in 4 weeks and I've done a little reading on how to train them to alert you when your blood sugar is low. It seems pretty involved for a layman to do, but it seems possible. Anyone else ever thought of this?</t>
        </is>
      </c>
      <c r="D7894" t="n">
        <v>1</v>
      </c>
      <c r="E7894" t="n">
        <v>11</v>
      </c>
      <c r="F7894">
        <f>HYPERLINK("https://www.reddit.com/r/diabetes/comments/e1sb87/training_a_dog_to_smell_low_blood_sugar/")</f>
        <v/>
      </c>
      <c r="G7894" t="inlineStr">
        <is>
          <t>2019-11-25 19:52:50</t>
        </is>
      </c>
      <c r="H7894" t="inlineStr">
        <is>
          <t>Type 1</t>
        </is>
      </c>
    </row>
    <row r="7895">
      <c r="A7895" t="inlineStr">
        <is>
          <t>e1t5r2</t>
        </is>
      </c>
      <c r="B7895" t="inlineStr">
        <is>
          <t>How do you cope with mental low days?</t>
        </is>
      </c>
      <c r="C7895" t="inlineStr">
        <is>
          <t>I was diagnosed this year in June, I am still struggling a bit mentally with this disease. Most days I'm perfectly fine, just every few weeks it hits me mentally like a truck. I guess with Thanksgiving just around the corner it's been exceptionally hard. I've been thinking about all the sides and desserts I have to walk away from, all of the family recipes I always thought I'd keep alive and pass on to my kids one day.
Before my diagnosis I would have considered cooking my number one hobby. My wife hates to cook while I worked in an Italian restaurant for eleven years. I loved making things from scratch. I had just bought a couple rising baskets to try to get into baking. I had finally figured out my biscuit recipe that got me excited to keep expanding more and more in the kitchen. Nowadays I just view it as a chore. It's almost impossible for me to get excited about cooking anything. I can't get around the weight of it. I just completely lost the drive to experiment in the kitchen like I used to.
I feel like I'm constantly talking about diabetes, or thinking about diabetes. I can't seem to get past it. It seems like it's just defining me these days. I'm sure that will pass in time, or at least diminish. There are days where it just seems unbeatable. I just kind of wanted to rant for a bit and maybe get some insight on ways to help curb the anger/depression that comes up some days.</t>
        </is>
      </c>
      <c r="D7895" t="n">
        <v>1</v>
      </c>
      <c r="E7895" t="n">
        <v>5</v>
      </c>
      <c r="F7895">
        <f>HYPERLINK("https://www.reddit.com/r/diabetes/comments/e1t5r2/how_do_you_cope_with_mental_low_days/")</f>
        <v/>
      </c>
      <c r="G7895" t="inlineStr">
        <is>
          <t>2019-11-25 21:08:13</t>
        </is>
      </c>
      <c r="H7895" t="inlineStr">
        <is>
          <t>Type 1</t>
        </is>
      </c>
    </row>
    <row r="7896">
      <c r="A7896" t="inlineStr">
        <is>
          <t>e1vjph</t>
        </is>
      </c>
      <c r="B7896" t="inlineStr">
        <is>
          <t>thirsty all the time - kidney failure?</t>
        </is>
      </c>
      <c r="C7896" t="inlineStr">
        <is>
          <t>hi i am living with diabetes for the past 18 years - currently  28 years old.
I am constantly thirsty and my urine are never clear.  My blood sugar levels are fairly ok. What is going on?</t>
        </is>
      </c>
      <c r="D7896" t="n">
        <v>1</v>
      </c>
      <c r="E7896" t="n">
        <v>3</v>
      </c>
      <c r="F7896">
        <f>HYPERLINK("https://www.reddit.com/r/diabetes/comments/e1vjph/thirsty_all_the_time_kidney_failure/")</f>
        <v/>
      </c>
      <c r="G7896" t="inlineStr">
        <is>
          <t>2019-11-26 01:19:22</t>
        </is>
      </c>
      <c r="H7896" t="inlineStr">
        <is>
          <t>Type 1</t>
        </is>
      </c>
    </row>
    <row r="7897">
      <c r="A7897" t="inlineStr">
        <is>
          <t>e1vvr4</t>
        </is>
      </c>
      <c r="B7897" t="inlineStr">
        <is>
          <t>Is it better to take medication for your diabetes with a big meal or a number of hours before it?</t>
        </is>
      </c>
      <c r="C7897" t="inlineStr">
        <is>
          <t>I've type 2 diabetes and i'm taking Metformin, Jardiance and Trajenta for it. If I were to have a meal with a good amount of carbohydrates would I be better off taking the medication with the meal or 2-3 hours beforehand?</t>
        </is>
      </c>
      <c r="D7897" t="n">
        <v>1</v>
      </c>
      <c r="E7897" t="n">
        <v>13</v>
      </c>
      <c r="F7897">
        <f>HYPERLINK("https://www.reddit.com/r/diabetes/comments/e1vvr4/is_it_better_to_take_medication_for_your_diabetes/")</f>
        <v/>
      </c>
      <c r="G7897" t="inlineStr">
        <is>
          <t>2019-11-26 01:58:21</t>
        </is>
      </c>
      <c r="H7897" t="inlineStr">
        <is>
          <t>Type 2</t>
        </is>
      </c>
    </row>
    <row r="7898">
      <c r="A7898" t="inlineStr">
        <is>
          <t>e212i8</t>
        </is>
      </c>
      <c r="B7898" t="inlineStr">
        <is>
          <t>Diagnoses Change</t>
        </is>
      </c>
      <c r="C7898" t="inlineStr">
        <is>
          <t>I never thought I would be so happy to see a single word change - but this morning my medical record was updated on my patient portal and the diagnoses of "Diabetes Mellitus Type 2, Uncontrolled" was moved into past medical history, and "Diabetes Mellitus Type 2, Controlled" was moved into active. =)
What a good feeling!</t>
        </is>
      </c>
      <c r="D7898" t="n">
        <v>1</v>
      </c>
      <c r="E7898" t="n">
        <v>10</v>
      </c>
      <c r="F7898">
        <f>HYPERLINK("https://www.reddit.com/r/diabetes/comments/e212i8/diagnoses_change/")</f>
        <v/>
      </c>
      <c r="G7898" t="inlineStr">
        <is>
          <t>2019-11-26 09:18:46</t>
        </is>
      </c>
      <c r="H7898" t="inlineStr">
        <is>
          <t>Type 2</t>
        </is>
      </c>
    </row>
    <row r="7899">
      <c r="A7899" t="inlineStr">
        <is>
          <t>e21a6b</t>
        </is>
      </c>
      <c r="B7899" t="inlineStr">
        <is>
          <t>Diet and Lifestyle changes</t>
        </is>
      </c>
      <c r="C7899" t="inlineStr">
        <is>
          <t xml:space="preserve">  
Hi,
I have T2D and after doing some in-depth research, I believe that the best direction to get off medication and heal is doing some real changes. I would like to switch to the Keto diet (today I’m on some sort of Mediterranean diet) and do Intermittent Fasting; Improve my sleep; start swimming and Yoga. I understand that these are huge changes and the truth is that I’m a bit scare. I’m 42 y old, have 2 great kids and wife and I assume that I will need also their support. 
I’m addressing my next questions to people that also suffered from Pre/T2 Diabetes and did some major lifestyle changes (doesn’t have to be the same changes as I mentioned):
1. Can you share a few words about your background (age, family status, diabetes type, etc..)
2. For how long you struggle with diabetes?
3. Do you take medication? Or did you take any medication in the past?
4. What changes did you do?
5. Why did you decided to do such a major change?
6. What helped you with the lifestyle changes?
7. For how long you’re maintaining these changes?
8. Any obstacles that came in your way to achieve the changes? How you overcome them?
9. Any advice for someone that wants to start?
Appreciate all your help,
Robert</t>
        </is>
      </c>
      <c r="D7899" t="n">
        <v>1</v>
      </c>
      <c r="E7899" t="n">
        <v>4</v>
      </c>
      <c r="F7899">
        <f>HYPERLINK("https://www.reddit.com/r/diabetes/comments/e21a6b/diet_and_lifestyle_changes/")</f>
        <v/>
      </c>
      <c r="G7899" t="inlineStr">
        <is>
          <t>2019-11-26 09:32:40</t>
        </is>
      </c>
      <c r="H7899" t="inlineStr">
        <is>
          <t>Type 2</t>
        </is>
      </c>
    </row>
    <row r="7900">
      <c r="A7900" t="inlineStr">
        <is>
          <t>e22lau</t>
        </is>
      </c>
      <c r="B7900" t="inlineStr">
        <is>
          <t>Freestyle Libre always measuring LOW, anyone else?</t>
        </is>
      </c>
      <c r="C7900" t="inlineStr">
        <is>
          <t>Hello!
I'm new to diabetes and not excited about pricking my finger (surprise). My doc suggested the freestyle libre system and we're 3 weeks in (two sensors). I've continued to check my BG 5 times per day and found the the libre was reading consistently 30 points low (mg/dl). Abotts (manufacturer) thought this was a fluke and sent me a new sensor. This new sensor is also reading 30 points lower than my actual BG levels.
Has anyone else had this issue? I think this system is GREAT, I just want to make sure it works ok for my intersititual fluid. :)
Thanks in advance for your help!</t>
        </is>
      </c>
      <c r="D7900" t="n">
        <v>1</v>
      </c>
      <c r="E7900" t="n">
        <v>3</v>
      </c>
      <c r="F7900">
        <f>HYPERLINK("https://www.reddit.com/r/diabetes/comments/e22lau/freestyle_libre_always_measuring_low_anyone_else/")</f>
        <v/>
      </c>
      <c r="G7900" t="inlineStr">
        <is>
          <t>2019-11-26 11:00:05</t>
        </is>
      </c>
      <c r="H7900" t="inlineStr">
        <is>
          <t>Type 2</t>
        </is>
      </c>
    </row>
    <row r="7901">
      <c r="A7901" t="inlineStr">
        <is>
          <t>e22rds</t>
        </is>
      </c>
      <c r="B7901" t="inlineStr">
        <is>
          <t>Seriously, how do y'all afford your CGM/Pump supplies?</t>
        </is>
      </c>
      <c r="C7901" t="inlineStr">
        <is>
          <t>Hi everyone, T1D here looking for some perspective. I know this usually isn't as much as a problem in countries besides the US, but I'm just wondering how much you all are paying out of pocket for insulin pump and CGM supplies? I'm paying a $340 premium each month for my insurance, and I just found out I'll owe $560 for a three month supply of Medtronic 670g  pump supplies and $700 for three month supply of CGM sensors. That turns out to over $700 a month for medical costs, not including specialist visit copays, test strips, etc. Luckily my insulin copay is only $25 so that's not an issue as much.
Is this pretty standard? I can't really afford what amounts to another rent payment each month, so I'm thinking I'll just not use my CGM. Any perspective would be great, thank you all!!</t>
        </is>
      </c>
      <c r="D7901" t="n">
        <v>1</v>
      </c>
      <c r="E7901" t="n">
        <v>25</v>
      </c>
      <c r="F7901">
        <f>HYPERLINK("https://www.reddit.com/r/diabetes/comments/e22rds/seriously_how_do_yall_afford_your_cgmpump_supplies/")</f>
        <v/>
      </c>
      <c r="G7901" t="inlineStr">
        <is>
          <t>2019-11-26 11:10:33</t>
        </is>
      </c>
      <c r="H7901" t="inlineStr">
        <is>
          <t>Type 1</t>
        </is>
      </c>
    </row>
    <row r="7902">
      <c r="A7902" t="inlineStr">
        <is>
          <t>e244kr</t>
        </is>
      </c>
      <c r="B7902" t="inlineStr">
        <is>
          <t>Extended Bolus Experiences?</t>
        </is>
      </c>
      <c r="C7902" t="inlineStr">
        <is>
          <t>I'm pretty new to the whole pump thing..less than a month. So i'm still trying to figure out all it can do. I'm specifically on the Omnipod. I have experimented with the extended bolus function yet. What are some meals you use an extended bolus for? The biggest I've heard so far is pizza. Obviously I'll go to my doctor as well but just wanted to get a feel for what other people use it for.</t>
        </is>
      </c>
      <c r="D7902" t="n">
        <v>1</v>
      </c>
      <c r="E7902" t="n">
        <v>9</v>
      </c>
      <c r="F7902">
        <f>HYPERLINK("https://www.reddit.com/r/diabetes/comments/e244kr/extended_bolus_experiences/")</f>
        <v/>
      </c>
      <c r="G7902" t="inlineStr">
        <is>
          <t>2019-11-26 12:40:40</t>
        </is>
      </c>
      <c r="H7902" t="inlineStr">
        <is>
          <t>Type 1</t>
        </is>
      </c>
    </row>
    <row r="7903">
      <c r="A7903" t="inlineStr">
        <is>
          <t>e262q2</t>
        </is>
      </c>
      <c r="B7903" t="inlineStr">
        <is>
          <t>Having a bad day.</t>
        </is>
      </c>
      <c r="C7903" t="inlineStr">
        <is>
          <t>Just a rant. 
Having a bad vision day, regardless of how well I’ve been doing since I got my Dexcom (almost a month now).. 
and I’ve been a T1D for 20 years now so I should be used to it right?
But no. 
Every low ruins me.
Every time I wake up with a dry mouth can tell I’m at 256 ..
Every time I have a bad vision day...
I feel just as scared, and just as unprepared to manage this as I was when I was six. I don’t even remember anything before my diabetes and I’m still crying over how tired it makes me. 
I got a 100 on my exam today. I should be elated. And I’m crying. Because I’m scared and I’m tired and my body is tired. And I’m never gonna get to not be tired again. I hate this so much.</t>
        </is>
      </c>
      <c r="D7903" t="n">
        <v>1</v>
      </c>
      <c r="E7903" t="n">
        <v>4</v>
      </c>
      <c r="F7903">
        <f>HYPERLINK("https://www.reddit.com/r/diabetes/comments/e262q2/having_a_bad_day/")</f>
        <v/>
      </c>
      <c r="G7903" t="inlineStr">
        <is>
          <t>2019-11-26 14:45:22</t>
        </is>
      </c>
      <c r="H7903" t="inlineStr">
        <is>
          <t>Type 1</t>
        </is>
      </c>
    </row>
    <row r="7904">
      <c r="A7904" t="inlineStr">
        <is>
          <t>e2cy8k</t>
        </is>
      </c>
      <c r="B7904" t="inlineStr">
        <is>
          <t>Sudden, massive increase in insulin sensitivity</t>
        </is>
      </c>
      <c r="C7904" t="inlineStr">
        <is>
          <t>I've had some really strange behavior yesterday and today. I'm a T1 diabetic, have been for 20+ years, definitely no insulin left in me short of what I add.
 I inject Fiasp in the morning and noon, Novorapid (Novolog) in the evenings with my warm meal.
Yesterday went normal, until dinner in the evening.
I had a buckwheat salad, carefully weighted and calculated 85g of carbs. I injected a little less than usual, since I intended to work out a bit later on. That was 12 units of Novorapid.
After dinner, my BG rose by not even 20 points. And then started falling. And falling. And falling. 5 hours and over 200g of extra carbs (not 200g of food.. 200g of raw carbs in glucose tabs, chocolate and candy bars) it finally settled around 135 and stayed stable enough that I could sleep.
I figured either something was wrong with the pen or insulin. This morning, I injected my usual 6 units of Fiasp. Ate my usual 14g of carbs in LC bread with cheese. This usually gets me from my 100 morning BG to around 140, then slowly drops back to 100 over the next 2-3 hours. This time, no rise at all, then dropping again. 2h later and an added 40g of carbs, it's finally stable again. This was a different pen, a different insulin, different injection spot.
I changed absolutely nothing about my dosages, food, or daily order of things. 
&amp;amp;#x200B;
Anyone have any idea what the hell could be going on there? Some changes in insulin sensitivity I am used to, but this is an insanely high difference.</t>
        </is>
      </c>
      <c r="D7904" t="n">
        <v>1</v>
      </c>
      <c r="E7904" t="n">
        <v>4</v>
      </c>
      <c r="F7904">
        <f>HYPERLINK("https://www.reddit.com/r/diabetes/comments/e2cy8k/sudden_massive_increase_in_insulin_sensitivity/")</f>
        <v/>
      </c>
      <c r="G7904" t="inlineStr">
        <is>
          <t>2019-11-27 00:10:10</t>
        </is>
      </c>
      <c r="H7904" t="inlineStr">
        <is>
          <t>Type 1</t>
        </is>
      </c>
    </row>
    <row r="7905">
      <c r="A7905" t="inlineStr">
        <is>
          <t>e2dude</t>
        </is>
      </c>
      <c r="B7905" t="inlineStr">
        <is>
          <t>Sudden insulin resistance change? What to do?</t>
        </is>
      </c>
      <c r="C7905" t="inlineStr">
        <is>
          <t>Hi all,
been type 1 for 20 years, last 3 weeks i noticed even small carbs glucose go high, injecting insulin of same amount as always does almost nothing, i feel like the efficiency of insulin my body dropped by 70% maybe more.
To make the glucose go lower i have to do almost triple dosage of ins. compared to 3 weeks ago,  the dosage was the same for past 8-10 years.
I have tried to change the insulin capsule case its faulty, i have checked the expiration date it is fine, i keep it in fridge all the time, so what else could be happening? Should I request a different type of insulin or have something tested from blood?
&amp;amp;#x200B;
Thanks for the tips</t>
        </is>
      </c>
      <c r="D7905" t="n">
        <v>1</v>
      </c>
      <c r="E7905" t="n">
        <v>5</v>
      </c>
      <c r="F7905">
        <f>HYPERLINK("https://www.reddit.com/r/diabetes/comments/e2dude/sudden_insulin_resistance_change_what_to_do/")</f>
        <v/>
      </c>
      <c r="G7905" t="inlineStr">
        <is>
          <t>2019-11-27 01:46:13</t>
        </is>
      </c>
      <c r="H7905" t="inlineStr">
        <is>
          <t>Type 1</t>
        </is>
      </c>
    </row>
    <row r="7906">
      <c r="A7906" t="inlineStr">
        <is>
          <t>e2htbw</t>
        </is>
      </c>
      <c r="B7906" t="inlineStr">
        <is>
          <t>Insulin sensitivity while sleeping</t>
        </is>
      </c>
      <c r="C7906" t="inlineStr">
        <is>
          <t>Hi all!
My 5yo daughter BG eventually get high during the night and in this case I apply some correction with the pen (humalog).
But the sensibility seem to be decreased hard while she is sleeping. From 150mg/UI to 50ml/UI. I'm affraid to apply a high dose, because well, I'm going to bed too and no one is going to monitor what will happen.
I'm curious to know if you and/or your children experiencing this sensibility decrease while sleeping.</t>
        </is>
      </c>
      <c r="D7906" t="n">
        <v>1</v>
      </c>
      <c r="E7906" t="n">
        <v>6</v>
      </c>
      <c r="F7906">
        <f>HYPERLINK("https://www.reddit.com/r/diabetes/comments/e2htbw/insulin_sensitivity_while_sleeping/")</f>
        <v/>
      </c>
      <c r="G7906" t="inlineStr">
        <is>
          <t>2019-11-27 07:48:04</t>
        </is>
      </c>
      <c r="H7906" t="inlineStr">
        <is>
          <t>Type 1</t>
        </is>
      </c>
    </row>
    <row r="7907">
      <c r="A7907" t="inlineStr">
        <is>
          <t>e2jtni</t>
        </is>
      </c>
      <c r="B7907" t="inlineStr">
        <is>
          <t>Hi, I'm Mark Cira, writer/director of Sweet Yoyo, an award-winning short film about growing up with T1 Diabetes. The film premieres today for Diabetes Awareness Month for free! AMA!</t>
        </is>
      </c>
      <c r="C7907" t="inlineStr">
        <is>
          <t>Hey /r/diabetes. Long-time member of this community and after two years of its film festival circuit, I'm excited to share this film [Sweet Yoyo](https://www.youtube.com/watch?v=wfteVk4JyzQ) with you all. It's Diabetes Awareness month and I felt what better time to release a short film I made about T1 Diabetes than now?
It's a very personal story that tries to bring awareness to how serious T1 Diabetes affects people's lives, especially young children everyday. It features wonderful performances from a real-life mother daughter playing characters who navigate a new diagnosis of T1. 
It was a self-financed endeavour as no pharma companies or government bodies wanted to touch it because it exposed some harsh truths about T1 Diabetes, specifically in Canada, where insulin is not covered by the healthcare system.
I hope it reaches its intended audience here in /r/diabetes! 
It premieres [here](https://www.youtube.com/watch?v=wfteVk4JyzQ) at 2PM today! 
Trailer [here.](https://player.vimeo.com/video/219416282)</t>
        </is>
      </c>
      <c r="D7907" t="n">
        <v>1</v>
      </c>
      <c r="E7907" t="n">
        <v>17</v>
      </c>
      <c r="F7907">
        <f>HYPERLINK("https://www.reddit.com/r/diabetes/comments/e2jtni/hi_im_mark_cira_writerdirector_of_sweet_yoyo_an/")</f>
        <v/>
      </c>
      <c r="G7907" t="inlineStr">
        <is>
          <t>2019-11-27 09:57:42</t>
        </is>
      </c>
      <c r="H7907" t="inlineStr">
        <is>
          <t>Type 1</t>
        </is>
      </c>
    </row>
    <row r="7908">
      <c r="A7908" t="inlineStr">
        <is>
          <t>e2kl5r</t>
        </is>
      </c>
      <c r="B7908" t="inlineStr">
        <is>
          <t>Type 1 diabetic granddaughter- 123g carb meal</t>
        </is>
      </c>
      <c r="C7908" t="inlineStr">
        <is>
          <t>My type 1 diabetic granddaughter just had a lunch consisting of 123g of carbs. This came in the form a double quarter pounder, a regular cheeseburger, and a medium fries - diet coke to drink of course.
She's 13 and has been diabetic since she was 2. While she doesn't eat like this constantly, I would estimate meals consist of at least 100g of carbs when she doesnt skip them. Usually, a meal is either chips a huge bowl of mac and cheese, or something else fast foodie.
How can I help this stop? I don't have decision making power over her consumption habits and her parents are convinced that as long as she takes her insulin after, it's fine.
I don't want her to die, lose limbs, go blind, etc. Am I overly worried? What can I do?</t>
        </is>
      </c>
      <c r="D7908" t="n">
        <v>1</v>
      </c>
      <c r="E7908" t="n">
        <v>20</v>
      </c>
      <c r="F7908">
        <f>HYPERLINK("https://www.reddit.com/r/diabetes/comments/e2kl5r/type_1_diabetic_granddaughter_123g_carb_meal/")</f>
        <v/>
      </c>
      <c r="G7908" t="inlineStr">
        <is>
          <t>2019-11-27 10:45:42</t>
        </is>
      </c>
      <c r="H7908" t="inlineStr">
        <is>
          <t>Type 1</t>
        </is>
      </c>
    </row>
    <row r="7909">
      <c r="A7909" t="inlineStr">
        <is>
          <t>e2ohoc</t>
        </is>
      </c>
      <c r="B7909" t="inlineStr">
        <is>
          <t>Any type 2's have a problem getting DOT cards?</t>
        </is>
      </c>
      <c r="C7909" t="inlineStr">
        <is>
          <t>Basically title. I'm considered uncontrolled, but laid off due to no DOT card. Driving is literally all I know. Can't handle this anymore.</t>
        </is>
      </c>
      <c r="D7909" t="n">
        <v>1</v>
      </c>
      <c r="E7909" t="n">
        <v>25</v>
      </c>
      <c r="F7909">
        <f>HYPERLINK("https://www.reddit.com/r/diabetes/comments/e2ohoc/any_type_2s_have_a_problem_getting_dot_cards/")</f>
        <v/>
      </c>
      <c r="G7909" t="inlineStr">
        <is>
          <t>2019-11-27 15:01:23</t>
        </is>
      </c>
      <c r="H7909" t="inlineStr">
        <is>
          <t>Type 2</t>
        </is>
      </c>
    </row>
    <row r="7910">
      <c r="A7910" t="inlineStr">
        <is>
          <t>e2sr7o</t>
        </is>
      </c>
      <c r="B7910" t="inlineStr">
        <is>
          <t>A Banner Month</t>
        </is>
      </c>
      <c r="C7910" t="inlineStr">
        <is>
          <t>I lost my Father to complications of Diabetes on November 9th. I came home from a night shift and found him dead. I had been caring for him since 2013 when my Mother died. In a sad way, I always knew it was going to end this way. But, as the Coroner assured me, he went peacefully...which is all we can really hope for. 
Within an hour of finding him, I got so fucking thirsty. Just grabbing whatever fluid I could find. It continued through the week of the funeral. Just thirst and peeing. You would think as someone who had cared for a diabetic for almost 7 years would have made the connection, but I was devastated. 
I started noticing my vision was getting blurry. Told my sister who is a type 1 diabetic as well. My sister checked my sugar,  it was 29. Two minutes later I was in the car heading to the hospital. Everyone was really nice to me. The nurse found out that my father had gone and she tucked me in. Even at the age of 36, you still need that kind of comfort when everything is uncertain. 
I had a good run for 36 years, in a way I had long been expecting the diagnosis one day. The family curse. But, I am still so broken from my Father's loss. The world is a strange place right now. I wish he was here and in a way I don't. I sat and stared at his empty wheelchair and felt happy he was no longer tethered to it. 
So, here I am, I am alone for really the first time. Sure, I have my sister, nephews and niece and they still need me. Uncles and aunts who are rallying around me. Even in this dark time, I can still see I am luckier than most. But, I still feel alone. 
I sat outside the endocrinologists office today alone and saw a son pushing his Mother in a wheelchair. Tears welled up in my eyes. How much has changed in 3 weeks. I am no longer the caregiver, now the patient. I also realized how hard it is to keep someone else alive. I did it for 6 years. In the end, it's up to them. It's up to me now. I can go the way my Father went, always on a thin line of actually caring and not giving a fuck.  Or, I can do better. In the end, I think he would want me to.</t>
        </is>
      </c>
      <c r="D7910" t="n">
        <v>1</v>
      </c>
      <c r="E7910" t="n">
        <v>1</v>
      </c>
      <c r="F7910">
        <f>HYPERLINK("https://www.reddit.com/r/diabetes/comments/e2sr7o/a_banner_month/")</f>
        <v/>
      </c>
      <c r="G7910" t="inlineStr">
        <is>
          <t>2019-11-27 20:33:09</t>
        </is>
      </c>
      <c r="H7910" t="inlineStr">
        <is>
          <t>Type 1</t>
        </is>
      </c>
    </row>
    <row r="7911">
      <c r="A7911" t="inlineStr">
        <is>
          <t>e2walk</t>
        </is>
      </c>
      <c r="B7911" t="inlineStr">
        <is>
          <t>does anyone know where to find diabetes research studies for type 1 diabetics?</t>
        </is>
      </c>
      <c r="C7911" t="inlineStr">
        <is>
          <t>Thanks!</t>
        </is>
      </c>
      <c r="D7911" t="n">
        <v>1</v>
      </c>
      <c r="E7911" t="n">
        <v>10</v>
      </c>
      <c r="F7911">
        <f>HYPERLINK("https://www.reddit.com/r/diabetes/comments/e2walk/does_anyone_know_where_to_find_diabetes_research/")</f>
        <v/>
      </c>
      <c r="G7911" t="inlineStr">
        <is>
          <t>2019-11-28 02:29:41</t>
        </is>
      </c>
      <c r="H7911" t="inlineStr">
        <is>
          <t>Type 1</t>
        </is>
      </c>
    </row>
    <row r="7912">
      <c r="A7912" t="inlineStr">
        <is>
          <t>e2znst</t>
        </is>
      </c>
      <c r="B7912" t="inlineStr">
        <is>
          <t>Low Blood sugar questions</t>
        </is>
      </c>
      <c r="C7912" t="inlineStr">
        <is>
          <t>Was supposed to start insulin last week yet the government likes to milk our illnesses as long as possible and I’m still for some unknown stupid ass reason still on metformin. Except recently something happened. My blood sugar has been dropping no matter how much I eat, I can eat something super sugary and an hr later my BG drops down to the 60’s again. All bloodwork tests say I’m fine, no organ issues. My pee is pale but I assume that’s simply because I’m diabetic because they said my kidneys are doing good. I get uncontrollably shaky with blue lips every time my sugar drops and I’m not sure why that’s happening. My sugar still goes above 140 if I eat Lots of carbs so I know I wasn’t blessed with a miracle from god because at night it gets bad. I wake up not 5hrs after eating a extremely carby dinner only to see my BG is at 66 somehow. I’m just really confused, it’s not as bad as high BG as I can finally fucking eat I weigh 150lbs and look like a twig, safe to say I’m very underweight, I eat plenty of protein but it seems only carbs or lots of juice/soda fixes my lows when they get bad. Protein isn’t keeping my BG stable anymore?</t>
        </is>
      </c>
      <c r="D7912" t="n">
        <v>1</v>
      </c>
      <c r="E7912" t="n">
        <v>8</v>
      </c>
      <c r="F7912">
        <f>HYPERLINK("https://www.reddit.com/r/diabetes/comments/e2znst/low_blood_sugar_questions/")</f>
        <v/>
      </c>
      <c r="G7912" t="inlineStr">
        <is>
          <t>2019-11-28 07:44:30</t>
        </is>
      </c>
      <c r="H7912" t="inlineStr">
        <is>
          <t>Type 1</t>
        </is>
      </c>
    </row>
    <row r="7913">
      <c r="A7913" t="inlineStr">
        <is>
          <t>e35b2i</t>
        </is>
      </c>
      <c r="B7913" t="inlineStr">
        <is>
          <t>Survey for Type-1 Diabetes Patients ( INSULIN PUMPS)</t>
        </is>
      </c>
      <c r="C7913" t="inlineStr">
        <is>
          <t xml:space="preserve"> Hi, I am Ajinkya Mahale. I am doing my Master's degree at the Technical University of Denmark. While working on one of my business course, my group has to survey a no. of diabetic patients who use insulin pumps. The idea is to find out what they like about these pumps, and whether they would love to change the current pumps and how much extra they won't mind paying for better insulin pumps and a better experience. So we have prepared a 'google form' survey. I am sharing the link below. Anyways, Thanks for reading.</t>
        </is>
      </c>
      <c r="D7913" t="n">
        <v>1</v>
      </c>
      <c r="E7913" t="n">
        <v>2</v>
      </c>
      <c r="F7913">
        <f>HYPERLINK("https://www.reddit.com/r/diabetes/comments/e35b2i/survey_for_type1_diabetes_patients_insulin_pumps/")</f>
        <v/>
      </c>
      <c r="G7913" t="inlineStr">
        <is>
          <t>2019-11-28 14:21:31</t>
        </is>
      </c>
      <c r="H7913" t="inlineStr">
        <is>
          <t>Type 1</t>
        </is>
      </c>
    </row>
    <row r="7914">
      <c r="A7914" t="inlineStr">
        <is>
          <t>e365rj</t>
        </is>
      </c>
      <c r="B7914" t="inlineStr">
        <is>
          <t>UK Student Disability Allowance</t>
        </is>
      </c>
      <c r="C7914" t="inlineStr">
        <is>
          <t>Are there any students here that have received the Disability Students' Allowance from Student Finance?
How easy was it to get and what kind of support did you receive?
I have read about people getting large grants for laptops and other useful things.</t>
        </is>
      </c>
      <c r="D7914" t="n">
        <v>1</v>
      </c>
      <c r="E7914" t="n">
        <v>2</v>
      </c>
      <c r="F7914">
        <f>HYPERLINK("https://www.reddit.com/r/diabetes/comments/e365rj/uk_student_disability_allowance/")</f>
        <v/>
      </c>
      <c r="G7914" t="inlineStr">
        <is>
          <t>2019-11-28 15:30:21</t>
        </is>
      </c>
      <c r="H7914" t="inlineStr">
        <is>
          <t>Type 1</t>
        </is>
      </c>
    </row>
    <row r="7915">
      <c r="A7915" t="inlineStr">
        <is>
          <t>e3cvp1</t>
        </is>
      </c>
      <c r="B7915" t="inlineStr">
        <is>
          <t>diabetes is ruining my life and i fucking hate everything about it</t>
        </is>
      </c>
      <c r="C7915" t="inlineStr">
        <is>
          <t>i’m 16 and have been diagnosed for a little over 14 years. i don’t see how i can keep doing this for another 60 or 70 more years. right now its so stressful and time consuming, and i don’t see how once i’m in college or with a full time job it’s going to be any less. it’s 4am and it’s the fourth day this week i’ve woken up with a blood sugar over 300, and i don’t fucking know why. i’ve been crying for the past half hour waiting for it to go down but it just won’t. this sounds so over dramatic but man, to put it simply, diabetes has taken away my happiness. it’s all i ever think about now that it isn’t my parents’ job to control it. extreme blood sugars prevent me from having fun and doing anything spontaneous. i can’t drink or do drugs without making up a huge plan about carb counting everything. worst of all it prevents me from doing what i want in the grand scheme of things, joining the air force. this rant is so fucking stupid and probably doesn’t make much sense but i’ve wanted to get this out of my head for the past 14 years, so thank you for reading this mess.</t>
        </is>
      </c>
      <c r="D7915" t="n">
        <v>1</v>
      </c>
      <c r="E7915" t="n">
        <v>60</v>
      </c>
      <c r="F7915">
        <f>HYPERLINK("https://www.reddit.com/r/diabetes/comments/e3cvp1/diabetes_is_ruining_my_life_and_i_fucking_hate/")</f>
        <v/>
      </c>
      <c r="G7915" t="inlineStr">
        <is>
          <t>2019-11-29 02:04:15</t>
        </is>
      </c>
      <c r="H7915" t="inlineStr">
        <is>
          <t>Type 1</t>
        </is>
      </c>
    </row>
    <row r="7916">
      <c r="A7916" t="inlineStr">
        <is>
          <t>e3rjxl</t>
        </is>
      </c>
      <c r="B7916" t="inlineStr">
        <is>
          <t>No, this is not okay.</t>
        </is>
      </c>
      <c r="C7916" t="inlineStr">
        <is>
          <t>I've been privileged since being diagnosed T1 in 1987 to have been on relatively excellent health insurance either through my parents or through my employers. Living in Arizona at the time, I was one of the lucky few kids in the early 90's to receive approval for insulin pump therapy. Growing up on the Minimed 506, the Animas IR-1000, the Medtronic Paradigm, and currently the T-Slim X2 with Dexcom G6 CGM linked, I can't admit to ever experiencing a level of animosity from state and local officials even remotely close to that which I have lately. Those aforementioned pump systems have undoubtedly saved my a$$ on many occasions throughout the years.
However, I have an obligation to say what I am about to say because it should take not an ounce of humanity in oneself to realize that *nobody* should have to pay in order to live due to simply being a type 1. My current situation has opened my eyes to what a lot of other type 1's have been dealing with lately, with ads on Craigslist for insulin for sale/for offer, to Facebook groups that offer travel advice when buying insulin in Mexico (the latter of which I am sorely contemplating).
A bit of context: I recently changed jobs. My previous position provided fantastic health insurance which I took full advantage of during my time with them. My reasons for leaving this position are my own, and not relevant to this post, but I did stock up on supplies in the month of coverage that I had left after leaving said position. About 5 years prior, I had previously applied and been approved for Medi-Cal (California's state-sponsored insurance) within a span of about 2 weeks from application to approval. At the time I had no cause to believe that my application would be delayed as long as it would have, and, eventually, denied. I submitted my Medi-Cal application the day after I left my job on September 6th, 2019. I knew that my new job wouldn't supply insurance for at least a few months (union job, non-managerial position as my prior job was). 
Tonight as of this writing, it is November 29th, 2019. I received my denial letter from Medi-Cal today, stating that my new job, paying $1,300\~ per month is above the income level of which they approve. This is after approximately 20+ calls to my case handler, asking for my case to be expedited due to the fact that the delay in the application process had exhausted my insulin supply and I was now on the hook for $140 for a bottle of Admelog (thank Dog my pharmacist knew there was a generic!). My CGM supply will run out in 3 weeks, but thankfully, I have enough pump supplies to last me until February at least.
With that said, I called my mom tonight, asking her if my recently deceased grandfather left me any inheritance that can help pay for my now impending medical bills. It broke her in ways that I won't go into here.
 I'm sorry. Nobody should have to pay in order to live with a condition like T1. It's as insulting as it is degrading to search for other type 1's who have an extra bottle of insulin available or checking pharmacy discount sites to find the lowest per-bottle price in your area because you don't have insurance to cover this one. I've been spoiled all of my life as a diabetic, but now it's become obvious to me how the US treats those among us who have life-sustaining needs but can't afford to pay for them. For anyone who feels that healthcare is a privilege and not a right, I welcome you to my front door where I might punch you repeatedly in the face while singing "God Bless America."</t>
        </is>
      </c>
      <c r="D7916" t="n">
        <v>1</v>
      </c>
      <c r="E7916" t="n">
        <v>1</v>
      </c>
      <c r="F7916">
        <f>HYPERLINK("https://www.reddit.com/r/diabetes/comments/e3rjxl/no_this_is_not_okay/")</f>
        <v/>
      </c>
      <c r="G7916" t="inlineStr">
        <is>
          <t>2019-11-29 21:55:22</t>
        </is>
      </c>
      <c r="H7916" t="inlineStr">
        <is>
          <t>Type 1</t>
        </is>
      </c>
    </row>
    <row r="7917">
      <c r="A7917" t="inlineStr">
        <is>
          <t>e3wgy4</t>
        </is>
      </c>
      <c r="B7917" t="inlineStr">
        <is>
          <t>managing chronic fatique in type 1 diabetes?</t>
        </is>
      </c>
      <c r="C7917" t="inlineStr">
        <is>
          <t>I have type 1 diabetes was diagnosed at 5 yrs old and have had it now for 21 years.
I am constantly tired, irrelevant of my blood sugar I am constantly tired. I have been almost living off coffee and getting 10 hours sleep for the last few years but unsure how long I can keep this up.
when I stop using coffee I become extremely tired again and moody.
Has anyone had any luck managing the fatigue that comes with diabetes?</t>
        </is>
      </c>
      <c r="D7917" t="n">
        <v>1</v>
      </c>
      <c r="E7917" t="n">
        <v>9</v>
      </c>
      <c r="F7917">
        <f>HYPERLINK("https://www.reddit.com/r/diabetes/comments/e3wgy4/managing_chronic_fatique_in_type_1_diabetes/")</f>
        <v/>
      </c>
      <c r="G7917" t="inlineStr">
        <is>
          <t>2019-11-30 05:45:14</t>
        </is>
      </c>
      <c r="H7917" t="inlineStr">
        <is>
          <t>Type 1</t>
        </is>
      </c>
    </row>
    <row r="7918">
      <c r="A7918" t="inlineStr">
        <is>
          <t>e3zn7b</t>
        </is>
      </c>
      <c r="B7918" t="inlineStr">
        <is>
          <t>Arrogant Endocrinologist Not Prescribing Me Enough Insulin... Am I in the wrong here?</t>
        </is>
      </c>
      <c r="C7918" t="inlineStr">
        <is>
          <t>Hi all. I was diagnosed with type 1 diabetes in February of this year. I currently have an a1c of 5.1, which my endo freaked out and yelled at me for and told me I must raise to 6.5 or I'm going to die. I don't have wild highs and lows. I always prebolus my meals and count carbs as well as protein (I've counted macros for years before my diagnosis as I was into bodybuilding). To some extent I follow Dr. Bernstein's diet, though recently I've been eating more high carb. My endocrinologist even commented when looking at my dexcom data that my trendline was almost flat, and the standard deviation of blood sugar was very low (19 mg/dl).
Regardless he continued telling me that I need to raise my blood sugar to be an average of 130 mg/dl. I asked him why he would recommend that if I saw a study that indicates an a1c of 6.5 could increase heart disease risk by 10x. He said it wouldn't matter if I die from a hypo. I asked if he had heard of Dr. Bernstein and he had; he called him "a nut". [&amp;lt;- This is why I called him arrogant in my title]
I don't really care if my doctor disagrees with me, that is fine, but my issue came when he started prescribing me less insulin. Every morning I take ~25 units of long acting insulin. How did I come to the conclusion that I need this much? I practice intermittent fasting a lot, so it is easy to tell if my basal rate is off. At our last meeting 3 months ago, my endo had told me to take 15 units of basal insulin, though didn't change my prescription. I tried this for 1 day, saw it didn't work, and went back to my old routine. He now has prescribed me 18 units of basal a day. At our last meeting, he told me I should be using an insulin:carb ratio of 1:12 instead of what I use, 1:8. I didn't follow this advice either because after some experimentation it was obvious that my i:c was still 1:8. Again, he has now formally changed my prescription to reflect this lowered bolus amount.
Here's the thing, I was diagnosed in the last year. So why is he DECREASING my insulin?? If anything, my honeymoon period may be ending and my insulin should be unchanged or slightly increased. I still make some C-reactive protein.
I'm still using 25 units of basal insulin a day and still using 1:8 for my bolus. I'm kind of pissed off because I already have to deal with a chronic disease, which I think I'm handling pretty well, but now I have to deal with doctors standing in my way. I don't know if I'm gonna run out of insulin because of my prescription and end up having to pay a bunch out of pocket.</t>
        </is>
      </c>
      <c r="D7918" t="n">
        <v>1</v>
      </c>
      <c r="E7918" t="n">
        <v>8</v>
      </c>
      <c r="F7918">
        <f>HYPERLINK("https://www.reddit.com/r/diabetes/comments/e3zn7b/arrogant_endocrinologist_not_prescribing_me/")</f>
        <v/>
      </c>
      <c r="G7918" t="inlineStr">
        <is>
          <t>2019-11-30 09:08:27</t>
        </is>
      </c>
      <c r="H7918" t="inlineStr">
        <is>
          <t>Type 1</t>
        </is>
      </c>
    </row>
    <row r="7919">
      <c r="A7919" t="inlineStr">
        <is>
          <t>e44pqf</t>
        </is>
      </c>
      <c r="B7919" t="inlineStr">
        <is>
          <t>Messed up.... Big time.</t>
        </is>
      </c>
      <c r="C7919" t="inlineStr">
        <is>
          <t>Just arrived in NYC from England, here for a week, and had a nightmare.... Forgot my box of needles!!! 😭😱
I have 5 used and 2 unused. Can I try and make them last? So I guess 1 needle will have to be used at least 3x a day. Would it just hurt more going in?
Or is there anything else I can do other than book a flight home?
Truly would appreciate any advice right now as I'm a mess right now and panicking!!</t>
        </is>
      </c>
      <c r="D7919" t="n">
        <v>1</v>
      </c>
      <c r="E7919" t="n">
        <v>8</v>
      </c>
      <c r="F7919">
        <f>HYPERLINK("https://www.reddit.com/r/diabetes/comments/e44pqf/messed_up_big_time/")</f>
        <v/>
      </c>
      <c r="G7919" t="inlineStr">
        <is>
          <t>2019-11-30 14:31:39</t>
        </is>
      </c>
      <c r="H7919" t="inlineStr">
        <is>
          <t>Type 1</t>
        </is>
      </c>
    </row>
    <row r="7920">
      <c r="A7920" t="inlineStr">
        <is>
          <t>e487az</t>
        </is>
      </c>
      <c r="B7920" t="inlineStr">
        <is>
          <t>Looking to speak/message with people with Type 1 Diabetes</t>
        </is>
      </c>
      <c r="C7920" t="inlineStr">
        <is>
          <t>Hello.
I am writing a novel where a character has type 1 diabetes and has had the disease since early childhood. While I've researched extensively on the internet for information, nothing beats first-hand experience. All I want is to accurately represent the struggles of someone with type 1, specifically someone under the poverty line struggling to maintain their levels. If anyone would like to speak or message, or even just post publicly on here about your day-to-day struggles with type 1 or some things an outsider should be aware of... it would be very helpful. More about the character: 19 y/o female, white. I do not have any kind of compensation to offer besides being acknowledged when the novel is published. 
&amp;amp;#x200B;
Thank you for taking the time to read this.</t>
        </is>
      </c>
      <c r="D7920" t="n">
        <v>1</v>
      </c>
      <c r="E7920" t="n">
        <v>0</v>
      </c>
      <c r="F7920">
        <f>HYPERLINK("https://www.reddit.com/r/diabetes/comments/e487az/looking_to_speakmessage_with_people_with_type_1/")</f>
        <v/>
      </c>
      <c r="G7920" t="inlineStr">
        <is>
          <t>2019-11-30 18:13:29</t>
        </is>
      </c>
      <c r="H7920" t="inlineStr">
        <is>
          <t>Type 1</t>
        </is>
      </c>
    </row>
    <row r="7921">
      <c r="A7921" t="inlineStr">
        <is>
          <t>e48adm</t>
        </is>
      </c>
      <c r="B7921" t="inlineStr">
        <is>
          <t>Never Give Up!! My Story</t>
        </is>
      </c>
      <c r="C7921" t="inlineStr">
        <is>
          <t xml:space="preserve"> 
I always enjoyed lifting, especially doing pull ups. On January 8, I reached my peak. I was 180 pounds and was able to do 28 consecutive pull ups. Unfortunately after that I started losing both weight and muscle. Late August I was hospitalized with a DKA and was diagnosed with Type 1 diabetes. I spent 4 days at the Intensive Care Unit and was down to 135 pounds. I was so weak that I was barely able to do a pull up. I just turned 22 this September and I have a whole life ahead of myself. I told myself that this was not going to get in the way of things I love to do. I slowly started training and by October 1st I was able to do 5 pull ups. My goal was to reach 15 consecutive pulls up by the end of November (November is National Diabetes Month). Today I weighed at 165 pounds and I was able to reach my goal and I am proud of myself for staying dedicated. Most importantly, my diabetes is under control with my latest A1C being 5.9.  I hope everyone on here also reaches their goals despite the obstacles life throws at us along the way. 
Here is the video of me achieving my goal: 
[https://www.youtube.com/watch?v=KaxumE3LGJw](https://www.youtube.com/watch?v=KaxumE3LGJw)</t>
        </is>
      </c>
      <c r="D7921" t="n">
        <v>1</v>
      </c>
      <c r="E7921" t="n">
        <v>5</v>
      </c>
      <c r="F7921">
        <f>HYPERLINK("https://www.reddit.com/r/diabetes/comments/e48adm/never_give_up_my_story/")</f>
        <v/>
      </c>
      <c r="G7921" t="inlineStr">
        <is>
          <t>2019-11-30 18:18:36</t>
        </is>
      </c>
      <c r="H7921" t="inlineStr">
        <is>
          <t>Type 1</t>
        </is>
      </c>
    </row>
    <row r="7922">
      <c r="A7922" t="inlineStr">
        <is>
          <t>e48dmv</t>
        </is>
      </c>
      <c r="B7922" t="inlineStr">
        <is>
          <t>what is it like dealing with type-1 every day.</t>
        </is>
      </c>
      <c r="C7922" t="inlineStr">
        <is>
          <t>Hello.
I am writing a novel where a character has type 1 diabetes and has had the disease since early childhood. While I've researched extensively on the internet for information, nothing beats first-hand experience. All I want is to accurately represent the struggles of someone with type 1, specifically someone under the poverty line struggling to maintain their levels. If anyone would like to speak or message, or even just post publicly on here about your day-to-day struggles with type 1 or some things an outsider should be aware of... it would be very helpful. I would especially like to know any lingo type 1's use that people without diabetes wouldn't be aware of. 
More about the character: 19 y/o female, white. As the novel progresses, she loses control over diabetes because of complications and develops diabetic retinopathy. 
I do not have any kind of compensation to offer besides acknowledgment when the novel is published.
&amp;amp;#x200B;
Thank you for taking the time to read this.</t>
        </is>
      </c>
      <c r="D7922" t="n">
        <v>1</v>
      </c>
      <c r="E7922" t="n">
        <v>13</v>
      </c>
      <c r="F7922">
        <f>HYPERLINK("https://www.reddit.com/r/diabetes/comments/e48dmv/what_is_it_like_dealing_with_type1_every_day/")</f>
        <v/>
      </c>
      <c r="G7922" t="inlineStr">
        <is>
          <t>2019-11-30 18:23:58</t>
        </is>
      </c>
      <c r="H7922" t="inlineStr">
        <is>
          <t>Type 1</t>
        </is>
      </c>
    </row>
    <row r="7923">
      <c r="A7923" t="inlineStr">
        <is>
          <t>e4bpp6</t>
        </is>
      </c>
      <c r="B7923" t="inlineStr">
        <is>
          <t>Anyone here taking metformin has tinnitus?</t>
        </is>
      </c>
      <c r="C7923" t="inlineStr">
        <is>
          <t>I'm considering taking metformin, off-label, for my tinnitus.  I'm just curious if those who take metformin and currently have tinnitus if it has had any effect. Any info would be appreciated. Thanks.</t>
        </is>
      </c>
      <c r="D7923" t="n">
        <v>1</v>
      </c>
      <c r="E7923" t="n">
        <v>9</v>
      </c>
      <c r="F7923">
        <f>HYPERLINK("https://www.reddit.com/r/diabetes/comments/e4bpp6/anyone_here_taking_metformin_has_tinnitus/")</f>
        <v/>
      </c>
      <c r="G7923" t="inlineStr">
        <is>
          <t>2019-11-30 21:49:46</t>
        </is>
      </c>
      <c r="H7923" t="inlineStr">
        <is>
          <t>Type 1</t>
        </is>
      </c>
    </row>
    <row r="7924">
      <c r="A7924" t="inlineStr">
        <is>
          <t>e4cnsy</t>
        </is>
      </c>
      <c r="B7924" t="inlineStr">
        <is>
          <t>How many times does an undiagnosed diabetic pee?</t>
        </is>
      </c>
      <c r="C7924" t="inlineStr">
        <is>
          <t>Hello everyone, I'm sorry to bother you with this stupid question. I;m worried I might be a diabetic, but the thing is I'm also a hypochondriac so that might be it. Are the signs of diabetes obvious? I have always considered that I go to the toilet more than the average person. Maybe 10-12 times a day(at most), I also drink more liquid than average but not in abnormal amounts.If I drink alcohol I tend to go to the bathroom more to. I never wake up to go to the bathroom tho. I haven't had any weight loss recently. I know you would probably recommend to go to the doctor but I have a test in 3 days and now I cant concentrate because I'm telling myself I'm an undiagnosed diabetic.</t>
        </is>
      </c>
      <c r="D7924" t="n">
        <v>1</v>
      </c>
      <c r="E7924" t="n">
        <v>13</v>
      </c>
      <c r="F7924">
        <f>HYPERLINK("https://www.reddit.com/r/diabetes/comments/e4cnsy/how_many_times_does_an_undiagnosed_diabetic_pee/")</f>
        <v/>
      </c>
      <c r="G7924" t="inlineStr">
        <is>
          <t>2019-11-30 22:53:43</t>
        </is>
      </c>
      <c r="H7924" t="inlineStr">
        <is>
          <t>Type 1</t>
        </is>
      </c>
    </row>
    <row r="7925">
      <c r="A7925" t="inlineStr">
        <is>
          <t>e4jj2e</t>
        </is>
      </c>
      <c r="B7925" t="inlineStr">
        <is>
          <t>Newly Diagnosed</t>
        </is>
      </c>
      <c r="C7925" t="inlineStr">
        <is>
          <t>Hello everyone,
My name is Taylor and I have been diagnosed a diabetic type 1 for about a week now.
Any tips or tricks for a new diabetic? I have been placed on only long acting insulin for right now.</t>
        </is>
      </c>
      <c r="D7925" t="n">
        <v>1</v>
      </c>
      <c r="E7925" t="n">
        <v>9</v>
      </c>
      <c r="F7925">
        <f>HYPERLINK("https://www.reddit.com/r/diabetes/comments/e4jj2e/newly_diagnosed/")</f>
        <v/>
      </c>
      <c r="G7925" t="inlineStr">
        <is>
          <t>2019-12-01 08:26:31</t>
        </is>
      </c>
      <c r="H7925" t="inlineStr">
        <is>
          <t>Type 1</t>
        </is>
      </c>
    </row>
    <row r="7926">
      <c r="A7926" t="inlineStr">
        <is>
          <t>e4jj7o</t>
        </is>
      </c>
      <c r="B7926" t="inlineStr">
        <is>
          <t>Jetlag!</t>
        </is>
      </c>
      <c r="C7926" t="inlineStr">
        <is>
          <t>I flew to Canada from the UK four days ago and I feel like jet lag has hit me much harder than normal. My levels have been consistently high. Like this morning I woke up with levels around 16, had two slices of marble rye toast with almond butter and jam, dosed 11u of Humalog over two hours late I’m 15.7. So frustrating!
I work remotely on my laptop so I haven’t exactly been active, but I feel like 11u should be doing more than that!
Anyone else struggle with jet lag and insulin resistance?</t>
        </is>
      </c>
      <c r="D7926" t="n">
        <v>1</v>
      </c>
      <c r="E7926" t="n">
        <v>3</v>
      </c>
      <c r="F7926">
        <f>HYPERLINK("https://www.reddit.com/r/diabetes/comments/e4jj7o/jetlag/")</f>
        <v/>
      </c>
      <c r="G7926" t="inlineStr">
        <is>
          <t>2019-12-01 08:26:49</t>
        </is>
      </c>
      <c r="H7926" t="inlineStr">
        <is>
          <t>Type 1</t>
        </is>
      </c>
    </row>
    <row r="7927">
      <c r="A7927" t="inlineStr">
        <is>
          <t>e4ksgx</t>
        </is>
      </c>
      <c r="B7927" t="inlineStr">
        <is>
          <t>Diabetes relationship with spearmint gum</t>
        </is>
      </c>
      <c r="C7927" t="inlineStr">
        <is>
          <t>Me and my dad we’re talking and he remembered someone saying that spearmint gum did something with diabetes. Does anyone know what he might be talking about?</t>
        </is>
      </c>
      <c r="D7927" t="n">
        <v>1</v>
      </c>
      <c r="E7927" t="n">
        <v>5</v>
      </c>
      <c r="F7927">
        <f>HYPERLINK("https://www.reddit.com/r/diabetes/comments/e4ksgx/diabetes_relationship_with_spearmint_gum/")</f>
        <v/>
      </c>
      <c r="G7927" t="inlineStr">
        <is>
          <t>2019-12-01 09:52:35</t>
        </is>
      </c>
      <c r="H7927" t="inlineStr">
        <is>
          <t>Type 1</t>
        </is>
      </c>
    </row>
    <row r="7928">
      <c r="A7928" t="inlineStr">
        <is>
          <t>e4uleo</t>
        </is>
      </c>
      <c r="B7928" t="inlineStr">
        <is>
          <t>Dexcom g6 receiver For Sale</t>
        </is>
      </c>
      <c r="C7928" t="inlineStr">
        <is>
          <t>Brand new got it one month ago, I use my phone instead of the receiver so I don’t use it.</t>
        </is>
      </c>
      <c r="D7928" t="n">
        <v>1</v>
      </c>
      <c r="E7928" t="n">
        <v>1</v>
      </c>
      <c r="F7928">
        <f>HYPERLINK("https://www.reddit.com/r/diabetes/comments/e4uleo/dexcom_g6_receiver_for_sale/")</f>
        <v/>
      </c>
      <c r="G7928" t="inlineStr">
        <is>
          <t>2019-12-01 21:52:08</t>
        </is>
      </c>
      <c r="H7928" t="inlineStr">
        <is>
          <t>Type 1</t>
        </is>
      </c>
    </row>
    <row r="7929">
      <c r="A7929" t="inlineStr">
        <is>
          <t>e4wor3</t>
        </is>
      </c>
      <c r="B7929" t="inlineStr">
        <is>
          <t>Type 1 + having a really bad cold = feeling so shit :(</t>
        </is>
      </c>
      <c r="C7929" t="inlineStr">
        <is>
          <t>At least I didn't have to go to school</t>
        </is>
      </c>
      <c r="D7929" t="n">
        <v>1</v>
      </c>
      <c r="E7929" t="n">
        <v>4</v>
      </c>
      <c r="F7929">
        <f>HYPERLINK("https://www.reddit.com/r/diabetes/comments/e4wor3/type_1_having_a_really_bad_cold_feeling_so_shit/")</f>
        <v/>
      </c>
      <c r="G7929" t="inlineStr">
        <is>
          <t>2019-12-02 01:28:28</t>
        </is>
      </c>
      <c r="H7929" t="inlineStr">
        <is>
          <t>Type 1</t>
        </is>
      </c>
    </row>
    <row r="7930">
      <c r="A7930" t="inlineStr">
        <is>
          <t>e4wulf</t>
        </is>
      </c>
      <c r="B7930" t="inlineStr">
        <is>
          <t>Question about DKA</t>
        </is>
      </c>
      <c r="C7930" t="inlineStr">
        <is>
          <t>So when swapping over a Dexcom sensor last night I was an idiot at a party and carbed up while it was in the 2 hour down period.
I came out of it high at roughly 400 and was able to get it under control shortly afterwords. That night though while sleeping it went back into the high range and has honestly been a bitch to bring back down into the safe range. Even with some extra insulin it took it sweet time to get back down into range. On top of that I woke up really sore and fatigued and have had light nausea all day.
I have no severe symptoms but a bunch of smaller light ones and have been on the fence about going to the ER to be on the safe side. Not sure if this is some form of DKA (never had before) or just a bug I picked up that’s making me feel pooky.
Can I get some input please?</t>
        </is>
      </c>
      <c r="D7930" t="n">
        <v>1</v>
      </c>
      <c r="E7930" t="n">
        <v>7</v>
      </c>
      <c r="F7930">
        <f>HYPERLINK("https://www.reddit.com/r/diabetes/comments/e4wulf/question_about_dka/")</f>
        <v/>
      </c>
      <c r="G7930" t="inlineStr">
        <is>
          <t>2019-12-02 01:46:41</t>
        </is>
      </c>
      <c r="H7930" t="inlineStr">
        <is>
          <t>Type 1</t>
        </is>
      </c>
    </row>
    <row r="7931">
      <c r="A7931" t="inlineStr">
        <is>
          <t>e4x7x8</t>
        </is>
      </c>
      <c r="B7931" t="inlineStr">
        <is>
          <t>I just share a diabetic video content if you like just hit like button or just comment (to improve my videos)!!!</t>
        </is>
      </c>
      <c r="C7931" t="inlineStr">
        <is>
          <t>Do you know type 2 diabetes cause fatigue? ​The Symptoms for fatigue  
This video is about “Fatigue” which is the second common symptom for type 2 diabetes. The factors which cause fatigue are the following...</t>
        </is>
      </c>
      <c r="D7931" t="n">
        <v>1</v>
      </c>
      <c r="E7931" t="n">
        <v>1</v>
      </c>
      <c r="F7931">
        <f>HYPERLINK("https://www.reddit.com/r/diabetes/comments/e4x7x8/i_just_share_a_diabetic_video_content_if_you_like/")</f>
        <v/>
      </c>
      <c r="G7931" t="inlineStr">
        <is>
          <t>2019-12-02 02:26:10</t>
        </is>
      </c>
      <c r="H7931" t="inlineStr">
        <is>
          <t>Type 2</t>
        </is>
      </c>
    </row>
    <row r="7932">
      <c r="A7932" t="inlineStr">
        <is>
          <t>e55y17</t>
        </is>
      </c>
      <c r="B7932" t="inlineStr">
        <is>
          <t>Do I have diabetes?</t>
        </is>
      </c>
      <c r="C7932" t="inlineStr">
        <is>
          <t>I have been experiencing a very dry mouth and I also always need to pee however I don't get up in the night to go pee or drink. I am not overly hungry nor am I overly thirsty but I am very stressed. I am 18 and am not overweight or on any medication. What is happening to me?
Also on a separator point, does everyone who has type 2 diabetes experience pre-diabetes before? 
I AM VERY STRESSED</t>
        </is>
      </c>
      <c r="D7932" t="n">
        <v>1</v>
      </c>
      <c r="E7932" t="n">
        <v>4</v>
      </c>
      <c r="F7932">
        <f>HYPERLINK("https://www.reddit.com/r/diabetes/comments/e55y17/do_i_have_diabetes/")</f>
        <v/>
      </c>
      <c r="G7932" t="inlineStr">
        <is>
          <t>2019-12-02 13:34:05</t>
        </is>
      </c>
      <c r="H7932" t="inlineStr">
        <is>
          <t>Type 2</t>
        </is>
      </c>
    </row>
    <row r="7933">
      <c r="A7933" t="inlineStr">
        <is>
          <t>e5b5g5</t>
        </is>
      </c>
      <c r="B7933" t="inlineStr">
        <is>
          <t>Help! T1D advice needed for a relationship.</t>
        </is>
      </c>
      <c r="C7933" t="inlineStr">
        <is>
          <t>I come from a traditional asian household and was set up by my parents with a girl who told me after 3 months that she has T1D. We talked about it, I did my research, and as an educated adult I understood that, with good care and management, there is no reason for this to abnormally affect our relationship. For me, this doesn't change anything. She's been dealing with it for 10+ years and taking great care of herself. My parents loved her and thought she was a dream come true. Now they think she's "sick" and have ended our relationship. This is wrong and discriminatory, but we cannot move forward without my parents on board. What do I do? I love this girl. I need help leading my parents out of this fearful, cultural mindset.
Any articles, support, or factual information would really help in convincing my parents that this is \*not\* a death sentence.</t>
        </is>
      </c>
      <c r="D7933" t="n">
        <v>1</v>
      </c>
      <c r="E7933" t="n">
        <v>4</v>
      </c>
      <c r="F7933">
        <f>HYPERLINK("https://www.reddit.com/r/diabetes/comments/e5b5g5/help_t1d_advice_needed_for_a_relationship/")</f>
        <v/>
      </c>
      <c r="G7933" t="inlineStr">
        <is>
          <t>2019-12-02 19:52:17</t>
        </is>
      </c>
      <c r="H7933" t="inlineStr">
        <is>
          <t>Type 1</t>
        </is>
      </c>
    </row>
    <row r="7934">
      <c r="A7934" t="inlineStr">
        <is>
          <t>e5e7y4</t>
        </is>
      </c>
      <c r="B7934" t="inlineStr">
        <is>
          <t>T1D in college: advice please!</t>
        </is>
      </c>
      <c r="C7934" t="inlineStr">
        <is>
          <t>Hello! I have been diagnosed with T1D this past August before my first semester in college. In addition to my transition to college, I also have another lifestyle change. I was hospitalized after my annual physician appointment coming back from vacation. I am lucky to have received a CGM during freshman orientation however I still am having difficulty managing my condition. I have been in college for almost a semester and would like advice on a few topics. 
For one, I have not told anyone from my hometown about my condition because my parents don't want me to. They have good intentions as the asian community in my hometown is very traditional. My parents want to protect me from any 'rumors' that would most likely go around stating how I am "sick", I have bad genes, etc. I understand my parents' view but I want to tell at least tell my high school friends. However, I am unsure how to tell them as it has been 5 months since my diagnosis and my college is out of state so I have only seen them during college breaks. I would be open to hearing any diabetes coming out stories lol. 
I have told my friends in college of my condition but I would also like to hear advice on managing diabetes in college. For example, advice on drinking, when to tell someone about this condition in a relationship, insulin pump in college?, counting carbs in dining halls, etc. I am very new to this and would like to hear stories and advice from those who have/had with diabetes in college or in similar scenarios. 
I personally don't know anyone with this condition and some things I can't ask endo so I'm glad that there is a sub for diabetes :) I have been lurking on this sub for a while but I have been a bit happier after finding this sub knowing that there are others out there :)</t>
        </is>
      </c>
      <c r="D7934" t="n">
        <v>1</v>
      </c>
      <c r="E7934" t="n">
        <v>17</v>
      </c>
      <c r="F7934">
        <f>HYPERLINK("https://www.reddit.com/r/diabetes/comments/e5e7y4/t1d_in_college_advice_please/")</f>
        <v/>
      </c>
      <c r="G7934" t="inlineStr">
        <is>
          <t>2019-12-03 00:35:25</t>
        </is>
      </c>
      <c r="H7934" t="inlineStr">
        <is>
          <t>Type 1</t>
        </is>
      </c>
    </row>
    <row r="7935">
      <c r="A7935" t="inlineStr">
        <is>
          <t>e5gfcv</t>
        </is>
      </c>
      <c r="B7935" t="inlineStr">
        <is>
          <t>Caffeine and type 1 diabetes</t>
        </is>
      </c>
      <c r="C7935" t="inlineStr">
        <is>
          <t>I found this article quite interesting about [Caffeine and type 1 diabetes](https://beyondtype1.org/caffeine-type-1-diabetes/).
&amp;gt;Have you ever noticed a difference in your blood sugar after drinking a big cup of coffee or tea?
[https://beyondtype1.org/caffeine-type-1-diabetes/](https://beyondtype1.org/caffeine-type-1-diabetes/)
Are you also encountering these weird effects?</t>
        </is>
      </c>
      <c r="D7935" t="n">
        <v>1</v>
      </c>
      <c r="E7935" t="n">
        <v>4</v>
      </c>
      <c r="F7935">
        <f>HYPERLINK("https://www.reddit.com/r/diabetes/comments/e5gfcv/caffeine_and_type_1_diabetes/")</f>
        <v/>
      </c>
      <c r="G7935" t="inlineStr">
        <is>
          <t>2019-12-03 04:28:04</t>
        </is>
      </c>
      <c r="H7935" t="inlineStr">
        <is>
          <t>Type 1</t>
        </is>
      </c>
    </row>
    <row r="7936">
      <c r="A7936" t="inlineStr">
        <is>
          <t>e5ggau</t>
        </is>
      </c>
      <c r="B7936" t="inlineStr">
        <is>
          <t>pretty certain i have the flu</t>
        </is>
      </c>
      <c r="C7936" t="inlineStr">
        <is>
          <t>the only thing is that i don’t have a fever. but still, everything hurts and even just standing up is exhausting. pray for me haha</t>
        </is>
      </c>
      <c r="D7936" t="n">
        <v>1</v>
      </c>
      <c r="E7936" t="n">
        <v>3</v>
      </c>
      <c r="F7936">
        <f>HYPERLINK("https://www.reddit.com/r/diabetes/comments/e5ggau/pretty_certain_i_have_the_flu/")</f>
        <v/>
      </c>
      <c r="G7936" t="inlineStr">
        <is>
          <t>2019-12-03 04:30:37</t>
        </is>
      </c>
      <c r="H7936" t="inlineStr">
        <is>
          <t>Type 1</t>
        </is>
      </c>
    </row>
    <row r="7937">
      <c r="A7937" t="inlineStr">
        <is>
          <t>e5iiha</t>
        </is>
      </c>
      <c r="B7937" t="inlineStr">
        <is>
          <t>Is there a cure for T1 which would cost thousands n thousands?</t>
        </is>
      </c>
      <c r="C7937" t="inlineStr">
        <is>
          <t>I’m getting fed up, I’m curious</t>
        </is>
      </c>
      <c r="D7937" t="n">
        <v>1</v>
      </c>
      <c r="E7937" t="n">
        <v>16</v>
      </c>
      <c r="F7937">
        <f>HYPERLINK("https://www.reddit.com/r/diabetes/comments/e5iiha/is_there_a_cure_for_t1_which_would_cost_thousands/")</f>
        <v/>
      </c>
      <c r="G7937" t="inlineStr">
        <is>
          <t>2019-12-03 07:16:29</t>
        </is>
      </c>
      <c r="H7937" t="inlineStr">
        <is>
          <t>Type 1</t>
        </is>
      </c>
    </row>
    <row r="7938">
      <c r="A7938" t="inlineStr">
        <is>
          <t>e5m7jm</t>
        </is>
      </c>
      <c r="B7938" t="inlineStr">
        <is>
          <t>Type 1 Heroes</t>
        </is>
      </c>
      <c r="C7938" t="inlineStr">
        <is>
          <t>I am a filmmaker from Kansas working on a documentary for Type 1 with Team Schnak in hopes to raise awareness.  Follow our journey on Facebook or on YouTube by following Team Schnak and Strathman Creative</t>
        </is>
      </c>
      <c r="D7938" t="n">
        <v>1</v>
      </c>
      <c r="E7938" t="n">
        <v>2</v>
      </c>
      <c r="F7938">
        <f>HYPERLINK("https://www.reddit.com/r/diabetes/comments/e5m7jm/type_1_heroes/")</f>
        <v/>
      </c>
      <c r="G7938" t="inlineStr">
        <is>
          <t>2019-12-03 11:29:50</t>
        </is>
      </c>
      <c r="H7938" t="inlineStr">
        <is>
          <t>Type 1</t>
        </is>
      </c>
    </row>
    <row r="7939">
      <c r="A7939" t="inlineStr">
        <is>
          <t>e5p7tl</t>
        </is>
      </c>
      <c r="B7939" t="inlineStr">
        <is>
          <t>Nervous, questions about A1Cs.</t>
        </is>
      </c>
      <c r="C7939" t="inlineStr">
        <is>
          <t>Does your family doctor normally want to talk to you about your A1Cs even if they're ok? I gather the testing is routine for diabetics, is a followup routine as well?</t>
        </is>
      </c>
      <c r="D7939" t="n">
        <v>1</v>
      </c>
      <c r="E7939" t="n">
        <v>9</v>
      </c>
      <c r="F7939">
        <f>HYPERLINK("https://www.reddit.com/r/diabetes/comments/e5p7tl/nervous_questions_about_a1cs/")</f>
        <v/>
      </c>
      <c r="G7939" t="inlineStr">
        <is>
          <t>2019-12-03 14:49:49</t>
        </is>
      </c>
      <c r="H7939" t="inlineStr">
        <is>
          <t>Type 2</t>
        </is>
      </c>
    </row>
    <row r="7940">
      <c r="A7940" t="inlineStr">
        <is>
          <t>e5umuj</t>
        </is>
      </c>
      <c r="B7940" t="inlineStr">
        <is>
          <t>Anyone on trulicity and can no longer stomach eating eggs?</t>
        </is>
      </c>
      <c r="C7940" t="inlineStr">
        <is>
          <t>Eggs used to be a staple food for me but since being on the shot I can no longer stomach them.</t>
        </is>
      </c>
      <c r="D7940" t="n">
        <v>1</v>
      </c>
      <c r="E7940" t="n">
        <v>3</v>
      </c>
      <c r="F7940">
        <f>HYPERLINK("https://www.reddit.com/r/diabetes/comments/e5umuj/anyone_on_trulicity_and_can_no_longer_stomach/")</f>
        <v/>
      </c>
      <c r="G7940" t="inlineStr">
        <is>
          <t>2019-12-03 21:43:35</t>
        </is>
      </c>
      <c r="H7940" t="inlineStr">
        <is>
          <t>Type 2</t>
        </is>
      </c>
    </row>
    <row r="7941">
      <c r="A7941" t="inlineStr">
        <is>
          <t>e5xzts</t>
        </is>
      </c>
      <c r="B7941" t="inlineStr">
        <is>
          <t>Weird diabetes experiences?</t>
        </is>
      </c>
      <c r="C7941" t="inlineStr">
        <is>
          <t>I’m a type one diabetic with less-then-optimal control, but even with constant highs, I have never had an experience like this. I woke up shaky with a stomach ache, so I dragged myself downstairs, and checked my blood sugar. It was 443 mg/dL. I corrected and chilled out (note, it was 4:30 am and I was exhausted)
Ten minutes later, I checked my blood sugar again and it had risen to 567 mg/dL.  I checked again with a new lancet and alcohol wipes, and it was 565.mg/dL. I had somehow risen over 100 mg/dL within 10 minutes without having anything to eat in the past 10 hours. Anyone have similar experiences or an idea what happened?</t>
        </is>
      </c>
      <c r="D7941" t="n">
        <v>1</v>
      </c>
      <c r="E7941" t="n">
        <v>4</v>
      </c>
      <c r="F7941">
        <f>HYPERLINK("https://www.reddit.com/r/diabetes/comments/e5xzts/weird_diabetes_experiences/")</f>
        <v/>
      </c>
      <c r="G7941" t="inlineStr">
        <is>
          <t>2019-12-04 03:40:21</t>
        </is>
      </c>
      <c r="H7941" t="inlineStr">
        <is>
          <t>Type 1</t>
        </is>
      </c>
    </row>
    <row r="7942">
      <c r="A7942" t="inlineStr">
        <is>
          <t>e5y23h</t>
        </is>
      </c>
      <c r="B7942" t="inlineStr">
        <is>
          <t>Does anyone have any old blood sugar patches? I want to start using something like a G6 to check my sugar.</t>
        </is>
      </c>
      <c r="C7942" t="inlineStr">
        <is>
          <t>I have money</t>
        </is>
      </c>
      <c r="D7942" t="n">
        <v>1</v>
      </c>
      <c r="E7942" t="n">
        <v>10</v>
      </c>
      <c r="F7942">
        <f>HYPERLINK("https://www.reddit.com/r/diabetes/comments/e5y23h/does_anyone_have_any_old_blood_sugar_patches_i/")</f>
        <v/>
      </c>
      <c r="G7942" t="inlineStr">
        <is>
          <t>2019-12-04 03:46:11</t>
        </is>
      </c>
      <c r="H7942" t="inlineStr">
        <is>
          <t>Type 1</t>
        </is>
      </c>
    </row>
    <row r="7943">
      <c r="A7943" t="inlineStr">
        <is>
          <t>e5y4sk</t>
        </is>
      </c>
      <c r="B7943" t="inlineStr">
        <is>
          <t>does anybody know if the BD micro fine pen needles are the same as the ultra fine pen needles?</t>
        </is>
      </c>
      <c r="C7943" t="inlineStr">
        <is>
          <t>I am out of refills on my ultra fine pen needles, but amazon sells the micro fine for $13.99/box, so I ordered some. I’ve never heard of the micro fine but they are the same gauge and length it looks like. So what the heck is the difference?</t>
        </is>
      </c>
      <c r="D7943" t="n">
        <v>1</v>
      </c>
      <c r="E7943" t="n">
        <v>9</v>
      </c>
      <c r="F7943">
        <f>HYPERLINK("https://www.reddit.com/r/diabetes/comments/e5y4sk/does_anybody_know_if_the_bd_micro_fine_pen/")</f>
        <v/>
      </c>
      <c r="G7943" t="inlineStr">
        <is>
          <t>2019-12-04 03:53:28</t>
        </is>
      </c>
      <c r="H7943" t="inlineStr">
        <is>
          <t>Type 1</t>
        </is>
      </c>
    </row>
    <row r="7944">
      <c r="A7944" t="inlineStr">
        <is>
          <t>e5ykys</t>
        </is>
      </c>
      <c r="B7944" t="inlineStr">
        <is>
          <t>Tandem T-Slim X2 Tips, Tricks, Hacks for saving Insulin</t>
        </is>
      </c>
      <c r="C7944" t="inlineStr">
        <is>
          <t>Has anyone learned any tricks on how not to waste insulin when refilling a cartridge on their T-slim pump?  I know not everyone reuses their carts but I find using the cartridge/infusion set through two fills works well for me and saves me money on supplies.  The problem comes when priming the tubing a second time. When there is already insulin in from the first cartridge fill, and then I am forced by the pump to re-prime again a minimum of 10 units, that insulin just drips out down the drain.  Over time this really adds up. Knowing people out there are going without and I am just basically throwing ANY in the garbage really bugs me.  Can that already primed tubing insulin be recaptured somehow?</t>
        </is>
      </c>
      <c r="D7944" t="n">
        <v>1</v>
      </c>
      <c r="E7944" t="n">
        <v>6</v>
      </c>
      <c r="F7944">
        <f>HYPERLINK("https://www.reddit.com/r/diabetes/comments/e5ykys/tandem_tslim_x2_tips_tricks_hacks_for_saving/")</f>
        <v/>
      </c>
      <c r="G7944" t="inlineStr">
        <is>
          <t>2019-12-04 04:34:45</t>
        </is>
      </c>
      <c r="H7944" t="inlineStr">
        <is>
          <t>Type 1</t>
        </is>
      </c>
    </row>
    <row r="7945">
      <c r="A7945" t="inlineStr">
        <is>
          <t>e60d7w</t>
        </is>
      </c>
      <c r="B7945" t="inlineStr">
        <is>
          <t>Got my A1C down to 7.4 in 2 months!</t>
        </is>
      </c>
      <c r="C7945" t="inlineStr">
        <is>
          <t>Sorry for the self-praise, but I'm proud :)
I was diagnosed with Type2, 2 months ago, my A1C at that time was 9.6. I'm now on Metformin, 1000mg every morning and 1000mg every evening. I've also lost a total of 12 pounds. I'm not doing a lot of exercising, but I'm moving more and cleaning the house more. I've been VERY Careful about my carb intake, but haven't watched my fat and salt intake much.
Also, my blood pressure has been slightly elevated for the past year or so, and today it was back to normal ranges.
I've got a lot more work to do, and I'm trying to think about this mentally as a lifestyle change. Even if I can get off the meds and get my A1C below 6, I'll have to watch my carbs for life! 
I don't post a lot, but I've been reading in this sub for a while now. Thank you all for the pointers and advice. I've learned a lot.</t>
        </is>
      </c>
      <c r="D7945" t="n">
        <v>1</v>
      </c>
      <c r="E7945" t="n">
        <v>6</v>
      </c>
      <c r="F7945">
        <f>HYPERLINK("https://www.reddit.com/r/diabetes/comments/e60d7w/got_my_a1c_down_to_74_in_2_months/")</f>
        <v/>
      </c>
      <c r="G7945" t="inlineStr">
        <is>
          <t>2019-12-04 06:55:16</t>
        </is>
      </c>
      <c r="H7945" t="inlineStr">
        <is>
          <t>Type 2</t>
        </is>
      </c>
    </row>
    <row r="7946">
      <c r="A7946" t="inlineStr">
        <is>
          <t>e6ffff</t>
        </is>
      </c>
      <c r="B7946" t="inlineStr">
        <is>
          <t>uncontrolled diabetes for six years?</t>
        </is>
      </c>
      <c r="C7946" t="inlineStr">
        <is>
          <t>Hey guys! I’m 19 now, 13 when I was diagnosed. The lowest my A1C has ever been is like an 8.2. Sometimes I’m terrified of having complications later in life because I haven’t been able to tame my blood sugars. I don’t know what to do honestly - I can’t go see the doctors as often because that’s super expensive. I’m vegetarian and that greatly reduces the carb free foods I can have. I just don’t want to have to get my feet cut off, you know?</t>
        </is>
      </c>
      <c r="D7946" t="n">
        <v>1</v>
      </c>
      <c r="E7946" t="n">
        <v>4</v>
      </c>
      <c r="F7946">
        <f>HYPERLINK("https://www.reddit.com/r/diabetes/comments/e6ffff/uncontrolled_diabetes_for_six_years/")</f>
        <v/>
      </c>
      <c r="G7946" t="inlineStr">
        <is>
          <t>2019-12-05 02:33:00</t>
        </is>
      </c>
      <c r="H7946" t="inlineStr">
        <is>
          <t>Type 1</t>
        </is>
      </c>
    </row>
    <row r="7947">
      <c r="A7947" t="inlineStr">
        <is>
          <t>e6k0yn</t>
        </is>
      </c>
      <c r="B7947" t="inlineStr">
        <is>
          <t>Dexcom App Update?</t>
        </is>
      </c>
      <c r="C7947" t="inlineStr">
        <is>
          <t>I cant find any dates anywhere regarding this but my wife just got the G6....and an iPhone 11. The app is not compatible with the newest iOS yet. Has anyone seen a date when the app will be updated?</t>
        </is>
      </c>
      <c r="D7947" t="n">
        <v>1</v>
      </c>
      <c r="E7947" t="n">
        <v>2</v>
      </c>
      <c r="F7947">
        <f>HYPERLINK("https://www.reddit.com/r/diabetes/comments/e6k0yn/dexcom_app_update/")</f>
        <v/>
      </c>
      <c r="G7947" t="inlineStr">
        <is>
          <t>2019-12-05 09:01:11</t>
        </is>
      </c>
      <c r="H7947" t="inlineStr">
        <is>
          <t>Type 1</t>
        </is>
      </c>
    </row>
    <row r="7948">
      <c r="A7948" t="inlineStr">
        <is>
          <t>e6m8ud</t>
        </is>
      </c>
      <c r="B7948" t="inlineStr">
        <is>
          <t>Your favorite diabetic-friendly meal prep</t>
        </is>
      </c>
      <c r="C7948" t="inlineStr">
        <is>
          <t>I'm searching for good recipes, but I always only find fitness related stuff.
What are some of your favorites that will never spike our bg?</t>
        </is>
      </c>
      <c r="D7948" t="n">
        <v>1</v>
      </c>
      <c r="E7948" t="n">
        <v>4</v>
      </c>
      <c r="F7948">
        <f>HYPERLINK("https://www.reddit.com/r/diabetes/comments/e6m8ud/your_favorite_diabeticfriendly_meal_prep/")</f>
        <v/>
      </c>
      <c r="G7948" t="inlineStr">
        <is>
          <t>2019-12-05 11:33:50</t>
        </is>
      </c>
      <c r="H7948" t="inlineStr">
        <is>
          <t>Type 1</t>
        </is>
      </c>
    </row>
    <row r="7949">
      <c r="A7949" t="inlineStr">
        <is>
          <t>e6o1yf</t>
        </is>
      </c>
      <c r="B7949" t="inlineStr">
        <is>
          <t>Diabetes apps, tried most of them, tired of them</t>
        </is>
      </c>
      <c r="C7949" t="inlineStr">
        <is>
          <t>Hey everybody. 
I was diagnosed with T1 diabetes 2 monthes ago, admitted to the hospital with a blood sugar of 33 mmol/L. I'm 29 years old, been through some rough times.  What has been the hardest part for you after the diagnosis? For me it's definitely carb counting. I tried a lot of apps to help me with this task. Some of them were pretty useful, but I just couldn't find that desperately needed "aaa that's it!" feel to them. Everything is built around the same idea, nothing quite paradigm-shifting. So I decided to build my own solution for the eating/meals/food n' stuff problem. At least something keeps me busy in my freetime. DM me if you are interested.</t>
        </is>
      </c>
      <c r="D7949" t="n">
        <v>1</v>
      </c>
      <c r="E7949" t="n">
        <v>4</v>
      </c>
      <c r="F7949">
        <f>HYPERLINK("https://www.reddit.com/r/diabetes/comments/e6o1yf/diabetes_apps_tried_most_of_them_tired_of_them/")</f>
        <v/>
      </c>
      <c r="G7949" t="inlineStr">
        <is>
          <t>2019-12-05 13:34:45</t>
        </is>
      </c>
      <c r="H7949" t="inlineStr">
        <is>
          <t>Type 1</t>
        </is>
      </c>
    </row>
    <row r="7950">
      <c r="A7950" t="inlineStr">
        <is>
          <t>e6t5hj</t>
        </is>
      </c>
      <c r="B7950" t="inlineStr">
        <is>
          <t>my life’s a mess.</t>
        </is>
      </c>
      <c r="C7950" t="inlineStr">
        <is>
          <t>so it’s important to know, i’m assuming ( i think so ), i’m almost 18 and i’ve had diabetes for almost 16 years. 
first being a female with T1:
so it’s a no brainer that hormones are annoying, especially for diabetics. so when that time of the month comes, my bg is shit for a few days before. but i have no clue how to help control it. i’ll fix and play around with ratios but nothing helps. so does anyone have advice for that ?
my health in general:
so my diabetes sucks. but i went on the cgm, life changer. and i’m going to be going on the pump. which i’m excited for, weird to say haha, but yeah. but being a teenager i don’t eat the best, yes i have a nutritionist, and i don’t feel comfortable working out and personally sometimes i can black out so have to watch out anyway. um this isn’t really enough for advice. but i’m not good at using words unless i’m being asked, if that makes sense. i’m sorry.</t>
        </is>
      </c>
      <c r="D7950" t="n">
        <v>1</v>
      </c>
      <c r="E7950" t="n">
        <v>2</v>
      </c>
      <c r="F7950">
        <f>HYPERLINK("https://www.reddit.com/r/diabetes/comments/e6t5hj/my_lifes_a_mess/")</f>
        <v/>
      </c>
      <c r="G7950" t="inlineStr">
        <is>
          <t>2019-12-05 19:50:01</t>
        </is>
      </c>
      <c r="H7950" t="inlineStr">
        <is>
          <t>Type 1</t>
        </is>
      </c>
    </row>
    <row r="7951">
      <c r="A7951" t="inlineStr">
        <is>
          <t>e6tgg5</t>
        </is>
      </c>
      <c r="B7951" t="inlineStr">
        <is>
          <t>G6 restart count</t>
        </is>
      </c>
      <c r="C7951" t="inlineStr">
        <is>
          <t>So, I’m on my second session, great placement, no pain, not irritated, not falling off, reading pretty darn good. Do I push for a second restart and a third session on this one sensor? I’d love to just keep this thing running, but have this feeling it’s too good to be true. 
What has been your max number of sessions on a single sensor with good accuracy?</t>
        </is>
      </c>
      <c r="D7951" t="n">
        <v>1</v>
      </c>
      <c r="E7951" t="n">
        <v>3</v>
      </c>
      <c r="F7951">
        <f>HYPERLINK("https://www.reddit.com/r/diabetes/comments/e6tgg5/g6_restart_count/")</f>
        <v/>
      </c>
      <c r="G7951" t="inlineStr">
        <is>
          <t>2019-12-05 20:15:35</t>
        </is>
      </c>
      <c r="H7951" t="inlineStr">
        <is>
          <t>Type 1</t>
        </is>
      </c>
    </row>
    <row r="7952">
      <c r="A7952" t="inlineStr">
        <is>
          <t>e74kz1</t>
        </is>
      </c>
      <c r="B7952" t="inlineStr">
        <is>
          <t>The Traumatized Pancreas</t>
        </is>
      </c>
      <c r="C7952" t="inlineStr">
        <is>
          <t>I was diagnosed with Type 1 two weeks after I discovered my Father dead. If I think back, the symptoms started hours after I discovered him. He died from complications of diabetes. 
In the ER, I explained what happened and the doctor was stumped. Even my endocrinologist was surprised. My family doctor said it was possible that the shock at finding him caused my pancreas to go wonky. Still trying to figure out how it all works. 
I feel betrayed by my body, but I have had a good run. I only had one hospitalization and that was at the age of 20. I'm 36 now. I've long been expecting Diabetes just not now. 
Did anyone else out there have their diabetes triggered by a shock, death, accident? I just find it incredible at how much our emotions can affect our bodies? 
As my nephew said, "Grandpa broke your heart and your pancreas."</t>
        </is>
      </c>
      <c r="D7952" t="n">
        <v>1</v>
      </c>
      <c r="E7952" t="n">
        <v>17</v>
      </c>
      <c r="F7952">
        <f>HYPERLINK("https://www.reddit.com/r/diabetes/comments/e74kz1/the_traumatized_pancreas/")</f>
        <v/>
      </c>
      <c r="G7952" t="inlineStr">
        <is>
          <t>2019-12-06 13:08:12</t>
        </is>
      </c>
      <c r="H7952" t="inlineStr">
        <is>
          <t>Type 1</t>
        </is>
      </c>
    </row>
    <row r="7953">
      <c r="A7953" t="inlineStr">
        <is>
          <t>e74r6j</t>
        </is>
      </c>
      <c r="B7953" t="inlineStr">
        <is>
          <t>Help Needed! Where can I find insurance specifically for Diabetes?</t>
        </is>
      </c>
      <c r="C7953" t="inlineStr">
        <is>
          <t>Hi, I've been T2 since I was a child. I recently lost my job (July 2019) and need help getting insurance for myself since I can no longer afford supplies on my own. I don't have much money to pay for insurance, so I was wondering if there are any programs out there that could help me get supplies to start taking care of myself again (pump, insulin, cgm, glucose monitor, strips, needles, etc.). Any help is appreciated!
Thank you!
\-LittleColorz</t>
        </is>
      </c>
      <c r="D7953" t="n">
        <v>1</v>
      </c>
      <c r="E7953" t="n">
        <v>11</v>
      </c>
      <c r="F7953">
        <f>HYPERLINK("https://www.reddit.com/r/diabetes/comments/e74r6j/help_needed_where_can_i_find_insurance/")</f>
        <v/>
      </c>
      <c r="G7953" t="inlineStr">
        <is>
          <t>2019-12-06 13:20:58</t>
        </is>
      </c>
      <c r="H7953" t="inlineStr">
        <is>
          <t>Type 2</t>
        </is>
      </c>
    </row>
    <row r="7954">
      <c r="A7954" t="inlineStr">
        <is>
          <t>e75lv6</t>
        </is>
      </c>
      <c r="B7954" t="inlineStr">
        <is>
          <t>Finally feel good</t>
        </is>
      </c>
      <c r="C7954" t="inlineStr">
        <is>
          <t>Been a rough 2 years now, they thought I was type 2 turns out it was just a fat honeymoon period. Started insulin a few days ago, have to use a lot but I feel so good. I’ve been so energetic, been working out hard to try and rebuild the muscle I lost from the chronic weight loss. No more brain fog or shakes, no more fatigue or headaches. I feel so happy and good for once. Hope all you guys have as good a day as I’ve had, best of luck to all you struggling with this horrible disease... T1 or T2 light is always at the end of the tunnel if you keep your head up and don’t give in</t>
        </is>
      </c>
      <c r="D7954" t="n">
        <v>1</v>
      </c>
      <c r="E7954" t="n">
        <v>1</v>
      </c>
      <c r="F7954">
        <f>HYPERLINK("https://www.reddit.com/r/diabetes/comments/e75lv6/finally_feel_good/")</f>
        <v/>
      </c>
      <c r="G7954" t="inlineStr">
        <is>
          <t>2019-12-06 14:26:12</t>
        </is>
      </c>
      <c r="H7954" t="inlineStr">
        <is>
          <t>Type 1</t>
        </is>
      </c>
    </row>
    <row r="7955">
      <c r="A7955" t="inlineStr">
        <is>
          <t>e76qny</t>
        </is>
      </c>
      <c r="B7955" t="inlineStr">
        <is>
          <t>Diabetes Diary I created for my son....</t>
        </is>
      </c>
      <c r="C7955" t="inlineStr">
        <is>
          <t>I am not sure if this will be wanted, or if this is even allowed; so mods if this isn't allowed, please delete this...  I created a document for my son's diabetes to track as well as to calculate everything for my wife and myself.  My wife was struggling the day my son was diagnosed while sitting in the Children's Hospital during class.  I could see her slowly growing more frustrated with the math.  I said "there has to be an easier way for us to do this."  This is why I created this spreadsheet.  Its not an app or anything fancy, but it has made it very simple for us to use this instead of what we were using which was a paper log with a pen and a calculator.  After someone helped me in this sub earlier today, I figured I should share what I made with anyone that might need a solution and cant come up with one on their own...  This will allow you to have a relatively good base for you to start with and come up with your own look/feel and data...  
&amp;amp;#x200B;
**Be warned this is based on US unit of measure and my son is Type 1 diabetic.  So this is what works for him and us.**
&amp;amp;#x200B;
The link is [here.](https://docs.google.com/spreadsheets/d/1zrXydtSJEZ569BGdrKbZjagyml7mURjnQT8K_KDJY3s/edit?usp=sharing)  It is a Google Drive link.  Yes, this is shared on a newly created Google account so that my real one is not exposed.
&amp;amp;#x200B;
It has a lot of features that you will have to customize to your desired outcome.  This is also not the most prettiest spreadsheet in the world.  With that said, it has been wonderful.
&amp;amp;#x200B;
To use this, I open up my Formulas tab at the bottom of the sheet, and type or select the correct information for the meal.  I left in some example numbers so you can see how it works.  Play with it, if you wish.   Don't remove the formulas, though.  Only edit cells B2, B3, B4, B6 and B7 ([example](https://imgur.com/a/KJ8M9S3)).  It will then calculate all of the amount of insulin to give and will tell you to round up or down to the nearest half unit.  So in the example picture, we would give him a half a unit because it came out to 0.759 units, and you would round down to the nearest half unit, which comes to 0.5 units. This is based on what our Endocrinologist doctors told us was acceptable, so your mileage may vary.  Check with your Endocrinologist doctor and adjust the formulas as necessary.
&amp;amp;#x200B;
What I do next is I then go to the Card Diary tab at the bottom of the sheet, and I input how many carbs in the correct cell for the day.  Just type in the number, it fills in the units for you...  Done with that tab!
&amp;amp;#x200B;
Finally on my daily use of the sheet, I then go to the Diabetes Diary tab and fill out each cell as necessary.  So for Breakfast we would go to the 1st day of the month and put in how much insulin that my son will be getting for that meal.  Then I go over to the Long Lasing Insulin column, then type in the amount of units he received since he gets his long lasting insulin shot first thing at 8:00 a.m. every morning.  Next I go over to the Urine Sugar Ketones column and select if he has ketones on his first test of the day.  Usually is Negative for him, of course!  Next I will go over to the Breakfast Blood Sugar Level Column and type in his blood glucose level there.  It will highlight all high numbers above 180 to the color Pink, normal stays white in the cell, and lows highlight Yellow below 80.  If you want to change the colors, or values you will have to go to Format&amp;gt;Conditional formatting at the very top of the page and adjust as necessary.  Finally, if you have any notes to type in, like your kid was exercising, or whatever can explain a high or low, I will put those notes in the last column.  
&amp;amp;#x200B;
I do have a Ratios tab where I keep the ratios and sensitivity levels for each meal.  You can change that to your own liking...  Then there is a Insulin Dates sheet where you can keep track of when you pulled out and started to use insulin.  Input the date you opened it and used it, and it will automatically fill out the final day by adding 28 days on to it so you know when the last day is and have to swap our your insulin.  There is also a Carb Cheat Sheet tab if you want to put some carbs for certain foods down for ease of use.  You should always check labels though, as carbs can change on products.
&amp;amp;#x200B;
I **hope** this helps someone.  It has been a fun project.  I have a script running in my personal one that automatically backs the sheet up to a different folder on google drive, to which I manually download a few times a week.  If you want help doing this, PM me and I will be glad to give that to you.  Merry Christmas, or Happy Holidays!</t>
        </is>
      </c>
      <c r="D7955" t="n">
        <v>1</v>
      </c>
      <c r="E7955" t="n">
        <v>4</v>
      </c>
      <c r="F7955">
        <f>HYPERLINK("https://www.reddit.com/r/diabetes/comments/e76qny/diabetes_diary_i_created_for_my_son/")</f>
        <v/>
      </c>
      <c r="G7955" t="inlineStr">
        <is>
          <t>2019-12-06 15:55:28</t>
        </is>
      </c>
      <c r="H7955" t="inlineStr">
        <is>
          <t>Type 1</t>
        </is>
      </c>
    </row>
    <row r="7956">
      <c r="A7956" t="inlineStr">
        <is>
          <t>e7alw2</t>
        </is>
      </c>
      <c r="B7956" t="inlineStr">
        <is>
          <t>Can someone help with dexcom g5 receiver update?</t>
        </is>
      </c>
      <c r="C7956" t="inlineStr">
        <is>
          <t>Dear dia fellows, need some code from Dexcom but living outside the US. Can some one help to obtain the code?</t>
        </is>
      </c>
      <c r="D7956" t="n">
        <v>1</v>
      </c>
      <c r="E7956" t="n">
        <v>1</v>
      </c>
      <c r="F7956">
        <f>HYPERLINK("https://www.reddit.com/r/diabetes/comments/e7alw2/can_someone_help_with_dexcom_g5_receiver_update/")</f>
        <v/>
      </c>
      <c r="G7956" t="inlineStr">
        <is>
          <t>2019-12-06 21:50:47</t>
        </is>
      </c>
      <c r="H7956" t="inlineStr">
        <is>
          <t>Type 1</t>
        </is>
      </c>
    </row>
    <row r="7957">
      <c r="A7957" t="inlineStr">
        <is>
          <t>e7ao2p</t>
        </is>
      </c>
      <c r="B7957" t="inlineStr">
        <is>
          <t>Took almost double dose of toujeo</t>
        </is>
      </c>
      <c r="C7957" t="inlineStr">
        <is>
          <t>I finished a pen of toujeo tonight at 32 units of the normal 50 units. Then., I went to get a new pen which was toujeo max, and I had never used it before. So, I had to look up the differences because the pharmacy had not given me the box, only the pens. I ended up forgetting that I had already taken 32 units, and gave myself another 50. 
I am highly resistant to insulin and my bs hasn’t been Lower than 200 since I’ve been on this. It was in the 300s before. I ate a sandwich and a little Debbie fudge round after I realized what I had done. I’m planning on taking my bs in an hour 2am and then every hour all night.  Is this the right course of action.</t>
        </is>
      </c>
      <c r="D7957" t="n">
        <v>1</v>
      </c>
      <c r="E7957" t="n">
        <v>4</v>
      </c>
      <c r="F7957">
        <f>HYPERLINK("https://www.reddit.com/r/diabetes/comments/e7ao2p/took_almost_double_dose_of_toujeo/")</f>
        <v/>
      </c>
      <c r="G7957" t="inlineStr">
        <is>
          <t>2019-12-06 21:57:42</t>
        </is>
      </c>
      <c r="H7957" t="inlineStr">
        <is>
          <t>Type 2</t>
        </is>
      </c>
    </row>
    <row r="7958">
      <c r="A7958" t="inlineStr">
        <is>
          <t>e7hhu0</t>
        </is>
      </c>
      <c r="B7958" t="inlineStr">
        <is>
          <t>Diabetic in distress makes youtube channel as a means to improve health, educate, and provide support for other's in burnout or early diagnosis</t>
        </is>
      </c>
      <c r="C7958" t="inlineStr">
        <is>
          <t xml:space="preserve"> [https://www.youtube.com/channel/UCekdAixkKwi0u0k05CreuKQ](https://www.youtube.com/channel/UCekdAixkKwi0u0k05CreuKQ)</t>
        </is>
      </c>
      <c r="D7958" t="n">
        <v>1</v>
      </c>
      <c r="E7958" t="n">
        <v>0</v>
      </c>
      <c r="F7958">
        <f>HYPERLINK("https://www.reddit.com/r/diabetes/comments/e7hhu0/diabetic_in_distress_makes_youtube_channel_as_a/")</f>
        <v/>
      </c>
      <c r="G7958" t="inlineStr">
        <is>
          <t>2019-12-07 10:02:05</t>
        </is>
      </c>
      <c r="H7958" t="inlineStr">
        <is>
          <t>Type 1</t>
        </is>
      </c>
    </row>
    <row r="7959">
      <c r="A7959" t="inlineStr">
        <is>
          <t>e7ooqx</t>
        </is>
      </c>
      <c r="B7959" t="inlineStr">
        <is>
          <t>Type 1 Diabetic people using CGMs with low body fat percentage, I have a question...</t>
        </is>
      </c>
      <c r="C7959" t="inlineStr">
        <is>
          <t>To start things up. Since the very start of 2019, my goal is to get the best shape I can possibly get, trying to squeeze all the potential I can get from it. I was not fat or skinny, just on a average body fat percentage and not muscular. Now when I have been hitting the gym for soon 11 months trying to bulk up, I have seen dramatic changes to my body in the way I wanted it to be and I’m happy of the results. Now since I have been bulking for almost a year now, I wanted to enter a session where I start shredding my body fat to a percentage I feel satisfied with. But here is what makes me concerned, since I have been building a lot of muscles it’s been restricting the good areas to put my Dexcom and Omnipod on, I used to put my Omni pod on my upper arm a lot but since I got a lot more muscular it’s now more struggling, since putting my omnipod or dexcom close to a muscle area will cause insulin not working properly and inaccurate blood sugar readings from the Dexcom. 
I really want to still have my Dexcom and Omnipod on since they make my life SO MUCH EASIER, but on the other side I have a big goal I want to achieve and I don’t want my diabetes to unmotivate me for that reason.
So for you people who know or have low-body fat percentage with type-1 diabetes using CGMs. Is it really more struggling to have CGMs or any insertable devices with a muscular or skinny body and is there a way to ease this? I would love to know!</t>
        </is>
      </c>
      <c r="D7959" t="n">
        <v>1</v>
      </c>
      <c r="E7959" t="n">
        <v>1</v>
      </c>
      <c r="F7959">
        <f>HYPERLINK("https://www.reddit.com/r/diabetes/comments/e7ooqx/type_1_diabetic_people_using_cgms_with_low_body/")</f>
        <v/>
      </c>
      <c r="G7959" t="inlineStr">
        <is>
          <t>2019-12-07 19:42:37</t>
        </is>
      </c>
      <c r="H7959" t="inlineStr">
        <is>
          <t>Type 1</t>
        </is>
      </c>
    </row>
    <row r="7960">
      <c r="A7960" t="inlineStr">
        <is>
          <t>e7ptxp</t>
        </is>
      </c>
      <c r="B7960" t="inlineStr">
        <is>
          <t>Help me???</t>
        </is>
      </c>
      <c r="C7960" t="inlineStr">
        <is>
          <t>Hello, Call me Dia, I’m 6’2 284 lbs right now, I’ll upload pics in future, but I’m diabetic t2 and take metaformin  and januvia not any insulin and would like help trying to get under 230 lbs, and not do it the wrong way, I have a new friend who wants to push me and help me and he gave me a list of supplements which are creatine+glutamine, bcaas, pre-workout, sustained protein blend (gnc brand) any help works thank you in advance, I work long hours so response time might be slow!</t>
        </is>
      </c>
      <c r="D7960" t="n">
        <v>1</v>
      </c>
      <c r="E7960" t="n">
        <v>25</v>
      </c>
      <c r="F7960">
        <f>HYPERLINK("https://www.reddit.com/r/diabetes/comments/e7ptxp/help_me/")</f>
        <v/>
      </c>
      <c r="G7960" t="inlineStr">
        <is>
          <t>2019-12-07 21:23:24</t>
        </is>
      </c>
      <c r="H7960" t="inlineStr">
        <is>
          <t>Type 2</t>
        </is>
      </c>
    </row>
    <row r="7961">
      <c r="A7961" t="inlineStr">
        <is>
          <t>e7ubk7</t>
        </is>
      </c>
      <c r="B7961" t="inlineStr">
        <is>
          <t>[question] Changing Digestion Speed of Carbs?</t>
        </is>
      </c>
      <c r="C7961" t="inlineStr">
        <is>
          <t>Without going into further detail, is there any scientific evidence or your own experiences when body digests high glycemic index (GI) foods slower/it takes longer for the carbs to reach blood as glucose? I am not talking about minutes, I am talking about 2-4 hour difference.
P.S. I am asking because my body has been acting weird lately.</t>
        </is>
      </c>
      <c r="D7961" t="n">
        <v>1</v>
      </c>
      <c r="E7961" t="n">
        <v>3</v>
      </c>
      <c r="F7961">
        <f>HYPERLINK("https://www.reddit.com/r/diabetes/comments/e7ubk7/question_changing_digestion_speed_of_carbs/")</f>
        <v/>
      </c>
      <c r="G7961" t="inlineStr">
        <is>
          <t>2019-12-08 06:29:55</t>
        </is>
      </c>
      <c r="H7961" t="inlineStr">
        <is>
          <t>Type 1</t>
        </is>
      </c>
    </row>
    <row r="7962">
      <c r="A7962" t="inlineStr">
        <is>
          <t>e7uv5k</t>
        </is>
      </c>
      <c r="B7962" t="inlineStr">
        <is>
          <t>I'm 18 confused and need some diabetic friends</t>
        </is>
      </c>
      <c r="C7962" t="inlineStr">
        <is>
          <t>A while ago now I posted a message explaining my recent diagnoses I thought I could handle it by myself for a while there but I can't so if you want please message me I could really use some friends that understand</t>
        </is>
      </c>
      <c r="D7962" t="n">
        <v>1</v>
      </c>
      <c r="E7962" t="n">
        <v>12</v>
      </c>
      <c r="F7962">
        <f>HYPERLINK("https://www.reddit.com/r/diabetes/comments/e7uv5k/im_18_confused_and_need_some_diabetic_friends/")</f>
        <v/>
      </c>
      <c r="G7962" t="inlineStr">
        <is>
          <t>2019-12-08 07:19:55</t>
        </is>
      </c>
      <c r="H7962" t="inlineStr">
        <is>
          <t>Type 1</t>
        </is>
      </c>
    </row>
    <row r="7963">
      <c r="A7963" t="inlineStr">
        <is>
          <t>e7v5dc</t>
        </is>
      </c>
      <c r="B7963" t="inlineStr">
        <is>
          <t>Type 2 Diabetes has attained the status of a global Epidemic.</t>
        </is>
      </c>
      <c r="C7963" t="inlineStr">
        <is>
          <t># Type 2 Diabetes has attained the status of a global Epidemic. 
* 44,3 Million Diabetics in North America &amp;amp; Caribbean  
* 29,6M in South &amp;amp; Central America  
* 59,8M  in Europe  
* 35,4M  in Middle East &amp;amp; North Africa 
* 14,2M  in Africa 
* 78,3M  in South East Asia  
* 153,3M  in Western Pacific  ^((Statistic from 2015))
Where does this epidemic come from ? Maybe we can find the answer in an quote from the ancient hippocrates.  Hippocrates of Kos was a Greek physician and is considered the most famous doctor of antiquity. Born 460 v Chr he is today considered as the father of medicine. 
He said: "Just as food causes chronic disease, it can be the most powerful cure"   
From a chemical point of view, sugar consists of:  
* simple sugar (Monosaccharide)  
* double sugar (Disaccharide)  
* multiple sugar (Polysaccharide)   
How can it be that sugar forms the top of the food pyramid and the second stage ? Carbohydrates consist of multi-chain sugar compounds. They get broken down into individual sugars by our body in the disestion process. From a chemical point of view, carbohydrates are sugars.
* our diet consists mainly of carbohydrates
* carbohydrates consist of several sugar components (Polysaccharide)
* diabetes (called the sugar disease) is developing into an epidemic in the twenty-first century.
Can you recognize the parallels ? think about it &amp;amp;  write your opinion in the comments.
&amp;amp;#x200B;
*Processing img dzne2xg9jf341...*</t>
        </is>
      </c>
      <c r="D7963" t="n">
        <v>1</v>
      </c>
      <c r="E7963" t="n">
        <v>6</v>
      </c>
      <c r="F7963">
        <f>HYPERLINK("https://www.reddit.com/r/diabetes/comments/e7v5dc/type_2_diabetes_has_attained_the_status_of_a/")</f>
        <v/>
      </c>
      <c r="G7963" t="inlineStr">
        <is>
          <t>2019-12-08 07:43:27</t>
        </is>
      </c>
      <c r="H7963" t="inlineStr">
        <is>
          <t>Type 2</t>
        </is>
      </c>
    </row>
    <row r="7964">
      <c r="A7964" t="inlineStr">
        <is>
          <t>e7xfye</t>
        </is>
      </c>
      <c r="B7964" t="inlineStr">
        <is>
          <t>Turns out the "panic attacks" I've been having for months were hypoglycemia caused by T2.</t>
        </is>
      </c>
      <c r="C7964" t="inlineStr">
        <is>
          <t>Man I dont know how to feel. I am angry, frustrated and sad but also relieved that it is not a mental illness.  
about 3x a week around 6 PM, before eating, I would all of a sudden start feeling very, very uneasy. Its hard to describe. I would sweat but my hands and feet felt cold, my heart would race (&amp;gt;100bpm), shaky, unable to sit still, very very anxious, feeling like something could go terribly wrong any second, dialated pupils, and feeling confused in my surroundings (my house). I felt like I was going insane. I would feel too shaky and anxious to eat or cook, and would just sit and wait untill it went away. Which sometimes took very shortly, and sometimes it lasted for hours (looking back the duration was probably linked to when and what I ate). During the whole time I was unable to function. coudnt work, coudnt watch tv, coudnt focus on studying.. very annoying and I was scared it would never stop.
So I googled my symptoms and thought they were panic attacks. I thought I could just deal with it on my own and theyd go away eventually. But they didnt. Then I bought a blood glucose meter just because I suspected diabetes (had some symptoms for a while and am overweight and dont excersize) and sure enough, when measuring during panic it was 3.5mm/l. which is quite low. Bit the bullet and went to a doctor and got diagnosed a few days ago. 
&amp;amp;#x200B;
Its been a rollercoaster. I am sad I wasted so many days and evenings feeling extremely anxious. Just hope it get better now.</t>
        </is>
      </c>
      <c r="D7964" t="n">
        <v>1</v>
      </c>
      <c r="E7964" t="n">
        <v>8</v>
      </c>
      <c r="F7964">
        <f>HYPERLINK("https://www.reddit.com/r/diabetes/comments/e7xfye/turns_out_the_panic_attacks_ive_been_having_for/")</f>
        <v/>
      </c>
      <c r="G7964" t="inlineStr">
        <is>
          <t>2019-12-08 10:37:23</t>
        </is>
      </c>
      <c r="H7964" t="inlineStr">
        <is>
          <t>Type 2</t>
        </is>
      </c>
    </row>
    <row r="7965">
      <c r="A7965" t="inlineStr">
        <is>
          <t>e7yu04</t>
        </is>
      </c>
      <c r="B7965" t="inlineStr">
        <is>
          <t>For Slovakian diabetics</t>
        </is>
      </c>
      <c r="C7965" t="inlineStr">
        <is>
          <t>Tiež vás tak irituje keď niekto povie cukrovka? Ja neviem prečo ale štve ma to. Aj ma štve keď niekto sa ma začne pýtať čo môžem jesť. Proste už mám diabetes 3 mesiace a stále ma to štve.</t>
        </is>
      </c>
      <c r="D7965" t="n">
        <v>1</v>
      </c>
      <c r="E7965" t="n">
        <v>3</v>
      </c>
      <c r="F7965">
        <f>HYPERLINK("https://www.reddit.com/r/diabetes/comments/e7yu04/for_slovakian_diabetics/")</f>
        <v/>
      </c>
      <c r="G7965" t="inlineStr">
        <is>
          <t>2019-12-08 12:19:26</t>
        </is>
      </c>
      <c r="H7965" t="inlineStr">
        <is>
          <t>Type 1</t>
        </is>
      </c>
    </row>
    <row r="7966">
      <c r="A7966" t="inlineStr">
        <is>
          <t>e7zxnj</t>
        </is>
      </c>
      <c r="B7966" t="inlineStr">
        <is>
          <t>Managing blood sugars during a high stress job?</t>
        </is>
      </c>
      <c r="C7966" t="inlineStr">
        <is>
          <t>I do catering jobs where i’m kind of just running around and i end up going really high (14-20) to prevent a low. I need to work but i feel bad compromising my health. what should i do?</t>
        </is>
      </c>
      <c r="D7966" t="n">
        <v>1</v>
      </c>
      <c r="E7966" t="n">
        <v>7</v>
      </c>
      <c r="F7966">
        <f>HYPERLINK("https://www.reddit.com/r/diabetes/comments/e7zxnj/managing_blood_sugars_during_a_high_stress_job/")</f>
        <v/>
      </c>
      <c r="G7966" t="inlineStr">
        <is>
          <t>2019-12-08 13:39:23</t>
        </is>
      </c>
      <c r="H7966" t="inlineStr">
        <is>
          <t>Type 1</t>
        </is>
      </c>
    </row>
    <row r="7967">
      <c r="A7967" t="inlineStr">
        <is>
          <t>e80bp1</t>
        </is>
      </c>
      <c r="B7967" t="inlineStr">
        <is>
          <t>Insulin effectiveness while lying down</t>
        </is>
      </c>
      <c r="C7967" t="inlineStr">
        <is>
          <t>I’ve noticed that if I eat a meal before bed and take my Humalog, that I will stay high all night. However, as soon as I wake up and start moving around the insulin FINALLY kicks in and my BG starts dropping like it normally would have hours ago. 
Does this happen to anyone else?</t>
        </is>
      </c>
      <c r="D7967" t="n">
        <v>1</v>
      </c>
      <c r="E7967" t="n">
        <v>5</v>
      </c>
      <c r="F7967">
        <f>HYPERLINK("https://www.reddit.com/r/diabetes/comments/e80bp1/insulin_effectiveness_while_lying_down/")</f>
        <v/>
      </c>
      <c r="G7967" t="inlineStr">
        <is>
          <t>2019-12-08 14:08:02</t>
        </is>
      </c>
      <c r="H7967" t="inlineStr">
        <is>
          <t>Type 1</t>
        </is>
      </c>
    </row>
    <row r="7968">
      <c r="A7968" t="inlineStr">
        <is>
          <t>e82h7i</t>
        </is>
      </c>
      <c r="B7968" t="inlineStr">
        <is>
          <t>Insulin pumping for 3hr obstacle race</t>
        </is>
      </c>
      <c r="C7968" t="inlineStr">
        <is>
          <t>Hey Beatus Buds,
I was wondering if anyone had suggestions for managing your BGs/insulin intake for a +3hr "spartan" obstacle event. 
I am currently an insulin pumper but having my T:slim on me during the race is just not a good idea.
With this in mind, would it be a good idea substituting my Basal rate with Actrapid insulin and has anyone else done this before?</t>
        </is>
      </c>
      <c r="D7968" t="n">
        <v>1</v>
      </c>
      <c r="E7968" t="n">
        <v>4</v>
      </c>
      <c r="F7968">
        <f>HYPERLINK("https://www.reddit.com/r/diabetes/comments/e82h7i/insulin_pumping_for_3hr_obstacle_race/")</f>
        <v/>
      </c>
      <c r="G7968" t="inlineStr">
        <is>
          <t>2019-12-08 16:58:39</t>
        </is>
      </c>
      <c r="H7968" t="inlineStr">
        <is>
          <t>Type 1</t>
        </is>
      </c>
    </row>
    <row r="7969">
      <c r="A7969" t="inlineStr">
        <is>
          <t>e855i4</t>
        </is>
      </c>
      <c r="B7969" t="inlineStr">
        <is>
          <t>can't seem to lose weight</t>
        </is>
      </c>
      <c r="C7969" t="inlineStr">
        <is>
          <t>So, at the start of the year before I was officially diagnosed, I've started to cut down my calorie intake to 1000 calories a day in attempt to lose weight to better control my blood sugar. It was successful at first, my weight went down from 67kg to 62kg within a few months.
However, after I got properly diagnosed and started to take medication (glipizide and metformin) in june, my weight started gradually increasing and now I'm at 70kg D: even higher than my starting weight. I'm stricter with my diet now (at most 900 calories a day) but I just cant seem to lose weight.
Please help, I'm so stressed out over this situation. I'm a 20f btw.</t>
        </is>
      </c>
      <c r="D7969" t="n">
        <v>1</v>
      </c>
      <c r="E7969" t="n">
        <v>9</v>
      </c>
      <c r="F7969">
        <f>HYPERLINK("https://www.reddit.com/r/diabetes/comments/e855i4/cant_seem_to_lose_weight/")</f>
        <v/>
      </c>
      <c r="G7969" t="inlineStr">
        <is>
          <t>2019-12-08 20:45:21</t>
        </is>
      </c>
      <c r="H7969" t="inlineStr">
        <is>
          <t>Type 2</t>
        </is>
      </c>
    </row>
    <row r="7970">
      <c r="A7970" t="inlineStr">
        <is>
          <t>e862tr</t>
        </is>
      </c>
      <c r="B7970" t="inlineStr">
        <is>
          <t>Spike App Users..... please tell me what I’m doing wrong!!</t>
        </is>
      </c>
      <c r="C7970" t="inlineStr">
        <is>
          <t>I’ve been wanting to try Spike for a while now. I put it on my phone several months back and finally got around to trying it last month. I followed the on screen set up instructions (I forgot my transmitter from the Bluetooth list and I removed the transmitter ID from all of my other apps (Loop and Dexcom). Things seemed to go fine and I started a sensor session. The countdown seemed to go fine, but I never got a request to calibrate. The calibration area was grayed out so I wasn’t able to get readings. Finally after 8 hours I just went back to the Dexcom app.
This time around I deleted the transmitter from my Bluetooth list, deleted it from Loop app, and then even Deleted the Dexcom app. This time I couldn’t even get the pair transmitter message to pop up. I searched the Spike Facebook group and saw that others were supposedly able to force the transmitter to pair by starting a session by skipping the warmup period. I tried that, still no pair request. Finally... I was like whatever... I’ll just go back to the Dexcom app. I actually didn’t stop anything or delete anything from the Spike app, and just set everything up in the Dexcom app again... shortly after I started a new sensor session I’m the Dexcom app I got a calibration notice in Spike and readings. The Dexcom app just shows “signal loss”. After a while of that I just stopped the Dexcom sensor session.... But when I did that I stopped getting readings in Spike. I then restarted the sensor session in the Dexcom app (it has shown signal loss the whole time) and now I’m getting readings in Spike again... can someone please explain why this is and what I should do????</t>
        </is>
      </c>
      <c r="D7970" t="n">
        <v>1</v>
      </c>
      <c r="E7970" t="n">
        <v>0</v>
      </c>
      <c r="F7970">
        <f>HYPERLINK("https://www.reddit.com/r/diabetes/comments/e862tr/spike_app_users_please_tell_me_what_im_doing_wrong/")</f>
        <v/>
      </c>
      <c r="G7970" t="inlineStr">
        <is>
          <t>2019-12-08 22:13:41</t>
        </is>
      </c>
      <c r="H7970" t="inlineStr">
        <is>
          <t>Type 1</t>
        </is>
      </c>
    </row>
    <row r="7971">
      <c r="A7971" t="inlineStr">
        <is>
          <t>e886wj</t>
        </is>
      </c>
      <c r="B7971" t="inlineStr">
        <is>
          <t>Why am I having 3am Hypos?</t>
        </is>
      </c>
      <c r="C7971" t="inlineStr">
        <is>
          <t>I had a 3am hypo last night and I don't understand why.
Usually 21 units of Levemir will see me through the night fine. I've had a nasty chest infection and while I was on steroids I went up to 26 and no problems. Went down to 24 when I finished the steroids and was still feeling ill. 
Had a 3am hypo a few days ago, okay time to bring my basal back down. Went to 22, the next couple days I got through the night but was starting to hypo by breakfast time.
Last night I was at 8.9 and had 20 units, wake up 3am and it's 2.3, had some biscuits and went back to bed. Again by breakfast time I was starting to hypo. I don't understand why. 20 units is lower than what has worked for a long time pre chest infection. I am still ill and I'm on the antibiotic Clarithromycin, I'm not doing any exercise because moving causes wheezing and coughing. I was at 8.9 four hours after dinner, it's a pen I've used for over a week, I'm not injecting anywhere new, I should not have hypo'd last night.
Any thoughts or suggestions would be much appreciated.</t>
        </is>
      </c>
      <c r="D7971" t="n">
        <v>1</v>
      </c>
      <c r="E7971" t="n">
        <v>4</v>
      </c>
      <c r="F7971">
        <f>HYPERLINK("https://www.reddit.com/r/diabetes/comments/e886wj/why_am_i_having_3am_hypos/")</f>
        <v/>
      </c>
      <c r="G7971" t="inlineStr">
        <is>
          <t>2019-12-09 02:19:00</t>
        </is>
      </c>
      <c r="H7971" t="inlineStr">
        <is>
          <t>Type 1</t>
        </is>
      </c>
    </row>
    <row r="7972">
      <c r="A7972" t="inlineStr">
        <is>
          <t>e8fgmg</t>
        </is>
      </c>
      <c r="B7972" t="inlineStr">
        <is>
          <t>Tslim x2 Insulin disappearing</t>
        </is>
      </c>
      <c r="C7972" t="inlineStr">
        <is>
          <t>Is anyone else having issues with the tslim pump from tandem? I keep filling the 3mm cartridges up with 230 units of insulin, but after priming the pump and inserting the set in, it magically says I have 180U+ units. So I immediately bolus for 5 units and now the pump says 120U + left. I don't understand what is going on here, there is no insulin leaking out when filling the cartridge so where is it going?</t>
        </is>
      </c>
      <c r="D7972" t="n">
        <v>1</v>
      </c>
      <c r="E7972" t="n">
        <v>3</v>
      </c>
      <c r="F7972">
        <f>HYPERLINK("https://www.reddit.com/r/diabetes/comments/e8fgmg/tslim_x2_insulin_disappearing/")</f>
        <v/>
      </c>
      <c r="G7972" t="inlineStr">
        <is>
          <t>2019-12-09 12:25:03</t>
        </is>
      </c>
      <c r="H7972" t="inlineStr">
        <is>
          <t>Type 1</t>
        </is>
      </c>
    </row>
    <row r="7973">
      <c r="A7973" t="inlineStr">
        <is>
          <t>e8hrx1</t>
        </is>
      </c>
      <c r="B7973" t="inlineStr">
        <is>
          <t>What is healthy.</t>
        </is>
      </c>
      <c r="C7973" t="inlineStr">
        <is>
          <t>I monitor my type 2 diabetes and I usually score 5 to 7.   My original doctor gave me a paper saying anything over 6.0. Is diabetes .  My new doctor said between 6.0 and 8. Is good. I just tested my blood and scores 7.3.  What are the guid lines?</t>
        </is>
      </c>
      <c r="D7973" t="n">
        <v>1</v>
      </c>
      <c r="E7973" t="n">
        <v>18</v>
      </c>
      <c r="F7973">
        <f>HYPERLINK("https://www.reddit.com/r/diabetes/comments/e8hrx1/what_is_healthy/")</f>
        <v/>
      </c>
      <c r="G7973" t="inlineStr">
        <is>
          <t>2019-12-09 15:13:16</t>
        </is>
      </c>
      <c r="H7973" t="inlineStr">
        <is>
          <t>Type 2</t>
        </is>
      </c>
    </row>
    <row r="7974">
      <c r="A7974" t="inlineStr">
        <is>
          <t>e8irtz</t>
        </is>
      </c>
      <c r="B7974" t="inlineStr">
        <is>
          <t>T1D - Bang Energy Drink Spiking Blood Sugar?</t>
        </is>
      </c>
      <c r="C7974" t="inlineStr">
        <is>
          <t>Hey, everyone.
I'm a Type 1, and I've been noticing an odd pattern as of late, and I want to see if anyone else has had, or is having the same experience...  I currently take Basaglar and Admelog, and use a FreeStyle Libre CGM, just to get that out of the way.
I've been noticing recently, that it appears a can of Bang is spiking my blood sugar levels.  This morning is a perfect example...  I woke up and my sugar was 175 at 8:12AM.  I took my dose of Basaglar, a correction of Admelog, had three eggs for breakfast and headed out the door to work.
Shortly after getting to work, I opened and began drinking my can of Bang.  At 10:41AM I was finished with the can, and tested my sugar.  Now, mind you, I hadn't eaten anything other than the three eggs that I had for breakfast, and Bang is supposed to be both sugar-free and zero calorie...  My sugar was 253!
I've had similar experiences that I didn't really put together until today.  I'm wondering if it's the can of Bang that's causing the spike.  Could it be something else in it, such as the "Super Creatine," the CoQ10 or the BCAA?  Has anyone else had this same experience with Bang, or even other brands of energy drinks?</t>
        </is>
      </c>
      <c r="D7974" t="n">
        <v>1</v>
      </c>
      <c r="E7974" t="n">
        <v>13</v>
      </c>
      <c r="F7974">
        <f>HYPERLINK("https://www.reddit.com/r/diabetes/comments/e8irtz/t1d_bang_energy_drink_spiking_blood_sugar/")</f>
        <v/>
      </c>
      <c r="G7974" t="inlineStr">
        <is>
          <t>2019-12-09 16:29:34</t>
        </is>
      </c>
      <c r="H7974" t="inlineStr">
        <is>
          <t>Type 1</t>
        </is>
      </c>
    </row>
    <row r="7975">
      <c r="A7975" t="inlineStr">
        <is>
          <t>e8o8r4</t>
        </is>
      </c>
      <c r="B7975" t="inlineStr">
        <is>
          <t>T1D, energy (carb) drinks and sports</t>
        </is>
      </c>
      <c r="C7975" t="inlineStr">
        <is>
          <t>Hello fellow communitiy,
just want to ask you opinions, suggestions and experience on topic.
I'll try to make story short: doing some martial arts classes 3 days a week, T1D for 30 years on MDI with Libre CGM. What I notice is that I had to drink at least 1 pack of [Dextro Energy liquid gel](https://www.amazon.de/dp/B009S45SW4/ref=sr_1_11?crid=3FPBZ060B98UW&amp;amp;keywords=dextro+energy&amp;amp;qid=1575968082&amp;amp;sprefix=dextro+ener%2Caps%2C455&amp;amp;sr=8-11) to keep my BG from sinking rapidly during classes (2 hours classes - 30 min of warm up and functional training, 30 minutes of moving / rolls, and an hour of techniques learning). Sometimes I even take a second pack during class, if we have higher load this day.
During regular day my basal BG is in 110-140 range if I don't eat or inject bolus.
Is it normal and safe to drink that amount of carbs during training? Do you consume a lot of carbs during sport activities?</t>
        </is>
      </c>
      <c r="D7975" t="n">
        <v>1</v>
      </c>
      <c r="E7975" t="n">
        <v>11</v>
      </c>
      <c r="F7975">
        <f>HYPERLINK("https://www.reddit.com/r/diabetes/comments/e8o8r4/t1d_energy_carb_drinks_and_sports/")</f>
        <v/>
      </c>
      <c r="G7975" t="inlineStr">
        <is>
          <t>2019-12-10 01:00:06</t>
        </is>
      </c>
      <c r="H7975" t="inlineStr">
        <is>
          <t>Type 1</t>
        </is>
      </c>
    </row>
    <row r="7976">
      <c r="A7976" t="inlineStr">
        <is>
          <t>e8oav1</t>
        </is>
      </c>
      <c r="B7976" t="inlineStr">
        <is>
          <t>insulin pump anxiety/dancing with a pump</t>
        </is>
      </c>
      <c r="C7976" t="inlineStr">
        <is>
          <t>Hey! Just need to get this off of my chest.. 
I've been conflicted on whether or not I should switch to the pump the past few days and i'm getting unnecessarily worried about it.. I think what concerns me the most about switching is developing scar tissue easier, the pump malfunctioning and losing that sense of control with injections.. I'm also a ballet dancer so i'm not sure how i would hide my pump under a leotard and tights or costumes. I'm doing a saline trial for the Omnipod soon but I have a ballet performance mid-trial and i'm not quite sure how it'll work out.
I'd like to hear your experiences with the pump (Omnipod specifically, but I wouldn't mind hearing about with others) and if there is anyone else out there who is a dancer with a pump I'd love to hear how you manage it.</t>
        </is>
      </c>
      <c r="D7976" t="n">
        <v>1</v>
      </c>
      <c r="E7976" t="n">
        <v>9</v>
      </c>
      <c r="F7976">
        <f>HYPERLINK("https://www.reddit.com/r/diabetes/comments/e8oav1/insulin_pump_anxietydancing_with_a_pump/")</f>
        <v/>
      </c>
      <c r="G7976" t="inlineStr">
        <is>
          <t>2019-12-10 01:07:22</t>
        </is>
      </c>
      <c r="H7976" t="inlineStr">
        <is>
          <t>Type 1</t>
        </is>
      </c>
    </row>
    <row r="7977">
      <c r="A7977" t="inlineStr">
        <is>
          <t>e8v2rn</t>
        </is>
      </c>
      <c r="B7977" t="inlineStr">
        <is>
          <t>Tips on finding an endocrinologist</t>
        </is>
      </c>
      <c r="C7977" t="inlineStr">
        <is>
          <t>Hello, I just got diagnosed as type 1 last week by my GP. He hooked me up with some insulin samples, gave me a brief rundown on how to inject and when to.
He told me I need to see an endocrinologist and they'll have me go through some classes and such on how better to manage, as well as take regular blood tests.
I am concerned about the clinic he recommended, they initially tried scheduling my first visit for March 31st, which I was wasn't comfortable being in the dark about this stuff that long. I asked around and begged, they were able to get me an appointment with a nurse late January.
I also looked up the clinic on https://www.aace.com/ and found they weren't on there, which also is concerning. I'm not familiar with AACE and am unsure about the importance of this.
Should I try and find a different endocrinologist? I've been planning a snowboarding trip in early January and would really like to find someone to talk to before then.
I live in rural Kansas roughly 2hrs from Kansas City.</t>
        </is>
      </c>
      <c r="D7977" t="n">
        <v>1</v>
      </c>
      <c r="E7977" t="n">
        <v>7</v>
      </c>
      <c r="F7977">
        <f>HYPERLINK("https://www.reddit.com/r/diabetes/comments/e8v2rn/tips_on_finding_an_endocrinologist/")</f>
        <v/>
      </c>
      <c r="G7977" t="inlineStr">
        <is>
          <t>2019-12-10 11:09:18</t>
        </is>
      </c>
      <c r="H7977" t="inlineStr">
        <is>
          <t>Type 1</t>
        </is>
      </c>
    </row>
    <row r="7978">
      <c r="A7978" t="inlineStr">
        <is>
          <t>e8xnj9</t>
        </is>
      </c>
      <c r="B7978" t="inlineStr">
        <is>
          <t>Thoughts on Minimed 670g and 630g?</t>
        </is>
      </c>
      <c r="C7978" t="inlineStr">
        <is>
          <t>I'm a type 1 with no pump and my gf read somewhere about those and how it could maybe improve my life style by not having to inject insulin so many times (at least 5 times a day).
This being said, I wanted to know how they work and how life with those is from people that use or used them!</t>
        </is>
      </c>
      <c r="D7978" t="n">
        <v>1</v>
      </c>
      <c r="E7978" t="n">
        <v>15</v>
      </c>
      <c r="F7978">
        <f>HYPERLINK("https://www.reddit.com/r/diabetes/comments/e8xnj9/thoughts_on_minimed_670g_and_630g/")</f>
        <v/>
      </c>
      <c r="G7978" t="inlineStr">
        <is>
          <t>2019-12-10 14:12:45</t>
        </is>
      </c>
      <c r="H7978" t="inlineStr">
        <is>
          <t>Type 1</t>
        </is>
      </c>
    </row>
    <row r="7979">
      <c r="A7979" t="inlineStr">
        <is>
          <t>e91eml</t>
        </is>
      </c>
      <c r="B7979" t="inlineStr">
        <is>
          <t>Diabetic retinopathy</t>
        </is>
      </c>
      <c r="C7979" t="inlineStr">
        <is>
          <t>Just got my eyes laser two days ago, my doctor said I can get back to work the next day but my vision is still blur and it's hard to drive, anyone here know how many days it takes to get my vision back to normal as it is and what should and shouldn't do in the meantime, thanks</t>
        </is>
      </c>
      <c r="D7979" t="n">
        <v>1</v>
      </c>
      <c r="E7979" t="n">
        <v>9</v>
      </c>
      <c r="F7979">
        <f>HYPERLINK("https://www.reddit.com/r/diabetes/comments/e91eml/diabetic_retinopathy/")</f>
        <v/>
      </c>
      <c r="G7979" t="inlineStr">
        <is>
          <t>2019-12-10 19:16:01</t>
        </is>
      </c>
      <c r="H7979" t="inlineStr">
        <is>
          <t>Type 1</t>
        </is>
      </c>
    </row>
    <row r="7980">
      <c r="A7980" t="inlineStr">
        <is>
          <t>e94h78</t>
        </is>
      </c>
      <c r="B7980" t="inlineStr">
        <is>
          <t>My brother's Christmas present</t>
        </is>
      </c>
      <c r="C7980" t="inlineStr">
        <is>
          <t>Hey guys, straight to the question, I want to buy my brother a smart watch so he can keep track on his blood sugar but unfortunately I dont have a big budget? Is there any of you not using the Samsung or Apple watch? Thank you all in advance!</t>
        </is>
      </c>
      <c r="D7980" t="n">
        <v>1</v>
      </c>
      <c r="E7980" t="n">
        <v>7</v>
      </c>
      <c r="F7980">
        <f>HYPERLINK("https://www.reddit.com/r/diabetes/comments/e94h78/my_brothers_christmas_present/")</f>
        <v/>
      </c>
      <c r="G7980" t="inlineStr">
        <is>
          <t>2019-12-11 00:32:04</t>
        </is>
      </c>
      <c r="H7980" t="inlineStr">
        <is>
          <t>Type 1</t>
        </is>
      </c>
    </row>
    <row r="7981">
      <c r="A7981" t="inlineStr">
        <is>
          <t>e96bqu</t>
        </is>
      </c>
      <c r="B7981" t="inlineStr">
        <is>
          <t>Curious</t>
        </is>
      </c>
      <c r="C7981" t="inlineStr">
        <is>
          <t>So I wanted some opinion/advise.
So am thinking of children with my husband's and I am scared with type one and wonder what others experience have been if the baby has been healthy what kind if support you get ECT. If it's of any help am in Scotland I dunno if that's relevant but just in case🤷‍♀️
So any kind of advise on experience and how it is that be great!</t>
        </is>
      </c>
      <c r="D7981" t="n">
        <v>1</v>
      </c>
      <c r="E7981" t="n">
        <v>10</v>
      </c>
      <c r="F7981">
        <f>HYPERLINK("https://www.reddit.com/r/diabetes/comments/e96bqu/curious/")</f>
        <v/>
      </c>
      <c r="G7981" t="inlineStr">
        <is>
          <t>2019-12-11 04:12:17</t>
        </is>
      </c>
      <c r="H7981" t="inlineStr">
        <is>
          <t>Type 1</t>
        </is>
      </c>
    </row>
    <row r="7982">
      <c r="A7982" t="inlineStr">
        <is>
          <t>e99c9p</t>
        </is>
      </c>
      <c r="B7982" t="inlineStr">
        <is>
          <t>Dexcom 6 and an iPhone. Is there a way to make my blood sugar show on my home screen?</t>
        </is>
      </c>
      <c r="C7982" t="inlineStr">
        <is>
          <t>I thought I saw a pic of a iPhone lock screen with the Dexcom blood sugar circle on it.  Is this possible, and if not, WTF Dexcom, this would save a LOT of us some pain and suffering.</t>
        </is>
      </c>
      <c r="D7982" t="n">
        <v>1</v>
      </c>
      <c r="E7982" t="n">
        <v>6</v>
      </c>
      <c r="F7982">
        <f>HYPERLINK("https://www.reddit.com/r/diabetes/comments/e99c9p/dexcom_6_and_an_iphone_is_there_a_way_to_make_my/")</f>
        <v/>
      </c>
      <c r="G7982" t="inlineStr">
        <is>
          <t>2019-12-11 08:33:45</t>
        </is>
      </c>
      <c r="H7982" t="inlineStr">
        <is>
          <t>Type 1.5/LADA</t>
        </is>
      </c>
    </row>
    <row r="7983">
      <c r="A7983" t="inlineStr">
        <is>
          <t>e9c36w</t>
        </is>
      </c>
      <c r="B7983" t="inlineStr">
        <is>
          <t>Freestyle Libre Sensor</t>
        </is>
      </c>
      <c r="C7983" t="inlineStr">
        <is>
          <t>Anyone else have experience with this product? I started using their 14 day sensor and it was great at first. Then the adhesive started to irritate my skin badly. Then it was constantly saying I was low when I wasn’t. Sometimes it would give me a blood sugar reading of 40 something and my finger stick meter would say 116. That’s a huge difference imo. Going to be discussing it with my healthcare provider this Friday but was wondering if anyone else has had a terrible experience with this product.</t>
        </is>
      </c>
      <c r="D7983" t="n">
        <v>1</v>
      </c>
      <c r="E7983" t="n">
        <v>1</v>
      </c>
      <c r="F7983">
        <f>HYPERLINK("https://www.reddit.com/r/diabetes/comments/e9c36w/freestyle_libre_sensor/")</f>
        <v/>
      </c>
      <c r="G7983" t="inlineStr">
        <is>
          <t>2019-12-11 11:50:31</t>
        </is>
      </c>
      <c r="H7983" t="inlineStr">
        <is>
          <t>Type 2</t>
        </is>
      </c>
    </row>
    <row r="7984">
      <c r="A7984" t="inlineStr">
        <is>
          <t>e9cj10</t>
        </is>
      </c>
      <c r="B7984" t="inlineStr">
        <is>
          <t>My little brother just got diagnosed literally 2 hours ago.</t>
        </is>
      </c>
      <c r="C7984" t="inlineStr">
        <is>
          <t>My little brother just got diagnosed with this condition literally 2 and a bit hours ago, it’s type 1 and we found out due to him being extremely thirsty and drinking a load of water. He’s just been so unlucky, with his autism and his epilepsy. He’s 11, nearly 12 and is there anything I need to know health-wise, like in case I’m alone with him and something happens?
Thanks! :) -Sincerely, a concerned big bro!</t>
        </is>
      </c>
      <c r="D7984" t="n">
        <v>1</v>
      </c>
      <c r="E7984" t="n">
        <v>4</v>
      </c>
      <c r="F7984">
        <f>HYPERLINK("https://www.reddit.com/r/diabetes/comments/e9cj10/my_little_brother_just_got_diagnosed_literally_2/")</f>
        <v/>
      </c>
      <c r="G7984" t="inlineStr">
        <is>
          <t>2019-12-11 12:20:46</t>
        </is>
      </c>
      <c r="H7984" t="inlineStr">
        <is>
          <t>Type 1</t>
        </is>
      </c>
    </row>
    <row r="7985">
      <c r="A7985" t="inlineStr">
        <is>
          <t>e9d0bw</t>
        </is>
      </c>
      <c r="B7985" t="inlineStr">
        <is>
          <t>Workout advice</t>
        </is>
      </c>
      <c r="C7985" t="inlineStr">
        <is>
          <t>T1D 
I’m 24F and considering working out. I’ve used pre-work out before, but then kinda slacked on the whole fitness thing for a while. Plus the pre-workout wasn’t even doing me any favors. 
So I was wondering from all my fellow type 1 fitness fanatics, what do you use as a pre workout that doesn’t completely mess you up?
TIA (:</t>
        </is>
      </c>
      <c r="D7985" t="n">
        <v>1</v>
      </c>
      <c r="E7985" t="n">
        <v>8</v>
      </c>
      <c r="F7985">
        <f>HYPERLINK("https://www.reddit.com/r/diabetes/comments/e9d0bw/workout_advice/")</f>
        <v/>
      </c>
      <c r="G7985" t="inlineStr">
        <is>
          <t>2019-12-11 12:54:08</t>
        </is>
      </c>
      <c r="H7985" t="inlineStr">
        <is>
          <t>Type 1</t>
        </is>
      </c>
    </row>
    <row r="7986">
      <c r="A7986" t="inlineStr">
        <is>
          <t>e9emw0</t>
        </is>
      </c>
      <c r="B7986" t="inlineStr">
        <is>
          <t>Inpatient treatment experience w/ T1?</t>
        </is>
      </c>
      <c r="C7986" t="inlineStr">
        <is>
          <t>Just curious if anyone out there has any experience with inpatient mental treatment while T1? I’m on a pump and a CGM and I have always been curious about how that gets handled? Similarly for anyone incarcerated? Like- places where you can’t have any control over your life (not allowed shoelaces, for example) - how does a chronic illness get handled?</t>
        </is>
      </c>
      <c r="D7986" t="n">
        <v>1</v>
      </c>
      <c r="E7986" t="n">
        <v>7</v>
      </c>
      <c r="F7986">
        <f>HYPERLINK("https://www.reddit.com/r/diabetes/comments/e9emw0/inpatient_treatment_experience_w_t1/")</f>
        <v/>
      </c>
      <c r="G7986" t="inlineStr">
        <is>
          <t>2019-12-11 14:47:53</t>
        </is>
      </c>
      <c r="H7986" t="inlineStr">
        <is>
          <t>Type 1</t>
        </is>
      </c>
    </row>
    <row r="7987">
      <c r="A7987" t="inlineStr">
        <is>
          <t>e9g1wq</t>
        </is>
      </c>
      <c r="B7987" t="inlineStr">
        <is>
          <t>MDI for the last 6 years. Thinking of going back to pump / closed loop</t>
        </is>
      </c>
      <c r="C7987" t="inlineStr">
        <is>
          <t>I used to use a Medtronic pump years ago, but went back to MDI and a CGM because of reasons -
* My medtroic would sometimes just not take - I would give a bolus ..then check to find super high sugars where the bolus seemingly did nothing. Never had that problem with the needle. I worked with Medtronic support but could never figure out why it was happening. This was before CGMs so even harder to catch.
* I never wanted to try all the crazy settings - like bolus patterns for high protein meals or patterns for grazing on snacks to do during certain time periods felt like too much. I typically want to make a carb calculation and bolus and anything more than that seemed daunting
* and of course constantly being attached to a cord that gets stuck on hooks and doorknobs and having every single person ask "is that a pager dude?"
I used Dexcom through the G4 and G5 but switched to the Libre because its way cheaper and stays on my arm which I prefer over the stomach (I know you can do the G6 on your arm but still not reccomended) Also Dexcom is complete garbage to deal with as a company but what Diabetes vendor isnt.
Ive racked up 3 A1Cs that are in the 7.8 - 8.1 range and I think it may be time for a change. As much as I hated all the notifications from dexcom Im starting to miss them. When Im at work I will slip and forget to check the Libre and its not reminding me so a good amount of highs happen that way. Also basal with Lantus is fine when you do the same thing every day, but more I realize that when my habits change I dont adjust a basal accordingly so its either too much or not enough.
Im thinking about going back to a pump and the closed loop intruiges me. The 670g or the Tandem each have their own appeal but from reading this sub Im scared of both. Each seem to have some pretty bad reviews. From what I see with the 670g is the closed loop is completely terrible at fist but through a lot of tweaking and practice you can get it to work real well. Im concerned adding dozens of new things to consider vs. MDI will be more frustrating than its worth. I also heard the CGM on the medtronic was a lot better now, but Im not so sure given some peoples stories on accuracy. Is it??
Anyone like me who loves the freedom and simplicity of MDI but is not getting the numbers they want? Any advice going back to the pump that 6-7 years ago I loathed? Im banking a lot on technology has improved.</t>
        </is>
      </c>
      <c r="D7987" t="n">
        <v>1</v>
      </c>
      <c r="E7987" t="n">
        <v>6</v>
      </c>
      <c r="F7987">
        <f>HYPERLINK("https://www.reddit.com/r/diabetes/comments/e9g1wq/mdi_for_the_last_6_years_thinking_of_going_back/")</f>
        <v/>
      </c>
      <c r="G7987" t="inlineStr">
        <is>
          <t>2019-12-11 16:38:01</t>
        </is>
      </c>
      <c r="H7987" t="inlineStr">
        <is>
          <t>Type 1</t>
        </is>
      </c>
    </row>
    <row r="7988">
      <c r="A7988" t="inlineStr">
        <is>
          <t>e9glny</t>
        </is>
      </c>
      <c r="B7988" t="inlineStr">
        <is>
          <t>Father [M57] has diabetes and keeps losing weight. Please help.</t>
        </is>
      </c>
      <c r="C7988" t="inlineStr">
        <is>
          <t>My father has had type 2 diabetes for a few years now, unfortunately instead of going to a doctor, he tried home remedies. Recently his leg pain became severe and he visited a doctor and was diagnosed with diabetic neuropathy.  The doctor prescribed these medications, yet even after taking the medicine my father is still experiencing weight loss.  He used to weigh around 170 pounds, and now weighs 140 pounds.  I’m not very well informed about diabetes, can anyone help explain his weight loss?   His medications: 
Gabapentin 300mg - three times a day. 
Metformin hcl 500mg - twice a daily. 
Atorvastatin calcium 20mg - one time a day. 
Basaglar 100U/ML INJ - inject 15 units at night subcutaneous. 
Thank so much!</t>
        </is>
      </c>
      <c r="D7988" t="n">
        <v>1</v>
      </c>
      <c r="E7988" t="n">
        <v>6</v>
      </c>
      <c r="F7988">
        <f>HYPERLINK("https://www.reddit.com/r/diabetes/comments/e9glny/father_m57_has_diabetes_and_keeps_losing_weight/")</f>
        <v/>
      </c>
      <c r="G7988" t="inlineStr">
        <is>
          <t>2019-12-11 17:23:44</t>
        </is>
      </c>
      <c r="H7988" t="inlineStr">
        <is>
          <t>Type 2</t>
        </is>
      </c>
    </row>
    <row r="7989">
      <c r="A7989" t="inlineStr">
        <is>
          <t>e9j671</t>
        </is>
      </c>
      <c r="B7989" t="inlineStr">
        <is>
          <t>What are the causes of low GL?</t>
        </is>
      </c>
      <c r="C7989" t="inlineStr">
        <is>
          <t>Hi I been a type one for 3 months and using a BGM instead of the CGM. I am interested in getting one but have to check with my doctor. I been dropping a lot lately and don’t know why. I have been wondering what are the effects of lows because my meter is reading 50-60 GL. And usually don’t feel it until I hit around 50 .</t>
        </is>
      </c>
      <c r="D7989" t="n">
        <v>1</v>
      </c>
      <c r="E7989" t="n">
        <v>3</v>
      </c>
      <c r="F7989">
        <f>HYPERLINK("https://www.reddit.com/r/diabetes/comments/e9j671/what_are_the_causes_of_low_gl/")</f>
        <v/>
      </c>
      <c r="G7989" t="inlineStr">
        <is>
          <t>2019-12-11 21:15:41</t>
        </is>
      </c>
      <c r="H7989" t="inlineStr">
        <is>
          <t>Type 1</t>
        </is>
      </c>
    </row>
    <row r="7990">
      <c r="A7990" t="inlineStr">
        <is>
          <t>e9m83m</t>
        </is>
      </c>
      <c r="B7990" t="inlineStr">
        <is>
          <t>Does Type 2 Diabetes cause weight loss??!</t>
        </is>
      </c>
      <c r="C7990" t="inlineStr">
        <is>
          <t>So my A1C was 11.8 on diagnosis (currently 5.7 under control) but I dropped a LOT OF WEIGHT without trying. I went from 225-180 then recently checked my weight and I’m 153. Recently just started insulin because I tested positive for Type 1 antibodies however the hospital says I’m also type 2 diabetic because my c-peptide is 2.2 and that I have insulin resistance. My blood sugar is under and has been under control for 8 months now but I’m still loosing weight and look like skin and bone. I know weight loss isn’t common in T2 but I’m curious if I was only T1 the whole time? Or does having a c peptide at that level indicate I am both T1 and T2 diabetic?</t>
        </is>
      </c>
      <c r="D7990" t="n">
        <v>1</v>
      </c>
      <c r="E7990" t="n">
        <v>8</v>
      </c>
      <c r="F7990">
        <f>HYPERLINK("https://www.reddit.com/r/diabetes/comments/e9m83m/does_type_2_diabetes_cause_weight_loss/")</f>
        <v/>
      </c>
      <c r="G7990" t="inlineStr">
        <is>
          <t>2019-12-12 03:06:21</t>
        </is>
      </c>
      <c r="H7990" t="inlineStr">
        <is>
          <t>Type 2</t>
        </is>
      </c>
    </row>
    <row r="7991">
      <c r="A7991" t="inlineStr">
        <is>
          <t>e9r29h</t>
        </is>
      </c>
      <c r="B7991" t="inlineStr">
        <is>
          <t>An someone please help me</t>
        </is>
      </c>
      <c r="C7991" t="inlineStr">
        <is>
          <t>Basically I’m 15 (16 in a month) and my whole life at my school I struggled with bullying for being skinny I have always hated how I look and now it is my last year off 5 at school and what can I say, it’s sort off like people have matured and I decided even if I’m thin I would not take shit from people anymore and almost got into a fight but it was stopped by a teacher and since then no one has bullied me since.
Right onto the actual relevant topic off diabetes I was diagnosed about 6 months ago now and recently got my second hba1c off 22 (which is 4.5 I think) so all is good so far. However I have had a crush for about 8 months now and I really need to put on weight for her but mainly to just look normal the bullying stoped but now I just want to put on weight for my self I’m 5 foot 10 and 57 kg which is 125lbs so yeah you can sorta imagine that I look disgusting. I have been 57kg for my past 2 diabetes clinic so yeah I’m not putting anymore on.
The thing is when I first came into hospital I Weighed 50kg so when they told me I would put on weight I was buzzing  and thought I finally wouldn’t look like a twig but 7kg later and I look exactly the same I don’t know where that weight even went lmao my arms are still skinny I still have twig legs and just a very thin stomach but I have always had a six pack for some reason I don’t even do much ab workouts to all  lmao.
About a year ago before I was diagnosed I tried to put on weight, I got a set off weight plates and had a app called 5 x 5 stronglifts tried to eat as much as I could I had a app to track my calories and had protein shakes and maybe it worked a little I think I put on 1-2kg but that was not worth it at all for the effort I put in.
So now I’m going to try again before school ends, I have 7 months to try and out on some god forsaken weight I don’t even want to be ripped just look normal, so what would your advice be? My plan is for Christmas go all out on weights (I don’t have the self confidence to go the gym yet and I prefer home workouts anyway) should I try and use diabetes to my advantage and give a lot off insulin and eat a lot because I read giving it in big amounts means you put more weight on, should I go all out this time and just eat eat eat and not give up sorry for the long post but please for my sanity give me tips to putting on weight thankyou.</t>
        </is>
      </c>
      <c r="D7991" t="n">
        <v>1</v>
      </c>
      <c r="E7991" t="n">
        <v>0</v>
      </c>
      <c r="F7991">
        <f>HYPERLINK("https://www.reddit.com/r/diabetes/comments/e9r29h/an_someone_please_help_me/")</f>
        <v/>
      </c>
      <c r="G7991" t="inlineStr">
        <is>
          <t>2019-12-12 10:00:36</t>
        </is>
      </c>
      <c r="H7991" t="inlineStr">
        <is>
          <t>Type 1</t>
        </is>
      </c>
    </row>
    <row r="7992">
      <c r="A7992" t="inlineStr">
        <is>
          <t>e9r7is</t>
        </is>
      </c>
      <c r="B7992" t="inlineStr">
        <is>
          <t>Can someone please help me?</t>
        </is>
      </c>
      <c r="C7992" t="inlineStr">
        <is>
          <t>Basically I’m 15 (16 in a month) and my whole life at my school I struggled with bullying for being skinny I have always hated how I look and now it is my last year off 5 at school and what can I say, it’s sort off like people have matured and I decided even if I’m thin I would not take shit from people anymore and almost got into a fight but it was stopped by a teacher and since then no one has bullied me since.
Right onto the actual relevant topic off diabetes I was diagnosed about 6 months ago now and recently got my second hba1c off 22 (which is 4.5 I think) so all is good so far. However I have had a crush for about 8 months now and I really need to put on weight for her but mainly to just look normal the bullying stoped but now I just want to put on weight for my self I’m 5 foot 10 and 57 kg which is 125lbs so yeah you can sorta imagine that I look disgusting. I have been 57kg for my past 2 diabetes clinic so yeah I’m not putting anymore on.
The thing is when I first came into hospital I Weighed 50kg so when they told me I would put on weight I was buzzing  and thought I finally wouldn’t look like a twig but 7kg later and I look exactly the same I don’t know where that weight even went lmao my arms are still skinny I still have twig legs and just a very thin stomach but I have always had a six pack for some reason I don’t even do much ab workouts to all  lmao.
About a year ago before I was diagnosed I tried to put on weight, I got a set off weight plates and had a app called 5 x 5 stronglifts tried to eat as much as I could I had a app to track my calories and had protein shakes and maybe it worked a little I think I put on 1-2kg but that was not worth it at all for the effort I put in.
So now I’m going to try again before school ends, I have 7 months to try and out on some god forsaken weight I don’t even want to be ripped just look normal, so what would your advice be? My plan is for Christmas go all out on weights (I don’t have the self confidence to go the gym yet and I prefer home workouts anyway) should I try and use diabetes to my advantage and give a lot off insulin and eat a lot because I read giving it in big amounts means you put more weight on, should I go all out this time and just eat eat eat and not give up sorry for the long post but please for my sanity give me tips to putting on weight thankyou.</t>
        </is>
      </c>
      <c r="D7992" t="n">
        <v>1</v>
      </c>
      <c r="E7992" t="n">
        <v>9</v>
      </c>
      <c r="F7992">
        <f>HYPERLINK("https://www.reddit.com/r/diabetes/comments/e9r7is/can_someone_please_help_me/")</f>
        <v/>
      </c>
      <c r="G7992" t="inlineStr">
        <is>
          <t>2019-12-12 10:11:06</t>
        </is>
      </c>
      <c r="H7992" t="inlineStr">
        <is>
          <t>Type 1</t>
        </is>
      </c>
    </row>
    <row r="7993">
      <c r="A7993" t="inlineStr">
        <is>
          <t>e9rn71</t>
        </is>
      </c>
      <c r="B7993" t="inlineStr">
        <is>
          <t>How do you deal with low blood sugar?</t>
        </is>
      </c>
      <c r="C7993" t="inlineStr">
        <is>
          <t>A friend of mine who's type 1 diabetic said he gets insane cravings when he's low on blood sugar, but finds that it's easy to overeat and ends up having to inject more insulin. I'm just curious if anyone feels the same way, and what you usully do when your blood sugar is low.
Thanks!</t>
        </is>
      </c>
      <c r="D7993" t="n">
        <v>1</v>
      </c>
      <c r="E7993" t="n">
        <v>31</v>
      </c>
      <c r="F7993">
        <f>HYPERLINK("https://www.reddit.com/r/diabetes/comments/e9rn71/how_do_you_deal_with_low_blood_sugar/")</f>
        <v/>
      </c>
      <c r="G7993" t="inlineStr">
        <is>
          <t>2019-12-12 10:42:17</t>
        </is>
      </c>
      <c r="H7993" t="inlineStr">
        <is>
          <t>Type 1</t>
        </is>
      </c>
    </row>
    <row r="7994">
      <c r="A7994" t="inlineStr">
        <is>
          <t>e9zmx7</t>
        </is>
      </c>
      <c r="B7994" t="inlineStr">
        <is>
          <t>Just diagnosed and I'm confused about blood glucose levels</t>
        </is>
      </c>
      <c r="C7994" t="inlineStr">
        <is>
          <t>I was diagnosed a month ago, and have been keeping a food journal daily as well as tracking my fasting blood glucose levels every morning, but I don't know if my fasting numbers are bad relative to the whole diabetes situation. It's been as low as 117 and as high as 155 generally floating between 120 to 135. My doctor simply told me that since it is in the diabetes range that it is just bad. Also I've been experimenting with how certain foods affect my fasting numbers, and I've eaten complete crap one day and get a 120 the next morning, and eat super healthy another day and get a 155 the next morning. I also tried taking my blood sugar after eating a large sandwich with chips and a soda and got a 200--how bad is this?? I feel overwhelmed by everything and my doctor doesn't really help. My biggest worry is going blind--at what point does this happen???? Sorry for all the questions, but these are the things I'm not getting from my doc. If it matters I am on metformin (one tab at dinner). Thank you ahead of time!</t>
        </is>
      </c>
      <c r="D7994" t="n">
        <v>1</v>
      </c>
      <c r="E7994" t="n">
        <v>17</v>
      </c>
      <c r="F7994">
        <f>HYPERLINK("https://www.reddit.com/r/diabetes/comments/e9zmx7/just_diagnosed_and_im_confused_about_blood/")</f>
        <v/>
      </c>
      <c r="G7994" t="inlineStr">
        <is>
          <t>2019-12-12 21:16:52</t>
        </is>
      </c>
      <c r="H7994" t="inlineStr">
        <is>
          <t>Type 2</t>
        </is>
      </c>
    </row>
    <row r="7995">
      <c r="A7995" t="inlineStr">
        <is>
          <t>ea5god</t>
        </is>
      </c>
      <c r="B7995" t="inlineStr">
        <is>
          <t>SD Codefree Glucometer</t>
        </is>
      </c>
      <c r="C7995" t="inlineStr">
        <is>
          <t>If anyone has used or is using the SD Codefree Glucometer, could you post a review?</t>
        </is>
      </c>
      <c r="D7995" t="n">
        <v>1</v>
      </c>
      <c r="E7995" t="n">
        <v>0</v>
      </c>
      <c r="F7995">
        <f>HYPERLINK("https://www.reddit.com/r/diabetes/comments/ea5god/sd_codefree_glucometer/")</f>
        <v/>
      </c>
      <c r="G7995" t="inlineStr">
        <is>
          <t>2019-12-13 07:34:47</t>
        </is>
      </c>
      <c r="H7995" t="inlineStr">
        <is>
          <t>Type 1</t>
        </is>
      </c>
    </row>
    <row r="7996">
      <c r="A7996" t="inlineStr">
        <is>
          <t>ea5hfb</t>
        </is>
      </c>
      <c r="B7996" t="inlineStr">
        <is>
          <t>A1C Update</t>
        </is>
      </c>
      <c r="C7996" t="inlineStr">
        <is>
          <t>I just got my A1C checked (was 8.3%...)
It’s now 7.2% (dropped 1.1 points)! Yay!</t>
        </is>
      </c>
      <c r="D7996" t="n">
        <v>1</v>
      </c>
      <c r="E7996" t="n">
        <v>2</v>
      </c>
      <c r="F7996">
        <f>HYPERLINK("https://www.reddit.com/r/diabetes/comments/ea5hfb/a1c_update/")</f>
        <v/>
      </c>
      <c r="G7996" t="inlineStr">
        <is>
          <t>2019-12-13 07:36:25</t>
        </is>
      </c>
      <c r="H7996" t="inlineStr">
        <is>
          <t>Type 1</t>
        </is>
      </c>
    </row>
    <row r="7997">
      <c r="A7997" t="inlineStr">
        <is>
          <t>ea7sem</t>
        </is>
      </c>
      <c r="B7997" t="inlineStr">
        <is>
          <t>Getting used to insulin</t>
        </is>
      </c>
      <c r="C7997" t="inlineStr">
        <is>
          <t>Hey guys,
I am a recent diagnosis, believed to be Type 1 due to family history. My sugar level at diagnosis was 33. Last week we started increasing two units everyday of Lantus and put on 6 of Humalog. I am now at 24 units of Lantus and this morning my fasting was 9.1. I just feel like shit and have the worst headache. I tried to drink a bit of juice and it didn't really do anything. When you all were diagnosed and started insulin did it have an adjustment period where your body made you feel at a low even though the readings were still kinda high? I was slamming sugar like crazy before my diagnosis. Any help is appreciated.</t>
        </is>
      </c>
      <c r="D7997" t="n">
        <v>1</v>
      </c>
      <c r="E7997" t="n">
        <v>2</v>
      </c>
      <c r="F7997">
        <f>HYPERLINK("https://www.reddit.com/r/diabetes/comments/ea7sem/getting_used_to_insulin/")</f>
        <v/>
      </c>
      <c r="G7997" t="inlineStr">
        <is>
          <t>2019-12-13 10:29:41</t>
        </is>
      </c>
      <c r="H7997" t="inlineStr">
        <is>
          <t>Type 1</t>
        </is>
      </c>
    </row>
    <row r="7998">
      <c r="A7998" t="inlineStr">
        <is>
          <t>ea9ld0</t>
        </is>
      </c>
      <c r="B7998" t="inlineStr">
        <is>
          <t>T2 Converting to T1?</t>
        </is>
      </c>
      <c r="C7998" t="inlineStr">
        <is>
          <t>I have been a T2 diabetic for about ten years.  I was recently hospitalized twice for DKA (diabetic ketoacidosis).  I suddenly have been having a terrible time keeping my sugars down with diet and oral meds, and had to start Lantus and Humalog to get my BG below 200.  My doc mentioned testing to see if I have converted to a type 1 diabetic.  I didn't even know that was a thing.  Has anyone heard of this before?</t>
        </is>
      </c>
      <c r="D7998" t="n">
        <v>1</v>
      </c>
      <c r="E7998" t="n">
        <v>16</v>
      </c>
      <c r="F7998">
        <f>HYPERLINK("https://www.reddit.com/r/diabetes/comments/ea9ld0/t2_converting_to_t1/")</f>
        <v/>
      </c>
      <c r="G7998" t="inlineStr">
        <is>
          <t>2019-12-13 12:44:39</t>
        </is>
      </c>
      <c r="H7998" t="inlineStr">
        <is>
          <t>Type 2</t>
        </is>
      </c>
    </row>
    <row r="7999">
      <c r="A7999" t="inlineStr">
        <is>
          <t>eambn3</t>
        </is>
      </c>
      <c r="B7999" t="inlineStr">
        <is>
          <t>What’s the difference between a Dexcom G6 and a freestyle libre?</t>
        </is>
      </c>
      <c r="C7999" t="inlineStr">
        <is>
          <t>I want to know more before I go to my next check up about the CGM. It would be amazing if I know the prices because I only know that Dexcom is expensive. I’m not completely sure I’m my insurance covers it so I’m just curious of what the price would be.</t>
        </is>
      </c>
      <c r="D7999" t="n">
        <v>1</v>
      </c>
      <c r="E7999" t="n">
        <v>4</v>
      </c>
      <c r="F7999">
        <f>HYPERLINK("https://www.reddit.com/r/diabetes/comments/eambn3/whats_the_difference_between_a_dexcom_g6_and_a/")</f>
        <v/>
      </c>
      <c r="G7999" t="inlineStr">
        <is>
          <t>2019-12-14 09:14:59</t>
        </is>
      </c>
      <c r="H7999" t="inlineStr">
        <is>
          <t>Type 1</t>
        </is>
      </c>
    </row>
    <row r="8000">
      <c r="A8000" t="inlineStr">
        <is>
          <t>ean5io</t>
        </is>
      </c>
      <c r="B8000" t="inlineStr">
        <is>
          <t>High sugars in the morning?</t>
        </is>
      </c>
      <c r="C8000" t="inlineStr">
        <is>
          <t>I keep having an issue. My sugar is fine when I go to sleep but for some reason the next morning it's always 200+. Does anyone know what causes this? I went to bed hungry last night because I didn't want to spike my sugar. What's the deal?</t>
        </is>
      </c>
      <c r="D8000" t="n">
        <v>1</v>
      </c>
      <c r="E8000" t="n">
        <v>4</v>
      </c>
      <c r="F8000">
        <f>HYPERLINK("https://www.reddit.com/r/diabetes/comments/ean5io/high_sugars_in_the_morning/")</f>
        <v/>
      </c>
      <c r="G8000" t="inlineStr">
        <is>
          <t>2019-12-14 10:18:04</t>
        </is>
      </c>
      <c r="H8000" t="inlineStr">
        <is>
          <t>Type 1</t>
        </is>
      </c>
    </row>
    <row r="8001">
      <c r="A8001" t="inlineStr">
        <is>
          <t>eatggl</t>
        </is>
      </c>
      <c r="B8001" t="inlineStr">
        <is>
          <t>Does T1 diabetes makes me medically unfit?</t>
        </is>
      </c>
      <c r="C8001" t="inlineStr">
        <is>
          <t>I want to apply for a job with Doctors without borders as a Clinical Psychologist; and one of the questions they ask me in the form is "are you medically fit for working in an evironment of high stress and poor living conditions?"  
I think I shouldnt have mayor problems since I would carry the insulin with me from my home country and since most ssettings where DWB  psychologists are working have a reasonable access to insulin and refrigeration. Also, since most of the work is in a consultory theres no great risk for hypoglicemia.
but what do you think? have someone had any similar experience?  how should I answer the question? or handle the sittuation in the interview?</t>
        </is>
      </c>
      <c r="D8001" t="n">
        <v>1</v>
      </c>
      <c r="E8001" t="n">
        <v>5</v>
      </c>
      <c r="F8001">
        <f>HYPERLINK("https://www.reddit.com/r/diabetes/comments/eatggl/does_t1_diabetes_makes_me_medically_unfit/")</f>
        <v/>
      </c>
      <c r="G8001" t="inlineStr">
        <is>
          <t>2019-12-14 18:54:50</t>
        </is>
      </c>
      <c r="H8001" t="inlineStr">
        <is>
          <t>Type 1</t>
        </is>
      </c>
    </row>
    <row r="8002">
      <c r="A8002" t="inlineStr">
        <is>
          <t>eay8wb</t>
        </is>
      </c>
      <c r="B8002" t="inlineStr">
        <is>
          <t>Making sure</t>
        </is>
      </c>
      <c r="C8002" t="inlineStr">
        <is>
          <t>I was diagnosed with type 1 back in 2016. I was 12-13 at the time. Neither side of my family has type 1, only type 2. I guess it's not just genetic? I'm sure it isn't but anyway, the weird thing is that I think I've had type 1 my whole life and no one bothered to test me until I went to the doctors feeling sick and nauseous and they decided to test my pee.  
When I was younger, I used to get a lot of UTIs and supposedly it's connected? What are your guys' thoughts?</t>
        </is>
      </c>
      <c r="D8002" t="n">
        <v>1</v>
      </c>
      <c r="E8002" t="n">
        <v>7</v>
      </c>
      <c r="F8002">
        <f>HYPERLINK("https://www.reddit.com/r/diabetes/comments/eay8wb/making_sure/")</f>
        <v/>
      </c>
      <c r="G8002" t="inlineStr">
        <is>
          <t>2019-12-15 04:07:46</t>
        </is>
      </c>
      <c r="H8002" t="inlineStr">
        <is>
          <t>Type 1</t>
        </is>
      </c>
    </row>
    <row r="8003">
      <c r="A8003" t="inlineStr">
        <is>
          <t>eb0qum</t>
        </is>
      </c>
      <c r="B8003" t="inlineStr">
        <is>
          <t>Keto a NO-NO?</t>
        </is>
      </c>
      <c r="C8003" t="inlineStr">
        <is>
          <t>I'm type 1 and was at my Endo this week and was asking about going Keto diet to lose some weight and try to get healthier and she said to not go strict keto, to keep meals between 20-40G carbs if I'm looking to cut carbs, she explained that a few patients had had gone full keto diet and had ended up hospitalized with full DKA but with normal BG, no highs? I tried paleo years ago and had no problem aside from frequent lows, and thought Keto might be a better bet. Anyone heard of this before? also who is doing keto diet with type 1 and how is it going?</t>
        </is>
      </c>
      <c r="D8003" t="n">
        <v>1</v>
      </c>
      <c r="E8003" t="n">
        <v>45</v>
      </c>
      <c r="F8003">
        <f>HYPERLINK("https://www.reddit.com/r/diabetes/comments/eb0qum/keto_a_nono/")</f>
        <v/>
      </c>
      <c r="G8003" t="inlineStr">
        <is>
          <t>2019-12-15 08:15:12</t>
        </is>
      </c>
      <c r="H8003" t="inlineStr">
        <is>
          <t>Type 1</t>
        </is>
      </c>
    </row>
    <row r="8004">
      <c r="A8004" t="inlineStr">
        <is>
          <t>eb6za3</t>
        </is>
      </c>
      <c r="B8004" t="inlineStr">
        <is>
          <t>WALK - best exercise but only if you walk AFTER your meals.</t>
        </is>
      </c>
      <c r="C8004" t="inlineStr">
        <is>
          <t>I'm wearing a Continuous Glucose Monitor, for more than a month. And what I noticed is that Walks are really good (almost as good as medicines (I am type 2 of course)) for bringing down the blood sugars.  
But you need to walk AFTER taking the meals.   
I just walked for two hours in the shopping mall and came back. My blood sugar before the walk was around 107 and after the walk, it came down to 91. OK good enough.   
But now if I will eat, my sugar levels would go back to 160 - 170.   
And it would stay there for a long time. Unless if I go for a walk again, in which case, it would quickly come down to below 100.   
So why spend two hours walking when the blood sugar is already low?   
Any thoughts?</t>
        </is>
      </c>
      <c r="D8004" t="n">
        <v>1</v>
      </c>
      <c r="E8004" t="n">
        <v>5</v>
      </c>
      <c r="F8004">
        <f>HYPERLINK("https://www.reddit.com/r/diabetes/comments/eb6za3/walk_best_exercise_but_only_if_you_walk_after/")</f>
        <v/>
      </c>
      <c r="G8004" t="inlineStr">
        <is>
          <t>2019-12-15 16:00:32</t>
        </is>
      </c>
      <c r="H8004" t="inlineStr">
        <is>
          <t>Type 2</t>
        </is>
      </c>
    </row>
    <row r="8005">
      <c r="A8005" t="inlineStr">
        <is>
          <t>ebaq9f</t>
        </is>
      </c>
      <c r="B8005" t="inlineStr">
        <is>
          <t>Found out I have Diabetes and am still in shock</t>
        </is>
      </c>
      <c r="C8005" t="inlineStr">
        <is>
          <t>TL;DR: Was kind of chubby growing up, but a few years ago I decided to do something about it. Ate healthier, exercised more, and managed to drop 20 kilograms in 2-3 years. Still got diagnosed with Diabetes and devastated. Frustrated and sad that things will never be the same.
To give a background, I must confess I haven't had the most healthiest of diets growing up. My brother would constantly call me "fat boy" as a kid, but I still had a moderate exercise regimen. Beginning with college I kind of let loose and gained a bit of weight. I was definitely obese for the first half of my 20s (I'm 29 now), but after being very dissatisfied with how my life was going, I took my life into my own hands and resolved to change myself. I started going to the gym, and started making healthy food choices. I largely cut out sugar from my diet (save for the occasional treat) and tried to phase in fruits and vegetables when I could. The results eventually took two years ago and I've been getting compliments  from people I haven't seen in a while.
To give some context, I was around 120 kilograms in 2015. Now I'm 89.
I was also aware of the family history of diabetes. My father was diagnosed in his late fifties and my mother was recently diagnosed as well. What is unfortunate is that my mother has even said that my weight loss isn't due to my newfound discipline and willpower to exercise and eat healthy, but it was because of diabetes, which is extremely hurtful.
At my new job, I went to a physical checkup with the hope that I could put this rumour to bed. The next day, it not only refused to go to bed, it led to a diablous ex nihil.
The general practitioner (who has no bedside manner apparently) called me in the morning repeatedly and asked if it was a good time to talk. After I said "no" he went and told me I had diabetes anyway. I'm still mad at him and definitely have the urge to cuss him out the next time I see him, not because he told me the bad news, but because of the way he delivered it. To say that the news ruined my weekend is a huge understatement.
I was given some insulin and a glucose reader. I've been back to the hospital several times to talk with a nutritionist (who gave me this meticulous measurement guideline I could never hope to abide by) and an endocrinologist. 
It's been a week and my fasting glucose levels have gone from levels as high as 16 (!) to between 4 and 8. I am nevertheless still frustrated and really sad that this has happened. I thought I was doing well with the exercising and eating right, and I thought I was doing alright, and to have this happen makes me wonder if I should have even bothered in the first place.
I'm in a rut emotionally, and I don't know where to go</t>
        </is>
      </c>
      <c r="D8005" t="n">
        <v>1</v>
      </c>
      <c r="E8005" t="n">
        <v>21</v>
      </c>
      <c r="F8005">
        <f>HYPERLINK("https://www.reddit.com/r/diabetes/comments/ebaq9f/found_out_i_have_diabetes_and_am_still_in_shock/")</f>
        <v/>
      </c>
      <c r="G8005" t="inlineStr">
        <is>
          <t>2019-12-15 21:21:03</t>
        </is>
      </c>
      <c r="H8005" t="inlineStr">
        <is>
          <t>Type 2</t>
        </is>
      </c>
    </row>
    <row r="8006">
      <c r="A8006" t="inlineStr">
        <is>
          <t>ebg4b2</t>
        </is>
      </c>
      <c r="B8006" t="inlineStr">
        <is>
          <t>Insulin Resistance Following Travel?</t>
        </is>
      </c>
      <c r="C8006" t="inlineStr">
        <is>
          <t>I have been having bouts of insulin resistance lately and I have noticed a trend with traveling. I drive cross country a lot to visit family - about 6 hours of driving. During the car ride and the next few days, my BG is extremely resistant!! Does this happen with anyone else??</t>
        </is>
      </c>
      <c r="D8006" t="n">
        <v>1</v>
      </c>
      <c r="E8006" t="n">
        <v>7</v>
      </c>
      <c r="F8006">
        <f>HYPERLINK("https://www.reddit.com/r/diabetes/comments/ebg4b2/insulin_resistance_following_travel/")</f>
        <v/>
      </c>
      <c r="G8006" t="inlineStr">
        <is>
          <t>2019-12-16 06:55:07</t>
        </is>
      </c>
      <c r="H8006" t="inlineStr">
        <is>
          <t>Type 1</t>
        </is>
      </c>
    </row>
    <row r="8007">
      <c r="A8007" t="inlineStr">
        <is>
          <t>ebgj4a</t>
        </is>
      </c>
      <c r="B8007" t="inlineStr">
        <is>
          <t>New insurance</t>
        </is>
      </c>
      <c r="C8007" t="inlineStr">
        <is>
          <t>Does anyone know if I can get a new pump once I start a new job with new insurance even if I have another year left on my current pumps warranty?</t>
        </is>
      </c>
      <c r="D8007" t="n">
        <v>1</v>
      </c>
      <c r="E8007" t="n">
        <v>6</v>
      </c>
      <c r="F8007">
        <f>HYPERLINK("https://www.reddit.com/r/diabetes/comments/ebgj4a/new_insurance/")</f>
        <v/>
      </c>
      <c r="G8007" t="inlineStr">
        <is>
          <t>2019-12-16 07:27:52</t>
        </is>
      </c>
      <c r="H8007" t="inlineStr">
        <is>
          <t>Type 1</t>
        </is>
      </c>
    </row>
    <row r="8008">
      <c r="A8008" t="inlineStr">
        <is>
          <t>ebhfzp</t>
        </is>
      </c>
      <c r="B8008" t="inlineStr">
        <is>
          <t>Medications/Diet/Exercise - Just general help/encouragement</t>
        </is>
      </c>
      <c r="C8008" t="inlineStr">
        <is>
          <t>I was diagnosed T2 5 years ago this week. I'm 36 years old, male. I don't know that I've ever had a low sugar experience. In the past year my new doctor has added Glipizide to my regimen of Metformin and now wants to also add Januvia. My A1C for the past two doctor visits has been 9.8. I guess I'm just worried about overdoing medication, but I've also been adamant I want to avoid insulin until I can't. I know I need to improve my diet and exercise.
What are your experiences with these medicines? Any good *sustainable* diet tips? (keto did not work for me, have had some luck with WW in the past). I work an 8-5 desk job so finding time for movement is tough also but I know I can and need to do better. 
Any advice or encouragement would be appreciated. I'm pretty down today.</t>
        </is>
      </c>
      <c r="D8008" t="n">
        <v>1</v>
      </c>
      <c r="E8008" t="n">
        <v>6</v>
      </c>
      <c r="F8008">
        <f>HYPERLINK("https://www.reddit.com/r/diabetes/comments/ebhfzp/medicationsdietexercise_just_general/")</f>
        <v/>
      </c>
      <c r="G8008" t="inlineStr">
        <is>
          <t>2019-12-16 08:37:12</t>
        </is>
      </c>
      <c r="H8008" t="inlineStr">
        <is>
          <t>Type 2</t>
        </is>
      </c>
    </row>
    <row r="8009">
      <c r="A8009" t="inlineStr">
        <is>
          <t>eboz68</t>
        </is>
      </c>
      <c r="B8009" t="inlineStr">
        <is>
          <t>Dear Diabetes</t>
        </is>
      </c>
      <c r="C8009" t="inlineStr">
        <is>
          <t>Dear Diabetes
I know you are a monster and I am going to destroy you with all the love and joy in my heart for me. I am going to eat as many pounds of vegetables as it takes to leave zero room for you in my life. I know now this dirty kept secret youve been hiding from my habits and I wont let you control my thoughts anymore with your fear and randomness. This is very serious to me. Im not going to let you hide behind your insulin pens and your metformin armies. Ive been doing just fine lately being in control of my body. I will think about everything before I choose to eat it. Ive gotten this far so you have no idea but I am capable of winning this war one meal one hour one habit at a time.</t>
        </is>
      </c>
      <c r="D8009" t="n">
        <v>1</v>
      </c>
      <c r="E8009" t="n">
        <v>1</v>
      </c>
      <c r="F8009">
        <f>HYPERLINK("https://www.reddit.com/r/diabetes/comments/eboz68/dear_diabetes/")</f>
        <v/>
      </c>
      <c r="G8009" t="inlineStr">
        <is>
          <t>2019-12-16 17:53:03</t>
        </is>
      </c>
      <c r="H8009" t="inlineStr">
        <is>
          <t>Type 2</t>
        </is>
      </c>
    </row>
    <row r="8010">
      <c r="A8010" t="inlineStr">
        <is>
          <t>ebsvrn</t>
        </is>
      </c>
      <c r="B8010" t="inlineStr">
        <is>
          <t>Newly Diagnosed</t>
        </is>
      </c>
      <c r="C8010" t="inlineStr">
        <is>
          <t>Hi y’all. Recently, I had started showing the typical signs and symptoms of diabetes over Thanksgiving, but due to my last week of school and being far from home, my family and I decided to wait till I was home to get blood work done.
Long story short, my A1C (not 100% familiar with the terminology yet so could be wrong) was at 14%, blood sugar at 500, so off to the ICU/ER where they diagnosed me...and I just feel so empty and sad inside.
I had considered the possibility, but at 21 years old, weighing less than 110 pounds (rip to the ten other pounds of weight I lost presumably because of this) I just didn’t expect it. Part of it blames myself since I’m not the healthiest, part of me just wants to curl up and cry constantly.
I don’t know really where to go next. No one in my immediate circle of friends or family has diabetes. I feel like my whole life has just sort of collapsed. I’ve been trying so hard since I got discharged to stick to the three meals a day with 60 carbs but I keep struggling and getting hungry and breaking it. Even those brief moments I can control the urges my blood sugar still hovers around 200-350. I just feel like I’ll never be able to get ahold of this.
I’m sorry if this is coming off whiny or emotional, I just can’t sleep at night and this is really a culmination of all my emotions coming out. I have a strong support system of people who care about me, yet I’ve never felt so alone in my life because I don’t think they really understand how I feel. I don’t want to be scared of eating all my life or scared of my body but I can’t help it. 
I don’t know if I’m seeking advice, or motivation, or a friend or just someone to listen, but I just am so upset at everything. I try to stay positive around everyone but when I’m alone all the doubt and fear comes out because I don’t think I’m strong enough mentally or emotionally to handle this for the rest of my life. I’ve read so many posts about so many amazing people who have a hold but I can’t see myself ever being one of those people. I want to hope but I just can’t.
If anyone has read this far, thank y’all it really means a lot. I just feel like I had my whole life ahead of me and now I’m so lost. In less than a month I go back to my university for my final semester and I’m six hours away from my family and it petrifies me to think of being alone and trying to balance what I am now. I don’t know, I just...don’t feel ready for what’s expected of me and I want to change that but I just don’t know how. Thank y’all again for reading this if you did, and I truly apologize if I came off as whiny or complaining, because I know things could be so much worse and I am blessed to have been able to catch this I just wanted to express how I felt in a way I can’t in my personal life. Thank you ❤️</t>
        </is>
      </c>
      <c r="D8010" t="n">
        <v>1</v>
      </c>
      <c r="E8010" t="n">
        <v>9</v>
      </c>
      <c r="F8010">
        <f>HYPERLINK("https://www.reddit.com/r/diabetes/comments/ebsvrn/newly_diagnosed/")</f>
        <v/>
      </c>
      <c r="G8010" t="inlineStr">
        <is>
          <t>2019-12-16 23:54:02</t>
        </is>
      </c>
      <c r="H8010" t="inlineStr">
        <is>
          <t>Type 1</t>
        </is>
      </c>
    </row>
    <row r="8011">
      <c r="A8011" t="inlineStr">
        <is>
          <t>ebt4s0</t>
        </is>
      </c>
      <c r="B8011" t="inlineStr">
        <is>
          <t>Who would be the right specialist for me?</t>
        </is>
      </c>
      <c r="C8011" t="inlineStr">
        <is>
          <t xml:space="preserve"> My  right side shin has become numb. Pains sometimes but is manageable. I  have already been diagnosed with "mild to moderate" diabetic neuropathy.  
But i do not think my symptom (numbness) is related to diabetic neuropathy.  
Why do I think that?  
My feet are perfectly fine. My left leg is perfectly fine. My hands are perfectly fine.
Can  diabetic neuropathy impact only the right shin area? Can this be  related to something else? Like a pinched nerve or something?
I already saw a neurologist. His diagnosis was that it is "mostly" related to diabetic neuropathy.  
I saw an orthopedic specializing in knee. He said, he doesn't deal with nerve problems.  
I  have an endocrinologist for diabetes. She doesn't look at such problems  either (although she did a complete foot exam and said that only some  area under the knee has some problem).  
My primary asked me to see a  Physical Medicine and Rehabilitation specialist. I went to see one, and  he said he deals only with back / spine related problems.  
I also went to a podiatrist and he wasn't of much help either.
I  desperately want to rule out any other cause than diabetic neuropathy  (in which case, I can only control my blood sugars and hope that the  problem automatically gets resolved / or learn to live with it).
So who should I see for this problem?
**TL:DR** \-  
Numbness only on one side of the lower leg. No numbness in either feet.  
Need to rule out causes other than diabetic neuropathy.
Already saw a physicist, neurologist, endocrinologist, podiatrist and orthopedic. Who else should I see?</t>
        </is>
      </c>
      <c r="D8011" t="n">
        <v>1</v>
      </c>
      <c r="E8011" t="n">
        <v>4</v>
      </c>
      <c r="F8011">
        <f>HYPERLINK("https://www.reddit.com/r/diabetes/comments/ebt4s0/who_would_be_the_right_specialist_for_me/")</f>
        <v/>
      </c>
      <c r="G8011" t="inlineStr">
        <is>
          <t>2019-12-17 00:23:48</t>
        </is>
      </c>
      <c r="H8011" t="inlineStr">
        <is>
          <t>Type 2</t>
        </is>
      </c>
    </row>
    <row r="8012">
      <c r="A8012" t="inlineStr">
        <is>
          <t>ebuy46</t>
        </is>
      </c>
      <c r="B8012" t="inlineStr">
        <is>
          <t>muscle building is impossible?</t>
        </is>
      </c>
      <c r="C8012" t="inlineStr">
        <is>
          <t>I'm pre-diabetic. after reading many things about insulin-resistance I think It's going to be very hard or even impossible to build muscle if you have type 2 diabetic. because our muscle cells need insulin, to take nutrient from blood and build itself. many other cells also do the same. because we have insulin resistance it will be harder or maybe impossible to build muscle. I'm not sure about this. as far as I read online no one gives a clear explanation on "muscle building with insulin resistance" anyone here build muscle? please share how you did that.</t>
        </is>
      </c>
      <c r="D8012" t="n">
        <v>1</v>
      </c>
      <c r="E8012" t="n">
        <v>15</v>
      </c>
      <c r="F8012">
        <f>HYPERLINK("https://www.reddit.com/r/diabetes/comments/ebuy46/muscle_building_is_impossible/")</f>
        <v/>
      </c>
      <c r="G8012" t="inlineStr">
        <is>
          <t>2019-12-17 04:00:02</t>
        </is>
      </c>
      <c r="H8012" t="inlineStr">
        <is>
          <t>Type 2</t>
        </is>
      </c>
    </row>
    <row r="8013">
      <c r="A8013" t="inlineStr">
        <is>
          <t>ebvgnb</t>
        </is>
      </c>
      <c r="B8013" t="inlineStr">
        <is>
          <t>My A1C IS 9.2</t>
        </is>
      </c>
      <c r="C8013" t="inlineStr">
        <is>
          <t>I was diagnosed with congestive heart failure five years ago. I went in yesterday to get a refill on my prescriptions and the usually blood work was done. My doctor came in and just blurted out what are we gonna do with your sugar diabetes? I'm like what? I didn't know i had sugar diabetes. She said that my a1c was high, that's all. The nurse that came in after her explained that my a1c was 9.2. I'm still in shock. She put me on two diabetic pills and gave me a sheet of paper telling what to eat and not to eat. Breakfast is a must and I hate breakfast. I'm clueless.</t>
        </is>
      </c>
      <c r="D8013" t="n">
        <v>1</v>
      </c>
      <c r="E8013" t="n">
        <v>18</v>
      </c>
      <c r="F8013">
        <f>HYPERLINK("https://www.reddit.com/r/diabetes/comments/ebvgnb/my_a1c_is_92/")</f>
        <v/>
      </c>
      <c r="G8013" t="inlineStr">
        <is>
          <t>2019-12-17 04:55:11</t>
        </is>
      </c>
      <c r="H8013" t="inlineStr">
        <is>
          <t>Type 2</t>
        </is>
      </c>
    </row>
    <row r="8014">
      <c r="A8014" t="inlineStr">
        <is>
          <t>ebzjkb</t>
        </is>
      </c>
      <c r="B8014" t="inlineStr">
        <is>
          <t>Dexcom and tandem</t>
        </is>
      </c>
      <c r="C8014" t="inlineStr">
        <is>
          <t>Anyone know with the the Dexcom and tandem, can you have the Dexcom hooked up to your phone and your pump for the artificial pancreas? Would like to be able to use the Dexcom share as well the artificial pancreas. This would be my main selling point to switch to tandem from Medtronic</t>
        </is>
      </c>
      <c r="D8014" t="n">
        <v>1</v>
      </c>
      <c r="E8014" t="n">
        <v>2</v>
      </c>
      <c r="F8014">
        <f>HYPERLINK("https://www.reddit.com/r/diabetes/comments/ebzjkb/dexcom_and_tandem/")</f>
        <v/>
      </c>
      <c r="G8014" t="inlineStr">
        <is>
          <t>2019-12-17 10:18:33</t>
        </is>
      </c>
      <c r="H8014" t="inlineStr">
        <is>
          <t>Type 1</t>
        </is>
      </c>
    </row>
    <row r="8015">
      <c r="A8015" t="inlineStr">
        <is>
          <t>ec27xe</t>
        </is>
      </c>
      <c r="B8015" t="inlineStr">
        <is>
          <t>Type 1 here, caught the flu a month ago, it’s gone now but I still have a cough, wondering if my diabetes health is the cause. Also, overall, just stressed with my health in general.</t>
        </is>
      </c>
      <c r="C8015" t="inlineStr">
        <is>
          <t>I’m a type 1 diabetic and have been for about 20 years now (I’m 27).
Unfortunately last year was rough for me for all sorts of reasons and I found it really difficult to manage my blood sugars. 
I was constantly waking up with highs and lows, I wasn’t dosing my insulin properly, just estimating the doses which ultimately led to crazy blood sugars.
I’m much better now, but I’ve found, during this period l, because of my behavior, I’ve become much more sensitive to extreme blood sugars.
Now, when I experience a high, I begin to feel pressure in my chest/shoulder.
When I wake up in the middle of the night from a low blood sugar, I notice the next morning I feel like I have some sort of cold, my throat hurts, etc.
And for both extreme highs and extreme lows, I’ve noticed my lymph nodes in my arm pits get slightly swollen/irritated. 
Is the above normal? Considering I was bad with my bs for an entire year? 
I mentioned some of my symptoms to my doc and he seemed to brush it off and say some people are more sensitive to extreme bs than others. 
The second part of my question is about a recent flu I had.
About a month ago I caught the flu from someone in my family. It was bad for one day, then after about a week the symptoms went away. I no longer feel sick, I no longer have congestion, but it’s been almost a month since the other symptoms disappeared and I still have a chronic cough.
It’s not as bad as it was initially, I could barely speak. Now my throat just feels irritated all the time and I have to cough every 5 minutes or so. 
The cough seemed like it was getting better as time went on but now I’ve reached a place where it’s just a chronic slight cough.
Does having diabetes make it difficult for us to get over flu symptoms? 
I’m sort of worried about the lymph nodes thing and also the lingering cough 😔
Thanks to all who can offer any advice, and sorry if this post is jumbled!</t>
        </is>
      </c>
      <c r="D8015" t="n">
        <v>1</v>
      </c>
      <c r="E8015" t="n">
        <v>0</v>
      </c>
      <c r="F8015">
        <f>HYPERLINK("https://www.reddit.com/r/diabetes/comments/ec27xe/type_1_here_caught_the_flu_a_month_ago_its_gone/")</f>
        <v/>
      </c>
      <c r="G8015" t="inlineStr">
        <is>
          <t>2019-12-17 13:22:06</t>
        </is>
      </c>
      <c r="H8015" t="inlineStr">
        <is>
          <t>Type 1</t>
        </is>
      </c>
    </row>
    <row r="8016">
      <c r="A8016" t="inlineStr">
        <is>
          <t>ec453i</t>
        </is>
      </c>
      <c r="B8016" t="inlineStr">
        <is>
          <t>mom was diagnosed with type 2 diabetes now what?</t>
        </is>
      </c>
      <c r="C8016" t="inlineStr">
        <is>
          <t>i’m trying to do my research so that i can be as helpful and aware as possible. i’m honestly shocked and somewhat scared. and i know or rather i think i know diabetes is common (if it isn’t i don’t mean to be offensive) but i honestly know nothing about it minus the basics as i have never had to deal with it before. what are good resources and tips etc for maintaining/beating it? she was prescribed something called jardiance 10mg and something called tradjenta 5mg. she just started on these  i believe last week thursday. she’s been like super tired and stuff as of late and i don’t know if that’s a side effect. i tried googling something along the lines of “first week on diabetes medication” but to no avail so if anyone has any experience to share please do! i neglected to say she’s 60 years young and not super active. she usually is but now that it’s winter she hasn’t been as much and i try to nudge her towards the gym and stuff. she’s quite the walker the weather permits/summer. got her a fitbit a few years back and when it’s not crappy weather (we live in buffalo ny) she averages a good 18-25k steps a day which is another reason why i’m shocked at her diagnosis not that inactive people can’t get it (sorry i hope i’m not being ugly) but i just thought that since she was active and somewhat healthy in regards to food intake that that isn’t likely to occur. no history of diabetes in her family either. sorry this is all so chaotic i am the worst at forming coherent/linear explanations timelines paragraphs etc. another thing i’ve noticed is she’s suddenly losing weight too. dunno if that’s a side effect of the pills buts she’s dropped 10 lbs in like 3-4 weeks. 
i’m just worried and would appreciate any info/anecdotal info as google kind of sucks and i can’t go to the docs with her not that i have to but i would like to so that i understand this better. thank you again all.</t>
        </is>
      </c>
      <c r="D8016" t="n">
        <v>1</v>
      </c>
      <c r="E8016" t="n">
        <v>9</v>
      </c>
      <c r="F8016">
        <f>HYPERLINK("https://www.reddit.com/r/diabetes/comments/ec453i/mom_was_diagnosed_with_type_2_diabetes_now_what/")</f>
        <v/>
      </c>
      <c r="G8016" t="inlineStr">
        <is>
          <t>2019-12-17 15:40:45</t>
        </is>
      </c>
      <c r="H8016" t="inlineStr">
        <is>
          <t>Type 2</t>
        </is>
      </c>
    </row>
    <row r="8017">
      <c r="A8017" t="inlineStr">
        <is>
          <t>ec454c</t>
        </is>
      </c>
      <c r="B8017" t="inlineStr">
        <is>
          <t>Tips for breaking more than a decade of bad diabetes habits?</t>
        </is>
      </c>
      <c r="C8017" t="inlineStr">
        <is>
          <t>So this past weekend, I was hit with a reality check when my HBa1C came back at 11.9  (a personal best /s) and I've realised that between the time I was diagnosed at 8 and today at 23, I've developed some frankly awful habits.
From a lack of regular testing and occasional missed injections to keeping zero log, going over 12 months at a time without a visit to an endo ($$$) and outright guess work on dosages - how do I break these habits?
My feeling here is that the worst part of this is that I know exactly what to do, but I don't know how to change things. The basic answer is probably, 'Just do it' but the implementation is way harder than I thought it would ever be</t>
        </is>
      </c>
      <c r="D8017" t="n">
        <v>1</v>
      </c>
      <c r="E8017" t="n">
        <v>21</v>
      </c>
      <c r="F8017">
        <f>HYPERLINK("https://www.reddit.com/r/diabetes/comments/ec454c/tips_for_breaking_more_than_a_decade_of_bad/")</f>
        <v/>
      </c>
      <c r="G8017" t="inlineStr">
        <is>
          <t>2019-12-17 15:40:48</t>
        </is>
      </c>
      <c r="H8017" t="inlineStr">
        <is>
          <t>Type 1</t>
        </is>
      </c>
    </row>
    <row r="8018">
      <c r="A8018" t="inlineStr">
        <is>
          <t>ec7hzv</t>
        </is>
      </c>
      <c r="B8018" t="inlineStr">
        <is>
          <t>Does lowered A1c from low carb diet mean I'm Type 2 not Type 1.5?</t>
        </is>
      </c>
      <c r="C8018" t="inlineStr">
        <is>
          <t>I was diagnosed with prediabetes with an A1c of 6.0. I'm very thin (BMI of 19) and extremely active (workout daily) and have no family history of diabetes, so I've been worried I'm developing LADA (type 1.5). I started eating low-carb and after about a month, got re-tested and got an A1c of 5.5 (no longer prediabetes). Since I seem to be able to control this with diet, does that mean I don't have LADA? And what should my next steps be now that I'm no longer "prediabetic"... do I just keep eating low-carb basically forever and try to get my A1c to drop even more?</t>
        </is>
      </c>
      <c r="D8018" t="n">
        <v>1</v>
      </c>
      <c r="E8018" t="n">
        <v>1</v>
      </c>
      <c r="F8018">
        <f>HYPERLINK("https://www.reddit.com/r/diabetes/comments/ec7hzv/does_lowered_a1c_from_low_carb_diet_mean_im_type/")</f>
        <v/>
      </c>
      <c r="G8018" t="inlineStr">
        <is>
          <t>2019-12-17 20:11:55</t>
        </is>
      </c>
      <c r="H8018" t="inlineStr">
        <is>
          <t>Type 1.5/LADA</t>
        </is>
      </c>
    </row>
    <row r="8019">
      <c r="A8019" t="inlineStr">
        <is>
          <t>ec7qu3</t>
        </is>
      </c>
      <c r="B8019" t="inlineStr">
        <is>
          <t>Inexplicable high BG in the evening</t>
        </is>
      </c>
      <c r="C8019" t="inlineStr">
        <is>
          <t>Hello all....I am a type 1 diabetic using the the tandem t-slim. For some reason for the last week my BG has been going high in the late evening starting from 930pm/1000pm and it will stay this high all night into the morning. On top of this I am extremely resistant to insulin around this time. I have been eating the same dinners I always eat, that usually give me no issue. I have also added in some movement etc to help combat the spike, but no luck. Does this happen to anyone else in the evenings? Any ideas as to what could be contributing to these spikes?</t>
        </is>
      </c>
      <c r="D8019" t="n">
        <v>1</v>
      </c>
      <c r="E8019" t="n">
        <v>12</v>
      </c>
      <c r="F8019">
        <f>HYPERLINK("https://www.reddit.com/r/diabetes/comments/ec7qu3/inexplicable_high_bg_in_the_evening/")</f>
        <v/>
      </c>
      <c r="G8019" t="inlineStr">
        <is>
          <t>2019-12-17 20:34:21</t>
        </is>
      </c>
      <c r="H8019" t="inlineStr">
        <is>
          <t>Type 1</t>
        </is>
      </c>
    </row>
    <row r="8020">
      <c r="A8020" t="inlineStr">
        <is>
          <t>ec85x4</t>
        </is>
      </c>
      <c r="B8020" t="inlineStr">
        <is>
          <t>I need help... My Husband was just diagnosed with Diabetes after Amputation</t>
        </is>
      </c>
      <c r="C8020" t="inlineStr">
        <is>
          <t>My Husband was just diagnosed with type 2 diabetes.  He was just released from the Hospital today after an amputation of the left half of his right foot.  4 weeks ago he started complaining about a blister on his foot.  2 weeks ago he wasn't feeling good. We just thought he was coming down with something. A few days after that he stated getting fevers. 9 days ago he went into the hospital.  What he thought was a blister was a diabetic ulcer that turned into Osteomyelitis.  His big toe and second toe along with their bones were amputated to just below his ankle.  He will be in a wheel chair for at least 3 months.  There is still a good chance they will amputated below the knee.  The Doctor said if my Husband doesn't get his diabetes under control it will kill him with in a year.  She said this is the worst case of a diabetic going undiagnosed that she has ever seen.  She suspects that he's been a diabetic for years.  
This is going to be a difficult life style change for us and our toddler.  I have no clue how to meal plan for diabetics. Have a library of information I need to read. 
Can I ask maybe if people can tell me some of your favorite meal recipes, snacks, treats and tips?</t>
        </is>
      </c>
      <c r="D8020" t="n">
        <v>1</v>
      </c>
      <c r="E8020" t="n">
        <v>5</v>
      </c>
      <c r="F8020">
        <f>HYPERLINK("https://www.reddit.com/r/diabetes/comments/ec85x4/i_need_help_my_husband_was_just_diagnosed_with/")</f>
        <v/>
      </c>
      <c r="G8020" t="inlineStr">
        <is>
          <t>2019-12-17 21:15:36</t>
        </is>
      </c>
      <c r="H8020" t="inlineStr">
        <is>
          <t>Type 2</t>
        </is>
      </c>
    </row>
    <row r="8021">
      <c r="A8021" t="inlineStr">
        <is>
          <t>ec92je</t>
        </is>
      </c>
      <c r="B8021" t="inlineStr">
        <is>
          <t>My Husband Keeps Losing Weight</t>
        </is>
      </c>
      <c r="C8021" t="inlineStr">
        <is>
          <t>My husband has been losing weight for several months now. He is currently at 110 lbs and about 5'8" and I am very worried about him
He is on a low dose of insulin, and has been for a little less than a month. His doctor will likely raise his dose some soon, as his blood sugar is still not ideal.
Any help or thoughts on how to help him get that weight back while maintaining a lower blood sugar would be great.
Thank you in advance.</t>
        </is>
      </c>
      <c r="D8021" t="n">
        <v>1</v>
      </c>
      <c r="E8021" t="n">
        <v>17</v>
      </c>
      <c r="F8021">
        <f>HYPERLINK("https://www.reddit.com/r/diabetes/comments/ec92je/my_husband_keeps_losing_weight/")</f>
        <v/>
      </c>
      <c r="G8021" t="inlineStr">
        <is>
          <t>2019-12-17 22:48:26</t>
        </is>
      </c>
      <c r="H8021" t="inlineStr">
        <is>
          <t>Type 2</t>
        </is>
      </c>
    </row>
    <row r="8022">
      <c r="A8022" t="inlineStr">
        <is>
          <t>ecfjvo</t>
        </is>
      </c>
      <c r="B8022" t="inlineStr">
        <is>
          <t>Relief that I have type 1 and not 2...</t>
        </is>
      </c>
      <c r="C8022" t="inlineStr">
        <is>
          <t>The doctors kept telling me I’m prediabetic since 5th grade. I was always overweight so they told me I was gonna be a type 2 diabetic. Got diagnosed with an A1C of 12 and a fasting BG of 300. They said I was type 2 diabetic and that it was MY FUCKING FAULT. I held this anger for so long, thought loop after thought loop telling myself “oh my god I can’t believe your diabetic” for several months on end. Then my endo had the common fucking sense to say “well no 5th grader should be prediabetic maybe this nigga is type 1” and low and behold I’m the big TYPE 1. I know T1 is technically worse than T2 but I find relief in knowing it wasn’t my fault. The fact that I believed I could have prevented my diabetes plagued my mind so hard to the point of shutting down completely emotionally. I know I’m gonna die earlier, I know my BG is gonna go over 400 every time I forget to put a shot, I know there is absolutely nothing I can do to slow the progression of my diabetes. However I’m so happy that I’m T1 and not T2. Nothing against people with T2 but I felt so guilty knowing that I was a diabetic due to being a fat fuck. I guess dropping 70lbs over the course of a few months unwillingly means T1 diabetes. My endo told me unless I had extreme uncontrolled T2 like to the level of T1 blood sugars there was no way I was a T2 and that I 100% am T1, my antibodies have proved it twice with the second test coming back with double the antibody numbers. All I have to say really is I’m glad I’m T1, I’d rather be able to live my life knowing it wasn’t my fault... plus I can finally eat. When I was on metformin I had to eat little to nothing to prevent my BG from blasting off into the 300’s. Although T1 diabetes is worse than T2, I’d rather be able to actually eat a normal fucking meal and take my insulin than living like a vegan. I’m pretty healthy, 157lbs which is very light, I’m down to that due to entering DKA caused by being on metformin without enough insulin production. Just venting I guess, please don’t hate on me. Having the weight of TYPE 2 DIABETES at 17 hurts so fucking much more than knowing your Type 1. I’m happy I’m T1, because even tho I was fat, I know it wasn’t my fault. My C-Peptide already told me everything I need to know :/</t>
        </is>
      </c>
      <c r="D8022" t="n">
        <v>1</v>
      </c>
      <c r="E8022" t="n">
        <v>13</v>
      </c>
      <c r="F8022">
        <f>HYPERLINK("https://www.reddit.com/r/diabetes/comments/ecfjvo/relief_that_i_have_type_1_and_not_2/")</f>
        <v/>
      </c>
      <c r="G8022" t="inlineStr">
        <is>
          <t>2019-12-18 09:21:25</t>
        </is>
      </c>
      <c r="H8022" t="inlineStr">
        <is>
          <t>Type 1</t>
        </is>
      </c>
    </row>
    <row r="8023">
      <c r="A8023" t="inlineStr">
        <is>
          <t>ecg5m0</t>
        </is>
      </c>
      <c r="B8023" t="inlineStr">
        <is>
          <t>Bad luck with Nurse Practitioners - anyone else?</t>
        </is>
      </c>
      <c r="C8023" t="inlineStr">
        <is>
          <t>The endocrinologist I've been seeing for 3 years is fantastic. She's incredibly understanding, works with me to find new solutions, is up on all the latest research and technology and all around excellent.
Her nurse practitioners (NP's) are honestly shit. She's got two that help with her caseload, and I've seen one a couple times and just met the second one today. Each and EVERY time I get seen by an NP, they treat me like I'm some unintelligent, out-of-control diabetic that's completely unaware of how to manage my diabetes. B*tch I've been diabetic longer than you were in school for. Each time I see them I go away wanting to cry and give up trying.
Sorry for the rant, but has anyone else found that NP's are just overall difficult and not fun to work with?</t>
        </is>
      </c>
      <c r="D8023" t="n">
        <v>1</v>
      </c>
      <c r="E8023" t="n">
        <v>7</v>
      </c>
      <c r="F8023">
        <f>HYPERLINK("https://www.reddit.com/r/diabetes/comments/ecg5m0/bad_luck_with_nurse_practitioners_anyone_else/")</f>
        <v/>
      </c>
      <c r="G8023" t="inlineStr">
        <is>
          <t>2019-12-18 10:05:57</t>
        </is>
      </c>
      <c r="H8023" t="inlineStr">
        <is>
          <t>Type 1</t>
        </is>
      </c>
    </row>
    <row r="8024">
      <c r="A8024" t="inlineStr">
        <is>
          <t>ech7mn</t>
        </is>
      </c>
      <c r="B8024" t="inlineStr">
        <is>
          <t>I was diagnosed last month (Read)</t>
        </is>
      </c>
      <c r="C8024" t="inlineStr">
        <is>
          <t>I seem like a regular 10 year old child but last month I was diagnosed with type 1. Since my diagnosis was so fast it was and still is hard to get over the stress. Is there anyone who could maybe have a little talk (Comments) to calm me down and give me someone to talk to?</t>
        </is>
      </c>
      <c r="D8024" t="n">
        <v>1</v>
      </c>
      <c r="E8024" t="n">
        <v>17</v>
      </c>
      <c r="F8024">
        <f>HYPERLINK("https://www.reddit.com/r/diabetes/comments/ech7mn/i_was_diagnosed_last_month_read/")</f>
        <v/>
      </c>
      <c r="G8024" t="inlineStr">
        <is>
          <t>2019-12-18 11:24:17</t>
        </is>
      </c>
      <c r="H8024" t="inlineStr">
        <is>
          <t>Type 1</t>
        </is>
      </c>
    </row>
    <row r="8025">
      <c r="A8025" t="inlineStr">
        <is>
          <t>eciyu3</t>
        </is>
      </c>
      <c r="B8025" t="inlineStr">
        <is>
          <t>Been dieting, low carb, fasting. A1c test back today. Went from 5.7 to 4.8!</t>
        </is>
      </c>
      <c r="C8025" t="inlineStr">
        <is>
          <t>Title says it all. My diabetes nurse practitioner wants me to wear a continuous monitor to make sure I'm not going low. I feel great but it's annoying that she told me I'm supposed to be between 6 and 7. My goal was remission and I feel I've achieved it.</t>
        </is>
      </c>
      <c r="D8025" t="n">
        <v>1</v>
      </c>
      <c r="E8025" t="n">
        <v>71</v>
      </c>
      <c r="F8025">
        <f>HYPERLINK("https://www.reddit.com/r/diabetes/comments/eciyu3/been_dieting_low_carb_fasting_a1c_test_back_today/")</f>
        <v/>
      </c>
      <c r="G8025" t="inlineStr">
        <is>
          <t>2019-12-18 13:31:01</t>
        </is>
      </c>
      <c r="H8025" t="inlineStr">
        <is>
          <t>Type 2</t>
        </is>
      </c>
    </row>
    <row r="8026">
      <c r="A8026" t="inlineStr">
        <is>
          <t>ecm2og</t>
        </is>
      </c>
      <c r="B8026" t="inlineStr">
        <is>
          <t>Is there anything more irritating than the vibration of a Medtronic pump? Literally shocking your body with a low pulsating ping to let u know u ducked up.</t>
        </is>
      </c>
      <c r="C8026" t="inlineStr">
        <is>
          <t>I know my sugars high! I just checked in and calibrated it Luis you told me to! Check my BG again?  Ok done! Still high obviously.  Ring ring you’re taking me off automatic mode n putting me into manual mode? Oh cool that will really help you you piece of shit pump</t>
        </is>
      </c>
      <c r="D8026" t="n">
        <v>1</v>
      </c>
      <c r="E8026" t="n">
        <v>14</v>
      </c>
      <c r="F8026">
        <f>HYPERLINK("https://www.reddit.com/r/diabetes/comments/ecm2og/is_there_anything_more_irritating_than_the/")</f>
        <v/>
      </c>
      <c r="G8026" t="inlineStr">
        <is>
          <t>2019-12-18 17:37:48</t>
        </is>
      </c>
      <c r="H8026" t="inlineStr">
        <is>
          <t>Type 1</t>
        </is>
      </c>
    </row>
    <row r="8027">
      <c r="A8027" t="inlineStr">
        <is>
          <t>ecvlns</t>
        </is>
      </c>
      <c r="B8027" t="inlineStr">
        <is>
          <t>Brusing</t>
        </is>
      </c>
      <c r="C8027" t="inlineStr">
        <is>
          <t>Hi! Anyone else get bad blue and purple bruises from their CGM and pump sites? I'm covered in bruises from my sites and was wondering is this happens to anyone else and if there is a way to prevent it?!</t>
        </is>
      </c>
      <c r="D8027" t="n">
        <v>1</v>
      </c>
      <c r="E8027" t="n">
        <v>9</v>
      </c>
      <c r="F8027">
        <f>HYPERLINK("https://www.reddit.com/r/diabetes/comments/ecvlns/brusing/")</f>
        <v/>
      </c>
      <c r="G8027" t="inlineStr">
        <is>
          <t>2019-12-19 08:34:09</t>
        </is>
      </c>
      <c r="H8027" t="inlineStr">
        <is>
          <t>Type 1</t>
        </is>
      </c>
    </row>
    <row r="8028">
      <c r="A8028" t="inlineStr">
        <is>
          <t>ecyhhc</t>
        </is>
      </c>
      <c r="B8028" t="inlineStr">
        <is>
          <t>I bloody HATE how diabetes randomly ruins my workouts..</t>
        </is>
      </c>
      <c r="C8028" t="inlineStr">
        <is>
          <t>Already injected a smaller bolus than calculated for dinner, almost 2h ago. Ate some icecream (13g of carbs) and 3 full glucose tabs (\~18g of carbs on top) just before workout.
&amp;amp;#x200B;
Started my VR workout.
A whopping 16 minutes later, Dexcom is screaming, dropping hard and fast.
End of workout, but hey, with all the shit I ate beforehand, at least I'm not going to lose any weight.
&amp;amp;#x200B;
Bet you a dollar I'm gonna run high all night in return for it, too.
&amp;amp;#x200B;
End of rant.</t>
        </is>
      </c>
      <c r="D8028" t="n">
        <v>1</v>
      </c>
      <c r="E8028" t="n">
        <v>16</v>
      </c>
      <c r="F8028">
        <f>HYPERLINK("https://www.reddit.com/r/diabetes/comments/ecyhhc/i_bloody_hate_how_diabetes_randomly_ruins_my/")</f>
        <v/>
      </c>
      <c r="G8028" t="inlineStr">
        <is>
          <t>2019-12-19 11:59:36</t>
        </is>
      </c>
      <c r="H8028" t="inlineStr">
        <is>
          <t>Type 1</t>
        </is>
      </c>
    </row>
    <row r="8029">
      <c r="A8029" t="inlineStr">
        <is>
          <t>ed0rgy</t>
        </is>
      </c>
      <c r="B8029" t="inlineStr">
        <is>
          <t>Sugar Free Meringue Cookies (8g carbs)</t>
        </is>
      </c>
      <c r="C8029" t="inlineStr">
        <is>
          <t>My husband was diagnosed with Type 1 diabetes about a year ago. Last night I tried making him cookies he can eat as we decorate the tree, and they turned out awesome! I don't have diabetes and ate about half the batch myself, lol.
Ingredients: 4 large egg whites, 1 teaspoon vanilla extract, 1/4 teaspoon cream of tarter, dash of salt, 2/3 granulated splenda, walnuts, splenda sweetened chocolate chips (found at walmart in the baking section)
Preheat oven at 250 - Mix egg whites, vanilla extract, cream of tarter, and dash of salt (I actually forgot the salt but it's recommended) - While mixing, slowly pour in the splenda - once the texture is fluffy, mix in the walnuts and splenda chocolate chips - Bake for 35 minutes - Turn off oven, but leave the door closed. Leave the cookies in for another hour
Enjoy!</t>
        </is>
      </c>
      <c r="D8029" t="n">
        <v>1</v>
      </c>
      <c r="E8029" t="n">
        <v>11</v>
      </c>
      <c r="F8029">
        <f>HYPERLINK("https://www.reddit.com/r/diabetes/comments/ed0rgy/sugar_free_meringue_cookies_8g_carbs/")</f>
        <v/>
      </c>
      <c r="G8029" t="inlineStr">
        <is>
          <t>2019-12-19 14:39:58</t>
        </is>
      </c>
      <c r="H8029" t="inlineStr">
        <is>
          <t>Type 1</t>
        </is>
      </c>
    </row>
    <row r="8030">
      <c r="A8030" t="inlineStr">
        <is>
          <t>ed1ijx</t>
        </is>
      </c>
      <c r="B8030" t="inlineStr">
        <is>
          <t>9/11.. A day that will live in infamy. (2019, that is.)</t>
        </is>
      </c>
      <c r="C8030" t="inlineStr">
        <is>
          <t>This was the day I was diagnosed as Type 2 diabetic. 
I had been PRE-diabetic for about 2 years until I recently had routine blood work where it was confirmed that my A1C was solidly in the diabetic range.
(I was also diagnosed as hypertensive and with high cholesterol.)
When I got home I literally threw myself on the bed and screamed into a pillow for a full HOUR.
I've tried repeatedly to get into shape, lose weight and all that jazz multiple times, but living with depression and having to deal with abusive, toxic family on a regular basis, a stuffed-crust pizza with enough cheese to kill a lactose-intolerant person is most often my medication for what ails me.
But not anymore.
Unless of course I want to die before I see age 50. 
After wallowing in self-pity for a good 2 months I started taking this seriously and changing my diet a bit at a time. Captain Crunch is sailing on to other seas. Little Caesar is off to watch Rome burn. Ronald McDonald can go kill another billion from heart disease, but not me.
I've started walking every day for a good 30 mins each evening, and soon I will do the same amount each morning. When my new insurance kicks in next month, I will take FULL ADVANTAGE of the free YMCA membership perk that is included.
All the while, the Metformin is tearing me a new @$$#0le 3 times a day. I'm going to ask the doc if there's a better drug for this 'cause this is no way to live a life. I have to be near a toilet at all times.
Sorry for the rant. I have almost nobody to talk to about this who will respect me and treat me like a human being on this, because the prevailing mindset seems to be: "Fat fuck eats everything he sees, he DESERVES a chronic disease."
Not to mention the family's mindset. Dear old MOM tries to be an actual PARENT (first time for everything) and attempts a form of "tough love" pep-talk that falls flat. Told her it was too late... Then had to reiterate that I wasn't going to kill myself over it.
I'm just not having a good day today. I want to undo the past 20 years of my life and start over, never giving up on my more active lifestyle because of family's worries about my safety.
Thank you all in advance for any support that comes my way. I need it today.</t>
        </is>
      </c>
      <c r="D8030" t="n">
        <v>1</v>
      </c>
      <c r="E8030" t="n">
        <v>6</v>
      </c>
      <c r="F8030">
        <f>HYPERLINK("https://www.reddit.com/r/diabetes/comments/ed1ijx/911_a_day_that_will_live_in_infamy_2019_that_is/")</f>
        <v/>
      </c>
      <c r="G8030" t="inlineStr">
        <is>
          <t>2019-12-19 15:36:18</t>
        </is>
      </c>
      <c r="H8030" t="inlineStr">
        <is>
          <t>Type 2</t>
        </is>
      </c>
    </row>
    <row r="8031">
      <c r="A8031" t="inlineStr">
        <is>
          <t>ed1xg0</t>
        </is>
      </c>
      <c r="B8031" t="inlineStr">
        <is>
          <t>Diagnosed yesterday. Advice?</t>
        </is>
      </c>
      <c r="C8031" t="inlineStr">
        <is>
          <t>Hi all,
I was just diagnosed with Type 2 yesterday. I’m kind of scared to be honest. Does anyone have any advice for when I’m first starting out with this? Advice on any aspect is helpful. I feel kind of lost.</t>
        </is>
      </c>
      <c r="D8031" t="n">
        <v>1</v>
      </c>
      <c r="E8031" t="n">
        <v>14</v>
      </c>
      <c r="F8031">
        <f>HYPERLINK("https://www.reddit.com/r/diabetes/comments/ed1xg0/diagnosed_yesterday_advice/")</f>
        <v/>
      </c>
      <c r="G8031" t="inlineStr">
        <is>
          <t>2019-12-19 16:08:35</t>
        </is>
      </c>
      <c r="H8031" t="inlineStr">
        <is>
          <t>Type 2</t>
        </is>
      </c>
    </row>
    <row r="8032">
      <c r="A8032" t="inlineStr">
        <is>
          <t>ed3c5g</t>
        </is>
      </c>
      <c r="B8032" t="inlineStr">
        <is>
          <t>How worried should I be?</t>
        </is>
      </c>
      <c r="C8032" t="inlineStr">
        <is>
          <t>So my GF (30) was just admitted to hospital because she found out during a pre-employment medical screening that her blood sugar was really high.
Her doctor told her she likely has type-1 diabetes, looking back it's "funny" now we'd laugh about everytime she woke up in the night to absolutely wreck a 1L water bottle and pee like a pregnant woman, get real cranky pants when I would take ages to get food sorted (when it was my turn to sort it). Seems really obvious, but she'd seen doctors and had bloods done multiple times over her adult life with no indicators.
How serious is this? I have seen friends who don't manage their type-1 and had very close calls. But I feel like it's not crazy bad diabetes as it went undiagnosed for 30yrs and she's never had a medical episode. But I only feel like that because I have only done 5 mins research into diabetes. Is it likely that eventually she would have had a severe event? I work away from home so now that I am actually thinking about these questions it is starting to stress me out.</t>
        </is>
      </c>
      <c r="D8032" t="n">
        <v>1</v>
      </c>
      <c r="E8032" t="n">
        <v>9</v>
      </c>
      <c r="F8032">
        <f>HYPERLINK("https://www.reddit.com/r/diabetes/comments/ed3c5g/how_worried_should_i_be/")</f>
        <v/>
      </c>
      <c r="G8032" t="inlineStr">
        <is>
          <t>2019-12-19 18:01:48</t>
        </is>
      </c>
      <c r="H8032" t="inlineStr">
        <is>
          <t>Type 1</t>
        </is>
      </c>
    </row>
    <row r="8033">
      <c r="A8033" t="inlineStr">
        <is>
          <t>ed3fp5</t>
        </is>
      </c>
      <c r="B8033" t="inlineStr">
        <is>
          <t>How high does BG usually go when sick? For example the Flu...</t>
        </is>
      </c>
      <c r="C8033" t="inlineStr">
        <is>
          <t>So people I’m living with came down with the Flu. My nose has been very runny and head hurting but haven’t seen the fat blood sugar spike yet. Out of curiosity what are your guyses numbers when sick? Also are Ketones something I should worry about while sick or are they usually not an issue?</t>
        </is>
      </c>
      <c r="D8033" t="n">
        <v>1</v>
      </c>
      <c r="E8033" t="n">
        <v>3</v>
      </c>
      <c r="F8033">
        <f>HYPERLINK("https://www.reddit.com/r/diabetes/comments/ed3fp5/how_high_does_bg_usually_go_when_sick_for_example/")</f>
        <v/>
      </c>
      <c r="G8033" t="inlineStr">
        <is>
          <t>2019-12-19 18:09:44</t>
        </is>
      </c>
      <c r="H8033" t="inlineStr">
        <is>
          <t>Type 1</t>
        </is>
      </c>
    </row>
    <row r="8034">
      <c r="A8034" t="inlineStr">
        <is>
          <t>ed3y6d</t>
        </is>
      </c>
      <c r="B8034" t="inlineStr">
        <is>
          <t>Keto vs Vegan?</t>
        </is>
      </c>
      <c r="C8034" t="inlineStr">
        <is>
          <t>So I was diagnosed a month ago with type 2 diabetes. I had a question regarding diet. I've been researching online and one group of doctors have proof of a ketogenic diet reversing diabetes by reducing carbs. Then there's another group that calls for a vegan lifestyle. Both groups have their own studies where he was able to dramatically reduce diabetes. Thoughts? What kind of eating style do you guys do personally?</t>
        </is>
      </c>
      <c r="D8034" t="n">
        <v>1</v>
      </c>
      <c r="E8034" t="n">
        <v>11</v>
      </c>
      <c r="F8034">
        <f>HYPERLINK("https://www.reddit.com/r/diabetes/comments/ed3y6d/keto_vs_vegan/")</f>
        <v/>
      </c>
      <c r="G8034" t="inlineStr">
        <is>
          <t>2019-12-19 18:52:46</t>
        </is>
      </c>
      <c r="H8034" t="inlineStr">
        <is>
          <t>Type 2</t>
        </is>
      </c>
    </row>
    <row r="8035">
      <c r="A8035" t="inlineStr">
        <is>
          <t>ed6vyp</t>
        </is>
      </c>
      <c r="B8035" t="inlineStr">
        <is>
          <t>Happy day at the doctor’s office</t>
        </is>
      </c>
      <c r="C8035" t="inlineStr">
        <is>
          <t>So today I went to meet with my doctor to discuss my blood work that I had done. In August of this year I was diagnosed with type 2 and was admitted into the ICU as I was going into DKA. I had an A1C of 12.4 and my blood sugar was well over 600
Today I was told that my A1C was at 5.5 and I got taken off my pre-meal Humalog! 
Just felt like sharing cause being diagnosed was a super low point in the year and I’m proud of being able to manage pretty well within my first 3 months. 
Now to just keep it up for the rest of my life...</t>
        </is>
      </c>
      <c r="D8035" t="n">
        <v>1</v>
      </c>
      <c r="E8035" t="n">
        <v>16</v>
      </c>
      <c r="F8035">
        <f>HYPERLINK("https://www.reddit.com/r/diabetes/comments/ed6vyp/happy_day_at_the_doctors_office/")</f>
        <v/>
      </c>
      <c r="G8035" t="inlineStr">
        <is>
          <t>2019-12-19 23:29:09</t>
        </is>
      </c>
      <c r="H8035" t="inlineStr">
        <is>
          <t>Type 2</t>
        </is>
      </c>
    </row>
    <row r="8036">
      <c r="A8036" t="inlineStr">
        <is>
          <t>edd621</t>
        </is>
      </c>
      <c r="B8036" t="inlineStr">
        <is>
          <t>A year into my journey</t>
        </is>
      </c>
      <c r="C8036" t="inlineStr">
        <is>
          <t>Tomorrow is the one year anniversary of my diagnosis. I was 10.5 (or 10.7 I honestly can't remember) when I was in the hospital for a different reason. I immediately changed my diet and cut out as many carbs as I could.
I went today for my next 3 month check up (been going every 3 months since diagnosis) and my A1C was 4.6.
4.6
I have been thinking I have been doing terrible. I have been eating more carbs, and had a few days where I haven't been doing good with how I eat. But my doctor is so proud of me and doesn't want to see me until next summer.
I couldnt believe it. I thought that I was going to be up from last check (5.4) and was worried I would be in the 7s or 8s.
It is nice to see that I'm not being complete trash.
I just wanted to share this with you all because this was the first subreddit I joined and I have learned so much from all of you. Thank you! &amp;lt;3</t>
        </is>
      </c>
      <c r="D8036" t="n">
        <v>1</v>
      </c>
      <c r="E8036" t="n">
        <v>6</v>
      </c>
      <c r="F8036">
        <f>HYPERLINK("https://www.reddit.com/r/diabetes/comments/edd621/a_year_into_my_journey/")</f>
        <v/>
      </c>
      <c r="G8036" t="inlineStr">
        <is>
          <t>2019-12-20 09:27:35</t>
        </is>
      </c>
      <c r="H8036" t="inlineStr">
        <is>
          <t>Type 2</t>
        </is>
      </c>
    </row>
    <row r="8037">
      <c r="A8037" t="inlineStr">
        <is>
          <t>edhj7v</t>
        </is>
      </c>
      <c r="B8037" t="inlineStr">
        <is>
          <t>Does being sick raise blood sugar by a huge amount?</t>
        </is>
      </c>
      <c r="C8037" t="inlineStr">
        <is>
          <t>I’ve been sick the last week and it’s been affecting my blood sugar by quite a lot. I know being sick can raise your blood sugar, but I feel like my blood sugar has been raising way too much. For my meals I’ve noticed that the regular amount I usually do results in highs, so I have been doing a couple extra units. The odd thing is that I’ve been doing a lot of extra insulin, maybe 5 or so extra units per meal and my blood sugar can still go crazy high. Just last night, I had about 90 carbs, and with my 1 unit for 4 carbs plus some correction I usually would have done 25 but I did 30. 2 hours later my CGM was at 350 and still rising, and I blood tested and it was correct. Does being sick usually raise blood sugar by this much?</t>
        </is>
      </c>
      <c r="D8037" t="n">
        <v>1</v>
      </c>
      <c r="E8037" t="n">
        <v>6</v>
      </c>
      <c r="F8037">
        <f>HYPERLINK("https://www.reddit.com/r/diabetes/comments/edhj7v/does_being_sick_raise_blood_sugar_by_a_huge_amount/")</f>
        <v/>
      </c>
      <c r="G8037" t="inlineStr">
        <is>
          <t>2019-12-20 15:01:12</t>
        </is>
      </c>
      <c r="H8037" t="inlineStr">
        <is>
          <t>Type 1</t>
        </is>
      </c>
    </row>
    <row r="8038">
      <c r="A8038" t="inlineStr">
        <is>
          <t>edi0a8</t>
        </is>
      </c>
      <c r="B8038" t="inlineStr">
        <is>
          <t>T1 diabetic - Synthroid making sugars very high?</t>
        </is>
      </c>
      <c r="C8038" t="inlineStr">
        <is>
          <t xml:space="preserve"> Hi all, I started Synthroid 2 days ago. I have been taking my pill (25mg) at night right before bed. When I wake up, my sugars have been 270-300. This is REALLY unusual for me, they are usually 70-130 when I wake up. Have any other T1s had this reaction? I am going to try upping my Triseba tonight, I really want to give this medication a chance :(</t>
        </is>
      </c>
      <c r="D8038" t="n">
        <v>1</v>
      </c>
      <c r="E8038" t="n">
        <v>6</v>
      </c>
      <c r="F8038">
        <f>HYPERLINK("https://www.reddit.com/r/diabetes/comments/edi0a8/t1_diabetic_synthroid_making_sugars_very_high/")</f>
        <v/>
      </c>
      <c r="G8038" t="inlineStr">
        <is>
          <t>2019-12-20 15:39:57</t>
        </is>
      </c>
      <c r="H8038" t="inlineStr">
        <is>
          <t>Type 1</t>
        </is>
      </c>
    </row>
    <row r="8039">
      <c r="A8039" t="inlineStr">
        <is>
          <t>edipwz</t>
        </is>
      </c>
      <c r="B8039" t="inlineStr">
        <is>
          <t>Diabetic dad trying to get into assisted living, advice requested</t>
        </is>
      </c>
      <c r="C8039" t="inlineStr">
        <is>
          <t>My dad was hospitalized a few months ago because of complications of a diabetic ulcer and has since been in rehab (he was in the hospital for over a month, so was in bad shape at first). We are just learning that the ulcer will most likely take up to a year to heal. He is 75, he also had a heart attack right as he was going into the hospital. He is a LOT better than when he went into rehab, he walks with a walker, doesn’t need  assistance in the bathroom or getting ready, and they say his heart is better. Basically he can take care of himself except for the wound.
We just found out that he is not being accepted into any assisted living place because of the wound. And he doesn’t qualify for skilled nursing homes because he’s basically independent. He lives alone and they don’t want him going home by himself right now, he will require home health care for at least the wound plus medications. My brother travels for work, so his house isn’t an option, and my house has stairs into all entrances and requires walking up a steep hill to get to, so my house is out (plus we both live in different states than my dads home, girlfriend, friends). 
I’m just wondering if anyone else has dealt with something similar because of a diabetic ulcer and what possible options there are?</t>
        </is>
      </c>
      <c r="D8039" t="n">
        <v>1</v>
      </c>
      <c r="E8039" t="n">
        <v>5</v>
      </c>
      <c r="F8039">
        <f>HYPERLINK("https://www.reddit.com/r/diabetes/comments/edipwz/diabetic_dad_trying_to_get_into_assisted_living/")</f>
        <v/>
      </c>
      <c r="G8039" t="inlineStr">
        <is>
          <t>2019-12-20 16:40:22</t>
        </is>
      </c>
      <c r="H8039" t="inlineStr">
        <is>
          <t>Type 1</t>
        </is>
      </c>
    </row>
    <row r="8040">
      <c r="A8040" t="inlineStr">
        <is>
          <t>edltqa</t>
        </is>
      </c>
      <c r="B8040" t="inlineStr">
        <is>
          <t>Can getting a flu shot cause increased blood sugars?</t>
        </is>
      </c>
      <c r="C8040" t="inlineStr">
        <is>
          <t>I just got a flu shot today, and now after eating dinner, my blood sugar is through the roof, and I can’t get t down. Is there a link between flu shots and high blood sugar or is my pod not working?</t>
        </is>
      </c>
      <c r="D8040" t="n">
        <v>1</v>
      </c>
      <c r="E8040" t="n">
        <v>6</v>
      </c>
      <c r="F8040">
        <f>HYPERLINK("https://www.reddit.com/r/diabetes/comments/edltqa/can_getting_a_flu_shot_cause_increased_blood/")</f>
        <v/>
      </c>
      <c r="G8040" t="inlineStr">
        <is>
          <t>2019-12-20 21:23:13</t>
        </is>
      </c>
      <c r="H8040" t="inlineStr">
        <is>
          <t>Type 1</t>
        </is>
      </c>
    </row>
    <row r="8041">
      <c r="A8041" t="inlineStr">
        <is>
          <t>edly1n</t>
        </is>
      </c>
      <c r="B8041" t="inlineStr">
        <is>
          <t>362 :(((</t>
        </is>
      </c>
      <c r="C8041" t="inlineStr">
        <is>
          <t>I shot up from 42 to 362 in the space of about an hour and now I just feel A W F U L and my breath tastes like acid! I’ve taken insulin and I’m not coming down. Any suggestions?</t>
        </is>
      </c>
      <c r="D8041" t="n">
        <v>1</v>
      </c>
      <c r="E8041" t="n">
        <v>9</v>
      </c>
      <c r="F8041">
        <f>HYPERLINK("https://www.reddit.com/r/diabetes/comments/edly1n/362/")</f>
        <v/>
      </c>
      <c r="G8041" t="inlineStr">
        <is>
          <t>2019-12-20 21:34:42</t>
        </is>
      </c>
      <c r="H8041" t="inlineStr">
        <is>
          <t>Type 1</t>
        </is>
      </c>
    </row>
    <row r="8042">
      <c r="A8042" t="inlineStr">
        <is>
          <t>ednmkc</t>
        </is>
      </c>
      <c r="B8042" t="inlineStr">
        <is>
          <t>12 year rant :/ (sorry in advance)</t>
        </is>
      </c>
      <c r="C8042" t="inlineStr">
        <is>
          <t xml:space="preserve">    I was diagnosed with type 1 a few weeks after my seventh birthday, so it’s fair to say that I don’t really remember a time before diabetes. I don’t remember eating without injections, or leaving the house without my diabetic go kit, and as a young kid I was bullied relentlessly for being ‘broken’. I’m sure this is a sentiment shared by a lot of my fellow diabetics on this sub Reddit. 
    All of this to say, I’m done. I loathe counting carbs, I despise changing inserts and sensors, and I abhor any aspect of my life that involves having to take over what my pancreas did for me. 
   As you may well know, diabetes has an effect on pretty much every part of your life. It makes your teeth soft (I’ve had multiple cavities, all well after I was diagnosed), it weakens your eyesight (severely myopic) and just a plethora of other garbage it inflicts on your body. And at this point, 12 years in, and only 19 years old, I find myself thinking, what’s the point anymore? 
     I can’t do the things I want to do, because I’m diabetic. My mother was an English teacher in Japan, and I’ve always waved to do that, but I  can’t because of my diabetes. I’m the first male in my family going back GENERATIONS who hasn’t joined the armed forces to protect my country because I’m diabetic. 
   Every day I wake up knowing my lifespan has been cut short because of some BS that I gotta take care of for the rest of my life. 
   I’ve had ‘the old persons disease’ since I was a young kid. I’m so fucking terrified about my health in the future since the negative effects of diabetes compound, all this leading back to the operative question, “what’s the point?” I get to take care of myself for another ~60~ years and die incredibly sick, ‘old’, and in pain in the end. I just don’t wanna do it anymore</t>
        </is>
      </c>
      <c r="D8042" t="n">
        <v>1</v>
      </c>
      <c r="E8042" t="n">
        <v>11</v>
      </c>
      <c r="F8042">
        <f>HYPERLINK("https://www.reddit.com/r/diabetes/comments/ednmkc/12_year_rant_sorry_in_advance/")</f>
        <v/>
      </c>
      <c r="G8042" t="inlineStr">
        <is>
          <t>2019-12-21 00:41:20</t>
        </is>
      </c>
      <c r="H8042" t="inlineStr">
        <is>
          <t>Type 1</t>
        </is>
      </c>
    </row>
    <row r="8043">
      <c r="A8043" t="inlineStr">
        <is>
          <t>edrsa5</t>
        </is>
      </c>
      <c r="B8043" t="inlineStr">
        <is>
          <t>Losing fat as a Type 1</t>
        </is>
      </c>
      <c r="C8043" t="inlineStr">
        <is>
          <t>Hey guys! I’ve been working towards losing weight for a little while now, but I keep plateauing and had a couple of questions I haven’t been able to answer on my own, I figured that someone else may have run into these issues and was hoping I could find some answers
1. I know insulin makes people hungry, and has been dubbed the “weight gain hormone” but I’ve been counting calories and was wondering if too much insulin is keeping me from shedding pounds ( I have been experiencing lows at specific times throughout the day
2. When I treat low blood sugar I count the calories toward treating them, should I still count those calories or not
Thanks guys!</t>
        </is>
      </c>
      <c r="D8043" t="n">
        <v>1</v>
      </c>
      <c r="E8043" t="n">
        <v>2</v>
      </c>
      <c r="F8043">
        <f>HYPERLINK("https://www.reddit.com/r/diabetes/comments/edrsa5/losing_fat_as_a_type_1/")</f>
        <v/>
      </c>
      <c r="G8043" t="inlineStr">
        <is>
          <t>2019-12-21 08:22:12</t>
        </is>
      </c>
      <c r="H8043" t="inlineStr">
        <is>
          <t>Type 1</t>
        </is>
      </c>
    </row>
    <row r="8044">
      <c r="A8044" t="inlineStr">
        <is>
          <t>edveja</t>
        </is>
      </c>
      <c r="B8044" t="inlineStr">
        <is>
          <t>Help Needed! (Fellow Undergraduate Diabetic)</t>
        </is>
      </c>
      <c r="C8044" t="inlineStr">
        <is>
          <t>Hi Everyone,
My name is Tyler Mitchell, and throughout my undergraduate studies at Gettysburg College I have worked intensively on trying to develop better methods for treatment of both Type 1 and Type 2 Diabetes. In hopes of making the most out of my short time left in my undergraduate studies, I am taking on a project that will hopefully lend to better control of our hypoglycemic events. To prove to that my project is viable to my institution, I have to collect a substantial amount of data in the context of hypoglycemic events. I would greatly appreciate anyone who suffers from Type 1 Diabetes to respond to a short survey (taking on average less than 2 minutes), so that I can prove my research is worth it to the Diabetic community:
[https://www.surveymonkey.com/r/K7C3L2G](https://www.surveymonkey.com/r/K7C3L2G)
Unfortunately, because I am a solo undergraduate researcher, I have no means for renumeration, so this is by all means voluntary and out of support for fellow Diabetics. If there are any questions regarding my survey feel free to contact me through this reddit account and I will be as responsive as possible.
Thank you so much in advance, and here's to the future of treatment for Diabetics!
Tyler</t>
        </is>
      </c>
      <c r="D8044" t="n">
        <v>1</v>
      </c>
      <c r="E8044" t="n">
        <v>6</v>
      </c>
      <c r="F8044">
        <f>HYPERLINK("https://www.reddit.com/r/diabetes/comments/edveja/help_needed_fellow_undergraduate_diabetic/")</f>
        <v/>
      </c>
      <c r="G8044" t="inlineStr">
        <is>
          <t>2019-12-21 13:09:49</t>
        </is>
      </c>
      <c r="H8044" t="inlineStr">
        <is>
          <t>Type 1</t>
        </is>
      </c>
    </row>
    <row r="8045">
      <c r="A8045" t="inlineStr">
        <is>
          <t>edwl4i</t>
        </is>
      </c>
      <c r="B8045" t="inlineStr">
        <is>
          <t>Doesn't install!</t>
        </is>
      </c>
      <c r="C8045" t="inlineStr">
        <is>
          <t>When I download it, it asks if I want to install the app then it goes through and seems as if it installs but then I get an error screen that says APP NOT INSTALLED I don't know why?  annoying.</t>
        </is>
      </c>
      <c r="D8045" t="n">
        <v>1</v>
      </c>
      <c r="E8045" t="n">
        <v>3</v>
      </c>
      <c r="F8045">
        <f>HYPERLINK("https://www.reddit.com/r/diabetes/comments/edwl4i/doesnt_install/")</f>
        <v/>
      </c>
      <c r="G8045" t="inlineStr">
        <is>
          <t>2019-12-21 14:47:45</t>
        </is>
      </c>
      <c r="H8045" t="inlineStr">
        <is>
          <t>Type 1</t>
        </is>
      </c>
    </row>
    <row r="8046">
      <c r="A8046" t="inlineStr">
        <is>
          <t>edx5tb</t>
        </is>
      </c>
      <c r="B8046" t="inlineStr">
        <is>
          <t>WTF are you people talking about?</t>
        </is>
      </c>
      <c r="C8046" t="inlineStr">
        <is>
          <t>Ok I used it and thought it worked pretty well the 1st few days, but then after that it seems to want to make my bs go higher really and it doesn't work faster in fact. There are other people that are saying the same thing on another site too so I am not sure what you people are talking about. I can't wait till this sample is done with so I can just switch back to my humalog. Maybe this stuff only works in peoples bodies better than others but it should have been studied a bit better.</t>
        </is>
      </c>
      <c r="D8046" t="n">
        <v>1</v>
      </c>
      <c r="E8046" t="n">
        <v>1</v>
      </c>
      <c r="F8046">
        <f>HYPERLINK("https://www.reddit.com/r/diabetes/comments/edx5tb/wtf_are_you_people_talking_about/")</f>
        <v/>
      </c>
      <c r="G8046" t="inlineStr">
        <is>
          <t>2019-12-21 15:34:17</t>
        </is>
      </c>
      <c r="H8046" t="inlineStr">
        <is>
          <t>Type 1</t>
        </is>
      </c>
    </row>
    <row r="8047">
      <c r="A8047" t="inlineStr">
        <is>
          <t>edxa4f</t>
        </is>
      </c>
      <c r="B8047" t="inlineStr">
        <is>
          <t>Fiasp Insulin</t>
        </is>
      </c>
      <c r="C8047" t="inlineStr">
        <is>
          <t xml:space="preserve"> Ok I used it and thought it worked pretty well the 1st few days, but then after that it seems to want to make my bs go higher after I am using it really unexplained highs and it doesn't work faster at all. There are other people that are saying the same thing on another site too so I am not sure what you people are talking about. I can't wait till this sample is done with so I can just switch back to my humalog. Maybe this stuff only works in peoples bodies better than others but it should have been studied a bit better.</t>
        </is>
      </c>
      <c r="D8047" t="n">
        <v>1</v>
      </c>
      <c r="E8047" t="n">
        <v>2</v>
      </c>
      <c r="F8047">
        <f>HYPERLINK("https://www.reddit.com/r/diabetes/comments/edxa4f/fiasp_insulin/")</f>
        <v/>
      </c>
      <c r="G8047" t="inlineStr">
        <is>
          <t>2019-12-21 15:44:30</t>
        </is>
      </c>
      <c r="H8047" t="inlineStr">
        <is>
          <t>Type 1</t>
        </is>
      </c>
    </row>
    <row r="8048">
      <c r="A8048" t="inlineStr">
        <is>
          <t>edxrz9</t>
        </is>
      </c>
      <c r="B8048" t="inlineStr">
        <is>
          <t>Surviving security in airports with medical devices?</t>
        </is>
      </c>
      <c r="C8048" t="inlineStr">
        <is>
          <t>a nightmare.</t>
        </is>
      </c>
      <c r="D8048" t="n">
        <v>1</v>
      </c>
      <c r="E8048" t="n">
        <v>5</v>
      </c>
      <c r="F8048">
        <f>HYPERLINK("https://www.reddit.com/r/diabetes/comments/edxrz9/surviving_security_in_airports_with_medical/")</f>
        <v/>
      </c>
      <c r="G8048" t="inlineStr">
        <is>
          <t>2019-12-21 16:26:16</t>
        </is>
      </c>
      <c r="H8048" t="inlineStr">
        <is>
          <t>Type 1</t>
        </is>
      </c>
    </row>
    <row r="8049">
      <c r="A8049" t="inlineStr">
        <is>
          <t>ee15r9</t>
        </is>
      </c>
      <c r="B8049" t="inlineStr">
        <is>
          <t>Insulin and bad dreams</t>
        </is>
      </c>
      <c r="C8049" t="inlineStr">
        <is>
          <t>I was diagnosed with type 1 about a month ago. I'm also Indigenous and we hold dreams  sacred. Before, my dreams were pleasant, I was seeing my recently deceased Father a lot. Since I went on insulin, no Papa and only bad dreams. Anyone else experience this when they first went on insulin? Did it get better?</t>
        </is>
      </c>
      <c r="D8049" t="n">
        <v>1</v>
      </c>
      <c r="E8049" t="n">
        <v>9</v>
      </c>
      <c r="F8049">
        <f>HYPERLINK("https://www.reddit.com/r/diabetes/comments/ee15r9/insulin_and_bad_dreams/")</f>
        <v/>
      </c>
      <c r="G8049" t="inlineStr">
        <is>
          <t>2019-12-21 21:37:51</t>
        </is>
      </c>
      <c r="H8049" t="inlineStr">
        <is>
          <t>Type 1</t>
        </is>
      </c>
    </row>
    <row r="8050">
      <c r="A8050" t="inlineStr">
        <is>
          <t>ee4xum</t>
        </is>
      </c>
      <c r="B8050" t="inlineStr">
        <is>
          <t>New level of... "wtf next?!"</t>
        </is>
      </c>
      <c r="C8050" t="inlineStr">
        <is>
          <t>Getting my bg under control.
Training and it going through the roof.
Getting it under control again.
Having intense steatorrhea 24 hours a day for the fourth day in a row!
The journey to get to the first point was difficult enough, now I poo about every 45mins the most hot watery mess that makes my life hell. One positive, my bg has stayed below 9.</t>
        </is>
      </c>
      <c r="D8050" t="n">
        <v>1</v>
      </c>
      <c r="E8050" t="n">
        <v>6</v>
      </c>
      <c r="F8050">
        <f>HYPERLINK("https://www.reddit.com/r/diabetes/comments/ee4xum/new_level_of_wtf_next/")</f>
        <v/>
      </c>
      <c r="G8050" t="inlineStr">
        <is>
          <t>2019-12-22 05:35:37</t>
        </is>
      </c>
      <c r="H8050" t="inlineStr">
        <is>
          <t>Type 1</t>
        </is>
      </c>
    </row>
    <row r="8051">
      <c r="A8051" t="inlineStr">
        <is>
          <t>eek47o</t>
        </is>
      </c>
      <c r="B8051" t="inlineStr">
        <is>
          <t>Dawn Phenomenon Frustration</t>
        </is>
      </c>
      <c r="C8051" t="inlineStr">
        <is>
          <t>I am sure we have all dealt with this before, but here is my situation on it. Started back up on keto since that has been the best consistent way I have found to normalize my blood sugars. I am in the process of getting my averages down and have been doing well so far. Went from having a sporadic 250 to 400 average down to about 150, but hit a bit of frustration here. I woke up this morning at 530am and checked my number, 135, not horrible but I can do better. I get ready for work and hit the gas station for a small thing of cheese to snack on for breakfast on my drive. Get to work about 5 minutes ago and do a check...203. Now last night I had my last bit of food around 10pm handful of peanuts some cheese and a keto slimfast bar. These bars have only raised my sugar when I eat about 4 of them at a time. Now I took a shot for the nuts and bar, about 4 units of humalog. Went to bed at 1125 and my number was 140. What gives? Anyone have anymore tips to curtail this?</t>
        </is>
      </c>
      <c r="D8051" t="n">
        <v>1</v>
      </c>
      <c r="E8051" t="n">
        <v>7</v>
      </c>
      <c r="F8051">
        <f>HYPERLINK("https://www.reddit.com/r/diabetes/comments/eek47o/dawn_phenomenon_frustration/")</f>
        <v/>
      </c>
      <c r="G8051" t="inlineStr">
        <is>
          <t>2019-12-23 04:38:50</t>
        </is>
      </c>
      <c r="H8051" t="inlineStr">
        <is>
          <t>Type 1</t>
        </is>
      </c>
    </row>
    <row r="8052">
      <c r="A8052" t="inlineStr">
        <is>
          <t>eepae9</t>
        </is>
      </c>
      <c r="B8052" t="inlineStr">
        <is>
          <t>How do I take better care of my diabetes?</t>
        </is>
      </c>
      <c r="C8052" t="inlineStr">
        <is>
          <t>I am a type 1 diabetic, I have honestly not been doing to good at caring for my diabetes, my a1c has been if I remember correctly 8.2. I know its not horrible, but i feel like i should do better, any advice. Also I am 13, so teen hormones screw with stuff a bit, so advice on that would help to.</t>
        </is>
      </c>
      <c r="D8052" t="n">
        <v>1</v>
      </c>
      <c r="E8052" t="n">
        <v>19</v>
      </c>
      <c r="F8052">
        <f>HYPERLINK("https://www.reddit.com/r/diabetes/comments/eepae9/how_do_i_take_better_care_of_my_diabetes/")</f>
        <v/>
      </c>
      <c r="G8052" t="inlineStr">
        <is>
          <t>2019-12-23 11:31:56</t>
        </is>
      </c>
      <c r="H8052" t="inlineStr">
        <is>
          <t>Type 1</t>
        </is>
      </c>
    </row>
    <row r="8053">
      <c r="A8053" t="inlineStr">
        <is>
          <t>eeqrts</t>
        </is>
      </c>
      <c r="B8053" t="inlineStr">
        <is>
          <t>Does anyone have experience calling Freestyle about a Libre that may be ‘bad’?</t>
        </is>
      </c>
      <c r="C8053" t="inlineStr">
        <is>
          <t>Hello,
I’ve been using a libre cgm for just over a month. (So only two units). I applied my third ever about a week ago and the reading felt off a few days ago. I eventually removed the cgm and applied another one yesterday. This new one has been worse than the previous one. None of the readings are close to my finger prick test. I’m thinking of calling Freestyle to ask for at least a new one, maybe two. Is it a total pain to call and ask? Is it worth my time. Or do I just forget it and buy a couple more?</t>
        </is>
      </c>
      <c r="D8053" t="n">
        <v>1</v>
      </c>
      <c r="E8053" t="n">
        <v>5</v>
      </c>
      <c r="F8053">
        <f>HYPERLINK("https://www.reddit.com/r/diabetes/comments/eeqrts/does_anyone_have_experience_calling_freestyle/")</f>
        <v/>
      </c>
      <c r="G8053" t="inlineStr">
        <is>
          <t>2019-12-23 13:20:18</t>
        </is>
      </c>
      <c r="H8053" t="inlineStr">
        <is>
          <t>Type 1</t>
        </is>
      </c>
    </row>
    <row r="8054">
      <c r="A8054" t="inlineStr">
        <is>
          <t>eesh6t</t>
        </is>
      </c>
      <c r="B8054" t="inlineStr">
        <is>
          <t>News Documentary Looking for MN-based Diabetics</t>
        </is>
      </c>
      <c r="C8054" t="inlineStr">
        <is>
          <t>Hello! I'm a producer for a news documentary on nutrition, and we are searching for people with type 2 diabetes in Minnesota who may be interested in being featured on camera. We're looking for someone who would be comfortable talking about the challenges of having diabetes- maybe someone who has been recently diagnosed and is struggling with learning how to make dietary changes in a world full of unhealthy food.  This person would sit down for an interview over a meal with our show host, who will share his own struggles with food and his weight. 
If you or someone you know may be interested, please feel free to reach out to me with any questions! Also, if this type of post violates the community guidelines, please delete and accept my apologies!</t>
        </is>
      </c>
      <c r="D8054" t="n">
        <v>1</v>
      </c>
      <c r="E8054" t="n">
        <v>6</v>
      </c>
      <c r="F8054">
        <f>HYPERLINK("https://www.reddit.com/r/diabetes/comments/eesh6t/news_documentary_looking_for_mnbased_diabetics/")</f>
        <v/>
      </c>
      <c r="G8054" t="inlineStr">
        <is>
          <t>2019-12-23 15:27:23</t>
        </is>
      </c>
      <c r="H8054" t="inlineStr">
        <is>
          <t>Type 2</t>
        </is>
      </c>
    </row>
    <row r="8055">
      <c r="A8055" t="inlineStr">
        <is>
          <t>eetle5</t>
        </is>
      </c>
      <c r="B8055" t="inlineStr">
        <is>
          <t>Any tips for gaining weight?</t>
        </is>
      </c>
      <c r="C8055" t="inlineStr">
        <is>
          <t>I see a lot of posts about losing weight but anyone got tips for gaining weight?
Type 1 so chugging down carbs isn't great. High cholesterol so eating too much fat ain't good either.
I'm 185cm and 58kg and I don't seem to gain weight no matter what my diet is.</t>
        </is>
      </c>
      <c r="D8055" t="n">
        <v>1</v>
      </c>
      <c r="E8055" t="n">
        <v>22</v>
      </c>
      <c r="F8055">
        <f>HYPERLINK("https://www.reddit.com/r/diabetes/comments/eetle5/any_tips_for_gaining_weight/")</f>
        <v/>
      </c>
      <c r="G8055" t="inlineStr">
        <is>
          <t>2019-12-23 16:54:12</t>
        </is>
      </c>
      <c r="H8055" t="inlineStr">
        <is>
          <t>Type 1</t>
        </is>
      </c>
    </row>
    <row r="8056">
      <c r="A8056" t="inlineStr">
        <is>
          <t>eevb4w</t>
        </is>
      </c>
      <c r="B8056" t="inlineStr">
        <is>
          <t>People on insulin pumps, what is your basal rate set that?</t>
        </is>
      </c>
      <c r="C8056" t="inlineStr">
        <is>
          <t>I have mine at 2.0 which causes me to have hypoglycemic seizures while I'm sleeping however my hemoglobin has been within range for some time now.  I could just turn it down at night however I always forget. When I do I wake up with high sugar.</t>
        </is>
      </c>
      <c r="D8056" t="n">
        <v>1</v>
      </c>
      <c r="E8056" t="n">
        <v>21</v>
      </c>
      <c r="F8056">
        <f>HYPERLINK("https://www.reddit.com/r/diabetes/comments/eevb4w/people_on_insulin_pumps_what_is_your_basal_rate/")</f>
        <v/>
      </c>
      <c r="G8056" t="inlineStr">
        <is>
          <t>2019-12-23 19:16:58</t>
        </is>
      </c>
      <c r="H8056" t="inlineStr">
        <is>
          <t>Type 1</t>
        </is>
      </c>
    </row>
    <row r="8057">
      <c r="A8057" t="inlineStr">
        <is>
          <t>ef48u4</t>
        </is>
      </c>
      <c r="B8057" t="inlineStr">
        <is>
          <t>Most memorable low blood sugar story?</t>
        </is>
      </c>
      <c r="C8057" t="inlineStr">
        <is>
          <t>Most memorable low blood sugar story?
There are so many. My god I wouldn’t know where to start. Most of the most memorable ones were from my first few years of diagnosis (diagnosed at 13). I’ve had seizures only to be awakened by multiple paramedics holding me down trying to keep me from hitting them; a time my poor mothers hand shook so bad she couldn’t give me the glucagon shot (so my little bro grabbed it from her and stabbed me in the ass!); and then times of complete embarrassment as sudden low blood sugar left me rambling on incoherently to strangers unaware of my disease.  Sure it sounds like I’m a poorly controlled T1D, but I’m not. It probably doesn’t even sound that bad to other T1Ds! 
Although the list is long, the most memorable is low blood sugar in my 7th grade Spanish class. I suddenly stood up, the teacher asked me what I was doing, I took a few steps forward as I mumbled something to her, and fell flat on my face in front of the whole class. I was in tears from embarrassment but I managed to get to the hallway and my teacher came to help me. She was well aware of my newly diagnosed T1D and her mom was a diabetic so she was an angel. I’ll never forget her kindness and she way she helped me that day. 
I’d love to hear others</t>
        </is>
      </c>
      <c r="D8057" t="n">
        <v>1</v>
      </c>
      <c r="E8057" t="n">
        <v>24</v>
      </c>
      <c r="F8057">
        <f>HYPERLINK("https://www.reddit.com/r/diabetes/comments/ef48u4/most_memorable_low_blood_sugar_story/")</f>
        <v/>
      </c>
      <c r="G8057" t="inlineStr">
        <is>
          <t>2019-12-24 09:23:08</t>
        </is>
      </c>
      <c r="H8057" t="inlineStr">
        <is>
          <t>Type 1</t>
        </is>
      </c>
    </row>
    <row r="8058">
      <c r="A8058" t="inlineStr">
        <is>
          <t>ef5zzg</t>
        </is>
      </c>
      <c r="B8058" t="inlineStr">
        <is>
          <t>Wow, great news just before the holidays!</t>
        </is>
      </c>
      <c r="C8058" t="inlineStr">
        <is>
          <t>So, I had my A1C done about a week ago.  I dropped from an 11.1% to a flat 6% since September.  So, I should be happy, right?  My endo congratulated me.  My personal doc (who NEVER encourages me) send me an "atta boy!"  Heck, even my vascular doc said it was pretty impressive.
All good news then, right?  I posted a couple weeks ago about first getting my diagnosis for diabetes when I went in for a toe infection that got out of control in September.  There were talks about amputating my big toe.  After weeks of antibiotics, and getting my toe carved down to 1/4" away from the bone.  I have managed to completely regenerate my big toe, and it's just a small scab left now.  
Still good news, right?  Well, the other shoe dropped this week, 2 days after getting my A1C numbers, and just in time for the holidays.  During my recuperation for the big toe, I developed a completely unrelated "diabetic ulcer" on the outside of my foot just before Thanksgiving.  The MRI on Friday confirmed that once again, the infection has made it down to the bone.  This time there is very little talk of trying to save it.  Now it's just a matter of how many of my toes they are going to take.  For sure they are taking the pinky toe.  The next toe over is now collateral damage, and may go.  I head back to the surgeon right after New Years, and will be scheduling the procedure. I'm freaked out because I've never had surgery before.  
So, fellow sugar warriors, always keep your guard up, and keep your eyes open.</t>
        </is>
      </c>
      <c r="D8058" t="n">
        <v>1</v>
      </c>
      <c r="E8058" t="n">
        <v>10</v>
      </c>
      <c r="F8058">
        <f>HYPERLINK("https://www.reddit.com/r/diabetes/comments/ef5zzg/wow_great_news_just_before_the_holidays/")</f>
        <v/>
      </c>
      <c r="G8058" t="inlineStr">
        <is>
          <t>2019-12-24 11:37:21</t>
        </is>
      </c>
      <c r="H8058" t="inlineStr">
        <is>
          <t>Type 2</t>
        </is>
      </c>
    </row>
    <row r="8059">
      <c r="A8059" t="inlineStr">
        <is>
          <t>ef7qr4</t>
        </is>
      </c>
      <c r="B8059" t="inlineStr">
        <is>
          <t>Thigh Site Change Bruising</t>
        </is>
      </c>
      <c r="C8059" t="inlineStr">
        <is>
          <t>So I've been putting my site in my thigh for about a month and about two weeks ago I changed it and everything was working fine. Then I woke up the next morning and stood up when I walked it hurt really bad. So, I lightly tapped it and it was really painful. So I took it off and put in a new site, but the bruise is really bad and since then it happened every time I put it in my thigh and I've tried to put it in different areas around my thigh but still get bruising. Am I doing something wrong or is there something I can do to fix the problem? Thank you in advance!</t>
        </is>
      </c>
      <c r="D8059" t="n">
        <v>1</v>
      </c>
      <c r="E8059" t="n">
        <v>4</v>
      </c>
      <c r="F8059">
        <f>HYPERLINK("https://www.reddit.com/r/diabetes/comments/ef7qr4/thigh_site_change_bruising/")</f>
        <v/>
      </c>
      <c r="G8059" t="inlineStr">
        <is>
          <t>2019-12-24 13:59:11</t>
        </is>
      </c>
      <c r="H8059" t="inlineStr">
        <is>
          <t>Type 1</t>
        </is>
      </c>
    </row>
    <row r="8060">
      <c r="A8060" t="inlineStr">
        <is>
          <t>efgbg1</t>
        </is>
      </c>
      <c r="B8060" t="inlineStr">
        <is>
          <t>td1 new HELP ADViCE</t>
        </is>
      </c>
      <c r="C8060" t="inlineStr">
        <is>
          <t>Hey guys, I am new td1 diagnosed half a year ago with h1ac 18%.  I am just 28. I lost my job because of my diabetes and struggling as lost insurance as well, do you know any way to burn high sugars without insuline as I have 0 money left in my wallet and don't know what to do and no insuline anymore. My country doesn't support me in any way. Surprise, surprise.  I was using novorapid and insulatard.   
Any suggestion or advice appreciated.</t>
        </is>
      </c>
      <c r="D8060" t="n">
        <v>1</v>
      </c>
      <c r="E8060" t="n">
        <v>13</v>
      </c>
      <c r="F8060">
        <f>HYPERLINK("https://www.reddit.com/r/diabetes/comments/efgbg1/td1_new_help_advice/")</f>
        <v/>
      </c>
      <c r="G8060" t="inlineStr">
        <is>
          <t>2019-12-25 05:09:54</t>
        </is>
      </c>
      <c r="H8060" t="inlineStr">
        <is>
          <t>Type 1</t>
        </is>
      </c>
    </row>
    <row r="8061">
      <c r="A8061" t="inlineStr">
        <is>
          <t>efoix9</t>
        </is>
      </c>
      <c r="B8061" t="inlineStr">
        <is>
          <t>:/</t>
        </is>
      </c>
      <c r="C8061" t="inlineStr">
        <is>
          <t>It's been 4 years that I've got diagnosed with type 1 diabetes,im 14,and I've always got very bad results.
My doctor always says that if i continues to not do my "" job"" i will have a lot of problems,,
But honestly i dont care, i dont care about death or problems i will have because diabete and i don't care about my future.
Do you feel the same sometimes?
(and im sorry for my bad English im from France 🥖🥐)</t>
        </is>
      </c>
      <c r="D8061" t="n">
        <v>1</v>
      </c>
      <c r="E8061" t="n">
        <v>11</v>
      </c>
      <c r="F8061">
        <f>HYPERLINK("https://www.reddit.com/r/diabetes/comments/efoix9/_/")</f>
        <v/>
      </c>
      <c r="G8061" t="inlineStr">
        <is>
          <t>2019-12-25 17:00:04</t>
        </is>
      </c>
      <c r="H8061" t="inlineStr">
        <is>
          <t>Type 1</t>
        </is>
      </c>
    </row>
    <row r="8062">
      <c r="A8062" t="inlineStr">
        <is>
          <t>efonu5</t>
        </is>
      </c>
      <c r="B8062" t="inlineStr">
        <is>
          <t>I shall bestow upon you a cure for T2</t>
        </is>
      </c>
      <c r="C8062" t="inlineStr">
        <is>
          <t>Merry Christmas. To cure your T2DM you must do one thing:
Train your legs. At least every other day.
As you get older your legs get smaller and weaker. That is because you don’t walk anywhere anymore. But it is not the walking that keeps you healthy, it is the size and strength of your leg muscles, as well as the proliferation of mitochondria. Both go hand in hand. The more leg muscle you have, the more your glycogen is depleted both at rest and during exercise.
Train your legs, all muscle groups in a concerted weight training program of at least three days per week, but better is five. 
Enjoy the results. Leg circumference is directly correlated with longevity and a reduction in heart disease. Not coincidentally, heart disease is correlated strongly with blood sugar anomalies.</t>
        </is>
      </c>
      <c r="D8062" t="n">
        <v>1</v>
      </c>
      <c r="E8062" t="n">
        <v>9</v>
      </c>
      <c r="F8062">
        <f>HYPERLINK("https://www.reddit.com/r/diabetes/comments/efonu5/i_shall_bestow_upon_you_a_cure_for_t2/")</f>
        <v/>
      </c>
      <c r="G8062" t="inlineStr">
        <is>
          <t>2019-12-25 17:12:21</t>
        </is>
      </c>
      <c r="H8062" t="inlineStr">
        <is>
          <t>Type 2</t>
        </is>
      </c>
    </row>
    <row r="8063">
      <c r="A8063" t="inlineStr">
        <is>
          <t>efr2cz</t>
        </is>
      </c>
      <c r="B8063" t="inlineStr">
        <is>
          <t>Middle of the night low munchies</t>
        </is>
      </c>
      <c r="C8063" t="inlineStr">
        <is>
          <t>Just checked a few minutes ago and was 42, had the normal correction for me which is a juice box and some Oreos, now I'm feeling like I could eat the whole pack of cookies and more</t>
        </is>
      </c>
      <c r="D8063" t="n">
        <v>1</v>
      </c>
      <c r="E8063" t="n">
        <v>2</v>
      </c>
      <c r="F8063">
        <f>HYPERLINK("https://www.reddit.com/r/diabetes/comments/efr2cz/middle_of_the_night_low_munchies/")</f>
        <v/>
      </c>
      <c r="G8063" t="inlineStr">
        <is>
          <t>2019-12-25 20:55:35</t>
        </is>
      </c>
      <c r="H8063" t="inlineStr">
        <is>
          <t>Type 1</t>
        </is>
      </c>
    </row>
    <row r="8064">
      <c r="A8064" t="inlineStr">
        <is>
          <t>efvmor</t>
        </is>
      </c>
      <c r="B8064" t="inlineStr">
        <is>
          <t>An interesting pro tip (I'm not a doctor!)</t>
        </is>
      </c>
      <c r="C8064" t="inlineStr">
        <is>
          <t>I've been diabetic for the past 18 years and I know many people doesn't know this.
* High levels (+200/+11) and ketones = you need insulin
* Normal to low levels and ketones = you need to eat! (Some biscuits or orange juice work fine)
Ketones are a problem when are hight to 1.0.
After the tip,chack your bf to see if it's working or you need to call your Dr or go to ER/A&amp;amp;E
Again, I am not a doctor. This is a basic and general rule that works most times. If you didn't know about this but would like to know more, ask your endocrinologist or diabetic  specialist.</t>
        </is>
      </c>
      <c r="D8064" t="n">
        <v>1</v>
      </c>
      <c r="E8064" t="n">
        <v>1</v>
      </c>
      <c r="F8064">
        <f>HYPERLINK("https://www.reddit.com/r/diabetes/comments/efvmor/an_interesting_pro_tip_im_not_a_doctor/")</f>
        <v/>
      </c>
      <c r="G8064" t="inlineStr">
        <is>
          <t>2019-12-26 05:50:32</t>
        </is>
      </c>
      <c r="H8064" t="inlineStr">
        <is>
          <t>Type 1</t>
        </is>
      </c>
    </row>
    <row r="8065">
      <c r="A8065" t="inlineStr">
        <is>
          <t>efvsbf</t>
        </is>
      </c>
      <c r="B8065" t="inlineStr">
        <is>
          <t>The Flu Shot</t>
        </is>
      </c>
      <c r="C8065" t="inlineStr">
        <is>
          <t>Hi guys!
Me and my sister (which has T1D) are going to get our flu shots today. I was wondering if it affects your blood sugar, and if so, how? 
Thank you!</t>
        </is>
      </c>
      <c r="D8065" t="n">
        <v>1</v>
      </c>
      <c r="E8065" t="n">
        <v>14</v>
      </c>
      <c r="F8065">
        <f>HYPERLINK("https://www.reddit.com/r/diabetes/comments/efvsbf/the_flu_shot/")</f>
        <v/>
      </c>
      <c r="G8065" t="inlineStr">
        <is>
          <t>2019-12-26 06:06:25</t>
        </is>
      </c>
      <c r="H8065" t="inlineStr">
        <is>
          <t>Type 1</t>
        </is>
      </c>
    </row>
    <row r="8066">
      <c r="A8066" t="inlineStr">
        <is>
          <t>efxarg</t>
        </is>
      </c>
      <c r="B8066" t="inlineStr">
        <is>
          <t>Freestyle Libre 14 day with Motorola G7/Android 9</t>
        </is>
      </c>
      <c r="C8066" t="inlineStr">
        <is>
          <t>I'd been using the Freestyle Libre 14 day for the last year, but recently switched to Dexcom. I had 5 libre sensors left, so I gave them to my father, since his insurance won't cover any CGM systems.
It ends up that you can't erase the data on the reader, so we figured it would be best for him to just use the mobile app. When we went to install it, it said it wasn't supported on his device. 
So, I'm wondering if there are any other applications that work with his phone and can read the sensor. Is it possible to load the app anyway, and if so, does it work properly? I'm an iPhone user, so I don't have much experience with Android. I am a software developer, though, so I'm comfortable doing things like sideloading apps, if necessary. Since it's my father's phone, though, I wouldn't want to root it.   
Glimp looked promising, but, it doesn't support the 14 day sensors yet.</t>
        </is>
      </c>
      <c r="D8066" t="n">
        <v>1</v>
      </c>
      <c r="E8066" t="n">
        <v>1</v>
      </c>
      <c r="F8066">
        <f>HYPERLINK("https://www.reddit.com/r/diabetes/comments/efxarg/freestyle_libre_14_day_with_motorola_g7android_9/")</f>
        <v/>
      </c>
      <c r="G8066" t="inlineStr">
        <is>
          <t>2019-12-26 08:18:28</t>
        </is>
      </c>
      <c r="H8066" t="inlineStr">
        <is>
          <t>Type 2</t>
        </is>
      </c>
    </row>
    <row r="8067">
      <c r="A8067" t="inlineStr">
        <is>
          <t>efxw9z</t>
        </is>
      </c>
      <c r="B8067" t="inlineStr">
        <is>
          <t>Wisdom Teeth Removal w/T1</t>
        </is>
      </c>
      <c r="C8067" t="inlineStr">
        <is>
          <t>Hi friends! I just got my wisdom teeth removed an hour ago or so, and I was just wondering if anyone else has gone through that and now they were able to maintain their blood sugar levels with the addition of it being able to eat a lot foods early on.
Thank all of y’all for help and hope y’all had an amazing Christmas! ❤️</t>
        </is>
      </c>
      <c r="D8067" t="n">
        <v>1</v>
      </c>
      <c r="E8067" t="n">
        <v>4</v>
      </c>
      <c r="F8067">
        <f>HYPERLINK("https://www.reddit.com/r/diabetes/comments/efxw9z/wisdom_teeth_removal_wt1/")</f>
        <v/>
      </c>
      <c r="G8067" t="inlineStr">
        <is>
          <t>2019-12-26 09:06:22</t>
        </is>
      </c>
      <c r="H8067" t="inlineStr">
        <is>
          <t>Type 1</t>
        </is>
      </c>
    </row>
    <row r="8068">
      <c r="A8068" t="inlineStr">
        <is>
          <t>eg1h50</t>
        </is>
      </c>
      <c r="B8068" t="inlineStr">
        <is>
          <t>is my a1c bad?</t>
        </is>
      </c>
      <c r="C8068" t="inlineStr">
        <is>
          <t>Ok so basically my a1c is 8.7, my mom says that is bad, but here is the thing I am 13, and that makes hormones a factor, so is it bad or not?</t>
        </is>
      </c>
      <c r="D8068" t="n">
        <v>1</v>
      </c>
      <c r="E8068" t="n">
        <v>15</v>
      </c>
      <c r="F8068">
        <f>HYPERLINK("https://www.reddit.com/r/diabetes/comments/eg1h50/is_my_a1c_bad/")</f>
        <v/>
      </c>
      <c r="G8068" t="inlineStr">
        <is>
          <t>2019-12-26 13:44:49</t>
        </is>
      </c>
      <c r="H8068" t="inlineStr">
        <is>
          <t>Type 1</t>
        </is>
      </c>
    </row>
    <row r="8069">
      <c r="A8069" t="inlineStr">
        <is>
          <t>eg1hiu</t>
        </is>
      </c>
      <c r="B8069" t="inlineStr">
        <is>
          <t>Tracking lifestyle changes</t>
        </is>
      </c>
      <c r="C8069" t="inlineStr">
        <is>
          <t>Hello. 
I just got a CGM and I am wondering if anyone can help me by sharing their process of tracking their food / meds / exercise and how that relates to the trends I am seeing on my BG graph?
What should I be paying attention to? When I log meals, what is the best way to do that? How does my sleep schedule impact my glucose? Feeling overwhelmed.
Thanks in advance for the help.</t>
        </is>
      </c>
      <c r="D8069" t="n">
        <v>1</v>
      </c>
      <c r="E8069" t="n">
        <v>6</v>
      </c>
      <c r="F8069">
        <f>HYPERLINK("https://www.reddit.com/r/diabetes/comments/eg1hiu/tracking_lifestyle_changes/")</f>
        <v/>
      </c>
      <c r="G8069" t="inlineStr">
        <is>
          <t>2019-12-26 13:45:46</t>
        </is>
      </c>
      <c r="H8069" t="inlineStr">
        <is>
          <t>Type 2</t>
        </is>
      </c>
    </row>
    <row r="8070">
      <c r="A8070" t="inlineStr">
        <is>
          <t>eg1tto</t>
        </is>
      </c>
      <c r="B8070" t="inlineStr">
        <is>
          <t>T1D looking for a weight loss diet.</t>
        </is>
      </c>
      <c r="C8070" t="inlineStr">
        <is>
          <t>I'm a T1 Diabetic, and have available made a New Year resolution, I'd like to actually lose weight by dieting. I've for sure have changed the way I eat, and what I eat, over this past year. However, I'd like to keep the weight off. 
Does anyone know of any good diets for a diabetic? If so, please let me know. 
Cheers.</t>
        </is>
      </c>
      <c r="D8070" t="n">
        <v>1</v>
      </c>
      <c r="E8070" t="n">
        <v>19</v>
      </c>
      <c r="F8070">
        <f>HYPERLINK("https://www.reddit.com/r/diabetes/comments/eg1tto/t1d_looking_for_a_weight_loss_diet/")</f>
        <v/>
      </c>
      <c r="G8070" t="inlineStr">
        <is>
          <t>2019-12-26 14:11:49</t>
        </is>
      </c>
      <c r="H8070" t="inlineStr">
        <is>
          <t>Type 1</t>
        </is>
      </c>
    </row>
    <row r="8071">
      <c r="A8071" t="inlineStr">
        <is>
          <t>eg88qp</t>
        </is>
      </c>
      <c r="B8071" t="inlineStr">
        <is>
          <t>Sudden high C-Peptide in Type 1 diabetic?</t>
        </is>
      </c>
      <c r="C8071" t="inlineStr">
        <is>
          <t>So I’m type 1 diabetic, my C-Peptide was previously at barley secreting insulin levels but suddenly it’s at a 3.4. Could this mean Kidney damage? I read in books high C-Peptide levels could indicate kidney damage yet my doctor says everything’s fine.</t>
        </is>
      </c>
      <c r="D8071" t="n">
        <v>1</v>
      </c>
      <c r="E8071" t="n">
        <v>6</v>
      </c>
      <c r="F8071">
        <f>HYPERLINK("https://www.reddit.com/r/diabetes/comments/eg88qp/sudden_high_cpeptide_in_type_1_diabetic/")</f>
        <v/>
      </c>
      <c r="G8071" t="inlineStr">
        <is>
          <t>2019-12-26 23:42:47</t>
        </is>
      </c>
      <c r="H8071" t="inlineStr">
        <is>
          <t>Type 1</t>
        </is>
      </c>
    </row>
    <row r="8072">
      <c r="A8072" t="inlineStr">
        <is>
          <t>eg9a9g</t>
        </is>
      </c>
      <c r="B8072" t="inlineStr">
        <is>
          <t>I'm worth less than money apparently..</t>
        </is>
      </c>
      <c r="C8072" t="inlineStr">
        <is>
          <t>Hi so here's the run down and the situation. So I'm a really new t1 diabetic. I was diagnosed 8/30, we don't know how long I was diabetic before finding out we think maybe 6 months to a year. I finally get to see an endo next month, I've been waiting 3 months for this appointment. I currently get free state health insurance. Because I don't have an income because I am a full time college student. Anyway the other day I got a renewal forum, nothing had changed except the diagnosis. Anyway on my way to turn in the paper work I was looking through it and noticed a part asking who would claim me on taxes. I knew my parents would want to become tax break for college students. When I got there I asked someone "if my parents claim me on their taxes could I loose my health insurance?" And they told me it was a possibility and it could happen. I have sometime to turn in the paper work so I decided to turn it in another time after talking to my parents. Now's the shit part. After explaining to my parents that if they claim me I could lose my insurance they said they want to look into thing and find out and still want to claim me. So I feel like a fucking tax break is more important to them than my well being and life. :( and no they can't afford to get me health insurance if I lose it, they can't even afford it for themselves. This whole situation has me very depressed... 
My only current fall back is my sister. When I told her about it she said she would put me on hers if I lost mine. My brother in law has a good job and makes good money but I don't want to have to do that to them. My brother in law works hard enough and I'm not their responsibility... 
No one can afford my dr appointment or insulin out of pocket. My insulin pen cost me 80$ and last about 12 days. Am I in the wrong here? Im sorry if I am. I don't want to come off as a crying entitled brat... I'm just really scared of not being able to get my insulin and dying... 
The whole thing has me very depressed like if my parents are offered a price high enough they'll let me die...
When I tried to stress the importance of my health insurance to my mom she just tells me to not worry about it and we have months to figure it out (we don't but...) she always wants to sweep things under the rug until last minute. I'm sorry I'm not trying to get pity or hand outs. I'm just very upset with the whole thing and needed to talk about it.</t>
        </is>
      </c>
      <c r="D8072" t="n">
        <v>1</v>
      </c>
      <c r="E8072" t="n">
        <v>34</v>
      </c>
      <c r="F8072">
        <f>HYPERLINK("https://www.reddit.com/r/diabetes/comments/eg9a9g/im_worth_less_than_money_apparently/")</f>
        <v/>
      </c>
      <c r="G8072" t="inlineStr">
        <is>
          <t>2019-12-27 01:50:46</t>
        </is>
      </c>
      <c r="H8072" t="inlineStr">
        <is>
          <t>Type 1</t>
        </is>
      </c>
    </row>
    <row r="8073">
      <c r="A8073" t="inlineStr">
        <is>
          <t>egbupu</t>
        </is>
      </c>
      <c r="B8073" t="inlineStr">
        <is>
          <t>Germany</t>
        </is>
      </c>
      <c r="C8073" t="inlineStr">
        <is>
          <t>Anywhere to find skin tac by Hannover /burgdorf/celle ? I have tried several apotekes and none have it or know what I am even talking about</t>
        </is>
      </c>
      <c r="D8073" t="n">
        <v>1</v>
      </c>
      <c r="E8073" t="n">
        <v>11</v>
      </c>
      <c r="F8073">
        <f>HYPERLINK("https://www.reddit.com/r/diabetes/comments/egbupu/germany/")</f>
        <v/>
      </c>
      <c r="G8073" t="inlineStr">
        <is>
          <t>2019-12-27 06:35:12</t>
        </is>
      </c>
      <c r="H8073" t="inlineStr">
        <is>
          <t>Type 1</t>
        </is>
      </c>
    </row>
    <row r="8074">
      <c r="A8074" t="inlineStr">
        <is>
          <t>eggm14</t>
        </is>
      </c>
      <c r="B8074" t="inlineStr">
        <is>
          <t>Alcohol</t>
        </is>
      </c>
      <c r="C8074" t="inlineStr">
        <is>
          <t>Hi, I have a question about alcohol and type 1 diabetes. I usually drink Guinness but have found out it has about 1g of sugar in a pint. What other alcohol would be a better substitute? (UK)
i tend to drink:
1. Guinness
2. Budweiser
3. Miller
I'm still new to drinking so I haven't ventured much further than these. And I'm not a big fan of Heineken.
Thanks.</t>
        </is>
      </c>
      <c r="D8074" t="n">
        <v>1</v>
      </c>
      <c r="E8074" t="n">
        <v>19</v>
      </c>
      <c r="F8074">
        <f>HYPERLINK("https://www.reddit.com/r/diabetes/comments/eggm14/alcohol/")</f>
        <v/>
      </c>
      <c r="G8074" t="inlineStr">
        <is>
          <t>2019-12-27 12:43:55</t>
        </is>
      </c>
      <c r="H8074" t="inlineStr">
        <is>
          <t>Type 1</t>
        </is>
      </c>
    </row>
    <row r="8075">
      <c r="A8075" t="inlineStr">
        <is>
          <t>egi6js</t>
        </is>
      </c>
      <c r="B8075" t="inlineStr">
        <is>
          <t>Too depressed</t>
        </is>
      </c>
      <c r="C8075" t="inlineStr">
        <is>
          <t>Hi sorry I know a lot of people are going to get on to me saying I'm stupid but currently I'm too depressed to get up and check my blood sugar levels. Due to a really shitty move by my parents I'm really depressed. Its almost 3pm and I haven't gotten out of bed. Normally I check first thing when I wake up but today I don't want to get up. I don't want to have to walk past my mother and see her. I'm just really depressed...</t>
        </is>
      </c>
      <c r="D8075" t="n">
        <v>1</v>
      </c>
      <c r="E8075" t="n">
        <v>3</v>
      </c>
      <c r="F8075">
        <f>HYPERLINK("https://www.reddit.com/r/diabetes/comments/egi6js/too_depressed/")</f>
        <v/>
      </c>
      <c r="G8075" t="inlineStr">
        <is>
          <t>2019-12-27 14:44:58</t>
        </is>
      </c>
      <c r="H8075" t="inlineStr">
        <is>
          <t>Type 1</t>
        </is>
      </c>
    </row>
    <row r="8076">
      <c r="A8076" t="inlineStr">
        <is>
          <t>egj457</t>
        </is>
      </c>
      <c r="B8076" t="inlineStr">
        <is>
          <t>I’ve been using my diabetes as a self harm. Now it’s time to stop.</t>
        </is>
      </c>
      <c r="C8076" t="inlineStr">
        <is>
          <t>I was diagnosed as diabetic at the age of 16; originally type 2. A couple of years later the doc realized I’m a type 1 and prescribed me insulin. 3 years ago I fell pregnant but miscarried at 17 weeks; I can only presume due to my sugar control. This sent me spiraling in to a deep depression and I began neglecting my medication and binging sugar. Making myself very unwell; my sugars are often 20.0+. 
My partner and I want to try for a baby again; but before we can even begin; I need to get my sugars under control. With 2020 looming upon us; I’ve decided now is the best time, but I don’t even know where to begin!! 
So I’m here asking for advice. What can I eat? What should I avoid? How often should I check my blood sugar?
My medications are:
Lantus - 30 units a day. I take this in the evening. 
Novorapid- 12 units with every meal
Metformin - 1000mg a day. 
During my depression I haven’t been taking any of my medication but will be starting these up again as of tomorrow. 
Thank you for your time and I really appreciate your help.</t>
        </is>
      </c>
      <c r="D8076" t="n">
        <v>1</v>
      </c>
      <c r="E8076" t="n">
        <v>20</v>
      </c>
      <c r="F8076">
        <f>HYPERLINK("https://www.reddit.com/r/diabetes/comments/egj457/ive_been_using_my_diabetes_as_a_self_harm_now_its/")</f>
        <v/>
      </c>
      <c r="G8076" t="inlineStr">
        <is>
          <t>2019-12-27 16:00:16</t>
        </is>
      </c>
      <c r="H8076" t="inlineStr">
        <is>
          <t>Type 1</t>
        </is>
      </c>
    </row>
    <row r="8077">
      <c r="A8077" t="inlineStr">
        <is>
          <t>egjzds</t>
        </is>
      </c>
      <c r="B8077" t="inlineStr">
        <is>
          <t>Question about where to put my infusion site</t>
        </is>
      </c>
      <c r="C8077" t="inlineStr">
        <is>
          <t>Hello, I’ve been a type 1 diabetic for 21 years and for 19 of those years I’ve had an insulin pump. I’ve always put the infusion site in my stomach, I was thinking about putting it in a different spot because my stomach is full of scar tissue. Where are some other spots to put the infusion site that has worked well for everyone here?</t>
        </is>
      </c>
      <c r="D8077" t="n">
        <v>1</v>
      </c>
      <c r="E8077" t="n">
        <v>2</v>
      </c>
      <c r="F8077">
        <f>HYPERLINK("https://www.reddit.com/r/diabetes/comments/egjzds/question_about_where_to_put_my_infusion_site/")</f>
        <v/>
      </c>
      <c r="G8077" t="inlineStr">
        <is>
          <t>2019-12-27 17:14:29</t>
        </is>
      </c>
      <c r="H8077" t="inlineStr">
        <is>
          <t>Type 1</t>
        </is>
      </c>
    </row>
    <row r="8078">
      <c r="A8078" t="inlineStr">
        <is>
          <t>egl4gn</t>
        </is>
      </c>
      <c r="B8078" t="inlineStr">
        <is>
          <t>Insulin and weight gain: Keep the pounds off.</t>
        </is>
      </c>
      <c r="C8078" t="inlineStr">
        <is>
          <t>Recently attended a conference for CDE's and picked up some good information I wanted to pass along to anyone using insulin and fighting their weight...
&amp;amp;#x200B;
 Weight gain is a common side effect for people who take insulin. This can be frustrating because maintaining a healthy weight is an important part of your overall diabetes management plan. The good news is that it is possible to maintain your weight while taking insulin.
### The link between insulin and weight gain
When you take insulin, glucose is able to enter your cells, and glucose levels in your blood drop. This is the desired treatment goal.
But if you take in more calories than you need to maintain a healthy weight — given your level of activity — your cells will get more glucose than they need. Glucose that your cells don't use accumulates as fat.
### Avoid weight gain while taking insulin
Eating healthy foods and being physically active most days of the week can help you prevent unwanted weight gain. The following tips can help you keep the pounds off:
* **Count calories.** Eating and drinking fewer calories helps you prevent weight gain. Stock the refrigerator and pantry with fruits, vegetables and whole grains. Plan for every meal to have the right mix of starches, fruits and vegetables, proteins, and fats. Generally, experts recommend that meals consist of half non starchy vegetable, one-quarter protein and one quarter a starch such as rice or a starchy vegetable such as corn or peas.  
Trim your portion sizes, skip second helpings and drink water instead of high-calorie drinks. Talk to your doctor, nurse or a dietitian about meal-planning strategies and resources.
* **Don't skip meals.** Don't try to cut calories by skipping meals. When you skip a meal, you're more likely to make poor diet choices at the next mealtime because you're too hungry. Skipping meals can also cause low blood sugar levels if you don't adjust your insulin dose.
* **Be physically active.** Physical activity burns calories. A reasonable goal for most adults, set by the Department of Health and Human Services, is at least 150 minutes a week of moderately intense aerobic activity — such as walking, bicycling, water aerobics, dancing or gardening — plus muscle-strengthening exercises at least two times a week. Talk with your doctor about activities and exercises that are appropriate for you.  
Also, ask your doctor how best to handle exercise. Physical activity helps your body use insulin more efficiently, so depending on how much exercise you're planning on doing, you may need to cut back on your insulin dosage or have a snack. It's possible for your blood sugar to drop even hours after exercise.
* **Ask your doctor about other diabetes medications.** Some diabetes medications that help regulate blood glucose levels — including metformin (Fortamet, Glucophage, others), exenatide (Byetta), liraglutide (Victoza), albiglutide (Tarzeum), dulaglutide (Trulicity), sitagliptin (Januvia), saxagliptin (Onglyza), canagliflozin (Invokana), dapagliflozin (Farxiga), empagliflozin (Jardiance) and pramlintide (Symlin) — may promote weight loss and enable you to reduce your insulin dosage. Ask your doctor if these or other medications would be appropriate as part of your diabetes treatment plan.
* **Take your insulin only as directed.** Don't skip or reduce your insulin dosages to ward off weight gain. Although you might shed pounds if you take less insulin than prescribed, the risks are serious. Without enough insulin, your blood sugar level will rise — and so will your risk of diabetes complications.</t>
        </is>
      </c>
      <c r="D8078" t="n">
        <v>1</v>
      </c>
      <c r="E8078" t="n">
        <v>5</v>
      </c>
      <c r="F8078">
        <f>HYPERLINK("https://www.reddit.com/r/diabetes/comments/egl4gn/insulin_and_weight_gain_keep_the_pounds_off/")</f>
        <v/>
      </c>
      <c r="G8078" t="inlineStr">
        <is>
          <t>2019-12-27 18:54:43</t>
        </is>
      </c>
      <c r="H8078" t="inlineStr">
        <is>
          <t>Type 1</t>
        </is>
      </c>
    </row>
    <row r="8079">
      <c r="A8079" t="inlineStr">
        <is>
          <t>egt6h3</t>
        </is>
      </c>
      <c r="B8079" t="inlineStr">
        <is>
          <t>Let's beat the betes.</t>
        </is>
      </c>
      <c r="C8079" t="inlineStr">
        <is>
          <t>I was diagnosed about 6 months ago with Type 1 diabetes. I was at a normal check up and they couldn't get a measure for blood sugar levels, so they sent me to the emergency room. Once there they informed me I was running at an 800 (Oof). My A1C was to be set at 17.2 becasue that was the highest that the machine could read. 
Over the next 6 months I changed how I ate, exercised, and basically lived. At times I had nasty lows. Where I would be fumbling down stairs only to be saved by my dad (who had stayed up to late), or my mom who had heard something and was worried. I would have nasty highs. Where I would I almost pass out in class. And when returning to normal I would be so exhausted.
School performance suffered. My emotions suffered. My freedom suffered. 
But only at first. Eventually through love and support of my family, friends, and community, I could return to a normal life. Today, 6 months later, my A1C is at 6.2. Diabetes will never go away, but niether will my spirt. 
Let's beat the betes.</t>
        </is>
      </c>
      <c r="D8079" t="n">
        <v>1</v>
      </c>
      <c r="E8079" t="n">
        <v>4</v>
      </c>
      <c r="F8079">
        <f>HYPERLINK("https://www.reddit.com/r/diabetes/comments/egt6h3/lets_beat_the_betes/")</f>
        <v/>
      </c>
      <c r="G8079" t="inlineStr">
        <is>
          <t>2019-12-28 09:07:58</t>
        </is>
      </c>
      <c r="H8079" t="inlineStr">
        <is>
          <t>Type 1</t>
        </is>
      </c>
    </row>
    <row r="8080">
      <c r="A8080" t="inlineStr">
        <is>
          <t>egzfg8</t>
        </is>
      </c>
      <c r="B8080" t="inlineStr">
        <is>
          <t>[Keto] [Celebration/Encouragement] Last Doctor's Visit</t>
        </is>
      </c>
      <c r="C8080" t="inlineStr">
        <is>
          <t>I wanted to share all of this with you to celebrate.
If I may quote the man himself, he said that he "... has learned a great deal from having \[me\] as a patient" and that I "... changed his mind regarding treating diabetes with diet."
I had been off the Metformin for about three months.  prior to that I had dropped to a very small dosage.
My blood pressure was 110/70, and my A1C was 5.7.  (Blood sugar at the time was 140 \[7.7\] gotta hate mornings!)
There is bad news, however.  He thinks my diabetes may have a genetic aspect to the insulin resistance... he believes this because I'm 5'8 and 140lbs (172cm / 63kg).  If its genetic, then I'm not sure if I can keep it from getting worse -- though by G-d I am trying.
As a last note, I'm going to introduce chromium picolinate into my regime and see if that has any effect.</t>
        </is>
      </c>
      <c r="D8080" t="n">
        <v>1</v>
      </c>
      <c r="E8080" t="n">
        <v>1</v>
      </c>
      <c r="F8080">
        <f>HYPERLINK("https://www.reddit.com/r/diabetes/comments/egzfg8/keto_celebrationencouragement_last_doctors_visit/")</f>
        <v/>
      </c>
      <c r="G8080" t="inlineStr">
        <is>
          <t>2019-12-28 17:22:47</t>
        </is>
      </c>
      <c r="H8080" t="inlineStr">
        <is>
          <t>Type 2</t>
        </is>
      </c>
    </row>
    <row r="8081">
      <c r="A8081" t="inlineStr">
        <is>
          <t>egzqe4</t>
        </is>
      </c>
      <c r="B8081" t="inlineStr">
        <is>
          <t>Loop pod failures need help</t>
        </is>
      </c>
      <c r="C8081" t="inlineStr">
        <is>
          <t>I deactivated a pod using the loop app and then activated a new pod. The canula inserted but then when I clicked the pod icon it was asking me to complete the pod pairing (for the second pod that I had already activated). I then deactivated the second pod, I heard the pod beep communicating that it did deactivate. I got a third pod and filled it with insulin but I could not get that pod to pair, it kept saying to bring my rileylink closer to my pod but my rileylink was sitting on top of the pod. I ended up having to use a fourth pod and activate that using my omnipod PDM.</t>
        </is>
      </c>
      <c r="D8081" t="n">
        <v>1</v>
      </c>
      <c r="E8081" t="n">
        <v>3</v>
      </c>
      <c r="F8081">
        <f>HYPERLINK("https://www.reddit.com/r/diabetes/comments/egzqe4/loop_pod_failures_need_help/")</f>
        <v/>
      </c>
      <c r="G8081" t="inlineStr">
        <is>
          <t>2019-12-28 17:49:34</t>
        </is>
      </c>
      <c r="H8081" t="inlineStr">
        <is>
          <t>Type 1</t>
        </is>
      </c>
    </row>
    <row r="8082">
      <c r="A8082" t="inlineStr">
        <is>
          <t>egzvjg</t>
        </is>
      </c>
      <c r="B8082" t="inlineStr">
        <is>
          <t>Super high ketones since last night, they have not gone down at all but my blood sugar is low.</t>
        </is>
      </c>
      <c r="C8082" t="inlineStr">
        <is>
          <t>Hello everyone!
My ketones have been the highest they can be since last night and have not gone down a bit. I've been drinking lots of fluids and taking insulin accordingly. About 2 days ago, I was taken to the ER because I was throwing up with high ketones. Should I go back? I'm really lost, and I have no idea what to do at this point.</t>
        </is>
      </c>
      <c r="D8082" t="n">
        <v>1</v>
      </c>
      <c r="E8082" t="n">
        <v>17</v>
      </c>
      <c r="F8082">
        <f>HYPERLINK("https://www.reddit.com/r/diabetes/comments/egzvjg/super_high_ketones_since_last_night_they_have_not/")</f>
        <v/>
      </c>
      <c r="G8082" t="inlineStr">
        <is>
          <t>2019-12-28 18:02:06</t>
        </is>
      </c>
      <c r="H8082" t="inlineStr">
        <is>
          <t>Type 1</t>
        </is>
      </c>
    </row>
    <row r="8083">
      <c r="A8083" t="inlineStr">
        <is>
          <t>eh735t</t>
        </is>
      </c>
      <c r="B8083" t="inlineStr">
        <is>
          <t>New to this...</t>
        </is>
      </c>
      <c r="C8083" t="inlineStr">
        <is>
          <t>What time frames do you test your blood sugar? Like how long befkre or after meals. When in the morning and at night?  I have a few days before my appointment but the ER gave me attestor last night and said to go ahead and start using it before and after meals I was too freaked out to think about any questions though.</t>
        </is>
      </c>
      <c r="D8083" t="n">
        <v>1</v>
      </c>
      <c r="E8083" t="n">
        <v>6</v>
      </c>
      <c r="F8083">
        <f>HYPERLINK("https://www.reddit.com/r/diabetes/comments/eh735t/new_to_this/")</f>
        <v/>
      </c>
      <c r="G8083" t="inlineStr">
        <is>
          <t>2019-12-29 07:24:34</t>
        </is>
      </c>
      <c r="H8083" t="inlineStr">
        <is>
          <t>Type 2</t>
        </is>
      </c>
    </row>
    <row r="8084">
      <c r="A8084" t="inlineStr">
        <is>
          <t>eh8whl</t>
        </is>
      </c>
      <c r="B8084" t="inlineStr">
        <is>
          <t>Dealing with lows early in the morning</t>
        </is>
      </c>
      <c r="C8084" t="inlineStr">
        <is>
          <t>I was diagnosed about 9 months ago so I’m just coming out of the honeymoon period. Before I go to bed I’m taking 15 units of levamir (I don’t know if everyone knows what that is so for people who don’t know it’s the long lasting one). I go high if I don’t take that much but it’s causing me to have lows early in the morning. What do I do about this?</t>
        </is>
      </c>
      <c r="D8084" t="n">
        <v>1</v>
      </c>
      <c r="E8084" t="n">
        <v>8</v>
      </c>
      <c r="F8084">
        <f>HYPERLINK("https://www.reddit.com/r/diabetes/comments/eh8whl/dealing_with_lows_early_in_the_morning/")</f>
        <v/>
      </c>
      <c r="G8084" t="inlineStr">
        <is>
          <t>2019-12-29 09:50:24</t>
        </is>
      </c>
      <c r="H8084" t="inlineStr">
        <is>
          <t>Type 1</t>
        </is>
      </c>
    </row>
    <row r="8085">
      <c r="A8085" t="inlineStr">
        <is>
          <t>eh9dzp</t>
        </is>
      </c>
      <c r="B8085" t="inlineStr">
        <is>
          <t>Advice needed: Dad is mismanaging diabetes and I don't know how to help.</t>
        </is>
      </c>
      <c r="C8085" t="inlineStr">
        <is>
          <t>Hi guys!
I wanted to ask a community of diabetics for some advice about my dad. I'll try to be as concise as possible.
Background: I'm a dietetic intern and will be a registered dietitian within the next year. My dad has been a type 2 diabetic for roughly 5 years with a strong family history. He is also recently divorced, and my stepmom used to help him a lot with his diabetes. He is now self-employed and decided to switch to cheap insurance that doesn't cover insulin. 
While my dad was sorting out his contracting business, I tried to help him focus his efforts on managing his diabetes. As an ex-athlete, his worst fear is worsening peripheral neuropathy. I found a clinic with a Physician's Assistant with additional diabetes certifications as well as a staff dietitian with her Certified Diabetes Educator credential. I was excited for this because he does not understand how nutrition relates to his disease and doesn't seem to respect that I'm knowledgable enough to teach him the basics. 
Shortly after joining, the PA left the practice and a Nurse Practitioner who has additional weight management credentials took over as his primary. She told him he might not need insulin and  switched him off insulin and tried Victoza followed by Ozempic. He currently only takes metformin because Ozempic costs almost $1000 out of pocket. He has denied her offer to see the RDN due to money (he has the money to do it, he's being cheap). 
His fasting blood glucose seems to rest around 140-200 mg/dl. He's excited because he lost 20 pounds, but I told him that his weight loss is due to his uncontrolled diabetes. I'm extremely worried about my dad and don't know how to proceed. I have tried discussing this with him, but he treats it like a joke. The presence of his girlfriend only seems to enable him to joke about his disease and she perpetuates misinformation about diabetes.
I don't know what to do, and I'm also extremely concerned about the NP. I told him I'm going to go with him to his next appointment with her on January 6th. What should I do to help my dad? If he does need insulin, how can I safely obtain that out of pocket? There is a lot of tension between us, but I still love him as his daughter. I don't want anything bad to happen to him due to diabetes mismanagement - this doesn't have to be a death sentence.
Thank you all for your time, I genuinely appreciate it. Maybe one day I'll become a CDE to help people manage their diabetes. :-)</t>
        </is>
      </c>
      <c r="D8085" t="n">
        <v>1</v>
      </c>
      <c r="E8085" t="n">
        <v>8</v>
      </c>
      <c r="F8085">
        <f>HYPERLINK("https://www.reddit.com/r/diabetes/comments/eh9dzp/advice_needed_dad_is_mismanaging_diabetes_and_i/")</f>
        <v/>
      </c>
      <c r="G8085" t="inlineStr">
        <is>
          <t>2019-12-29 10:26:53</t>
        </is>
      </c>
      <c r="H8085" t="inlineStr">
        <is>
          <t>Type 2</t>
        </is>
      </c>
    </row>
    <row r="8086">
      <c r="A8086" t="inlineStr">
        <is>
          <t>ehagw4</t>
        </is>
      </c>
      <c r="B8086" t="inlineStr">
        <is>
          <t>Dexcom Sensor failure 2 days after insertion?</t>
        </is>
      </c>
      <c r="C8086" t="inlineStr">
        <is>
          <t>I inserted a new sensor 2 days ago and everything has been fine, except last night I dropped low, then when my blood sugar came back up, it just stopped working? It tried to figure itself out and for about 2 hours, I tried calibrating multiple times, then around 3 am it gave me a heart attack to tell me it had failed and to insert a new sensor. I've never had this happen, just wondering if anyone has experienced similar and what might have caused it? TIA</t>
        </is>
      </c>
      <c r="D8086" t="n">
        <v>1</v>
      </c>
      <c r="E8086" t="n">
        <v>8</v>
      </c>
      <c r="F8086">
        <f>HYPERLINK("https://www.reddit.com/r/diabetes/comments/ehagw4/dexcom_sensor_failure_2_days_after_insertion/")</f>
        <v/>
      </c>
      <c r="G8086" t="inlineStr">
        <is>
          <t>2019-12-29 11:48:00</t>
        </is>
      </c>
      <c r="H8086" t="inlineStr">
        <is>
          <t>Type 1</t>
        </is>
      </c>
    </row>
    <row r="8087">
      <c r="A8087" t="inlineStr">
        <is>
          <t>ehc46b</t>
        </is>
      </c>
      <c r="B8087" t="inlineStr">
        <is>
          <t>My(F,23) Boyfriend(M,20) has type one diabeties. He is worried about having enough money to pay for medical after he graduates, and finding a good enough job, etc. How can I help support him best? I want to make sure he is okay.</t>
        </is>
      </c>
      <c r="C8087" t="inlineStr">
        <is>
          <t>Have you guys found a good balance between finding jobs you want to work (He wants to make devices for diabetics, R&amp;amp;D) and having medical insurance that's good enough? If you were in this situation, what advice would you give him or me?  
TLDR: see above :)</t>
        </is>
      </c>
      <c r="D8087" t="n">
        <v>1</v>
      </c>
      <c r="E8087" t="n">
        <v>11</v>
      </c>
      <c r="F8087">
        <f>HYPERLINK("https://www.reddit.com/r/diabetes/comments/ehc46b/myf23_boyfriendm20_has_type_one_diabeties_he_is/")</f>
        <v/>
      </c>
      <c r="G8087" t="inlineStr">
        <is>
          <t>2019-12-29 13:49:59</t>
        </is>
      </c>
      <c r="H8087" t="inlineStr">
        <is>
          <t>Type 1</t>
        </is>
      </c>
    </row>
    <row r="8088">
      <c r="A8088" t="inlineStr">
        <is>
          <t>ehcby0</t>
        </is>
      </c>
      <c r="B8088" t="inlineStr">
        <is>
          <t>Had pizza and forgot to bolus</t>
        </is>
      </c>
      <c r="C8088" t="inlineStr">
        <is>
          <t>&amp;amp;#x200B;
https://preview.redd.it/yul8vg38an741.jpg?width=720&amp;amp;format=pjpg&amp;amp;auto=webp&amp;amp;s=567254418b17c3ce20d329729547c1ba5b38857e</t>
        </is>
      </c>
      <c r="D8088" t="n">
        <v>1</v>
      </c>
      <c r="E8088" t="n">
        <v>2</v>
      </c>
      <c r="F8088">
        <f>HYPERLINK("https://www.reddit.com/r/diabetes/comments/ehcby0/had_pizza_and_forgot_to_bolus/")</f>
        <v/>
      </c>
      <c r="G8088" t="inlineStr">
        <is>
          <t>2019-12-29 14:05:54</t>
        </is>
      </c>
      <c r="H8088" t="inlineStr">
        <is>
          <t>Type 1</t>
        </is>
      </c>
    </row>
    <row r="8089">
      <c r="A8089" t="inlineStr">
        <is>
          <t>ehdsk1</t>
        </is>
      </c>
      <c r="B8089" t="inlineStr">
        <is>
          <t>Any Asian American Type 1 Diabetics?</t>
        </is>
      </c>
      <c r="C8089" t="inlineStr">
        <is>
          <t>I hear about Asians and Asian Americans and type 2 diabetes a lot but I never seem to find much on being Asian/Asian American and type 1 diabetic. Just curious to see how many of us are out there and what our experiences with food and family are like.</t>
        </is>
      </c>
      <c r="D8089" t="n">
        <v>1</v>
      </c>
      <c r="E8089" t="n">
        <v>8</v>
      </c>
      <c r="F8089">
        <f>HYPERLINK("https://www.reddit.com/r/diabetes/comments/ehdsk1/any_asian_american_type_1_diabetics/")</f>
        <v/>
      </c>
      <c r="G8089" t="inlineStr">
        <is>
          <t>2019-12-29 15:56:05</t>
        </is>
      </c>
      <c r="H8089" t="inlineStr">
        <is>
          <t>Type 1</t>
        </is>
      </c>
    </row>
    <row r="8090">
      <c r="A8090" t="inlineStr">
        <is>
          <t>ehebvx</t>
        </is>
      </c>
      <c r="B8090" t="inlineStr">
        <is>
          <t>Advice on traveling with T1D?</t>
        </is>
      </c>
      <c r="C8090" t="inlineStr">
        <is>
          <t>Hello! I got diagnosed with type 1 in 2017. Since then, my diabetes education has been absolute shit. In February I am taking a trip to Mexico via airplane. How do I pack extra insulin without it getting room temperature and starting the 28 day clock for my kwik pens? I asked my doctor and he wrote me up a note for TSA saying I need to pack an ice pack and blah blah, but didn’t get into any logistics of it. Is that literally it? Do I pack like a lunch bag with an ice pack in it with my insulin pens? If they get TOO cold, doesn’t that render them less effective? I have a CGM but will be bringing my meter with me as well, should that not be sent thru the x-ray machine? I am absolutely clueless and will take any and all traveling advice :(
I already feel so limited with diabetes and trying to figure this all out almost makes me not even want to travel anymore (so dramatic I know, but legitimately feeling this hopeless)
TYIA</t>
        </is>
      </c>
      <c r="D8090" t="n">
        <v>1</v>
      </c>
      <c r="E8090" t="n">
        <v>15</v>
      </c>
      <c r="F8090">
        <f>HYPERLINK("https://www.reddit.com/r/diabetes/comments/ehebvx/advice_on_traveling_with_t1d/")</f>
        <v/>
      </c>
      <c r="G8090" t="inlineStr">
        <is>
          <t>2019-12-29 16:38:02</t>
        </is>
      </c>
      <c r="H8090" t="inlineStr">
        <is>
          <t>Type 1</t>
        </is>
      </c>
    </row>
    <row r="8091">
      <c r="A8091" t="inlineStr">
        <is>
          <t>ehh3mv</t>
        </is>
      </c>
      <c r="B8091" t="inlineStr">
        <is>
          <t>Angry/Violent when low? (Edited to shorten)</t>
        </is>
      </c>
      <c r="C8091" t="inlineStr">
        <is>
          <t>Angry/Violent when low? (Long)
Does anybody here get unreasonably angry when their sugar is low? My husband is horrible whenever he crashes. 
I know it’s due to him being altered. He never remembers doing it. He is usually mortified that it happened. 
He has never been physical before. We have been together 8 years and married for 3.  Last night he threw his phone at me and hit me in the face. 
Is this something that happens to anyone else? Is this completely abnormal?</t>
        </is>
      </c>
      <c r="D8091" t="n">
        <v>1</v>
      </c>
      <c r="E8091" t="n">
        <v>13</v>
      </c>
      <c r="F8091">
        <f>HYPERLINK("https://www.reddit.com/r/diabetes/comments/ehh3mv/angryviolent_when_low_edited_to_shorten/")</f>
        <v/>
      </c>
      <c r="G8091" t="inlineStr">
        <is>
          <t>2019-12-29 20:30:26</t>
        </is>
      </c>
      <c r="H8091" t="inlineStr">
        <is>
          <t>Type 1</t>
        </is>
      </c>
    </row>
    <row r="8092">
      <c r="A8092" t="inlineStr">
        <is>
          <t>ehh43w</t>
        </is>
      </c>
      <c r="B8092" t="inlineStr">
        <is>
          <t>Need to show someone how to manage their Diabetes</t>
        </is>
      </c>
      <c r="C8092" t="inlineStr">
        <is>
          <t>Me and my mom are going to help someone that's had Diabetes for almost 7 years (And came from Cuba about 7 years ago), the issue is he was never really taught how to manage it.
I'm just wondering if anyone has any good tips I can give him about Diabetes, as he knows very little.</t>
        </is>
      </c>
      <c r="D8092" t="n">
        <v>1</v>
      </c>
      <c r="E8092" t="n">
        <v>4</v>
      </c>
      <c r="F8092">
        <f>HYPERLINK("https://www.reddit.com/r/diabetes/comments/ehh43w/need_to_show_someone_how_to_manage_their_diabetes/")</f>
        <v/>
      </c>
      <c r="G8092" t="inlineStr">
        <is>
          <t>2019-12-29 20:31:40</t>
        </is>
      </c>
      <c r="H8092" t="inlineStr">
        <is>
          <t>Type 1</t>
        </is>
      </c>
    </row>
    <row r="8093">
      <c r="A8093" t="inlineStr">
        <is>
          <t>ehouub</t>
        </is>
      </c>
      <c r="B8093" t="inlineStr">
        <is>
          <t>Bolusing with Omnipod v1</t>
        </is>
      </c>
      <c r="C8093" t="inlineStr">
        <is>
          <t>Hi fellow folks.
I'm some Omnipod user for a few weeks now, and I figured that having help from my endo wasn't really a solution, as she's like a technophobe.
Let me draw the picture:
\- I've got the bolus calculator enabled  
\- I've got my target BG set: 100mg/dL  
\- I've set a basic correction factor: 20mg/dL:1U
Let's not make a scenario:
1. It's 1 pm, I'm 100, fasting, no active insulin (only basal): Bolus calculator says 0.00U, which is fine.
2. It's 3 pm, I'm 150 and raising, still fasting, no active insulin (only basal): Bolus calculator gives me a recommended bolus, I accept.
3. It's 4 pm, I'm 190 and raising, still fasting, active insulin from my 3 pm bolus + basal: Bolus calculator still gives me a recommended bolus (based on my active insulin)
Please help me to understand:
* Should I accept the bolus from point 3? 
* Should I ignore it hence my insulin is supposed to act for at least 4 hours and wait to be 100 again, even if I have to reach 250 for some reason until my Humalog 100 decides to act?
* Let's not talk about basal here, it's just an example scenario.
Thank you very much.</t>
        </is>
      </c>
      <c r="D8093" t="n">
        <v>1</v>
      </c>
      <c r="E8093" t="n">
        <v>1</v>
      </c>
      <c r="F8093">
        <f>HYPERLINK("https://www.reddit.com/r/diabetes/comments/ehouub/bolusing_with_omnipod_v1/")</f>
        <v/>
      </c>
      <c r="G8093" t="inlineStr">
        <is>
          <t>2019-12-30 09:17:21</t>
        </is>
      </c>
      <c r="H8093" t="inlineStr">
        <is>
          <t>Type 1</t>
        </is>
      </c>
    </row>
    <row r="8094">
      <c r="A8094" t="inlineStr">
        <is>
          <t>ehxqsi</t>
        </is>
      </c>
      <c r="B8094" t="inlineStr">
        <is>
          <t>Basaglar makes me ill</t>
        </is>
      </c>
      <c r="C8094" t="inlineStr">
        <is>
          <t>My dr prescribed Basaglar and it makes me Ill is there other long acting insulin?</t>
        </is>
      </c>
      <c r="D8094" t="n">
        <v>1</v>
      </c>
      <c r="E8094" t="n">
        <v>19</v>
      </c>
      <c r="F8094">
        <f>HYPERLINK("https://www.reddit.com/r/diabetes/comments/ehxqsi/basaglar_makes_me_ill/")</f>
        <v/>
      </c>
      <c r="G8094" t="inlineStr">
        <is>
          <t>2019-12-30 20:21:34</t>
        </is>
      </c>
      <c r="H8094" t="inlineStr">
        <is>
          <t>Type 2</t>
        </is>
      </c>
    </row>
    <row r="8095">
      <c r="A8095" t="inlineStr">
        <is>
          <t>eiak34</t>
        </is>
      </c>
      <c r="B8095" t="inlineStr">
        <is>
          <t>out of fast acting till the 2nd, can i double or triple up on basaglar to help counter act my sugars?</t>
        </is>
      </c>
      <c r="C8095" t="inlineStr">
        <is>
          <t>so like title says i have 10 units of fast acting left and won't be able to get any till the 2nd , i called it in but they said i couldn't get it till to first. so i called it in for pick up today and they told me they are closed tomorrow . i went off on them so bad cause really.. all i need is 1 pen that can last me 2 or 3 days. so i am so pissed right now i am out of insulin for tomorrow but have 2 boxes of basaglar on hand.
i already take 80 units and plan on doubling up or tripling up to try and help the numbers stay down, my sugar already spiked to 500 today and i used what little i had to try and counteract that but it only brand me to 250 and really wanted to save my last 10 for breakfast in the morning. 
i am soon to have my tslim x2 education and am having hard enough time getting switched over to vials again from pens. all i want is the fucking liquid that keeps me alive, how is it that a drug that wasn't patented costs so fucking much just to keep you alive yet every other god damn country has it for free...</t>
        </is>
      </c>
      <c r="D8095" t="n">
        <v>1</v>
      </c>
      <c r="E8095" t="n">
        <v>15</v>
      </c>
      <c r="F8095">
        <f>HYPERLINK("https://www.reddit.com/r/diabetes/comments/eiak34/out_of_fast_acting_till_the_2nd_can_i_double_or/")</f>
        <v/>
      </c>
      <c r="G8095" t="inlineStr">
        <is>
          <t>2019-12-31 15:24:39</t>
        </is>
      </c>
      <c r="H8095" t="inlineStr">
        <is>
          <t>Type 1</t>
        </is>
      </c>
    </row>
    <row r="8096">
      <c r="A8096" t="inlineStr">
        <is>
          <t>eicfg3</t>
        </is>
      </c>
      <c r="B8096" t="inlineStr">
        <is>
          <t>A1C went up relying on Freestlye :(</t>
        </is>
      </c>
      <c r="C8096" t="inlineStr">
        <is>
          <t>I'm just bummed so I wanted to talk to some people that would understand. I went a very long time without visiting a dr, and finally went a few years ago to an Endo and got set up on new insulin (pens vs vials - novolog + triseba vs Walmart N and R), my A1C was 7.8 at this time. I got on the Freestyle system (the only one my insurance will cover without having a pump). At first, it was great! I would finger stick and it was always within 20 points. 99% of the time it was 20 points lower then a fingerstick, so I just always used that as a guide - and it worked for a really long time. My A1C came down to 6.9, which is probably the lowest I've been since I was a teen. 
Fast forward 6 months, and my A1C is 7.3. According to my Libre, it should have been around 6.8. I started to trust the Libre too much, and I hadn't been doing any finger sticks. When I got home from this A1C, I stuck my finger and my meter was 60+ points off. I removed the sensor and put on a new one, and I also ordered Freestyles test strips that can be used with the meter. I called and they are also sending me a replacement sensor. I just checked my sugars again and... the new sensor is again, 63 points off (173 reading vs 236 fingerstick). 
I felt like I was doing so well - I scanned my sensor SO much, I'd never felt more "in control" of things. I am not sure what has happened, why these last sensors are so off, or how long it's been going on. When I first started the system, it was very reliable. I am putting the sensors in the same area, and I always alternate the arms so that the other has a chance to heal up. I woke up yesterday with the meter reading "Lo" and bottomed out for hours on the graph. A fingerstick showed it was fine, at 117. 
Has anyone experienced this recently with new sensors?</t>
        </is>
      </c>
      <c r="D8096" t="n">
        <v>1</v>
      </c>
      <c r="E8096" t="n">
        <v>9</v>
      </c>
      <c r="F8096">
        <f>HYPERLINK("https://www.reddit.com/r/diabetes/comments/eicfg3/a1c_went_up_relying_on_freestlye/")</f>
        <v/>
      </c>
      <c r="G8096" t="inlineStr">
        <is>
          <t>2019-12-31 18:01:26</t>
        </is>
      </c>
      <c r="H8096" t="inlineStr">
        <is>
          <t>Type 1</t>
        </is>
      </c>
    </row>
    <row r="8097">
      <c r="A8097" t="inlineStr">
        <is>
          <t>eiuofu</t>
        </is>
      </c>
      <c r="B8097" t="inlineStr">
        <is>
          <t>Recovering from DKA</t>
        </is>
      </c>
      <c r="C8097" t="inlineStr">
        <is>
          <t>I've been at the hospital since monday and I have a flight tomorrow. I should be getting out sometime today. Will it be safe to travel after this?</t>
        </is>
      </c>
      <c r="D8097" t="n">
        <v>1</v>
      </c>
      <c r="E8097" t="n">
        <v>5</v>
      </c>
      <c r="F8097">
        <f>HYPERLINK("https://www.reddit.com/r/diabetes/comments/eiuofu/recovering_from_dka/")</f>
        <v/>
      </c>
      <c r="G8097" t="inlineStr">
        <is>
          <t>2020-01-01 22:38:15</t>
        </is>
      </c>
      <c r="H8097" t="inlineStr">
        <is>
          <t>Type 1</t>
        </is>
      </c>
    </row>
    <row r="8098">
      <c r="A8098" t="inlineStr">
        <is>
          <t>eixjcz</t>
        </is>
      </c>
      <c r="B8098" t="inlineStr">
        <is>
          <t>Scary T2 high for a week now</t>
        </is>
      </c>
      <c r="C8098" t="inlineStr">
        <is>
          <t>Hi all, 
Sorry for the long post, need some guidance.
Just before Christmas I injured my right knee so bad I can't walk.  So Dec 26th I visited a Family doctor where I was spending the holidays (Singapore), discussed my T2 at length and he prescribed Celecoxib and Prednisolone for my knee.
That was 10.30am, by 10pm I was drinking litres of water, peeing non-stop and couldn't test as my BG is usually so stable I left my kit at home (Hong Kong).  Same on 27th Dec.  When I got home on the 28th and tested, I was running about 34mmol (612mg).  A bit of research and I found that Prednisolone is a steroid and they can cause BG to go haywire.  Funny the Doctor never mentioned that.
So I quit the knee pills.  By Monday 30th I was still seeing fasting BG of 24mmol/432mg and highs of 32/600+ later in the day.
Went to my usual clinic but my doc was away.  The locum didn't seem at all concerned, but increased my Metformin from 500mg X twice a day to 500mg X three times a day. (Plus panadol for the knee yay /s)
Anyway, I'm still about 15/270 fasting, rising to 26/468 in the evenings, despite cutting carbs to almost zero.  (I've been low carbing around 100g a day for the last year with a regular 8-10/140-150 high/low pattern).
I'm weak, dizzy, have horrible headaches, thirsty all the time, peeing all the time, blurry vision and generally feel like crap. 
Could this be the knee injury itself causing the spikes now? Or does prednisolone linger this long?  I feel like I should probably insist on an Endo referral, as the family doc just doesn't feel like is taking it seriously.
&amp;amp;#x200B;
Any advice?</t>
        </is>
      </c>
      <c r="D8098" t="n">
        <v>1</v>
      </c>
      <c r="E8098" t="n">
        <v>15</v>
      </c>
      <c r="F8098">
        <f>HYPERLINK("https://www.reddit.com/r/diabetes/comments/eixjcz/scary_t2_high_for_a_week_now/")</f>
        <v/>
      </c>
      <c r="G8098" t="inlineStr">
        <is>
          <t>2020-01-02 04:16:26</t>
        </is>
      </c>
      <c r="H8098" t="inlineStr">
        <is>
          <t>Type 2</t>
        </is>
      </c>
    </row>
    <row r="8099">
      <c r="A8099" t="inlineStr">
        <is>
          <t>eiy42k</t>
        </is>
      </c>
      <c r="B8099" t="inlineStr">
        <is>
          <t>Help! No access to Humalog, what can I do?</t>
        </is>
      </c>
      <c r="C8099" t="inlineStr">
        <is>
          <t>I am currently in Africa where I've typically s been able to find Humalog no problem. I'm a T1 on an Omnipod normally, but I haven't been able to find Humalog for a month and I've now run out of the supply I brought here. All the pharmacies are telling me the Humalog will come in "anytime" but now it's clear to me that they don't really know when they will get a new stock. So this is my current situation: I'm down to maybe 10 units of Humalog left and I've taken a shot of Lantus (which I've used in the past) with the idea that if I eat basically no carbs, I can at least maintain acceptable blood sugars for the short term. 
A few questions: 
1. If I manage to track down Novolog (which I almost did but the pharmacy had "just" sold their last vial to another patient), are there any dangers to switching brands?
2. Is there any difference in dosing Novolog compared to Humalog? I've read here that some people react more sensitively to Novolog...
3. If I can't get either Humalog or Novolog, does anyone have any precautions or tips for using short-acting regular insulin (R)? I haven't been on R since I was a young teenager. 
4. Does anyone know if there are any risks associated with R insulin and breastfeeding?
Thanks! I'm super desperate here.</t>
        </is>
      </c>
      <c r="D8099" t="n">
        <v>1</v>
      </c>
      <c r="E8099" t="n">
        <v>12</v>
      </c>
      <c r="F8099">
        <f>HYPERLINK("https://www.reddit.com/r/diabetes/comments/eiy42k/help_no_access_to_humalog_what_can_i_do/")</f>
        <v/>
      </c>
      <c r="G8099" t="inlineStr">
        <is>
          <t>2020-01-02 05:16:15</t>
        </is>
      </c>
      <c r="H8099" t="inlineStr">
        <is>
          <t>Type 1</t>
        </is>
      </c>
    </row>
    <row r="8100">
      <c r="A8100" t="inlineStr">
        <is>
          <t>ej034u</t>
        </is>
      </c>
      <c r="B8100" t="inlineStr">
        <is>
          <t>Just been given the Freestyle Libre</t>
        </is>
      </c>
      <c r="C8100" t="inlineStr">
        <is>
          <t>Any tips? Just been to the clinic and they showed me how to use it, where to get the phone app and where to complete online training. Aside from that, is there anything else I should know? My blood sugars have gone a bit haywire lately and the nurses thought this would help me find a pattern in my sugars.</t>
        </is>
      </c>
      <c r="D8100" t="n">
        <v>1</v>
      </c>
      <c r="E8100" t="n">
        <v>6</v>
      </c>
      <c r="F8100">
        <f>HYPERLINK("https://www.reddit.com/r/diabetes/comments/ej034u/just_been_given_the_freestyle_libre/")</f>
        <v/>
      </c>
      <c r="G8100" t="inlineStr">
        <is>
          <t>2020-01-02 08:07:10</t>
        </is>
      </c>
      <c r="H8100" t="inlineStr">
        <is>
          <t>Type 1</t>
        </is>
      </c>
    </row>
    <row r="8101">
      <c r="A8101" t="inlineStr">
        <is>
          <t>ej11wa</t>
        </is>
      </c>
      <c r="B8101" t="inlineStr">
        <is>
          <t>Feeling defeated</t>
        </is>
      </c>
      <c r="C8101" t="inlineStr">
        <is>
          <t>Was diagnosed in late November with T1. On Lantus and Humalog. Still feel like shit. Everyone says it will take a while. The longer it goes on the more depressed I am getting. I'd like to go back to work but I don't feel ready. I am also grieving my Father died 2 weeks before diagnosis. Not sure how long my sugars were so high. How long did it take after your diagnosis to feel better? I'm going on two months now. My sugars are within range.</t>
        </is>
      </c>
      <c r="D8101" t="n">
        <v>1</v>
      </c>
      <c r="E8101" t="n">
        <v>11</v>
      </c>
      <c r="F8101">
        <f>HYPERLINK("https://www.reddit.com/r/diabetes/comments/ej11wa/feeling_defeated/")</f>
        <v/>
      </c>
      <c r="G8101" t="inlineStr">
        <is>
          <t>2020-01-02 09:19:04</t>
        </is>
      </c>
      <c r="H8101" t="inlineStr">
        <is>
          <t>Type 1</t>
        </is>
      </c>
    </row>
    <row r="8102">
      <c r="A8102" t="inlineStr">
        <is>
          <t>ej18zf</t>
        </is>
      </c>
      <c r="B8102" t="inlineStr">
        <is>
          <t>Tresiba to anyone to needs it!</t>
        </is>
      </c>
      <c r="C8102" t="inlineStr">
        <is>
          <t>I have a extra boxes of Tresiba, don't need it anymore since I'm on a pump. If it's allowed on here I'd love to get it to someone, preferably in the US. Message me!</t>
        </is>
      </c>
      <c r="D8102" t="n">
        <v>1</v>
      </c>
      <c r="E8102" t="n">
        <v>3</v>
      </c>
      <c r="F8102">
        <f>HYPERLINK("https://www.reddit.com/r/diabetes/comments/ej18zf/tresiba_to_anyone_to_needs_it/")</f>
        <v/>
      </c>
      <c r="G8102" t="inlineStr">
        <is>
          <t>2020-01-02 09:33:14</t>
        </is>
      </c>
      <c r="H8102" t="inlineStr">
        <is>
          <t>Type 1</t>
        </is>
      </c>
    </row>
    <row r="8103">
      <c r="A8103" t="inlineStr">
        <is>
          <t>ej31a7</t>
        </is>
      </c>
      <c r="B8103" t="inlineStr">
        <is>
          <t>After 28 years I’m finally burned out</t>
        </is>
      </c>
      <c r="C8103" t="inlineStr">
        <is>
          <t>I’m 30 and being type 1 is the only way of life I have ever known. I’ve managed it pretty well my whole life, did all the things I ever wanted like playing sports and getting married and staying physically fit. Most people are shocked to learn I’m diabetic. 
A few weeks ago I was diagnosed with early stages of retinopathy and I’m sitting here now at a cardiologist because something else is wrong and TBD with more testing. Last night I finally lost it and cracked under the pressure and stress of it all. It seems that it’s just one thing after another for me. Two months ago I considered myself super healthy and now, that’s no longer the case.  I feel like I can’t do all of this anymore and the burden of it all is taking it’s toll on my life. 
I have a fantastic support system but at the end of the day I’m the only one fighting this fight and I feel so alone. I’ve been carrying this on my shoulders for so long I don’t want to anymore. I just want to give up but I know I can’t, I have people that rely on me. I don’t have kids and I always wanted them but the thought of not being able to see them grow up, both literally and metaphorically, is wrecking havoc on me. Yeah I might live to 60, 70 or even 80 but what will my quality of life be like? I’m terrified for the first time in my life because the issues that come along with a lifetime of diabetes, no matter how well controlled, eventually get us one way or another. 
I guess I’m just here to vent to people that might have an idea of what I’m going thru.</t>
        </is>
      </c>
      <c r="D8103" t="n">
        <v>11</v>
      </c>
      <c r="E8103" t="n">
        <v>16</v>
      </c>
      <c r="F8103">
        <f>HYPERLINK("https://www.reddit.com/r/diabetes/comments/ej31a7/after_28_years_im_finally_burned_out/")</f>
        <v/>
      </c>
      <c r="G8103" t="inlineStr">
        <is>
          <t>2020-01-02 11:40:04</t>
        </is>
      </c>
      <c r="H8103" t="inlineStr">
        <is>
          <t>Type 1</t>
        </is>
      </c>
    </row>
    <row r="8104">
      <c r="A8104" t="inlineStr">
        <is>
          <t>ej6vtb</t>
        </is>
      </c>
      <c r="B8104" t="inlineStr">
        <is>
          <t>Blood sugar keeps dropping at night.</t>
        </is>
      </c>
      <c r="C8104" t="inlineStr">
        <is>
          <t>**Note:** *I do not have a pump and instead use an insulin pen and lantus pen.*
&amp;amp;#x200B;
So my blood sugar keeps dropping at night for no reason. I intentionally thought I was giving to much lantus, so i dropped down a unit of lantus. But it had no effect on my blood sugar, as they kept dropping at night. I am seeking your opinions on the matter. I suspect it might be my diet but can not come to a conclusion on what I am missing or eating that is causing this phenomena for me. I know it is not the lantus because my blood sugar levels run normally through out the day but it is when there are long periods of no food (such as sleep) that my sugar drops. If you have any tips please let me know so that I can take them for a spin.</t>
        </is>
      </c>
      <c r="D8104" t="n">
        <v>1</v>
      </c>
      <c r="E8104" t="n">
        <v>8</v>
      </c>
      <c r="F8104">
        <f>HYPERLINK("https://www.reddit.com/r/diabetes/comments/ej6vtb/blood_sugar_keeps_dropping_at_night/")</f>
        <v/>
      </c>
      <c r="G8104" t="inlineStr">
        <is>
          <t>2020-01-02 16:09:51</t>
        </is>
      </c>
      <c r="H8104" t="inlineStr">
        <is>
          <t>Type 1</t>
        </is>
      </c>
    </row>
    <row r="8105">
      <c r="A8105" t="inlineStr">
        <is>
          <t>ej7m5m</t>
        </is>
      </c>
      <c r="B8105" t="inlineStr">
        <is>
          <t>Do I have to bolus for beer?</t>
        </is>
      </c>
      <c r="C8105" t="inlineStr">
        <is>
          <t>Just would like to know... the beers I want to enjoy are 6 and 12 carbs I’m on omnipod newly diagnosed. 
And if I do bolus do I have to wait 15 minutes to drink them?
Thanks.</t>
        </is>
      </c>
      <c r="D8105" t="n">
        <v>1</v>
      </c>
      <c r="E8105" t="n">
        <v>21</v>
      </c>
      <c r="F8105">
        <f>HYPERLINK("https://www.reddit.com/r/diabetes/comments/ej7m5m/do_i_have_to_bolus_for_beer/")</f>
        <v/>
      </c>
      <c r="G8105" t="inlineStr">
        <is>
          <t>2020-01-02 17:04:48</t>
        </is>
      </c>
      <c r="H8105" t="inlineStr">
        <is>
          <t>Type 1.5/LADA</t>
        </is>
      </c>
    </row>
    <row r="8106">
      <c r="A8106" t="inlineStr">
        <is>
          <t>ej8gfi</t>
        </is>
      </c>
      <c r="B8106" t="inlineStr">
        <is>
          <t>HELP! Dexcom makes me itch and leaves behind a slight rash. Any advice?</t>
        </is>
      </c>
      <c r="C8106" t="inlineStr">
        <is>
          <t>I've been using the Dexcom for months now (and love it!) But sometimes this itch creeps up on me. I'll wake up in the night scratching my site. This last time I realized too late I scratched too much and broke the skin, bloodying one of my nice shirts. I use a simpatch adhesive as well, but never had this problem when I used their patches with the libra. I also use Skin Tac but I use it for my omnipod too and don't have a problem with itching. So I am thinking it has to be the actual Dexcom sensor patch that's making me itch? 
Is there anything I can apply to the site to help stop the itching?</t>
        </is>
      </c>
      <c r="D8106" t="n">
        <v>1</v>
      </c>
      <c r="E8106" t="n">
        <v>12</v>
      </c>
      <c r="F8106">
        <f>HYPERLINK("https://www.reddit.com/r/diabetes/comments/ej8gfi/help_dexcom_makes_me_itch_and_leaves_behind_a/")</f>
        <v/>
      </c>
      <c r="G8106" t="inlineStr">
        <is>
          <t>2020-01-02 18:09:43</t>
        </is>
      </c>
      <c r="H8106" t="inlineStr">
        <is>
          <t>Type 1</t>
        </is>
      </c>
    </row>
    <row r="8107">
      <c r="A8107" t="inlineStr">
        <is>
          <t>ejeabr</t>
        </is>
      </c>
      <c r="B8107" t="inlineStr">
        <is>
          <t>Are my sugars supposed to be this high?</t>
        </is>
      </c>
      <c r="C8107" t="inlineStr">
        <is>
          <t>I'm a type 1 and just recently got a dexcom and am starting to see my numbers regularly reach over 230 after eating. I tried moving my correction factor from 1:9 to 1:8 but the numbers are still really high for a while. Should I increase again or just leave it?</t>
        </is>
      </c>
      <c r="D8107" t="n">
        <v>2</v>
      </c>
      <c r="E8107" t="n">
        <v>7</v>
      </c>
      <c r="F8107">
        <f>HYPERLINK("https://www.reddit.com/r/diabetes/comments/ejeabr/are_my_sugars_supposed_to_be_this_high/")</f>
        <v/>
      </c>
      <c r="G8107" t="inlineStr">
        <is>
          <t>2020-01-03 03:38:18</t>
        </is>
      </c>
      <c r="H8107" t="inlineStr">
        <is>
          <t>Type 1</t>
        </is>
      </c>
    </row>
    <row r="8108">
      <c r="A8108" t="inlineStr">
        <is>
          <t>ejef1w</t>
        </is>
      </c>
      <c r="B8108" t="inlineStr">
        <is>
          <t>Does anyone else here get diarrhea with low blood sugar?</t>
        </is>
      </c>
      <c r="C8108" t="inlineStr">
        <is>
          <t>It seems that anytime I wake up with low blood sugar I tend to have really bad diarrhea. It’s only when I wake up with low sugar though..does anyone else experience this?</t>
        </is>
      </c>
      <c r="D8108" t="n">
        <v>1</v>
      </c>
      <c r="E8108" t="n">
        <v>9</v>
      </c>
      <c r="F8108">
        <f>HYPERLINK("https://www.reddit.com/r/diabetes/comments/ejef1w/does_anyone_else_here_get_diarrhea_with_low_blood/")</f>
        <v/>
      </c>
      <c r="G8108" t="inlineStr">
        <is>
          <t>2020-01-03 03:52:24</t>
        </is>
      </c>
      <c r="H8108" t="inlineStr">
        <is>
          <t>Type 1</t>
        </is>
      </c>
    </row>
    <row r="8109">
      <c r="A8109" t="inlineStr">
        <is>
          <t>ejnxod</t>
        </is>
      </c>
      <c r="B8109" t="inlineStr">
        <is>
          <t>My 11-year-old niece was just diagnosed with T1 Diabetes. Looking for advice on how best to support her and my brother (her dad)</t>
        </is>
      </c>
      <c r="C8109" t="inlineStr">
        <is>
          <t>I'm so sad for her and my brother. He just recently got through a few very tough years and now this happens right at the start of 2020 :(.
I'm basically looking for tips on how best to respond and help them out. I think I have a good idea of how to support my brother (just be supportive, don't ask too many questions, don't give advice/solutions), but I'm not exactly sure the best way to approach this with my niece. I don't want to be all sad/apologetic because I think that will just make her feel worse. But I don't want to be too lighthearted about it and make her feel awkward/confused. Or maybe I should just ignore referring to it at all when I interact with her and just act like nothing happened (at least for now)?
I live a couple hours away, so I was thinking about driving there to support them, but now I'm thinking that could just overwhelm them and make my niece worry even more. Probably best to let things settle for a few days?
Anyone out there with similar experiences? Would appreciate any tips/advice.</t>
        </is>
      </c>
      <c r="D8109" t="n">
        <v>3</v>
      </c>
      <c r="E8109" t="n">
        <v>8</v>
      </c>
      <c r="F8109">
        <f>HYPERLINK("https://www.reddit.com/r/diabetes/comments/ejnxod/my_11yearold_niece_was_just_diagnosed_with_t1/")</f>
        <v/>
      </c>
      <c r="G8109" t="inlineStr">
        <is>
          <t>2020-01-03 15:42:37</t>
        </is>
      </c>
      <c r="H8109" t="inlineStr">
        <is>
          <t>Type 1</t>
        </is>
      </c>
    </row>
    <row r="8110">
      <c r="A8110" t="inlineStr">
        <is>
          <t>ejqcuo</t>
        </is>
      </c>
      <c r="B8110" t="inlineStr">
        <is>
          <t>Need diet and eating advice</t>
        </is>
      </c>
      <c r="C8110" t="inlineStr">
        <is>
          <t>I am currently 18 years old. My diabetes has been poorly managed for as long as I remember. The past year or so I’ve been trying to do better, and properly take care of myself. 
I am on the Omnipod and dexcom. So that was a start. But I need advice with proper eating and exercise habits. I think if I work on the way I eat, and if I start working out that my blood sugar will be a lot better. Along with my diabetes, I am recovering from anorexia. Which makes changing the way I eat and exercise a little complicated. I was wondering if anyone could give me good advice and pointers on where to start. In regards to my ED. Ive been in a very good place with it for again about a year. 2 years back I was in a residential treatment. So I don’t think it’s going to be an issue. I have a good team and support from my boyfriend. I just need a good place to start. And some general tips and all that.</t>
        </is>
      </c>
      <c r="D8110" t="n">
        <v>2</v>
      </c>
      <c r="E8110" t="n">
        <v>6</v>
      </c>
      <c r="F8110">
        <f>HYPERLINK("https://www.reddit.com/r/diabetes/comments/ejqcuo/need_diet_and_eating_advice/")</f>
        <v/>
      </c>
      <c r="G8110" t="inlineStr">
        <is>
          <t>2020-01-03 18:43:38</t>
        </is>
      </c>
      <c r="H8110" t="inlineStr">
        <is>
          <t>Type 1</t>
        </is>
      </c>
    </row>
    <row r="8111">
      <c r="A8111" t="inlineStr">
        <is>
          <t>ejs0c8</t>
        </is>
      </c>
      <c r="B8111" t="inlineStr">
        <is>
          <t>Anyone use the one drop system?</t>
        </is>
      </c>
      <c r="C8111" t="inlineStr">
        <is>
          <t>If so, do you know if you can pay with an HSA account? Also, how do you like it?</t>
        </is>
      </c>
      <c r="D8111" t="n">
        <v>1</v>
      </c>
      <c r="E8111" t="n">
        <v>0</v>
      </c>
      <c r="F8111">
        <f>HYPERLINK("https://www.reddit.com/r/diabetes/comments/ejs0c8/anyone_use_the_one_drop_system/")</f>
        <v/>
      </c>
      <c r="G8111" t="inlineStr">
        <is>
          <t>2020-01-03 20:57:08</t>
        </is>
      </c>
      <c r="H8111" t="inlineStr">
        <is>
          <t>Type 1</t>
        </is>
      </c>
    </row>
    <row r="8112">
      <c r="A8112" t="inlineStr">
        <is>
          <t>ejvspo</t>
        </is>
      </c>
      <c r="B8112" t="inlineStr">
        <is>
          <t>Dexcom G6 question</t>
        </is>
      </c>
      <c r="C8112" t="inlineStr">
        <is>
          <t>Hi, I've only had my CGM for about 2 months now. I've seen people mention calibration issues in the past, what do you do when you encounter one? I assume that I am having my first, installed a new sensor 12 hours ago and it has twice alarmed in the last 12 hours that I my blood sugar is 35. The 2nd time I double checked against my One Touch because I did not feel low and that said I was 150. Is there a way to recalibrate or should I just pull it and use another? Thanks.</t>
        </is>
      </c>
      <c r="D8112" t="n">
        <v>1</v>
      </c>
      <c r="E8112" t="n">
        <v>4</v>
      </c>
      <c r="F8112">
        <f>HYPERLINK("https://www.reddit.com/r/diabetes/comments/ejvspo/dexcom_g6_question/")</f>
        <v/>
      </c>
      <c r="G8112" t="inlineStr">
        <is>
          <t>2020-01-04 03:53:21</t>
        </is>
      </c>
      <c r="H8112" t="inlineStr">
        <is>
          <t>Type 1</t>
        </is>
      </c>
    </row>
    <row r="8113">
      <c r="A8113" t="inlineStr">
        <is>
          <t>ejzjht</t>
        </is>
      </c>
      <c r="B8113" t="inlineStr">
        <is>
          <t>Quick question and hi</t>
        </is>
      </c>
      <c r="C8113" t="inlineStr">
        <is>
          <t>Hi folks. Was diagnosed as a type 2 about 6 months ago with an initial blood sugar of 330. Doc put me on Metformin, 2000 milligrams a day, (1000 in morning, 1000 at night). Since then, I've lost about 55 pounds through diet and exercise changes, and my blood sugar was trending at about 90-105 on average. My A1C is now a 5.1.   
Now, here's my question; When I went back to the doctor, he cut my metformin to 1000 milligrams a day, (500 in the morning, 500 at night) and now despite sticking to my diet and exercise, my average blood reading is in the 120's. I know anything below 150 is good for a type 2, but I don't like how it's so close to 150 if that makes sense. Should I address this with my doctor and ask to get put back on 2000 milligrams? Thanks in advance for your opinions, and best wishes with your diabetic journeys.</t>
        </is>
      </c>
      <c r="D8113" t="n">
        <v>0</v>
      </c>
      <c r="E8113" t="n">
        <v>9</v>
      </c>
      <c r="F8113">
        <f>HYPERLINK("https://www.reddit.com/r/diabetes/comments/ejzjht/quick_question_and_hi/")</f>
        <v/>
      </c>
      <c r="G8113" t="inlineStr">
        <is>
          <t>2020-01-04 09:33:01</t>
        </is>
      </c>
      <c r="H8113" t="inlineStr">
        <is>
          <t>Type 2</t>
        </is>
      </c>
    </row>
    <row r="8114">
      <c r="A8114" t="inlineStr">
        <is>
          <t>ek15lz</t>
        </is>
      </c>
      <c r="B8114" t="inlineStr">
        <is>
          <t>Is there a sub just for Type 2?</t>
        </is>
      </c>
      <c r="C8114" t="inlineStr">
        <is>
          <t>I have been recently diagnosed, probably 2 years too late, and am on 4 different meds for it. My level the other day was 170. How often does Type 2 turn into Type 1?</t>
        </is>
      </c>
      <c r="D8114" t="n">
        <v>2</v>
      </c>
      <c r="E8114" t="n">
        <v>34</v>
      </c>
      <c r="F8114">
        <f>HYPERLINK("https://www.reddit.com/r/diabetes/comments/ek15lz/is_there_a_sub_just_for_type_2/")</f>
        <v/>
      </c>
      <c r="G8114" t="inlineStr">
        <is>
          <t>2020-01-04 11:29:26</t>
        </is>
      </c>
      <c r="H8114" t="inlineStr">
        <is>
          <t>Type 2</t>
        </is>
      </c>
    </row>
    <row r="8115">
      <c r="A8115" t="inlineStr">
        <is>
          <t>ek3ywy</t>
        </is>
      </c>
      <c r="B8115" t="inlineStr">
        <is>
          <t>HbA1c 3 months after diagnosis</t>
        </is>
      </c>
      <c r="C8115" t="inlineStr">
        <is>
          <t>I was diagnosed with this result:
&amp;amp;#x200B;
https://preview.redd.it/q8295anadu841.png?width=561&amp;amp;format=png&amp;amp;auto=webp&amp;amp;s=e725abdb0c04bff6a5ab1d5e4f6698957010e171
Now after almost three full months my HbA1c is:
&amp;amp;#x200B;
&amp;amp;#x200B;
https://preview.redd.it/q7lqb14idu841.png?width=535&amp;amp;format=png&amp;amp;auto=webp&amp;amp;s=2b3364a2bead543f607155ffb99fbcc221685966
How awesome is that? :)</t>
        </is>
      </c>
      <c r="D8115" t="n">
        <v>8</v>
      </c>
      <c r="E8115" t="n">
        <v>10</v>
      </c>
      <c r="F8115">
        <f>HYPERLINK("https://www.reddit.com/r/diabetes/comments/ek3ywy/hba1c_3_months_after_diagnosis/")</f>
        <v/>
      </c>
      <c r="G8115" t="inlineStr">
        <is>
          <t>2020-01-04 14:55:58</t>
        </is>
      </c>
      <c r="H8115" t="inlineStr">
        <is>
          <t>Type 2</t>
        </is>
      </c>
    </row>
    <row r="8116">
      <c r="A8116" t="inlineStr">
        <is>
          <t>ek407r</t>
        </is>
      </c>
      <c r="B8116" t="inlineStr">
        <is>
          <t>Questions from a newly diagnosed t1</t>
        </is>
      </c>
      <c r="C8116" t="inlineStr">
        <is>
          <t>Hello guys! So I'm sure you're sick of seeing these by now, but I was diagnosed with type 1 about 2 weeks ago. I have a few questions that I'd like advice from veteran diabetics, because to be quite honest I really don't know that much yet. Thank you in advance to anyone who answers these, they might be kinda a lot.
1. How long after diagnosis before I can start pumps or cgms? I'm using insulin pens and finger pricks. To be honest they are both quite a pain in the ass. But doctors said I have to wait before I can use all the fancy tech, but I really can't wait to be able to use them and am really looking forward to it.
2. Are there waterproof CGMs or pumps? I've tried researching but haven't found a definitive answer. Can you shower with them? And what about fully submerging them, like swimming for an hour?
3. How do you self inject in the arms? I use the method where I pinch the skin and inject, but I can only do that in the stomach. I have to ask other people for help in the arms because I can't pinch the skin and inject at the same time. I'm scared if I don't pinch then it'll hurt or I'll screw it up and inject in muscle.
4. What happens if I inject in the wrong place? I know insulin is a subcutaneous injection. What happens if I inject it in an area which doesn't have subcutaneous tissue? Is that even possible?
Thank you, my diabetic friends!</t>
        </is>
      </c>
      <c r="D8116" t="n">
        <v>0</v>
      </c>
      <c r="E8116" t="n">
        <v>25</v>
      </c>
      <c r="F8116">
        <f>HYPERLINK("https://www.reddit.com/r/diabetes/comments/ek407r/questions_from_a_newly_diagnosed_t1/")</f>
        <v/>
      </c>
      <c r="G8116" t="inlineStr">
        <is>
          <t>2020-01-04 14:58:44</t>
        </is>
      </c>
      <c r="H8116" t="inlineStr">
        <is>
          <t>Type 1</t>
        </is>
      </c>
    </row>
    <row r="8117">
      <c r="A8117" t="inlineStr">
        <is>
          <t>ek5f0a</t>
        </is>
      </c>
      <c r="B8117" t="inlineStr">
        <is>
          <t>Hello world!</t>
        </is>
      </c>
      <c r="C8117" t="inlineStr">
        <is>
          <t>Hey there peeper jeepers, I'm first of all, new to this subreddit. And second of all a semi newly diagnosed diabetic.
I got diagnosed over the summer of last year, and was taken to the doctors office because my mom sas me drink about 5-6L of liquid in a single day!
I was just wondering what other peoples experiences with diabetes are and what type, time of diagnosis and that kinda stuff were. If any of you aren't comfortable with sharing, don't feel obligated to do so! 
I just wanna hear some experiences and stories that y'all got!
Btw, I'm from Denmark so if you use American measurements, I won't understand, I don't speak freedom.
Hope you will share your stories and tales, and wish you all the best!</t>
        </is>
      </c>
      <c r="D8117" t="n">
        <v>2</v>
      </c>
      <c r="E8117" t="n">
        <v>14</v>
      </c>
      <c r="F8117">
        <f>HYPERLINK("https://www.reddit.com/r/diabetes/comments/ek5f0a/hello_world/")</f>
        <v/>
      </c>
      <c r="G8117" t="inlineStr">
        <is>
          <t>2020-01-04 16:47:46</t>
        </is>
      </c>
      <c r="H8117" t="inlineStr">
        <is>
          <t>Type 1</t>
        </is>
      </c>
    </row>
    <row r="8118">
      <c r="A8118" t="inlineStr">
        <is>
          <t>ek6zvz</t>
        </is>
      </c>
      <c r="B8118" t="inlineStr">
        <is>
          <t>The Weight</t>
        </is>
      </c>
      <c r="C8118" t="inlineStr">
        <is>
          <t xml:space="preserve">Diabetes has been apart of my life for a very long time though I was just diagnosed less than 2 months ago. My Father was diagnosed with diabetes at 36, the same age I am now. We're Native people from Canada and diabetes runs rampant among our small population. 
In remote areas where food supplies are flown in and the income level is low leaves many with little options. Fresh fruit and vegetables are rare and when they do come they have turned or are just too expensive to afford. Many of my people are dying young from diabetes. 
I am luckier, I was born and raised in a big city. Affordable fresh fruit and vegetables are just a block away. I have a diabetic care team including a nutritionist. Hospitals everywhere. But, what about those who don't want to take care of themselves? My Father was one of those people. 
Life was not easy for my Father. One of his first memories was being in a pickup truck going to get a haircut with his uncle and his cousins. They sat in the open back like most kids did in those days. Suddenly an accident, his cousin was thrown from the truck and died on impact. The weirdest part? After the body was taken, they still went for their haircuts. 
I never remember my Father counting carbs, doing his sugar testing. He was a simple man, went to work, came home to us kids. Never asked for much but a hot meal at the end of the day. He would pay dearly for this in his 50s. But, my Mother pled with him and if the most powerful woman I knew couldn't change him, nothing could. 
In his early 50s, he was no longer able to work so he retired on a medical basis. He sank into a pit of the deepest depression. He lost his closest sister in his 40s and he never really recovered. Life would only get more cruel from then. 
When he was 56 and I was 29 my Mother found a black spot on his foot. She told him to go see a doctor, he refused of course two weeks later it was almost all over his heel. He finally listened but it was too late. Amputation from the knee down. 
I remember coming into the hospital room, seeing my Father missing half his leg. Knowing that his life would never be the same. Married for 35 years, this took a fatal toll on my Mother. She died just two months after his operation. 
I sat with her body in the hospital room, waiting for the porter to take her. I promised her I would take care of my Father. It was a promise I kept until he died. 
My Father would suffer another blow, one that would never heal in his lifetime. My Brother became mentally ill. Though I tried to help him, he slipped through our grasp. My brother created his own world, with conspiracy theories of government officials who conspired to kill my Mother. He left our house in handcuffs after assaulting me. I never seen him again. All I know is he's out there and that he is still alive. 
It was pretty much just my Dad and I on our own after that. I have a sister but she has her own children. So, I took on the role of caregiver. There were times when he took care of himself. Took his insulin, watched his diet. Not for his benefit I think, probably mine. He knew I wasn't ready to be alone. Other times, he deflated like a flat tire. Diabetic Ketoacidosis would come on and into the hospital he would go. Until 2 years ago when he pushed it too far and he had a massive heart attack. They told us he was going to pass but the tough bastard fought his way back. Even ripped out his own life support when he came to. After that he promised to take care of himself and he did for the most part. He was not hospitalized again. 
But, I saw that he was getting tired. He could no longer walk on his good leg. He ate less and less. I would find him staring at my Mother's picture. I would hear him crying her name and my brothers name in his sleep. Like he was trying to save them and failed. 
He became worried about the cost I was paying being his caregiver. No children, not married. Working night shift to take him to his appointments during the day. But, I would have never left him, it was always going to be him that was going to do the leaving. 
Our last day together, he felt sick to his stomach. I thought great here we go again. But, he told me to go in for night shift and if he wasn't better in the morning we would go to the hospital. 
I had a sick feeling coming home that morning. I came home and found our cats outside his bedroom which was odd because they were stuck to him like glue. I looked in and knew he was dead and had been for sometime. Every nightmare I ever had, had come to pass. The paramedics came, the police came, the coroner came. Then the body removal came. As soon as he left, the apartment lost its warmth for me. 
Devastation is an understatement. His funeral passed in a blur. I am lucky to have a large extended family who made it so that I didn't have to worry about anything. I buried both of my parents ashes together in our family cemetery. 
I became aware a few weeks later of how thirsty I was since pretty much the hour he died. You would think that someone who has lived under the cloud of diabetes for a huge chunk of her life would have made the connection. But, I didn't. Maybe because my head was so foggy. My sister who is also a Type 1 diabetic like my Father finally got an inkling to check my sugar. It was 33. My vision was so blurry I could barely make out faces that were a few feet from me. I was taken into observation immediately at the hospital. The Doctor came in not to chide me but said a diabetics sugar shouldn't be that high. I told him, I am not a diabetic or at least I haven't been diagnosed. He said "jesus, that was a crappy way to tell you!" We both laughed and I said it was okay, I'm just glad to know I wasn't nuts. They flushed out my system and I waited for my sugar to go down. 
I dozed off here and there waiting. I would jolt awake because I felt someone holding my hand. I woke to find no one there. At one point, I swear to you, I saw my Father sitting beside me. Whether something paranormal or just a broken heart seeing the only person that could make it better, I can't say. But, I finally felt warmth again and the feeling that I wasn't alone and never would be.
A few days later, I was sitting outside the endocrinologists office in the hospital. I see a son pushing his elderly mother in a wheelchair. Listening with great attention at everything the doctor is saying. Then I realized in another life that was me. Trying to keep someone else alive. I think I did the best I could, my patient was difficult but also one of the two people in my life who have never let me down. 
I saw two roads before me clearly and I knew the one they wanted me to take. To be a good diabetic and do everything I was told. To trade fries for sweet potatoes, burgers for salmon and pop for water. So, I have. I've already dropped 14 pounds just from eating better, drinking water and walking. I still have hard days where getting out of bed seems like climbing a very big mountain and I feel like shit. When anxiety makes me fear every little symptom of my diabetes. But, I'm still going. 
Always remember those that love you may not have diabetes but they suffer when you do. When you don't take care of yourself, the toll that it takes to watch helplessly. Let them see you fight with everything you have. It will help them sleep at night. I have stood on their side and now on yours. Both are hard to do. </t>
        </is>
      </c>
      <c r="D8118" t="n">
        <v>17</v>
      </c>
      <c r="E8118" t="n">
        <v>12</v>
      </c>
      <c r="F8118">
        <f>HYPERLINK("https://www.reddit.com/r/diabetes/comments/ek6zvz/the_weight/")</f>
        <v/>
      </c>
      <c r="G8118" t="inlineStr">
        <is>
          <t>2020-01-04 18:58:50</t>
        </is>
      </c>
      <c r="H8118" t="inlineStr">
        <is>
          <t>Type 1</t>
        </is>
      </c>
    </row>
    <row r="8119">
      <c r="A8119" t="inlineStr">
        <is>
          <t>ek8lbh</t>
        </is>
      </c>
      <c r="B8119" t="inlineStr">
        <is>
          <t>Major change in meal time insulin</t>
        </is>
      </c>
      <c r="C8119" t="inlineStr">
        <is>
          <t>Over the past few weeks, I’ve had to go from a 13/1 ratio for meal time insulin to an 8/1 ratio. And it’s still not enough. Any reason why there is a sudden change?</t>
        </is>
      </c>
      <c r="D8119" t="n">
        <v>1</v>
      </c>
      <c r="E8119" t="n">
        <v>13</v>
      </c>
      <c r="F8119">
        <f>HYPERLINK("https://www.reddit.com/r/diabetes/comments/ek8lbh/major_change_in_meal_time_insulin/")</f>
        <v/>
      </c>
      <c r="G8119" t="inlineStr">
        <is>
          <t>2020-01-04 21:18:52</t>
        </is>
      </c>
      <c r="H8119" t="inlineStr">
        <is>
          <t>Type 1</t>
        </is>
      </c>
    </row>
    <row r="8120">
      <c r="A8120" t="inlineStr">
        <is>
          <t>ek90bb</t>
        </is>
      </c>
      <c r="B8120" t="inlineStr">
        <is>
          <t>Blood sugar spikes after meals and I don't know why :/</t>
        </is>
      </c>
      <c r="C8120" t="inlineStr">
        <is>
          <t>Despite taking enough insulin to cover my meals, it still spikes, even 4 hours after eating it'll continue to raise, despite my sugars being ok after an hour.
This has been a problem for me for a while, and my body seems to handle how it approaches insulin differently everyday.
And every time I try to ask my doctor what's wrong, he just tells me to take an amount of insulin, that I know will cause it to drop too quickly.</t>
        </is>
      </c>
      <c r="D8120" t="n">
        <v>2</v>
      </c>
      <c r="E8120" t="n">
        <v>5</v>
      </c>
      <c r="F8120">
        <f>HYPERLINK("https://www.reddit.com/r/diabetes/comments/ek90bb/blood_sugar_spikes_after_meals_and_i_dont_know_why/")</f>
        <v/>
      </c>
      <c r="G8120" t="inlineStr">
        <is>
          <t>2020-01-04 21:58:24</t>
        </is>
      </c>
      <c r="H8120" t="inlineStr">
        <is>
          <t>Type 1</t>
        </is>
      </c>
    </row>
    <row r="8121">
      <c r="A8121" t="inlineStr">
        <is>
          <t>ek9ane</t>
        </is>
      </c>
      <c r="B8121" t="inlineStr">
        <is>
          <t>Question about types of Glucometers &amp;amp; switching from finger poking to Continuous Glucose Monitoring</t>
        </is>
      </c>
      <c r="C8121" t="inlineStr">
        <is>
          <t>Hey everyone, T1 Diabetic for my entire life (28 now), and i've only ever used glucometers that require finger pokes for every reading, and the readings never leave my glucometer (no bluetooth or app, its an Accu-Chek Aviva). Looking into other options to help manage better and I'm not sure where to start. 
I heard I can get can a tester that can monitor my sugar levels through a chip (like a reader you stick on your arm). I'm from Canada, so i'm not sure what is available here compared to the US either. Is there anyplace I can check out more information about my options?</t>
        </is>
      </c>
      <c r="D8121" t="n">
        <v>1</v>
      </c>
      <c r="E8121" t="n">
        <v>4</v>
      </c>
      <c r="F8121">
        <f>HYPERLINK("https://www.reddit.com/r/diabetes/comments/ek9ane/question_about_types_of_glucometers_switching/")</f>
        <v/>
      </c>
      <c r="G8121" t="inlineStr">
        <is>
          <t>2020-01-04 22:26:27</t>
        </is>
      </c>
      <c r="H8121" t="inlineStr">
        <is>
          <t>Type 1</t>
        </is>
      </c>
    </row>
    <row r="8122">
      <c r="A8122" t="inlineStr">
        <is>
          <t>ek9wji</t>
        </is>
      </c>
      <c r="B8122" t="inlineStr">
        <is>
          <t>Sometimes I(F19) feel like my boyfriend (M21) doesn’t understand my illness. (Venting)</t>
        </is>
      </c>
      <c r="C8122" t="inlineStr">
        <is>
          <t>My boyfriend and I recently moved in together and he’s gotten to experience what it’s like to be in a relationship with a T1D (I also have Hashimotos and PCOS along with T1). I try my very best to keep my medical issues on the low, I don’t try to always talk about my blood sugar, and the carbs in foods, ketones, prescriptions, doctors, you name it. At first, he seemed interested and wanted to learn more about it. I opened up a bit and showed him what things meant and tried to explain things. He has recently seemed to get annoyed at anything medical that I talk about. He snapped at my the other night because my blood sugar was low and I couldn’t get a juice open and I asked him for help. He told me it’s really frustrating and he’s tired of it. He did apologize the next day for saying that. A few days after this incident, I was talking about how I feel sick from having a high blood sugar, and he got mad again and told me it’s all I talk about. (I try really hard to hide my diabetes). He always seems annoyed when my CGM is beeping or bothering him, so maybe a month back I turned his alarms on his phone to the very minimal. (He follows me on dexcom).  Anyways, tonight felt like the last straw for me, I woke him up and told him I had really high ketones (this doesn’t happen often), and he snapped his fingers and said “poof you’re fixed what do you want me to fucking do about it”. I just told him to go back to bed. He also seems to judge me often for how I handle my diabetes, he accuses me of not doing insulin when my blood sugars high, then gets annoyed when I try to explain that insulin doesn’t work immediately and takes time to kick in. Another thing that bothers me is how much I do for him. I’m always making his lunches, doing his laundry, paying his bills for him etc. (just because he pays our rent while I go to college) and it’s actually a lot of work. I do these things to help him, but he never does anything for me in return. I often find myself putting him before me and my disease. The truth is, I’m afraid of no one ever wanting to be with me because my medical issues bother them too much. At least he’s made me feel that way. Sorry for such a pity party, writing this post feels long overdue. Thank you for your time, offer any advice you’d like.❤️
TL;DR: My boyfriend seems to be annoyed by my medical issues because he’s “too drained from his job”, so I feel like I shouldn’t talk about it. I often feel like it’s hard for me to have close relationships with people because they often make a joke out of my diabetes, and I feel like it annoys them.</t>
        </is>
      </c>
      <c r="D8122" t="n">
        <v>1</v>
      </c>
      <c r="E8122" t="n">
        <v>13</v>
      </c>
      <c r="F8122">
        <f>HYPERLINK("https://www.reddit.com/r/diabetes/comments/ek9wji/sometimes_if19_feel_like_my_boyfriend_m21_doesnt/")</f>
        <v/>
      </c>
      <c r="G8122" t="inlineStr">
        <is>
          <t>2020-01-04 23:33:51</t>
        </is>
      </c>
      <c r="H8122" t="inlineStr">
        <is>
          <t>Type 1</t>
        </is>
      </c>
    </row>
    <row r="8123">
      <c r="A8123" t="inlineStr">
        <is>
          <t>eka3kg</t>
        </is>
      </c>
      <c r="B8123" t="inlineStr">
        <is>
          <t>Help to get back on track</t>
        </is>
      </c>
      <c r="C8123" t="inlineStr">
        <is>
          <t>Okay this may be a bit lengthy but here goes nothing 
I have been diabetic for 14 years, I used to check my blood as much as I needed for years amd years until like 3 years ago idk what happened with me but I started to just loose it. My a1c at one point was 14.0 seriously that's scared me and within a month I got it below 10 fast forward a few years and I'm noticing red flags. I rarely check my bloodsuger now due to me either loosing my insulin kit or just not thinking about it. There's been times I have completely ignored giving insulin  and lantis (I'm on shots) what I am afraid I've fallen is a bad cycle I have more than heard if what I could loose but I just can't keep to my schedule no matter what I try. 
I really need to get my shit together before  any real damage is done my job I am at I drive heavy equipment  and it's how I pay the bills 
Also on a side note how is college life as a diabetic? I'm starting community in about 10 days</t>
        </is>
      </c>
      <c r="D8123" t="n">
        <v>1</v>
      </c>
      <c r="E8123" t="n">
        <v>2</v>
      </c>
      <c r="F8123">
        <f>HYPERLINK("https://www.reddit.com/r/diabetes/comments/eka3kg/help_to_get_back_on_track/")</f>
        <v/>
      </c>
      <c r="G8123" t="inlineStr">
        <is>
          <t>2020-01-04 23:55:48</t>
        </is>
      </c>
      <c r="H8123" t="inlineStr">
        <is>
          <t>Type 1</t>
        </is>
      </c>
    </row>
    <row r="8124">
      <c r="A8124" t="inlineStr">
        <is>
          <t>ekakjw</t>
        </is>
      </c>
      <c r="B8124" t="inlineStr">
        <is>
          <t>Handling the pump in bed with someone</t>
        </is>
      </c>
      <c r="C8124" t="inlineStr">
        <is>
          <t>Hi! This might sound like a weird question but I wasn’t sure where else to turn to so here goes...
When I am ~being romantic~ with someone, I notice that my pump gets in the way which can be frustrating. I have to constantly move it so that it doesn’t get tangled, etc. etc.
So my question is, when you are doing stuff with someone in bed, do you take off your pump? And if so, do you run yourself on the higher or lower side? I’m afraid that I will take it off and forget about it and my blood sugars will run too high because I’m not getting the insulin. 
Thanks!</t>
        </is>
      </c>
      <c r="D8124" t="n">
        <v>1</v>
      </c>
      <c r="E8124" t="n">
        <v>10</v>
      </c>
      <c r="F8124">
        <f>HYPERLINK("https://www.reddit.com/r/diabetes/comments/ekakjw/handling_the_pump_in_bed_with_someone/")</f>
        <v/>
      </c>
      <c r="G8124" t="inlineStr">
        <is>
          <t>2020-01-05 00:50:25</t>
        </is>
      </c>
      <c r="H8124" t="inlineStr">
        <is>
          <t>Type 1</t>
        </is>
      </c>
    </row>
    <row r="8125">
      <c r="A8125" t="inlineStr">
        <is>
          <t>ekdo9m</t>
        </is>
      </c>
      <c r="B8125" t="inlineStr">
        <is>
          <t>New here, suprise diagnosis for my daughter.</t>
        </is>
      </c>
      <c r="C8125" t="inlineStr">
        <is>
          <t>Hey so yeah we never had an issue with anything related to sugar with my daughter, but Friday she was at the doctor and then told she needed to be at the ER. Now we're hoping we get to go home tonight.
My question for you guys is what's the easiest/best way to do these calculations of carbs?! Cayleigh, my daughter is doing amazing with everything but the counting of carbs and corrections are a bit confusing. She was diagnosed with type 1, if you all have any suggestions let me know. Thanks!
Also she was given an accucheck guide glucometer, is that one good? It'll pair to her phone to send the readings to myself and my wife automatically so I like that.</t>
        </is>
      </c>
      <c r="D8125" t="n">
        <v>2</v>
      </c>
      <c r="E8125" t="n">
        <v>14</v>
      </c>
      <c r="F8125">
        <f>HYPERLINK("https://www.reddit.com/r/diabetes/comments/ekdo9m/new_here_suprise_diagnosis_for_my_daughter/")</f>
        <v/>
      </c>
      <c r="G8125" t="inlineStr">
        <is>
          <t>2020-01-05 06:30:17</t>
        </is>
      </c>
      <c r="H8125" t="inlineStr">
        <is>
          <t>Type 1</t>
        </is>
      </c>
    </row>
    <row r="8126">
      <c r="A8126" t="inlineStr">
        <is>
          <t>ekn8tx</t>
        </is>
      </c>
      <c r="B8126" t="inlineStr">
        <is>
          <t>[small rant] I don't know what to eat anymore</t>
        </is>
      </c>
      <c r="C8126" t="inlineStr">
        <is>
          <t>I've had type 2 diabetes since I was a kid but I really didn't take it seriously and just stopped eating stuff that says "sugar" in them. I didn't know that it's not only "sugar" that increases your blood sugar levels until recently (I'm 22). So apparently everything I eat is bad for diabetics. (My diet is just pasta and fruits and bread every day every year). I tried stopping eating them and going full salad + meat but meat is expensive and I can't eat it every day and salad always leaves me super hungry. I only eat twice a day now. at launch and at dinner and almost nothing in between. at least my blood sugar isn't high anymore and I don't need to pump too much insulin into me.   
I still live with my parents and my mom is super sad about all of this and she gets really sad that I don't eat sweet fruit and bread anymore and doesn't know what to prepare for me anymore.   
feel free to ignore the post it's just a small rant that I wanted to post somewhere and maybe share some tasty and healthy food I can eat every day.</t>
        </is>
      </c>
      <c r="D8126" t="n">
        <v>1</v>
      </c>
      <c r="E8126" t="n">
        <v>29</v>
      </c>
      <c r="F8126">
        <f>HYPERLINK("https://www.reddit.com/r/diabetes/comments/ekn8tx/small_rant_i_dont_know_what_to_eat_anymore/")</f>
        <v/>
      </c>
      <c r="G8126" t="inlineStr">
        <is>
          <t>2020-01-05 18:21:27</t>
        </is>
      </c>
      <c r="H8126" t="inlineStr">
        <is>
          <t>Type 2</t>
        </is>
      </c>
    </row>
    <row r="8127">
      <c r="A8127" t="inlineStr">
        <is>
          <t>ekwlb2</t>
        </is>
      </c>
      <c r="B8127" t="inlineStr">
        <is>
          <t>Goodbye CGM and Insulin!</t>
        </is>
      </c>
      <c r="C8127" t="inlineStr">
        <is>
          <t>After using a CGM (Dexcom G6) for a year, I finally have my Diabetes (T2) under control. I plan on going back to 4 sticks a day and no CGM once my sensors run out. I am also on meds only and no more insulin! Thanks for all of the inspiration and tips to help get my glucose under control!</t>
        </is>
      </c>
      <c r="D8127" t="n">
        <v>1</v>
      </c>
      <c r="E8127" t="n">
        <v>31</v>
      </c>
      <c r="F8127">
        <f>HYPERLINK("https://www.reddit.com/r/diabetes/comments/ekwlb2/goodbye_cgm_and_insulin/")</f>
        <v/>
      </c>
      <c r="G8127" t="inlineStr">
        <is>
          <t>2020-01-06 08:44:45</t>
        </is>
      </c>
      <c r="H8127" t="inlineStr">
        <is>
          <t>Type 2</t>
        </is>
      </c>
    </row>
    <row r="8128">
      <c r="A8128" t="inlineStr">
        <is>
          <t>ekyjd2</t>
        </is>
      </c>
      <c r="B8128" t="inlineStr">
        <is>
          <t>Back to Meal Time Insulin for Me</t>
        </is>
      </c>
      <c r="C8128" t="inlineStr">
        <is>
          <t>Apologies for mobile formatting and yada yada yada. 
I was diagnosed type 2 about 7 years ago. I got a handle on things pretty quickly and since diagnosis have had near perfect A1c levels. We are talking 5s all across the board. 
Then in summer of 2018 I broke my wrist and was given cortisone injections during the healing process to reduce swelling and pain. My numbers skyrocketed , but I was told it would be temporary. It’s been a year since the last shot, numbers are still high. By high I mean 150-200 range and climbing. 
Today, I go to work, and almost as soon as I sit down, I realize I am sweating hard core. My eyes won’t focus, my brain won’t focus, and I’m feeling like I just finished a marathon. All I had for breakfast was a Greek yogurt that was ~20 carbs. I manage to hold on two hours til my first break. I stick my finger and WOW 328. 
I called my doctor and he says that the cortisone can sometimes do long term damage to sugar control. I haven’t had to use meal time insulin since about a year after my diagnosis, but he says now is time to go backward. He is adding meal time and sliding scale again so lord knows how many shots a day I will have to take now. 
I was down to ONE SHOT. I am so disheartened.</t>
        </is>
      </c>
      <c r="D8128" t="n">
        <v>1</v>
      </c>
      <c r="E8128" t="n">
        <v>3</v>
      </c>
      <c r="F8128">
        <f>HYPERLINK("https://www.reddit.com/r/diabetes/comments/ekyjd2/back_to_meal_time_insulin_for_me/")</f>
        <v/>
      </c>
      <c r="G8128" t="inlineStr">
        <is>
          <t>2020-01-06 11:03:10</t>
        </is>
      </c>
      <c r="H8128" t="inlineStr">
        <is>
          <t>Type 2</t>
        </is>
      </c>
    </row>
    <row r="8129">
      <c r="A8129" t="inlineStr">
        <is>
          <t>ekzsnh</t>
        </is>
      </c>
      <c r="B8129" t="inlineStr">
        <is>
          <t>i have DKA and im currently beating DKA until they cannot handle no more!</t>
        </is>
      </c>
      <c r="C8129" t="inlineStr">
        <is>
          <t>im currently beating DKA and i noticed how DKA works. They give me 
1. Frequent goosebumps
2. Frequent yawning/tiredness
3. Frequent peeing 
4. Frequent farting/pooping
5. Frequent burping
6. Frequent muscle spasms
7. Frequent sweat 
i cannot wait to see DKA finally give up. So i can start having my own energy and put some work in my study!</t>
        </is>
      </c>
      <c r="D8129" t="n">
        <v>1</v>
      </c>
      <c r="E8129" t="n">
        <v>0</v>
      </c>
      <c r="F8129">
        <f>HYPERLINK("https://www.reddit.com/r/diabetes/comments/ekzsnh/i_have_dka_and_im_currently_beating_dka_until/")</f>
        <v/>
      </c>
      <c r="G8129" t="inlineStr">
        <is>
          <t>2020-01-06 12:29:54</t>
        </is>
      </c>
      <c r="H8129" t="inlineStr">
        <is>
          <t>Type 1</t>
        </is>
      </c>
    </row>
    <row r="8130">
      <c r="A8130" t="inlineStr">
        <is>
          <t>el395o</t>
        </is>
      </c>
      <c r="B8130" t="inlineStr">
        <is>
          <t>Are the Dexcom G6 sensor installer things recyclable?</t>
        </is>
      </c>
      <c r="C8130" t="inlineStr">
        <is>
          <t>Specifically these things:  [https://imgur.com/a/clyuOkI](https://imgur.com/a/clyuOkI) 
I called Dexcom, they said dispose of them in normal household trash. I somehow dont believe them, but I want to believe the internet? Is Dexcom wrong? Can I help save the earth and throw it in normal household recycling?</t>
        </is>
      </c>
      <c r="D8130" t="n">
        <v>1</v>
      </c>
      <c r="E8130" t="n">
        <v>6</v>
      </c>
      <c r="F8130">
        <f>HYPERLINK("https://www.reddit.com/r/diabetes/comments/el395o/are_the_dexcom_g6_sensor_installer_things/")</f>
        <v/>
      </c>
      <c r="G8130" t="inlineStr">
        <is>
          <t>2020-01-06 16:34:05</t>
        </is>
      </c>
      <c r="H8130" t="inlineStr">
        <is>
          <t>Type 1</t>
        </is>
      </c>
    </row>
    <row r="8131">
      <c r="A8131" t="inlineStr">
        <is>
          <t>el5rgl</t>
        </is>
      </c>
      <c r="B8131" t="inlineStr">
        <is>
          <t>The blessing and a curse of my child's Dexcom</t>
        </is>
      </c>
      <c r="C8131" t="inlineStr">
        <is>
          <t>This device is a blessing and a curse. My daughter is 3 years old and has a Dexcom G5. We have been using it for about 6 months. 
It allows us to detect hypos quickly, as our 3 year old really cannot communicate when she is feeling like she is having a low. It gives us good information on what various foods are doing to her sugar levels and the long term a1c.
Maintaining this device on a lean 3 year old is frankly a giant pain and stressful. The sensors almost never last the full 7 days. We have had about 10 sensors changed under warranty in the last three months.
We also now moved the sensor sites from the lower back to the lower stomach, but this is now causing some pain. It seems according to Dexcom support that we also need to keep her hydrated, stop her sensor failing at times. Hard in this hot Australian summer weather. 
My daughter is lean and this creates more problems with the sensor.
My wife is over this device, and I can understand her frustration. But its a valuable tool and we both want to keep our daughter healthy. 
Does anyone have the same string of issues with the Dexcom G5 on their young child? Is there something else people have found helps with reliability the G5 on children?</t>
        </is>
      </c>
      <c r="D8131" t="n">
        <v>1</v>
      </c>
      <c r="E8131" t="n">
        <v>6</v>
      </c>
      <c r="F8131">
        <f>HYPERLINK("https://www.reddit.com/r/diabetes/comments/el5rgl/the_blessing_and_a_curse_of_my_childs_dexcom/")</f>
        <v/>
      </c>
      <c r="G8131" t="inlineStr">
        <is>
          <t>2020-01-06 19:46:09</t>
        </is>
      </c>
      <c r="H8131" t="inlineStr">
        <is>
          <t>Type 1</t>
        </is>
      </c>
    </row>
    <row r="8132">
      <c r="A8132" t="inlineStr">
        <is>
          <t>elaimb</t>
        </is>
      </c>
      <c r="B8132" t="inlineStr">
        <is>
          <t>A little story and question</t>
        </is>
      </c>
      <c r="C8132" t="inlineStr">
        <is>
          <t>I was just thinking back to a Time back in middle school (I’m out of high school now ) when I was at my cousins hotel party , I was then on the Omni pod but forgot to bring extra, they went swimming that night in the hotel lobby so I joined them and it came off, but I didn’t think too much of it , We then went upstairs and ate like Kings, I was on literally 0 insulin, I drank a whole LITER and a HALF of pop my self and didn’t correct at all, I then went to sleep, I thankfully woke up the next morning and I was sick as hell, my stomach was about to explode I couldn’t use the bathroom and felt like throwing up , I still went through almost half that day with no insulin ,  I somehow made it home at around 6 and gave my self insulin but this raises the question , I know for sure my blood sugar was at an UNTHINKABLE level for sure above 900-1k the whole night while I was sleep , I thought when your blood sugar is that out of control that you can’t come back from such , not trying to self support my terrible acts but what do you guys think prevented me from going out ?</t>
        </is>
      </c>
      <c r="D8132" t="n">
        <v>1</v>
      </c>
      <c r="E8132" t="n">
        <v>1</v>
      </c>
      <c r="F8132">
        <f>HYPERLINK("https://www.reddit.com/r/diabetes/comments/elaimb/a_little_story_and_question/")</f>
        <v/>
      </c>
      <c r="G8132" t="inlineStr">
        <is>
          <t>2020-01-07 03:46:52</t>
        </is>
      </c>
      <c r="H8132" t="inlineStr">
        <is>
          <t>Type 1</t>
        </is>
      </c>
    </row>
    <row r="8133">
      <c r="A8133" t="inlineStr">
        <is>
          <t>eldeh2</t>
        </is>
      </c>
      <c r="B8133" t="inlineStr">
        <is>
          <t>T2 looking for tips</t>
        </is>
      </c>
      <c r="C8133" t="inlineStr">
        <is>
          <t>I was just diagnosed T2 in July 2019 and I manage with diet and medication (no insulin). I’ve developed a cold and this is my first time being sick as a diabetic. 
My sugars are a lot higher than normal, which I understand, but my question is what can I do to help this? I haven’t eaten since dinner last night (8pmish - chicken breast and steamed broccoli) and it is now 10am (been awake since 8 just laying in bed praying for death lol). I just tested and I’m at 7.6  instead of my normal 5.7-6ish that I wake up with. 
Any advice on bringing down my sugars or do I just have to ride this out? Also do I need to look for anything specific with cold and flu meds?
TIA!</t>
        </is>
      </c>
      <c r="D8133" t="n">
        <v>1</v>
      </c>
      <c r="E8133" t="n">
        <v>6</v>
      </c>
      <c r="F8133">
        <f>HYPERLINK("https://www.reddit.com/r/diabetes/comments/eldeh2/t2_looking_for_tips/")</f>
        <v/>
      </c>
      <c r="G8133" t="inlineStr">
        <is>
          <t>2020-01-07 08:01:02</t>
        </is>
      </c>
      <c r="H8133" t="inlineStr">
        <is>
          <t>Type 2</t>
        </is>
      </c>
    </row>
    <row r="8134">
      <c r="A8134" t="inlineStr">
        <is>
          <t>ell4hz</t>
        </is>
      </c>
      <c r="B8134" t="inlineStr">
        <is>
          <t>I’ve lost my drive...</t>
        </is>
      </c>
      <c r="C8134" t="inlineStr">
        <is>
          <t>Alright well enough of my memes that I post to this subreddit. For the past few months, I’ve begun to really slack off in my diabetes and I can see it’s affects on my health. I’ve had diabetes for almost 16 years now and I am so exhausted on focusing to give insulin, test my BGL and all that. 
I’ve recently just had a rollercoaster of BGLs throughout my day and I don’t dare tell my parents because they’ll feel awful about not knowing. I don’t know why I’ve become so lazy with it but I just can’t get back into the rhythm. It could be that I’ve finished high school and been incredibly busy the past few months but even then.
Does anybody have a similar situation or even own experiences? It would really help me out.</t>
        </is>
      </c>
      <c r="D8134" t="n">
        <v>1</v>
      </c>
      <c r="E8134" t="n">
        <v>30</v>
      </c>
      <c r="F8134">
        <f>HYPERLINK("https://www.reddit.com/r/diabetes/comments/ell4hz/ive_lost_my_drive/")</f>
        <v/>
      </c>
      <c r="G8134" t="inlineStr">
        <is>
          <t>2020-01-07 17:09:49</t>
        </is>
      </c>
      <c r="H8134" t="inlineStr">
        <is>
          <t>Type 1</t>
        </is>
      </c>
    </row>
    <row r="8135">
      <c r="A8135" t="inlineStr">
        <is>
          <t>elob9o</t>
        </is>
      </c>
      <c r="B8135" t="inlineStr">
        <is>
          <t>A1C finally under 6.0</t>
        </is>
      </c>
      <c r="C8135" t="inlineStr">
        <is>
          <t>So was diagnosed in May last year, finally got my A1C to 5.7. Good luck to everyone out here.</t>
        </is>
      </c>
      <c r="D8135" t="n">
        <v>1</v>
      </c>
      <c r="E8135" t="n">
        <v>12</v>
      </c>
      <c r="F8135">
        <f>HYPERLINK("https://www.reddit.com/r/diabetes/comments/elob9o/a1c_finally_under_60/")</f>
        <v/>
      </c>
      <c r="G8135" t="inlineStr">
        <is>
          <t>2020-01-07 21:26:26</t>
        </is>
      </c>
      <c r="H8135" t="inlineStr">
        <is>
          <t>Type 2</t>
        </is>
      </c>
    </row>
    <row r="8136">
      <c r="A8136" t="inlineStr">
        <is>
          <t>elrg79</t>
        </is>
      </c>
      <c r="B8136" t="inlineStr">
        <is>
          <t>Recently diagnosed</t>
        </is>
      </c>
      <c r="C8136" t="inlineStr">
        <is>
          <t>With type 2, very scared, on a strict diet and proper half hour jogging. What will happen to me? What are some good tips to manage it?</t>
        </is>
      </c>
      <c r="D8136" t="n">
        <v>1</v>
      </c>
      <c r="E8136" t="n">
        <v>13</v>
      </c>
      <c r="F8136">
        <f>HYPERLINK("https://www.reddit.com/r/diabetes/comments/elrg79/recently_diagnosed/")</f>
        <v/>
      </c>
      <c r="G8136" t="inlineStr">
        <is>
          <t>2020-01-08 03:20:51</t>
        </is>
      </c>
      <c r="H8136" t="inlineStr">
        <is>
          <t>Type 2</t>
        </is>
      </c>
    </row>
    <row r="8137">
      <c r="A8137" t="inlineStr">
        <is>
          <t>elxis0</t>
        </is>
      </c>
      <c r="B8137" t="inlineStr">
        <is>
          <t>Activating a libre sensor with miaomiao</t>
        </is>
      </c>
      <c r="C8137" t="inlineStr">
        <is>
          <t>I am new to this so, is it possible to activate a new sensor normally with the abott app and then also use with tomato/gimp after attaching the miaomiao?
Also - is it possible to activate a new sensor with both the actual abott reader as well as an nfc phone? Last time I could only activate with the phone, which is way more convenient than carrying a reader around obviously..</t>
        </is>
      </c>
      <c r="D8137" t="n">
        <v>1</v>
      </c>
      <c r="E8137" t="n">
        <v>9</v>
      </c>
      <c r="F8137">
        <f>HYPERLINK("https://www.reddit.com/r/diabetes/comments/elxis0/activating_a_libre_sensor_with_miaomiao/")</f>
        <v/>
      </c>
      <c r="G8137" t="inlineStr">
        <is>
          <t>2020-01-08 11:30:26</t>
        </is>
      </c>
      <c r="H8137" t="inlineStr">
        <is>
          <t>Type 1</t>
        </is>
      </c>
    </row>
    <row r="8138">
      <c r="A8138" t="inlineStr">
        <is>
          <t>elyjdi</t>
        </is>
      </c>
      <c r="B8138" t="inlineStr">
        <is>
          <t>Glucose Tablets</t>
        </is>
      </c>
      <c r="C8138" t="inlineStr">
        <is>
          <t>Who here has experience with glucose tablets? I'm tired of having extreme munchies anytime my blood sugar's low and wonder if anyone here has noticed better control of their blood sugar with glucose tablets. I'm also wondering if there are specific brands that are better than others. Any insight is appreciated, thanks!</t>
        </is>
      </c>
      <c r="D8138" t="n">
        <v>1</v>
      </c>
      <c r="E8138" t="n">
        <v>10</v>
      </c>
      <c r="F8138">
        <f>HYPERLINK("https://www.reddit.com/r/diabetes/comments/elyjdi/glucose_tablets/")</f>
        <v/>
      </c>
      <c r="G8138" t="inlineStr">
        <is>
          <t>2020-01-08 12:41:45</t>
        </is>
      </c>
      <c r="H8138" t="inlineStr">
        <is>
          <t>Type 1</t>
        </is>
      </c>
    </row>
    <row r="8139">
      <c r="A8139" t="inlineStr">
        <is>
          <t>em0adu</t>
        </is>
      </c>
      <c r="B8139" t="inlineStr">
        <is>
          <t>Stomach issues, freezing hands, and frequent headaches.</t>
        </is>
      </c>
      <c r="C8139" t="inlineStr">
        <is>
          <t>Hi all,
Frequent poster here. First off thank you everyone who gives input. Its beyond valuable. I have another question. For the last 3 weeks my food intake is significantly down.  Here is how my days have been going as of late.
Wake up around 545 ET check sugar. between 90-115
Eat 1 triple zero yogurt around 630
check sugar at work around 830 usually 120
snack usually consisting of jerky or something high in protein around 9. 
Go on a walk 30 minutes around 1030
check sugar again at around 1130 usually 120 or higher 
take humalog, and possibly eat something very small for lunch. Salad, last nights dinner etc.
Get home around 6 check sugar. back up to 120 
take 2 units of humalog.
just before bed around 830 check sugar between 90-110
830-9 10 units of basalgar.
My issue is I cannot seem to eat. At least 1 meal per day makes my stomach horribly upset. I've been noticing that my sugars are usually around 110-120 on average, and at this level I'm usually fine. For the last week I've been unable to eat 3 meals. Usually just 2. Yesterday all I ate was a yogurt, a couple bits of ginger salad miso soup and 3 pieces of sushi. Today. Eggs, Bacon 8 blueberries 2 strawberries, and small bag of skinny pop. I'm assuming that I have gastroparesis. Is there anything in the short term that I can take to easy some of the discomfort I'm in?  I also seem to get ice cold hands, and chronic daily headaches. I figure someone here might have some advice on something that I can do.</t>
        </is>
      </c>
      <c r="D8139" t="n">
        <v>1</v>
      </c>
      <c r="E8139" t="n">
        <v>5</v>
      </c>
      <c r="F8139">
        <f>HYPERLINK("https://www.reddit.com/r/diabetes/comments/em0adu/stomach_issues_freezing_hands_and_frequent/")</f>
        <v/>
      </c>
      <c r="G8139" t="inlineStr">
        <is>
          <t>2020-01-08 14:44:13</t>
        </is>
      </c>
      <c r="H8139" t="inlineStr">
        <is>
          <t>Type 2</t>
        </is>
      </c>
    </row>
    <row r="8140">
      <c r="A8140" t="inlineStr">
        <is>
          <t>em0l6q</t>
        </is>
      </c>
      <c r="B8140" t="inlineStr">
        <is>
          <t>My Daughter (5 y/o) was just diagnosed with Type 1.</t>
        </is>
      </c>
      <c r="C8140" t="inlineStr">
        <is>
          <t>For the past few weeks, my daughter slowly became very lethargic, very thirsty, and very tired. This was never a problem for her, so it prompted my wife and I to schedule an appointment with her pediatrician, to later confirm through glucose tests that she is indeed type 1.
This is new to me. I've never known anyone close to me who has had diabetes. I don't know what there is to endure, and frankly, I'm a little scared I'm not gonna lie. I'm turning to this community in hopes for support and advice.
As a father, what should I expect?
What can I do to comfort my daughter through this new change for her?
What will her life be like?
I understand if this gave some of you a laugh cause you may have lived through this, but it's new to me, and it's something I never went through, which means I can't relate to my daughter, or share her feelings.</t>
        </is>
      </c>
      <c r="D8140" t="n">
        <v>1</v>
      </c>
      <c r="E8140" t="n">
        <v>12</v>
      </c>
      <c r="F8140">
        <f>HYPERLINK("https://www.reddit.com/r/diabetes/comments/em0l6q/my_daughter_5_yo_was_just_diagnosed_with_type_1/")</f>
        <v/>
      </c>
      <c r="G8140" t="inlineStr">
        <is>
          <t>2020-01-08 15:06:30</t>
        </is>
      </c>
      <c r="H8140" t="inlineStr">
        <is>
          <t>Type 1</t>
        </is>
      </c>
    </row>
    <row r="8141">
      <c r="A8141" t="inlineStr">
        <is>
          <t>em4zca</t>
        </is>
      </c>
      <c r="B8141" t="inlineStr">
        <is>
          <t>I am in tears, horrible situation humiliating</t>
        </is>
      </c>
      <c r="C8141" t="inlineStr">
        <is>
          <t>I'm crying. So me and my boyfriend went to starbucks and before we went in I checked my sugar and gave myself an insulin shot. My boyfriend and I were in Starbucks sitting in there for a bit enjoying our time and when we were getting up to leave a cop came in. He asked us hey is that your car, we said yes and he asked to talk to us outside. He looked at me and said someone called because they "saw me shooting up drugs". I instantly burst into tears I told the cop I'm sorry I'm a diabetic I was taking my insulin. I showed him it and everything, he was nice about it and said I seemed normal and he could tell I wasn't high. It's a insulin pen too so can't be as easily mistaken like a normal syringe but I guess people are too fucking stupid. It's so damn frustrating because it's like when someone first finds out you're diabetic they want to be all "omg that sucks I'm so sorry" and micro manage you with the "you shouldn't eat that" "can you eat that?" But as soon as the insulin comes out that forget that diabetes is a thing and they're just like "DRUGS!!!!" At least in my experience. I'm still very new diagnosed  4 and a half months ago and this is the first time this has happen to me and my biggest fear of why I don't do it in public.</t>
        </is>
      </c>
      <c r="D8141" t="n">
        <v>1</v>
      </c>
      <c r="E8141" t="n">
        <v>71</v>
      </c>
      <c r="F8141">
        <f>HYPERLINK("https://www.reddit.com/r/diabetes/comments/em4zca/i_am_in_tears_horrible_situation_humiliating/")</f>
        <v/>
      </c>
      <c r="G8141" t="inlineStr">
        <is>
          <t>2020-01-08 21:04:32</t>
        </is>
      </c>
      <c r="H8141" t="inlineStr">
        <is>
          <t>Type 1</t>
        </is>
      </c>
    </row>
    <row r="8142">
      <c r="A8142" t="inlineStr">
        <is>
          <t>em7yb5</t>
        </is>
      </c>
      <c r="B8142" t="inlineStr">
        <is>
          <t>Is there any evidence to suggest our immune systems are in constant overdrive? (Type 1)</t>
        </is>
      </c>
      <c r="C8142" t="inlineStr">
        <is>
          <t>What I mean is our bodies attack our pancreas and cause an auto-immune disease, then you can also have other auto immune diseases at a higher likelyhood if you suffer from type 1 diabetes.
On the other hand.... im never poorly, people around me catch colds, flus, sickness bugs, all sorts, especially at this time of year, i've had my flu jab fair enough, but still, i'm never full on bad, even when surrounded by ill people. So i've been thinking, and ive spoken to some type 1 diabetics who are the same, who are also hardly ever ill, is our immune system in constant overdrive or something? Before I got diabetes at 15 I was always bad, and now im 24 i've been ill a handful of times but that might just be because i'm young.</t>
        </is>
      </c>
      <c r="D8142" t="n">
        <v>1</v>
      </c>
      <c r="E8142" t="n">
        <v>8</v>
      </c>
      <c r="F8142">
        <f>HYPERLINK("https://www.reddit.com/r/diabetes/comments/em7yb5/is_there_any_evidence_to_suggest_our_immune/")</f>
        <v/>
      </c>
      <c r="G8142" t="inlineStr">
        <is>
          <t>2020-01-09 02:40:31</t>
        </is>
      </c>
      <c r="H8142" t="inlineStr">
        <is>
          <t>Type 1</t>
        </is>
      </c>
    </row>
    <row r="8143">
      <c r="A8143" t="inlineStr">
        <is>
          <t>em8mk0</t>
        </is>
      </c>
      <c r="B8143" t="inlineStr">
        <is>
          <t>I think I'm in minor shock</t>
        </is>
      </c>
      <c r="C8143" t="inlineStr">
        <is>
          <t>My parents work overseas, which is relevant. Basically I was diagnosed with T1 in November after going into DKA and a hospital stay. Insurance covered everything from the insulin to the lancets all November and December and then I went in for my appointment today and they told us the insurance had run out. I have to go again next week and then every month, plus my parents are moving to a different country in July and I'm going off to college in Europe so I'm stocking up on insulin. My dads a teacher so this is a massive financial burden on us and I'm not really sure what to do. Insulin isn't as expensive here as other countries but it still adds up and I feel like a financial burden on my parents. I don't really need any advice I guess I just wanted to put this somewhere people would understand.</t>
        </is>
      </c>
      <c r="D8143" t="n">
        <v>1</v>
      </c>
      <c r="E8143" t="n">
        <v>7</v>
      </c>
      <c r="F8143">
        <f>HYPERLINK("https://www.reddit.com/r/diabetes/comments/em8mk0/i_think_im_in_minor_shock/")</f>
        <v/>
      </c>
      <c r="G8143" t="inlineStr">
        <is>
          <t>2020-01-09 03:54:46</t>
        </is>
      </c>
      <c r="H8143" t="inlineStr">
        <is>
          <t>Type 1</t>
        </is>
      </c>
    </row>
    <row r="8144">
      <c r="A8144" t="inlineStr">
        <is>
          <t>em987j</t>
        </is>
      </c>
      <c r="B8144" t="inlineStr">
        <is>
          <t>Dexcom reansition prescription</t>
        </is>
      </c>
      <c r="C8144" t="inlineStr">
        <is>
          <t>Hell all my insurance will be transitioning from Abbott freestyle to Dexcom when I initial started using a CGM (freestyle) there was a huge misunderstanding with the doctor and pharmacy since neither had issued this item took about 2 weeks to sort out.. due to  insurance etc... When I go to the doctor I will have him write a prescription for the dexcom reader and sensor is there any else that I need to have him write a prescription for I see the patch that's attached to the skin that the sensor is attached too .. is that a separate piece that a prescription is required for any help to mitigate another debacle is greatly appreciated ... Thanks in advance</t>
        </is>
      </c>
      <c r="D8144" t="n">
        <v>1</v>
      </c>
      <c r="E8144" t="n">
        <v>1</v>
      </c>
      <c r="F8144">
        <f>HYPERLINK("https://www.reddit.com/r/diabetes/comments/em987j/dexcom_reansition_prescription/")</f>
        <v/>
      </c>
      <c r="G8144" t="inlineStr">
        <is>
          <t>2020-01-09 04:52:44</t>
        </is>
      </c>
      <c r="H8144" t="inlineStr">
        <is>
          <t>Type 2</t>
        </is>
      </c>
    </row>
    <row r="8145">
      <c r="A8145" t="inlineStr">
        <is>
          <t>em9l5y</t>
        </is>
      </c>
      <c r="B8145" t="inlineStr">
        <is>
          <t>DISSERTATION PROJECT - ONLINE SURVEY FOR TYPE 1 DIABETICS</t>
        </is>
      </c>
      <c r="C8145" t="inlineStr">
        <is>
          <t>Hello, I am a third year undergraduate psychology student within the Health and Life Sciences department at Northumbria University, carrying out my final year Bachelor’s project. I am conducting an online survey studying gender differences in social support networks and mental well-being among Type 1 diabetics. This study will take approximately 10 minutes to complete and results will remain anonymous. 
Reminder: Only over 18’s and those with a diagnosis of Type 1 diabetes are eligible to take part in this study. 
If you are interested in taking part, please follow the link provided  [https://nupsych.qualtrics.com/jfe/form/SV\_1YvVyTQe3tkyRMh](https://nupsych.qualtrics.com/jfe/form/SV_1YvVyTQe3tkyRMh) 
If you have any questions, please contact me via email [tian.cheyne@northumbria.ac.uk](mailto:tian.cheyne@northumbria.ac.uk)</t>
        </is>
      </c>
      <c r="D8145" t="n">
        <v>1</v>
      </c>
      <c r="E8145" t="n">
        <v>6</v>
      </c>
      <c r="F8145">
        <f>HYPERLINK("https://www.reddit.com/r/diabetes/comments/em9l5y/dissertation_project_online_survey_for_type_1/")</f>
        <v/>
      </c>
      <c r="G8145" t="inlineStr">
        <is>
          <t>2020-01-09 05:24:41</t>
        </is>
      </c>
      <c r="H8145" t="inlineStr">
        <is>
          <t>Type 1</t>
        </is>
      </c>
    </row>
    <row r="8146">
      <c r="A8146" t="inlineStr">
        <is>
          <t>embomd</t>
        </is>
      </c>
      <c r="B8146" t="inlineStr">
        <is>
          <t>28F. Since being diagnosed a year and a half ago, I haven’t felt sexy.</t>
        </is>
      </c>
      <c r="C8146" t="inlineStr">
        <is>
          <t>This might be too much information, but I’m at my wits end. I haven’t felt sexy or in the mood since I was diagnosed and it’s really starting to affect my self esteem and emotional/mental health. My husband has been really supportive and I’m seeing a therapist to work on some of my feelings about diabetes but nothing seems to be helping. My sugars are pretty good, with my last A1C being under 6.5, so I don’t think it’s a physiology issue. I use a dexcom g5 and insulin pens. 
I know it’s a big adjustment getting used to true new normal  of living with any chronic condition, but this just seems like it’s taking forever. 
Anyone have any advice?</t>
        </is>
      </c>
      <c r="D8146" t="n">
        <v>1</v>
      </c>
      <c r="E8146" t="n">
        <v>4</v>
      </c>
      <c r="F8146">
        <f>HYPERLINK("https://www.reddit.com/r/diabetes/comments/embomd/28f_since_being_diagnosed_a_year_and_a_half_ago_i/")</f>
        <v/>
      </c>
      <c r="G8146" t="inlineStr">
        <is>
          <t>2020-01-09 08:06:58</t>
        </is>
      </c>
      <c r="H8146" t="inlineStr">
        <is>
          <t>Type 1.5/LADA</t>
        </is>
      </c>
    </row>
    <row r="8147">
      <c r="A8147" t="inlineStr">
        <is>
          <t>emgb9q</t>
        </is>
      </c>
      <c r="B8147" t="inlineStr">
        <is>
          <t>What would happen if a type 1 drank an entire whiskey bottle? Would an alcohol hypoglycemic death hurt?</t>
        </is>
      </c>
      <c r="C8147" t="inlineStr">
        <is>
          <t>I don’t need a pity party, I just need some information about what it would be like. I assume at a certain point I’d pass out from the low, and the drunkenness, but how sure of a thing would it be? How likely is it to fail, and how damaging would that be to my body? When I have a shot it can drop me very quickly and it stays low for a while, so I assume if I drink a bottle that would take me out of the picture. Again, not looking for a hotline number, or pity, I just need info and can’t really find it on google</t>
        </is>
      </c>
      <c r="D8147" t="n">
        <v>1</v>
      </c>
      <c r="E8147" t="n">
        <v>5</v>
      </c>
      <c r="F8147">
        <f>HYPERLINK("https://www.reddit.com/r/diabetes/comments/emgb9q/what_would_happen_if_a_type_1_drank_an_entire/")</f>
        <v/>
      </c>
      <c r="G8147" t="inlineStr">
        <is>
          <t>2020-01-09 13:30:00</t>
        </is>
      </c>
      <c r="H8147" t="inlineStr">
        <is>
          <t>Type 1</t>
        </is>
      </c>
    </row>
    <row r="8148">
      <c r="A8148" t="inlineStr">
        <is>
          <t>emgjhq</t>
        </is>
      </c>
      <c r="B8148" t="inlineStr">
        <is>
          <t>Genetics Of Type II Diabetes</t>
        </is>
      </c>
      <c r="C8148" t="inlineStr">
        <is>
          <t>## Type 2 diabetes is multifactorial
Type 2 diabetes is one of the most widely studied multifactorial disease. It is influenced by environmental and genetic factors and there are many factors that can lead to the triggering of this metabolic disorder.
The primary risk factors associated with prediabetes and diabetes include obesity, inactive lifestyle, high cholesterol levels, high blood pressure, family history and genetic susceptibility.
The heritability of type 2 diabetes ranges from 20% to 80%. The lifetime risk of developing type 2 diabetes is 40% in individuals who have one diabetic parent and the risk if increased to 70% if both parents are affected. There is a thrice the risk for first degree relatives of people with type 2 diabetes to develop the disease as compared to individuals without any [family history of diabetes](https://www.ncbi.nlm.nih.gov/pmc/articles/PMC3746083/).
## Genetic Factors
Genetic studies of type 2 diabetes have revealed the role of various genes, including caplin 10, PPARG, KCNJ11, HNF1A, and WFS-1 that can be influenced by various environmental factors and can lead to T2D.
An increase in the adiposity is considered as the most significant factor in the development of type 2 diabetes. Smoking and unhealthy eating also increase the risk of Type II diabetes.
&amp;gt;*Diabetes is greatly influenced by what we chose to eat and how much we chose to be active.*
## Tests for Diabetes
Various tests have been developed to get a clear picture of individuals blood glucose level and to determine prediabetic and diabetic condition.  
HbA1c is considered as the most sensitive and accurate test for diagnosis of diabetes. HbA1c with a cut-point ≥6.5% is considered as an indicator of diabetes and this test provides reliable insight for monitoring and managing chronic diabetes.
This test measures the level of glucose-bound (glycated) hemoglobin or HbA1c. It indicates the average glucose levels of the individual over a period of weeks or months as the hemoglobin becomes[ permanently glycated](https://www.ncbi.nlm.nih.gov/pmc/articles/PMC4933534/). HbA1c levels are directly proportional to the blood glucose levels, so this test is considered as a landmark test in the diagnosis of diabetes.
## Dietary factors that increase your risk
There are various dietary factors that can lead to an increased risk of T2D. Studies show that intake of saturated fat, processed meat and lack of physical [activity can lead to Type II diabetes](https://care.diabetesjournals.org/content/25/3/417).
Further, late mealtimes and midnight munching has been found to be associated with type 2 diabetes. The one possible explanation for this effect is that the concurrence of elevated circulating melatonin and high glucose concentrations (characterizing late eating) leads to impaired glucose tolerance. Individuals who carry the risk allele of MTNR1 gene (melatonin gene) are at higher risk of developing T2D if they adopt an unhealthy [mealtime schedule](https://www.researchgate.net/publication/316021019_Late_dinner_impairs_glucose_tolerance_in_MTNR1B_risk_allele_carriers_A_randomized_cross-over_study).
## Track high GI foods
Keeping a check on the glycemic index of the food we eat is also important to minimize the risk of T2D. By replacing carbohydrate-rich food that have high glycemic index with low-carbohydrate food is a smart choice. So, instead of using potatoes and flour-based food products, you can add whole grains to our diet plans. Adopting hacks like eating high fiber food along with foods that have high GI can also help reduce sugar [level spikes](https://academic.oup.com/ajcn/article/76/1/274S/4824162).
Sourced from : [https://blog.ginihealth.com/genetics-of-type-2-diabetes/](https://blog.ginihealth.com/genetics-of-type-2-diabetes/)</t>
        </is>
      </c>
      <c r="D8148" t="n">
        <v>1</v>
      </c>
      <c r="E8148" t="n">
        <v>2</v>
      </c>
      <c r="F8148">
        <f>HYPERLINK("https://www.reddit.com/r/diabetes/comments/emgjhq/genetics_of_type_ii_diabetes/")</f>
        <v/>
      </c>
      <c r="G8148" t="inlineStr">
        <is>
          <t>2020-01-09 13:45:43</t>
        </is>
      </c>
      <c r="H8148" t="inlineStr">
        <is>
          <t>Type 2</t>
        </is>
      </c>
    </row>
    <row r="8149">
      <c r="A8149" t="inlineStr">
        <is>
          <t>emjgww</t>
        </is>
      </c>
      <c r="B8149" t="inlineStr">
        <is>
          <t>Why do I keep getting ketones?? My numbers are fine.im putting in enough insulin. Is it because I'm on my cycle?</t>
        </is>
      </c>
      <c r="C8149" t="inlineStr">
        <is>
          <t>I'm panicking about this because it's the fourth day in a row that this happened and I'm scared and I don't know what to  do.</t>
        </is>
      </c>
      <c r="D8149" t="n">
        <v>1</v>
      </c>
      <c r="E8149" t="n">
        <v>17</v>
      </c>
      <c r="F8149">
        <f>HYPERLINK("https://www.reddit.com/r/diabetes/comments/emjgww/why_do_i_keep_getting_ketones_my_numbers_are/")</f>
        <v/>
      </c>
      <c r="G8149" t="inlineStr">
        <is>
          <t>2020-01-09 17:18:06</t>
        </is>
      </c>
      <c r="H8149" t="inlineStr">
        <is>
          <t>Type 1</t>
        </is>
      </c>
    </row>
    <row r="8150">
      <c r="A8150" t="inlineStr">
        <is>
          <t>emlm2g</t>
        </is>
      </c>
      <c r="B8150" t="inlineStr">
        <is>
          <t>Filling an OmniPod with a hand tremor</t>
        </is>
      </c>
      <c r="C8150" t="inlineStr">
        <is>
          <t>This is for my dad who just switched from a Medtronic to pods. He has a tremor/shake in his hands and getting the needle in the right place to fill the pod is tough for him. Is there anything out there that makes filling one easier? I’m thinking about trying to 3D print a filling enclosure to help him line it up easier.</t>
        </is>
      </c>
      <c r="D8150" t="n">
        <v>1</v>
      </c>
      <c r="E8150" t="n">
        <v>2</v>
      </c>
      <c r="F8150">
        <f>HYPERLINK("https://www.reddit.com/r/diabetes/comments/emlm2g/filling_an_omnipod_with_a_hand_tremor/")</f>
        <v/>
      </c>
      <c r="G8150" t="inlineStr">
        <is>
          <t>2020-01-09 20:09:15</t>
        </is>
      </c>
      <c r="H8150" t="inlineStr">
        <is>
          <t>Type 1</t>
        </is>
      </c>
    </row>
    <row r="8151">
      <c r="A8151" t="inlineStr">
        <is>
          <t>emp8tk</t>
        </is>
      </c>
      <c r="B8151" t="inlineStr">
        <is>
          <t>Hba1c improves, oddly</t>
        </is>
      </c>
      <c r="C8151" t="inlineStr">
        <is>
          <t>Just got 98, which is so weird. The last 3 months I was too depressed to manage my diabetes well, instead of putting my blood sugars in my pump, i've been putting a random amount of carbs, like 'eh, feels right' 
Barely spent any thought on managing my sugars, just going on what I feel. 
I know 98 is still high, but I haven't been under 110 for almost 2 years. I'm kind of mad?! I've put so much effort in before and now I was like 'fuck it' and boom, improvement. Diabetes is so unfair sometimes</t>
        </is>
      </c>
      <c r="D8151" t="n">
        <v>1</v>
      </c>
      <c r="E8151" t="n">
        <v>4</v>
      </c>
      <c r="F8151">
        <f>HYPERLINK("https://www.reddit.com/r/diabetes/comments/emp8tk/hba1c_improves_oddly/")</f>
        <v/>
      </c>
      <c r="G8151" t="inlineStr">
        <is>
          <t>2020-01-10 02:37:29</t>
        </is>
      </c>
      <c r="H8151" t="inlineStr">
        <is>
          <t>Type 1</t>
        </is>
      </c>
    </row>
    <row r="8152">
      <c r="A8152" t="inlineStr">
        <is>
          <t>empvww</t>
        </is>
      </c>
      <c r="B8152" t="inlineStr">
        <is>
          <t>my brother got diabetes type 2 ......</t>
        </is>
      </c>
      <c r="C8152" t="inlineStr">
        <is>
          <t>is it curable ? what can i do to help him ? , what can he eat ...... he is only 11 , please help me ..... i am lost .......</t>
        </is>
      </c>
      <c r="D8152" t="n">
        <v>1</v>
      </c>
      <c r="E8152" t="n">
        <v>1</v>
      </c>
      <c r="F8152">
        <f>HYPERLINK("https://www.reddit.com/r/diabetes/comments/empvww/my_brother_got_diabetes_type_2/")</f>
        <v/>
      </c>
      <c r="G8152" t="inlineStr">
        <is>
          <t>2020-01-10 03:46:25</t>
        </is>
      </c>
      <c r="H8152" t="inlineStr">
        <is>
          <t>Type 2</t>
        </is>
      </c>
    </row>
    <row r="8153">
      <c r="A8153" t="inlineStr">
        <is>
          <t>emqgo1</t>
        </is>
      </c>
      <c r="B8153" t="inlineStr">
        <is>
          <t>3 Years Today</t>
        </is>
      </c>
      <c r="C8153" t="inlineStr">
        <is>
          <t>Today marks the 3 year anniversary since diagnosis of T1D and I am happy to share that I got a T-Slim X2 yesterday! Anyways just wanted to tell someone. Besides that how is everyone today?</t>
        </is>
      </c>
      <c r="D8153" t="n">
        <v>1</v>
      </c>
      <c r="E8153" t="n">
        <v>0</v>
      </c>
      <c r="F8153">
        <f>HYPERLINK("https://www.reddit.com/r/diabetes/comments/emqgo1/3_years_today/")</f>
        <v/>
      </c>
      <c r="G8153" t="inlineStr">
        <is>
          <t>2020-01-10 04:45:25</t>
        </is>
      </c>
      <c r="H8153" t="inlineStr">
        <is>
          <t>Type 1</t>
        </is>
      </c>
    </row>
    <row r="8154">
      <c r="A8154" t="inlineStr">
        <is>
          <t>emtdgf</t>
        </is>
      </c>
      <c r="B8154" t="inlineStr">
        <is>
          <t>Help in keeping my partner's (T1 over 27 years) spirits up</t>
        </is>
      </c>
      <c r="C8154" t="inlineStr">
        <is>
          <t>History: my partner was diagnosed aged 9, he's now 36. 
Present: he had his regular eye check up a month ago (we're in the UK) and we received a very poorly written, shitty AF letter that we opened last night telling him in BOLD and in no uncertain terms that he should crap his pants because he is in danger of losing his eye sight. I am not exaggerating the crappiness of this letter.
We've been together over 11 years, not once has he gone hyper or hypo, he is very diligent and takes particular care of his sugar levels. Every check up he's had has come out good, his average blood sugar levels are usually between 6 and 7, his cholesterol and blood pressure have never caused his doctors any concerns, his feet are great... all in all he takes care of himself despite this disease that's been eating away at him for over two decades.  
And then we get this shitty letter, he's never had concerns raised about his eyes despite being checked every 6 months and he's gone to every appointment without fail. Apparently we're to expect a letter in the next several weeks for a referral to a specialist eye clinic in a hospital. Rant over. 
I just want to know how best to approach this, he's been understandably down since yesterday evening and I guess I'm looking for advice as to how to make him feel better/forget this magnanimous news if possible. 
He's been making jokes about going blind, as he usually does when things get serious but I've never seen him this low and I fucking hate it. Hate this disease, hate how he's lived with going low for no apparent reason overnight, hate how he's always worrying about having sugar to hand.
Hate that anyone should endure this. 
Thanks for reading, rant really over.</t>
        </is>
      </c>
      <c r="D8154" t="n">
        <v>1</v>
      </c>
      <c r="E8154" t="n">
        <v>10</v>
      </c>
      <c r="F8154">
        <f>HYPERLINK("https://www.reddit.com/r/diabetes/comments/emtdgf/help_in_keeping_my_partners_t1_over_27_years/")</f>
        <v/>
      </c>
      <c r="G8154" t="inlineStr">
        <is>
          <t>2020-01-10 08:33:38</t>
        </is>
      </c>
      <c r="H8154" t="inlineStr">
        <is>
          <t>Type 1</t>
        </is>
      </c>
    </row>
    <row r="8155">
      <c r="A8155" t="inlineStr">
        <is>
          <t>en8grf</t>
        </is>
      </c>
      <c r="B8155" t="inlineStr">
        <is>
          <t>180 mg/dl after eating two slices of brown bread with tuna, tomatoes, onions, peanut butter and half cup of milk. Even though I workout and do intermittent fasting.</t>
        </is>
      </c>
      <c r="C8155" t="inlineStr">
        <is>
          <t>&amp;amp;#x200B;
 I'm so pissed off, I will go to the gym then do a 24 hour fast.</t>
        </is>
      </c>
      <c r="D8155" t="n">
        <v>1</v>
      </c>
      <c r="E8155" t="n">
        <v>9</v>
      </c>
      <c r="F8155">
        <f>HYPERLINK("https://www.reddit.com/r/diabetes/comments/en8grf/180_mgdl_after_eating_two_slices_of_brown_bread/")</f>
        <v/>
      </c>
      <c r="G8155" t="inlineStr">
        <is>
          <t>2020-01-11 07:06:38</t>
        </is>
      </c>
      <c r="H8155" t="inlineStr">
        <is>
          <t>Type 2</t>
        </is>
      </c>
    </row>
    <row r="8156">
      <c r="A8156" t="inlineStr">
        <is>
          <t>enijsa</t>
        </is>
      </c>
      <c r="B8156" t="inlineStr">
        <is>
          <t>Boston area diabetics?</t>
        </is>
      </c>
      <c r="C8156" t="inlineStr">
        <is>
          <t>Hey all, I realize this is a long stretch, but I need insulin to  meet the stretch between now and when my mail order ships. 
Any Boston area diabetics have an extra Humalog vial or pen they'd be willing to sell? Send me a PM.</t>
        </is>
      </c>
      <c r="D8156" t="n">
        <v>1</v>
      </c>
      <c r="E8156" t="n">
        <v>0</v>
      </c>
      <c r="F8156">
        <f>HYPERLINK("https://www.reddit.com/r/diabetes/comments/enijsa/boston_area_diabetics/")</f>
        <v/>
      </c>
      <c r="G8156" t="inlineStr">
        <is>
          <t>2020-01-11 19:58:31</t>
        </is>
      </c>
      <c r="H8156" t="inlineStr">
        <is>
          <t>Type 1</t>
        </is>
      </c>
    </row>
    <row r="8157">
      <c r="A8157" t="inlineStr">
        <is>
          <t>enk7mj</t>
        </is>
      </c>
      <c r="B8157" t="inlineStr">
        <is>
          <t>Just need to vent</t>
        </is>
      </c>
      <c r="C8157" t="inlineStr">
        <is>
          <t>So I just got off the phone with Dexcom Tech support. This is the 2nd time I had to call tonight. I inserted a new sensor around 5 tonight. It bleed when I did so. Anyone who uses Dexcom knows this means your sensor will fail. I tried explaining it to them only to be told "20 percent difference between my sensor and my finger poke kit is still  accurate". Now can someone explain to me how the difference between 103 on my sensor and 166 on my kit is still correct? I mean give me a break. That difference can kill us. The second tech support worker was worse then the first. She told me if I was having so many problems with my sensor perhaps I should talk to my Dr about a different product. Well guess what bitch I see my Dr on Wednesday. I will be speaking to her about a different sensor now since you were so rude. I have had my dexcom for over a year. The only time I have to call is when it bleeds upon insertions. Has anyone else been treated that rudely by the tech support team at Dexcom?</t>
        </is>
      </c>
      <c r="D8157" t="n">
        <v>1</v>
      </c>
      <c r="E8157" t="n">
        <v>8</v>
      </c>
      <c r="F8157">
        <f>HYPERLINK("https://www.reddit.com/r/diabetes/comments/enk7mj/just_need_to_vent/")</f>
        <v/>
      </c>
      <c r="G8157" t="inlineStr">
        <is>
          <t>2020-01-11 22:44:35</t>
        </is>
      </c>
      <c r="H8157" t="inlineStr">
        <is>
          <t>Type 1</t>
        </is>
      </c>
    </row>
    <row r="8158">
      <c r="A8158" t="inlineStr">
        <is>
          <t>ennd50</t>
        </is>
      </c>
      <c r="B8158" t="inlineStr">
        <is>
          <t>Newly diagnosed: How do I calculate insulin when eating out?</t>
        </is>
      </c>
      <c r="C8158" t="inlineStr">
        <is>
          <t>Hi!
Newly diagnosed T1 here! I'm still in the hospital (actually just left ICU after 2 weeks).
Anyways they explained carb counting to me and I've been doing it for a couple of days and it works great, I'm almost always in range now and rarely have any extreme lows or highs anymore.
Just curious how on earth I'm supposed to do that in a restaurant? Here they tell me exactly what's inside my food and how much of it is on my plate so I can do all my calculations but..that's not the case in a restaurant right?
Can I just eat whatever I ordered and bolus after the meal instead of before the meal? Do I just guess and hope for the best?
I don't wanna stop eating in restaurants but I also don't wanna go super high again.
Any advice would be greatly appreciated!
Thank you.</t>
        </is>
      </c>
      <c r="D8158" t="n">
        <v>1</v>
      </c>
      <c r="E8158" t="n">
        <v>20</v>
      </c>
      <c r="F8158">
        <f>HYPERLINK("https://www.reddit.com/r/diabetes/comments/ennd50/newly_diagnosed_how_do_i_calculate_insulin_when/")</f>
        <v/>
      </c>
      <c r="G8158" t="inlineStr">
        <is>
          <t>2020-01-12 05:19:54</t>
        </is>
      </c>
      <c r="H8158" t="inlineStr">
        <is>
          <t>Type 1</t>
        </is>
      </c>
    </row>
    <row r="8159">
      <c r="A8159" t="inlineStr">
        <is>
          <t>enwlc7</t>
        </is>
      </c>
      <c r="B8159" t="inlineStr">
        <is>
          <t>Control IQ</t>
        </is>
      </c>
      <c r="C8159" t="inlineStr">
        <is>
          <t>just wanted to know if anyone has received the update for Control IQ yet? My Doctor just moved me to the Tslim, i just got it, and the RX and the Tandem rep said it would ship with Control IQ. but it does not have it, and so they say well it's just a software update, but no one has sent it.  so i was just wondering if they are sending the update out to people yet.</t>
        </is>
      </c>
      <c r="D8159" t="n">
        <v>1</v>
      </c>
      <c r="E8159" t="n">
        <v>7</v>
      </c>
      <c r="F8159">
        <f>HYPERLINK("https://www.reddit.com/r/diabetes/comments/enwlc7/control_iq/")</f>
        <v/>
      </c>
      <c r="G8159" t="inlineStr">
        <is>
          <t>2020-01-12 16:55:24</t>
        </is>
      </c>
      <c r="H8159" t="inlineStr">
        <is>
          <t>Type 1</t>
        </is>
      </c>
    </row>
    <row r="8160">
      <c r="A8160" t="inlineStr">
        <is>
          <t>enxkyz</t>
        </is>
      </c>
      <c r="B8160" t="inlineStr">
        <is>
          <t>Recently diagnosed type 2, fearful for the future.</t>
        </is>
      </c>
      <c r="C8160" t="inlineStr">
        <is>
          <t>Hi everyone. I hope this is acceptable as I need a place to get this off my chest. I'm 37 years old, 240 lbs male, from South Louisiana, and I was recently diagnosed with type 2 diabetes this passed New Year's Eve. I was hospitalized from an abscess in my groin area and they clocked my A1C at "above 14%" and I heard a nurse say that I was a lost cause. Aside from that maybe being true, it scares the hell out of me. 
Tomorrow morning I have a meeting with the hospital's diabetes management clinic and they will maybe assign me a dietician to help control my diabetes. I think the alternative thing that can happen is they put me through a series of classes to learn about diabetes. Now, I understand what diabetes is, how insulin works, and what is supposed to happen versus what is actually happening in my body. I even understand the keto diet and how to make that work for me. I'm engaged to a nurse who deals with this stuff on the daily and has been for years. So I have that going for me, but what scares me is what that ED nurse said about me being a "lost cause". My fiancee won't agree with her and she says I'm not, but she's my fiancee. She doesn't want to make this any worse than it has to be for me. 
My question, which is related to my fear, is what does this actually mean? I've gotten broken answers from even doctors. Can I recover from an A1C of "above 14"? My glucose levels were something like 350ish when they tested me the first night in the hospital, and they covered me in insulin for my two night, three day stay. Now I'm on metformin and on a carb restricted diet. Funny thing is that I was never told to watch my carbs - I did that on my own and through my fiancee's advice as well. My daily carb intake is between 26g and 50g. I also take 20mg Lisinopril for high blood pressure. That was originally 10mg but it didn't really lower my DIA below 90, so the doctor's office advised me to double it. 
In short, I'm scared. I could really use a success story from the land of "over 14% A1C".</t>
        </is>
      </c>
      <c r="D8160" t="n">
        <v>1</v>
      </c>
      <c r="E8160" t="n">
        <v>20</v>
      </c>
      <c r="F8160">
        <f>HYPERLINK("https://www.reddit.com/r/diabetes/comments/enxkyz/recently_diagnosed_type_2_fearful_for_the_future/")</f>
        <v/>
      </c>
      <c r="G8160" t="inlineStr">
        <is>
          <t>2020-01-12 18:15:06</t>
        </is>
      </c>
      <c r="H8160" t="inlineStr">
        <is>
          <t>Type 2</t>
        </is>
      </c>
    </row>
    <row r="8161">
      <c r="A8161" t="inlineStr">
        <is>
          <t>enxp5n</t>
        </is>
      </c>
      <c r="B8161" t="inlineStr">
        <is>
          <t>What kinds of things do you eat or drink to treat your lows?</t>
        </is>
      </c>
      <c r="C8161" t="inlineStr">
        <is>
          <t>I'm looking for alternatives to peanut butter and milk because I feel like that's all I have. I am having troubles losing weight and I think this is one of the reasons!</t>
        </is>
      </c>
      <c r="D8161" t="n">
        <v>1</v>
      </c>
      <c r="E8161" t="n">
        <v>19</v>
      </c>
      <c r="F8161">
        <f>HYPERLINK("https://www.reddit.com/r/diabetes/comments/enxp5n/what_kinds_of_things_do_you_eat_or_drink_to_treat/")</f>
        <v/>
      </c>
      <c r="G8161" t="inlineStr">
        <is>
          <t>2020-01-12 18:24:35</t>
        </is>
      </c>
      <c r="H8161" t="inlineStr">
        <is>
          <t>Type 1</t>
        </is>
      </c>
    </row>
    <row r="8162">
      <c r="A8162" t="inlineStr">
        <is>
          <t>enys0q</t>
        </is>
      </c>
      <c r="B8162" t="inlineStr">
        <is>
          <t>If super low blood sugars make you pass out then why does my body naturally wake me up at 3 AM so I can go eat some smarties or drink a juice or sum?</t>
        </is>
      </c>
      <c r="C8162" t="inlineStr">
        <is>
          <t>Why can’t my body just let me die lmao</t>
        </is>
      </c>
      <c r="D8162" t="n">
        <v>1</v>
      </c>
      <c r="E8162" t="n">
        <v>6</v>
      </c>
      <c r="F8162">
        <f>HYPERLINK("https://www.reddit.com/r/diabetes/comments/enys0q/if_super_low_blood_sugars_make_you_pass_out_then/")</f>
        <v/>
      </c>
      <c r="G8162" t="inlineStr">
        <is>
          <t>2020-01-12 19:54:32</t>
        </is>
      </c>
      <c r="H8162" t="inlineStr">
        <is>
          <t>Type 1</t>
        </is>
      </c>
    </row>
    <row r="8163">
      <c r="A8163" t="inlineStr">
        <is>
          <t>enzf1p</t>
        </is>
      </c>
      <c r="B8163" t="inlineStr">
        <is>
          <t>Why do I keep having hypoglycemic episodes!? I'm type 2!</t>
        </is>
      </c>
      <c r="C8163" t="inlineStr">
        <is>
          <t>seriously!
&amp;amp;#x200B;
This is the second time in a month I've woken up feeling a little nauseous, thinking maybe I ate some bad chicken the other day, and within 30 seconds I know exactly what's happening because I can barely think, move, stand, or stop shaking. I mean, I don't want to go hyperglycemic either, but at least that one doesnt' make me wake up nearly dead.</t>
        </is>
      </c>
      <c r="D8163" t="n">
        <v>1</v>
      </c>
      <c r="E8163" t="n">
        <v>10</v>
      </c>
      <c r="F8163">
        <f>HYPERLINK("https://www.reddit.com/r/diabetes/comments/enzf1p/why_do_i_keep_having_hypoglycemic_episodes_im/")</f>
        <v/>
      </c>
      <c r="G8163" t="inlineStr">
        <is>
          <t>2020-01-12 20:52:43</t>
        </is>
      </c>
      <c r="H8163" t="inlineStr">
        <is>
          <t>Type 2</t>
        </is>
      </c>
    </row>
    <row r="8164">
      <c r="A8164" t="inlineStr">
        <is>
          <t>eo1e4v</t>
        </is>
      </c>
      <c r="B8164" t="inlineStr">
        <is>
          <t>Type 1 for 22 years, general basal question.</t>
        </is>
      </c>
      <c r="C8164" t="inlineStr">
        <is>
          <t>So about 8 years ago I had a lot of trouble with my blood sugars being high, and my mom suggested that I split my Lantus up. I started taking lower dosages twice a day, 12 hours apart. This fixed the issue for a long time. 
However, over the last couple of years, I’ve noticed that I wake up high. Like, 400 high. Every morning. I want to go back to taking my basal (it’s now Basaglar) once a day, but I’m unsure of what time to do so. If I take it at night, I worry I run the risk of dropping in the night. 
Any feedback is appreciated, I can’t see my doctor for a little while so I thought I’d reach out. Thank you!</t>
        </is>
      </c>
      <c r="D8164" t="n">
        <v>1</v>
      </c>
      <c r="E8164" t="n">
        <v>13</v>
      </c>
      <c r="F8164">
        <f>HYPERLINK("https://www.reddit.com/r/diabetes/comments/eo1e4v/type_1_for_22_years_general_basal_question/")</f>
        <v/>
      </c>
      <c r="G8164" t="inlineStr">
        <is>
          <t>2020-01-13 00:22:22</t>
        </is>
      </c>
      <c r="H8164" t="inlineStr">
        <is>
          <t>Type 1</t>
        </is>
      </c>
    </row>
    <row r="8165">
      <c r="A8165" t="inlineStr">
        <is>
          <t>eo8g5v</t>
        </is>
      </c>
      <c r="B8165" t="inlineStr">
        <is>
          <t>Helping My Girlfriend</t>
        </is>
      </c>
      <c r="C8165" t="inlineStr">
        <is>
          <t>My girlfriend is living with type two diabetes and has been for about 10 years now, I see her often (usually 2 times a week). I've seen her go through highs and lows and was just wondering if there was anything I can do to help her manage her diabetes, don't want to sound overbearing, but just want to offer my assistance in any way possible. Thanks for any suggestions!</t>
        </is>
      </c>
      <c r="D8165" t="n">
        <v>1</v>
      </c>
      <c r="E8165" t="n">
        <v>14</v>
      </c>
      <c r="F8165">
        <f>HYPERLINK("https://www.reddit.com/r/diabetes/comments/eo8g5v/helping_my_girlfriend/")</f>
        <v/>
      </c>
      <c r="G8165" t="inlineStr">
        <is>
          <t>2020-01-13 10:55:34</t>
        </is>
      </c>
      <c r="H8165" t="inlineStr">
        <is>
          <t>Type 2</t>
        </is>
      </c>
    </row>
    <row r="8166">
      <c r="A8166" t="inlineStr">
        <is>
          <t>eo8suw</t>
        </is>
      </c>
      <c r="B8166" t="inlineStr">
        <is>
          <t>Research Paper: Could any women with Type 2 Diabetes help me with my doctoral thesis? It's a 90 second anonymous survey</t>
        </is>
      </c>
      <c r="C8166" t="inlineStr">
        <is>
          <t xml:space="preserve"> [https://www.surveymonkey.com/r/LN927M3](https://www.surveymonkey.com/r/LN927M3)</t>
        </is>
      </c>
      <c r="D8166" t="n">
        <v>1</v>
      </c>
      <c r="E8166" t="n">
        <v>3</v>
      </c>
      <c r="F8166">
        <f>HYPERLINK("https://www.reddit.com/r/diabetes/comments/eo8suw/research_paper_could_any_women_with_type_2/")</f>
        <v/>
      </c>
      <c r="G8166" t="inlineStr">
        <is>
          <t>2020-01-13 11:19:39</t>
        </is>
      </c>
      <c r="H8166" t="inlineStr">
        <is>
          <t>Type 2</t>
        </is>
      </c>
    </row>
    <row r="8167">
      <c r="A8167" t="inlineStr">
        <is>
          <t>eo92n1</t>
        </is>
      </c>
      <c r="B8167" t="inlineStr">
        <is>
          <t>Unable to get samsung a50 to share with Dex</t>
        </is>
      </c>
      <c r="C8167" t="inlineStr">
        <is>
          <t>Hi found this thread :  [https://www.reddit.com/r/diabetes/comments/a5fm46/oc\_build\_your\_own\_dexcom\_app\_update\_new\_g6/](https://www.reddit.com/r/diabetes/comments/a5fm46/oc_build_your_own_dexcom_app_update_new_g6/) and it's helped a lot, but it's archived. Got my t1d son a samsung a50 which is ALMOST like an s10, with less of a good camera. I had to use the custom apk to even get it to install, but the follow function will not work. dex is clueless and still awaiting an 'escalation'. When we go to invite (for myself and my wife), it instantly fails that the server isn't available. Dex claims nothing is wrong. Before I keep banging this drum, is there a way to confirm if it truly is the app somehow misbehaving, or maybe the device is blacklisted? If so, it shouldn't have installed and giving me local readings. Using sw sw11678 and revision [1.4.2.2](https://1.4.2.2). Both of our phones are s10 and have had no issues with follow previously.
&amp;amp;#x200B;
A bit new to reddit even though I've been a lurker for years. Any help would be appreciated.</t>
        </is>
      </c>
      <c r="D8167" t="n">
        <v>1</v>
      </c>
      <c r="E8167" t="n">
        <v>1</v>
      </c>
      <c r="F8167">
        <f>HYPERLINK("https://www.reddit.com/r/diabetes/comments/eo92n1/unable_to_get_samsung_a50_to_share_with_dex/")</f>
        <v/>
      </c>
      <c r="G8167" t="inlineStr">
        <is>
          <t>2020-01-13 11:41:26</t>
        </is>
      </c>
      <c r="H8167" t="inlineStr">
        <is>
          <t>Type 1</t>
        </is>
      </c>
    </row>
    <row r="8168">
      <c r="A8168" t="inlineStr">
        <is>
          <t>eobtkd</t>
        </is>
      </c>
      <c r="B8168" t="inlineStr">
        <is>
          <t>Understanding the barriers to Nutritional self-sufficiency in women with Type 2 Diabetes: Academic Survey</t>
        </is>
      </c>
      <c r="C8168" t="inlineStr">
        <is>
          <t>Hi. I am a post-graduate student at Simmons University, authoring a paper attempting to understand the barriers to nutritional self-sufficiency in women with type 2 diabetes. For the purposes of that research, I have prepared a survey, and would like to ask women with Type 2 Diabetes to volunteer to assist with its completion. 
**Survey Details:** The survey average completion time is 90 seconds, and the survey is completely anonymous. No remuneration is offered. A copy of the completed study is available to anyone who completes the survey upon request.
**Purpose of the research:** Existing research shows that there is an enormous social burden upon women with Type 2 Diabetes, who are often seen as the gatekeepers for food and nutrition in their households. This research study aims to explore the relationship between diabetic diet knowledge and diabetic nutritional self-sufficiency. Results could help the diabetes medical community better understand how to provide educational services to diabetic women with a view to increased patient nutritional self-sufficiency. 
**Link to the survey:** [**https://www.surveymonkey.com/r/LN927M3**](https://www.surveymonkey.com/r/LN927M3)
**Contact Information for Simmons University IRB:** 
Nursing Department 
Simmons University,
300 The Fenway S-334,
Boston, MA 02115
(617) 521-2718</t>
        </is>
      </c>
      <c r="D8168" t="n">
        <v>1</v>
      </c>
      <c r="E8168" t="n">
        <v>0</v>
      </c>
      <c r="F8168">
        <f>HYPERLINK("https://www.reddit.com/r/diabetes/comments/eobtkd/understanding_the_barriers_to_nutritional/")</f>
        <v/>
      </c>
      <c r="G8168" t="inlineStr">
        <is>
          <t>2020-01-13 14:47:10</t>
        </is>
      </c>
      <c r="H8168" t="inlineStr">
        <is>
          <t>Type 2</t>
        </is>
      </c>
    </row>
    <row r="8169">
      <c r="A8169" t="inlineStr">
        <is>
          <t>eoe7z6</t>
        </is>
      </c>
      <c r="B8169" t="inlineStr">
        <is>
          <t>Diabetes and Tattoos</t>
        </is>
      </c>
      <c r="C8169" t="inlineStr">
        <is>
          <t>Hello y’all!! 
I was speaking with a friend about getting a tattoo and he mentioned that because of my diabetes it will be difficult. The tattoo I want is about the length of my forearm. It’s an Arabic saying that really helped me through a lot in life “what is coming is better than what has left.” Obviously looks shorter in Arabic. My question is:
1.) my diabetes has been under control for the last week or so I’m aiming at having it under control for the following 3 months before I get one.
2.) should I let my artist know I gots diabetes? 
People that have gotten tats after being diagnosed with diabetes, how was the healing process?</t>
        </is>
      </c>
      <c r="D8169" t="n">
        <v>1</v>
      </c>
      <c r="E8169" t="n">
        <v>9</v>
      </c>
      <c r="F8169">
        <f>HYPERLINK("https://www.reddit.com/r/diabetes/comments/eoe7z6/diabetes_and_tattoos/")</f>
        <v/>
      </c>
      <c r="G8169" t="inlineStr">
        <is>
          <t>2020-01-13 17:46:44</t>
        </is>
      </c>
      <c r="H8169" t="inlineStr">
        <is>
          <t>Type 2</t>
        </is>
      </c>
    </row>
    <row r="8170">
      <c r="A8170" t="inlineStr">
        <is>
          <t>eogxwx</t>
        </is>
      </c>
      <c r="B8170" t="inlineStr">
        <is>
          <t>Rant</t>
        </is>
      </c>
      <c r="C8170" t="inlineStr">
        <is>
          <t>I was diagnosed with type 1 in july of 2011. since that day i’ve struggled non stop and have never really had control. the lowest my a1c has ever been is an 8.5 i think and i just can’t seem to fix it. my sugars will be good for a little bit and i’ll feel great but one little slip up and i just give up. since my diagnosis i’ve struggled a lot with my mental and physical health. i often find myself wondering if it’s even worth living with this disease. it’s a never ending battle and i don’t think i’ll ever be able to win :/</t>
        </is>
      </c>
      <c r="D8170" t="n">
        <v>1</v>
      </c>
      <c r="E8170" t="n">
        <v>7</v>
      </c>
      <c r="F8170">
        <f>HYPERLINK("https://www.reddit.com/r/diabetes/comments/eogxwx/rant/")</f>
        <v/>
      </c>
      <c r="G8170" t="inlineStr">
        <is>
          <t>2020-01-13 21:30:03</t>
        </is>
      </c>
      <c r="H8170" t="inlineStr">
        <is>
          <t>Type 1</t>
        </is>
      </c>
    </row>
    <row r="8171">
      <c r="A8171" t="inlineStr">
        <is>
          <t>eoixwm</t>
        </is>
      </c>
      <c r="B8171" t="inlineStr">
        <is>
          <t>New to dexcom. Getting sensor error</t>
        </is>
      </c>
      <c r="C8171" t="inlineStr">
        <is>
          <t>I am new to dexcom. Using the dexcom app and to be honest for the price of dexcom it self the app is super basic and could use some major over haul. Libre is much cheaper but way better app.  
My issue every night I get sensor error temporary issue wait 3 hours. Middle of the night. Why?
My phone is right beside me in bed and I dont get any issues during the day. 
I was thinking to move to xdrip or the not official dexcom app for unsupported phones. Not sure what to do
Thanks</t>
        </is>
      </c>
      <c r="D8171" t="n">
        <v>1</v>
      </c>
      <c r="E8171" t="n">
        <v>10</v>
      </c>
      <c r="F8171">
        <f>HYPERLINK("https://www.reddit.com/r/diabetes/comments/eoixwm/new_to_dexcom_getting_sensor_error/")</f>
        <v/>
      </c>
      <c r="G8171" t="inlineStr">
        <is>
          <t>2020-01-14 01:12:30</t>
        </is>
      </c>
      <c r="H8171" t="inlineStr">
        <is>
          <t>Type 1</t>
        </is>
      </c>
    </row>
    <row r="8172">
      <c r="A8172" t="inlineStr">
        <is>
          <t>eokvro</t>
        </is>
      </c>
      <c r="B8172" t="inlineStr">
        <is>
          <t>tips?</t>
        </is>
      </c>
      <c r="C8172" t="inlineStr">
        <is>
          <t>Hi everyone! i am new to this subreddit  and to the marvellous world of diabetes. I have been a diabetic for the last 6-7 months  and i would like to know tips about diabetes thanks!</t>
        </is>
      </c>
      <c r="D8172" t="n">
        <v>1</v>
      </c>
      <c r="E8172" t="n">
        <v>15</v>
      </c>
      <c r="F8172">
        <f>HYPERLINK("https://www.reddit.com/r/diabetes/comments/eokvro/tips/")</f>
        <v/>
      </c>
      <c r="G8172" t="inlineStr">
        <is>
          <t>2020-01-14 04:53:34</t>
        </is>
      </c>
      <c r="H8172" t="inlineStr">
        <is>
          <t>Type 1</t>
        </is>
      </c>
    </row>
    <row r="8173">
      <c r="A8173" t="inlineStr">
        <is>
          <t>eoleel</t>
        </is>
      </c>
      <c r="B8173" t="inlineStr">
        <is>
          <t>How do you manage night time lows (type 2)?</t>
        </is>
      </c>
      <c r="C8173" t="inlineStr">
        <is>
          <t>My husband is type 2. Within the past 3 weeks, he began having night time lows. It's been as low as 31. He is not aware. The only reason I wake up is because he begins moaning in his sleep. Been to the doctor, waiting on lab results just wondering how you guys handle it. It's terrifying to be honest and we are both losing sleep (which can't help, right?)</t>
        </is>
      </c>
      <c r="D8173" t="n">
        <v>1</v>
      </c>
      <c r="E8173" t="n">
        <v>4</v>
      </c>
      <c r="F8173">
        <f>HYPERLINK("https://www.reddit.com/r/diabetes/comments/eoleel/how_do_you_manage_night_time_lows_type_2/")</f>
        <v/>
      </c>
      <c r="G8173" t="inlineStr">
        <is>
          <t>2020-01-14 05:40:41</t>
        </is>
      </c>
      <c r="H8173" t="inlineStr">
        <is>
          <t>Type 2</t>
        </is>
      </c>
    </row>
    <row r="8174">
      <c r="A8174" t="inlineStr">
        <is>
          <t>eolikn</t>
        </is>
      </c>
      <c r="B8174" t="inlineStr">
        <is>
          <t>Is it alright to use vaseline daily for feet care?</t>
        </is>
      </c>
      <c r="C8174" t="inlineStr">
        <is>
          <t>Is it okay to use vaseline everyday simply to moisturize your dry feet? I would usually apply quite a bit before sleep and sometimes during the day just to get both feet covered. The only part I don't cover is between the toes as I'm worried about infections.
Just wondering as I feel like I'm over using the vaseline.</t>
        </is>
      </c>
      <c r="D8174" t="n">
        <v>1</v>
      </c>
      <c r="E8174" t="n">
        <v>6</v>
      </c>
      <c r="F8174">
        <f>HYPERLINK("https://www.reddit.com/r/diabetes/comments/eolikn/is_it_alright_to_use_vaseline_daily_for_feet_care/")</f>
        <v/>
      </c>
      <c r="G8174" t="inlineStr">
        <is>
          <t>2020-01-14 05:51:15</t>
        </is>
      </c>
      <c r="H8174" t="inlineStr">
        <is>
          <t>Type 2</t>
        </is>
      </c>
    </row>
    <row r="8175">
      <c r="A8175" t="inlineStr">
        <is>
          <t>eoltch</t>
        </is>
      </c>
      <c r="B8175" t="inlineStr">
        <is>
          <t>Almost made it out</t>
        </is>
      </c>
      <c r="C8175" t="inlineStr">
        <is>
          <t>I was told last Monday that I have to go in for surgery because my diabetic ulcer has gone bad, and the infection is in the bone.  On Wednesday my endo said that I was doing such a great job with my sugar control, she was going to start working me towards just 1 basaglar shot a day, and take me off everything else.
This morning I go in to have my little toe amputated, and I start a 7 week course of IV antibiotics to fight the infection.  Sugar meds stay the same until this is worked out.</t>
        </is>
      </c>
      <c r="D8175" t="n">
        <v>1</v>
      </c>
      <c r="E8175" t="n">
        <v>1</v>
      </c>
      <c r="F8175">
        <f>HYPERLINK("https://www.reddit.com/r/diabetes/comments/eoltch/almost_made_it_out/")</f>
        <v/>
      </c>
      <c r="G8175" t="inlineStr">
        <is>
          <t>2020-01-14 06:16:13</t>
        </is>
      </c>
      <c r="H8175" t="inlineStr">
        <is>
          <t>Type 2</t>
        </is>
      </c>
    </row>
    <row r="8176">
      <c r="A8176" t="inlineStr">
        <is>
          <t>eon38n</t>
        </is>
      </c>
      <c r="B8176" t="inlineStr">
        <is>
          <t>Anyone move on from their 670G and have pump + supplies they want to get rid of?</t>
        </is>
      </c>
      <c r="C8176" t="inlineStr">
        <is>
          <t>I have Paradigm pump for years, and am moving towards T:Slim, but I wouldnt mind trying out 670G if someone isnt going to be using it.
&amp;amp;#x200B;
DM me!</t>
        </is>
      </c>
      <c r="D8176" t="n">
        <v>1</v>
      </c>
      <c r="E8176" t="n">
        <v>11</v>
      </c>
      <c r="F8176">
        <f>HYPERLINK("https://www.reddit.com/r/diabetes/comments/eon38n/anyone_move_on_from_their_670g_and_have_pump/")</f>
        <v/>
      </c>
      <c r="G8176" t="inlineStr">
        <is>
          <t>2020-01-14 07:56:49</t>
        </is>
      </c>
      <c r="H8176" t="inlineStr">
        <is>
          <t>Type 1</t>
        </is>
      </c>
    </row>
    <row r="8177">
      <c r="A8177" t="inlineStr">
        <is>
          <t>eon92o</t>
        </is>
      </c>
      <c r="B8177" t="inlineStr">
        <is>
          <t>Humalog - Dosage</t>
        </is>
      </c>
      <c r="C8177" t="inlineStr">
        <is>
          <t>How much Humalog do you use daily? My insurance rejected my prescription for Humalog yesterday, even after my doctor told them it was medically necessary.  I admittedly have pretty high resistance, she put the prescription in for 100 units a day they won't approve. It got me thinking about it. A few years ago my Endo had me on 150 units a day, but at the time I was about 60 pounds heavier than I am now.  I got into an argument with a pharmacist at the insurance company, but it seems to me that weight, activity, resistance all come into play and they shouldn't be trying to tell me that 2 doctors are wrong. I'm 5'11, 198. Long time type1.</t>
        </is>
      </c>
      <c r="D8177" t="n">
        <v>1</v>
      </c>
      <c r="E8177" t="n">
        <v>10</v>
      </c>
      <c r="F8177">
        <f>HYPERLINK("https://www.reddit.com/r/diabetes/comments/eon92o/humalog_dosage/")</f>
        <v/>
      </c>
      <c r="G8177" t="inlineStr">
        <is>
          <t>2020-01-14 08:08:32</t>
        </is>
      </c>
      <c r="H8177" t="inlineStr">
        <is>
          <t>Type 1</t>
        </is>
      </c>
    </row>
    <row r="8178">
      <c r="A8178" t="inlineStr">
        <is>
          <t>eonbrl</t>
        </is>
      </c>
      <c r="B8178" t="inlineStr">
        <is>
          <t>Solara, CCS, or Edgepark</t>
        </is>
      </c>
      <c r="C8178" t="inlineStr">
        <is>
          <t>Hi all. My employer is about to change insurance carriers, which means I have to change distributors (I'm currently using Byram). The available distributors Dexcom gave me are Solara, CCS Medical, or Edgepark.  Any recommendations? I haven't heard wonderful things about Edgepark, but know nothing about the other two.</t>
        </is>
      </c>
      <c r="D8178" t="n">
        <v>1</v>
      </c>
      <c r="E8178" t="n">
        <v>11</v>
      </c>
      <c r="F8178">
        <f>HYPERLINK("https://www.reddit.com/r/diabetes/comments/eonbrl/solara_ccs_or_edgepark/")</f>
        <v/>
      </c>
      <c r="G8178" t="inlineStr">
        <is>
          <t>2020-01-14 08:13:54</t>
        </is>
      </c>
      <c r="H8178" t="inlineStr">
        <is>
          <t>Type 1</t>
        </is>
      </c>
    </row>
    <row r="8179">
      <c r="A8179" t="inlineStr">
        <is>
          <t>eoq7c6</t>
        </is>
      </c>
      <c r="B8179" t="inlineStr">
        <is>
          <t>Newly diagnosed and on Novolin N. How often should I be testing to accurately show my doctor how my blood glucose fluctuates?</t>
        </is>
      </c>
      <c r="C8179" t="inlineStr">
        <is>
          <t>I was recently diagnosed with Type 1 (after ending up in the ICU with DKA) and was put on Levemir AND Humalog. When I was discharged I was unaware that my insurance was misinformed, and would only cover $200 of the total medication costs. I couldn’t afford to fill that so I’m currently taking Novolin N. Just N, which is a big issue for me. In the hospital they had me on a long and a short, and now I’m just on the intermediate and my levels aren’t staying as consistent. I had a follow-up with a new doctor and when he saw how high my BG was staying he raised me dosage from 80 to 90 units, and reassured me that N would work while they worked on helping me get financial assistance. He discussed putting me on R as well but decided against it even after I told him I would prefer that (something about me being a new diabetic and giving myself more injections, even though I explained that it didn’t bother me). The dosage change really didn’t do much, so I switched from taking 45 units twice daily to taking 30 units three times daily.  This has helped keep me in range more often, but I’ve regularly been going too low/high. It’s difficult because of how long it takes for the insulin to kick in + the peak times. Meal time is difficult and snacking is starting to stress me out. I know I can get R without a script but I can’t get the extra syringes (they were prescribed by an urgent care doctor, I went two days without insulin due to the ICU/insurance slip up) and the pharmacy notifies my doctor.  
Basically what I’m wondering is: How many times/when should I be testing my blood sugar to really show my doctor that N isn’t enough? I’m currently testing when I wake up, 2 hours after breakfast, lunch, and dinner, and before bed. I also test if I wake up in the middle of the night feeling low/high. Should I start testing more often? After I snack or workout?  Sooner after I eat? Or is what I’m doing enough? 
I’ve made an endocrinologist appointment but I can’t get in for a couple weeks, and my next appointment with my doctor is January 21st, so he’s my only option at the moment. I’m just concerned he won’t listen to me (and if he doesn’t I definitely plan on finding a new primary doctor, but this is the soonest I can get things worked out) 
TLDR: Doctor doesn’t want me on a short acting insulin because I’m a new diabetic and that many injections a day is “overwhelming”. Won’t prescribe the extra syringes. BG is all over the place. How many times a day should I be testing to show him this?</t>
        </is>
      </c>
      <c r="D8179" t="n">
        <v>1</v>
      </c>
      <c r="E8179" t="n">
        <v>9</v>
      </c>
      <c r="F8179">
        <f>HYPERLINK("https://www.reddit.com/r/diabetes/comments/eoq7c6/newly_diagnosed_and_on_novolin_n_how_often_should/")</f>
        <v/>
      </c>
      <c r="G8179" t="inlineStr">
        <is>
          <t>2020-01-14 11:39:15</t>
        </is>
      </c>
      <c r="H8179" t="inlineStr">
        <is>
          <t>Type 1</t>
        </is>
      </c>
    </row>
    <row r="8180">
      <c r="A8180" t="inlineStr">
        <is>
          <t>eoqzee</t>
        </is>
      </c>
      <c r="B8180" t="inlineStr">
        <is>
          <t>First insulin injection today</t>
        </is>
      </c>
      <c r="C8180" t="inlineStr">
        <is>
          <t>So, I was told at diagnosis in July (after my antibody tests) that it could be months or years before I needed insulin and we wouldn’t know until I got there, depending on environmental triggers, how I took to meds, etc. Since it was an autoimmune issue causing it, they didn’t know how long the “honeymoon period” would be.
And here we are in January, starting insulin - just one basaglar in the morning for now. My A1C is good, but I’m being pulled off one of my meds because I’m pregnant and they feel this is safer as my sugar had been more volatile since getting pregnant. 
Anything I should keep in mind? I kind of thought I’d have longer before my body finally wore my pancreas down... serves me right for wanting a second kid I guess.</t>
        </is>
      </c>
      <c r="D8180" t="n">
        <v>1</v>
      </c>
      <c r="E8180" t="n">
        <v>8</v>
      </c>
      <c r="F8180">
        <f>HYPERLINK("https://www.reddit.com/r/diabetes/comments/eoqzee/first_insulin_injection_today/")</f>
        <v/>
      </c>
      <c r="G8180" t="inlineStr">
        <is>
          <t>2020-01-14 12:32:01</t>
        </is>
      </c>
      <c r="H8180" t="inlineStr">
        <is>
          <t>Type 1.5/LADA</t>
        </is>
      </c>
    </row>
    <row r="8181">
      <c r="A8181" t="inlineStr">
        <is>
          <t>eorjp4</t>
        </is>
      </c>
      <c r="B8181" t="inlineStr">
        <is>
          <t>Has anyone tried the trunature Cinsulin capsules? Does it work?</t>
        </is>
      </c>
      <c r="C8181" t="inlineStr">
        <is>
          <t>I saw some at Costco and just wondering if anyone knows if it works or not. Not that I want it to replace my metformin, but I'm wondering if it does help blood sugar go down or be stable?
TIA</t>
        </is>
      </c>
      <c r="D8181" t="n">
        <v>1</v>
      </c>
      <c r="E8181" t="n">
        <v>5</v>
      </c>
      <c r="F8181">
        <f>HYPERLINK("https://www.reddit.com/r/diabetes/comments/eorjp4/has_anyone_tried_the_trunature_cinsulin_capsules/")</f>
        <v/>
      </c>
      <c r="G8181" t="inlineStr">
        <is>
          <t>2020-01-14 13:09:15</t>
        </is>
      </c>
      <c r="H8181" t="inlineStr">
        <is>
          <t>Type 2</t>
        </is>
      </c>
    </row>
    <row r="8182">
      <c r="A8182" t="inlineStr">
        <is>
          <t>eowshe</t>
        </is>
      </c>
      <c r="B8182" t="inlineStr">
        <is>
          <t>How to restart a Dexcom G6 sensor for an additional ten day session</t>
        </is>
      </c>
      <c r="C8182" t="inlineStr">
        <is>
          <t>I wish someone told me this when I first got my G6, but I figured I would share my recent lesson with you all. As many of you are aware, G6 sensors come with a hard shut-off after ten days before you have to pop on another hundred-dollar sensor. If you wish to restart the same sensor it comes with slightly reduced accuracy (never exceeding 15 points from my meter when I tested), but I think it’s worthwhile given the expense of the dexcom equipment. 
Here’s how it works:
When you first start your sensor you will enter the four-digit code on the package to start the session. While the program will not allow you to use the same code twice, you can reset the app and get around this preventative measure. Upon the conclusion of the first session, start a new session, but select “no code.” Allow the warm-up to run for fifteen minutes before going into the settings and click “stop sensor.” After this, the memory of the app will be effectively reset, and you can then start a new session and enter the same sensor code again for a consecutive ten-day use. 
Given the number of people struggling with the expense of their supplies, I hope this provides some help to you all. Let me know if y’all have any questions!</t>
        </is>
      </c>
      <c r="D8182" t="n">
        <v>1</v>
      </c>
      <c r="E8182" t="n">
        <v>10</v>
      </c>
      <c r="F8182">
        <f>HYPERLINK("https://www.reddit.com/r/diabetes/comments/eowshe/how_to_restart_a_dexcom_g6_sensor_for_an/")</f>
        <v/>
      </c>
      <c r="G8182" t="inlineStr">
        <is>
          <t>2020-01-14 19:37:07</t>
        </is>
      </c>
      <c r="H8182" t="inlineStr">
        <is>
          <t>Type 1</t>
        </is>
      </c>
    </row>
    <row r="8183">
      <c r="A8183" t="inlineStr">
        <is>
          <t>eowsj1</t>
        </is>
      </c>
      <c r="B8183" t="inlineStr">
        <is>
          <t>Tresiba or Lantus?</t>
        </is>
      </c>
      <c r="C8183" t="inlineStr">
        <is>
          <t>Explain please.</t>
        </is>
      </c>
      <c r="D8183" t="n">
        <v>1</v>
      </c>
      <c r="E8183" t="n">
        <v>5</v>
      </c>
      <c r="F8183">
        <f>HYPERLINK("https://www.reddit.com/r/diabetes/comments/eowsj1/tresiba_or_lantus/")</f>
        <v/>
      </c>
      <c r="G8183" t="inlineStr">
        <is>
          <t>2020-01-14 19:37:14</t>
        </is>
      </c>
      <c r="H8183" t="inlineStr">
        <is>
          <t>Type 1.5/LADA</t>
        </is>
      </c>
    </row>
    <row r="8184">
      <c r="A8184" t="inlineStr">
        <is>
          <t>ep4naq</t>
        </is>
      </c>
      <c r="B8184" t="inlineStr">
        <is>
          <t>High blood bs.</t>
        </is>
      </c>
      <c r="C8184" t="inlineStr">
        <is>
          <t>I was diagnosed with type 2 diabetes in 2018 and was on metformin 500mg twice a day. Just recently around new yr i got really sick for about a week and was mixing medication such as nyquil, dayquil, tylenol etc. I noticed i was extremely thirsty i kept peeing alot and blurred vision. I went to my pcp my bs was 521 so she increased my dosage of metformin to 1000mg twice a day. How long does it take for my levels to go down. Its been in the range of 255 during the day and evening after i eat it raises to 370. Ive been watchin what i eat as far as carbs and still high. At this point idk what to do.</t>
        </is>
      </c>
      <c r="D8184" t="n">
        <v>1</v>
      </c>
      <c r="E8184" t="n">
        <v>6</v>
      </c>
      <c r="F8184">
        <f>HYPERLINK("https://www.reddit.com/r/diabetes/comments/ep4naq/high_blood_bs/")</f>
        <v/>
      </c>
      <c r="G8184" t="inlineStr">
        <is>
          <t>2020-01-15 08:42:39</t>
        </is>
      </c>
      <c r="H8184" t="inlineStr">
        <is>
          <t>Type 2</t>
        </is>
      </c>
    </row>
    <row r="8185">
      <c r="A8185" t="inlineStr">
        <is>
          <t>ep5vtd</t>
        </is>
      </c>
      <c r="B8185" t="inlineStr">
        <is>
          <t>Really worried about my dad's eye condition.</t>
        </is>
      </c>
      <c r="C8185" t="inlineStr">
        <is>
          <t>Hi, this is the first time I'm posting here. Since my dad's not an English speaker. I just want to share his story, any suggestion would be nice.
So my dad (53) had T1 for about 20 years. To be honest, he didn't take good care of himself until a few years ago, he started to maintain A1C and now it's in good condition but damage've been done.  He started having problems in his legs and his eyes. But I believe his eyes' conditions are worse. He has diabetic retinopathy and starts having eye injections to eyeball regularly. Recently, he has lens replacement surgery in left eye and after that he developed vitreous hemorrhage, he had to go through surgery again to remove that. After 1 month, he had retinal detachment in that eye and had surgery for the third time. Our doctor said that it was a really hard case but fortunately the surgery was successful. But I'm really worried that he just got back from his appointment with his doctor and his eyes are still not in a good condition as the doctor expected. Also, I did few research on the Internet and they all said that he can go blind completely since it seems like he is in the last stage of diabetic retinopathy. I believe that my dad already tried every treatment available at our country (eyeball injection, laser treatment, surgery,...).
So any idea on what should he do? Or there are any other method that we should try? Thank you.</t>
        </is>
      </c>
      <c r="D8185" t="n">
        <v>1</v>
      </c>
      <c r="E8185" t="n">
        <v>5</v>
      </c>
      <c r="F8185">
        <f>HYPERLINK("https://www.reddit.com/r/diabetes/comments/ep5vtd/really_worried_about_my_dads_eye_condition/")</f>
        <v/>
      </c>
      <c r="G8185" t="inlineStr">
        <is>
          <t>2020-01-15 10:10:09</t>
        </is>
      </c>
      <c r="H8185" t="inlineStr">
        <is>
          <t>Type 1</t>
        </is>
      </c>
    </row>
    <row r="8186">
      <c r="A8186" t="inlineStr">
        <is>
          <t>ep989t</t>
        </is>
      </c>
      <c r="B8186" t="inlineStr">
        <is>
          <t>Has anyone tried NutriSystem diabetes plan?</t>
        </is>
      </c>
      <c r="C8186" t="inlineStr">
        <is>
          <t>I've been trying to find ways to get my food under control with my busy lifestyle. I work a lot of hours and don't have a lot of time (and don't like doing it) for food prep. I don't mind cutting up some celery and red peppers for a few days of munching but I really am not a work in the kitchen for hours kinda person. Anyway, I came across the NutriSystem plan for diabetics, they send you a months worth of meals (5 days a week) at a time. So I'll still be on my own for 2 days of meals a week, which should work out. Just wondering if anyone else has tried it and what they thought?</t>
        </is>
      </c>
      <c r="D8186" t="n">
        <v>1</v>
      </c>
      <c r="E8186" t="n">
        <v>2</v>
      </c>
      <c r="F8186">
        <f>HYPERLINK("https://www.reddit.com/r/diabetes/comments/ep989t/has_anyone_tried_nutrisystem_diabetes_plan/")</f>
        <v/>
      </c>
      <c r="G8186" t="inlineStr">
        <is>
          <t>2020-01-15 14:00:39</t>
        </is>
      </c>
      <c r="H8186" t="inlineStr">
        <is>
          <t>Type 2</t>
        </is>
      </c>
    </row>
    <row r="8187">
      <c r="A8187" t="inlineStr">
        <is>
          <t>ep9n79</t>
        </is>
      </c>
      <c r="B8187" t="inlineStr">
        <is>
          <t>Just got diagnosed with type 2</t>
        </is>
      </c>
      <c r="C8187" t="inlineStr">
        <is>
          <t>As the titled reads,  I went for a DOT physical and found out my glucose level was so high that I needed to seek medical attention. I went to the hospital and got prescribed metformin ext rel. I am posting here to day to find out any general information about diet and exercise routines.  I wanted to see if anyone else was on the keto diet how well did it work for you. Favorite recipes?  
Thanks</t>
        </is>
      </c>
      <c r="D8187" t="n">
        <v>2</v>
      </c>
      <c r="E8187" t="n">
        <v>22</v>
      </c>
      <c r="F8187">
        <f>HYPERLINK("https://www.reddit.com/r/diabetes/comments/ep9n79/just_got_diagnosed_with_type_2/")</f>
        <v/>
      </c>
      <c r="G8187" t="inlineStr">
        <is>
          <t>2020-01-15 14:29:31</t>
        </is>
      </c>
      <c r="H8187" t="inlineStr">
        <is>
          <t>Type 2</t>
        </is>
      </c>
    </row>
    <row r="8188">
      <c r="A8188" t="inlineStr">
        <is>
          <t>epaghh</t>
        </is>
      </c>
      <c r="B8188" t="inlineStr">
        <is>
          <t>Getting pump training tomorrow and I feel nervous</t>
        </is>
      </c>
      <c r="C8188" t="inlineStr">
        <is>
          <t>Hello everyone!
Just wanted to ask for some advice and some encouragement regarding my pump training tomorrow
First off, I was diagnosed 3 years ago at the age of 27 and this has been extremely rough on me. I'm just finally coming to terms with all of this stuff and I'm excited to say I'm currently living my best life
When I first started with injections my insurance was shit so I was using a 70/30 mix that was horrible. I had no control over my sugars.  Now I'm using novolog and troujeo
After changing jobs, changing insurance, countless phone calls to pump manufacturers, I'm proud to say that I officially an owner of a T Slim X2 pump!  I still battling with insurance regarding getting a CGM (preferably a dexcom g6) so I'll be pumping without one
For some reason I'm getting real nervous to go into this training tomorrow and can't get out of my head. The training is going to be around 2-3 hours and I'm starting to feel overwhelmed.  Is pumping this crazy hard thing to do?  My trainer mentioned that it would be a longer training session due to the fact that I've never pumped before.  But for 2-3 hours? That seems like a lot of information.  I assume that the T Slim X2 booklet will come in handy for me but I just don't want to go into this training session and come out of it barely remembering anything.
I tend to research a lot of stuff before I buy into anything big like this and I feel like I have a good grasp on this stuff.
Am I the only person who got nervous before there training?</t>
        </is>
      </c>
      <c r="D8188" t="n">
        <v>1</v>
      </c>
      <c r="E8188" t="n">
        <v>12</v>
      </c>
      <c r="F8188">
        <f>HYPERLINK("https://www.reddit.com/r/diabetes/comments/epaghh/getting_pump_training_tomorrow_and_i_feel_nervous/")</f>
        <v/>
      </c>
      <c r="G8188" t="inlineStr">
        <is>
          <t>2020-01-15 15:28:11</t>
        </is>
      </c>
      <c r="H8188" t="inlineStr">
        <is>
          <t>Type 1</t>
        </is>
      </c>
    </row>
    <row r="8189">
      <c r="A8189" t="inlineStr">
        <is>
          <t>epbzph</t>
        </is>
      </c>
      <c r="B8189" t="inlineStr">
        <is>
          <t>My blood sugar is over 200 everyday for over a week.</t>
        </is>
      </c>
      <c r="C8189" t="inlineStr">
        <is>
          <t>I feel normal I guess but I'm paranoid, how fucked am I?</t>
        </is>
      </c>
      <c r="D8189" t="n">
        <v>1</v>
      </c>
      <c r="E8189" t="n">
        <v>27</v>
      </c>
      <c r="F8189">
        <f>HYPERLINK("https://www.reddit.com/r/diabetes/comments/epbzph/my_blood_sugar_is_over_200_everyday_for_over_a/")</f>
        <v/>
      </c>
      <c r="G8189" t="inlineStr">
        <is>
          <t>2020-01-15 17:26:27</t>
        </is>
      </c>
      <c r="H8189" t="inlineStr">
        <is>
          <t>Type 2</t>
        </is>
      </c>
    </row>
    <row r="8190">
      <c r="A8190" t="inlineStr">
        <is>
          <t>epmdd2</t>
        </is>
      </c>
      <c r="B8190" t="inlineStr">
        <is>
          <t>Tandem T:Slim pumps waste a lot of insulin</t>
        </is>
      </c>
      <c r="C8190" t="inlineStr">
        <is>
          <t>For any one with a T:Slim, how much insulin do you think you waste with every cartridge? 
I always fill my cartridges with 300 units of insulin. I just went through my last three cartridge changes and calculated how much insulin I took over those three cartridges and it averaged out to be 254 units. Given the 10 units to fill the tubing and maybe 1 - 2 units per cartridge to fill cannulas that is \~34 remaining units in each cartridge when it it stops working. About a day's worth of insulin for me. I have on occasion withdrawn the remaining insulin out for reinsertion in a new cartridge and it is generally around 30 units. 
Anyone else have this problem? Notice this problem? And for those of you on the T:Slim X2 does this still happen?
For those on other pumps is this just a general problem? I have only ever used T:Slim.
Thanks in advance!</t>
        </is>
      </c>
      <c r="D8190" t="n">
        <v>1</v>
      </c>
      <c r="E8190" t="n">
        <v>12</v>
      </c>
      <c r="F8190">
        <f>HYPERLINK("https://www.reddit.com/r/diabetes/comments/epmdd2/tandem_tslim_pumps_waste_a_lot_of_insulin/")</f>
        <v/>
      </c>
      <c r="G8190" t="inlineStr">
        <is>
          <t>2020-01-16 09:21:30</t>
        </is>
      </c>
      <c r="H8190" t="inlineStr">
        <is>
          <t>Type 1</t>
        </is>
      </c>
    </row>
    <row r="8191">
      <c r="A8191" t="inlineStr">
        <is>
          <t>epq9a7</t>
        </is>
      </c>
      <c r="B8191" t="inlineStr">
        <is>
          <t>Can low blood sugar trigger high blood pressure?</t>
        </is>
      </c>
      <c r="C8191" t="inlineStr">
        <is>
          <t>Wife lives mostly in the 100-120 range unfortunately.  Hospital brought her down to 60s this morning by over-compensating with insulin.  After 70 carb meal and more insulin, it made it to 80.  Secondary to this is a rise in systolic BP up to the 180s.  Pulse rate is down also.  She is usually in the 100-110s, but in the 80s now.  Anybody have any experience with this?</t>
        </is>
      </c>
      <c r="D8191" t="n">
        <v>1</v>
      </c>
      <c r="E8191" t="n">
        <v>7</v>
      </c>
      <c r="F8191">
        <f>HYPERLINK("https://www.reddit.com/r/diabetes/comments/epq9a7/can_low_blood_sugar_trigger_high_blood_pressure/")</f>
        <v/>
      </c>
      <c r="G8191" t="inlineStr">
        <is>
          <t>2020-01-16 13:51:48</t>
        </is>
      </c>
      <c r="H8191" t="inlineStr">
        <is>
          <t>Type 2</t>
        </is>
      </c>
    </row>
    <row r="8192">
      <c r="A8192" t="inlineStr">
        <is>
          <t>epr0dp</t>
        </is>
      </c>
      <c r="B8192" t="inlineStr">
        <is>
          <t>Medtronic 630G updating to a 670 through software alone?</t>
        </is>
      </c>
      <c r="C8192" t="inlineStr">
        <is>
          <t>Hi,
I'm a new pump user. My insurance denied me the 670 so i've been using the 630 for about two months. So during pump training i was telling the rep that i was bummed i was denied the 670 because of the auto features and was thinking about just paying out of pocket for the 670. she told me that she would wait on that if i were you and acted coy. today i log on to see about upgrading and i saw a message saying this...  
#### We are working on new technology that could make it possible to update your pump through a software download. Medtronic intends to offer this update at no cost through December 2020. Check back after our next product launch for more information.*
anybody know what's up?</t>
        </is>
      </c>
      <c r="D8192" t="n">
        <v>1</v>
      </c>
      <c r="E8192" t="n">
        <v>4</v>
      </c>
      <c r="F8192">
        <f>HYPERLINK("https://www.reddit.com/r/diabetes/comments/epr0dp/medtronic_630g_updating_to_a_670_through_software/")</f>
        <v/>
      </c>
      <c r="G8192" t="inlineStr">
        <is>
          <t>2020-01-16 14:43:07</t>
        </is>
      </c>
      <c r="H8192" t="inlineStr">
        <is>
          <t>Type 1.5/LADA</t>
        </is>
      </c>
    </row>
    <row r="8193">
      <c r="A8193" t="inlineStr">
        <is>
          <t>eps3q7</t>
        </is>
      </c>
      <c r="B8193" t="inlineStr">
        <is>
          <t>How to Waterproof a Tandem Pump</t>
        </is>
      </c>
      <c r="C8193" t="inlineStr">
        <is>
          <t>Has anyone managed to waterproof their Tandem pump in order to swim with it? I have to switch from my Animus pump which is fully waterproof. I prefer the Tandem to Medtronic, but I have been unable to find a fully waterproof, 8 rating, pouch. Does anybody have any suggestions?</t>
        </is>
      </c>
      <c r="D8193" t="n">
        <v>1</v>
      </c>
      <c r="E8193" t="n">
        <v>10</v>
      </c>
      <c r="F8193">
        <f>HYPERLINK("https://www.reddit.com/r/diabetes/comments/eps3q7/how_to_waterproof_a_tandem_pump/")</f>
        <v/>
      </c>
      <c r="G8193" t="inlineStr">
        <is>
          <t>2020-01-16 16:02:36</t>
        </is>
      </c>
      <c r="H8193" t="inlineStr">
        <is>
          <t>Type 1</t>
        </is>
      </c>
    </row>
    <row r="8194">
      <c r="A8194" t="inlineStr">
        <is>
          <t>epta1p</t>
        </is>
      </c>
      <c r="B8194" t="inlineStr">
        <is>
          <t>Xdrip+ users</t>
        </is>
      </c>
      <c r="C8194" t="inlineStr">
        <is>
          <t>Is anyone using xDrip+ with a newer Samsung phone? I'm having issue with dropped readings. I have read a lot of posts and tried different things. Nothing seems to totally resolve it.</t>
        </is>
      </c>
      <c r="D8194" t="n">
        <v>1</v>
      </c>
      <c r="E8194" t="n">
        <v>0</v>
      </c>
      <c r="F8194">
        <f>HYPERLINK("https://www.reddit.com/r/diabetes/comments/epta1p/xdrip_users/")</f>
        <v/>
      </c>
      <c r="G8194" t="inlineStr">
        <is>
          <t>2020-01-16 17:34:03</t>
        </is>
      </c>
      <c r="H8194" t="inlineStr">
        <is>
          <t>Type 1</t>
        </is>
      </c>
    </row>
    <row r="8195">
      <c r="A8195" t="inlineStr">
        <is>
          <t>epw0eo</t>
        </is>
      </c>
      <c r="B8195" t="inlineStr">
        <is>
          <t>Newly Diagnosed, Really Confused/Worried</t>
        </is>
      </c>
      <c r="C8195" t="inlineStr">
        <is>
          <t>Hey there.
So I was very recently, two weeks ago, diagnosed with T2 and I've been given a lot of information very quickly that's just been a bit overwhelming for me, so I thought I'd ask here for some knowledge and advice.
To start, I'm 31, male, 305 lbs. Over christmas I had an episode where I became quite sick, and throughout that day I felt nauseous, constantly thirsty, and urinated probably every hour for an entire day. This freaked me out a bit because I recognized it as signs of diabetes, as the disease does run in my family on my mom's side (though she doesn't have it). Because of what I described, my doctor had an A1C run on me, which came back at a 9.8 or so. I was then told to make an appointment with the clinical pharmacist there, who I was finally able to see 3 days ago, and she gave me a bunch of information and prescribed me metformin.
I was told by the both of them that because of my age and the fact that my fasting glucose a year ago was in the 80's, I should be able to turn this around with diet and exercise. Since then, I've been on a very strict low carb diet and I've been working out at least an hour a day. It's all very different from my behavior and lifestyle from before. I'm absolutely certain I allowed this to happen, because I didn't watch my diet very carefully. However a year ago I also worked in a warehouse, unloading trucks and lifting/stacking things for 10 hours a night 40-50 hours a week, so I was much more active than I became after I switched jobs. That's on me. I was also about 20 lbs lighter then too.
My question is, for those who went through a similar sort of situation, were you able to turn things around and get everything under control? I realize that even if my numbers return to the normal range, I won't be able to go back to the way things were before, and I am okay with that. I am okay with having to continue medication and watching my diet more closely, but I'd just like to do everything I can to return to healthy blood glucose levels and stop this from progressing to anything more serious. My grandmother had T2 and she didn't manage it at all and I watched it slowly destroy her, so I know how serious this is. I'm just looking for guidance from those who took this seriously and could help someone out who's new to this whole thing.
Also, for some context, I just started metformin 2 days ago so I realize it's not really in my system yet, but when waking up my blood glucose has been around 250-280, dropping throughout the day, especially after I work out (my lowest has been 204), but it always goes back up in the morning the following day. Is this normal? I was told I want to keep those numbers low, but also steady, and I don't know what to do about it when I am sleeping. Also, I had my blood sugar spike up by 90 when I checked it 2 hrs after eating dinner tonight, and that really surprised me. I had some grilled turkey, green beans, carrots, and sliced apples. No fancy sauces or syrups or anything, everything grilled, steamed, or fresh. I figured I'd get that kind of reaction if I ate cake or something, but it really jumped up there. And the scary part is I wouldn't have known if I hadn't checked it, because I didn't feel any different at all. Does anyone happen to have any insight?
Apologies for the lengthy post. I appreciate any advice or wisdom any of you might share with me. Thank you.</t>
        </is>
      </c>
      <c r="D8195" t="n">
        <v>1</v>
      </c>
      <c r="E8195" t="n">
        <v>10</v>
      </c>
      <c r="F8195">
        <f>HYPERLINK("https://www.reddit.com/r/diabetes/comments/epw0eo/newly_diagnosed_really_confusedworried/")</f>
        <v/>
      </c>
      <c r="G8195" t="inlineStr">
        <is>
          <t>2020-01-16 21:25:31</t>
        </is>
      </c>
      <c r="H8195" t="inlineStr">
        <is>
          <t>Type 2</t>
        </is>
      </c>
    </row>
    <row r="8196">
      <c r="A8196" t="inlineStr">
        <is>
          <t>epyqes</t>
        </is>
      </c>
      <c r="B8196" t="inlineStr">
        <is>
          <t>[Guide] Swimming with an Artificial Pancreas: How to Waterproof a Tandem t:slim Pump</t>
        </is>
      </c>
      <c r="C8196" t="inlineStr">
        <is>
          <t>I just remembered that the Tandem t:slim pumps (all models) are rated as IPX7. This means that they are waterproof and can be submerged in depths of up to 3 feet for up to 3 hours. As I said before in another post on this thread [here](https://www.reddit.com/r/diabetes/comments/eps3q7/how_to_waterproof_a_tandem_pump/femdjtf?utm_source=share&amp;amp;utm_medium=web2x) , you cannot use a waterproof case or waterproof enclosure without potentially obstructing the flow of insulin and having unexplained high blood sugars. I came up with a new and better technique to keep an insulin pump safe when swimming, which I just tested out this morning!
There are also people who have swam with electronic circuit boards, with wires running from the board to various parts of the person's body (although using a special technique/strategy), operating under electricity (battery powered) without frying the board and without using any sort of "waterproof case" or "waterproof enclosure". The particular circuit board that I am talking about also has Bluetooth connectivity, too. 
See journal article: Electrocardiography,  electromyography, and accelerometry signals collected with BITalino \[circuit board\]  while swimming: Device assembly and preliminary results: [https://sci-hub.tw/10.1109/iccp.2016.7737119](https://sci-hub.tw/10.1109/iccp.2016.7737119)
You can definitely employ a similar technique with a Tandem t:slim (all models) pump, although you will absolutely need to use 43 inch tubing! You will also need to place your Dexcom sensors on your upper arm, as electrical signals, including Bluetooth data, cannot be transmitted underwater. If you place the sensor on your upper arm, it stays above water long enough to be transmitted to the pump, if the pump is placed in the recommended position that the paper describes. I came up with a strategy similar to the one described in the paper referenced below. This will work with all strokes and for all forms of aquatic exercise, as long as you are not diving or submerging yourself in depths greater than 3 feet. Further down I wrote the strategy, which I am going to test out tomorrow! :-)
The method being used can be applied to insulin pumps. Basically:
1. Prior to swimming, always check to see if there are any sort of dents or cracks anywhere on the Tandem t:slim pump, especially near the micro-USB charging port and screen. Also, make sure that there are no recessed or uneven areas on the 4 edges of the screen. Manually inspect all sides of the micro-USB charging port cover to ensure that there are no tears or other irregularities in the plastic cover. Do not swim with the pump if you notice any sort of physical irregularity, even if the issue may seem extremely minor. Call Tandem Diabetes to obtain a replacement pump and/or replacement micro-USB charging port cover before proceeding further!
2. Check the seal of the plastic micro-USB charging port cover, both on the inside and outside of the plastic cover. On the inside of the plastic cover, make sure that there is a full rectangular imprint that seals the micro-USB port, with no chipped off plastic or cracks. Now, plug the port. Ensure that the cover is completely covering the micro-USB charging port, on all outer edges of the plastic micro-USB charging port cover. Also verify that the plastic micro-USB charging port cover is completely flush with the Tandem t:slim pump casing, ensuring that the micro-USB port was sealed properly.
3. (Not necessary but recommended) Get thin plastic film (saran wrap) and wrap the Tandem t:slim pump with it, while avoiding the tubing area.
4. (Either use duct tape or packing tape. Duct tape is far easier to cut off when done. With both tapes, plus the clear plastic film, you will not be able to see the pump screen, which I will detail a solution later.) Seal the plastic film by WRAPPING duct tape around the pump, excluding around the tubing area.
5. Also, get 2 pieces of thin plastic film that are around the same width of the pump and that are also slightly longer than the t:set connector (tubing "tail" that connects the infusion set tubing to the cartridge). Cover the t:set connector with these 2 pieces of film, while overlapping these 2 pieces of film with the pump body.
6. (Either use duct tape or packing tape. Duct tape is far easier to cut off when done. With both tapes, plus the clear and plastic film, you will not be able to see the pump screen, which I will detail a solution later.) Use 2 pieces of tape, slightly longer than the width of the insulin pump, to create a seal around the tubing area, by running one piece of tape each, respectively, for the top and bottom sides of the pump (if one were to lay the pump on a table).
7. Get 2 sandwich sized Ziploc bags. Put one sandwich bag over the pump. Remove air from the bag and seal the bag, with all of the taped portions inside of the bag. Ensure that the bag is as sealed as possible, excluding the tubing passing through the seal. Put the pump in the second sandwich bag, with the zipper on the opposite side of the first bag. Remove air from the bag and seal the bag. Check to make sure that the bag is as sealed as possible, excluding the tubing passing through the inside of the bag.
8. Disconnect from your insulin pump.
9. Put your bagged, wrapped, and taped insulin pump on top of your head. Orient the pump tubing to run along the backside of your neck. Get a silicone swim cap, and put it over your head and insulin pump. Try to make the cap fit as evenly as possible. Position the insulin pump in a way to ensure that the silicone cap stays in place as best as possible. Roll your neck and head to test this out. Also extend your neck and head backwards and forward, while practicing the freestyle/crawl and backstroke moves too.
10. Get 2 inch waterproof kinesiology tape. Cut between 1-5 strips of the tape. Tape down infusion set tubing at the neck, back, and abdomen positions so that the tubing does not get in the way of swimming.
11. Put on either your Apple Watch (you need an iPhone with the Dexcom app to do this) or use a Sony Smartwatch 3 with XDrip (best option) or use these specific patchable [Android Wear Watches with XDrip](https://github.com/NightscoutFoundation/xDrip/wiki/Patching-Android-Wear-devices-for-use-with-the-G5) (better option--if technically inclined) **to access your blood glucose data on your wrist, without needing your phone nearby.** Otherwise, you will need to keep your phone nearby to get glucose data either a phone or watch.
12. Get in the pool and have fun swimming! Lap swimming and kick turns are fine!
13. When done swimming and when as dried off as possible, remove tape strips that secured the infusion set to your body. Then use a pair of scissors to CAREFULLY cut the tape that covers the pump off. Start on the end with the t:set connector. Avoid cutting on a side facing the pump screen, at all costs.
14. Inspect your pump for any signs of moisture. If there is, revise your waterproofing technique.
15. Pack up and head home!</t>
        </is>
      </c>
      <c r="D8196" t="n">
        <v>1</v>
      </c>
      <c r="E8196" t="n">
        <v>3</v>
      </c>
      <c r="F8196">
        <f>HYPERLINK("https://www.reddit.com/r/diabetes/comments/epyqes/guide_swimming_with_an_artificial_pancreas_how_to/")</f>
        <v/>
      </c>
      <c r="G8196" t="inlineStr">
        <is>
          <t>2020-01-17 02:36:47</t>
        </is>
      </c>
      <c r="H8196" t="inlineStr">
        <is>
          <t>Type 1</t>
        </is>
      </c>
    </row>
    <row r="8197">
      <c r="A8197" t="inlineStr">
        <is>
          <t>eq14ci</t>
        </is>
      </c>
      <c r="B8197" t="inlineStr">
        <is>
          <t>Update: 8.9 A1C to 6.1 in 35 days</t>
        </is>
      </c>
      <c r="C8197" t="inlineStr">
        <is>
          <t>I just came back from the doctors. I have thr flu so it was a convenient time to ask for an update on my ac1 instead of just using home lots. I did notice these doctors were hesitant on doing another in just a month .. in had to insist ... my glucose was 128 and a1c at 6.1. Additionally I havent been taking metamorfin in over 2 weeks.</t>
        </is>
      </c>
      <c r="D8197" t="n">
        <v>1</v>
      </c>
      <c r="E8197" t="n">
        <v>7</v>
      </c>
      <c r="F8197">
        <f>HYPERLINK("https://www.reddit.com/r/diabetes/comments/eq14ci/update_89_a1c_to_61_in_35_days/")</f>
        <v/>
      </c>
      <c r="G8197" t="inlineStr">
        <is>
          <t>2020-01-17 06:34:20</t>
        </is>
      </c>
      <c r="H8197" t="inlineStr">
        <is>
          <t>Type 2</t>
        </is>
      </c>
    </row>
    <row r="8198">
      <c r="A8198" t="inlineStr">
        <is>
          <t>eq7o9q</t>
        </is>
      </c>
      <c r="B8198" t="inlineStr">
        <is>
          <t>Experiences with Alcohol</t>
        </is>
      </c>
      <c r="C8198" t="inlineStr">
        <is>
          <t>What are your experiences with consuming alcohol? 
Just curious</t>
        </is>
      </c>
      <c r="D8198" t="n">
        <v>1</v>
      </c>
      <c r="E8198" t="n">
        <v>9</v>
      </c>
      <c r="F8198">
        <f>HYPERLINK("https://www.reddit.com/r/diabetes/comments/eq7o9q/experiences_with_alcohol/")</f>
        <v/>
      </c>
      <c r="G8198" t="inlineStr">
        <is>
          <t>2020-01-17 14:32:30</t>
        </is>
      </c>
      <c r="H8198" t="inlineStr">
        <is>
          <t>Type 1</t>
        </is>
      </c>
    </row>
    <row r="8199">
      <c r="A8199" t="inlineStr">
        <is>
          <t>eq7occ</t>
        </is>
      </c>
      <c r="B8199" t="inlineStr">
        <is>
          <t>It’s not always easy</t>
        </is>
      </c>
      <c r="C8199" t="inlineStr">
        <is>
          <t>I am a type one diabetic and I was only just diagnosed October 18, 2018. I’m still learning and I’m still somewhat new to this but I can say it does get better. As time goes on you get more used to doing everything. As time goes on you may simplify things by getting stuff like insulin pumps or a dexcom. It will never be 100% east but you can adapt. Did I think my life was over at first? Yes maybe I did. But it really isn’t. In fact it’s opened so many opportunities for me that sometimes I wonder if this was a blessing in disguise. For everyone with diabetes you are amazing and strong and courageous for pushing through. No matter how high the high blood sugars get or how low they get it can always change. You can always change and fix stuff. There is a whole world ahead of you so don’t let this illness stop you from doing what you love. I feel like I’ve gotten offtrack but I’m to lazy to reread so excuse any mistakes or nonsensical sentences and try to take it as you will the way you will take on this unique experience. 😁</t>
        </is>
      </c>
      <c r="D8199" t="n">
        <v>1</v>
      </c>
      <c r="E8199" t="n">
        <v>1</v>
      </c>
      <c r="F8199">
        <f>HYPERLINK("https://www.reddit.com/r/diabetes/comments/eq7occ/its_not_always_easy/")</f>
        <v/>
      </c>
      <c r="G8199" t="inlineStr">
        <is>
          <t>2020-01-17 14:32:41</t>
        </is>
      </c>
      <c r="H8199" t="inlineStr">
        <is>
          <t>Type 1</t>
        </is>
      </c>
    </row>
    <row r="8200">
      <c r="A8200" t="inlineStr">
        <is>
          <t>eqacqi</t>
        </is>
      </c>
      <c r="B8200" t="inlineStr">
        <is>
          <t>Dexcom g6 placement</t>
        </is>
      </c>
      <c r="C8200" t="inlineStr">
        <is>
          <t xml:space="preserve"> I need to give my stomach a rest. I was thinking of trying my upper butt area. Do you need to be able pinch the area?</t>
        </is>
      </c>
      <c r="D8200" t="n">
        <v>1</v>
      </c>
      <c r="E8200" t="n">
        <v>5</v>
      </c>
      <c r="F8200">
        <f>HYPERLINK("https://www.reddit.com/r/diabetes/comments/eqacqi/dexcom_g6_placement/")</f>
        <v/>
      </c>
      <c r="G8200" t="inlineStr">
        <is>
          <t>2020-01-17 18:11:41</t>
        </is>
      </c>
      <c r="H8200" t="inlineStr">
        <is>
          <t>Type 1</t>
        </is>
      </c>
    </row>
    <row r="8201">
      <c r="A8201" t="inlineStr">
        <is>
          <t>eqckiw</t>
        </is>
      </c>
      <c r="B8201" t="inlineStr">
        <is>
          <t>Supplies</t>
        </is>
      </c>
      <c r="C8201" t="inlineStr">
        <is>
          <t>Anyone have spare G6 stuff or Tlock sets or rezs please let me know.  Thanks!</t>
        </is>
      </c>
      <c r="D8201" t="n">
        <v>1</v>
      </c>
      <c r="E8201" t="n">
        <v>1</v>
      </c>
      <c r="F8201">
        <f>HYPERLINK("https://www.reddit.com/r/diabetes/comments/eqckiw/supplies/")</f>
        <v/>
      </c>
      <c r="G8201" t="inlineStr">
        <is>
          <t>2020-01-17 21:44:55</t>
        </is>
      </c>
      <c r="H8201" t="inlineStr">
        <is>
          <t>Type 1</t>
        </is>
      </c>
    </row>
    <row r="8202">
      <c r="A8202" t="inlineStr">
        <is>
          <t>eqi9vx</t>
        </is>
      </c>
      <c r="B8202" t="inlineStr">
        <is>
          <t>Question regarding the liver and glucagon</t>
        </is>
      </c>
      <c r="C8202" t="inlineStr">
        <is>
          <t>Hi
I am a type 1 diabetic. I was wondering if anybody knew what happend to the glycogen stores in our livers since we don't have a pancreas to produce glucagon needed for glycogenolysis? 
Furthermore do any type 1 diabetics use glucagon on a regular basis?</t>
        </is>
      </c>
      <c r="D8202" t="n">
        <v>1</v>
      </c>
      <c r="E8202" t="n">
        <v>8</v>
      </c>
      <c r="F8202">
        <f>HYPERLINK("https://www.reddit.com/r/diabetes/comments/eqi9vx/question_regarding_the_liver_and_glucagon/")</f>
        <v/>
      </c>
      <c r="G8202" t="inlineStr">
        <is>
          <t>2020-01-18 08:15:37</t>
        </is>
      </c>
      <c r="H8202" t="inlineStr">
        <is>
          <t>Type 1</t>
        </is>
      </c>
    </row>
    <row r="8203">
      <c r="A8203" t="inlineStr">
        <is>
          <t>eqjgab</t>
        </is>
      </c>
      <c r="B8203" t="inlineStr">
        <is>
          <t>Understanding the barriers to Nutritional self-sufficiency in women with Type 2 Diabetes: Academic Survey</t>
        </is>
      </c>
      <c r="C8203" t="inlineStr">
        <is>
          <t xml:space="preserve"> 
# Understanding the barriers to Nutritional self-sufficiency in women with Type 2 Diabetes: Academic Survey
**Link to the survey:** [**https://www.surveymonkey.com/r/LN927M3**](https://www.surveymonkey.com/r/LN927M3)
Hi. I am a post-graduate student at Simmons University, authoring a paper attempting to understand the barriers to nutritional self-sufficiency in women with type 2 diabetes. For the purposes of that research, I have prepared a survey, and would like to ask women with Type 2 Diabetes to volunteer to assist with its completion.
**Survey Details:** The survey average completion time is 90 seconds, and the survey is completely anonymous. No remuneration is offered. A copy of the completed study is available to anyone who completes the survey upon request.
**Purpose of the research:** Existing research shows that there is an enormous social burden upon women with Type 2 Diabetes, who are often seen as the gatekeepers for food and nutrition in their households. This research study aims to explore the relationship between diabetic diet knowledge and diabetic nutritional self-sufficiency. Results could help the diabetes medical community better understand how to provide educational services to diabetic women with a view to increased patient nutritional self-sufficiency.
**Contact Information for Simmons University IRB:**
Nursing Department
Simmons University,
300 The Fenway S-334,
Boston, MA 02115
(617) 521-2718</t>
        </is>
      </c>
      <c r="D8203" t="n">
        <v>1</v>
      </c>
      <c r="E8203" t="n">
        <v>1</v>
      </c>
      <c r="F8203">
        <f>HYPERLINK("https://www.reddit.com/r/diabetes/comments/eqjgab/understanding_the_barriers_to_nutritional/")</f>
        <v/>
      </c>
      <c r="G8203" t="inlineStr">
        <is>
          <t>2020-01-18 09:37:18</t>
        </is>
      </c>
      <c r="H8203" t="inlineStr">
        <is>
          <t>Type 2</t>
        </is>
      </c>
    </row>
    <row r="8204">
      <c r="A8204" t="inlineStr">
        <is>
          <t>eqjy70</t>
        </is>
      </c>
      <c r="B8204" t="inlineStr">
        <is>
          <t>Dexcom app on the iPhone seemed to have "reset" itself last night. Anyone else?</t>
        </is>
      </c>
      <c r="C8204" t="inlineStr">
        <is>
          <t>I had to re-login, like the app was being run for the first time. Now, the app is telling me I need a fresh sensor with code. That seems like a huge waste of resources. It is noon in Chicago. Dexcom tech support phone number informs me that they are **closed**, and their regular hours are 8am until 8pm seven days a week. Not helpful. Did nyone else experience this? Maybe there was some update that bonked the app?</t>
        </is>
      </c>
      <c r="D8204" t="n">
        <v>1</v>
      </c>
      <c r="E8204" t="n">
        <v>1</v>
      </c>
      <c r="F8204">
        <f>HYPERLINK("https://www.reddit.com/r/diabetes/comments/eqjy70/dexcom_app_on_the_iphone_seemed_to_have_reset/")</f>
        <v/>
      </c>
      <c r="G8204" t="inlineStr">
        <is>
          <t>2020-01-18 10:12:41</t>
        </is>
      </c>
      <c r="H8204" t="inlineStr">
        <is>
          <t>Type 1</t>
        </is>
      </c>
    </row>
    <row r="8205">
      <c r="A8205" t="inlineStr">
        <is>
          <t>eqkzyp</t>
        </is>
      </c>
      <c r="B8205" t="inlineStr">
        <is>
          <t>What is the best way to support my boyfriend who was recently diagnosed with Type 1?</t>
        </is>
      </c>
      <c r="C8205" t="inlineStr">
        <is>
          <t>I apologize for formatting in advance, I’m on mobile.
My boyfriend is 25 and was just released from the hospital yesterday. He was in DKA for weeks and was just diagnosed with Type 1. He is healthier than anyone I’ve known so this was a shock to him, myself, and his family.
I spent the most time I could with him in the hospital (apart from going to classes) and learned what they taught him about checking blood sugar and administering insulin. We still have a lot to learn when it comes to trying to stay in range and knowing how much insulin his body needs.
So far, he’s been struggling to get his sugars into the normal range. He has a Bluetooth compatible glucose monitor so he can keep a record of his readings. He’s hoping to get a CGM and an insulin pump at some point.
I’ve been trying to give him some emotional support, telling him that it’s okay to be upset and angry. He’s been in good spirits so far (when he was diagnosed he immediately asked his dad to order him a Wilford Brimley shirt and mug) but I know that what he shows on the outside probably doesn’t reflect what’s going on inside. I told him that I’ll be there for him for any support he needs.
I’d really like to know some advice and tips for people who have been recently diagnosed, and tips for loved ones who want to support him. Basically, any advice is welcome!
My family has also mentioned that there is autoimmune therapies they are doing to restore some pancreatic function, but I’m not sure if I want to overload my boyfriend with too much information. I think maybe for now he should just focus on how to get his sugars under control, and worry about other possibilities later.
Lastly, we are in the U.S. so any advice on how to reduce the cost of insulin after insurance would be greatly appreciated!</t>
        </is>
      </c>
      <c r="D8205" t="n">
        <v>1</v>
      </c>
      <c r="E8205" t="n">
        <v>29</v>
      </c>
      <c r="F8205">
        <f>HYPERLINK("https://www.reddit.com/r/diabetes/comments/eqkzyp/what_is_the_best_way_to_support_my_boyfriend_who/")</f>
        <v/>
      </c>
      <c r="G8205" t="inlineStr">
        <is>
          <t>2020-01-18 11:26:34</t>
        </is>
      </c>
      <c r="H8205" t="inlineStr">
        <is>
          <t>Type 1</t>
        </is>
      </c>
    </row>
    <row r="8206">
      <c r="A8206" t="inlineStr">
        <is>
          <t>eqm1on</t>
        </is>
      </c>
      <c r="B8206" t="inlineStr">
        <is>
          <t>Is there something special about Gelato?</t>
        </is>
      </c>
      <c r="C8206" t="inlineStr">
        <is>
          <t>Between 11 and 11:30 I ate a pint of Talenti "Caramel Cookie Crunch" gelato. Here are my readings from 11 - 3.
![img](lwbmv5ygllb41)
For comparison, a Carolina Gold BBQ Chicken Sandwich with a side of broccoli (no rolls or anything else) from O'Charleys will push me from the same basic starting point up to close to 200. Throw in some sweet potato fries and I'll likely go over 200.   
Just a note - eating an entire pint of gelato isn't a normal thing for me, but I've seen the same behavior - rather flat readings - the other times I've eaten it as well, even though the portions were smaller then.</t>
        </is>
      </c>
      <c r="D8206" t="n">
        <v>1</v>
      </c>
      <c r="E8206" t="n">
        <v>14</v>
      </c>
      <c r="F8206">
        <f>HYPERLINK("https://www.reddit.com/r/diabetes/comments/eqm1on/is_there_something_special_about_gelato/")</f>
        <v/>
      </c>
      <c r="G8206" t="inlineStr">
        <is>
          <t>2020-01-18 12:43:54</t>
        </is>
      </c>
      <c r="H8206" t="inlineStr">
        <is>
          <t>Type 2</t>
        </is>
      </c>
    </row>
    <row r="8207">
      <c r="A8207" t="inlineStr">
        <is>
          <t>eqnwax</t>
        </is>
      </c>
      <c r="B8207" t="inlineStr">
        <is>
          <t>Senna for Constipation</t>
        </is>
      </c>
      <c r="C8207" t="inlineStr">
        <is>
          <t>Does anyone on here take senna tablets? Curious if any issues for diabetics. Also, does it mess with your Dexcom readings at all? No reason to think so, but just curious.</t>
        </is>
      </c>
      <c r="D8207" t="n">
        <v>1</v>
      </c>
      <c r="E8207" t="n">
        <v>4</v>
      </c>
      <c r="F8207">
        <f>HYPERLINK("https://www.reddit.com/r/diabetes/comments/eqnwax/senna_for_constipation/")</f>
        <v/>
      </c>
      <c r="G8207" t="inlineStr">
        <is>
          <t>2020-01-18 15:00:07</t>
        </is>
      </c>
      <c r="H8207" t="inlineStr">
        <is>
          <t>Type 1</t>
        </is>
      </c>
    </row>
    <row r="8208">
      <c r="A8208" t="inlineStr">
        <is>
          <t>eqocv6</t>
        </is>
      </c>
      <c r="B8208" t="inlineStr">
        <is>
          <t>Any tips for working out at the gym and avoiding lows?</t>
        </is>
      </c>
      <c r="C8208" t="inlineStr">
        <is>
          <t>I generally try some juice or bars prior but still end up with sugar pills at the end a good percentage of the time despite lowering insulin on gym days.
I've also tried the trick of not eating in the morning and working out which works, but I prefer evening workouts.
As always thanks for any information</t>
        </is>
      </c>
      <c r="D8208" t="n">
        <v>1</v>
      </c>
      <c r="E8208" t="n">
        <v>5</v>
      </c>
      <c r="F8208">
        <f>HYPERLINK("https://www.reddit.com/r/diabetes/comments/eqocv6/any_tips_for_working_out_at_the_gym_and_avoiding/")</f>
        <v/>
      </c>
      <c r="G8208" t="inlineStr">
        <is>
          <t>2020-01-18 15:34:41</t>
        </is>
      </c>
      <c r="H8208" t="inlineStr">
        <is>
          <t>Type 1</t>
        </is>
      </c>
    </row>
    <row r="8209">
      <c r="A8209" t="inlineStr">
        <is>
          <t>eqsys7</t>
        </is>
      </c>
      <c r="B8209" t="inlineStr">
        <is>
          <t>Taking birth control pills with type 1 diabetes</t>
        </is>
      </c>
      <c r="C8209" t="inlineStr">
        <is>
          <t>I am considering going on the pill but was reading online about how it is advised for type 1 diabetics to avoid it because of the negative effects on blood sugar levels and the increase risk for heart disease/strokes.
I was wondering if any type 1 diabetics who have gone on the pill could share with my how it went for them, the side effects, and any helpful information you think is important to know before going on it.
Thank you so much in advance!</t>
        </is>
      </c>
      <c r="D8209" t="n">
        <v>1</v>
      </c>
      <c r="E8209" t="n">
        <v>11</v>
      </c>
      <c r="F8209">
        <f>HYPERLINK("https://www.reddit.com/r/diabetes/comments/eqsys7/taking_birth_control_pills_with_type_1_diabetes/")</f>
        <v/>
      </c>
      <c r="G8209" t="inlineStr">
        <is>
          <t>2020-01-18 22:34:58</t>
        </is>
      </c>
      <c r="H8209" t="inlineStr">
        <is>
          <t>Type 1</t>
        </is>
      </c>
    </row>
    <row r="8210">
      <c r="A8210" t="inlineStr">
        <is>
          <t>eqvtqk</t>
        </is>
      </c>
      <c r="B8210" t="inlineStr">
        <is>
          <t>Any cure for type-2 diabetes?</t>
        </is>
      </c>
      <c r="C8210" t="inlineStr">
        <is>
          <t>Living with diabetes is so painful.Especially injecting insulin daily .</t>
        </is>
      </c>
      <c r="D8210" t="n">
        <v>1</v>
      </c>
      <c r="E8210" t="n">
        <v>11</v>
      </c>
      <c r="F8210">
        <f>HYPERLINK("https://www.reddit.com/r/diabetes/comments/eqvtqk/any_cure_for_type2_diabetes/")</f>
        <v/>
      </c>
      <c r="G8210" t="inlineStr">
        <is>
          <t>2020-01-19 04:46:41</t>
        </is>
      </c>
      <c r="H8210" t="inlineStr">
        <is>
          <t>Type 2</t>
        </is>
      </c>
    </row>
    <row r="8211">
      <c r="A8211" t="inlineStr">
        <is>
          <t>eqyfgq</t>
        </is>
      </c>
      <c r="B8211" t="inlineStr">
        <is>
          <t>Need some help with blood sugar control</t>
        </is>
      </c>
      <c r="C8211" t="inlineStr">
        <is>
          <t>My mom has been diagnosed with type 2 years ago and has since lowered her fasting bs to around 95 but the doctor still wants her on meds. I was wondering what type of diet could help get her off of her meds. She has been eating healthier and it helped she just seems discouraged that she is still on her meds
Thanks for any help</t>
        </is>
      </c>
      <c r="D8211" t="n">
        <v>1</v>
      </c>
      <c r="E8211" t="n">
        <v>6</v>
      </c>
      <c r="F8211">
        <f>HYPERLINK("https://www.reddit.com/r/diabetes/comments/eqyfgq/need_some_help_with_blood_sugar_control/")</f>
        <v/>
      </c>
      <c r="G8211" t="inlineStr">
        <is>
          <t>2020-01-19 08:31:03</t>
        </is>
      </c>
      <c r="H8211" t="inlineStr">
        <is>
          <t>Type 2</t>
        </is>
      </c>
    </row>
    <row r="8212">
      <c r="A8212" t="inlineStr">
        <is>
          <t>er10v7</t>
        </is>
      </c>
      <c r="B8212" t="inlineStr">
        <is>
          <t>My thoughts when I hear the urgent low alert.</t>
        </is>
      </c>
      <c r="C8212" t="inlineStr">
        <is>
          <t>&amp;amp;#x200B;
*Processing img joi06ignfsb41...*</t>
        </is>
      </c>
      <c r="D8212" t="n">
        <v>1</v>
      </c>
      <c r="E8212" t="n">
        <v>9</v>
      </c>
      <c r="F8212">
        <f>HYPERLINK("https://www.reddit.com/r/diabetes/comments/er10v7/my_thoughts_when_i_hear_the_urgent_low_alert/")</f>
        <v/>
      </c>
      <c r="G8212" t="inlineStr">
        <is>
          <t>2020-01-19 11:36:34</t>
        </is>
      </c>
      <c r="H8212" t="inlineStr">
        <is>
          <t>Type 1</t>
        </is>
      </c>
    </row>
    <row r="8213">
      <c r="A8213" t="inlineStr">
        <is>
          <t>er364u</t>
        </is>
      </c>
      <c r="B8213" t="inlineStr">
        <is>
          <t>Blucon waterproof vs non-waterproof</t>
        </is>
      </c>
      <c r="C8213" t="inlineStr">
        <is>
          <t>Does anyone here by any chance know if the sheer difference between the two is the rubber band in the battery lid? (And those stickers I still haven’t figured out of if they can be punctured for the off/on switch, hehe.)
I have a broken waterproof one and a working non-waterproof. Figured maybe if I move the battery lid of the waterproof one over to the non-waterproof: its waterproof? I mean, the devices otherwise look identical on the outside.</t>
        </is>
      </c>
      <c r="D8213" t="n">
        <v>1</v>
      </c>
      <c r="E8213" t="n">
        <v>0</v>
      </c>
      <c r="F8213">
        <f>HYPERLINK("https://www.reddit.com/r/diabetes/comments/er364u/blucon_waterproof_vs_nonwaterproof/")</f>
        <v/>
      </c>
      <c r="G8213" t="inlineStr">
        <is>
          <t>2020-01-19 14:06:36</t>
        </is>
      </c>
      <c r="H8213" t="inlineStr">
        <is>
          <t>Type 1</t>
        </is>
      </c>
    </row>
    <row r="8214">
      <c r="A8214" t="inlineStr">
        <is>
          <t>er59pr</t>
        </is>
      </c>
      <c r="B8214" t="inlineStr">
        <is>
          <t>Are you scared of your a1c?</t>
        </is>
      </c>
      <c r="C8214" t="inlineStr">
        <is>
          <t>I am so scared to get my a1c done. I have had such a high a1c for years due to lack of care in my teen years. I’m months overdue and terrified to go back now. My family acts like I’m a lost cause and I just don’t know what to do. Have you gone an excessive amount of months without getting your blood work done? What was the result?</t>
        </is>
      </c>
      <c r="D8214" t="n">
        <v>1</v>
      </c>
      <c r="E8214" t="n">
        <v>39</v>
      </c>
      <c r="F8214">
        <f>HYPERLINK("https://www.reddit.com/r/diabetes/comments/er59pr/are_you_scared_of_your_a1c/")</f>
        <v/>
      </c>
      <c r="G8214" t="inlineStr">
        <is>
          <t>2020-01-19 16:44:06</t>
        </is>
      </c>
      <c r="H8214" t="inlineStr">
        <is>
          <t>Type 1</t>
        </is>
      </c>
    </row>
    <row r="8215">
      <c r="A8215" t="inlineStr">
        <is>
          <t>eraou8</t>
        </is>
      </c>
      <c r="B8215" t="inlineStr">
        <is>
          <t>Type 2, meds not a working?</t>
        </is>
      </c>
      <c r="C8215" t="inlineStr">
        <is>
          <t>Hello! About two weeks ago I had a 380 glucose reading which was the start of this weird experience I have been having. Before my levels started rising I was taking 2,000mg of metformin daily, one 1,000mg in the am and one at night. I Had an a1c of 6.6 ish the last two times I saw my doctor. I hike and occasionally bike. I’ve lost over 40lbs and weigh under 200 finally for the first time in 10 years. 
&amp;amp;#x200B;
But now it seems like my meds stopped working for me? I went to the doctor after one week of being stuck anywhere from 200-400. She added 500 more mg of metformin and a 5mg glipizide for the morning. My doctor is new and thinks I’m not doing anything to change my health but i really do love bettering myself this way. 
&amp;amp;#x200B;
I had a glucose reading in the 400s on a day I got 19,000 steps walking around a city as a tourist all day and eating low carb meals.
I have slowly been lowering with diet and got down to the 300s. Then I cut carbs to about 50 grams a day and I got my readings down to 200s, low 300s.  Now I’m pretty much keto dieting and I’m achieving mid To low 100 readings but can jump to low 200 for my morning reading. All while still taking meds. I’m actually afraid my meds will kick in full force and I will have no carbs and have a bad low.
&amp;amp;#x200B;
I’ve been doing bursts of cardio like 15 minute jumping jacks and hiking a lot, sometimes two parks in one day. My brain is okay but a little foggy and I get a bit dizzy but sometimes I’m okay. 
&amp;amp;#x200B;
We have ruled sickness and uti out. 
&amp;amp;#x200B;
Has anyone heard of or gone through this before and what is your advice? 
&amp;amp;#x200B;
Hope this reads well, I wrote this because I cannot sleep.</t>
        </is>
      </c>
      <c r="D8215" t="n">
        <v>1</v>
      </c>
      <c r="E8215" t="n">
        <v>6</v>
      </c>
      <c r="F8215">
        <f>HYPERLINK("https://www.reddit.com/r/diabetes/comments/eraou8/type_2_meds_not_a_working/")</f>
        <v/>
      </c>
      <c r="G8215" t="inlineStr">
        <is>
          <t>2020-01-20 00:47:39</t>
        </is>
      </c>
      <c r="H8215" t="inlineStr">
        <is>
          <t>Type 2</t>
        </is>
      </c>
    </row>
    <row r="8216">
      <c r="A8216" t="inlineStr">
        <is>
          <t>erdnxn</t>
        </is>
      </c>
      <c r="B8216" t="inlineStr">
        <is>
          <t>Do I have Diabetes - If yes, which type?</t>
        </is>
      </c>
      <c r="C8216" t="inlineStr">
        <is>
          <t>My A1C is 5.4, yet my fasting blood glucose runs from 106 - 129?  My doc put me on Metformin 1/day.  I do not need insulin with a high blood sugar. As I was told, only low blood sugar requires insulin.  I'm not certain if I am diabetic or not.  Can someone please explain this further to me.  Thank you for all advice.  I certainly do not want to say I am diabetic and mislead any of my other doctors.</t>
        </is>
      </c>
      <c r="D8216" t="n">
        <v>1</v>
      </c>
      <c r="E8216" t="n">
        <v>11</v>
      </c>
      <c r="F8216">
        <f>HYPERLINK("https://www.reddit.com/r/diabetes/comments/erdnxn/do_i_have_diabetes_if_yes_which_type/")</f>
        <v/>
      </c>
      <c r="G8216" t="inlineStr">
        <is>
          <t>2020-01-20 06:10:46</t>
        </is>
      </c>
      <c r="H8216" t="inlineStr">
        <is>
          <t>Type 1</t>
        </is>
      </c>
    </row>
    <row r="8217">
      <c r="A8217" t="inlineStr">
        <is>
          <t>erdqcz</t>
        </is>
      </c>
      <c r="B8217" t="inlineStr">
        <is>
          <t>Guardian 3 Accuracy issues</t>
        </is>
      </c>
      <c r="C8217" t="inlineStr">
        <is>
          <t>Does anyone have *major* issues with the Guardian 3 being grossly off from your meter? My sensor was pulling 85 mg/dl today, but it didn't feel right, so I tested and was 302 mg/dl! This seems to happen more often than not...</t>
        </is>
      </c>
      <c r="D8217" t="n">
        <v>1</v>
      </c>
      <c r="E8217" t="n">
        <v>2</v>
      </c>
      <c r="F8217">
        <f>HYPERLINK("https://www.reddit.com/r/diabetes/comments/erdqcz/guardian_3_accuracy_issues/")</f>
        <v/>
      </c>
      <c r="G8217" t="inlineStr">
        <is>
          <t>2020-01-20 06:16:30</t>
        </is>
      </c>
      <c r="H8217" t="inlineStr">
        <is>
          <t>Type 1</t>
        </is>
      </c>
    </row>
    <row r="8218">
      <c r="A8218" t="inlineStr">
        <is>
          <t>erfnhl</t>
        </is>
      </c>
      <c r="B8218" t="inlineStr">
        <is>
          <t>Miao Miao doesn't work, may I get an explanation why?</t>
        </is>
      </c>
      <c r="C8218" t="inlineStr">
        <is>
          <t>So, first of all it's named B2302OTA which is a red flag, since other people's miao maio are just simply called, miao miao.
Second, it always reconnects every 2 minutes, also returns "Null" on xDrip. 
I tried resetting, I tried the Tomato app, I tried to restart my phone, to clean the cache, nothing worked.
Can I get some help or an explanation?</t>
        </is>
      </c>
      <c r="D8218" t="n">
        <v>1</v>
      </c>
      <c r="E8218" t="n">
        <v>2</v>
      </c>
      <c r="F8218">
        <f>HYPERLINK("https://www.reddit.com/r/diabetes/comments/erfnhl/miao_miao_doesnt_work_may_i_get_an_explanation_why/")</f>
        <v/>
      </c>
      <c r="G8218" t="inlineStr">
        <is>
          <t>2020-01-20 08:40:55</t>
        </is>
      </c>
      <c r="H8218" t="inlineStr">
        <is>
          <t>Type 1</t>
        </is>
      </c>
    </row>
    <row r="8219">
      <c r="A8219" t="inlineStr">
        <is>
          <t>erk629</t>
        </is>
      </c>
      <c r="B8219" t="inlineStr">
        <is>
          <t>14 year old struggling with keeping my diabetes in check, any tips?</t>
        </is>
      </c>
      <c r="C8219" t="inlineStr">
        <is>
          <t>So I’ve had diabetes for almost 3 years now and I still really can’t keep my blood sugar in check, on day It’s way above what’s it’s supposed to and the other it’s way below... And because of this I have become more “depressed” and I can’t focus on my homework. Any help is greatly appreciated, thanks 🙂</t>
        </is>
      </c>
      <c r="D8219" t="n">
        <v>1</v>
      </c>
      <c r="E8219" t="n">
        <v>15</v>
      </c>
      <c r="F8219">
        <f>HYPERLINK("https://www.reddit.com/r/diabetes/comments/erk629/14_year_old_struggling_with_keeping_my_diabetes/")</f>
        <v/>
      </c>
      <c r="G8219" t="inlineStr">
        <is>
          <t>2020-01-20 13:39:42</t>
        </is>
      </c>
      <c r="H8219" t="inlineStr">
        <is>
          <t>Type 1</t>
        </is>
      </c>
    </row>
    <row r="8220">
      <c r="A8220" t="inlineStr">
        <is>
          <t>erma6m</t>
        </is>
      </c>
      <c r="B8220" t="inlineStr">
        <is>
          <t>New Type 2....When to test BG to see impact of foods?</t>
        </is>
      </c>
      <c r="C8220" t="inlineStr">
        <is>
          <t>Newly diagnosed and figuring all this out. 
If I want to see the impact of a meal, when is the best time to test? I am assuming just before I eat, and then after, but when is the best time after? I know they say to test 2 hours after the meal, but I am assuming that is after the spike has started to subside? If I wanted to see the impact wouldn't it be better to test during the spike earlier?   
Thanks!</t>
        </is>
      </c>
      <c r="D8220" t="n">
        <v>1</v>
      </c>
      <c r="E8220" t="n">
        <v>8</v>
      </c>
      <c r="F8220">
        <f>HYPERLINK("https://www.reddit.com/r/diabetes/comments/erma6m/new_type_2when_to_test_bg_to_see_impact_of_foods/")</f>
        <v/>
      </c>
      <c r="G8220" t="inlineStr">
        <is>
          <t>2020-01-20 16:08:08</t>
        </is>
      </c>
      <c r="H8220" t="inlineStr">
        <is>
          <t>Type 2</t>
        </is>
      </c>
    </row>
    <row r="8221">
      <c r="A8221" t="inlineStr">
        <is>
          <t>erpf69</t>
        </is>
      </c>
      <c r="B8221" t="inlineStr">
        <is>
          <t>Prevent Lows After Exercise</t>
        </is>
      </c>
      <c r="C8221" t="inlineStr">
        <is>
          <t>Recently I’ve started insulin pump therapy using the omnipod system for about 6 months and after living a very sedentary lifestyle i’ve been trying to become more active. 
Ive gone to the gym a few times but it seems like after every workout i have, no matter how rigorous, im having terrible lows immediately after. The first time this happened my sugar was low for 5 hours which was extremely scary. 
Ive been talking to a friend thats been having the same issues and she recommended lowering my basal for a few hours or just turning my pump off all together a few hours before and after my workout. 
I was hoping i could get some feedback and maybe even some similar situations and what helped.</t>
        </is>
      </c>
      <c r="D8221" t="n">
        <v>1</v>
      </c>
      <c r="E8221" t="n">
        <v>6</v>
      </c>
      <c r="F8221">
        <f>HYPERLINK("https://www.reddit.com/r/diabetes/comments/erpf69/prevent_lows_after_exercise/")</f>
        <v/>
      </c>
      <c r="G8221" t="inlineStr">
        <is>
          <t>2020-01-20 20:25:16</t>
        </is>
      </c>
      <c r="H8221" t="inlineStr">
        <is>
          <t>Type 1</t>
        </is>
      </c>
    </row>
    <row r="8222">
      <c r="A8222" t="inlineStr">
        <is>
          <t>ersmjk</t>
        </is>
      </c>
      <c r="B8222" t="inlineStr">
        <is>
          <t>Do i have Diabetes ?</t>
        </is>
      </c>
      <c r="C8222" t="inlineStr">
        <is>
          <t>Just got my Hba1c results back and i am freaking [out. Do](https://out.Do) i have Diabetes or am i pre Diabetic ?Here are my result
Average Glucose Value for 3 months 105.41 mg/dl
Average Glucose Value for 3 months IFCC 5.84 mmol/L</t>
        </is>
      </c>
      <c r="D8222" t="n">
        <v>1</v>
      </c>
      <c r="E8222" t="n">
        <v>7</v>
      </c>
      <c r="F8222">
        <f>HYPERLINK("https://www.reddit.com/r/diabetes/comments/ersmjk/do_i_have_diabetes/")</f>
        <v/>
      </c>
      <c r="G8222" t="inlineStr">
        <is>
          <t>2020-01-21 02:10:26</t>
        </is>
      </c>
      <c r="H8222" t="inlineStr">
        <is>
          <t>Type 2</t>
        </is>
      </c>
    </row>
    <row r="8223">
      <c r="A8223" t="inlineStr">
        <is>
          <t>eruztx</t>
        </is>
      </c>
      <c r="B8223" t="inlineStr">
        <is>
          <t>Well, it finally happened. Came to with paramedics in my bedroom.</t>
        </is>
      </c>
      <c r="C8223" t="inlineStr">
        <is>
          <t>I had a good run. No major complications or emergencies requiring medical attention from 2001 through 2020!
That run is now over. Guess the wife called an ambulance this morning because I was so low I was being incredibly combative and, well, how I get when low, loopy and whatnot. Refused to believe I was low, refused sugar, etc. Tested my sugar about half an hour after drinking 2 litres of Pinepple juice and I was at 2.0 (36), no idea what sets a "low" warning on my meter which is what it gave me before.
Good times! Just wanted to share with you all. Based on the day so far, I didn't double dose on Lantus last night, so I have no idea what happened. Been sleeping poorly and off my regular schedule, sugar was a tad high after dinner last night and I only did 2 units of Humalog, so...yeah. No ideas, which is great...
Rock on!</t>
        </is>
      </c>
      <c r="D8223" t="n">
        <v>1</v>
      </c>
      <c r="E8223" t="n">
        <v>24</v>
      </c>
      <c r="F8223">
        <f>HYPERLINK("https://www.reddit.com/r/diabetes/comments/eruztx/well_it_finally_happened_came_to_with_paramedics/")</f>
        <v/>
      </c>
      <c r="G8223" t="inlineStr">
        <is>
          <t>2020-01-21 05:55:22</t>
        </is>
      </c>
      <c r="H8223" t="inlineStr">
        <is>
          <t>Type 1</t>
        </is>
      </c>
    </row>
    <row r="8224">
      <c r="A8224" t="inlineStr">
        <is>
          <t>erxupt</t>
        </is>
      </c>
      <c r="B8224" t="inlineStr">
        <is>
          <t>Losing my heart</t>
        </is>
      </c>
      <c r="C8224" t="inlineStr">
        <is>
          <t>I’m not sure how to handle my emotions too well. I’ve tried every antidepressant under the sun. Natural stuff too. Went thru trauma when I was 11. Abuse. Got diagnosed with t1d months after that. Lost my grandpa. And moved away from friends. Fast forward to today. Married. With a baby. I should be happy. I always tell myself that. But I can’t find the energy sometimes it’s so hard. I’m happy. I can be happy. But sometimes I can’t. I’m sick with pneumonia. My sugars have been absolutely out of control. I gave a 45u manual bolus yesterday. On top of my bolus and basal. It knocked me down to 150 only. From 400. I guess it’s normal since I’m sick? 
Here is the real worst part of it all. 
Nobody understand me. Period. I think there has to be someone here that knows what I’m saying. 
Take one good look at me and I look like a normal 26 year old. Healthy. Vibrant. Happy. But it’s far from the truth at times. I feel sick. My mood is swinging heavily. I’m a burden I know!! But I can’t seem to be able to control the emotional side effects of all of this. It isn’t until I start bursting at the seams that my loved ones are like oh okay. Yeah no I understand. But why do I have to get to that limit. It’s absolutely exhausting and exasperating. I feel like I’m alone in this many times. I don’t know what to do. What can truly help me cope. Help please?</t>
        </is>
      </c>
      <c r="D8224" t="n">
        <v>1</v>
      </c>
      <c r="E8224" t="n">
        <v>7</v>
      </c>
      <c r="F8224">
        <f>HYPERLINK("https://www.reddit.com/r/diabetes/comments/erxupt/losing_my_heart/")</f>
        <v/>
      </c>
      <c r="G8224" t="inlineStr">
        <is>
          <t>2020-01-21 09:22:48</t>
        </is>
      </c>
      <c r="H8224" t="inlineStr">
        <is>
          <t>Type 1</t>
        </is>
      </c>
    </row>
    <row r="8225">
      <c r="A8225" t="inlineStr">
        <is>
          <t>eryh8f</t>
        </is>
      </c>
      <c r="B8225" t="inlineStr">
        <is>
          <t>What to do with insulin pen that still has insulin?</t>
        </is>
      </c>
      <c r="C8225" t="inlineStr">
        <is>
          <t>Hi I'm a bit new to being diabetic so I'm still learning a lot. Anyway how would I dispose of insulin pen that still has insulin? I didn't know you have to throw it out after 30 days if you haven't used it all and I've had it well over 30 days oops... it's a fast acting insulin. I open a new pen today but I'm not sure what to do with the old one? Can I just throw it out? Do I have to take it somewhere? Also if anyone has any idea where I could surrender a sharps container that be great. Idk where I can bring it too. I've asked my dr and my pharmacist and they both told me they didn't know and I can't afford the 25$ shipping label to ship it off. I live in California if that helps at all.</t>
        </is>
      </c>
      <c r="D8225" t="n">
        <v>1</v>
      </c>
      <c r="E8225" t="n">
        <v>13</v>
      </c>
      <c r="F8225">
        <f>HYPERLINK("https://www.reddit.com/r/diabetes/comments/eryh8f/what_to_do_with_insulin_pen_that_still_has_insulin/")</f>
        <v/>
      </c>
      <c r="G8225" t="inlineStr">
        <is>
          <t>2020-01-21 10:07:36</t>
        </is>
      </c>
      <c r="H8225" t="inlineStr">
        <is>
          <t>Type 1</t>
        </is>
      </c>
    </row>
    <row r="8226">
      <c r="A8226" t="inlineStr">
        <is>
          <t>es1elc</t>
        </is>
      </c>
      <c r="B8226" t="inlineStr">
        <is>
          <t>Had my A1C Test on my Birthday...</t>
        </is>
      </c>
      <c r="C8226" t="inlineStr">
        <is>
          <t xml:space="preserve"> [https://imgur.com/a/zwB04wB](https://imgur.com/a/zwB04wB) 
[Found out in October I was type 2. Hadn't been to the doctors in like 10 years before that. Had an A1C of 8.2 Changed my diet, and a lot of thanks to this forum for giving me a lot of direction. I started out doing strict Keto, but when I learned that a banana had too many carbs for the day. I decided to take it easier and go low carb. I got my a1c down to 6.3 in 29 days. Then Yesterday 82 days after diagnosis I got my A1c to a 5.4 the normal range. I still have a lot of work to do, especially on the exricise front. But weight loss has been consisitant. Doc had put me on 500 MG extended release Metformin and wants to discuss taking me off it soon. Just not many people I can share this type of accomplishment with.](https://preview.redd.it/n9v0oo4h87c41.png?width=712&amp;amp;format=png&amp;amp;auto=webp&amp;amp;s=7a4edda25bef58d7d8de633885603c03171bdca9)</t>
        </is>
      </c>
      <c r="D8226" t="n">
        <v>1</v>
      </c>
      <c r="E8226" t="n">
        <v>4</v>
      </c>
      <c r="F8226">
        <f>HYPERLINK("https://www.reddit.com/r/diabetes/comments/es1elc/had_my_a1c_test_on_my_birthday/")</f>
        <v/>
      </c>
      <c r="G8226" t="inlineStr">
        <is>
          <t>2020-01-21 13:29:44</t>
        </is>
      </c>
      <c r="H8226" t="inlineStr">
        <is>
          <t>Type 2</t>
        </is>
      </c>
    </row>
    <row r="8227">
      <c r="A8227" t="inlineStr">
        <is>
          <t>es2gsq</t>
        </is>
      </c>
      <c r="B8227" t="inlineStr">
        <is>
          <t>Melatonin and basal testing.</t>
        </is>
      </c>
      <c r="C8227" t="inlineStr">
        <is>
          <t>I need to get up early, so I'll be taking melatonin to help me sleep earlier than usual. The thing is that I also wanted to basal test overnight tonight as well. Would the melatonin affect the test, should I wait for another night? Thanks for any help!</t>
        </is>
      </c>
      <c r="D8227" t="n">
        <v>1</v>
      </c>
      <c r="E8227" t="n">
        <v>9</v>
      </c>
      <c r="F8227">
        <f>HYPERLINK("https://www.reddit.com/r/diabetes/comments/es2gsq/melatonin_and_basal_testing/")</f>
        <v/>
      </c>
      <c r="G8227" t="inlineStr">
        <is>
          <t>2020-01-21 14:43:21</t>
        </is>
      </c>
      <c r="H8227" t="inlineStr">
        <is>
          <t>Type 1</t>
        </is>
      </c>
    </row>
    <row r="8228">
      <c r="A8228" t="inlineStr">
        <is>
          <t>es2mwt</t>
        </is>
      </c>
      <c r="B8228" t="inlineStr">
        <is>
          <t>Guess who was in such a hurry to get to her exam this morning that she forgot her insulin pump on her bed? and only realised when she was on the bus because something just didn’t feel quite right?</t>
        </is>
      </c>
      <c r="C8228" t="inlineStr">
        <is>
          <t>(Me) (I’m the dumbass)</t>
        </is>
      </c>
      <c r="D8228" t="n">
        <v>1</v>
      </c>
      <c r="E8228" t="n">
        <v>43</v>
      </c>
      <c r="F8228">
        <f>HYPERLINK("https://www.reddit.com/r/diabetes/comments/es2mwt/guess_who_was_in_such_a_hurry_to_get_to_her_exam/")</f>
        <v/>
      </c>
      <c r="G8228" t="inlineStr">
        <is>
          <t>2020-01-21 14:54:12</t>
        </is>
      </c>
      <c r="H8228" t="inlineStr">
        <is>
          <t>Type 1</t>
        </is>
      </c>
    </row>
    <row r="8229">
      <c r="A8229" t="inlineStr">
        <is>
          <t>es5cw6</t>
        </is>
      </c>
      <c r="B8229" t="inlineStr">
        <is>
          <t>Control IQ long wait for prescription to return.</t>
        </is>
      </c>
      <c r="C8229" t="inlineStr">
        <is>
          <t>Just wanted to put out some information for the tandem users waiting for the update.  If you're waiting for your prescription to come back from your endo, make sure they sent the right scrip back to tandem.  Even though I already had the Basal IQ update on my pump, there was a newer upgrade for it and when my endo signed the scrip he checked the upgrade for basal and not Control IQ.  I sent in the request through the portal on the 16th and hadn't heard anything back.  Today I called tandem and they looked up my account to see that the wrong update was submitted and had to resend the scrip to my endo.</t>
        </is>
      </c>
      <c r="D8229" t="n">
        <v>1</v>
      </c>
      <c r="E8229" t="n">
        <v>6</v>
      </c>
      <c r="F8229">
        <f>HYPERLINK("https://www.reddit.com/r/diabetes/comments/es5cw6/control_iq_long_wait_for_prescription_to_return/")</f>
        <v/>
      </c>
      <c r="G8229" t="inlineStr">
        <is>
          <t>2020-01-21 18:24:12</t>
        </is>
      </c>
      <c r="H8229" t="inlineStr">
        <is>
          <t>Type 1</t>
        </is>
      </c>
    </row>
    <row r="8230">
      <c r="A8230" t="inlineStr">
        <is>
          <t>es66nb</t>
        </is>
      </c>
      <c r="B8230" t="inlineStr">
        <is>
          <t>Help w diet for type1 and gastroparesis</t>
        </is>
      </c>
      <c r="C8230" t="inlineStr">
        <is>
          <t>What is good as some diet staples there ? Thought of quinoa but that seems bad for gastroparesis.</t>
        </is>
      </c>
      <c r="D8230" t="n">
        <v>1</v>
      </c>
      <c r="E8230" t="n">
        <v>1</v>
      </c>
      <c r="F8230">
        <f>HYPERLINK("https://www.reddit.com/r/diabetes/comments/es66nb/help_w_diet_for_type1_and_gastroparesis/")</f>
        <v/>
      </c>
      <c r="G8230" t="inlineStr">
        <is>
          <t>2020-01-21 19:32:21</t>
        </is>
      </c>
      <c r="H8230" t="inlineStr">
        <is>
          <t>Type 1</t>
        </is>
      </c>
    </row>
    <row r="8231">
      <c r="A8231" t="inlineStr">
        <is>
          <t>es6n9r</t>
        </is>
      </c>
      <c r="B8231" t="inlineStr">
        <is>
          <t>My friend has disbetes, im pretty sure its type 2</t>
        </is>
      </c>
      <c r="C8231" t="inlineStr">
        <is>
          <t>Im going to the mall with her for a birthda, and i honestly have no idea what diabetes is. It would be much appreciated if someone could explain diabetes to me in the comments. Thanks in advance!</t>
        </is>
      </c>
      <c r="D8231" t="n">
        <v>1</v>
      </c>
      <c r="E8231" t="n">
        <v>10</v>
      </c>
      <c r="F8231">
        <f>HYPERLINK("https://www.reddit.com/r/diabetes/comments/es6n9r/my_friend_has_disbetes_im_pretty_sure_its_type_2/")</f>
        <v/>
      </c>
      <c r="G8231" t="inlineStr">
        <is>
          <t>2020-01-21 20:12:06</t>
        </is>
      </c>
      <c r="H8231" t="inlineStr">
        <is>
          <t>Type 2</t>
        </is>
      </c>
    </row>
    <row r="8232">
      <c r="A8232" t="inlineStr">
        <is>
          <t>es7grr</t>
        </is>
      </c>
      <c r="B8232" t="inlineStr">
        <is>
          <t>Feeling hopeless about my blood sugar</t>
        </is>
      </c>
      <c r="C8232" t="inlineStr">
        <is>
          <t>I've been diagnosed with t1 since November and initially my blood sugars were alright if sometimes high. But then in December I started to go hypo a lot more to point I would have to significantly round down my insulin doses. I got switched from lantus to tresiba which did nothing and then had my morning ratio changed and it only helped slightly. I still end up in the 70s before lunch because there are 5 hours between my breakfast and lunch time. I'm getting really frustrated especially with the constant hypos. I don't have a cgm and can't afford to use more strips than really necessary so besides going back to my ending each week there's nothing I can really do.</t>
        </is>
      </c>
      <c r="D8232" t="n">
        <v>1</v>
      </c>
      <c r="E8232" t="n">
        <v>10</v>
      </c>
      <c r="F8232">
        <f>HYPERLINK("https://www.reddit.com/r/diabetes/comments/es7grr/feeling_hopeless_about_my_blood_sugar/")</f>
        <v/>
      </c>
      <c r="G8232" t="inlineStr">
        <is>
          <t>2020-01-21 21:28:01</t>
        </is>
      </c>
      <c r="H8232" t="inlineStr">
        <is>
          <t>Type 1</t>
        </is>
      </c>
    </row>
    <row r="8233">
      <c r="A8233" t="inlineStr">
        <is>
          <t>esavno</t>
        </is>
      </c>
      <c r="B8233" t="inlineStr">
        <is>
          <t>Do Type 2's go through a honeymoon phase?</t>
        </is>
      </c>
      <c r="C8233" t="inlineStr">
        <is>
          <t>I was recently diagnosed and find that I have to keep taking less and less insulin. My BG hovers in the 70's and 80's before meals, and under 110 after. My A1c was 13.3 at the time of diagnosis and my BG was in the 600s, this was 3 weeks ago (I was hospitalized with DKA) so it's a pretty drastic improvement. I've cut some carbs but I'm not low-carb just yet, and I've been dealing with some other health issues that keep me from exercising at the moment. 
I was originally diagnosed as t1 but my primary care doctor ordered some tests and I was negative for GAD antibodies, and even though my c-peptide was low, it was in range, I'm still producing my own insulin. 
I'm just curious if this is some form of a honeymoon phase (if that's possible in type 2s) or if it could be something else? The first days after leaving the hospital had me in the 300-400s again, but now I've had to cut my insulin by over half to keep myself from going low. My doctor wants to add metformin into the mix right now and I'm not sure what kind of effect that will have on me since I've read that it improves insulin sensitivity.</t>
        </is>
      </c>
      <c r="D8233" t="n">
        <v>1</v>
      </c>
      <c r="E8233" t="n">
        <v>4</v>
      </c>
      <c r="F8233">
        <f>HYPERLINK("https://www.reddit.com/r/diabetes/comments/esavno/do_type_2s_go_through_a_honeymoon_phase/")</f>
        <v/>
      </c>
      <c r="G8233" t="inlineStr">
        <is>
          <t>2020-01-22 03:54:03</t>
        </is>
      </c>
      <c r="H8233" t="inlineStr">
        <is>
          <t>Type 2</t>
        </is>
      </c>
    </row>
    <row r="8234">
      <c r="A8234" t="inlineStr">
        <is>
          <t>esh737</t>
        </is>
      </c>
      <c r="B8234" t="inlineStr">
        <is>
          <t>Sugar spikes as soon as I go to bed</t>
        </is>
      </c>
      <c r="C8234" t="inlineStr">
        <is>
          <t>I've noticed recently that almost as soon as I go to sleep my blood sugar will shoot up and start high overnight. I've bolused before (on a pen) but that makes me nervous as if it didn't go up, I'd be in trouble (no trouble yet, just some minor short lived hypoglycemia). Is there a way I should be dealing with this? It's screwing with my sleep.
I take a basal pen in the morning, should I consider increasing the dose?</t>
        </is>
      </c>
      <c r="D8234" t="n">
        <v>1</v>
      </c>
      <c r="E8234" t="n">
        <v>8</v>
      </c>
      <c r="F8234">
        <f>HYPERLINK("https://www.reddit.com/r/diabetes/comments/esh737/sugar_spikes_as_soon_as_i_go_to_bed/")</f>
        <v/>
      </c>
      <c r="G8234" t="inlineStr">
        <is>
          <t>2020-01-22 11:57:07</t>
        </is>
      </c>
      <c r="H8234" t="inlineStr">
        <is>
          <t>Type 1.5/LADA</t>
        </is>
      </c>
    </row>
    <row r="8235">
      <c r="A8235" t="inlineStr">
        <is>
          <t>esiqpu</t>
        </is>
      </c>
      <c r="B8235" t="inlineStr">
        <is>
          <t>Strength training for better blood glucose control</t>
        </is>
      </c>
      <c r="C8235" t="inlineStr">
        <is>
          <t>I’m writing this post hoping that it will help at least one other person. I am not a medical professional, and this should not be considered medical advice.
A little background: I was diagnosed as Type 2 about 7 years ago and immediately was started on Metformin and a low-carb diet. After a few years, my dose of Metformin was increased to 850 mg, and I was started on less than 20 u of Levemir at bedtime. This largely has kept my fasting blood glucose at less than 100 mg/dL. That said, like many of you, I have tried FMD, supplements, and other remedies to try to “reverse” the symptoms of my diabetes, but nothing has stuck.
For the last month, however, I have been strength training 3x a week (in addition to the 3x a week that I run) and this seems to have made an immediate and noticeable change in my blood glucose control. My estimated HbA1c is now at 5.4% (down from 5.6-5.8%; estimated by mySugr app and confirmed by blood tests), and I have had several days where I’m under 100 mg/dL each time that I test via finger prick. As well, my highest result for the month has come down from 180-200 to 140, and I’m no longer experiencing rebound lows.
In sum, I do believe strength training has been working for me (I use the Fitbod app, and have a cheap membership at Crunch Fitness), and I encourage others to try it if they haven’t yet.</t>
        </is>
      </c>
      <c r="D8235" t="n">
        <v>1</v>
      </c>
      <c r="E8235" t="n">
        <v>8</v>
      </c>
      <c r="F8235">
        <f>HYPERLINK("https://www.reddit.com/r/diabetes/comments/esiqpu/strength_training_for_better_blood_glucose_control/")</f>
        <v/>
      </c>
      <c r="G8235" t="inlineStr">
        <is>
          <t>2020-01-22 13:42:49</t>
        </is>
      </c>
      <c r="H8235" t="inlineStr">
        <is>
          <t>Type 2</t>
        </is>
      </c>
    </row>
    <row r="8236">
      <c r="A8236" t="inlineStr">
        <is>
          <t>esp9e1</t>
        </is>
      </c>
      <c r="B8236" t="inlineStr">
        <is>
          <t>Does anyone know where to get these?</t>
        </is>
      </c>
      <c r="C8236" t="inlineStr">
        <is>
          <t>My mom is a type 2 diabetic. She used to get these strips from a volunteer clinic she went to. But she doesn’t qualify to receive them anymore. Does anyone know if Walmart carries them or any other pharmacy i can get them at? Any help would be much appreciated.</t>
        </is>
      </c>
      <c r="D8236" t="n">
        <v>1</v>
      </c>
      <c r="E8236" t="n">
        <v>0</v>
      </c>
      <c r="F8236">
        <f>HYPERLINK("https://www.reddit.com/r/diabetes/comments/esp9e1/does_anyone_know_where_to_get_these/")</f>
        <v/>
      </c>
      <c r="G8236" t="inlineStr">
        <is>
          <t>2020-01-22 22:31:22</t>
        </is>
      </c>
      <c r="H8236" t="inlineStr">
        <is>
          <t>Type 2</t>
        </is>
      </c>
    </row>
    <row r="8237">
      <c r="A8237" t="inlineStr">
        <is>
          <t>esu1yq</t>
        </is>
      </c>
      <c r="B8237" t="inlineStr">
        <is>
          <t>Is there an actually release date yet for Control IQ?</t>
        </is>
      </c>
      <c r="C8237" t="inlineStr">
        <is>
          <t>I can't seem to find an actual date anywhere on Tandem's website. Also, as I am patiently waiting for Control IQ to get released, is there anything I can do to expedite the process, so when it is released I'm ready to rock n roll?</t>
        </is>
      </c>
      <c r="D8237" t="n">
        <v>1</v>
      </c>
      <c r="E8237" t="n">
        <v>21</v>
      </c>
      <c r="F8237">
        <f>HYPERLINK("https://www.reddit.com/r/diabetes/comments/esu1yq/is_there_an_actually_release_date_yet_for_control/")</f>
        <v/>
      </c>
      <c r="G8237" t="inlineStr">
        <is>
          <t>2020-01-23 06:45:45</t>
        </is>
      </c>
      <c r="H8237" t="inlineStr">
        <is>
          <t>Type 1</t>
        </is>
      </c>
    </row>
    <row r="8238">
      <c r="A8238" t="inlineStr">
        <is>
          <t>esuqq7</t>
        </is>
      </c>
      <c r="B8238" t="inlineStr">
        <is>
          <t>Omnipod and EKG</t>
        </is>
      </c>
      <c r="C8238" t="inlineStr">
        <is>
          <t>Omnipod is fine with EKG, right? Just wanted to make sure.</t>
        </is>
      </c>
      <c r="D8238" t="n">
        <v>1</v>
      </c>
      <c r="E8238" t="n">
        <v>3</v>
      </c>
      <c r="F8238">
        <f>HYPERLINK("https://www.reddit.com/r/diabetes/comments/esuqq7/omnipod_and_ekg/")</f>
        <v/>
      </c>
      <c r="G8238" t="inlineStr">
        <is>
          <t>2020-01-23 07:38:13</t>
        </is>
      </c>
      <c r="H8238" t="inlineStr">
        <is>
          <t>Type 1</t>
        </is>
      </c>
    </row>
    <row r="8239">
      <c r="A8239" t="inlineStr">
        <is>
          <t>esvqcf</t>
        </is>
      </c>
      <c r="B8239" t="inlineStr">
        <is>
          <t>Never used a CGM - Newbie concerns</t>
        </is>
      </c>
      <c r="C8239" t="inlineStr">
        <is>
          <t>Hi All,
I'm considering upgrading to the T-slim closed loop system with the G6, but have never used a CGM before and have some concerns. Any feedback you have would be really helpful!
1. To my knowledge, CGMs use a needle. I'm extremely active and a stomach sleeper to boot-- Does the sensor cause irritation? Does it cause scarring and scar tissue? I already have a lot of that from 14 years as a diabetic. I typically wear my sites on my stomach, as I don't have much fatty tissue elsewhere.
2. Is the sensor noticeable under your clothes? I'm female and wear a lot of tight clothing. I'm already a bit self-conscious of the bump my insulin pump creates.
3. How do you manage having two sites at once? Does this bother you at all?
4. How much do you pay for your sensors? I have good insurance but usually pay about $450 for a 3-months supply of strips, insulin, cartridges, and sets. I'm putting myself through school and don't have a lot of cash to spend elsewhere.
5. My blood sugars are typically well controlled but I do go low at least once a day. Do you think the benefits of a CGM outweigh my concerns above?
Thank you so much, everyone!</t>
        </is>
      </c>
      <c r="D8239" t="n">
        <v>1</v>
      </c>
      <c r="E8239" t="n">
        <v>8</v>
      </c>
      <c r="F8239">
        <f>HYPERLINK("https://www.reddit.com/r/diabetes/comments/esvqcf/never_used_a_cgm_newbie_concerns/")</f>
        <v/>
      </c>
      <c r="G8239" t="inlineStr">
        <is>
          <t>2020-01-23 08:47:25</t>
        </is>
      </c>
      <c r="H8239" t="inlineStr">
        <is>
          <t>Type 1</t>
        </is>
      </c>
    </row>
    <row r="8240">
      <c r="A8240" t="inlineStr">
        <is>
          <t>eswxty</t>
        </is>
      </c>
      <c r="B8240" t="inlineStr">
        <is>
          <t>Carrying pump supplies</t>
        </is>
      </c>
      <c r="C8240" t="inlineStr">
        <is>
          <t>I've switched on and off the pump lately, have a medtronic 670, how do you guys carry around all the extra supplies needed if something goes wrong or needs to be replaced?</t>
        </is>
      </c>
      <c r="D8240" t="n">
        <v>1</v>
      </c>
      <c r="E8240" t="n">
        <v>3</v>
      </c>
      <c r="F8240">
        <f>HYPERLINK("https://www.reddit.com/r/diabetes/comments/eswxty/carrying_pump_supplies/")</f>
        <v/>
      </c>
      <c r="G8240" t="inlineStr">
        <is>
          <t>2020-01-23 10:12:31</t>
        </is>
      </c>
      <c r="H8240" t="inlineStr">
        <is>
          <t>Type 1</t>
        </is>
      </c>
    </row>
    <row r="8241">
      <c r="A8241" t="inlineStr">
        <is>
          <t>esxt89</t>
        </is>
      </c>
      <c r="B8241" t="inlineStr">
        <is>
          <t>T2 Still going low every night</t>
        </is>
      </c>
      <c r="C8241" t="inlineStr">
        <is>
          <t>So I've had the Freestyle Libre for 8 weeks and i've gone from 27 units of basalgar down to 14. I'm still going low at night. It goes low every night. I understand sleeping on the sensor can change readings. I don't think I have been doing that because I change which arm it goes on. I dont wake up at all to use the bathroom. I don't wake up with any sense of being low. How far off I have been is astounding to me. How much more can I go? I dont see my doctor until April. Who is here or has been here? I don't want to die in my sleep but I guess that could be a nicer way to go.</t>
        </is>
      </c>
      <c r="D8241" t="n">
        <v>1</v>
      </c>
      <c r="E8241" t="n">
        <v>8</v>
      </c>
      <c r="F8241">
        <f>HYPERLINK("https://www.reddit.com/r/diabetes/comments/esxt89/t2_still_going_low_every_night/")</f>
        <v/>
      </c>
      <c r="G8241" t="inlineStr">
        <is>
          <t>2020-01-23 11:14:16</t>
        </is>
      </c>
      <c r="H8241" t="inlineStr">
        <is>
          <t>Type 2</t>
        </is>
      </c>
    </row>
    <row r="8242">
      <c r="A8242" t="inlineStr">
        <is>
          <t>et2wpo</t>
        </is>
      </c>
      <c r="B8242" t="inlineStr">
        <is>
          <t>Those w/ Dexcom G6, best spot for sensor?</t>
        </is>
      </c>
      <c r="C8242" t="inlineStr">
        <is>
          <t>Hello!
I am a G6 first time user, 6 days in and I’m loving it. My first sensor I tried on the left side of my stomach. It’s an okay spot but the adhesive is starting to come off. I think I also see a tiny amount of dry blood on the adhesive as well. That being said, where do you guys put your sensor at? I’m thinking about trying my arm, closer to my shoulder.</t>
        </is>
      </c>
      <c r="D8242" t="n">
        <v>1</v>
      </c>
      <c r="E8242" t="n">
        <v>20</v>
      </c>
      <c r="F8242">
        <f>HYPERLINK("https://www.reddit.com/r/diabetes/comments/et2wpo/those_w_dexcom_g6_best_spot_for_sensor/")</f>
        <v/>
      </c>
      <c r="G8242" t="inlineStr">
        <is>
          <t>2020-01-23 17:14:35</t>
        </is>
      </c>
      <c r="H8242" t="inlineStr">
        <is>
          <t>Type 1</t>
        </is>
      </c>
    </row>
    <row r="8243">
      <c r="A8243" t="inlineStr">
        <is>
          <t>et3iv0</t>
        </is>
      </c>
      <c r="B8243" t="inlineStr">
        <is>
          <t>Leaking from injection site</t>
        </is>
      </c>
      <c r="C8243" t="inlineStr">
        <is>
          <t>Hi all,
I'm sure this has happened to someone, but I injected my basalgar and it hurt for the time, and I dont think if any at all went in. Should I retake my dose (10 units?) It was quite a bit that came out of the site.</t>
        </is>
      </c>
      <c r="D8243" t="n">
        <v>1</v>
      </c>
      <c r="E8243" t="n">
        <v>1</v>
      </c>
      <c r="F8243">
        <f>HYPERLINK("https://www.reddit.com/r/diabetes/comments/et3iv0/leaking_from_injection_site/")</f>
        <v/>
      </c>
      <c r="G8243" t="inlineStr">
        <is>
          <t>2020-01-23 18:02:22</t>
        </is>
      </c>
      <c r="H8243" t="inlineStr">
        <is>
          <t>Type 2</t>
        </is>
      </c>
    </row>
    <row r="8244">
      <c r="A8244" t="inlineStr">
        <is>
          <t>et4is6</t>
        </is>
      </c>
      <c r="B8244" t="inlineStr">
        <is>
          <t>Questions about Tandem's Control IQ for the X2</t>
        </is>
      </c>
      <c r="C8244" t="inlineStr">
        <is>
          <t>I have been extremely excited about this coming update and am currently awaiting my doc to complete the necessary paperwork so that I could have access to this update.  But tonight I discovered something in the simulator that really bothers me.  I was hoping some folks that have already taken the update can answer some questions for me.  
In the Tsimulator app in google play store; I was playing with the Control IQ simulation and it appears that when you are using Control IQ you are forced to lock your insulin action at 5 hours.  If you turn off Control IQ you can then lower the action window.  But when you re-activate Control IQ it pushes it right back up to that 5 hour mark.  Is this true?  If it is; this is going to make my pump not very user friendly for me.  
I am currently using basal IQ and I really like what its doing for me; I also have my insulin action set to 3 hours.  I am currently using the pump off label with Fiasp and love the results I am getting.  But even if I was going to give up Fiasp for Control IQ and go back to either Novolog / Novorapid or Humalog my insulin action on those insulins was 4 hours for Humalog and 3 1/2 for the Novolog / Novorapid.  I know my metabolism very well and I currently maintain an a1c that is between 5.2-5.8.  I recognized that the range that Control IQ kicked in was much higher than the range I normally run in (80-140).  But I thought it would be handy for the sleep feature and also in case you have one of those weird nights were you spike a few hours after having a snack and need a slight increase in basal to cover the fat in a piece of cheese or nuts ect... I have some nights I cruise all night just fine.  But then there are nights were I ride just slightly above my range.  This is where I saw Control IQ could be a real benefit with the sleep function.  Now I am not sure I want to take this update for my pump.  
Calling my fellow control freaks for some feed back.  What have been your experiences?</t>
        </is>
      </c>
      <c r="D8244" t="n">
        <v>1</v>
      </c>
      <c r="E8244" t="n">
        <v>9</v>
      </c>
      <c r="F8244">
        <f>HYPERLINK("https://www.reddit.com/r/diabetes/comments/et4is6/questions_about_tandems_control_iq_for_the_x2/")</f>
        <v/>
      </c>
      <c r="G8244" t="inlineStr">
        <is>
          <t>2020-01-23 19:23:48</t>
        </is>
      </c>
      <c r="H8244" t="inlineStr">
        <is>
          <t>Type 1</t>
        </is>
      </c>
    </row>
    <row r="8245">
      <c r="A8245" t="inlineStr">
        <is>
          <t>et5ul8</t>
        </is>
      </c>
      <c r="B8245" t="inlineStr">
        <is>
          <t>Ketoacidosis at the drop of a hat?</t>
        </is>
      </c>
      <c r="C8245" t="inlineStr">
        <is>
          <t>I've had ketoacidosis over a dozen times in my time as a diabetic. The first one was obvious, I was on oral medication but needed insulin, was new to the disease and had no idea what was going on, had a terrible doctor who just nodded at every appointment and said "Good keep taking the pills" when he asked what my average sugars were and I said around 500. (Oh to go back in time and punch out then sue that guy.)
So one day I got up feeling terrible, puked up everything I tried to eat or drink, excruciating back pain (what's up with that don't find that as a symptom?), and went to the hospital where I was promptly put on insulin.
For years after I had terribly managed sugars due to not being able to afford the Lantus they put me on, and running out and going to the hospital for an 8-hour stay and then a cheap emergency prescription, because for over a decade no one told me I could get insulin for $25 at Walmart with no prescription even though they all knew the trouble I was constantly in, and I hate all doctors now! 
Anyway, long story short, I wasn't getting ketoacidosis that much during all that even though consistently high sugar is a classic cause, right? Now my sugars are better (though not perfect), and I've started to get ketoacidosis like... REALLY a lot, like ALL the time. I get the flu I get ketones. Well okay, infections can prompt them. But I get a small cold, I get stressed, I lose some sleep? Ketones ketones. KETONES, I start instantly dying, why?
Sometimes I'll be real bad and eat garbage and forget insulin, and my sugar will be way up, but nothing, no ketones. Yet huge massive ketones the day after if I have to get up early for the landlord to come fix the water!
Is it that common among diabetics or is it me? I've had diabetes for over 15 years now, but I have no diabetic friends or family (or friends or family at all, zing!), and every doctor I've ever had has been astoundingly unhelpful to me, so I'm working stuff out alone here.
Any insight would be super.</t>
        </is>
      </c>
      <c r="D8245" t="n">
        <v>1</v>
      </c>
      <c r="E8245" t="n">
        <v>24</v>
      </c>
      <c r="F8245">
        <f>HYPERLINK("https://www.reddit.com/r/diabetes/comments/et5ul8/ketoacidosis_at_the_drop_of_a_hat/")</f>
        <v/>
      </c>
      <c r="G8245" t="inlineStr">
        <is>
          <t>2020-01-23 21:22:23</t>
        </is>
      </c>
      <c r="H8245" t="inlineStr">
        <is>
          <t>Type 1</t>
        </is>
      </c>
    </row>
    <row r="8246">
      <c r="A8246" t="inlineStr">
        <is>
          <t>et6hos</t>
        </is>
      </c>
      <c r="B8246" t="inlineStr">
        <is>
          <t>Mental Block for Checking Blood Sugar</t>
        </is>
      </c>
      <c r="C8246" t="inlineStr">
        <is>
          <t xml:space="preserve"> I got diagnosed with type 2 in November of 2018. I used to have no problem checking my own blood sugar before Christmas 2018. Around January 2019, a mental block set in that made it so if someone who did not have a medical degree (including myself) tried to check my blood sugar, I tensed up and had a panic attack. My endocrinologist said to only check my blood sugar if I got sick. Recently, my A1C went up and my endocrinologist wants me to check my blood sugar daily. The mental block is still there, but I let my mom poke me for checking. 
Has this happened to anybody else? Is there a way that I can disable/break through this mental block?</t>
        </is>
      </c>
      <c r="D8246" t="n">
        <v>1</v>
      </c>
      <c r="E8246" t="n">
        <v>5</v>
      </c>
      <c r="F8246">
        <f>HYPERLINK("https://www.reddit.com/r/diabetes/comments/et6hos/mental_block_for_checking_blood_sugar/")</f>
        <v/>
      </c>
      <c r="G8246" t="inlineStr">
        <is>
          <t>2020-01-23 22:24:59</t>
        </is>
      </c>
      <c r="H8246" t="inlineStr">
        <is>
          <t>Type 2</t>
        </is>
      </c>
    </row>
    <row r="8247">
      <c r="A8247" t="inlineStr">
        <is>
          <t>et6irl</t>
        </is>
      </c>
      <c r="B8247" t="inlineStr">
        <is>
          <t>Help, Where can i get these strips</t>
        </is>
      </c>
      <c r="C8247" t="inlineStr">
        <is>
          <t>My mom used to get the Gluco navii strips at a volunteer clinic she went to. I was wondering if anyone knows where i could get them and if they are expensive ? She just needs the strips. She has the gluco navii meter. Any help and guidance would be appreciated thank you [meter and strip box](https://imgur.com/a/AaC6cAd/)</t>
        </is>
      </c>
      <c r="D8247" t="n">
        <v>1</v>
      </c>
      <c r="E8247" t="n">
        <v>2</v>
      </c>
      <c r="F8247">
        <f>HYPERLINK("https://www.reddit.com/r/diabetes/comments/et6irl/help_where_can_i_get_these_strips/")</f>
        <v/>
      </c>
      <c r="G8247" t="inlineStr">
        <is>
          <t>2020-01-23 22:27:55</t>
        </is>
      </c>
      <c r="H8247" t="inlineStr">
        <is>
          <t>Type 2</t>
        </is>
      </c>
    </row>
    <row r="8248">
      <c r="A8248" t="inlineStr">
        <is>
          <t>et7tx2</t>
        </is>
      </c>
      <c r="B8248" t="inlineStr">
        <is>
          <t>Type 2 - What BGL should I try and stay under</t>
        </is>
      </c>
      <c r="C8248" t="inlineStr">
        <is>
          <t>I was diagnosed recently with type 2. And I bought myself a GM to measure my levels. I have been trying to eat well this last week, and have hit about a max of 9 mmol/L (\~160 in US numbers) 2 hours after meals, and trying to figure out if that is ok, or if I should try and get lower. 
Online resources here in Aus say I should try and keep it under 10 mmol/L (180). Does that sound about right? Or should I be aiming for a different number to avoid damage?   
I asked my primary care doctor, and he said that I could discuss that with the diabetic specialist, but at this point I should just worry about losing weight. He is fine with me testing, but I am not sure if he didn't know or just didn't want to say. 
I have an appointment with a specialist in about 6 weeks, but I would love to know what levels you guys try and stay under.   
Thanks!</t>
        </is>
      </c>
      <c r="D8248" t="n">
        <v>1</v>
      </c>
      <c r="E8248" t="n">
        <v>3</v>
      </c>
      <c r="F8248">
        <f>HYPERLINK("https://www.reddit.com/r/diabetes/comments/et7tx2/type_2_what_bgl_should_i_try_and_stay_under/")</f>
        <v/>
      </c>
      <c r="G8248" t="inlineStr">
        <is>
          <t>2020-01-24 00:56:37</t>
        </is>
      </c>
      <c r="H8248" t="inlineStr">
        <is>
          <t>Type 2</t>
        </is>
      </c>
    </row>
    <row r="8249">
      <c r="A8249" t="inlineStr">
        <is>
          <t>et8vsc</t>
        </is>
      </c>
      <c r="B8249" t="inlineStr">
        <is>
          <t>All Major Insulins not working</t>
        </is>
      </c>
      <c r="C8249" t="inlineStr">
        <is>
          <t>Hello,
So as the title reads I have stopped adsorbing humalog (100), apidra, novolog, and humalog (200).
This process has been going on for years now and only getting worse with dramatic lipoatrophy occuring anywhere that I placed an omnipod filled with insulin.
Because of that, i had to switch back to pens but this past week those have stopped working leading to a lot of emergency doctor's appointments and an ER trip where no one has had any idea as to a cause yet.
I was wondering if anyone has had this happen to them or someone they know?
It's worth mentioning that during this entire time period my long acting Lantus Solostar has continued to work so rather than going into DKA every time I eat, i just sit up at 300+ mg/dl all day.
Any thoughts are appreciated!</t>
        </is>
      </c>
      <c r="D8249" t="n">
        <v>1</v>
      </c>
      <c r="E8249" t="n">
        <v>10</v>
      </c>
      <c r="F8249">
        <f>HYPERLINK("https://www.reddit.com/r/diabetes/comments/et8vsc/all_major_insulins_not_working/")</f>
        <v/>
      </c>
      <c r="G8249" t="inlineStr">
        <is>
          <t>2020-01-24 02:59:55</t>
        </is>
      </c>
      <c r="H8249" t="inlineStr">
        <is>
          <t>Type 1.5/LADA</t>
        </is>
      </c>
    </row>
    <row r="8250">
      <c r="A8250" t="inlineStr">
        <is>
          <t>eta1wc</t>
        </is>
      </c>
      <c r="B8250" t="inlineStr">
        <is>
          <t>Anyone else find milk has a huge effect on blood sugar?</t>
        </is>
      </c>
      <c r="C8250" t="inlineStr">
        <is>
          <t>I drink tea and coffee throughout the day and have found the milk has a huge effect on my blood sugar. I can fast and have black coffee only and my blood sugar is fine. If I fast but drink coffee with milk during the day by the end of the day my blood sugar has shot up. I find it hard to give up the milk and find the alternatives all taste gross.</t>
        </is>
      </c>
      <c r="D8250" t="n">
        <v>1</v>
      </c>
      <c r="E8250" t="n">
        <v>13</v>
      </c>
      <c r="F8250">
        <f>HYPERLINK("https://www.reddit.com/r/diabetes/comments/eta1wc/anyone_else_find_milk_has_a_huge_effect_on_blood/")</f>
        <v/>
      </c>
      <c r="G8250" t="inlineStr">
        <is>
          <t>2020-01-24 04:56:07</t>
        </is>
      </c>
      <c r="H8250" t="inlineStr">
        <is>
          <t>Type 2</t>
        </is>
      </c>
    </row>
    <row r="8251">
      <c r="A8251" t="inlineStr">
        <is>
          <t>etc687</t>
        </is>
      </c>
      <c r="B8251" t="inlineStr">
        <is>
          <t>LUTEAL PHASE INSULIN RESISTANCE</t>
        </is>
      </c>
      <c r="C8251" t="inlineStr">
        <is>
          <t>Hello,
To all the lady pumpers...Do you use different programs for insulin delivery that take into consideration Luteal Phase Insulin Resistance?
Thanks,</t>
        </is>
      </c>
      <c r="D8251" t="n">
        <v>1</v>
      </c>
      <c r="E8251" t="n">
        <v>16</v>
      </c>
      <c r="F8251">
        <f>HYPERLINK("https://www.reddit.com/r/diabetes/comments/etc687/luteal_phase_insulin_resistance/")</f>
        <v/>
      </c>
      <c r="G8251" t="inlineStr">
        <is>
          <t>2020-01-24 07:51:59</t>
        </is>
      </c>
      <c r="H8251" t="inlineStr">
        <is>
          <t>Type 1</t>
        </is>
      </c>
    </row>
    <row r="8252">
      <c r="A8252" t="inlineStr">
        <is>
          <t>etepmv</t>
        </is>
      </c>
      <c r="B8252" t="inlineStr">
        <is>
          <t>Calibrating xdrip</t>
        </is>
      </c>
      <c r="C8252" t="inlineStr">
        <is>
          <t>Hi, all.
I'm relatively new to using xdrip with my miaomiao2 and libre and wondered if you all could help me with understanding the xdrip calibration. On my first sensor, my readings were pretty much dead on. I changed to a new sensor last night.
Now, my readings are pretty consistently 20 points under what my fingersticks show. This is alright during the day (I guess, it messes up my average estimate); but my biggest complaint is at night because it messes with my alarms. When I enter the calibration into xdrip, it jumps up to around the calibration number, but when the miaomiao transmits again, it jumps back down. Is there a setting I can change that makes the calibration "stick"? Or would it even be useful to do this, if it's even possible?
If it's helpful, I followed these directions when setting up my miaomiao with xdrip: https://medium.com/@miaomiaoreader/how-to-make-libre-us-14-days-sensors-work-with-miaomiao2-on-xdrip-35b431a40940</t>
        </is>
      </c>
      <c r="D8252" t="n">
        <v>1</v>
      </c>
      <c r="E8252" t="n">
        <v>1</v>
      </c>
      <c r="F8252">
        <f>HYPERLINK("https://www.reddit.com/r/diabetes/comments/etepmv/calibrating_xdrip/")</f>
        <v/>
      </c>
      <c r="G8252" t="inlineStr">
        <is>
          <t>2020-01-24 10:51:04</t>
        </is>
      </c>
      <c r="H8252" t="inlineStr">
        <is>
          <t>Type 1</t>
        </is>
      </c>
    </row>
    <row r="8253">
      <c r="A8253" t="inlineStr">
        <is>
          <t>etfxgl</t>
        </is>
      </c>
      <c r="B8253" t="inlineStr">
        <is>
          <t>New to Metformin, always feeling sick</t>
        </is>
      </c>
      <c r="C8253" t="inlineStr">
        <is>
          <t>Recently got diagnosed with Type 2, got prescribed Metformin to help with my insulin uptake, but now basically every day I feel like I've got mild food poisoning. Ive been taking with meals etc as my doctor said I should, but is there anything else I can do to help prevent this?</t>
        </is>
      </c>
      <c r="D8253" t="n">
        <v>1</v>
      </c>
      <c r="E8253" t="n">
        <v>11</v>
      </c>
      <c r="F8253">
        <f>HYPERLINK("https://www.reddit.com/r/diabetes/comments/etfxgl/new_to_metformin_always_feeling_sick/")</f>
        <v/>
      </c>
      <c r="G8253" t="inlineStr">
        <is>
          <t>2020-01-24 12:16:38</t>
        </is>
      </c>
      <c r="H8253" t="inlineStr">
        <is>
          <t>Type 2</t>
        </is>
      </c>
    </row>
    <row r="8254">
      <c r="A8254" t="inlineStr">
        <is>
          <t>etg638</t>
        </is>
      </c>
      <c r="B8254" t="inlineStr">
        <is>
          <t>FreeStyle Libre</t>
        </is>
      </c>
      <c r="C8254" t="inlineStr">
        <is>
          <t>I just got put on the freestyle libre today but I have a question.
Say I was going to have a night out drinking, I would usually carry my blood monitor and my night insulin and this is quite bulky and I don't really want to carry a bag about.
Would I be able to just leave it at home and just use the libre as all I would need to carry then is my insulin and a few needles.
I know that the libre isn't as accurate as a finger prick.</t>
        </is>
      </c>
      <c r="D8254" t="n">
        <v>1</v>
      </c>
      <c r="E8254" t="n">
        <v>1</v>
      </c>
      <c r="F8254">
        <f>HYPERLINK("https://www.reddit.com/r/diabetes/comments/etg638/freestyle_libre/")</f>
        <v/>
      </c>
      <c r="G8254" t="inlineStr">
        <is>
          <t>2020-01-24 12:33:57</t>
        </is>
      </c>
      <c r="H8254" t="inlineStr">
        <is>
          <t>Type 1</t>
        </is>
      </c>
    </row>
    <row r="8255">
      <c r="A8255" t="inlineStr">
        <is>
          <t>ethz7p</t>
        </is>
      </c>
      <c r="B8255" t="inlineStr">
        <is>
          <t>Bydureon bcise.</t>
        </is>
      </c>
      <c r="C8255" t="inlineStr">
        <is>
          <t>3 month supply (3 boxes of 4 pens) of bydureon bcise i dont need. Expires June 2022. Stored properly in fridge. Hate for it to go to waste when there's people who need them...</t>
        </is>
      </c>
      <c r="D8255" t="n">
        <v>1</v>
      </c>
      <c r="E8255" t="n">
        <v>0</v>
      </c>
      <c r="F8255">
        <f>HYPERLINK("https://www.reddit.com/r/diabetes/comments/ethz7p/bydureon_bcise/")</f>
        <v/>
      </c>
      <c r="G8255" t="inlineStr">
        <is>
          <t>2020-01-24 14:45:53</t>
        </is>
      </c>
      <c r="H8255" t="inlineStr">
        <is>
          <t>Type 2</t>
        </is>
      </c>
    </row>
    <row r="8256">
      <c r="A8256" t="inlineStr">
        <is>
          <t>etjvp1</t>
        </is>
      </c>
      <c r="B8256" t="inlineStr">
        <is>
          <t>Cleaning Dexcom G6 Transmitter</t>
        </is>
      </c>
      <c r="C8256" t="inlineStr">
        <is>
          <t>Hey guys, so I have been using the Dexcom G6 CGM for about a year. I noticed that over time the transmitter gets dirty especially where you insert it into the sensor. I was wondering if it was possible to clean it with rubbing alcohol or something like that. Thank you</t>
        </is>
      </c>
      <c r="D8256" t="n">
        <v>1</v>
      </c>
      <c r="E8256" t="n">
        <v>18</v>
      </c>
      <c r="F8256">
        <f>HYPERLINK("https://www.reddit.com/r/diabetes/comments/etjvp1/cleaning_dexcom_g6_transmitter/")</f>
        <v/>
      </c>
      <c r="G8256" t="inlineStr">
        <is>
          <t>2020-01-24 17:10:28</t>
        </is>
      </c>
      <c r="H8256" t="inlineStr">
        <is>
          <t>Type 1</t>
        </is>
      </c>
    </row>
    <row r="8257">
      <c r="A8257" t="inlineStr">
        <is>
          <t>etk775</t>
        </is>
      </c>
      <c r="B8257" t="inlineStr">
        <is>
          <t>Coming to terms and trying to understand how I'm a diabetic (recently diagnosed)</t>
        </is>
      </c>
      <c r="C8257" t="inlineStr">
        <is>
          <t>Hello all. This is my first post on this subreddit and I'm hope I'm doing this right.
I got diagnosed with T2 Diabetes back at the end of December after being pre-diabetic for about two months.
Even still with neuropathy driving me insane daily, I can't understand stand how this happened to me. Here's some details about me:
Two years ago, I had blood sugar of mg/dL.
I was diagnosed with T2 at 18.
I have no family history of diabetes whatsoever.
I have never been overweight in my life and never had a BMI higher than 24.
I didn't have a particularly sedentary lifestyle. Did martial arts and stuff for years.
I went from completely normal to having awful neuropathy daily in 6ish months
What did I do to deserve this? How did this even happen to me? How does someone get diagnosed at 18 after just a few months with a disease that is supposed to take years to develop and that doesn't even happen till 40+?
I know this is just a long venting post, but if someone with more experience with living with diabetes can try to help me understand, it would help me sleep a lot better at night (if my feet weren't killing me, anyways...)
Thanks all.</t>
        </is>
      </c>
      <c r="D8257" t="n">
        <v>1</v>
      </c>
      <c r="E8257" t="n">
        <v>13</v>
      </c>
      <c r="F8257">
        <f>HYPERLINK("https://www.reddit.com/r/diabetes/comments/etk775/coming_to_terms_and_trying_to_understand_how_im_a/")</f>
        <v/>
      </c>
      <c r="G8257" t="inlineStr">
        <is>
          <t>2020-01-24 17:36:33</t>
        </is>
      </c>
      <c r="H8257" t="inlineStr">
        <is>
          <t>Type 2</t>
        </is>
      </c>
    </row>
    <row r="8258">
      <c r="A8258" t="inlineStr">
        <is>
          <t>etk78y</t>
        </is>
      </c>
      <c r="B8258" t="inlineStr">
        <is>
          <t>On hold with Tandem for 2 hours</t>
        </is>
      </c>
      <c r="C8258" t="inlineStr">
        <is>
          <t>Just needed to vent.
My pump died tonight (reset itself, flashing red LED, the whole shebang), and I can't get through to Tandem tech support because they are "experiencing high call volume."
I'd blame ControlIQ, but they make it pretty clear when you call that you need to make the update request through their website and not tie up the phone line.</t>
        </is>
      </c>
      <c r="D8258" t="n">
        <v>1</v>
      </c>
      <c r="E8258" t="n">
        <v>9</v>
      </c>
      <c r="F8258">
        <f>HYPERLINK("https://www.reddit.com/r/diabetes/comments/etk78y/on_hold_with_tandem_for_2_hours/")</f>
        <v/>
      </c>
      <c r="G8258" t="inlineStr">
        <is>
          <t>2020-01-24 17:36:42</t>
        </is>
      </c>
      <c r="H8258" t="inlineStr">
        <is>
          <t>Type 1</t>
        </is>
      </c>
    </row>
    <row r="8259">
      <c r="A8259" t="inlineStr">
        <is>
          <t>etl52f</t>
        </is>
      </c>
      <c r="B8259" t="inlineStr">
        <is>
          <t>I'm done.</t>
        </is>
      </c>
      <c r="C8259" t="inlineStr">
        <is>
          <t>I've only had T1D since 2018 but I've finally reached burnout point. My control has been near perfect since diagnosis, A1C from 12 to 5.8.... But I've had enough. This might sound weird to some but it's purely because of sensor insertions. I cannot do them. I hate every moment of them, and it takes me about 2 hours to do. I guess in that time I somehow fucked up my last one (Libre) by pushing and backing out too much, and instead of firing in it slid in and got jammed with the needle in my arm, and I really tried to push it so that the spring would activate but I just didn't have the courage. Even though I couldn't feel a thing (even with blood dripping) and even though every time I know it won't hurt me, I can't get over my fear of it. I don't know why. I'm just afraid that the needle will hit something. No amount of telling me "there's nothing for it to hit!" or how small the odds are can help me. I'm getting progressively worse at it and I'm wasting such a life saving product. And the funniest part of it all is I'm terrible without the sensors. I never got used to finger pricks. So right now I maybe check my blood sugar once or twice a day, lowered my lantus so that I'm higher than normal, and my control has gone down the shitter. But I have a relieving sense of "I DONT CARE ANYMORE!!!" this time. I know I'm emotionally charged for no good reason right now but fuck it, I don't give a shit whatever the fuck my blood sugar is and I don't want to fucking know. Fucking skipping college all the time with my pathetic excuses "waaaaa my blood sugar making me feel bad, waaaaaa my control is bad without my sensor" BULLSHIT, I'm pathetic. I realise I'm not even making sense anymore but I don't care, I feel like I just can't manage this disease for the time being! I've given up!!!! DKA I'm coming home!11111!!!!! Not really, but that's what my head is saying right now. I want to take my half-assed basal and curl up into bed and fall asleep. I had plans tomorrow but I don't go outside without a sensor because I'm that much of a manbaby that I can't handle teeny little painless finger pricks, or at least I tell myself I can't.
The reality is I never even tried.</t>
        </is>
      </c>
      <c r="D8259" t="n">
        <v>1</v>
      </c>
      <c r="E8259" t="n">
        <v>10</v>
      </c>
      <c r="F8259">
        <f>HYPERLINK("https://www.reddit.com/r/diabetes/comments/etl52f/im_done/")</f>
        <v/>
      </c>
      <c r="G8259" t="inlineStr">
        <is>
          <t>2020-01-24 18:58:37</t>
        </is>
      </c>
      <c r="H8259" t="inlineStr">
        <is>
          <t>Type 1</t>
        </is>
      </c>
    </row>
    <row r="8260">
      <c r="A8260" t="inlineStr">
        <is>
          <t>etsrp9</t>
        </is>
      </c>
      <c r="B8260" t="inlineStr">
        <is>
          <t>Today is my 4th "Happy I didn't diaversary!"</t>
        </is>
      </c>
      <c r="C8260" t="inlineStr">
        <is>
          <t>This diaversary snuck up on me. I'd completely forgotten all about it somehow. Feels like it's been a hell of a lot longer than just four years though haha. 
I told a couple of my friends in our group chat about it and one said something along the lines of "Not to be mean or anything, but I don't understand why you celebrate it. I don't celebrate when I had my appendix out, I just make uncomfortable jokes to blot out some of the traumatic memories." (His appendix ruptured so i can definitely imagine where he's coming from.)
I do choose to celebrate today though, because by the time I went to the hospital I was already on my deathbed. I had a raging UTI, My A1C was 15.5, my fasting sugar was over 750, and I'd lost nearly 30 pounds in the matter of a month. 
I have every other day of the year to feel angry, sorry for myself, bitter, sad, etc. I don't let myself feel those things today, because today is the day I didn't let diabetes win, and I continue to overcome it with every day I wake up and fight. 
So, happy diaversary to me. And may I have many more to come. 🥳🎉</t>
        </is>
      </c>
      <c r="D8260" t="n">
        <v>1</v>
      </c>
      <c r="E8260" t="n">
        <v>20</v>
      </c>
      <c r="F8260">
        <f>HYPERLINK("https://www.reddit.com/r/diabetes/comments/etsrp9/today_is_my_4th_happy_i_didnt_diaversary/")</f>
        <v/>
      </c>
      <c r="G8260" t="inlineStr">
        <is>
          <t>2020-01-25 08:23:12</t>
        </is>
      </c>
      <c r="H8260" t="inlineStr">
        <is>
          <t>Type 1</t>
        </is>
      </c>
    </row>
    <row r="8261">
      <c r="A8261" t="inlineStr">
        <is>
          <t>etth61</t>
        </is>
      </c>
      <c r="B8261" t="inlineStr">
        <is>
          <t>Im scared about my health...</t>
        </is>
      </c>
      <c r="C8261" t="inlineStr">
        <is>
          <t>Recently saw my GP for my 3 monthly HBA1C check, test came back with 14.3 hba1c
Aside from the usual hyperglycemia i also suffer from hypokaleimia ( low potassium levels between 2.3 - 3.5 ), leg cramps, arrhythmia and heart palpitations. Many hospitalizations
Im a T1D of 3 years, 17 years old, 187cm tall, 63kg
Ive had trouble with my insulin therapy in the past, but these last two months ive been taking my insulin and calculating my carbs great
I just dont understand why my body is a mess at the Moment 
Any assistance or advice would be much appreciated. 
Thanks for reading.</t>
        </is>
      </c>
      <c r="D8261" t="n">
        <v>1</v>
      </c>
      <c r="E8261" t="n">
        <v>16</v>
      </c>
      <c r="F8261">
        <f>HYPERLINK("https://www.reddit.com/r/diabetes/comments/etth61/im_scared_about_my_health/")</f>
        <v/>
      </c>
      <c r="G8261" t="inlineStr">
        <is>
          <t>2020-01-25 09:16:53</t>
        </is>
      </c>
      <c r="H8261" t="inlineStr">
        <is>
          <t>Type 1</t>
        </is>
      </c>
    </row>
    <row r="8262">
      <c r="A8262" t="inlineStr">
        <is>
          <t>etvf32</t>
        </is>
      </c>
      <c r="B8262" t="inlineStr">
        <is>
          <t>Sugar on empty vs non-empty stomach</t>
        </is>
      </c>
      <c r="C8262" t="inlineStr">
        <is>
          <t>So, a few weeks ago, I ate some skittles on an empty stomach and noticed that my glucose went up dramatically and quickly. Today, I ate some tuna salad (tuna, mayo, sweet pickle relish), cheese, and salami, and crackers. A few hours later (after my sugar had gone up and come back down, but staying within normal ranges), I ate the same amount of skittles. This time my glucose remained steady. 
Does the fact that I didn't eat them on an empty stomach the second time have a big impact on the glucose reaction? I know that including higher fiber items can help slow absorption, but I wasn't aware that food in general could have such an impact.</t>
        </is>
      </c>
      <c r="D8262" t="n">
        <v>1</v>
      </c>
      <c r="E8262" t="n">
        <v>5</v>
      </c>
      <c r="F8262">
        <f>HYPERLINK("https://www.reddit.com/r/diabetes/comments/etvf32/sugar_on_empty_vs_nonempty_stomach/")</f>
        <v/>
      </c>
      <c r="G8262" t="inlineStr">
        <is>
          <t>2020-01-25 11:38:42</t>
        </is>
      </c>
      <c r="H8262" t="inlineStr">
        <is>
          <t>Type 2</t>
        </is>
      </c>
    </row>
    <row r="8263">
      <c r="A8263" t="inlineStr">
        <is>
          <t>etvio7</t>
        </is>
      </c>
      <c r="B8263" t="inlineStr">
        <is>
          <t>TWO of the kids on Food Network's "Kids Baking Championship" have T1! (Season 8)</t>
        </is>
      </c>
      <c r="C8263" t="inlineStr">
        <is>
          <t>They waited until the 3rd episode to mention it - [you can watch that here if you pay for YouTube](https://youtu.be/jf2A6pd16Gc) \- but 12-year old Naima debunks our faaaaaavorite myth about T1D and sweets on camera (and you see her wearing her Dexcom on her arm.) You can also spot a flash of 11-year-old Elise's Omnipod later during judging. Elise was interviewed about her time on the show by [Diabetes Connection](https://diabetes-connections.com/competing-on-food-network-kids-baking-championship-with-t1d/). 
Sharing because it's always wonderful to see diabetic bakers and chefs. We should be able to love food publicly!</t>
        </is>
      </c>
      <c r="D8263" t="n">
        <v>1</v>
      </c>
      <c r="E8263" t="n">
        <v>39</v>
      </c>
      <c r="F8263">
        <f>HYPERLINK("https://www.reddit.com/r/diabetes/comments/etvio7/two_of_the_kids_on_food_networks_kids_baking/")</f>
        <v/>
      </c>
      <c r="G8263" t="inlineStr">
        <is>
          <t>2020-01-25 11:46:05</t>
        </is>
      </c>
      <c r="H8263" t="inlineStr">
        <is>
          <t>Type 1</t>
        </is>
      </c>
    </row>
    <row r="8264">
      <c r="A8264" t="inlineStr">
        <is>
          <t>etwr27</t>
        </is>
      </c>
      <c r="B8264" t="inlineStr">
        <is>
          <t>How do insulin correction factors work?</t>
        </is>
      </c>
      <c r="C8264" t="inlineStr">
        <is>
          <t>So I'm still really new to this and I'd love some help figuring this out. The people at the hospital did explain it to me but I'm still not 100% certain and don't want to make a mistake. 
So! My correction factor is 50, that means, if I understood it correctly anyways, that one unit of insulin corrects 50 BG points. 
My insulin to carb ratio is 1:0,5 so I need 0,5 units of insulin (I have a pen with half steps) per 10g of carbs. 
I'm supposed to subtract 1 unit for everything below a blood sugar of 120 and add one unit for everything above 190 (in steps of 50 so if I'm 50 over 190 I add 2 units if I'm 50 over that I add 3 etc.)
So here's my question: 
For breakfast I had two slices of bread, each one had 5g of carbs so it's a total of 10 grams. That would be half a unit of insulin. But since I had a blood sugar of 90 I had to subtract one unit and hence ended up with..nothing. 
Does that mean I just don't have to take insulin for that meal? Did I understand something super wrong? Because the people at the hospital said I'd have to take insulin for *every* meal. 
My numbers were around 90-120 after the meal that's right in my target range, even though I didn't take any insulin for that meal. 
Thanks!
Note: I'm still in the honeymoon phase if that makes a difference.</t>
        </is>
      </c>
      <c r="D8264" t="n">
        <v>1</v>
      </c>
      <c r="E8264" t="n">
        <v>1</v>
      </c>
      <c r="F8264">
        <f>HYPERLINK("https://www.reddit.com/r/diabetes/comments/etwr27/how_do_insulin_correction_factors_work/")</f>
        <v/>
      </c>
      <c r="G8264" t="inlineStr">
        <is>
          <t>2020-01-25 13:15:28</t>
        </is>
      </c>
      <c r="H8264" t="inlineStr">
        <is>
          <t>Type 1</t>
        </is>
      </c>
    </row>
    <row r="8265">
      <c r="A8265" t="inlineStr">
        <is>
          <t>etwyj2</t>
        </is>
      </c>
      <c r="B8265" t="inlineStr">
        <is>
          <t>Dexcom G6 calibration</t>
        </is>
      </c>
      <c r="C8265" t="inlineStr">
        <is>
          <t>I just started a brand new transmitter and sensor today and after the 2 hour warm up it wanted to blood tests. And now I'm the app there is a calibrate icon right on the home screen that before was in the menu to calibrate. Does this happen often to others? It seams of as well. Like 45 min later it was reading 125 checked blood and was 101. Could the transmitter be messed up? Or did u just put it in a bag spot? It is on my stomach fat, I am not very lean, so there is plenty of fast for it.  I am LADA Diabetic.</t>
        </is>
      </c>
      <c r="D8265" t="n">
        <v>1</v>
      </c>
      <c r="E8265" t="n">
        <v>4</v>
      </c>
      <c r="F8265">
        <f>HYPERLINK("https://www.reddit.com/r/diabetes/comments/etwyj2/dexcom_g6_calibration/")</f>
        <v/>
      </c>
      <c r="G8265" t="inlineStr">
        <is>
          <t>2020-01-25 13:30:41</t>
        </is>
      </c>
      <c r="H8265" t="inlineStr">
        <is>
          <t>Type 1.5/LADA</t>
        </is>
      </c>
    </row>
    <row r="8266">
      <c r="A8266" t="inlineStr">
        <is>
          <t>etx2nd</t>
        </is>
      </c>
      <c r="B8266" t="inlineStr">
        <is>
          <t>Diabetes and exercise</t>
        </is>
      </c>
      <c r="C8266" t="inlineStr">
        <is>
          <t>I remember someone posted a link or a study on exercise with someone who has diabetes. Does anyone have it or know what I’m talking about?
I’m interested in learning what aerobic or running does to your blood sugar levels versus weight training. 
I have T1D. 
Thanks!</t>
        </is>
      </c>
      <c r="D8266" t="n">
        <v>1</v>
      </c>
      <c r="E8266" t="n">
        <v>8</v>
      </c>
      <c r="F8266">
        <f>HYPERLINK("https://www.reddit.com/r/diabetes/comments/etx2nd/diabetes_and_exercise/")</f>
        <v/>
      </c>
      <c r="G8266" t="inlineStr">
        <is>
          <t>2020-01-25 13:39:15</t>
        </is>
      </c>
      <c r="H8266" t="inlineStr">
        <is>
          <t>Type 1</t>
        </is>
      </c>
    </row>
    <row r="8267">
      <c r="A8267" t="inlineStr">
        <is>
          <t>eu0rne</t>
        </is>
      </c>
      <c r="B8267" t="inlineStr">
        <is>
          <t>I hate the Control IQ update</t>
        </is>
      </c>
      <c r="C8267" t="inlineStr">
        <is>
          <t>Don't be like me. I updated my firmware a few days ago without really looking into the details of the update. I thought you could switch between Control IQ and Basal IQ, I was wrong. The target blood glucose of the control IQ is 110, and it will lower your basal significantly if your bg is below target. i've seen my basal rate drop 70% when my blood sugar is in the high 90s. it seems tandem is overly cautious about lows. If you tend to have tight control of your blood sugar, this update may not be for you. I much preferred the Basal IQ.
&amp;amp;#x200B;
Hoping to go back,
Paulyphagia</t>
        </is>
      </c>
      <c r="D8267" t="n">
        <v>1</v>
      </c>
      <c r="E8267" t="n">
        <v>5</v>
      </c>
      <c r="F8267">
        <f>HYPERLINK("https://www.reddit.com/r/diabetes/comments/eu0rne/i_hate_the_control_iq_update/")</f>
        <v/>
      </c>
      <c r="G8267" t="inlineStr">
        <is>
          <t>2020-01-25 18:31:57</t>
        </is>
      </c>
      <c r="H8267" t="inlineStr">
        <is>
          <t>Type 1</t>
        </is>
      </c>
    </row>
    <row r="8268">
      <c r="A8268" t="inlineStr">
        <is>
          <t>eu3m07</t>
        </is>
      </c>
      <c r="B8268" t="inlineStr">
        <is>
          <t>Newly diagnosed, I have some concerns.</t>
        </is>
      </c>
      <c r="C8268" t="inlineStr">
        <is>
          <t>So, I was diagnosed with type 2 diabetes a few days ago. I am still trying to figure out what I am going to do. Recently, I have switched over to a more low carb diet and I check my blood sugar about 6 times a day. Once before I eat and once 2 hours after each meal. I have been reading every label on the back of my food to count the number of sugars and carbs. I'm not sure if I am overreacting due to the massive fear of diabetes or is all of this worry, research and, general panic something that I should be feeling. I don't mean to be dramatic about this post but, I genuinely want to know if what I am feeling is right or am I just being a deva. I just feel like my family is looking at me like I'm the freak that wants to make sure that I don't lose a limb, my eyesight or, even worse die. Despite their diagnoses as well, I am the only one that seems to be scrambling to get my health in order.</t>
        </is>
      </c>
      <c r="D8268" t="n">
        <v>1</v>
      </c>
      <c r="E8268" t="n">
        <v>14</v>
      </c>
      <c r="F8268">
        <f>HYPERLINK("https://www.reddit.com/r/diabetes/comments/eu3m07/newly_diagnosed_i_have_some_concerns/")</f>
        <v/>
      </c>
      <c r="G8268" t="inlineStr">
        <is>
          <t>2020-01-25 23:10:27</t>
        </is>
      </c>
      <c r="H8268" t="inlineStr">
        <is>
          <t>Type 2</t>
        </is>
      </c>
    </row>
    <row r="8269">
      <c r="A8269" t="inlineStr">
        <is>
          <t>eu7jfs</t>
        </is>
      </c>
      <c r="B8269" t="inlineStr">
        <is>
          <t>Extending bolus?</t>
        </is>
      </c>
      <c r="C8269" t="inlineStr">
        <is>
          <t>Hey everyone I need help, do you extend bolus by counting a certain amount of fats? How does it work exactly? What’s your minimum number of fats to extend bolus my specialist told me to do 50% now and 50% later.</t>
        </is>
      </c>
      <c r="D8269" t="n">
        <v>1</v>
      </c>
      <c r="E8269" t="n">
        <v>6</v>
      </c>
      <c r="F8269">
        <f>HYPERLINK("https://www.reddit.com/r/diabetes/comments/eu7jfs/extending_bolus/")</f>
        <v/>
      </c>
      <c r="G8269" t="inlineStr">
        <is>
          <t>2020-01-26 06:47:28</t>
        </is>
      </c>
      <c r="H8269" t="inlineStr">
        <is>
          <t>Type 1.5/LADA</t>
        </is>
      </c>
    </row>
    <row r="8270">
      <c r="A8270" t="inlineStr">
        <is>
          <t>eua6qg</t>
        </is>
      </c>
      <c r="B8270" t="inlineStr">
        <is>
          <t>How to reduce belly fat with type 2 diabetes?</t>
        </is>
      </c>
      <c r="C8270" t="inlineStr">
        <is>
          <t>I'm underweight but have a huge belly. Am taking control of my diet and mainly eating Keto. But somehow the belly is just not shrinking (although, I am losing some weight here and there).   
How to handle this belly situation with diabetes?</t>
        </is>
      </c>
      <c r="D8270" t="n">
        <v>1</v>
      </c>
      <c r="E8270" t="n">
        <v>8</v>
      </c>
      <c r="F8270">
        <f>HYPERLINK("https://www.reddit.com/r/diabetes/comments/eua6qg/how_to_reduce_belly_fat_with_type_2_diabetes/")</f>
        <v/>
      </c>
      <c r="G8270" t="inlineStr">
        <is>
          <t>2020-01-26 10:04:29</t>
        </is>
      </c>
      <c r="H8270" t="inlineStr">
        <is>
          <t>Type 2</t>
        </is>
      </c>
    </row>
    <row r="8271">
      <c r="A8271" t="inlineStr">
        <is>
          <t>eujoyt</t>
        </is>
      </c>
      <c r="B8271" t="inlineStr">
        <is>
          <t>Suggestions other than juice?</t>
        </is>
      </c>
      <c r="C8271" t="inlineStr">
        <is>
          <t>Hi, so my endo suggested apple or orange juice for my lows. I understand because it works quickly, but I don't like apple juice or orange juice... I never have. I meant to ask my endo if there is other juices or something that would be ok but it was the first time see a endo and I was so nervous I forgot. So is it ok if I ask here?😓</t>
        </is>
      </c>
      <c r="D8271" t="n">
        <v>1</v>
      </c>
      <c r="E8271" t="n">
        <v>37</v>
      </c>
      <c r="F8271">
        <f>HYPERLINK("https://www.reddit.com/r/diabetes/comments/eujoyt/suggestions_other_than_juice/")</f>
        <v/>
      </c>
      <c r="G8271" t="inlineStr">
        <is>
          <t>2020-01-26 21:49:35</t>
        </is>
      </c>
      <c r="H8271" t="inlineStr">
        <is>
          <t>Type 1</t>
        </is>
      </c>
    </row>
    <row r="8272">
      <c r="A8272" t="inlineStr">
        <is>
          <t>eunb0f</t>
        </is>
      </c>
      <c r="B8272" t="inlineStr">
        <is>
          <t>Target keeps getting less restrictive and I'm a bit worried</t>
        </is>
      </c>
      <c r="C8272" t="inlineStr">
        <is>
          <t>When I first got diagnosed with diabetes (2012 in Spain) my target was 70-130, then upon getting my treatment in Belgium a couple years later (2016) they changed my target to 70-150, today they claimed 70-180 is the new standard target and a safe range ressembling that of a normoglycemic person.
I'm a bit worried about accepring these new ranges and exposing myself to potential 2ary pathologies.
What are your personal ranges? What about the ones your endos recommend?</t>
        </is>
      </c>
      <c r="D8272" t="n">
        <v>1</v>
      </c>
      <c r="E8272" t="n">
        <v>9</v>
      </c>
      <c r="F8272">
        <f>HYPERLINK("https://www.reddit.com/r/diabetes/comments/eunb0f/target_keeps_getting_less_restrictive_and_im_a/")</f>
        <v/>
      </c>
      <c r="G8272" t="inlineStr">
        <is>
          <t>2020-01-27 04:32:52</t>
        </is>
      </c>
      <c r="H8272" t="inlineStr">
        <is>
          <t>Type 1</t>
        </is>
      </c>
    </row>
    <row r="8273">
      <c r="A8273" t="inlineStr">
        <is>
          <t>eunzut</t>
        </is>
      </c>
      <c r="B8273" t="inlineStr">
        <is>
          <t>What effects blood sugar other then food?</t>
        </is>
      </c>
      <c r="C8273" t="inlineStr">
        <is>
          <t>&amp;amp;#x200B;
[So. I'm Type 2, just got a Freestyle Libre and man having this data can mess with someone. I just got my A1c back and I'm at 5.7. I decided to stop taking metformin last week, and haven't noticed my numbers be that much different.  I set my range for 70-120. ](https://preview.redd.it/dzrtg72kpbd41.png?width=828&amp;amp;format=png&amp;amp;auto=webp&amp;amp;s=9d9044953f3f6d33d09298df4a329fa1f20c7550)
But this morning I was suprised at this numbers. I was tired from not sleeping much the night before, but Blood sugar was normal. Didn't snack. Woke up early just laid in bed, when I went to work at 5 AM, I had some skinny POP (one small bag) 6ish . But I have never even had a number this low, I also think that I have a recurrence of a Pilonidal cyst coming in. I guess am I wondering is this something I should be worried about?  Other then food what else sends your guys numbers out of whack?</t>
        </is>
      </c>
      <c r="D8273" t="n">
        <v>1</v>
      </c>
      <c r="E8273" t="n">
        <v>10</v>
      </c>
      <c r="F8273">
        <f>HYPERLINK("https://www.reddit.com/r/diabetes/comments/eunzut/what_effects_blood_sugar_other_then_food/")</f>
        <v/>
      </c>
      <c r="G8273" t="inlineStr">
        <is>
          <t>2020-01-27 05:37:17</t>
        </is>
      </c>
      <c r="H8273" t="inlineStr">
        <is>
          <t>Type 2</t>
        </is>
      </c>
    </row>
    <row r="8274">
      <c r="A8274" t="inlineStr">
        <is>
          <t>euq8pq</t>
        </is>
      </c>
      <c r="B8274" t="inlineStr">
        <is>
          <t>Insulin resistance spiked essentially overnight. Should I be concerned?</t>
        </is>
      </c>
      <c r="C8274" t="inlineStr">
        <is>
          <t>So I'm a new-ish T1D.  Until recently I've been able to keep my sugar in range pretty well for the most part. About 5 days ago I started noticing that I would eat the same foods I had been and taking the same dose of insulin, but experiencing highs up to \~400. Ever since then I have been having a really hard time bringing my blood sugar back down every single time I eat even though I have basically doubled my insulin dose / carb and doubled my basal rate. I know there are a few things that can cause this so here is what I have done so far:  
Changed my pump site twice, changed my cartridge, used a brand new vial of insulin, replaced my dexcom sensor, and reset my pump (Tslim-x2). 
None of these steps have worked so I'm kinda at a loss. 
Around the time this began happening, I had a weird issue with my pump where it stopped receiving readings from my dexcom for roughly 18 hours before I had time to call tandem tech support and they walked me through the pump reset. 
I guess my question is: Is this abnormal or does this just happen sometimes? I'm not sure if the reset might have messed my pump up somehow or if it might just be coincidence? It's boarderline impossible to schedule a short notice appointment with my endo so I figured I would see if you guys had experienced anything similar. Thanks for your help!</t>
        </is>
      </c>
      <c r="D8274" t="n">
        <v>1</v>
      </c>
      <c r="E8274" t="n">
        <v>32</v>
      </c>
      <c r="F8274">
        <f>HYPERLINK("https://www.reddit.com/r/diabetes/comments/euq8pq/insulin_resistance_spiked_essentially_overnight/")</f>
        <v/>
      </c>
      <c r="G8274" t="inlineStr">
        <is>
          <t>2020-01-27 08:33:03</t>
        </is>
      </c>
      <c r="H8274" t="inlineStr">
        <is>
          <t>Type 1</t>
        </is>
      </c>
    </row>
    <row r="8275">
      <c r="A8275" t="inlineStr">
        <is>
          <t>euutvn</t>
        </is>
      </c>
      <c r="B8275" t="inlineStr">
        <is>
          <t>I did it!</t>
        </is>
      </c>
      <c r="C8275" t="inlineStr">
        <is>
          <t>I was diagnosed with type 2 in early August last year. My A1C was 14. I just left the doctor's office and my A1C is a 5.6!!! I am so happy I had to share it here!</t>
        </is>
      </c>
      <c r="D8275" t="n">
        <v>1</v>
      </c>
      <c r="E8275" t="n">
        <v>27</v>
      </c>
      <c r="F8275">
        <f>HYPERLINK("https://www.reddit.com/r/diabetes/comments/euutvn/i_did_it/")</f>
        <v/>
      </c>
      <c r="G8275" t="inlineStr">
        <is>
          <t>2020-01-27 13:32:52</t>
        </is>
      </c>
      <c r="H8275" t="inlineStr">
        <is>
          <t>Type 2</t>
        </is>
      </c>
    </row>
    <row r="8276">
      <c r="A8276" t="inlineStr">
        <is>
          <t>euvd0l</t>
        </is>
      </c>
      <c r="B8276" t="inlineStr">
        <is>
          <t>So how exactly does fat influence carbs?</t>
        </is>
      </c>
      <c r="C8276" t="inlineStr">
        <is>
          <t>Hi!
So I already know that fat delays blood sugar spikes from carbs. 
* Does that mean that my blood sugar will rise more gradually instead of spiking or is the blood sugar spike still coming, just delayed? 
* If it rises more gradually, should I ideally always eat something with fat as well, if I plan to eat a larger amount of carbs?
* Also, does that only count for carbs? If I eat very little carbs, protein is going to raise my blood sugar as well, right? Does fat delay those blood sugar spikes as well or is it *only* affecting spikes coming from carbs?
Rice for example makes my blood sugar shoot up like crazy, even if I only eat small amounts, would it be better to eat something with lots of fat, maybe Salmon, with it? Would that actually help against spikes or just delay them a bit?
I'm still newly diagnosed so I'm sorry if that's a super basic question. 
Any help would be greatly appreciated!
Thanks! c:</t>
        </is>
      </c>
      <c r="D8276" t="n">
        <v>1</v>
      </c>
      <c r="E8276" t="n">
        <v>10</v>
      </c>
      <c r="F8276">
        <f>HYPERLINK("https://www.reddit.com/r/diabetes/comments/euvd0l/so_how_exactly_does_fat_influence_carbs/")</f>
        <v/>
      </c>
      <c r="G8276" t="inlineStr">
        <is>
          <t>2020-01-27 14:07:25</t>
        </is>
      </c>
      <c r="H8276" t="inlineStr">
        <is>
          <t>Type 1</t>
        </is>
      </c>
    </row>
    <row r="8277">
      <c r="A8277" t="inlineStr">
        <is>
          <t>euvn1o</t>
        </is>
      </c>
      <c r="B8277" t="inlineStr">
        <is>
          <t>Tips for forgetting to bolus?</t>
        </is>
      </c>
      <c r="C8277" t="inlineStr">
        <is>
          <t>I was diagnosed at 11, I am 16 y/o now. I got my first insuline pump 5 months after being diagnosed because of my fear of needles. I still have a fear of needles :)
In the first 3 years I always had a great Hba1c but now it raised significantly. In the last 6 months it went from 9 mmol/l to 14 mmol/l. I just forget to bolus. My doctor doesn’t believe I forget it and says I don’t bolus on purpose. This made me very sad and angry. I really really really want my hba1c to be at most 9mmol/L. 
Does anyone have ANY tips for not forgetting to bolus?
(I’ve already set an alarm at breakfast and lunchtime)</t>
        </is>
      </c>
      <c r="D8277" t="n">
        <v>1</v>
      </c>
      <c r="E8277" t="n">
        <v>11</v>
      </c>
      <c r="F8277">
        <f>HYPERLINK("https://www.reddit.com/r/diabetes/comments/euvn1o/tips_for_forgetting_to_bolus/")</f>
        <v/>
      </c>
      <c r="G8277" t="inlineStr">
        <is>
          <t>2020-01-27 14:25:43</t>
        </is>
      </c>
      <c r="H8277" t="inlineStr">
        <is>
          <t>Type 1</t>
        </is>
      </c>
    </row>
    <row r="8278">
      <c r="A8278" t="inlineStr">
        <is>
          <t>ev0h1f</t>
        </is>
      </c>
      <c r="B8278" t="inlineStr">
        <is>
          <t>Type 1 diabetes vitamins ?</t>
        </is>
      </c>
      <c r="C8278" t="inlineStr">
        <is>
          <t>Hello! I’m putting together vitamins for my type 1 husband. Would love to hear what vitamins or supplements you or someone you know takes, thanks!</t>
        </is>
      </c>
      <c r="D8278" t="n">
        <v>1</v>
      </c>
      <c r="E8278" t="n">
        <v>3</v>
      </c>
      <c r="F8278">
        <f>HYPERLINK("https://www.reddit.com/r/diabetes/comments/ev0h1f/type_1_diabetes_vitamins/")</f>
        <v/>
      </c>
      <c r="G8278" t="inlineStr">
        <is>
          <t>2020-01-27 20:23:19</t>
        </is>
      </c>
      <c r="H8278" t="inlineStr">
        <is>
          <t>Type 1</t>
        </is>
      </c>
    </row>
    <row r="8279">
      <c r="A8279" t="inlineStr">
        <is>
          <t>ev0ya1</t>
        </is>
      </c>
      <c r="B8279" t="inlineStr">
        <is>
          <t>Any Diabetics out there feeling nostalgic? :)</t>
        </is>
      </c>
      <c r="C8279" t="inlineStr">
        <is>
          <t>Boy do I have the thing for you. If anyone remembers the game Starbright, I got my hands on a copy thanks to a fine fellow in r/tipofmyjoystick and was able to rip a disk image of it!
You can download it here:
[https://drive.google.com/file/d/1rhcokQwaVCmIEePoY9eVnzAJMGjtVAbO/view?usp=sharing](https://drive.google.com/file/d/1rhcokQwaVCmIEePoY9eVnzAJMGjtVAbO/view?usp=sharing)
Enjoy!
It only works on Windows 95/98/XP computers as far as I know, and it doesn't seem to like my virtual machine, but it should work seeing as it's fresh from the disk. It's currently a .cdr file, but that's easily convertible to .iso or .cue or whatever the rage with disk files is these days. :P
I also wasn't sure what to use for the flair, but I remember getting this game when I was diagnosed.</t>
        </is>
      </c>
      <c r="D8279" t="n">
        <v>1</v>
      </c>
      <c r="E8279" t="n">
        <v>0</v>
      </c>
      <c r="F8279">
        <f>HYPERLINK("https://www.reddit.com/r/diabetes/comments/ev0ya1/any_diabetics_out_there_feeling_nostalgic/")</f>
        <v/>
      </c>
      <c r="G8279" t="inlineStr">
        <is>
          <t>2020-01-27 21:06:41</t>
        </is>
      </c>
      <c r="H8279" t="inlineStr">
        <is>
          <t>Type 1</t>
        </is>
      </c>
    </row>
    <row r="8280">
      <c r="A8280" t="inlineStr">
        <is>
          <t>ev28ab</t>
        </is>
      </c>
      <c r="B8280" t="inlineStr">
        <is>
          <t>Type One Diabetes: Keytones</t>
        </is>
      </c>
      <c r="C8280" t="inlineStr">
        <is>
          <t>So I’ve been a type one diabetic for 5 years(in May) and recently my blood sugar has been between 4-7 not that bad but every night for a bout a week I’ve been tasting and feeling keytones in my system. I’ve been eating right and taking my insulin everyday when needed but I’m lost and I can’t find an explanation. Any help?</t>
        </is>
      </c>
      <c r="D8280" t="n">
        <v>1</v>
      </c>
      <c r="E8280" t="n">
        <v>6</v>
      </c>
      <c r="F8280">
        <f>HYPERLINK("https://www.reddit.com/r/diabetes/comments/ev28ab/type_one_diabetes_keytones/")</f>
        <v/>
      </c>
      <c r="G8280" t="inlineStr">
        <is>
          <t>2020-01-27 23:15:35</t>
        </is>
      </c>
      <c r="H8280" t="inlineStr">
        <is>
          <t>Type 1</t>
        </is>
      </c>
    </row>
    <row r="8281">
      <c r="A8281" t="inlineStr">
        <is>
          <t>ev2cdn</t>
        </is>
      </c>
      <c r="B8281" t="inlineStr">
        <is>
          <t>Best Value CGM</t>
        </is>
      </c>
      <c r="C8281" t="inlineStr">
        <is>
          <t>So about a year ago, I had to abandon my Omnipod and Freestyle Libre systems because I lost my insurance and had to move to Medicaid (Illinois, USA).  It was devastating because it was the best I’ve ever been able to manage my Type I diabetes and I haven’t been able to do great since then (I’m an EMT and none of my meals are regularly scheduled or sized or anything so it’s difficult to regulate). I’m really considering using a portion of my tax return to get back on a CGM and am looking for advice on what the best value device may be or if anyone knows of any resources that could help me. Thanks in advance!</t>
        </is>
      </c>
      <c r="D8281" t="n">
        <v>1</v>
      </c>
      <c r="E8281" t="n">
        <v>3</v>
      </c>
      <c r="F8281">
        <f>HYPERLINK("https://www.reddit.com/r/diabetes/comments/ev2cdn/best_value_cgm/")</f>
        <v/>
      </c>
      <c r="G8281" t="inlineStr">
        <is>
          <t>2020-01-27 23:28:22</t>
        </is>
      </c>
      <c r="H8281" t="inlineStr">
        <is>
          <t>Type 1</t>
        </is>
      </c>
    </row>
    <row r="8282">
      <c r="A8282" t="inlineStr">
        <is>
          <t>ev5jmg</t>
        </is>
      </c>
      <c r="B8282" t="inlineStr">
        <is>
          <t>'Controlled'!?</t>
        </is>
      </c>
      <c r="C8282" t="inlineStr">
        <is>
          <t>Down from somewhere in the 12(ish) A1C range a few years ago to 6.9 which my pcp says is considered 'controlled' not sure how accurate that is.   
Tbh my sugars have been great because I've been sick for a year, BUT I am taking my insulin and sticking to low fodmap so it's not all the illness, so I'm going to count it as a win.</t>
        </is>
      </c>
      <c r="D8282" t="n">
        <v>1</v>
      </c>
      <c r="E8282" t="n">
        <v>2</v>
      </c>
      <c r="F8282">
        <f>HYPERLINK("https://www.reddit.com/r/diabetes/comments/ev5jmg/controlled/")</f>
        <v/>
      </c>
      <c r="G8282" t="inlineStr">
        <is>
          <t>2020-01-28 05:23:09</t>
        </is>
      </c>
      <c r="H8282" t="inlineStr">
        <is>
          <t>Type 2</t>
        </is>
      </c>
    </row>
    <row r="8283">
      <c r="A8283" t="inlineStr">
        <is>
          <t>ev8pmw</t>
        </is>
      </c>
      <c r="B8283" t="inlineStr">
        <is>
          <t>Any type 2's that are on mid using a pump? Was it hard to get coverage on your insurance?</t>
        </is>
      </c>
      <c r="C8283" t="inlineStr">
        <is>
          <t>Hi everyone,
I'm wondering if anyone here is a type 2 that is on a pump, and what your insurance was like during that process. Currently I take 4 injections a day. Humolog 3x and basalgar. I'm supposed to reapply for a cgm (dexcom) in early April. My insurance is United healthcare</t>
        </is>
      </c>
      <c r="D8283" t="n">
        <v>1</v>
      </c>
      <c r="E8283" t="n">
        <v>8</v>
      </c>
      <c r="F8283">
        <f>HYPERLINK("https://www.reddit.com/r/diabetes/comments/ev8pmw/any_type_2s_that_are_on_mid_using_a_pump_was_it/")</f>
        <v/>
      </c>
      <c r="G8283" t="inlineStr">
        <is>
          <t>2020-01-28 09:44:23</t>
        </is>
      </c>
      <c r="H8283" t="inlineStr">
        <is>
          <t>Type 2</t>
        </is>
      </c>
    </row>
    <row r="8284">
      <c r="A8284" t="inlineStr">
        <is>
          <t>ev8zqh</t>
        </is>
      </c>
      <c r="B8284" t="inlineStr">
        <is>
          <t>Annual Physical? (T1D)</t>
        </is>
      </c>
      <c r="C8284" t="inlineStr">
        <is>
          <t>I am a young adult who was diagnosed with T1D about a year ago. It was strongly suggested that I receive an annual physical because of my diabetes (even though my A1C averages to be about 6.0). So is having an annual physical, as a young adult with a tight control on my A1C, necessary to have every single year? Is this common amongst Type 1 diabetics?</t>
        </is>
      </c>
      <c r="D8284" t="n">
        <v>1</v>
      </c>
      <c r="E8284" t="n">
        <v>7</v>
      </c>
      <c r="F8284">
        <f>HYPERLINK("https://www.reddit.com/r/diabetes/comments/ev8zqh/annual_physical_t1d/")</f>
        <v/>
      </c>
      <c r="G8284" t="inlineStr">
        <is>
          <t>2020-01-28 10:04:23</t>
        </is>
      </c>
      <c r="H8284" t="inlineStr">
        <is>
          <t>Type 1</t>
        </is>
      </c>
    </row>
    <row r="8285">
      <c r="A8285" t="inlineStr">
        <is>
          <t>ev92dl</t>
        </is>
      </c>
      <c r="B8285" t="inlineStr">
        <is>
          <t>Depressing call with Dexcom</t>
        </is>
      </c>
      <c r="C8285" t="inlineStr">
        <is>
          <t>TL;DR: I'm stressed and am looking for resources to potentially cut costs month-to-month for supplies.
Hi everyone. 
I knew when I turned 26 that things would become a lot more difficult for me and my diabetes. I'm completely financially independent of my parents, and even before I turned 26, the only thing I was helped with was my insurance (which was all I really needed). 
Things haven't been too difficult so far--I'm on the Tandem T:slim pump, my novalog is only $100 for a 90 day supply, and my pump supplies are about $100/month. The entire reason I got the t:slim was so I could use Dexcom G6--this was all before I switched my insurance, and even before I switched jobs, so I couldn't plan for costs. I had all the supplies together at one point, and it was awesome, and while the cost was difficult to manage, I made it work. Then I switched my insurance from my parent's, to my own. 
Today I had a call with Dexcom because my mom (being the most amazing woman she is) offered to help me with supply costs for the G6. A few things happened prior to this call: 
1. The rep who called originally stated my 1 month supply would be $100+. 
2. The rep called again and then said it would be $65/month. 
3. Today, the rep called and said for a one month supply, I'd be looking at $300+ for transmitters, and for a 6 month supply of sensors, it'd be $500+. 
So, needless to say, I will not ask my mom to help with these costs as they're unreasonable. The rep didn't seem to be very organized considering I got three different values from them all within the same month (this month), so I'm considering calling Dexcom again to speak to someone new, but I don't know how much that'll help. They told me about financing, but why would I finance over two months for a one month supply of transmitters? I cannot believe this is my reality, and I'm overwhelmed. 
In the grand scheme of things, I'm so grateful for my ability to get pump and insulin supplies at a reasonable cost. My insurance deductible is at $1,500 USD, and I'm only $150 into it. I was told once I meet my deductible, the cost of Dexcom would drop to $65/month, but I'm not sure I'll meet that before the end of the year. I'm concerned for myself as my A1C was at 9.6, even though I've been so much better about checking my blood sugar (I check 4-5 times a day with meals and snacks). My endocrinologist adjusted my pump settings so I get more insulin throughout the day, but now my pump lining is turning orange. I also can't even see any specialists without paying a $50 co-pay, and since I get paid monthly and live in an expensive city (I have no choice due to work), I have a very tight budget. 
All in all, I feel like a total mess, and I needed to vent. But, I also wanted to ask if anyone knows of any resources I could look into where I might get to cut costs for Dexcom, or any diabetes supplies for that matter? What are helpful questions you've asked to your insurers, and what have you all done to make the chaos of diabetes a little bit more manageable? 
Any support (even emotional) will be greatly appreciated. I'm typically able to let things roll off my shoulders, but today I'm being hit hard. If you've read this far, thanks for reading.</t>
        </is>
      </c>
      <c r="D8285" t="n">
        <v>2</v>
      </c>
      <c r="E8285" t="n">
        <v>21</v>
      </c>
      <c r="F8285">
        <f>HYPERLINK("https://www.reddit.com/r/diabetes/comments/ev92dl/depressing_call_with_dexcom/")</f>
        <v/>
      </c>
      <c r="G8285" t="inlineStr">
        <is>
          <t>2020-01-28 10:09:18</t>
        </is>
      </c>
      <c r="H8285" t="inlineStr">
        <is>
          <t>Type 1</t>
        </is>
      </c>
    </row>
    <row r="8286">
      <c r="A8286" t="inlineStr">
        <is>
          <t>ev9jic</t>
        </is>
      </c>
      <c r="B8286" t="inlineStr">
        <is>
          <t>Newly diagnosed -- question about fasting BG</t>
        </is>
      </c>
      <c r="C8286" t="inlineStr">
        <is>
          <t>I've been teetering on the edge of diabetes for years, in the prediabetic A1C range, and it finally tipped over to the dark side (6.7). I had made some pretty drastic changes to my diet (lost 17 pounds since mid-December) before getting my diagnosis last week, and to help with blood sugar and weight loss, my endo prescribed Victoza last week, as I'd tried Metformin in the past and couldn't tolerate it. I wasn't asked to track my blood glucose but I've been doing that anyway -- on Friday, it was 128. Yesterday, 110. Today, 99! Is this normal to see it land in the healthy range in such a short period of time? I've been combining a low-carb diet with intermittent fasting and added the Victoza on Saturday. Could the Victoza work that quickly?! I'm pretty amazed (and happy). Also, I know the A1C is a 3-month indicator, but is there a way to test for that at home, too?</t>
        </is>
      </c>
      <c r="D8286" t="n">
        <v>1</v>
      </c>
      <c r="E8286" t="n">
        <v>3</v>
      </c>
      <c r="F8286">
        <f>HYPERLINK("https://www.reddit.com/r/diabetes/comments/ev9jic/newly_diagnosed_question_about_fasting_bg/")</f>
        <v/>
      </c>
      <c r="G8286" t="inlineStr">
        <is>
          <t>2020-01-28 10:42:14</t>
        </is>
      </c>
      <c r="H8286" t="inlineStr">
        <is>
          <t>Type 2</t>
        </is>
      </c>
    </row>
    <row r="8287">
      <c r="A8287" t="inlineStr">
        <is>
          <t>evaa1f</t>
        </is>
      </c>
      <c r="B8287" t="inlineStr">
        <is>
          <t>Finally some good news!</t>
        </is>
      </c>
      <c r="C8287" t="inlineStr">
        <is>
          <t>So back in December, I was diagnosed as having the beginning stage of diabetic related kidney disease. My doctor told me the best course of action was to start treatment on a super low dose of rampril, and come back in a month.
Had my follow up appointment today, and my blood work shows that the kidney problems are non-existent now. Yay!!! 
Does it mean I stop taking the extra pill? No. But it does mean that I'm as healthy as I can be while living my life with diabetes.
Regular follow-up in April with complete panels, just like I do every 3 months.
Seriously so happy about this news :)</t>
        </is>
      </c>
      <c r="D8287" t="n">
        <v>3</v>
      </c>
      <c r="E8287" t="n">
        <v>6</v>
      </c>
      <c r="F8287">
        <f>HYPERLINK("https://www.reddit.com/r/diabetes/comments/evaa1f/finally_some_good_news/")</f>
        <v/>
      </c>
      <c r="G8287" t="inlineStr">
        <is>
          <t>2020-01-28 11:34:20</t>
        </is>
      </c>
      <c r="H8287" t="inlineStr">
        <is>
          <t>Type 2</t>
        </is>
      </c>
    </row>
    <row r="8288">
      <c r="A8288" t="inlineStr">
        <is>
          <t>evcxqc</t>
        </is>
      </c>
      <c r="B8288" t="inlineStr">
        <is>
          <t>Experiences with Shorant ( glulisina )?</t>
        </is>
      </c>
      <c r="C8288" t="inlineStr">
        <is>
          <t>Had a “diabetes kicked my ass “ type of day and doctor prescribed Shorant, just wondering about experiences and/or tips. I’ll be taking a small amount (4units) as a rescue when I get above 170g. Thanks in advance.</t>
        </is>
      </c>
      <c r="D8288" t="n">
        <v>1</v>
      </c>
      <c r="E8288" t="n">
        <v>2</v>
      </c>
      <c r="F8288">
        <f>HYPERLINK("https://www.reddit.com/r/diabetes/comments/evcxqc/experiences_with_shorant_glulisina/")</f>
        <v/>
      </c>
      <c r="G8288" t="inlineStr">
        <is>
          <t>2020-01-28 14:32:23</t>
        </is>
      </c>
      <c r="H8288" t="inlineStr">
        <is>
          <t>Type 1.5/LADA</t>
        </is>
      </c>
    </row>
    <row r="8289">
      <c r="A8289" t="inlineStr">
        <is>
          <t>evdrl3</t>
        </is>
      </c>
      <c r="B8289" t="inlineStr">
        <is>
          <t>Numb in legs</t>
        </is>
      </c>
      <c r="C8289" t="inlineStr">
        <is>
          <t>My legs have been going completely numb recently to the point that I can’t even stand up because of it. Could this be because of my diabetes?</t>
        </is>
      </c>
      <c r="D8289" t="n">
        <v>1</v>
      </c>
      <c r="E8289" t="n">
        <v>6</v>
      </c>
      <c r="F8289">
        <f>HYPERLINK("https://www.reddit.com/r/diabetes/comments/evdrl3/numb_in_legs/")</f>
        <v/>
      </c>
      <c r="G8289" t="inlineStr">
        <is>
          <t>2020-01-28 15:25:32</t>
        </is>
      </c>
      <c r="H8289" t="inlineStr">
        <is>
          <t>Type 2</t>
        </is>
      </c>
    </row>
    <row r="8290">
      <c r="A8290" t="inlineStr">
        <is>
          <t>evebh5</t>
        </is>
      </c>
      <c r="B8290" t="inlineStr">
        <is>
          <t>Floaters anyone?</t>
        </is>
      </c>
      <c r="C8290" t="inlineStr">
        <is>
          <t>I was diagnosed as type 2 last October. Controlling it with diet and lost just under 3.5 stone. I exercise for 30mins daily. I've noticed I have floaters in my eyes, and further reading says it's linked to diabetes. Anyone have any remedies/tips on reducing their impact on my vision?</t>
        </is>
      </c>
      <c r="D8290" t="n">
        <v>1</v>
      </c>
      <c r="E8290" t="n">
        <v>11</v>
      </c>
      <c r="F8290">
        <f>HYPERLINK("https://www.reddit.com/r/diabetes/comments/evebh5/floaters_anyone/")</f>
        <v/>
      </c>
      <c r="G8290" t="inlineStr">
        <is>
          <t>2020-01-28 16:03:12</t>
        </is>
      </c>
      <c r="H8290" t="inlineStr">
        <is>
          <t>Type 2</t>
        </is>
      </c>
    </row>
    <row r="8291">
      <c r="A8291" t="inlineStr">
        <is>
          <t>eveqmv</t>
        </is>
      </c>
      <c r="B8291" t="inlineStr">
        <is>
          <t>Feeling highs and lows hard after starting insulin</t>
        </is>
      </c>
      <c r="C8291" t="inlineStr">
        <is>
          <t>Is this normal? I went into DKA a little over a month ago and was diagnosed as t1 (pcp switched to a t2 diagnosis recently) and immediately put on insulin. Now I start getting lightheaded when I drop into the 70s (even though that's technically normal) and when I get high it really hits me. Which is odd to me because my inability to sense/feel high blood sugar is what got me here in the first place. I was feeling sick and I just knew it was high, sure enough I'm over 200. My blood sugar was in the 500s and my a1c was 13.5 when I was diagnosed, so I understand feeling the lows. Will this balance out overtime?</t>
        </is>
      </c>
      <c r="D8291" t="n">
        <v>1</v>
      </c>
      <c r="E8291" t="n">
        <v>13</v>
      </c>
      <c r="F8291">
        <f>HYPERLINK("https://www.reddit.com/r/diabetes/comments/eveqmv/feeling_highs_and_lows_hard_after_starting_insulin/")</f>
        <v/>
      </c>
      <c r="G8291" t="inlineStr">
        <is>
          <t>2020-01-28 16:32:28</t>
        </is>
      </c>
      <c r="H8291" t="inlineStr">
        <is>
          <t>Type 2</t>
        </is>
      </c>
    </row>
    <row r="8292">
      <c r="A8292" t="inlineStr">
        <is>
          <t>evfbn9</t>
        </is>
      </c>
      <c r="B8292" t="inlineStr">
        <is>
          <t>My friend has lost vision in one eye</t>
        </is>
      </c>
      <c r="C8292" t="inlineStr">
        <is>
          <t>To be honest, I didn't know it was a thing, until my niece told me that her boyfriend's dad went blind from diabetes, I've known my friend 20+ years and he never told me it was a thing. I read about it online. He is having an eye operation soon.
Will I have to face the reality that he **may** be visually impaired to a degree or eventually go completely blind much later in life?</t>
        </is>
      </c>
      <c r="D8292" t="n">
        <v>1</v>
      </c>
      <c r="E8292" t="n">
        <v>17</v>
      </c>
      <c r="F8292">
        <f>HYPERLINK("https://www.reddit.com/r/diabetes/comments/evfbn9/my_friend_has_lost_vision_in_one_eye/")</f>
        <v/>
      </c>
      <c r="G8292" t="inlineStr">
        <is>
          <t>2020-01-28 17:14:31</t>
        </is>
      </c>
      <c r="H8292" t="inlineStr">
        <is>
          <t>Type 1</t>
        </is>
      </c>
    </row>
    <row r="8293">
      <c r="A8293" t="inlineStr">
        <is>
          <t>evm469</t>
        </is>
      </c>
      <c r="B8293" t="inlineStr">
        <is>
          <t>Diabetes &amp;amp; Psychosis</t>
        </is>
      </c>
      <c r="C8293" t="inlineStr">
        <is>
          <t>Anybody experience psychosis from not taking care of their diabetes or is this just two separate  things?</t>
        </is>
      </c>
      <c r="D8293" t="n">
        <v>1</v>
      </c>
      <c r="E8293" t="n">
        <v>5</v>
      </c>
      <c r="F8293">
        <f>HYPERLINK("https://www.reddit.com/r/diabetes/comments/evm469/diabetes_psychosis/")</f>
        <v/>
      </c>
      <c r="G8293" t="inlineStr">
        <is>
          <t>2020-01-29 04:16:21</t>
        </is>
      </c>
      <c r="H8293" t="inlineStr">
        <is>
          <t>Type 2</t>
        </is>
      </c>
    </row>
    <row r="8294">
      <c r="A8294" t="inlineStr">
        <is>
          <t>evo0w0</t>
        </is>
      </c>
      <c r="B8294" t="inlineStr">
        <is>
          <t>A1C check up!!!</t>
        </is>
      </c>
      <c r="C8294" t="inlineStr">
        <is>
          <t>Hello so, when I went into the hospital before Thanksgiving my A1c was a 9.6.. but I had no idea I was even diabetic and was not doing anything to help myself.. well this week I went for a check up and had blood work my A1c is 6.6!! My doctor is proud of me for losing weight and my A1c going down in 2 months!! I'm proud of myself, but want my A1c to go down more so I'm gonna keep pushing myself!!!</t>
        </is>
      </c>
      <c r="D8294" t="n">
        <v>1</v>
      </c>
      <c r="E8294" t="n">
        <v>8</v>
      </c>
      <c r="F8294">
        <f>HYPERLINK("https://www.reddit.com/r/diabetes/comments/evo0w0/a1c_check_up/")</f>
        <v/>
      </c>
      <c r="G8294" t="inlineStr">
        <is>
          <t>2020-01-29 07:04:36</t>
        </is>
      </c>
      <c r="H8294" t="inlineStr">
        <is>
          <t>Type 2</t>
        </is>
      </c>
    </row>
    <row r="8295">
      <c r="A8295" t="inlineStr">
        <is>
          <t>evpozj</t>
        </is>
      </c>
      <c r="B8295" t="inlineStr">
        <is>
          <t>New to the community, looking for support</t>
        </is>
      </c>
      <c r="C8295" t="inlineStr">
        <is>
          <t>Hi there r/diabetes
My husband was recently diagnosed with type 2 and has been started on 1000mg of Metformin (500mg morning and night).
His numbers started to decease slowly, after a few days, but now are on the rise (22 mmol/L). 
He's counting carbs, increased water intake, increased exercise and has specialist appointments and diabetic education classes this month. It has only been a weekish since diagnosis but not being able to control his numbers is making him lose it (having to wait for these appointments while his numbers are so high is stressing him out more as well). It also doesn't help that we have a newborn baby.
Is there any advice or support anyone can lend him? We know it takes time to figure out, but I thought it would be nice for him to hear from people with experience and not just me lol. 
Thank you!</t>
        </is>
      </c>
      <c r="D8295" t="n">
        <v>1</v>
      </c>
      <c r="E8295" t="n">
        <v>7</v>
      </c>
      <c r="F8295">
        <f>HYPERLINK("https://www.reddit.com/r/diabetes/comments/evpozj/new_to_the_community_looking_for_support/")</f>
        <v/>
      </c>
      <c r="G8295" t="inlineStr">
        <is>
          <t>2020-01-29 09:08:28</t>
        </is>
      </c>
      <c r="H8295" t="inlineStr">
        <is>
          <t>Type 2</t>
        </is>
      </c>
    </row>
    <row r="8296">
      <c r="A8296" t="inlineStr">
        <is>
          <t>evpztm</t>
        </is>
      </c>
      <c r="B8296" t="inlineStr">
        <is>
          <t>Super frustrated.</t>
        </is>
      </c>
      <c r="C8296" t="inlineStr">
        <is>
          <t>Hello everyone constant poster here. I just left my endo and I still dont have a firm diagnosis of what I am. Type 2,  mody, or Lada. I was diagnosed in October with an a1c of 13.2 with a c peptide was 2.2 mL at the time. I was prescribed metformin and insulin. Everything was going good. Numbers dropped, than I went into the hospital in early december with vomiting and nausea. They ran test Gad, islet etc. All came back negative. They described it as a starvation ketoacidosis. During this time my sugars never went over 220. I also dropped from 183 to 170 lbs. During that stay. I was discharged after 4 days, and they where regularly giving me insulin as well. I was released with a prescription of humalog to accompany my basalgar. No diagnosis was given, and was told ot was due to gastroenteritis. About a month later back in the hospital again with same symptoms. Weight went down to 164, and was in for 4 days. Doctors ordered me to meet with a gastroenterologist.  A week later. In the gastroenterologist office my weight was back to 172, and he was dumbfounded. Doctors ordered tests for gastroparesis, but the gastroenterologist believes this is not the case, because I gained weight and alot of it during my time out. I was told to maintain my diet. Which I switched to a gastroparesis diet. Higher in carbs and soft foods. About a week later I tried going back on metformin and it made me nauseous. I stopped it. It was not helping my numbers and making my stomach issues worse. Fast forward to today. My endo and all the doctors have said they dont know what I am. My endo has 3 diagnoses, and cannot put a finger on any of them. She thinks Lada as the number 1 issue, followed by flatbush diabetes also known as keto prone type 2, and just regular type 2. She has referred me to the University of Michigan to see another endo. She did pull me off metformin and advised me that insulin will more than likely be a regular fixture of my life going forward. She advised me to stick with my current diet, and advised me against keto due to the unknown stomach issues. Her words she said for leaning towards Lada are. I'm 30 not obese, and require insulin. I have had 2 bouts of Starvation Dka, but also prior to my diabetes diagnosis I dropped significant amounts of weight. I was 211 in early 2017. Yet on my chart I'm listed as a type 2. Is it normal for an endo to refer out and wait for a diagnosis from another Endo? Why cant she ultimately make the call for Lada? Shes pushing heavily for a pump and CGM, but due to me being labeled as a type 2, I was denied and told to reapply in April. I believe my endo is right with the insulin therapy but just frustrated with the lack of diagnosis. Thanks to anyone that responds.</t>
        </is>
      </c>
      <c r="D8296" t="n">
        <v>1</v>
      </c>
      <c r="E8296" t="n">
        <v>4</v>
      </c>
      <c r="F8296">
        <f>HYPERLINK("https://www.reddit.com/r/diabetes/comments/evpztm/super_frustrated/")</f>
        <v/>
      </c>
      <c r="G8296" t="inlineStr">
        <is>
          <t>2020-01-29 09:29:41</t>
        </is>
      </c>
      <c r="H8296" t="inlineStr">
        <is>
          <t>Type 2</t>
        </is>
      </c>
    </row>
    <row r="8297">
      <c r="A8297" t="inlineStr">
        <is>
          <t>evt02r</t>
        </is>
      </c>
      <c r="B8297" t="inlineStr">
        <is>
          <t>6 Month Wait for Pump</t>
        </is>
      </c>
      <c r="C8297" t="inlineStr">
        <is>
          <t>Has anyone had success in getting approval for a pump before the 6 month manual daily injection time frame outlined by some insurance companies?
BCBS states that I must wait 6 months from diagnosis for consideration.</t>
        </is>
      </c>
      <c r="D8297" t="n">
        <v>1</v>
      </c>
      <c r="E8297" t="n">
        <v>10</v>
      </c>
      <c r="F8297">
        <f>HYPERLINK("https://www.reddit.com/r/diabetes/comments/evt02r/6_month_wait_for_pump/")</f>
        <v/>
      </c>
      <c r="G8297" t="inlineStr">
        <is>
          <t>2020-01-29 12:48:42</t>
        </is>
      </c>
      <c r="H8297" t="inlineStr">
        <is>
          <t>Type 1</t>
        </is>
      </c>
    </row>
    <row r="8298">
      <c r="A8298" t="inlineStr">
        <is>
          <t>evzsmw</t>
        </is>
      </c>
      <c r="B8298" t="inlineStr">
        <is>
          <t>Diabetes +Vomiting</t>
        </is>
      </c>
      <c r="C8298" t="inlineStr">
        <is>
          <t>Hey autoimmune disease brethren. I feel like I end up getting a stomach virus and vomiting at least once a year. Every time I ask my friends and such how often they get nauseous/vomit, they say like once every 5-10 years. I have relatively good hygiene. Is this a diabetes related thing??? I’ve always been curious, cause it sucks 😂</t>
        </is>
      </c>
      <c r="D8298" t="n">
        <v>1</v>
      </c>
      <c r="E8298" t="n">
        <v>3</v>
      </c>
      <c r="F8298">
        <f>HYPERLINK("https://www.reddit.com/r/diabetes/comments/evzsmw/diabetes_vomiting/")</f>
        <v/>
      </c>
      <c r="G8298" t="inlineStr">
        <is>
          <t>2020-01-29 20:35:13</t>
        </is>
      </c>
      <c r="H8298" t="inlineStr">
        <is>
          <t>Type 1</t>
        </is>
      </c>
    </row>
    <row r="8299">
      <c r="A8299" t="inlineStr">
        <is>
          <t>ew2tf2</t>
        </is>
      </c>
      <c r="B8299" t="inlineStr">
        <is>
          <t>Finally went to to my Endo after 2 years of no-shows!</t>
        </is>
      </c>
      <c r="C8299" t="inlineStr">
        <is>
          <t>I was diagnosed over 6 years ago, when I was 13, and really struggled with accepting the reality that I would have this lifelong condition. I felt robbed of the life I wanted, and it was just insult to injury by that point in my life. 
About 2 years ago, I stopped seeing my Endo and DNEs altogether because of the constant dread and disappointment I would feel when meeting with them. I felt imperfect and unworthy of their help, and I was not ready to deal with and accept that I would have this forever. 
And so 3 weeks ago, I organised to meet with them, and yesterday was my first official appointment. I'm now seeing doctors in the adult sessions, as opposed to the children and youth doctors, which makes me feel a whole lot better about my fresh start. 
It was the first time I hadn't dreaded going to clinic. I didn't feel sick or ashamed. And despite my delicate emotions and constant crying, I feel so much better knowing I'm doing what's good for myself in the long run. 
Just proud of myself for taking that first step towards control and acceptance.</t>
        </is>
      </c>
      <c r="D8299" t="n">
        <v>1</v>
      </c>
      <c r="E8299" t="n">
        <v>13</v>
      </c>
      <c r="F8299">
        <f>HYPERLINK("https://www.reddit.com/r/diabetes/comments/ew2tf2/finally_went_to_to_my_endo_after_2_years_of/")</f>
        <v/>
      </c>
      <c r="G8299" t="inlineStr">
        <is>
          <t>2020-01-30 01:28:49</t>
        </is>
      </c>
      <c r="H8299" t="inlineStr">
        <is>
          <t>Type 1</t>
        </is>
      </c>
    </row>
    <row r="8300">
      <c r="A8300" t="inlineStr">
        <is>
          <t>ew6xub</t>
        </is>
      </c>
      <c r="B8300" t="inlineStr">
        <is>
          <t>Omnipod Sites</t>
        </is>
      </c>
      <c r="C8300" t="inlineStr">
        <is>
          <t>Hey everyone so I've been a T1 diabetic for a little over a year and recently I've been having some trouble with my Omnipod. I have been having to rotate the same 3-4 spots being my arms, stomach, and lower right back for the past few weeks. However as of late my arms have begun to become a little insulin resistant due to the amount I use them. My problem is that everytime I try a new spot such as my lower left back or legs, all they do is bleed and I don't receive any insulin from the pod due to it. I'm just wondering if anyone has any tips around this.
Also this is my first post on mobile so I'm sorry if it looks like a mess.</t>
        </is>
      </c>
      <c r="D8300" t="n">
        <v>1</v>
      </c>
      <c r="E8300" t="n">
        <v>5</v>
      </c>
      <c r="F8300">
        <f>HYPERLINK("https://www.reddit.com/r/diabetes/comments/ew6xub/omnipod_sites/")</f>
        <v/>
      </c>
      <c r="G8300" t="inlineStr">
        <is>
          <t>2020-01-30 07:19:54</t>
        </is>
      </c>
      <c r="H8300" t="inlineStr">
        <is>
          <t>Type 1</t>
        </is>
      </c>
    </row>
    <row r="8301">
      <c r="A8301" t="inlineStr">
        <is>
          <t>ew98t2</t>
        </is>
      </c>
      <c r="B8301" t="inlineStr">
        <is>
          <t>Used Medtronic Minimed 751</t>
        </is>
      </c>
      <c r="C8301" t="inlineStr">
        <is>
          <t>Used Medtronic Minimed 751 for sale (in good working condition normal wear)</t>
        </is>
      </c>
      <c r="D8301" t="n">
        <v>1</v>
      </c>
      <c r="E8301" t="n">
        <v>0</v>
      </c>
      <c r="F8301">
        <f>HYPERLINK("https://www.reddit.com/r/diabetes/comments/ew98t2/used_medtronic_minimed_751/")</f>
        <v/>
      </c>
      <c r="G8301" t="inlineStr">
        <is>
          <t>2020-01-30 09:46:59</t>
        </is>
      </c>
      <c r="H8301" t="inlineStr">
        <is>
          <t>Type 1</t>
        </is>
      </c>
    </row>
    <row r="8302">
      <c r="A8302" t="inlineStr">
        <is>
          <t>ew9amg</t>
        </is>
      </c>
      <c r="B8302" t="inlineStr">
        <is>
          <t>For those with great control what does your diet look like during the work week?</t>
        </is>
      </c>
      <c r="C8302" t="inlineStr">
        <is>
          <t>I am a manager and often finding myself grabbing whatever is fast. This often results in dubious carb counts and not the best options. I was curious what your diets looked like so I could try emulating it.</t>
        </is>
      </c>
      <c r="D8302" t="n">
        <v>1</v>
      </c>
      <c r="E8302" t="n">
        <v>6</v>
      </c>
      <c r="F8302">
        <f>HYPERLINK("https://www.reddit.com/r/diabetes/comments/ew9amg/for_those_with_great_control_what_does_your_diet/")</f>
        <v/>
      </c>
      <c r="G8302" t="inlineStr">
        <is>
          <t>2020-01-30 09:50:08</t>
        </is>
      </c>
      <c r="H8302" t="inlineStr">
        <is>
          <t>Type 1</t>
        </is>
      </c>
    </row>
    <row r="8303">
      <c r="A8303" t="inlineStr">
        <is>
          <t>ewbd7a</t>
        </is>
      </c>
      <c r="B8303" t="inlineStr">
        <is>
          <t>Awful experience</t>
        </is>
      </c>
      <c r="C8303" t="inlineStr">
        <is>
          <t>Let’s start from the fact that i had to run home today because i had high ketones for 12 hours and didn’t know.. long story, doesn’t matter.
I was changing my dexcom g6 sensor and after pressing the button the whole thing remained stuck to my arm. The inserter would not remove itself and the proper needle stayed in my arm too. Rip. Had to rip it off. Not good</t>
        </is>
      </c>
      <c r="D8303" t="n">
        <v>1</v>
      </c>
      <c r="E8303" t="n">
        <v>1</v>
      </c>
      <c r="F8303">
        <f>HYPERLINK("https://www.reddit.com/r/diabetes/comments/ewbd7a/awful_experience/")</f>
        <v/>
      </c>
      <c r="G8303" t="inlineStr">
        <is>
          <t>2020-01-30 12:06:49</t>
        </is>
      </c>
      <c r="H8303" t="inlineStr">
        <is>
          <t>Type 1</t>
        </is>
      </c>
    </row>
    <row r="8304">
      <c r="A8304" t="inlineStr">
        <is>
          <t>ewd5k7</t>
        </is>
      </c>
      <c r="B8304" t="inlineStr">
        <is>
          <t>Heart rate spikes after eating?</t>
        </is>
      </c>
      <c r="C8304" t="inlineStr">
        <is>
          <t>How normal is it for your heart rate to raise 10-40 BPM just after eating?
I tried googling but all the answers revolved around heart palpitations, which is scarier than I want to contemplate at this time of night...</t>
        </is>
      </c>
      <c r="D8304" t="n">
        <v>1</v>
      </c>
      <c r="E8304" t="n">
        <v>4</v>
      </c>
      <c r="F8304">
        <f>HYPERLINK("https://www.reddit.com/r/diabetes/comments/ewd5k7/heart_rate_spikes_after_eating/")</f>
        <v/>
      </c>
      <c r="G8304" t="inlineStr">
        <is>
          <t>2020-01-30 14:00:04</t>
        </is>
      </c>
      <c r="H8304" t="inlineStr">
        <is>
          <t>Type 2</t>
        </is>
      </c>
    </row>
    <row r="8305">
      <c r="A8305" t="inlineStr">
        <is>
          <t>eweew2</t>
        </is>
      </c>
      <c r="B8305" t="inlineStr">
        <is>
          <t>Dexcom g6 sensor errors</t>
        </is>
      </c>
      <c r="C8305" t="inlineStr">
        <is>
          <t>Does anyone else have a problem of g6 sensors failing during warmup? Especially recently for me more than half of my sensors are failing during warmup. I place them on my stomach and thighs and they fail in both places. If anyone else is having this issue it’d be great to hear about it.</t>
        </is>
      </c>
      <c r="D8305" t="n">
        <v>1</v>
      </c>
      <c r="E8305" t="n">
        <v>4</v>
      </c>
      <c r="F8305">
        <f>HYPERLINK("https://www.reddit.com/r/diabetes/comments/eweew2/dexcom_g6_sensor_errors/")</f>
        <v/>
      </c>
      <c r="G8305" t="inlineStr">
        <is>
          <t>2020-01-30 15:19:04</t>
        </is>
      </c>
      <c r="H8305" t="inlineStr">
        <is>
          <t>Type 1</t>
        </is>
      </c>
    </row>
    <row r="8306">
      <c r="A8306" t="inlineStr">
        <is>
          <t>ewf649</t>
        </is>
      </c>
      <c r="B8306" t="inlineStr">
        <is>
          <t>My bloodsugars are out of control. I can’t get into an endo for a pump until August. I feel lost, sad, and scared.</t>
        </is>
      </c>
      <c r="C8306" t="inlineStr">
        <is>
          <t>Hey all,
The title says most of it. I’m on sliding scale insulin as well as long-acting (basalglar). I check my sugars as instructed by primary care doctor and inject insulin accordingly at different sites where they can be. 
I struggle with diet and working out. You see, I have Schizoaffective and other mental disorder that have left me disabled and on weight-gaining meds. I try to diet and work out, but then my mental health goes bad and I fail and I’m back at square one.
I’ve had this disease for three years. I’m 29 now. I just don’t want to die or go blind etc. I just want to feel like it’s under control and not as scared and sad as I am now. :(</t>
        </is>
      </c>
      <c r="D8306" t="n">
        <v>1</v>
      </c>
      <c r="E8306" t="n">
        <v>7</v>
      </c>
      <c r="F8306">
        <f>HYPERLINK("https://www.reddit.com/r/diabetes/comments/ewf649/my_bloodsugars_are_out_of_control_i_cant_get_into/")</f>
        <v/>
      </c>
      <c r="G8306" t="inlineStr">
        <is>
          <t>2020-01-30 16:05:56</t>
        </is>
      </c>
      <c r="H8306" t="inlineStr">
        <is>
          <t>Type 2</t>
        </is>
      </c>
    </row>
    <row r="8307">
      <c r="A8307" t="inlineStr">
        <is>
          <t>ewfimg</t>
        </is>
      </c>
      <c r="B8307" t="inlineStr">
        <is>
          <t>Seeking Diabetes Patients for a Research Study (5 min/day, up to $350) [T1][T2][Pre-Diabetes]</t>
        </is>
      </c>
      <c r="C8307" t="inlineStr">
        <is>
          <t>I work for a Health-Tech startup called SIPPA Solutions that is financially backed by the Research Foundation of the City University of New York (RF CUNY). 
We are actively recruiting type 1, type 2 and pre-diabetes patients to participate in a *behavioral* (not clinical) pilot study that entails usage of a mobile application to aid in self-care management, by sending participants daily notifications/reminders/motivational messages related to diet, exercise habits, glucose measurement and medication adherence. We seek to understand how messaging affects behavioral changes in those with diabetes. 
Participation would require approximately a 5 minute per day commitment during the intervention phase, which lasts 3-6 months ($250 for 3 months participation, $350 for 6 months), in addition to an orientation process. 
The study is approved by the New York City Department of Education Institutional Review Board (NYC DOE IRB). General questions about the IRB process should be emailed to [IRB@schools.nyc.gov](mailto:IRB@schools.nyc.gov). Regulatory or compliance questions should be directed to Mariana Azar at [mazar@schools.nyc.gov](mailto:mazar@schools.nyc.gov). 
Participants must be 18 years or older. If you are interested in participating, please email [info@sippasolutions.com](mailto:info@sippasolutions.com) with your name, age, most recent HbA1c reading, and ask to speak with Connor. 
&amp;amp;#x200B;
Note: Mods, if this post violates the community rules, please remove. I do not want to cause any trouble.</t>
        </is>
      </c>
      <c r="D8307" t="n">
        <v>0</v>
      </c>
      <c r="E8307" t="n">
        <v>4</v>
      </c>
      <c r="F8307">
        <f>HYPERLINK("https://www.reddit.com/r/diabetes/comments/ewfimg/seeking_diabetes_patients_for_a_research_study_5/")</f>
        <v/>
      </c>
      <c r="G8307" t="inlineStr">
        <is>
          <t>2020-01-30 16:29:10</t>
        </is>
      </c>
      <c r="H8307" t="inlineStr">
        <is>
          <t>Type 1</t>
        </is>
      </c>
    </row>
    <row r="8308">
      <c r="A8308" t="inlineStr">
        <is>
          <t>ewga47</t>
        </is>
      </c>
      <c r="B8308" t="inlineStr">
        <is>
          <t>Someone with Express scripts please help</t>
        </is>
      </c>
      <c r="C8308" t="inlineStr">
        <is>
          <t>I have Express scripts and I am trying to find a supplier for the infusion sets and cartridges. I have talked to so many people at Tandom and Express scripts, I feel like slamming my head through a wall. Right now to get supplies there is a little pharmacy in LA that they will order them then ship them to me, about 6 to 7 days.  I need to do a 90 day supply and 2 different size tubing. Who can I call????</t>
        </is>
      </c>
      <c r="D8308" t="n">
        <v>1</v>
      </c>
      <c r="E8308" t="n">
        <v>5</v>
      </c>
      <c r="F8308">
        <f>HYPERLINK("https://www.reddit.com/r/diabetes/comments/ewga47/someone_with_express_scripts_please_help/")</f>
        <v/>
      </c>
      <c r="G8308" t="inlineStr">
        <is>
          <t>2020-01-30 17:22:00</t>
        </is>
      </c>
      <c r="H8308" t="inlineStr">
        <is>
          <t>Type 1.5/LADA</t>
        </is>
      </c>
    </row>
    <row r="8309">
      <c r="A8309" t="inlineStr">
        <is>
          <t>ewgsmn</t>
        </is>
      </c>
      <c r="B8309" t="inlineStr">
        <is>
          <t>FIASP Woes</t>
        </is>
      </c>
      <c r="C8309" t="inlineStr">
        <is>
          <t>Is anyone using the FIASP? If so, have you had any unusual or irritating side effects from the med? I was on it for 7 months and due to intolerable side effects, I have gone back to the Apidra.</t>
        </is>
      </c>
      <c r="D8309" t="n">
        <v>1</v>
      </c>
      <c r="E8309" t="n">
        <v>5</v>
      </c>
      <c r="F8309">
        <f>HYPERLINK("https://www.reddit.com/r/diabetes/comments/ewgsmn/fiasp_woes/")</f>
        <v/>
      </c>
      <c r="G8309" t="inlineStr">
        <is>
          <t>2020-01-30 17:58:12</t>
        </is>
      </c>
      <c r="H8309" t="inlineStr">
        <is>
          <t>Type 1</t>
        </is>
      </c>
    </row>
    <row r="8310">
      <c r="A8310" t="inlineStr">
        <is>
          <t>ewjwoq</t>
        </is>
      </c>
      <c r="B8310" t="inlineStr">
        <is>
          <t>Scared of being a burden</t>
        </is>
      </c>
      <c r="C8310" t="inlineStr">
        <is>
          <t>Hey guys, I was recently found out I was prediabetic and I'm scared, I always have these bad thought like my feets is going to be cut off and I have to be a burden to my family and I don't want that. I'm scared that I might lose my sight and be a burden again. I'm scared, is yhere any comforting words out there.</t>
        </is>
      </c>
      <c r="D8310" t="n">
        <v>1</v>
      </c>
      <c r="E8310" t="n">
        <v>8</v>
      </c>
      <c r="F8310">
        <f>HYPERLINK("https://www.reddit.com/r/diabetes/comments/ewjwoq/scared_of_being_a_burden/")</f>
        <v/>
      </c>
      <c r="G8310" t="inlineStr">
        <is>
          <t>2020-01-30 22:03:06</t>
        </is>
      </c>
      <c r="H8310" t="inlineStr">
        <is>
          <t>Type 2</t>
        </is>
      </c>
    </row>
    <row r="8311">
      <c r="A8311" t="inlineStr">
        <is>
          <t>ewjyju</t>
        </is>
      </c>
      <c r="B8311" t="inlineStr">
        <is>
          <t>Just got 13.1 on my Hemoglobin A1c test today... and I'm just 20yrs old :/</t>
        </is>
      </c>
      <c r="C8311" t="inlineStr">
        <is>
          <t>Hi, friends! 
So tonight I am writing my very first post on Reddit just trying to seek for help and support from my worldwide fellas living with diabetes, specially T1 ones!  
I have been living with diabetes Type 1 since I was 10 years old and I am a 20yr old girl now. I can assure you all that in my case it has never got any easier! Just last year I found myself very much denying my condition and getting sick of everything related to diabetes so I started skipping my insulin shots from time to time until it became a horrible habit. I was aware that I was playing with fire but I didn't care about it that much because I began to notice I was losing weight pretty fast and in my mind I sort of started to like it. I know it sounds stupid and it's obvious I need to stop skipping my insulin shots but I don't know how to tell myself that my body NEEDS insulin in order to live. I am afraid I won't fully understand it if I don't hit rock bottom and I don't want that to happen either!
So, with that little bit of a background I will tell you guys that I recently took a blood test/check up that I have every 3 months and got my results today: It seems I have a 13.1 level, which is pretty bad because I read the normal range for a type 1 diabetic must be below 5.7.. Anyone here knows about this subject and could possibly give me some piece of advice to get those numbers right on my next HbA1c test? I must say that during my teens I was in a very good place and my HbA1 levels were between 4-5 which means excellent! But now i am just so done and tired, and more recently just afraid I might be risking my own life in the long run! I also have hypothyroidism which I think is an important fact to be taken in consideration. 
PD: Needless to say, I am not an English native speaker so I do apologize if I made a grammar mistake on this post! 
Thank you all! x</t>
        </is>
      </c>
      <c r="D8311" t="n">
        <v>1</v>
      </c>
      <c r="E8311" t="n">
        <v>17</v>
      </c>
      <c r="F8311">
        <f>HYPERLINK("https://www.reddit.com/r/diabetes/comments/ewjyju/just_got_131_on_my_hemoglobin_a1c_test_today_and/")</f>
        <v/>
      </c>
      <c r="G8311" t="inlineStr">
        <is>
          <t>2020-01-30 22:07:54</t>
        </is>
      </c>
      <c r="H8311" t="inlineStr">
        <is>
          <t>Type 1</t>
        </is>
      </c>
    </row>
    <row r="8312">
      <c r="A8312" t="inlineStr">
        <is>
          <t>ewlhpr</t>
        </is>
      </c>
      <c r="B8312" t="inlineStr">
        <is>
          <t>Non- STI genital bumps showed up when starting a med.</t>
        </is>
      </c>
      <c r="C8312" t="inlineStr">
        <is>
          <t>Hi, new to this subreddit but not diabetes. 
35 y/o female, diabetic for 16 years.
I have had a problem recently and I wondered if anyone else was experiencing the same thing.
I started taking Steglatro ( Ertugliflozin ) about 6 months ago- it's a kind of medicine that makes you urinate out a lot of the sugar. My a1cs went from pretty bad to amazing\~ 
BUT the medicine subsequently puts a lot of sugar near your genitals. I'm not prone to yeast infections and have been doing well. I have however developed these bumps. They are only on my skin next to the inner hairline on my genitals. Small little blistery bumps. They itch a little bit, not too bad. Sometimes they go mostly away but they always come back. They aren't anywhere else on my body, just at the hairline.
I AM planning on finally, finally going to talk to my doctor about it but I was wondering if this could be a problem from the sugar in my urine? Like excess bacteria? I can't find anything online that is exactly like it. 
It isn't herpes- that's the obvious place the mind goes. And I'm not at all sexually active. And I don't wipe with poison ivy leaves.  
I was hoping that maybe someone else knew about this and could offer some advice like "oh yeah that, just put some \_\_\_ on it and it should go away." I hate to go to the doctor for something dumb but months of weird skin bumps is WAY dumber on my part.
( And don't worry it's not the necrotizing fasciitis of the perineum thing that those meds are famous for )</t>
        </is>
      </c>
      <c r="D8312" t="n">
        <v>1</v>
      </c>
      <c r="E8312" t="n">
        <v>0</v>
      </c>
      <c r="F8312">
        <f>HYPERLINK("https://www.reddit.com/r/diabetes/comments/ewlhpr/non_sti_genital_bumps_showed_up_when_starting_a/")</f>
        <v/>
      </c>
      <c r="G8312" t="inlineStr">
        <is>
          <t>2020-01-31 00:42:38</t>
        </is>
      </c>
      <c r="H8312" t="inlineStr">
        <is>
          <t>Type 2</t>
        </is>
      </c>
    </row>
    <row r="8313">
      <c r="A8313" t="inlineStr">
        <is>
          <t>ewnhd8</t>
        </is>
      </c>
      <c r="B8313" t="inlineStr">
        <is>
          <t>Omnipod experiences</t>
        </is>
      </c>
      <c r="C8313" t="inlineStr">
        <is>
          <t>I need a new pump, I am considering the Omnipod, but my biggest issue is the needle going diagonal instead of straight, since I have had problems with diagonal needles in the past, but those didn't shoot automatically, so that might have contributed to sensitive skin. 
Any experience with the omnipod? I have a Freestyle Libre, what is your take on the combination?
I have discussed this with my doctor, but want to hear some actual experiences before I make up my mind.</t>
        </is>
      </c>
      <c r="D8313" t="n">
        <v>1</v>
      </c>
      <c r="E8313" t="n">
        <v>5</v>
      </c>
      <c r="F8313">
        <f>HYPERLINK("https://www.reddit.com/r/diabetes/comments/ewnhd8/omnipod_experiences/")</f>
        <v/>
      </c>
      <c r="G8313" t="inlineStr">
        <is>
          <t>2020-01-31 04:03:19</t>
        </is>
      </c>
      <c r="H8313" t="inlineStr">
        <is>
          <t>Type 1</t>
        </is>
      </c>
    </row>
    <row r="8314">
      <c r="A8314" t="inlineStr">
        <is>
          <t>ewsapy</t>
        </is>
      </c>
      <c r="B8314" t="inlineStr">
        <is>
          <t>Foods for type 2 diabetes</t>
        </is>
      </c>
      <c r="C8314" t="inlineStr">
        <is>
          <t>Does anyone know the best 2 foods to beat diabetes type 2 ?</t>
        </is>
      </c>
      <c r="D8314" t="n">
        <v>1</v>
      </c>
      <c r="E8314" t="n">
        <v>7</v>
      </c>
      <c r="F8314">
        <f>HYPERLINK("https://www.reddit.com/r/diabetes/comments/ewsapy/foods_for_type_2_diabetes/")</f>
        <v/>
      </c>
      <c r="G8314" t="inlineStr">
        <is>
          <t>2020-01-31 10:05:54</t>
        </is>
      </c>
      <c r="H8314" t="inlineStr">
        <is>
          <t>Type 2</t>
        </is>
      </c>
    </row>
    <row r="8315">
      <c r="A8315" t="inlineStr">
        <is>
          <t>ewu84g</t>
        </is>
      </c>
      <c r="B8315" t="inlineStr">
        <is>
          <t>Any diabetic chefs/cooks here that can give me some advice?</t>
        </is>
      </c>
      <c r="C8315" t="inlineStr">
        <is>
          <t>Hi!
So I wanted to be a chef for quite some time now, I got the degree I need to visit the school I want to visit, saved up for quite a while now to actually be able to afford it as well.
Now a couple weeks ago I got a t1 diagnosis and I honestly managed pretty well and don't really have many issues with having diabetes at all (yet anyways). 
But I've been thinking and researching a bit and I really didn't find anything about diabetic chefs. You have to taste stuff all the time, the job is super stressful, you're constantly moving around and don't necessarily always have the time to go out and use insulin or drink some juice or adjust your pump or whatever. 
Does all the stress, lots of movement and the constant tasting make it super hard to manage blood sugars?
I'd love any insights or experiences or tips or anything at all really. 
Thanks!</t>
        </is>
      </c>
      <c r="D8315" t="n">
        <v>2</v>
      </c>
      <c r="E8315" t="n">
        <v>4</v>
      </c>
      <c r="F8315">
        <f>HYPERLINK("https://www.reddit.com/r/diabetes/comments/ewu84g/any_diabetic_chefscooks_here_that_can_give_me/")</f>
        <v/>
      </c>
      <c r="G8315" t="inlineStr">
        <is>
          <t>2020-01-31 12:16:43</t>
        </is>
      </c>
      <c r="H8315" t="inlineStr">
        <is>
          <t>Type 1</t>
        </is>
      </c>
    </row>
    <row r="8316">
      <c r="A8316" t="inlineStr">
        <is>
          <t>ewwj98</t>
        </is>
      </c>
      <c r="B8316" t="inlineStr">
        <is>
          <t>Sensor placement</t>
        </is>
      </c>
      <c r="C8316" t="inlineStr">
        <is>
          <t>I have the gaurdian 670g and I know it has been approved for the stomach and arms. My stomach has started getting knots and I have my set in my arm already, is it ok to put it on the same arm as the regular set or should I put it in the other? Has anyone been told its acceptable to put in the thigh maybe?</t>
        </is>
      </c>
      <c r="D8316" t="n">
        <v>1</v>
      </c>
      <c r="E8316" t="n">
        <v>7</v>
      </c>
      <c r="F8316">
        <f>HYPERLINK("https://www.reddit.com/r/diabetes/comments/ewwj98/sensor_placement/")</f>
        <v/>
      </c>
      <c r="G8316" t="inlineStr">
        <is>
          <t>2020-01-31 14:54:23</t>
        </is>
      </c>
      <c r="H8316" t="inlineStr">
        <is>
          <t>Type 1</t>
        </is>
      </c>
    </row>
    <row r="8317">
      <c r="A8317" t="inlineStr">
        <is>
          <t>ewywob</t>
        </is>
      </c>
      <c r="B8317" t="inlineStr">
        <is>
          <t>Lantus and some Tresiba</t>
        </is>
      </c>
      <c r="C8317" t="inlineStr">
        <is>
          <t>Not sure if allowed here but if anyone in the Detroit metro area is in need of long acting insulin, Lantus or Tresiba get a hold of me.  Somehow I have acquired some that will expire around July/august and I do not want it to go to waste. Thanks.</t>
        </is>
      </c>
      <c r="D8317" t="n">
        <v>1</v>
      </c>
      <c r="E8317" t="n">
        <v>4</v>
      </c>
      <c r="F8317">
        <f>HYPERLINK("https://www.reddit.com/r/diabetes/comments/ewywob/lantus_and_some_tresiba/")</f>
        <v/>
      </c>
      <c r="G8317" t="inlineStr">
        <is>
          <t>2020-01-31 17:50:36</t>
        </is>
      </c>
      <c r="H8317" t="inlineStr">
        <is>
          <t>Type 1</t>
        </is>
      </c>
    </row>
    <row r="8318">
      <c r="A8318" t="inlineStr">
        <is>
          <t>exbjdk</t>
        </is>
      </c>
      <c r="B8318" t="inlineStr">
        <is>
          <t>Why isolate and insulin resistance</t>
        </is>
      </c>
      <c r="C8318" t="inlineStr">
        <is>
          <t>I've been supplementing my diet with a whey isolate powder.
I've found that my fast acting insulin is not as effective recently.
Does anybody have any similar experience with a protein powder supplement?</t>
        </is>
      </c>
      <c r="D8318" t="n">
        <v>1</v>
      </c>
      <c r="E8318" t="n">
        <v>2</v>
      </c>
      <c r="F8318">
        <f>HYPERLINK("https://www.reddit.com/r/diabetes/comments/exbjdk/why_isolate_and_insulin_resistance/")</f>
        <v/>
      </c>
      <c r="G8318" t="inlineStr">
        <is>
          <t>2020-02-01 11:50:29</t>
        </is>
      </c>
      <c r="H8318" t="inlineStr">
        <is>
          <t>Type 1</t>
        </is>
      </c>
    </row>
    <row r="8319">
      <c r="A8319" t="inlineStr">
        <is>
          <t>exbwz3</t>
        </is>
      </c>
      <c r="B8319" t="inlineStr">
        <is>
          <t>Looping with the BluCon Nightrider?</t>
        </is>
      </c>
      <c r="C8319" t="inlineStr">
        <is>
          <t>Hi!
So my insurance doesn't cover the Dexcom G6 and I have to choose between a medtronic sensor and the freestyle libre 2. The Medtronic appears to really only have horrible reviews so I opted for the libre 2. 
I'd love to use loop though, so I'm curious if it's possible with a libre 2 + BluCon Nightrider? The BluCon would after all essentially turn it into a proper CGM so loop would, just like with the G6, get the data every 5 minutes. 
I'd love any insights on this or even better, experiences with this kind of setup if possible. 
I'm going to do this with the Omnipod, I'll get my first pod in a couple of days. 
Thanks!</t>
        </is>
      </c>
      <c r="D8319" t="n">
        <v>1</v>
      </c>
      <c r="E8319" t="n">
        <v>0</v>
      </c>
      <c r="F8319">
        <f>HYPERLINK("https://www.reddit.com/r/diabetes/comments/exbwz3/looping_with_the_blucon_nightrider/")</f>
        <v/>
      </c>
      <c r="G8319" t="inlineStr">
        <is>
          <t>2020-02-01 12:16:24</t>
        </is>
      </c>
      <c r="H8319" t="inlineStr">
        <is>
          <t>Type 1</t>
        </is>
      </c>
    </row>
    <row r="8320">
      <c r="A8320" t="inlineStr">
        <is>
          <t>excno8</t>
        </is>
      </c>
      <c r="B8320" t="inlineStr">
        <is>
          <t>Freestyle libre 2 vs Dexcom G6?</t>
        </is>
      </c>
      <c r="C8320" t="inlineStr">
        <is>
          <t>Hi!
So my insurance only covers the libre 2 not the Dexcom, so this question is really just out of curiosity, I guess. 
What exactly are the actual differences between the sensors? Is it really just that I have to swipe my phone over the sensor with the libre and don't have to do that for the G6?
The libre 2 does have alarms now, you still have to swipe to get the actual value but you **do** get an alarm, that's fantastic especially at night. Both sensors are said to be pretty accurate and reliable and you can actually wear the libre 4 days longer (14 vs. 10). 
So..what am I missing? Because I have to be missing something since one is like 180$ a month while the other is like 300$ a month. Why is there such a big price gap between them?
I tried getting the G6 in the first place, because I loved the idea of looping it with a pump, which doesn't work with the libre 2. but I can't believe that has much of an influence on the price?
This really isn't me being angry about not getting my original choice of sensor, I'm just genuinely curious about the huge price difference between them. 
Thanks!</t>
        </is>
      </c>
      <c r="D8320" t="n">
        <v>1</v>
      </c>
      <c r="E8320" t="n">
        <v>3</v>
      </c>
      <c r="F8320">
        <f>HYPERLINK("https://www.reddit.com/r/diabetes/comments/excno8/freestyle_libre_2_vs_dexcom_g6/")</f>
        <v/>
      </c>
      <c r="G8320" t="inlineStr">
        <is>
          <t>2020-02-01 13:09:17</t>
        </is>
      </c>
      <c r="H8320" t="inlineStr">
        <is>
          <t>Type 1</t>
        </is>
      </c>
    </row>
    <row r="8321">
      <c r="A8321" t="inlineStr">
        <is>
          <t>exds5u</t>
        </is>
      </c>
      <c r="B8321" t="inlineStr">
        <is>
          <t>Is the BluCon Nightrider worth it with the libre 2?</t>
        </is>
      </c>
      <c r="C8321" t="inlineStr">
        <is>
          <t>Hi!
So I got the chance to get a BluCon Nightrider for around 20$ as opposed to the 140$ you'd have to pay on their site. 
I'd still prefer not to waste money for something that might not really give me any advantage. 
So with the BluCon I'd be able to use the spike-app instead of the normal libre app and I wouldn't have to scan manually anymore, all the data would automatically be send to my phone and/or apple watch. 
I do get low/high alarms already but to actually see the value of the alarm I need to scan the sensor manually, with it it'd just show me the value in the spike app, immediately. If I don't have my phone with me it'd also push the info straight to my watch.
Does anyone use it with the libre 2 and can tell me if it's worth it? Are there any other upsides/downsides I'm not thinking of?
Thanks!</t>
        </is>
      </c>
      <c r="D8321" t="n">
        <v>1</v>
      </c>
      <c r="E8321" t="n">
        <v>0</v>
      </c>
      <c r="F8321">
        <f>HYPERLINK("https://www.reddit.com/r/diabetes/comments/exds5u/is_the_blucon_nightrider_worth_it_with_the_libre_2/")</f>
        <v/>
      </c>
      <c r="G8321" t="inlineStr">
        <is>
          <t>2020-02-01 14:30:04</t>
        </is>
      </c>
      <c r="H8321" t="inlineStr">
        <is>
          <t>Type 1</t>
        </is>
      </c>
    </row>
    <row r="8322">
      <c r="A8322" t="inlineStr">
        <is>
          <t>exjq95</t>
        </is>
      </c>
      <c r="B8322" t="inlineStr">
        <is>
          <t>Alternative to mechanical insulin pens?</t>
        </is>
      </c>
      <c r="C8322" t="inlineStr">
        <is>
          <t>It's 2020 and the best they have for us is these janky plastic mechanical injector pens??  Has anyone found an alternative? Anyone tried a jet injector?</t>
        </is>
      </c>
      <c r="D8322" t="n">
        <v>1</v>
      </c>
      <c r="E8322" t="n">
        <v>7</v>
      </c>
      <c r="F8322">
        <f>HYPERLINK("https://www.reddit.com/r/diabetes/comments/exjq95/alternative_to_mechanical_insulin_pens/")</f>
        <v/>
      </c>
      <c r="G8322" t="inlineStr">
        <is>
          <t>2020-02-01 21:34:59</t>
        </is>
      </c>
      <c r="H8322" t="inlineStr">
        <is>
          <t>Type 1</t>
        </is>
      </c>
    </row>
    <row r="8323">
      <c r="A8323" t="inlineStr">
        <is>
          <t>exkfo0</t>
        </is>
      </c>
      <c r="B8323" t="inlineStr">
        <is>
          <t>What should I expect at my first endocrinologist visit?</t>
        </is>
      </c>
      <c r="C8323" t="inlineStr">
        <is>
          <t>Over a month after going into DKA I FINALLY received a referral to an endo, my appointment is March 4th. What should I expect from the appointment? I'm also seeing the NP instead of the doctor, is this typical? Will I eventually get to meet with the endocrinologist or is there not much of a difference? 
I have a lot of questions and I'm just really hoping I can get the answers I need. I've posted here before, but my PCP recently changed my diagnosis from Type 1 to Type 2 (negative GAD-65) and he really doesn't listen to my concerns, especially over him wanting me off of insulin.  I'm seeing a new doctor on Monday in the meantime, but I know I'll probably feel better seeing a specialist. 
Other than my own questions and concerns, is there anything else I should 100% mention or ask for? Getting this appointment was a struggle and I really just want to take advantage of the time I do have with them.</t>
        </is>
      </c>
      <c r="D8323" t="n">
        <v>1</v>
      </c>
      <c r="E8323" t="n">
        <v>0</v>
      </c>
      <c r="F8323">
        <f>HYPERLINK("https://www.reddit.com/r/diabetes/comments/exkfo0/what_should_i_expect_at_my_first_endocrinologist/")</f>
        <v/>
      </c>
      <c r="G8323" t="inlineStr">
        <is>
          <t>2020-02-01 22:39:37</t>
        </is>
      </c>
      <c r="H8323" t="inlineStr">
        <is>
          <t>Type 2</t>
        </is>
      </c>
    </row>
    <row r="8324">
      <c r="A8324" t="inlineStr">
        <is>
          <t>exkwiw</t>
        </is>
      </c>
      <c r="B8324" t="inlineStr">
        <is>
          <t>Who is your favorite "celebrity" with diabetes?</t>
        </is>
      </c>
      <c r="C8324" t="inlineStr">
        <is>
          <t>I'm partial toward Sonia Sotomayor or Jordan Morris (soccer player for the Seattle Sounders)</t>
        </is>
      </c>
      <c r="D8324" t="n">
        <v>1</v>
      </c>
      <c r="E8324" t="n">
        <v>16</v>
      </c>
      <c r="F8324">
        <f>HYPERLINK("https://www.reddit.com/r/diabetes/comments/exkwiw/who_is_your_favorite_celebrity_with_diabetes/")</f>
        <v/>
      </c>
      <c r="G8324" t="inlineStr">
        <is>
          <t>2020-02-01 23:26:01</t>
        </is>
      </c>
      <c r="H8324" t="inlineStr">
        <is>
          <t>Type 1</t>
        </is>
      </c>
    </row>
    <row r="8325">
      <c r="A8325" t="inlineStr">
        <is>
          <t>exomxe</t>
        </is>
      </c>
      <c r="B8325" t="inlineStr">
        <is>
          <t>Need some advice</t>
        </is>
      </c>
      <c r="C8325" t="inlineStr">
        <is>
          <t>I have a lump on my stomach from using the insulin pen REPEATEDLY at the same sight , I know for it it go away I have to stop using that site but there is the problem , I have low pain tolerance and my stomach is literally the only place where it doesn’t hurt , please help</t>
        </is>
      </c>
      <c r="D8325" t="n">
        <v>1</v>
      </c>
      <c r="E8325" t="n">
        <v>12</v>
      </c>
      <c r="F8325">
        <f>HYPERLINK("https://www.reddit.com/r/diabetes/comments/exomxe/need_some_advice/")</f>
        <v/>
      </c>
      <c r="G8325" t="inlineStr">
        <is>
          <t>2020-02-02 05:47:52</t>
        </is>
      </c>
      <c r="H8325" t="inlineStr">
        <is>
          <t>Type 1</t>
        </is>
      </c>
    </row>
    <row r="8326">
      <c r="A8326" t="inlineStr">
        <is>
          <t>expk61</t>
        </is>
      </c>
      <c r="B8326" t="inlineStr">
        <is>
          <t>Freestyle libre f'ed me up</t>
        </is>
      </c>
      <c r="C8326" t="inlineStr">
        <is>
          <t>Was on my bike without a bag and didn't bring any sugar because I just had a big meal and forgot and was too lazy to walk back in to get some: after like 10 minutes I measured my blood sugar because I assumed it was too high because I realised I forgot to bolus for my drinks. LOW. I panicked for a bit but then realised there was a supermarket in 2 min, so I bought and drank a shitload of sugar and disconnected my pump. 5 minutes later I was on my bike again because I didn't feel dizzy or anything and measured it again: 2.7, but going down again. Another supermarket in 4min, low again, drinking a can of energy drink.
After that it look me way too long to realise my libre was f'ing up. When I got home, I measured my blood sugar with a regular meter and big surprise: so high it wasn't measurable.
What a great day.</t>
        </is>
      </c>
      <c r="D8326" t="n">
        <v>1</v>
      </c>
      <c r="E8326" t="n">
        <v>12</v>
      </c>
      <c r="F8326">
        <f>HYPERLINK("https://www.reddit.com/r/diabetes/comments/expk61/freestyle_libre_fed_me_up/")</f>
        <v/>
      </c>
      <c r="G8326" t="inlineStr">
        <is>
          <t>2020-02-02 06:59:12</t>
        </is>
      </c>
      <c r="H8326" t="inlineStr">
        <is>
          <t>Type 1</t>
        </is>
      </c>
    </row>
    <row r="8327">
      <c r="A8327" t="inlineStr">
        <is>
          <t>expr2e</t>
        </is>
      </c>
      <c r="B8327" t="inlineStr">
        <is>
          <t>Diabetes in combat sports</t>
        </is>
      </c>
      <c r="C8327" t="inlineStr">
        <is>
          <t>TL;DR: I’m T1, I wear a pump and CGM, but I want to participate in fighting sports. Any advice?
I know that there are plenty of T1 diabetics who play football and hockey and such, but what about boxers or mma fighters? 
For a while I’ve been dreaming about fighting, I’ve attended classes, have spent hours watching videos and reruns of old fights, and I have a great time and want to compete. I recently began using a Tandem T:Slim X2 and just yesterday put on my new Dexcom G6 for the first time, and I already like it way more than my old Libre Freestyle. My plan currently is the week of the fight, take it back to finger sticks and shots until afterwards so that I can properly prepare and everything, but what about at class? I know I can remove the pump for the length of class, I don’t want to risk breaking anything hurting myself (or especially anyone else) with my equipment. 
Does anyone have any experience or any insight? This is something I really want to try, and I don’t want the fact that I’m diabetic be the deciding factor for me. Thanks in advance!</t>
        </is>
      </c>
      <c r="D8327" t="n">
        <v>1</v>
      </c>
      <c r="E8327" t="n">
        <v>6</v>
      </c>
      <c r="F8327">
        <f>HYPERLINK("https://www.reddit.com/r/diabetes/comments/expr2e/diabetes_in_combat_sports/")</f>
        <v/>
      </c>
      <c r="G8327" t="inlineStr">
        <is>
          <t>2020-02-02 07:12:22</t>
        </is>
      </c>
      <c r="H8327" t="inlineStr">
        <is>
          <t>Type 1</t>
        </is>
      </c>
    </row>
    <row r="8328">
      <c r="A8328" t="inlineStr">
        <is>
          <t>exsbuo</t>
        </is>
      </c>
      <c r="B8328" t="inlineStr">
        <is>
          <t>Does this Count as a Unicorn?</t>
        </is>
      </c>
      <c r="C8328" t="inlineStr">
        <is>
          <t>&amp;amp;#x200B;
https://preview.redd.it/43gqh0uvvje41.png?width=1080&amp;amp;format=png&amp;amp;auto=webp&amp;amp;s=2fbe345ba5077fa1ad06d402d6844921d84ea010</t>
        </is>
      </c>
      <c r="D8328" t="n">
        <v>1</v>
      </c>
      <c r="E8328" t="n">
        <v>2</v>
      </c>
      <c r="F8328">
        <f>HYPERLINK("https://www.reddit.com/r/diabetes/comments/exsbuo/does_this_count_as_a_unicorn/")</f>
        <v/>
      </c>
      <c r="G8328" t="inlineStr">
        <is>
          <t>2020-02-02 10:05:15</t>
        </is>
      </c>
      <c r="H8328" t="inlineStr">
        <is>
          <t>Type 1</t>
        </is>
      </c>
    </row>
    <row r="8329">
      <c r="A8329" t="inlineStr">
        <is>
          <t>exuwe9</t>
        </is>
      </c>
      <c r="B8329" t="inlineStr">
        <is>
          <t>Hey guys quick question about eyes</t>
        </is>
      </c>
      <c r="C8329" t="inlineStr">
        <is>
          <t>So i am type 1 diabetic for 8 years now(i am 19 now) and overall i had good control over my sugars.I.had some rough periods when my puberty hit hard(my a1c was a bit higher around 8) but all is good now i think.My last a1c is 7.0 and i am looking to improve it.So i never had any eye problems,in fact i would say my vision itself is pretty great but last few weeks i changed my therapy a bit and a few times i had low blood sugar but nothing extreme (it was around 3.8 3.9).This few days i noticed that i need to focus to see everything(nothing is blurry but for example i must focus more when playing pc games to see every detail) and i was wandering what does that mean.I am going to my gp in a few days that will make an appointment to my oncologist but i need to wait at least two months or more to finally have an exam(its always like that in my country).Should i.be worried</t>
        </is>
      </c>
      <c r="D8329" t="n">
        <v>1</v>
      </c>
      <c r="E8329" t="n">
        <v>11</v>
      </c>
      <c r="F8329">
        <f>HYPERLINK("https://www.reddit.com/r/diabetes/comments/exuwe9/hey_guys_quick_question_about_eyes/")</f>
        <v/>
      </c>
      <c r="G8329" t="inlineStr">
        <is>
          <t>2020-02-02 12:46:12</t>
        </is>
      </c>
      <c r="H8329" t="inlineStr">
        <is>
          <t>Type 1</t>
        </is>
      </c>
    </row>
    <row r="8330">
      <c r="A8330" t="inlineStr">
        <is>
          <t>exv31b</t>
        </is>
      </c>
      <c r="B8330" t="inlineStr">
        <is>
          <t>Omnipod Dash Canada</t>
        </is>
      </c>
      <c r="C8330" t="inlineStr">
        <is>
          <t>I'm want to use a pump after 19 years of TD1.
I'm looking to go with omnipod, but I don't want to buy a pdm if the new dash will be released soon.
Anyone know the expected release date for the dash system in Canada?</t>
        </is>
      </c>
      <c r="D8330" t="n">
        <v>1</v>
      </c>
      <c r="E8330" t="n">
        <v>5</v>
      </c>
      <c r="F8330">
        <f>HYPERLINK("https://www.reddit.com/r/diabetes/comments/exv31b/omnipod_dash_canada/")</f>
        <v/>
      </c>
      <c r="G8330" t="inlineStr">
        <is>
          <t>2020-02-02 12:58:09</t>
        </is>
      </c>
      <c r="H8330" t="inlineStr">
        <is>
          <t>Type 1</t>
        </is>
      </c>
    </row>
    <row r="8331">
      <c r="A8331" t="inlineStr">
        <is>
          <t>exv589</t>
        </is>
      </c>
      <c r="B8331" t="inlineStr">
        <is>
          <t>Pump to MDI Insulin Conversion Help Needed</t>
        </is>
      </c>
      <c r="C8331" t="inlineStr">
        <is>
          <t>Hello team! I am about to run out of pump supplies due to a boring logistical issue I won't bother going into. I have Levemir and Novorapid back-up pens at the ready as I don't know when this issue will end up being sorted - it's out of my hands.
I haven't used injections at all for about 6-7 years now and I've lost the leaflets and guides I was given when starting the pump about what to do in this situation. I seem to remember it's not as straightforward as taking your pump's daily basal and giving the same dose subcutaneously?
If anyone could offer any help/advice I'd be grateful!</t>
        </is>
      </c>
      <c r="D8331" t="n">
        <v>1</v>
      </c>
      <c r="E8331" t="n">
        <v>4</v>
      </c>
      <c r="F8331">
        <f>HYPERLINK("https://www.reddit.com/r/diabetes/comments/exv589/pump_to_mdi_insulin_conversion_help_needed/")</f>
        <v/>
      </c>
      <c r="G8331" t="inlineStr">
        <is>
          <t>2020-02-02 13:02:10</t>
        </is>
      </c>
      <c r="H8331" t="inlineStr">
        <is>
          <t>Type 1</t>
        </is>
      </c>
    </row>
    <row r="8332">
      <c r="A8332" t="inlineStr">
        <is>
          <t>exvndq</t>
        </is>
      </c>
      <c r="B8332" t="inlineStr">
        <is>
          <t>My best week ever since being on a pump</t>
        </is>
      </c>
      <c r="C8332" t="inlineStr">
        <is>
          <t>Got the Control IQ update a week ago, my time in range usually maxxes at about 50%
![img](qefzvq3pwke41)
Saw my endo on Tuesday and she was amazed at my levels. Monday I was in range 87% of the day.</t>
        </is>
      </c>
      <c r="D8332" t="n">
        <v>1</v>
      </c>
      <c r="E8332" t="n">
        <v>2</v>
      </c>
      <c r="F8332">
        <f>HYPERLINK("https://www.reddit.com/r/diabetes/comments/exvndq/my_best_week_ever_since_being_on_a_pump/")</f>
        <v/>
      </c>
      <c r="G8332" t="inlineStr">
        <is>
          <t>2020-02-02 13:33:40</t>
        </is>
      </c>
      <c r="H8332" t="inlineStr">
        <is>
          <t>Type 1</t>
        </is>
      </c>
    </row>
    <row r="8333">
      <c r="A8333" t="inlineStr">
        <is>
          <t>exx7ff</t>
        </is>
      </c>
      <c r="B8333" t="inlineStr">
        <is>
          <t>Sorry just need to say it</t>
        </is>
      </c>
      <c r="C8333" t="inlineStr">
        <is>
          <t>I am so scarrd of hypos that whenever my blood sugar starts dropping a little i feel the urge to kill myself. I dont wanna have diabetes anymore. I am so ashamed of myself to think this way. But i dont wanna have diabetes anymore i am so tired.</t>
        </is>
      </c>
      <c r="D8333" t="n">
        <v>1</v>
      </c>
      <c r="E8333" t="n">
        <v>8</v>
      </c>
      <c r="F8333">
        <f>HYPERLINK("https://www.reddit.com/r/diabetes/comments/exx7ff/sorry_just_need_to_say_it/")</f>
        <v/>
      </c>
      <c r="G8333" t="inlineStr">
        <is>
          <t>2020-02-02 15:12:07</t>
        </is>
      </c>
      <c r="H8333" t="inlineStr">
        <is>
          <t>Type 1</t>
        </is>
      </c>
    </row>
    <row r="8334">
      <c r="A8334" t="inlineStr">
        <is>
          <t>exxf8l</t>
        </is>
      </c>
      <c r="B8334" t="inlineStr">
        <is>
          <t>Does a diabetic produce glucagon naturally?</t>
        </is>
      </c>
      <c r="C8334" t="inlineStr">
        <is>
          <t>I’m a diabetic. A few weeks ago I had a trial CGM (continuous glucose monitor). I noticed that often when my blood sugar would barely go low (70-80 ish) it would naturally go right back up with no carbs or anything. Now I’ve heard the opposite of insulin is glucagon, and the body naturally has a feedback loop. My question is does a diabetic still produce glucagon like a normal person? If not, then what’s causing my blood sugar to go up on its own?</t>
        </is>
      </c>
      <c r="D8334" t="n">
        <v>1</v>
      </c>
      <c r="E8334" t="n">
        <v>2</v>
      </c>
      <c r="F8334">
        <f>HYPERLINK("https://www.reddit.com/r/diabetes/comments/exxf8l/does_a_diabetic_produce_glucagon_naturally/")</f>
        <v/>
      </c>
      <c r="G8334" t="inlineStr">
        <is>
          <t>2020-02-02 15:26:43</t>
        </is>
      </c>
      <c r="H8334" t="inlineStr">
        <is>
          <t>Type 1</t>
        </is>
      </c>
    </row>
    <row r="8335">
      <c r="A8335" t="inlineStr">
        <is>
          <t>ey8ebn</t>
        </is>
      </c>
      <c r="B8335" t="inlineStr">
        <is>
          <t>High blood sugar when fasting</t>
        </is>
      </c>
      <c r="C8335" t="inlineStr">
        <is>
          <t>I am aware that you get high blood sugar when fasting (type 2) as your body is releasing glucose from your liver. However, how long can this go on for before it runs out? If I were to just keep on fasting, surely there comes a point when there is no more glucose to produce from the liver and your body starts to burn ketones?
So my question is, any of you that do hast or have fasted, does your blood sugar eventually come under control? If so how long does it take? If fasting doesn't work then what are the alternatives? What about eating small amounts at set intervals, does this help?</t>
        </is>
      </c>
      <c r="D8335" t="n">
        <v>1</v>
      </c>
      <c r="E8335" t="n">
        <v>17</v>
      </c>
      <c r="F8335">
        <f>HYPERLINK("https://www.reddit.com/r/diabetes/comments/ey8ebn/high_blood_sugar_when_fasting/")</f>
        <v/>
      </c>
      <c r="G8335" t="inlineStr">
        <is>
          <t>2020-02-03 07:05:07</t>
        </is>
      </c>
      <c r="H8335" t="inlineStr">
        <is>
          <t>Type 2</t>
        </is>
      </c>
    </row>
    <row r="8336">
      <c r="A8336" t="inlineStr">
        <is>
          <t>ey8m2d</t>
        </is>
      </c>
      <c r="B8336" t="inlineStr">
        <is>
          <t>How to avoid high blood sugar after hypo?</t>
        </is>
      </c>
      <c r="C8336" t="inlineStr">
        <is>
          <t>Hi!
So I was diagnosed only about a month ago and everything works great but this is kind of pissing me of. 
So I do manage to be right in range most of the time but sometimes I'm way too low (I was at like 55 an hour ago), so I drink some coke and I'm going all the way up to 150/180 again. 
How do I prevent going that high? I don't want to drink too little because it won't raise my BG properly but if I drink too much I have to take insulin again or go for a run. This is *so* annoying. 
Does anyone have any tips?
Thanks.</t>
        </is>
      </c>
      <c r="D8336" t="n">
        <v>1</v>
      </c>
      <c r="E8336" t="n">
        <v>12</v>
      </c>
      <c r="F8336">
        <f>HYPERLINK("https://www.reddit.com/r/diabetes/comments/ey8m2d/how_to_avoid_high_blood_sugar_after_hypo/")</f>
        <v/>
      </c>
      <c r="G8336" t="inlineStr">
        <is>
          <t>2020-02-03 07:20:25</t>
        </is>
      </c>
      <c r="H8336" t="inlineStr">
        <is>
          <t>Type 1</t>
        </is>
      </c>
    </row>
    <row r="8337">
      <c r="A8337" t="inlineStr">
        <is>
          <t>ey9nej</t>
        </is>
      </c>
      <c r="B8337" t="inlineStr">
        <is>
          <t>Running high for no reason?</t>
        </is>
      </c>
      <c r="C8337" t="inlineStr">
        <is>
          <t>I’ve been running high for no reason at all the last few days. With my normal amounts of insulin I’ve been consistently over 300 lately. Usually one unit drops me like 50 points but last night I was &amp;gt;300 when I went to bed and gave myself 6 units and woke up at 230. What could be causing this?</t>
        </is>
      </c>
      <c r="D8337" t="n">
        <v>1</v>
      </c>
      <c r="E8337" t="n">
        <v>4</v>
      </c>
      <c r="F8337">
        <f>HYPERLINK("https://www.reddit.com/r/diabetes/comments/ey9nej/running_high_for_no_reason/")</f>
        <v/>
      </c>
      <c r="G8337" t="inlineStr">
        <is>
          <t>2020-02-03 08:31:56</t>
        </is>
      </c>
      <c r="H8337" t="inlineStr">
        <is>
          <t>Type 1</t>
        </is>
      </c>
    </row>
    <row r="8338">
      <c r="A8338" t="inlineStr">
        <is>
          <t>eybrg2</t>
        </is>
      </c>
      <c r="B8338" t="inlineStr">
        <is>
          <t>Libre users and Insulin in the arm</t>
        </is>
      </c>
      <c r="C8338" t="inlineStr">
        <is>
          <t>TL;DR  Any ill effects in injecting in the same arm as the Libre sensor? 
&amp;amp;#x200B;
Hey friends.  Quicky question here.  I am a Freestyle user, and have just recently started using my arm as an injection location. (yeah. I'm a needle weenie... and didn't want to adventure away from my belly safe zone)  Anyway.. now that i've found out that arm shots don't suck.. I'm curious about injecting in the same arm as my Libre.  Have any of y'all Libre users injected in the same arm as your sensor? Does it affect the meter in any way (other than the intended effect of injecting insulin)?   Just curious.  I know I could try it.. but figured it might be better to learn from other people's sense of adventure first.  
&amp;amp;#x200B;
I really love this Sub.. I normally lurk and only recently have asked questions.  Y'all are really great at helping, and being very nice about it.  Just though I'd add this note of appreciation to my question here.  Thanks for being cool.</t>
        </is>
      </c>
      <c r="D8338" t="n">
        <v>1</v>
      </c>
      <c r="E8338" t="n">
        <v>4</v>
      </c>
      <c r="F8338">
        <f>HYPERLINK("https://www.reddit.com/r/diabetes/comments/eybrg2/libre_users_and_insulin_in_the_arm/")</f>
        <v/>
      </c>
      <c r="G8338" t="inlineStr">
        <is>
          <t>2020-02-03 10:51:26</t>
        </is>
      </c>
      <c r="H8338" t="inlineStr">
        <is>
          <t>Type 2</t>
        </is>
      </c>
    </row>
    <row r="8339">
      <c r="A8339" t="inlineStr">
        <is>
          <t>eycns0</t>
        </is>
      </c>
      <c r="B8339" t="inlineStr">
        <is>
          <t>Been diagnosed... again?</t>
        </is>
      </c>
      <c r="C8339" t="inlineStr">
        <is>
          <t>Well, that’s what it feels like at least. 
I was diagnosed with T1D in 1999, I was five. 
Very recently, my 63 year old father, who is truly the kindest man most people have ever met, was diagnosed with T2D.
I was hoping you fine folks could help me out; I’m putting together a little booklet full of positive affirmations and encouraging quotes, and I figured there’s no better group to ask for support!!! 
Please leave a comment if you’d like, with something that’s helped you through your time as a diabetic, it would really mean the world to us. Thanks all!!!!</t>
        </is>
      </c>
      <c r="D8339" t="n">
        <v>1</v>
      </c>
      <c r="E8339" t="n">
        <v>2</v>
      </c>
      <c r="F8339">
        <f>HYPERLINK("https://www.reddit.com/r/diabetes/comments/eycns0/been_diagnosed_again/")</f>
        <v/>
      </c>
      <c r="G8339" t="inlineStr">
        <is>
          <t>2020-02-03 11:47:55</t>
        </is>
      </c>
      <c r="H8339" t="inlineStr">
        <is>
          <t>Type 2</t>
        </is>
      </c>
    </row>
    <row r="8340">
      <c r="A8340" t="inlineStr">
        <is>
          <t>eygzsv</t>
        </is>
      </c>
      <c r="B8340" t="inlineStr">
        <is>
          <t>I almost died.</t>
        </is>
      </c>
      <c r="C8340" t="inlineStr">
        <is>
          <t>M/32 - On October 9th my GP called me to attend an urgent appointment at his office after getting back blood test results. After 5 months of excruciating pain, being treated with physio for arthritis, and experiencing no relief, a blood test revealed I was type 2 with an A1C at 14, kidney damage, muted touch to 65% of my body and other sever peripheral neuropathic symptoms. As well as high blood pressure. I avoided doctors for a long time because I knew I was damaging myself and scared to face it. My failure to have courage is something I’ll be reminded of every single day with my neuropathy that seems to be here to stay. 
I was prescribed 1000 mg Janumet 2x a day, lyrica, and perindopril After working extremely hard, overhauling my entire lifestyle, and making sustainable changes to my food intake, daily activity, and mental health, my A1C is 5.0, I’m officially 96 pounds down. From 375 pounds to 279. Exercising 5 days a week, eating clean, and feeling amazing. Today I was given The news that I am exactly 10 pounds and roughly 2 months away from being off the type 2 meds all together. 
I’m so happy I could/will ugly cry. This is still just the beginning of my journey, and sustaining everything I’ve worked so hard for to this point won’t be easy over the course of what I hope is a long lifetime. 
But if you’re newly diagnosed and feeling overwhelmed and scared, like I was. Take comfort in the fact that it can be done safely, and that all the motivation you need to accomplish it is already within you. Start slow and build momentum, layer your progress carefully, and be kind to yourself. 
More than happy to share my changes and tactics via DM for anyone interested.</t>
        </is>
      </c>
      <c r="D8340" t="n">
        <v>1</v>
      </c>
      <c r="E8340" t="n">
        <v>5</v>
      </c>
      <c r="F8340">
        <f>HYPERLINK("https://www.reddit.com/r/diabetes/comments/eygzsv/i_almost_died/")</f>
        <v/>
      </c>
      <c r="G8340" t="inlineStr">
        <is>
          <t>2020-02-03 16:20:38</t>
        </is>
      </c>
      <c r="H8340" t="inlineStr">
        <is>
          <t>Type 2</t>
        </is>
      </c>
    </row>
    <row r="8341">
      <c r="A8341" t="inlineStr">
        <is>
          <t>eyh9pb</t>
        </is>
      </c>
      <c r="B8341" t="inlineStr">
        <is>
          <t>Looking for old/dead dexcom g6 transmitters with serial starting in 80xxxx or 81xxxx please</t>
        </is>
      </c>
      <c r="C8341" t="inlineStr">
        <is>
          <t>Looking for dead transmitters so I can get the battery replaced as I can't afford to buy new transmiters.
Can pay postage if anyone has some that they were just going to bin.</t>
        </is>
      </c>
      <c r="D8341" t="n">
        <v>1</v>
      </c>
      <c r="E8341" t="n">
        <v>0</v>
      </c>
      <c r="F8341">
        <f>HYPERLINK("https://www.reddit.com/r/diabetes/comments/eyh9pb/looking_for_olddead_dexcom_g6_transmitters_with/")</f>
        <v/>
      </c>
      <c r="G8341" t="inlineStr">
        <is>
          <t>2020-02-03 16:39:59</t>
        </is>
      </c>
      <c r="H8341" t="inlineStr">
        <is>
          <t>Type 1</t>
        </is>
      </c>
    </row>
    <row r="8342">
      <c r="A8342" t="inlineStr">
        <is>
          <t>eytlp5</t>
        </is>
      </c>
      <c r="B8342" t="inlineStr">
        <is>
          <t>Is Tandem Control IQ getting rolled out?</t>
        </is>
      </c>
      <c r="C8342" t="inlineStr">
        <is>
          <t>I got an email a month ago saying by the end of January everyone should be on the update. I haven't heard anything more, and haven't seen many posts here about people on the new system. Any word on how the rollout is going?</t>
        </is>
      </c>
      <c r="D8342" t="n">
        <v>1</v>
      </c>
      <c r="E8342" t="n">
        <v>5</v>
      </c>
      <c r="F8342">
        <f>HYPERLINK("https://www.reddit.com/r/diabetes/comments/eytlp5/is_tandem_control_iq_getting_rolled_out/")</f>
        <v/>
      </c>
      <c r="G8342" t="inlineStr">
        <is>
          <t>2020-02-04 09:32:27</t>
        </is>
      </c>
      <c r="H8342" t="inlineStr">
        <is>
          <t>Type 1</t>
        </is>
      </c>
    </row>
    <row r="8343">
      <c r="A8343" t="inlineStr">
        <is>
          <t>eytsjg</t>
        </is>
      </c>
      <c r="B8343" t="inlineStr">
        <is>
          <t>Smart insulin pens</t>
        </is>
      </c>
      <c r="C8343" t="inlineStr">
        <is>
          <t>Has anyone gotten the ok for one with Cigna insurance? Which one do you have?</t>
        </is>
      </c>
      <c r="D8343" t="n">
        <v>1</v>
      </c>
      <c r="E8343" t="n">
        <v>2</v>
      </c>
      <c r="F8343">
        <f>HYPERLINK("https://www.reddit.com/r/diabetes/comments/eytsjg/smart_insulin_pens/")</f>
        <v/>
      </c>
      <c r="G8343" t="inlineStr">
        <is>
          <t>2020-02-04 09:44:16</t>
        </is>
      </c>
      <c r="H8343" t="inlineStr">
        <is>
          <t>Type 1</t>
        </is>
      </c>
    </row>
    <row r="8344">
      <c r="A8344" t="inlineStr">
        <is>
          <t>eyyvzx</t>
        </is>
      </c>
      <c r="B8344" t="inlineStr">
        <is>
          <t>Regarding my siptoms</t>
        </is>
      </c>
      <c r="C8344" t="inlineStr">
        <is>
          <t>So i am a diabetic for 8 years now,got it when i was 11 and it's been mostly under control.My last hba1c was 7.0 and i am improving it even better because now i am improving it much better these days.Anyway a couple days ago i started reading a lot about our potential eye problems and so on.I have health anxiety so that was probably a bad idea.Anyway i started hypertracking every little detail and i think sometimes when i get up  i see in my eyes what i can explain as darkening spot.Imagine looking at a light then moving your eyes to somewhere else and then there are traces of that light?Kinda like that.It does not happen while i sit or walk,only a few times a day at random.My vision is pretty good,it's not blurred or anything.I am visiting my gp either way that will book an appointment with my oncologist but it will probably be at least a month long wait until i finally get to see him.So i am panicking right now,i even made a similar post a few days ago when people told me its probably ok but i just want to hear more opinions if possible.Is it possible that i have severe retinopathy or even retinal detachment?</t>
        </is>
      </c>
      <c r="D8344" t="n">
        <v>1</v>
      </c>
      <c r="E8344" t="n">
        <v>4</v>
      </c>
      <c r="F8344">
        <f>HYPERLINK("https://www.reddit.com/r/diabetes/comments/eyyvzx/regarding_my_siptoms/")</f>
        <v/>
      </c>
      <c r="G8344" t="inlineStr">
        <is>
          <t>2020-02-04 14:59:10</t>
        </is>
      </c>
      <c r="H8344" t="inlineStr">
        <is>
          <t>Type 1</t>
        </is>
      </c>
    </row>
    <row r="8345">
      <c r="A8345" t="inlineStr">
        <is>
          <t>ez07f0</t>
        </is>
      </c>
      <c r="B8345" t="inlineStr">
        <is>
          <t>Why is my primary doctor trying to tell me what to do with my diabetes?</t>
        </is>
      </c>
      <c r="C8345" t="inlineStr">
        <is>
          <t>I got diagnosed with diabetes (type 1) back in May. My primary sent me to an endocrinologist. But she’s still having me come to her every like 4 months. My AVG is normal now (5.9) and my blood sugars have been under control so she wants to tell me “I kinda wanna take you off insulin now” Uhm? 
My endo told me don’t listen to what anybody tells me about my diabetes except him.  Which makes sense because this is his specialty. 
I just don’t get it.. why would she connect me with an endo if she wants to act like my endo. 
Or is this normal to have check ins with both endo and primary regularly?</t>
        </is>
      </c>
      <c r="D8345" t="n">
        <v>1</v>
      </c>
      <c r="E8345" t="n">
        <v>17</v>
      </c>
      <c r="F8345">
        <f>HYPERLINK("https://www.reddit.com/r/diabetes/comments/ez07f0/why_is_my_primary_doctor_trying_to_tell_me_what/")</f>
        <v/>
      </c>
      <c r="G8345" t="inlineStr">
        <is>
          <t>2020-02-04 16:24:23</t>
        </is>
      </c>
      <c r="H8345" t="inlineStr">
        <is>
          <t>Type 1</t>
        </is>
      </c>
    </row>
    <row r="8346">
      <c r="A8346" t="inlineStr">
        <is>
          <t>ez1ul7</t>
        </is>
      </c>
      <c r="B8346" t="inlineStr">
        <is>
          <t>A1C August 2018: 15.1, A1C Today: 5.8</t>
        </is>
      </c>
      <c r="C8346" t="inlineStr">
        <is>
          <t>Got my lab work back from this morning and am happy with these numbers! 
Also applied for the Tandem Control IQ update and have an end appointment on Thursday. Hope to get that this week!  Good news this week.</t>
        </is>
      </c>
      <c r="D8346" t="n">
        <v>1</v>
      </c>
      <c r="E8346" t="n">
        <v>19</v>
      </c>
      <c r="F8346">
        <f>HYPERLINK("https://www.reddit.com/r/diabetes/comments/ez1ul7/a1c_august_2018_151_a1c_today_58/")</f>
        <v/>
      </c>
      <c r="G8346" t="inlineStr">
        <is>
          <t>2020-02-04 18:16:53</t>
        </is>
      </c>
      <c r="H8346" t="inlineStr">
        <is>
          <t>Type 1</t>
        </is>
      </c>
    </row>
    <row r="8347">
      <c r="A8347" t="inlineStr">
        <is>
          <t>ez2pzq</t>
        </is>
      </c>
      <c r="B8347" t="inlineStr">
        <is>
          <t>Omnipod costs in Canada</t>
        </is>
      </c>
      <c r="C8347" t="inlineStr">
        <is>
          <t>I want to start using omnipod pump but my insurance don't cover the pumps buying cost. But it covers pods payments, the 300$ per month.
I speak with omnipod sellers and it's cost me 6300$ for the PDM. 
What are my alternatives? 
I see pdm in USA stores for less than 1000$, can I use it with pods from Canada? Can I have some limitations, in Canada I use the mmol/l. 
Can I try to loop without the PDM? 
Thanks for your help. 
Merci</t>
        </is>
      </c>
      <c r="D8347" t="n">
        <v>1</v>
      </c>
      <c r="E8347" t="n">
        <v>4</v>
      </c>
      <c r="F8347">
        <f>HYPERLINK("https://www.reddit.com/r/diabetes/comments/ez2pzq/omnipod_costs_in_canada/")</f>
        <v/>
      </c>
      <c r="G8347" t="inlineStr">
        <is>
          <t>2020-02-04 19:15:25</t>
        </is>
      </c>
      <c r="H8347" t="inlineStr">
        <is>
          <t>Type 1</t>
        </is>
      </c>
    </row>
    <row r="8348">
      <c r="A8348" t="inlineStr">
        <is>
          <t>ez8fjx</t>
        </is>
      </c>
      <c r="B8348" t="inlineStr">
        <is>
          <t>Does anyone else get annoyed with the Aviva Expert glucose testing thresholds</t>
        </is>
      </c>
      <c r="C8348" t="inlineStr">
        <is>
          <t>It annoys me that it logs 4.7 as a low reading as it skews the target graph of how many tests I've done in the correct range and you can't change those thresholds, only the thresholds for hypo and hyper.. 
To me 4.0-7.5 should be considered on target with 3.4-4 being low and below that a hypo. I think it has a default threshold of 16 for hyper which seems really high too so I've lowered that to 12.  
Does a hypo have a scientific definition for level of blood glucose or is it different from person to person? 
I've had to lower the hypo alarm to 3.3 for me as although i can feel low glucose levels at 3.4-4.0, to me that's not a hypo. It hasn't yet affected me and i have plenty of time to sort that out with tasty snacks.  
The only proper hypo I've ever had in 21 years of diabetes fun sent me a bit loopy (forgot i'd had my insulin, took it again 5 mins later) and it was 2.2 at that point.</t>
        </is>
      </c>
      <c r="D8348" t="n">
        <v>1</v>
      </c>
      <c r="E8348" t="n">
        <v>1</v>
      </c>
      <c r="F8348">
        <f>HYPERLINK("https://www.reddit.com/r/diabetes/comments/ez8fjx/does_anyone_else_get_annoyed_with_the_aviva/")</f>
        <v/>
      </c>
      <c r="G8348" t="inlineStr">
        <is>
          <t>2020-02-05 03:51:33</t>
        </is>
      </c>
      <c r="H8348" t="inlineStr">
        <is>
          <t>Type 1</t>
        </is>
      </c>
    </row>
    <row r="8349">
      <c r="A8349" t="inlineStr">
        <is>
          <t>ezbwwp</t>
        </is>
      </c>
      <c r="B8349" t="inlineStr">
        <is>
          <t>Diabetic and pregnant</t>
        </is>
      </c>
      <c r="C8349" t="inlineStr">
        <is>
          <t>Hello all! I have posted before but now I'm looking for advice some guidance or if you have been through this experience!! I found out I was diabetic end of November with an A1c of 9 (somthing) well I started working out eating great (the occasional cheat day) and then I find out I'm pregnant by a few weeks in January had blood test to confirm and have my A1c rechecked it's down to a 6.6!! I am so happy over that but now I'm pregnant (a few weeks 3 maybe) I dont see my pregnancy doctor till March.. what should I expect.. I'm nervous about having cravings and gaining weight.. and going backwards with my progress. I keep reading about having a glucose test.. but if I'm already diabetic do I still need that!! I'm just worried!! I want to be healthy and safe!!</t>
        </is>
      </c>
      <c r="D8349" t="n">
        <v>1</v>
      </c>
      <c r="E8349" t="n">
        <v>5</v>
      </c>
      <c r="F8349">
        <f>HYPERLINK("https://www.reddit.com/r/diabetes/comments/ezbwwp/diabetic_and_pregnant/")</f>
        <v/>
      </c>
      <c r="G8349" t="inlineStr">
        <is>
          <t>2020-02-05 08:18:03</t>
        </is>
      </c>
      <c r="H8349" t="inlineStr">
        <is>
          <t>Type 2</t>
        </is>
      </c>
    </row>
    <row r="8350">
      <c r="A8350" t="inlineStr">
        <is>
          <t>ezcmoa</t>
        </is>
      </c>
      <c r="B8350" t="inlineStr">
        <is>
          <t>Freestyle Libre 2 incredibly inaccurate?</t>
        </is>
      </c>
      <c r="C8350" t="inlineStr">
        <is>
          <t>Hi!
So, my big issue is that I don't feel it at all whenever my blood sugar is too low, I can be at 45 and feel perfectly fine. Hence I was super excited about getting my first CGM (I got the freestyle libre 2) and it was *fantastic* for like the first couple of hours. The numbers were literally almost exactly the same as the ones on my usual meter. 
Well, at night I got a LOW alarm on my phone, I scanned the Libre and sure enough, it was at 69. Just to be sure I also used my normal meter and that was at 95! So I went back to sleep without doing anything about it and like an hour later I get another LOW alarm, this time with 60. I use my meter again and it's at 100.
And now, literally all day, it's constantly showing values way too low. I was 95 a minute ago (according to my meter) and according to the Libre I was at 60. I was super careful inserting it and didn't bump into anything, didn't put any weight on the sensor or anything like that at all. 
Well, that kind of makes the sensor pretty useless, right? I never know if I can trust the thing and if I have to use my meter *anyways* I might as well only use that one. 
Did I just get a bad sensor? This is kind of frustrating. 
Any help would be great!
Thanks.</t>
        </is>
      </c>
      <c r="D8350" t="n">
        <v>1</v>
      </c>
      <c r="E8350" t="n">
        <v>3</v>
      </c>
      <c r="F8350">
        <f>HYPERLINK("https://www.reddit.com/r/diabetes/comments/ezcmoa/freestyle_libre_2_incredibly_inaccurate/")</f>
        <v/>
      </c>
      <c r="G8350" t="inlineStr">
        <is>
          <t>2020-02-05 09:04:07</t>
        </is>
      </c>
      <c r="H8350" t="inlineStr">
        <is>
          <t>Type 1</t>
        </is>
      </c>
    </row>
    <row r="8351">
      <c r="A8351" t="inlineStr">
        <is>
          <t>ezglgb</t>
        </is>
      </c>
      <c r="B8351" t="inlineStr">
        <is>
          <t>First A1C post diagnosis</t>
        </is>
      </c>
      <c r="C8351" t="inlineStr">
        <is>
          <t>I was diagnosed November 2019 with an A1C of 10.8. Today I got my February 3rd results...6.2!!!!
I am so happy and relieved.</t>
        </is>
      </c>
      <c r="D8351" t="n">
        <v>1</v>
      </c>
      <c r="E8351" t="n">
        <v>8</v>
      </c>
      <c r="F8351">
        <f>HYPERLINK("https://www.reddit.com/r/diabetes/comments/ezglgb/first_a1c_post_diagnosis/")</f>
        <v/>
      </c>
      <c r="G8351" t="inlineStr">
        <is>
          <t>2020-02-05 13:14:48</t>
        </is>
      </c>
      <c r="H8351" t="inlineStr">
        <is>
          <t>Type 1</t>
        </is>
      </c>
    </row>
    <row r="8352">
      <c r="A8352" t="inlineStr">
        <is>
          <t>ezhhwv</t>
        </is>
      </c>
      <c r="B8352" t="inlineStr">
        <is>
          <t>Minimed 670G I can't sleep at night.</t>
        </is>
      </c>
      <c r="C8352" t="inlineStr">
        <is>
          <t>I have stopped using the sensors recently because the mini med 670g will ALWAYS 100% wake me up at night with an alert. I have turned off the audio alerts but the silent alerts then vibrate and wake me. I often calibrate before I go to sleep but a few hours into my sleep I'm being awaken. It seems like this 12hr calibration also doesn't coordinate with auto mode. It uses its own 6hr calibration also and you cannot calibrate for this at the same time. 
&amp;amp;#x200B;
I feel like Im missing something. I have had to pump for 6 months and I do like how auto mode helps me stay in range but I do not like being woke up every night. I have spoke with my minimed rep and I didn't get an answer. Is there any trick you can do that will make this thing be quiet while I am trying to sleep at night? I don't sleep more than 7 hours a night so its pretty annoying that the design did not take this into consideration.</t>
        </is>
      </c>
      <c r="D8352" t="n">
        <v>1</v>
      </c>
      <c r="E8352" t="n">
        <v>4</v>
      </c>
      <c r="F8352">
        <f>HYPERLINK("https://www.reddit.com/r/diabetes/comments/ezhhwv/minimed_670g_i_cant_sleep_at_night/")</f>
        <v/>
      </c>
      <c r="G8352" t="inlineStr">
        <is>
          <t>2020-02-05 14:10:18</t>
        </is>
      </c>
      <c r="H8352" t="inlineStr">
        <is>
          <t>Type 1</t>
        </is>
      </c>
    </row>
    <row r="8353">
      <c r="A8353" t="inlineStr">
        <is>
          <t>ezkogr</t>
        </is>
      </c>
      <c r="B8353" t="inlineStr">
        <is>
          <t>Do I need a pump right now?</t>
        </is>
      </c>
      <c r="C8353" t="inlineStr">
        <is>
          <t>Hello to all my fellow Type 1 diabetics. I was diagnosed as Type 1 about 10 months ago, and about 2 months ago I started insulin. I’m only on 3 units of humalog before meals. My endo wants me to transition to a pump, but since I’m on such a low dose, do I really need it? Not seeking medical advice because I’ve got my endo, I’d just like to hear other people’s experiences. Thanks!</t>
        </is>
      </c>
      <c r="D8353" t="n">
        <v>1</v>
      </c>
      <c r="E8353" t="n">
        <v>4</v>
      </c>
      <c r="F8353">
        <f>HYPERLINK("https://www.reddit.com/r/diabetes/comments/ezkogr/do_i_need_a_pump_right_now/")</f>
        <v/>
      </c>
      <c r="G8353" t="inlineStr">
        <is>
          <t>2020-02-05 17:46:54</t>
        </is>
      </c>
      <c r="H8353" t="inlineStr">
        <is>
          <t>Type 1</t>
        </is>
      </c>
    </row>
    <row r="8354">
      <c r="A8354" t="inlineStr">
        <is>
          <t>ezl03m</t>
        </is>
      </c>
      <c r="B8354" t="inlineStr">
        <is>
          <t>Is there a direct correlation of heavy drinking and pre/Type2 Diabetes ?</t>
        </is>
      </c>
      <c r="C8354" t="inlineStr">
        <is>
          <t>I’ve been healthy, active, and eat very well - low sugar, carbs, etc...  for most of my 59 years.
Not overweight.  I do have High cholesterol and Blood Pressure but they are under control via medicine.
However, I’ve been a heavy drinker for years.  I see a lot of posts about Liquors empty calories, converts to sugar, etc...  but not a lot of mention as a cause of Diabetes....Thoughts?
I’ve recently crossed from PRE to Type-2
eat well,</t>
        </is>
      </c>
      <c r="D8354" t="n">
        <v>1</v>
      </c>
      <c r="E8354" t="n">
        <v>13</v>
      </c>
      <c r="F8354">
        <f>HYPERLINK("https://www.reddit.com/r/diabetes/comments/ezl03m/is_there_a_direct_correlation_of_heavy_drinking/")</f>
        <v/>
      </c>
      <c r="G8354" t="inlineStr">
        <is>
          <t>2020-02-05 18:10:28</t>
        </is>
      </c>
      <c r="H8354" t="inlineStr">
        <is>
          <t>Type 2</t>
        </is>
      </c>
    </row>
    <row r="8355">
      <c r="A8355" t="inlineStr">
        <is>
          <t>ezlrwd</t>
        </is>
      </c>
      <c r="B8355" t="inlineStr">
        <is>
          <t>Nearly yanking out pump sites in thigh</t>
        </is>
      </c>
      <c r="C8355" t="inlineStr">
        <is>
          <t>Does anyone have any tips for putting an infusion site in the thigh? I just tried it this last week, and for the first site over 2 days, I kept getting my pants caught on the site slightly each time I pulled them down, and almost ripped it off a few times. Then today after changing the site, within an hour I went to the restroom and yanked the site out.  
I want to find better spots aside from my butt and stomach since I have been using them for years and they are getting scarred now, and my arms are in use for my CGM. Thighs seemed the best option but it is hard to keep them attached in my experience.</t>
        </is>
      </c>
      <c r="D8355" t="n">
        <v>1</v>
      </c>
      <c r="E8355" t="n">
        <v>3</v>
      </c>
      <c r="F8355">
        <f>HYPERLINK("https://www.reddit.com/r/diabetes/comments/ezlrwd/nearly_yanking_out_pump_sites_in_thigh/")</f>
        <v/>
      </c>
      <c r="G8355" t="inlineStr">
        <is>
          <t>2020-02-05 19:07:51</t>
        </is>
      </c>
      <c r="H8355" t="inlineStr">
        <is>
          <t>Type 1</t>
        </is>
      </c>
    </row>
    <row r="8356">
      <c r="A8356" t="inlineStr">
        <is>
          <t>ezpn83</t>
        </is>
      </c>
      <c r="B8356" t="inlineStr">
        <is>
          <t>Is this dawn affect? I'm frustrated and confused.</t>
        </is>
      </c>
      <c r="C8356" t="inlineStr">
        <is>
          <t>Laity I have been waking up with highs. Like in the 380s. I go to sleep in the 90s-140s.  I try not to. Eat before bed and drink only water after 7pm. But for some reason this last month even if I nap my sugar spikes. It's concerning. I have an appointment with my vampire soon but I'm hoping someone else who is struggling can shed some light here.</t>
        </is>
      </c>
      <c r="D8356" t="n">
        <v>1</v>
      </c>
      <c r="E8356" t="n">
        <v>7</v>
      </c>
      <c r="F8356">
        <f>HYPERLINK("https://www.reddit.com/r/diabetes/comments/ezpn83/is_this_dawn_affect_im_frustrated_and_confused/")</f>
        <v/>
      </c>
      <c r="G8356" t="inlineStr">
        <is>
          <t>2020-02-06 00:56:10</t>
        </is>
      </c>
      <c r="H8356" t="inlineStr">
        <is>
          <t>Type 1</t>
        </is>
      </c>
    </row>
    <row r="8357">
      <c r="A8357" t="inlineStr">
        <is>
          <t>ezqfx5</t>
        </is>
      </c>
      <c r="B8357" t="inlineStr">
        <is>
          <t>MY HBA1C IS SINGLE DIGITS</t>
        </is>
      </c>
      <c r="C8357" t="inlineStr">
        <is>
          <t>I FINALLY DID IT! ITS BEEN REALLY HIGH FOR AGES BUT NOW ITS 7.6!!!!!!!</t>
        </is>
      </c>
      <c r="D8357" t="n">
        <v>1</v>
      </c>
      <c r="E8357" t="n">
        <v>44</v>
      </c>
      <c r="F8357">
        <f>HYPERLINK("https://www.reddit.com/r/diabetes/comments/ezqfx5/my_hba1c_is_single_digits/")</f>
        <v/>
      </c>
      <c r="G8357" t="inlineStr">
        <is>
          <t>2020-02-06 02:21:26</t>
        </is>
      </c>
      <c r="H8357" t="inlineStr">
        <is>
          <t>Type 1</t>
        </is>
      </c>
    </row>
    <row r="8358">
      <c r="A8358" t="inlineStr">
        <is>
          <t>ezs2wq</t>
        </is>
      </c>
      <c r="B8358" t="inlineStr">
        <is>
          <t>I have a question guys</t>
        </is>
      </c>
      <c r="C8358" t="inlineStr">
        <is>
          <t>So I'm a type 2 and I just recently started monitoring my blood sugars, this morning I had a reading of 57 and it's been happening like that the past week with these really low readings. Is this okay or should I be concerned my number can get that low?</t>
        </is>
      </c>
      <c r="D8358" t="n">
        <v>1</v>
      </c>
      <c r="E8358" t="n">
        <v>11</v>
      </c>
      <c r="F8358">
        <f>HYPERLINK("https://www.reddit.com/r/diabetes/comments/ezs2wq/i_have_a_question_guys/")</f>
        <v/>
      </c>
      <c r="G8358" t="inlineStr">
        <is>
          <t>2020-02-06 05:04:54</t>
        </is>
      </c>
      <c r="H8358" t="inlineStr">
        <is>
          <t>Type 2</t>
        </is>
      </c>
    </row>
    <row r="8359">
      <c r="A8359" t="inlineStr">
        <is>
          <t>ezscem</t>
        </is>
      </c>
      <c r="B8359" t="inlineStr">
        <is>
          <t>Can I use the Spike app for freestyle libre 2 without 3rd party transmitters?</t>
        </is>
      </c>
      <c r="C8359" t="inlineStr">
        <is>
          <t>Hi!
Question is basically in the title. Do I *need* a third party transmitter like MiaoMiao or BluCon Nightrider or can I just swipe the sensor normally, just with the Spike App in this case?
I heard that it's using a different algorithm than the original libre link app and it's supposed to be much more accurate. 
Any one have any insights on that?
Thanks!</t>
        </is>
      </c>
      <c r="D8359" t="n">
        <v>1</v>
      </c>
      <c r="E8359" t="n">
        <v>2</v>
      </c>
      <c r="F8359">
        <f>HYPERLINK("https://www.reddit.com/r/diabetes/comments/ezscem/can_i_use_the_spike_app_for_freestyle_libre_2/")</f>
        <v/>
      </c>
      <c r="G8359" t="inlineStr">
        <is>
          <t>2020-02-06 05:27:32</t>
        </is>
      </c>
      <c r="H8359" t="inlineStr">
        <is>
          <t>Type 1</t>
        </is>
      </c>
    </row>
    <row r="8360">
      <c r="A8360" t="inlineStr">
        <is>
          <t>ezsuwq</t>
        </is>
      </c>
      <c r="B8360" t="inlineStr">
        <is>
          <t>More confusing results.</t>
        </is>
      </c>
      <c r="C8360" t="inlineStr">
        <is>
          <t>Hi all,
I have seen my c peptide levels fall since my diagnosis in October. It was at 2.2nmol and now is at 1.0. I am on insulin 20 units of basalgar at night, and as of recently have been pulled off humolog. My last A1C was at 5.5, and I tested negative for lada antibodies. Would insulin shots lower my c peptide? At this point I have seen 3 endos. My primary had a diagnosis of lada, but referred me to U Of M. The endo there diagnosed me as a type 2 raised my basalgar to 20 units and discounted my humolog. Talked to my endo again before the c peptide results, and she agrees with the type 2 diagnosis. The doctor at U Of M told me to only test in the morning, when before I was testing 4-5 times a day.</t>
        </is>
      </c>
      <c r="D8360" t="n">
        <v>1</v>
      </c>
      <c r="E8360" t="n">
        <v>4</v>
      </c>
      <c r="F8360">
        <f>HYPERLINK("https://www.reddit.com/r/diabetes/comments/ezsuwq/more_confusing_results/")</f>
        <v/>
      </c>
      <c r="G8360" t="inlineStr">
        <is>
          <t>2020-02-06 06:09:22</t>
        </is>
      </c>
      <c r="H8360" t="inlineStr">
        <is>
          <t>Type 2</t>
        </is>
      </c>
    </row>
    <row r="8361">
      <c r="A8361" t="inlineStr">
        <is>
          <t>ezv50k</t>
        </is>
      </c>
      <c r="B8361" t="inlineStr">
        <is>
          <t>Question for Control IQ users</t>
        </is>
      </c>
      <c r="C8361" t="inlineStr">
        <is>
          <t>So I’m updating my pump soon! Finishing the training up shortly. But I have a question. Back when I updated to Basal IQ, I’m pretty sure it deemed my almost full cartridge useless and I ended up having to change it once I updated because the whole pump reset so therefore I had to go through setting up a new cartridge. Is it going to do the same thing for Control IQ? If so, I’ll probably wait until my cartridge is closer to empty to actually update.</t>
        </is>
      </c>
      <c r="D8361" t="n">
        <v>1</v>
      </c>
      <c r="E8361" t="n">
        <v>3</v>
      </c>
      <c r="F8361">
        <f>HYPERLINK("https://www.reddit.com/r/diabetes/comments/ezv50k/question_for_control_iq_users/")</f>
        <v/>
      </c>
      <c r="G8361" t="inlineStr">
        <is>
          <t>2020-02-06 08:55:01</t>
        </is>
      </c>
      <c r="H8361" t="inlineStr">
        <is>
          <t>Type 1</t>
        </is>
      </c>
    </row>
    <row r="8362">
      <c r="A8362" t="inlineStr">
        <is>
          <t>ezv9xn</t>
        </is>
      </c>
      <c r="B8362" t="inlineStr">
        <is>
          <t>Likely going to be diagnosed - what to expect?</t>
        </is>
      </c>
      <c r="C8362" t="inlineStr">
        <is>
          <t>I've had a bunch of symptoms for the past several years that have been worsening in recent months - things I'd written off to other issues.  I figured I was tired, overly hungry, and making poor progress on workouts due to *years* of very little sleep - but when I started peeing every hour, I realized it might be something more.  Especially since I had been eating much more than usual, but losing weight.
So I picked up a blood glucose test, and as near as I can figure, my blood has about the same sugar content as an ice cream cone.
Next step is obviously to see a doctor, and get all the proper tests, and probably medication to get this under control.  But what should I expect from that process?  What steps am I likely to need to take, what doctors am I likely to need to see, what questions should I ask?  I want to be as prepared as possible.  Thanks.</t>
        </is>
      </c>
      <c r="D8362" t="n">
        <v>1</v>
      </c>
      <c r="E8362" t="n">
        <v>12</v>
      </c>
      <c r="F8362">
        <f>HYPERLINK("https://www.reddit.com/r/diabetes/comments/ezv9xn/likely_going_to_be_diagnosed_what_to_expect/")</f>
        <v/>
      </c>
      <c r="G8362" t="inlineStr">
        <is>
          <t>2020-02-06 09:03:40</t>
        </is>
      </c>
      <c r="H8362" t="inlineStr">
        <is>
          <t>Type 2</t>
        </is>
      </c>
    </row>
    <row r="8363">
      <c r="A8363" t="inlineStr">
        <is>
          <t>ezwudz</t>
        </is>
      </c>
      <c r="B8363" t="inlineStr">
        <is>
          <t>Overnight shifts?</t>
        </is>
      </c>
      <c r="C8363" t="inlineStr">
        <is>
          <t>I've been scheduled the graveyard shift at my hospital lately. Midnight to 8am. Almost every night no matter what I see my sugar creeping up. Half the time it feels like my insulin doesn't even work anymore. My sugar isn't crazy when I'm sleeping at night, but when I'm awake it goes crazy 
Anyone else had a similar experience?</t>
        </is>
      </c>
      <c r="D8363" t="n">
        <v>1</v>
      </c>
      <c r="E8363" t="n">
        <v>3</v>
      </c>
      <c r="F8363">
        <f>HYPERLINK("https://www.reddit.com/r/diabetes/comments/ezwudz/overnight_shifts/")</f>
        <v/>
      </c>
      <c r="G8363" t="inlineStr">
        <is>
          <t>2020-02-06 10:47:27</t>
        </is>
      </c>
      <c r="H8363" t="inlineStr">
        <is>
          <t>Type 1</t>
        </is>
      </c>
    </row>
    <row r="8364">
      <c r="A8364" t="inlineStr">
        <is>
          <t>ezxo07</t>
        </is>
      </c>
      <c r="B8364" t="inlineStr">
        <is>
          <t>Diabetes and Bland Diets</t>
        </is>
      </c>
      <c r="C8364" t="inlineStr">
        <is>
          <t>I was just recently diagnosed but I'm also dealing with a peptic Ulcer. 
I was hoping for any advice on how best to follow a bland diet, as I can't eat as many things like breads and crackers in excess.</t>
        </is>
      </c>
      <c r="D8364" t="n">
        <v>1</v>
      </c>
      <c r="E8364" t="n">
        <v>11</v>
      </c>
      <c r="F8364">
        <f>HYPERLINK("https://www.reddit.com/r/diabetes/comments/ezxo07/diabetes_and_bland_diets/")</f>
        <v/>
      </c>
      <c r="G8364" t="inlineStr">
        <is>
          <t>2020-02-06 11:39:05</t>
        </is>
      </c>
      <c r="H8364" t="inlineStr">
        <is>
          <t>Type 2</t>
        </is>
      </c>
    </row>
    <row r="8365">
      <c r="A8365" t="inlineStr">
        <is>
          <t>ezxrt7</t>
        </is>
      </c>
      <c r="B8365" t="inlineStr">
        <is>
          <t>Anxiety</t>
        </is>
      </c>
      <c r="C8365" t="inlineStr">
        <is>
          <t>Does anyone else get panic/anxiety attacks when their numbers drop? 
I found out I was dx just 2018 and in the last couple months my anxiety has been really bad. I’ve seen a correlation between a rapid drop and a panic attack for me. 
I think for peace of mind it would help to know if anyone else has this happen.</t>
        </is>
      </c>
      <c r="D8365" t="n">
        <v>1</v>
      </c>
      <c r="E8365" t="n">
        <v>15</v>
      </c>
      <c r="F8365">
        <f>HYPERLINK("https://www.reddit.com/r/diabetes/comments/ezxrt7/anxiety/")</f>
        <v/>
      </c>
      <c r="G8365" t="inlineStr">
        <is>
          <t>2020-02-06 11:45:33</t>
        </is>
      </c>
      <c r="H8365" t="inlineStr">
        <is>
          <t>Type 2</t>
        </is>
      </c>
    </row>
    <row r="8366">
      <c r="A8366" t="inlineStr">
        <is>
          <t>ezyaqw</t>
        </is>
      </c>
      <c r="B8366" t="inlineStr">
        <is>
          <t>Dec 12th: 8.9 A1C / Glucose 198 - Today: 5.5 A1C / Glocose 111</t>
        </is>
      </c>
      <c r="C8366" t="inlineStr">
        <is>
          <t>How accomplished should I feel? I did not take any medication except for 2 weeks.</t>
        </is>
      </c>
      <c r="D8366" t="n">
        <v>1</v>
      </c>
      <c r="E8366" t="n">
        <v>6</v>
      </c>
      <c r="F8366">
        <f>HYPERLINK("https://www.reddit.com/r/diabetes/comments/ezyaqw/dec_12th_89_a1c_glucose_198_today_55_a1c_glocose/")</f>
        <v/>
      </c>
      <c r="G8366" t="inlineStr">
        <is>
          <t>2020-02-06 12:18:03</t>
        </is>
      </c>
      <c r="H8366" t="inlineStr">
        <is>
          <t>Type 2</t>
        </is>
      </c>
    </row>
    <row r="8367">
      <c r="A8367" t="inlineStr">
        <is>
          <t>f02q74</t>
        </is>
      </c>
      <c r="B8367" t="inlineStr">
        <is>
          <t>5 POSITIVE THINGS I CAN THINK OF FOLLOWING A DIABETES DIAGNOSIS!</t>
        </is>
      </c>
      <c r="C8367" t="inlineStr">
        <is>
          <t>I do not believe being diagnosed with diabetes is necessarily a totally negative prospect. There are certainly detrimental aspects of the disease (constant monitoring, injecting, health-related issues), but I have found there to be a number of positives as well. In fact, a positive attitude towards an irreversible fate is possibly the only way to move forward, and with the right mindset could improve your life in ways you never imagined.
MORE ORGANISED
A newly diagnosed disease requires absorbing a lot of new information, self-motivation and above all organisation. I have to take two types of insulin each and every day (Toujeo – background and NovoRapid – with food), test my sugars a minimum of four times a day using my GlucoMen areo2k tester, record my results, reorder prescriptions and have regular doctors appointments. I made the decision very early on that being organised would ensure diabetes had as little impact on my daily life as possible. As a result, every aspect of my life has become more focused, and this newly found organisational clarity is working out great. I get up in the morning about an hour before I used too pre-diagnosis (7 am) and have finally managed to start my blog in a way that isn’t affecting my other business or any other aspect of my life. It truly is an UpSwing.
EAT BETTER
Diabetes (type 1) technically doesn’t mean you are excluded from eating or drinking anything you want. However, there are other health-related issues associated with diabetes and eating well is an obvious way to minimise the effects of the disease. For those of you who have the condition you will be acutely aware of blood sugar lows, and how making good choices with the food  that we eat is massively beneficial. You don’t want to eat a high-calorie chocolate bar every time your sugars drop. I have found I’m eating far more fruit than I ever had before and moving towards an overall Mediterranean diet (probably a good idea considering I’m half Greek). 
LESS BOOZE
In my heady days at University I would have been considered a binge drinker; lots of alcohol and as often as my restricted finances allowed. In recent years however my thirst for the devils’ liquor has somewhat diminished. That being said I still enjoyed a drink and would often consume far more than the government recommended guidelines. Diabetes does not prevent one from partaking in the consumption of a delicious alcoholic beverage or two, but we do need to be careful and a little forward-thinking. Snacks need to be on hand for changes in blood sugars, regular testing is required and social groups need to be made aware of Hypo/Hyper symptoms. I have found it a lot easier to significantly reduce my intake to one maybe two drinks if any at all. I have more fun with my friends, I feel much better the next day and I am achieving more of my goals. Win, Win!
MORE EXERCISE
Diabetes can cause possible health implications for the body’s organs. The excess glucose in the blood causes damage to the blood vessels which can lead to a heart attack. There can also be complications with the kidneys, eyes, and feet. This is why regular checkups with the doctor are required. However, correctly managing your blood glucose levels with insulin, healthy eating, and regular exercise can minimise these risks. I have always been very active but since being diagnosed with diabetes a 5k run now has a purpose greater than not looking terrible on a Cypriot beach in mid-July. I love the endorphin rush one receives after a hard workout and now my motivations have changed, the buzz is even stronger. If diabetes gives me the motivation to exercise more and makes me feel better; I can’t argue with it. 
EMPATHY
I imagine a large proportion of you reading this do not have any significant health concerns. I was once part of this tribe and consequently, I was relatively ignorant of many diseases, much less diabetes. A final positive outcome of my diagnosis would be the better understanding I now have for people trying to manage their health problems and the wider economic, socio-economic and political issues that health impacts every day. Being a proud citizen of the UK  I have only good things to say about our magnificent National Health Service (NHS). As a result of my condition, I have joined Diabetes UK, a fantastic organisation, as well as a number of other diabetes and health related forums. I try and engage with people and offer advice from my experiences and most importantly encourage not only the acceptance of the disease, but the possibilities despite it. 
lifeupswing.com</t>
        </is>
      </c>
      <c r="D8367" t="n">
        <v>1</v>
      </c>
      <c r="E8367" t="n">
        <v>1</v>
      </c>
      <c r="F8367">
        <f>HYPERLINK("https://www.reddit.com/r/diabetes/comments/f02q74/5_positive_things_i_can_think_of_following_a/")</f>
        <v/>
      </c>
      <c r="G8367" t="inlineStr">
        <is>
          <t>2020-02-06 17:13:22</t>
        </is>
      </c>
      <c r="H8367" t="inlineStr">
        <is>
          <t>Type 1</t>
        </is>
      </c>
    </row>
    <row r="8368">
      <c r="A8368" t="inlineStr">
        <is>
          <t>f076w5</t>
        </is>
      </c>
      <c r="B8368" t="inlineStr">
        <is>
          <t>How do I get better control?</t>
        </is>
      </c>
      <c r="C8368" t="inlineStr">
        <is>
          <t>I have two *major* problems with my diabetes. They are:
* Wrestling with my insurance company
* My shitty endo
The first is a real head-scratcher. I was completely without test strips for two weeks because they were trying to change my brand for said time. The entire time that they were in the middle of changing my strip brand they refused to fill my actual test strips. This happens constantly! The insurance changed me from Novalog to Humalog and completely changed my ratio! How do I fix this?
The second issue is that my endocronologist is actually incompetent. She has answered literally none of my questions in three years of seeing her. I remember asking her if I was allowed to eat sugary foods. My exact phrasing was "Are sugary foods bad for me in a typical meal?" but instead of answering what would be a simple yes or no question she just said "Simple carbohydrates kick in quicker and complex take longer to break down." Like I asked her if sugary foods were bad. I wanted to know if an apple pie for Christmas would have an adverse effect on my health. Every question I ask is given a vague answer. Some T2 told me that cashews worsen keto-acidosis and I had to legitimately take a step back and say "Foods can change keto-acidosis??!?!?" despite being diabetic for 3 YEARS!
&amp;amp;#x200B;
How do I fix this stuff? I keep trying to get a hold on this disease but every time I get going I run out of supplies because the insurance won't go through, my endo hasn't explained something to me and so I don't know what to do or both! I live in America in case you couldn't tell.</t>
        </is>
      </c>
      <c r="D8368" t="n">
        <v>1</v>
      </c>
      <c r="E8368" t="n">
        <v>8</v>
      </c>
      <c r="F8368">
        <f>HYPERLINK("https://www.reddit.com/r/diabetes/comments/f076w5/how_do_i_get_better_control/")</f>
        <v/>
      </c>
      <c r="G8368" t="inlineStr">
        <is>
          <t>2020-02-06 23:32:10</t>
        </is>
      </c>
      <c r="H8368" t="inlineStr">
        <is>
          <t>Type 1</t>
        </is>
      </c>
    </row>
    <row r="8369">
      <c r="A8369" t="inlineStr">
        <is>
          <t>f09b7m</t>
        </is>
      </c>
      <c r="B8369" t="inlineStr">
        <is>
          <t>So much better control</t>
        </is>
      </c>
      <c r="C8369" t="inlineStr">
        <is>
          <t>Im my mother's caregiver.  T2d (waiting on testing to see if actually lada) of 25 years and she also has Alzheimer's.  Finally got her on dexcom about a month ago and started her first pod yesterday morning at training.  Im sitting here at 5 in the morning crying happy tears.  I slept through the night.  No alarms (high or low). Mom slept through the night.  She usually gets up no less than four times. Even before her g6, I'd test her and she would be anywhere from 250 to pushing 500. She's still sleeping peacefully.  She didn't go above 150 all night. Currently sitting at 131.</t>
        </is>
      </c>
      <c r="D8369" t="n">
        <v>1</v>
      </c>
      <c r="E8369" t="n">
        <v>4</v>
      </c>
      <c r="F8369">
        <f>HYPERLINK("https://www.reddit.com/r/diabetes/comments/f09b7m/so_much_better_control/")</f>
        <v/>
      </c>
      <c r="G8369" t="inlineStr">
        <is>
          <t>2020-02-07 03:38:44</t>
        </is>
      </c>
      <c r="H8369" t="inlineStr">
        <is>
          <t>Type 2</t>
        </is>
      </c>
    </row>
    <row r="8370">
      <c r="A8370" t="inlineStr">
        <is>
          <t>f0cysp</t>
        </is>
      </c>
      <c r="B8370" t="inlineStr">
        <is>
          <t>Discourged by Diabetes a few years ago, need to hop back on the program, have a question</t>
        </is>
      </c>
      <c r="C8370" t="inlineStr">
        <is>
          <t>A few years ago I was diagnosed with type 2 diabetes. Due to discouragement I gave up on the metformin and diet and just said fuck it for a few years. 
Fast forward to today, health scare in family. TLDR: I'm going to go back to the doc to re-evaluate. Due to money and time shortage I'm not going to be able to get in for a few weeks. 
Just wondering if you have any tips for the meantime. 
I have a glucose reader. Diet is low carb. Trying to figure out carb counting etc. Kind of feeling overwhelmed.</t>
        </is>
      </c>
      <c r="D8370" t="n">
        <v>1</v>
      </c>
      <c r="E8370" t="n">
        <v>2</v>
      </c>
      <c r="F8370">
        <f>HYPERLINK("https://www.reddit.com/r/diabetes/comments/f0cysp/discourged_by_diabetes_a_few_years_ago_need_to/")</f>
        <v/>
      </c>
      <c r="G8370" t="inlineStr">
        <is>
          <t>2020-02-07 08:37:23</t>
        </is>
      </c>
      <c r="H8370" t="inlineStr">
        <is>
          <t>Type 2</t>
        </is>
      </c>
    </row>
    <row r="8371">
      <c r="A8371" t="inlineStr">
        <is>
          <t>f0d8yg</t>
        </is>
      </c>
      <c r="B8371" t="inlineStr">
        <is>
          <t>Ac1 10</t>
        </is>
      </c>
      <c r="C8371" t="inlineStr">
        <is>
          <t>So new to this whole thing. But I have not seen my GP yet as time restrictions but my ac1 came up at 10 for my blood work. Is this in the range of diet and exercise maintenance? I have tested my blood the last 3 nights and they were 11.2 and 12.3. But after eating well last two days last night was 8.9.  Right direction right? Plus I will be first to admit pretty much have worst diet out there.</t>
        </is>
      </c>
      <c r="D8371" t="n">
        <v>1</v>
      </c>
      <c r="E8371" t="n">
        <v>4</v>
      </c>
      <c r="F8371">
        <f>HYPERLINK("https://www.reddit.com/r/diabetes/comments/f0d8yg/ac1_10/")</f>
        <v/>
      </c>
      <c r="G8371" t="inlineStr">
        <is>
          <t>2020-02-07 08:57:07</t>
        </is>
      </c>
      <c r="H8371" t="inlineStr">
        <is>
          <t>Type 2</t>
        </is>
      </c>
    </row>
    <row r="8372">
      <c r="A8372" t="inlineStr">
        <is>
          <t>f0eddp</t>
        </is>
      </c>
      <c r="B8372" t="inlineStr">
        <is>
          <t>FreeStyle Libre</t>
        </is>
      </c>
      <c r="C8372" t="inlineStr">
        <is>
          <t>I have the FreeStyle Libre set up on my phone (Samsung Galaxy S9+) and scanning it is hit or miss but right now it wont scan at all. It would normally scan if I restarted my phone but now nothing. I can use my meter because the very fist scan was done on my phone and not the reader.</t>
        </is>
      </c>
      <c r="D8372" t="n">
        <v>1</v>
      </c>
      <c r="E8372" t="n">
        <v>10</v>
      </c>
      <c r="F8372">
        <f>HYPERLINK("https://www.reddit.com/r/diabetes/comments/f0eddp/freestyle_libre/")</f>
        <v/>
      </c>
      <c r="G8372" t="inlineStr">
        <is>
          <t>2020-02-07 10:12:56</t>
        </is>
      </c>
      <c r="H8372" t="inlineStr">
        <is>
          <t>Type 1</t>
        </is>
      </c>
    </row>
    <row r="8373">
      <c r="A8373" t="inlineStr">
        <is>
          <t>f0ewtb</t>
        </is>
      </c>
      <c r="B8373" t="inlineStr">
        <is>
          <t>Issues getting Control-IQ Script?</t>
        </is>
      </c>
      <c r="C8373" t="inlineStr">
        <is>
          <t>I did the submission in the portal and have been waiting on "Prescription Waiting Period" for about a week and a half, normally my Endo is very responsive, so I called his nurse today to inquire. They said they hadn't received any request from Tandem, and since its near impossible to speak with Tandem CSRs right now plus I dont want to take position away from people who have actual pump emergencies. I was wondering if anyone else is experiencing this or experienced something similar?</t>
        </is>
      </c>
      <c r="D8373" t="n">
        <v>1</v>
      </c>
      <c r="E8373" t="n">
        <v>5</v>
      </c>
      <c r="F8373">
        <f>HYPERLINK("https://www.reddit.com/r/diabetes/comments/f0ewtb/issues_getting_controliq_script/")</f>
        <v/>
      </c>
      <c r="G8373" t="inlineStr">
        <is>
          <t>2020-02-07 10:50:06</t>
        </is>
      </c>
      <c r="H8373" t="inlineStr">
        <is>
          <t>Type 1</t>
        </is>
      </c>
    </row>
    <row r="8374">
      <c r="A8374" t="inlineStr">
        <is>
          <t>f0jemr</t>
        </is>
      </c>
      <c r="B8374" t="inlineStr">
        <is>
          <t>Tandem Pump Training?</t>
        </is>
      </c>
      <c r="C8374" t="inlineStr">
        <is>
          <t>I recently got a Tandem insulin pump. I haven't started using it yet because I haven't gone through training and the box/my doctor/the distributer all said not to use the pump until I got the training. I got an email over a week ago that someone from Tandem would be reaching out to me for training. I've had my pump/CGM a week now, and still no one has contacted me. I try to call and no one answers (right now I'm holding for a customer support person, and have been for over 50 minutes).
Did other people have to wait a long time for training? Is this normal for Tandem? 
I had Medtronic before and they called me the day after I got my pump and got my training scheduled, so I don't know if this is normal wait for Tandem.</t>
        </is>
      </c>
      <c r="D8374" t="n">
        <v>1</v>
      </c>
      <c r="E8374" t="n">
        <v>0</v>
      </c>
      <c r="F8374">
        <f>HYPERLINK("https://www.reddit.com/r/diabetes/comments/f0jemr/tandem_pump_training/")</f>
        <v/>
      </c>
      <c r="G8374" t="inlineStr">
        <is>
          <t>2020-02-07 16:03:44</t>
        </is>
      </c>
      <c r="H8374" t="inlineStr">
        <is>
          <t>Type 1</t>
        </is>
      </c>
    </row>
    <row r="8375">
      <c r="A8375" t="inlineStr">
        <is>
          <t>f0msmx</t>
        </is>
      </c>
      <c r="B8375" t="inlineStr">
        <is>
          <t>Dexcom CGM question</t>
        </is>
      </c>
      <c r="C8375" t="inlineStr">
        <is>
          <t>I have a T:Slim 2x and I updated my pump for Control Iq. I decided to change my cgm right before bc I needed to change it. I didn’t realize that once you update the pump it reboots until I read the directions. So once it finished updating, instead of changing my cgm entirely, I stopped the sensor on my phone and just re-entered the code on my pump and phone. Should that be alright or should I just change it completely?</t>
        </is>
      </c>
      <c r="D8375" t="n">
        <v>1</v>
      </c>
      <c r="E8375" t="n">
        <v>0</v>
      </c>
      <c r="F8375">
        <f>HYPERLINK("https://www.reddit.com/r/diabetes/comments/f0msmx/dexcom_cgm_question/")</f>
        <v/>
      </c>
      <c r="G8375" t="inlineStr">
        <is>
          <t>2020-02-07 20:49:49</t>
        </is>
      </c>
      <c r="H8375" t="inlineStr">
        <is>
          <t>Type 1</t>
        </is>
      </c>
    </row>
    <row r="8376">
      <c r="A8376" t="inlineStr">
        <is>
          <t>f0th0b</t>
        </is>
      </c>
      <c r="B8376" t="inlineStr">
        <is>
          <t>New to Freestyle Libre. How do you manage arrows</t>
        </is>
      </c>
      <c r="C8376" t="inlineStr">
        <is>
          <t>Hi everyone.
&amp;amp;#x200B;
I started using the freestyle libre a couple of days ago and I struggle correcting myself when there's hi and low arrows. Since the result is 10-15 minutes late I find it hard to make the right adjustements. For example:
&amp;amp;#x200B;
If I'm lowering fast at 5.0 I could be already in hypo. If I take a complex carb snack like a protein bar, I could still end up in hypo right? Same thing if I'm high. I. could be already super high. Even if I correct myself with NovoRapid, I'll still see the results later than checking on my glucometer.
&amp;amp;#x200B;
Tell me what you think! Thank you!</t>
        </is>
      </c>
      <c r="D8376" t="n">
        <v>1</v>
      </c>
      <c r="E8376" t="n">
        <v>1</v>
      </c>
      <c r="F8376">
        <f>HYPERLINK("https://www.reddit.com/r/diabetes/comments/f0th0b/new_to_freestyle_libre_how_do_you_manage_arrows/")</f>
        <v/>
      </c>
      <c r="G8376" t="inlineStr">
        <is>
          <t>2020-02-08 08:02:54</t>
        </is>
      </c>
      <c r="H8376" t="inlineStr">
        <is>
          <t>Type 1</t>
        </is>
      </c>
    </row>
    <row r="8377">
      <c r="A8377" t="inlineStr">
        <is>
          <t>f0v18c</t>
        </is>
      </c>
      <c r="B8377" t="inlineStr">
        <is>
          <t>Tips for keeping leg pump sites from ripping off?</t>
        </is>
      </c>
      <c r="C8377" t="inlineStr">
        <is>
          <t>I really need to give my abdomen/sides a break for a while, so I've started to use outer and front of my thighs. Absorption is good, but I've ripped out more than a few accidentally when changing/going to the bathroom. Anyone have any tricks to keep this from happening? I've been thinking maybe a dressing or padding might help.</t>
        </is>
      </c>
      <c r="D8377" t="n">
        <v>1</v>
      </c>
      <c r="E8377" t="n">
        <v>5</v>
      </c>
      <c r="F8377">
        <f>HYPERLINK("https://www.reddit.com/r/diabetes/comments/f0v18c/tips_for_keeping_leg_pump_sites_from_ripping_off/")</f>
        <v/>
      </c>
      <c r="G8377" t="inlineStr">
        <is>
          <t>2020-02-08 09:54:58</t>
        </is>
      </c>
      <c r="H8377" t="inlineStr">
        <is>
          <t>Type 1.5/LADA</t>
        </is>
      </c>
    </row>
    <row r="8378">
      <c r="A8378" t="inlineStr">
        <is>
          <t>f0ylo1</t>
        </is>
      </c>
      <c r="B8378" t="inlineStr">
        <is>
          <t>Looking for community and help..</t>
        </is>
      </c>
      <c r="C8378" t="inlineStr">
        <is>
          <t>Hi, my name is Lola and I recently got diagnosed with type 1 diabetes at the ripe old age of... well I don't want to give it out but lets say young adult, past teenage years. It's been a very bumpy ride with trying out medications, new diets, and just TODAY starting insulin. My girlfriend doesn't have diabetes and is very supportive of me and wants to change her eating habits to reflect mine, which helps a ton. But otherwise I don't have any other diabetic friends or associates to relate to or get help from... so I thought this would be a proper place to turn.
My biggest problems are my texture issues (sprung up by being on the autistic spectrum) with food. I've been switching to a mainly protein-based diet but I have severe cravings for crunchy foods as well as sweets. The funny thing about sweets is that I wasn't even a big sweet connoisseur until I got diagnosed!! So inconvenient lol. I would appreciate some low carb snack recommendations or even some tasty low-carb meals to help with these cravings..
 I have almost completely switched from regular soda to diet soda and water, mainly water. So that's not really an issue anymore at least. I'm also a fulltime college student and want to find a way to work exercise into my routine without overloading myself. 
Thank you for taking the time to read and respond to this!!</t>
        </is>
      </c>
      <c r="D8378" t="n">
        <v>1</v>
      </c>
      <c r="E8378" t="n">
        <v>11</v>
      </c>
      <c r="F8378">
        <f>HYPERLINK("https://www.reddit.com/r/diabetes/comments/f0ylo1/looking_for_community_and_help/")</f>
        <v/>
      </c>
      <c r="G8378" t="inlineStr">
        <is>
          <t>2020-02-08 14:07:28</t>
        </is>
      </c>
      <c r="H8378" t="inlineStr">
        <is>
          <t>Type 1</t>
        </is>
      </c>
    </row>
    <row r="8379">
      <c r="A8379" t="inlineStr">
        <is>
          <t>f12hse</t>
        </is>
      </c>
      <c r="B8379" t="inlineStr">
        <is>
          <t>Have you ever used a Humalog Kwikpen to fill an Omnipod?</t>
        </is>
      </c>
      <c r="C8379" t="inlineStr">
        <is>
          <t>Hello friends, my first post here. 
I am traveling for the weekend and I forgot my Humalog vial. I'm an Omnipod user and my pod expires early tomorrow morning. I have a Humalog Kwikpen but no pen needles. I do have a syringe though. 
So I am wondering, has anyone used a syringe to poke through and draw Humalog from a Kwikpen? If not, do you think it would work? I was diagnosed last year so I don't have too much experience with what to do when I don't have everything I need. 
Worst comes to worst I'll just call my trip short and go home but I am trying to avoid that considering I have insulin just not in a vial. 
Thank you all in advance!</t>
        </is>
      </c>
      <c r="D8379" t="n">
        <v>1</v>
      </c>
      <c r="E8379" t="n">
        <v>8</v>
      </c>
      <c r="F8379">
        <f>HYPERLINK("https://www.reddit.com/r/diabetes/comments/f12hse/have_you_ever_used_a_humalog_kwikpen_to_fill_an/")</f>
        <v/>
      </c>
      <c r="G8379" t="inlineStr">
        <is>
          <t>2020-02-08 18:58:18</t>
        </is>
      </c>
      <c r="H8379" t="inlineStr">
        <is>
          <t>Type 1</t>
        </is>
      </c>
    </row>
    <row r="8380">
      <c r="A8380" t="inlineStr">
        <is>
          <t>f12tt2</t>
        </is>
      </c>
      <c r="B8380" t="inlineStr">
        <is>
          <t>Do mini needles work as well as regular ones?</t>
        </is>
      </c>
      <c r="C8380" t="inlineStr">
        <is>
          <t>I have been using the shorter mini needles lately, and my blood sugar has been higher, my dad says it is not the needles fault, but I could have swore my doctor said you can grow out of mini needles. So who is correct.</t>
        </is>
      </c>
      <c r="D8380" t="n">
        <v>1</v>
      </c>
      <c r="E8380" t="n">
        <v>4</v>
      </c>
      <c r="F8380">
        <f>HYPERLINK("https://www.reddit.com/r/diabetes/comments/f12tt2/do_mini_needles_work_as_well_as_regular_ones/")</f>
        <v/>
      </c>
      <c r="G8380" t="inlineStr">
        <is>
          <t>2020-02-08 19:24:28</t>
        </is>
      </c>
      <c r="H8380" t="inlineStr">
        <is>
          <t>Type 1</t>
        </is>
      </c>
    </row>
    <row r="8381">
      <c r="A8381" t="inlineStr">
        <is>
          <t>f12uq1</t>
        </is>
      </c>
      <c r="B8381" t="inlineStr">
        <is>
          <t>I’m scared</t>
        </is>
      </c>
      <c r="C8381" t="inlineStr">
        <is>
          <t>So pretty much I’m a type 1, 16 year old and have had diabetes for almost 5 years. When I first got it everything seemed simple to check my sugar every once in a while, take my long lasting and fast lasting insulin. After 2 years of following that method my sugar started getting super hectic when I was introduced to carb counting and got what I think is called DKA. It was the lowest point in my life I was suicidal, and needed help controlling it cause I was hopeless. My mom (who is currently my guardian) is trying her best to take me to the best hospitals in the country, but they all keep telling me to go through it with trial and error. For the past 6 months I can’t sleep from high blood sugar constantly going to the bathroom, feeling disoriented and vomiting. I don’t know what to do I’m scared and crying, I don’t know what to do.
Sorry if this was long and if my English was bad since it’s not my main language</t>
        </is>
      </c>
      <c r="D8381" t="n">
        <v>1</v>
      </c>
      <c r="E8381" t="n">
        <v>6</v>
      </c>
      <c r="F8381">
        <f>HYPERLINK("https://www.reddit.com/r/diabetes/comments/f12uq1/im_scared/")</f>
        <v/>
      </c>
      <c r="G8381" t="inlineStr">
        <is>
          <t>2020-02-08 19:26:37</t>
        </is>
      </c>
      <c r="H8381" t="inlineStr">
        <is>
          <t>Type 1</t>
        </is>
      </c>
    </row>
    <row r="8382">
      <c r="A8382" t="inlineStr">
        <is>
          <t>f14cm4</t>
        </is>
      </c>
      <c r="B8382" t="inlineStr">
        <is>
          <t>A donation to a Mexican woman with diabetes</t>
        </is>
      </c>
      <c r="C8382" t="inlineStr">
        <is>
          <t xml:space="preserve">   
**I found this crowdfunding campaign, basically she is a single mother who does not have enough money to continue paying for her treatment, she is type 1 diabetic, the situation is sad and that is why I share it** 
&amp;amp;#x200B;
#  [https://donadora.org/campanas/insulina-para-mama](https://donadora.org/campanas/insulina-para-mama)</t>
        </is>
      </c>
      <c r="D8382" t="n">
        <v>1</v>
      </c>
      <c r="E8382" t="n">
        <v>4</v>
      </c>
      <c r="F8382">
        <f>HYPERLINK("https://www.reddit.com/r/diabetes/comments/f14cm4/a_donation_to_a_mexican_woman_with_diabetes/")</f>
        <v/>
      </c>
      <c r="G8382" t="inlineStr">
        <is>
          <t>2020-02-08 21:37:31</t>
        </is>
      </c>
      <c r="H8382" t="inlineStr">
        <is>
          <t>Type 1</t>
        </is>
      </c>
    </row>
    <row r="8383">
      <c r="A8383" t="inlineStr">
        <is>
          <t>f18sab</t>
        </is>
      </c>
      <c r="B8383" t="inlineStr">
        <is>
          <t>Test strip question: Not sure what strips I need.</t>
        </is>
      </c>
      <c r="C8383" t="inlineStr">
        <is>
          <t>Old guy here...I have a True result nipro tester and it came with Truetest strips. I am not sure what to buy  now that I am out of the ones that came with it.
I'd like to be able to buy from Amazon as I live in a very rural area and in store shopping is very limited.  
If it would be smarter to buy a more generic tester I am willing to do that.
Any advice would be appreciated.</t>
        </is>
      </c>
      <c r="D8383" t="n">
        <v>1</v>
      </c>
      <c r="E8383" t="n">
        <v>4</v>
      </c>
      <c r="F8383">
        <f>HYPERLINK("https://www.reddit.com/r/diabetes/comments/f18sab/test_strip_question_not_sure_what_strips_i_need/")</f>
        <v/>
      </c>
      <c r="G8383" t="inlineStr">
        <is>
          <t>2020-02-09 05:43:40</t>
        </is>
      </c>
      <c r="H8383" t="inlineStr">
        <is>
          <t>Type 2</t>
        </is>
      </c>
    </row>
    <row r="8384">
      <c r="A8384" t="inlineStr">
        <is>
          <t>f1gbcl</t>
        </is>
      </c>
      <c r="B8384" t="inlineStr">
        <is>
          <t>Any good carb calculator apps?</t>
        </is>
      </c>
      <c r="C8384" t="inlineStr">
        <is>
          <t>Hi!
Say I have potato chips. 100g have 47g carbs, but I wanna eat 475g of chips, now I could do the math in my head, but I'm a bad at math and honestly, just really don't want to do that in the morning when I have to get up at 4:30 am. 
So are there any apps that do that for me? Without me having to think about it..like at all?
Thanks.</t>
        </is>
      </c>
      <c r="D8384" t="n">
        <v>1</v>
      </c>
      <c r="E8384" t="n">
        <v>1</v>
      </c>
      <c r="F8384">
        <f>HYPERLINK("https://www.reddit.com/r/diabetes/comments/f1gbcl/any_good_carb_calculator_apps/")</f>
        <v/>
      </c>
      <c r="G8384" t="inlineStr">
        <is>
          <t>2020-02-09 14:27:31</t>
        </is>
      </c>
      <c r="H8384" t="inlineStr">
        <is>
          <t>Type 1</t>
        </is>
      </c>
    </row>
    <row r="8385">
      <c r="A8385" t="inlineStr">
        <is>
          <t>f1gg5i</t>
        </is>
      </c>
      <c r="B8385" t="inlineStr">
        <is>
          <t>Need Acct-Chek Guide Test Strips?</t>
        </is>
      </c>
      <c r="C8385" t="inlineStr">
        <is>
          <t>Sorry if it’s not allowed, but I’ve got 250 Accu-Chek Guide test strips (5 sets of 50 each) to give away. They expire 3/14/20 &amp;amp; 5/14/20.</t>
        </is>
      </c>
      <c r="D8385" t="n">
        <v>1</v>
      </c>
      <c r="E8385" t="n">
        <v>0</v>
      </c>
      <c r="F8385">
        <f>HYPERLINK("https://www.reddit.com/r/diabetes/comments/f1gg5i/need_acctchek_guide_test_strips/")</f>
        <v/>
      </c>
      <c r="G8385" t="inlineStr">
        <is>
          <t>2020-02-09 14:36:28</t>
        </is>
      </c>
      <c r="H8385" t="inlineStr">
        <is>
          <t>Type 2</t>
        </is>
      </c>
    </row>
    <row r="8386">
      <c r="A8386" t="inlineStr">
        <is>
          <t>f1gguj</t>
        </is>
      </c>
      <c r="B8386" t="inlineStr">
        <is>
          <t>Need Accu-Chek Guide Test Strips?</t>
        </is>
      </c>
      <c r="C8386" t="inlineStr">
        <is>
          <t>Sorry if it’s not allowed, but I’ve got 250 Accu-Chek Guide test strips (5 sets of 50 each) to give away. They expire 3/14/20 &amp;amp; 5/14/20.</t>
        </is>
      </c>
      <c r="D8386" t="n">
        <v>1</v>
      </c>
      <c r="E8386" t="n">
        <v>1</v>
      </c>
      <c r="F8386">
        <f>HYPERLINK("https://www.reddit.com/r/diabetes/comments/f1gguj/need_accuchek_guide_test_strips/")</f>
        <v/>
      </c>
      <c r="G8386" t="inlineStr">
        <is>
          <t>2020-02-09 14:37:47</t>
        </is>
      </c>
      <c r="H8386" t="inlineStr">
        <is>
          <t>Type 2</t>
        </is>
      </c>
    </row>
    <row r="8387">
      <c r="A8387" t="inlineStr">
        <is>
          <t>f1h3i1</t>
        </is>
      </c>
      <c r="B8387" t="inlineStr">
        <is>
          <t>Freestyle libre</t>
        </is>
      </c>
      <c r="C8387" t="inlineStr">
        <is>
          <t>Any UK diabetics having trouble getting their freestyle libre on prescription? Been to the pharmacy multiple times and they keep saying there’s delays ordering them?</t>
        </is>
      </c>
      <c r="D8387" t="n">
        <v>1</v>
      </c>
      <c r="E8387" t="n">
        <v>9</v>
      </c>
      <c r="F8387">
        <f>HYPERLINK("https://www.reddit.com/r/diabetes/comments/f1h3i1/freestyle_libre/")</f>
        <v/>
      </c>
      <c r="G8387" t="inlineStr">
        <is>
          <t>2020-02-09 15:21:32</t>
        </is>
      </c>
      <c r="H8387" t="inlineStr">
        <is>
          <t>Type 1</t>
        </is>
      </c>
    </row>
    <row r="8388">
      <c r="A8388" t="inlineStr">
        <is>
          <t>f1oyrm</t>
        </is>
      </c>
      <c r="B8388" t="inlineStr">
        <is>
          <t>Improve the future of diabetes with us! Join us for a phone interview about your experiences.</t>
        </is>
      </c>
      <c r="C8388" t="inlineStr">
        <is>
          <t>Hi everyone!
I am Dario, my father was diagnosed with type 2 diabetes a few years ago, which led me to work for xbird. We are developing a mobile companion for people affected by diabetes. With our technology, we can provide daily support regarding the overwhelming amount of health-related decisions you have to make every day! 
Besides already working with medical specialists, we are looking for people living with diabetes type 2 to talk to. We really want to understand what would benefit you in your day-to-day life. :)
Learn more and sign up to share your experiences with us in a 60 minutes phone/video interview: [https://www.join.xbird.io](https://www.join.xbird.io/)
You can contact me here on reddit or via [user.research@xbird.io](mailto:user.research@xbird.io) anytime!
&amp;amp;#x200B;
All the best,
Dario</t>
        </is>
      </c>
      <c r="D8388" t="n">
        <v>1</v>
      </c>
      <c r="E8388" t="n">
        <v>3</v>
      </c>
      <c r="F8388">
        <f>HYPERLINK("https://www.reddit.com/r/diabetes/comments/f1oyrm/improve_the_future_of_diabetes_with_us_join_us/")</f>
        <v/>
      </c>
      <c r="G8388" t="inlineStr">
        <is>
          <t>2020-02-10 03:23:55</t>
        </is>
      </c>
      <c r="H8388" t="inlineStr">
        <is>
          <t>Type 2</t>
        </is>
      </c>
    </row>
    <row r="8389">
      <c r="A8389" t="inlineStr">
        <is>
          <t>f1p0bz</t>
        </is>
      </c>
      <c r="B8389" t="inlineStr">
        <is>
          <t>Anyone t1s in London fancy meeting up?</t>
        </is>
      </c>
      <c r="C8389" t="inlineStr">
        <is>
          <t>Hi all, I was wondering if anyone with type 1 is living in London and would like to meet up? I don't have any friends with diabetes and it might be nice to make one.
Cheers!</t>
        </is>
      </c>
      <c r="D8389" t="n">
        <v>1</v>
      </c>
      <c r="E8389" t="n">
        <v>2</v>
      </c>
      <c r="F8389">
        <f>HYPERLINK("https://www.reddit.com/r/diabetes/comments/f1p0bz/anyone_t1s_in_london_fancy_meeting_up/")</f>
        <v/>
      </c>
      <c r="G8389" t="inlineStr">
        <is>
          <t>2020-02-10 03:29:02</t>
        </is>
      </c>
      <c r="H8389" t="inlineStr">
        <is>
          <t>Type 1</t>
        </is>
      </c>
    </row>
    <row r="8390">
      <c r="A8390" t="inlineStr">
        <is>
          <t>f1p4t9</t>
        </is>
      </c>
      <c r="B8390" t="inlineStr">
        <is>
          <t>ONLINE SURVEY - Social support &amp;amp; mental well-being survey for T1 diabetics</t>
        </is>
      </c>
      <c r="C8390" t="inlineStr">
        <is>
          <t>Hello, I am a third year undergraduate psychology student within the Health and Life Sciences department at Northumbria University, carrying out my final year Bachelor’s project. I am conducting an online survey studying gender differences in social support networks and mental well-being among Type 1 diabetics. This study will take approximately 10 minutes to complete and results will remain anonymous.
Reminder: Only over 18’s and those with a diagnosis of Type 1 diabetes are eligible to take part in this study.
If you are interested in taking part, please follow the link provided: [https://nupsych.qualtrics.com/jfe/form/SV\_1YvVyTQe3tkyRMh](https://nupsych.qualtrics.com/jfe/form/SV_1YvVyTQe3tkyRMh)
If you have any questions, please contact me via email [tian.cheyne@northumbria.ac.uk](mailto:tian.cheyne@northumbria.ac.uk)</t>
        </is>
      </c>
      <c r="D8390" t="n">
        <v>1</v>
      </c>
      <c r="E8390" t="n">
        <v>1</v>
      </c>
      <c r="F8390">
        <f>HYPERLINK("https://www.reddit.com/r/diabetes/comments/f1p4t9/online_survey_social_support_mental_wellbeing/")</f>
        <v/>
      </c>
      <c r="G8390" t="inlineStr">
        <is>
          <t>2020-02-10 03:42:05</t>
        </is>
      </c>
      <c r="H8390" t="inlineStr">
        <is>
          <t>Type 1.5/LADA</t>
        </is>
      </c>
    </row>
    <row r="8391">
      <c r="A8391" t="inlineStr">
        <is>
          <t>f1qc7j</t>
        </is>
      </c>
      <c r="B8391" t="inlineStr">
        <is>
          <t>Tandem T slim died, is saying I need to install a new filled cartridge to continue. How do I get around this?</t>
        </is>
      </c>
      <c r="C8391" t="inlineStr">
        <is>
          <t>My pump died this morning and it's the first time it's happened since I got the TSlim X2. When I went to resume deliver it's giving me a message saying: In order to resume insulin, a new cartridge must be installed and filled with insulin. Is there any way I can bypass this without wasting 10 units of insulin or putting a new cartridge in?</t>
        </is>
      </c>
      <c r="D8391" t="n">
        <v>1</v>
      </c>
      <c r="E8391" t="n">
        <v>8</v>
      </c>
      <c r="F8391">
        <f>HYPERLINK("https://www.reddit.com/r/diabetes/comments/f1qc7j/tandem_t_slim_died_is_saying_i_need_to_install_a/")</f>
        <v/>
      </c>
      <c r="G8391" t="inlineStr">
        <is>
          <t>2020-02-10 05:32:19</t>
        </is>
      </c>
      <c r="H8391" t="inlineStr">
        <is>
          <t>Type 1</t>
        </is>
      </c>
    </row>
    <row r="8392">
      <c r="A8392" t="inlineStr">
        <is>
          <t>f1s1of</t>
        </is>
      </c>
      <c r="B8392" t="inlineStr">
        <is>
          <t>Dexcom Discomfort</t>
        </is>
      </c>
      <c r="C8392" t="inlineStr">
        <is>
          <t>I’ve been using the Dexcom G6 since late December. I started my 5th sensor on Saturday. For the first time, I’m experiencing a bit of discomfort. Nothing major, but enough to be annoying. You can’t tell if the probe is causing the problem, or maybe the adhesive is pulling on the skin or hair or what. 
Usually if I rub my finger along the pad part, it’ll go away for a bit. It’s also not constant, but I haven’t found any patterns. 
It’s definitely something I can live with, but I’m curious is anyone else has experienced this and has any suggestions. I don’t have extra sensors that would allow me to remove it and replace it before it expires.</t>
        </is>
      </c>
      <c r="D8392" t="n">
        <v>1</v>
      </c>
      <c r="E8392" t="n">
        <v>10</v>
      </c>
      <c r="F8392">
        <f>HYPERLINK("https://www.reddit.com/r/diabetes/comments/f1s1of/dexcom_discomfort/")</f>
        <v/>
      </c>
      <c r="G8392" t="inlineStr">
        <is>
          <t>2020-02-10 07:41:44</t>
        </is>
      </c>
      <c r="H8392" t="inlineStr">
        <is>
          <t>Type 2</t>
        </is>
      </c>
    </row>
    <row r="8393">
      <c r="A8393" t="inlineStr">
        <is>
          <t>f1s7sh</t>
        </is>
      </c>
      <c r="B8393" t="inlineStr">
        <is>
          <t>How many T2 Diabetics have had long term success using Dr. Jason Fung's Diabetes Code methods?</t>
        </is>
      </c>
      <c r="C8393" t="inlineStr">
        <is>
          <t>I just read Dr. Jason Fung's Diabetes Code and was wondering if anyone within this community has had long term success using his methods?</t>
        </is>
      </c>
      <c r="D8393" t="n">
        <v>1</v>
      </c>
      <c r="E8393" t="n">
        <v>3</v>
      </c>
      <c r="F8393">
        <f>HYPERLINK("https://www.reddit.com/r/diabetes/comments/f1s7sh/how_many_t2_diabetics_have_had_long_term_success/")</f>
        <v/>
      </c>
      <c r="G8393" t="inlineStr">
        <is>
          <t>2020-02-10 07:53:49</t>
        </is>
      </c>
      <c r="H8393" t="inlineStr">
        <is>
          <t>Type 2</t>
        </is>
      </c>
    </row>
    <row r="8394">
      <c r="A8394" t="inlineStr">
        <is>
          <t>f1tf0z</t>
        </is>
      </c>
      <c r="B8394" t="inlineStr">
        <is>
          <t>Trigger thumb?</t>
        </is>
      </c>
      <c r="C8394" t="inlineStr">
        <is>
          <t>Anyone dealt with trigger thumb (or any other finger)? I (M/38, diabetic for 26 years, A1C not as great as it could be \~8) started getting a pain in my right thumb about a week ago or so, worse in the morning and eases up a little as the day goes on. My thumb seems to snap or click as i bend it, and it's pretty tender and painful. I bought a [thumb splint/stabilizer](https://www.amazon.com/gp/product/B0103JCXH0), but haven't yet reached out to my doctor for more info. The internet seems to say this condition [affects diabetics more frequently](https://www.mayoclinic.org/diseases-conditions/trigger-finger/symptoms-causes/syc-20365100) than the rest of the population (estimates around 10% of diabetics will experience this), just curious if anyone else has this issue, and if/how you deal with or resolved it. Thanks!</t>
        </is>
      </c>
      <c r="D8394" t="n">
        <v>1</v>
      </c>
      <c r="E8394" t="n">
        <v>4</v>
      </c>
      <c r="F8394">
        <f>HYPERLINK("https://www.reddit.com/r/diabetes/comments/f1tf0z/trigger_thumb/")</f>
        <v/>
      </c>
      <c r="G8394" t="inlineStr">
        <is>
          <t>2020-02-10 09:16:17</t>
        </is>
      </c>
      <c r="H8394" t="inlineStr">
        <is>
          <t>Type 1</t>
        </is>
      </c>
    </row>
    <row r="8395">
      <c r="A8395" t="inlineStr">
        <is>
          <t>f1tid7</t>
        </is>
      </c>
      <c r="B8395" t="inlineStr">
        <is>
          <t>Five type 1 insights from The T.ake C.are O.f Y.our D.iabetes conference in Bellevue this weekend</t>
        </is>
      </c>
      <c r="C8395" t="inlineStr">
        <is>
          <t xml:space="preserve">   
1. I already posted about this separately, but this was the biggest thing for  me and if I only learned this I’d be ecstatic. **If we control our  diabetes we actually can live longer than the general population**. I’d  been operating under information that we’d live 10-15 years less based on      what my original Endo told me. 
The catch is you need to keep your A1C under 8. Makes sense given the work needed to keep us under control. 
📷
&amp;amp;#x200B;
1. Type 1 genetic pass along is  much lower than I’d thought.
📷
&amp;amp;#x200B;
1. **We can all get a free national  park pass for life by being Diabetic** 
[https://prod-ibis.s3.amazonaws.com/drupal\_assets/green/s3fs-public/access\_pass\_application\_0.pdf](https://prod-ibis.s3.amazonaws.com/drupal_assets/green/s3fs-public/access_pass_application_0.pdf)
&amp;amp;#x200B;
1. Affreza – the inhaled insulin   truly is what could be called Fast acting insulin.
It gets into your bloodstream within  5 minutes and is out by 90 so you don’t get those rollercoaster hills. **HAS ANYONE BEEN ABLE TO GET THIS APPROVED VIA PREMERA?**
This looks much easier to manage than novolog etc. with the guessing of when it will kick in and overdoing it.
&amp;amp;#x200B;
1. It was pretty great to be in a   room with hundreds of others who have Type 1.  One of the panels had a bunch of long  time Type 1 s talking about how they deal with their significant others in  all of this.
They had this exercise which was pretty good and I tried it at home with my wife with good results.
📷</t>
        </is>
      </c>
      <c r="D8395" t="n">
        <v>1</v>
      </c>
      <c r="E8395" t="n">
        <v>17</v>
      </c>
      <c r="F8395">
        <f>HYPERLINK("https://www.reddit.com/r/diabetes/comments/f1tid7/five_type_1_insights_from_the_take_care_of_your/")</f>
        <v/>
      </c>
      <c r="G8395" t="inlineStr">
        <is>
          <t>2020-02-10 09:22:28</t>
        </is>
      </c>
      <c r="H8395" t="inlineStr">
        <is>
          <t>Type 1</t>
        </is>
      </c>
    </row>
    <row r="8396">
      <c r="A8396" t="inlineStr">
        <is>
          <t>f1ulzy</t>
        </is>
      </c>
      <c r="B8396" t="inlineStr">
        <is>
          <t>Just need to vent a little, get things off my chest</t>
        </is>
      </c>
      <c r="C8396" t="inlineStr">
        <is>
          <t>Hi, so this post is nothing major or crisis or anything just want to "vent" a little where some people may be able to give advice or at least understand. Sorry it's a bit long.
So I'm still new, I was diagnosed about 5 or 6 months ago and its been hard and I know a lot of people will tell me it's always going to be hard.
Most days I'm ok but sometimes it hits me emotionally with how lonely I feel. My family hasn't really been there and just kinda let me dealing with it on my own. They used to kinda "shame" me with what I ate by giving side eyes at my plate or making a face, that's stopped which is good. I never said anything to them because I feel like they don't know how to process this anymore than I do, I know they love me.
I wouldn't wish this illness on anyone but sometimes I wish I knew someone that did have it because I could have someone that understands the frustrations.
I get frustrated with myself and get anxiety over my blood sugars. I'm trying my best, I either go to low or to high to almost 200... if I eat something I think is ok and learn it spikes me up I avoid eating it. Sometimes I count the carbs give myself insulin and it drops me too low or I count the carbs give myself insulin and I guess it wasn't enough and I go up high still. I feel frustrated with myself that I can't get them right and get anxiety about when my drs see it with how they might come down on me 😓. 
My current general dr is great! He generally tries to help me and even gave me his personal phone so I can call him if something happens or if I run out of a prescription and the office is closed (he does this with most of his patients because he really genuinely cares). Only problem is he's a bit older and has no idea on how to treat t1 so that's a bummer.
I finally saw an endo and idk how I feel about it. I had my first appointment a few weeks ago and I was so excited for it because I had waited months for this appointment. The guy that I talked to during the appointment I don't know if he was a nurse or a endo in training? Anyway the very first thing he said when he came in the room was "oh I can tell just by looking at you you're not a type 2!" (On their notes they had me as t2 because of old notes from a previous dr I had that wasn't great) anyway this kinda bothered me because I might be wrong but I don't think you can tell if someone is t1 or t2 just by looking at them? I feel like he was going off the stereotypes of t2 because I'm not old or overweight? Which if he was, that's not fair to t2. When he started asking me questions he wouldn't let me finish before jumping to the next question. When I told him that I have to eat snacks sometimes before I go to bed because if I don't I wake up a few hours later in the low of 40's. He immediately started getting on to me to stop eating snack but never suggested things I could eat before bed so I don't drop. 
When the actual endo did come in it was for a few minutes at the end. They wanted me to get labs done and one of them was a c-peptide test I've already done. I told them that I already took that test and my levels came back low at 1.0. They ignored me and started with the "we need to find out if you're t1 or t2" they didn't want to get the lab results from my current dr either. They want me to wait until a week before my next appointment with them to get the labs done, which is in 2 months. I was hoping to maybe get a carb to insulin ratio or learn how to correct  but they didn't, they kept suggesting a "healthy food choice class ". I ended up going home and looking up insulin carb ratios on the internet and picking one to try, I pick the 1:10 ratio because it seemed easier for me? 
They also really didn't listen to me when I told them I wanted to be off metformin, because my first dr that wasn't good. He just slapped me on metformin and kept increasing the dose when my bg levels wouldn't go down. At 2000 mg a day my bg levels wouldn't go below 220. I was also eating really strick and practically starving myself so my bg levels wouldn't go past 300 at the time. My bg levels did go down until I switch to my now current general dr who put me on insulin right away. I told my endo this and that I didn't want to be on it because I felt like it was doing nothing and I don't like being on a lot of medications. They pretty much told me "well you're not getting side effects anymore so we want you to still take it". I recently tried an experiment where I didn't take it for 3 days and nothing changed about my blood sugar. When I told my general dr about it and if maybe we can find a different one he told me to give it more time and give them a second chance, I wasn't thrilled about having to see them again but I agreed. 
After all this I felt kinda down and frustrated because I understand I won't learn everything in a day or a week but I was hoping to learn something and not start back at square 1 when I first got diagnosed with the whole we need to find out if you're 1 or 2😓. And I understand people are ignorant and don't know or understand diabetes but I thought they would at least understand some if they're in the medical field or especially working in a endo office.
I apologize if I'm the wrong one here and I don't mean to be one of the ignorant people. I feel like I'm wondering aimlessly trying to figure out diabetes and control it best I can. Is this normal for endo and drs to be like that? If it is I'm sorry I didn't know and it came off that they weren't listening 😓 if it's not, I'm not sure what to do.
Sorry for the lengthy post and I know it was probably a lot of ranting and whining. I just needed to get it off my chest because the stress of it all is weighing on me. Thank you💖</t>
        </is>
      </c>
      <c r="D8396" t="n">
        <v>1</v>
      </c>
      <c r="E8396" t="n">
        <v>15</v>
      </c>
      <c r="F8396">
        <f>HYPERLINK("https://www.reddit.com/r/diabetes/comments/f1ulzy/just_need_to_vent_a_little_get_things_off_my_chest/")</f>
        <v/>
      </c>
      <c r="G8396" t="inlineStr">
        <is>
          <t>2020-02-10 10:36:11</t>
        </is>
      </c>
      <c r="H8396" t="inlineStr">
        <is>
          <t>Type 1</t>
        </is>
      </c>
    </row>
    <row r="8397">
      <c r="A8397" t="inlineStr">
        <is>
          <t>f1vkgq</t>
        </is>
      </c>
      <c r="B8397" t="inlineStr">
        <is>
          <t>Low sugar with t2?</t>
        </is>
      </c>
      <c r="C8397" t="inlineStr">
        <is>
          <t>Hi! I'm somewhat newly diagnosed, as of March 2019 (okay so not super new but just recently pulling my head out of the sand and trying to cope). I have been having some issues lately with low sugar and crashing and I have some questions.
I am currently on metformin, lisinopril, glipizide, and ozempic. I've been on the first three for basically about a year, since my initial diagnosis. The ozempic is new, I'm about three weeks in.
I just started changing my diet and such in January (I know, I should have done so immediately. Unfortunately I was dumb and thought the meds would do the work for me but I'm sure anyone can tell you that's not the case). I had an appointment on the 21st, my levels were still not good (my A1C was markedly better, but still bad). My GP started me on ozempic. I'm doing the .25 mg doses once a week, which I was told would not effect my blood sugar, but just get my body used to the medicine and help lessen side effects.
So my problem is, my blood sugar is well within range in the mornings, although normally on the low end of acceptable, then I crash and sometimes dip to hypoglycemic levels around lunch time. I have tried adjusting what I eat - for example this morning I had a pear and some low sugar yogurt for breakfast, then some sugar free chocolate (which had 1g of sugar and 11g net carbs, I was really just trying to add some carbs to my low carb lunch in order to try and combat the crashing). It's been a couple hours since lunch now and I've dipped down to 89 (it was 155 as of my post breakfast reading). I get the feeling it's going to keep dropping - I tested about 30 mins ago and I'm starting to get that weak/shaky feeling I get before a crash.
I have tried to google some advice, but from what I've read type 2 diabetics should not suffer from low blood sugar (or at least not unless you're taking insulin or a medication which changes your insulin production, which I don't THINK mine do, but I could be wrong).
I don't see my doctor again until April. My readings are otherwise very good. I have had maybe 5 readings that have been slightly high (around 190-200) if I try my hand at eating something like bread with dinner (it's a learning process so I'm not too troubled about that). 
Is the ozempic overcorrecting for me? Or maybe I'm on too many meds that are altering my sugar? Am I just not eating enough sugar/carbs? I was under the impression that even with dietary changes, as a type 2 my sugar shouldn't drop that low, but maybe I'm incorrect. Any info or advice would be helpful, thanks so much!</t>
        </is>
      </c>
      <c r="D8397" t="n">
        <v>1</v>
      </c>
      <c r="E8397" t="n">
        <v>4</v>
      </c>
      <c r="F8397">
        <f>HYPERLINK("https://www.reddit.com/r/diabetes/comments/f1vkgq/low_sugar_with_t2/")</f>
        <v/>
      </c>
      <c r="G8397" t="inlineStr">
        <is>
          <t>2020-02-10 11:39:14</t>
        </is>
      </c>
      <c r="H8397" t="inlineStr">
        <is>
          <t>Type 2</t>
        </is>
      </c>
    </row>
    <row r="8398">
      <c r="A8398" t="inlineStr">
        <is>
          <t>f1x5vq</t>
        </is>
      </c>
      <c r="B8398" t="inlineStr">
        <is>
          <t>Control IQ behavior unexpected</t>
        </is>
      </c>
      <c r="C8398" t="inlineStr">
        <is>
          <t>I've been surprised at the actual behavior of ControlIQ.  It doesn't appear to work the way I expected it to.  Particularly after I finished the training.  As such, its effectiveness is more limited than i'd like to see.  (But its still an improvement, over the older sw in most respects).
If you DIY a control loop, you'll almost certainly do better with that.
My Observations come from about a week of use:
The training makes its behavior sound simple and almost robotic.   If above value X, behavior Y will trigger.   But the reality is far from that.   Seemingly because "carbs on board" isn't something it measures.   So it has no idea how much of the IOB currently active is "accounted for".
Example:   The training says: if predicted BG is going to be above 160, it will trigger basal increase. 
Actual: If predicted BG is going to be above 160 (using an obvious trendline on the CGM) \*and you don't already have IOB sufficient or greater to correct\*, it will increase basal rate.
Effect:  If you have given a bolus for a meal, you probably won't get a basal increase to help you stay in range.  Because the "expected drop" from your IOB will cause the system to conservatively avoid any increases in basal rates.
Due to the 5h burn down on IOB, if you gave yourself say 5u (keep the math easy) and had a sensitivity of 1:20, then at the moment you bolus -- your "predicted BG" is now like -100   (5x20).   So at 1h, you'd have 4u left -- and thus still be at -80.  At 2h, you'll be -60.   So even if you're approaching the 160 threshold, the basal won't trigger.  (Because internally it thinks you're approaching \~100 as a target)   Only at 3h, would your IOB have dropped to about a -40 prediction, and that combined with an elevated sugar would enable the system to begin corrections.   However, most likely that means a sugar over 200, and the resulting bolus will be small.  (60% to target) and the basal \*still\* won't activate, because the correction bolus will swamp the budget for extra IOB, preventing basal activations.   Bottom line -- during the day i'm still flying the plane pretty much solo.
The correction boluses are better than nothing -- and there are certainly times when it acts before I do -- which is nice.  but I almost always need to augment its corrections.
\----------------
I haven't yet figured out how to deal with this exactly aside from turning up my sensitivity factors somewhat to reduce how conservative it treats IOB.   Also raising nominal basal rates might help the system keep more insulin running when sugars are higher, and then let it reduce/suspend on the low side.  But i'm ratcheting those up slowly, as I try to learn how aggressively/successfully it reduces things below the targets.   Its also scary when the system is inactive (2h sensor swap if you're on top of things, longer if not), and you know your rates are intentionally set high.
I find the lack of temp basal very limiting (its disabled when control-IQ is active) so instead, i've created a "heavy" basal profile to mimic the temp increases i'd use -- and will try to manually swap them using phone timers instead.
\---------------
On the positive side -- the sleep mode seems to work pretty well, and I enjoy knowing that strange nighttime fluctuations won't go unnoticed.
To be clear, my numbers have been noticeably more stable since I swapped over from basalIQ.  But its behavior hasn't dealt with many situations as I had expected it to.
Anyone else notice these kinds of interactions?</t>
        </is>
      </c>
      <c r="D8398" t="n">
        <v>2</v>
      </c>
      <c r="E8398" t="n">
        <v>2</v>
      </c>
      <c r="F8398">
        <f>HYPERLINK("https://www.reddit.com/r/diabetes/comments/f1x5vq/control_iq_behavior_unexpected/")</f>
        <v/>
      </c>
      <c r="G8398" t="inlineStr">
        <is>
          <t>2020-02-10 13:21:55</t>
        </is>
      </c>
      <c r="H8398" t="inlineStr">
        <is>
          <t>Type 1</t>
        </is>
      </c>
    </row>
    <row r="8399">
      <c r="A8399" t="inlineStr">
        <is>
          <t>f1yajt</t>
        </is>
      </c>
      <c r="B8399" t="inlineStr">
        <is>
          <t>Questions for fellow Medtronic Guardian 3 patients</t>
        </is>
      </c>
      <c r="C8399" t="inlineStr">
        <is>
          <t>Hey y’all,
I’ve been using the Guardian 3 coinciding with the 670 since the summer of 2019. I am seeking advice on extending the life of my sensors beyond my personal current average, which is 5 days. I’m using skin-prep to seal the tape so it is more snug, as well as place the sensor on the center of my abdomen. The replacing every 5 days is really significant to my wallet though as y’all know, cause diabetes ain’t cheap! 
Also, has anyone found a solution to helping with the scar tissue lumps that form from leaving the pump site on beyond the 3-day mark? I am a registered nurse by profession and even with decent health coverage, finances are always my excuse for my mediocre maintenance of my diabetes — I do not change my pump site until the reservoir is emptied completely. Which usually happens at 5/6/sometimes 7 days. Truly not worried about infections, but the scarred lumps at times will cause my infusion sets to ‘not function’ or become unable to infuse when I place a new site where an old lump has hidden. Wondering if anyone else stretches their medication/pump sets longer and how they deal with these consequences. 
T1D since 2005, pump user since 2017. Just trying to maintain my mediocre health before time expires or my bank account folds. (A1C 8.1%)
Thanks and good health to all!
P.S. If anyone else has any tricks up their sleeves about conserving/mitigating the cost of diabetes,I’d like to absorb them all! Even tax related, since it’s about that time of the year!</t>
        </is>
      </c>
      <c r="D8399" t="n">
        <v>1</v>
      </c>
      <c r="E8399" t="n">
        <v>0</v>
      </c>
      <c r="F8399">
        <f>HYPERLINK("https://www.reddit.com/r/diabetes/comments/f1yajt/questions_for_fellow_medtronic_guardian_3_patients/")</f>
        <v/>
      </c>
      <c r="G8399" t="inlineStr">
        <is>
          <t>2020-02-10 14:34:48</t>
        </is>
      </c>
      <c r="H8399" t="inlineStr">
        <is>
          <t>Type 1</t>
        </is>
      </c>
    </row>
    <row r="8400">
      <c r="A8400" t="inlineStr">
        <is>
          <t>f1z5vx</t>
        </is>
      </c>
      <c r="B8400" t="inlineStr">
        <is>
          <t>Looking for something in the morning to drink</t>
        </is>
      </c>
      <c r="C8400" t="inlineStr">
        <is>
          <t>Hey everyone! New here and have been dealing with my Type 2 for a year now.  Things are going well and everything is under control, but I've noticed some big changes in how things process now.  Not sure if it's the metformin or what, but things are . . .  weird.
OJ now causes a massive problem later.
Any dairy now gives me IBS.
I don't drink coffee.
Drinking water first thing in the morning just gives me an upset stomach. I do this anyway, but man is it not fun at all.
&amp;amp;#x200B;
Does anyone have any suggestions?  Does anyone else have these issues? TIA</t>
        </is>
      </c>
      <c r="D8400" t="n">
        <v>1</v>
      </c>
      <c r="E8400" t="n">
        <v>6</v>
      </c>
      <c r="F8400">
        <f>HYPERLINK("https://www.reddit.com/r/diabetes/comments/f1z5vx/looking_for_something_in_the_morning_to_drink/")</f>
        <v/>
      </c>
      <c r="G8400" t="inlineStr">
        <is>
          <t>2020-02-10 15:33:31</t>
        </is>
      </c>
      <c r="H8400" t="inlineStr">
        <is>
          <t>Type 2</t>
        </is>
      </c>
    </row>
    <row r="8401">
      <c r="A8401" t="inlineStr">
        <is>
          <t>f20jb4</t>
        </is>
      </c>
      <c r="B8401" t="inlineStr">
        <is>
          <t>There's nothing gay about having type 1!</t>
        </is>
      </c>
      <c r="C8401" t="inlineStr">
        <is>
          <t>You just stick it in and take it like a man!</t>
        </is>
      </c>
      <c r="D8401" t="n">
        <v>1</v>
      </c>
      <c r="E8401" t="n">
        <v>8</v>
      </c>
      <c r="F8401">
        <f>HYPERLINK("https://www.reddit.com/r/diabetes/comments/f20jb4/theres_nothing_gay_about_having_type_1/")</f>
        <v/>
      </c>
      <c r="G8401" t="inlineStr">
        <is>
          <t>2020-02-10 17:12:41</t>
        </is>
      </c>
      <c r="H8401" t="inlineStr">
        <is>
          <t>Type 1</t>
        </is>
      </c>
    </row>
    <row r="8402">
      <c r="A8402" t="inlineStr">
        <is>
          <t>f20t9o</t>
        </is>
      </c>
      <c r="B8402" t="inlineStr">
        <is>
          <t>I feel like we're a family.</t>
        </is>
      </c>
      <c r="C8402" t="inlineStr">
        <is>
          <t>I'm gonna try to keep this short.
I've been type 1 for 13 years now and haven't really met any other diabetic long enough to "compare notes..." So when I joined this sub a week ago, it was like joining a family: Nearly every post I have seen has endeared you guys to me. The humor and the wit is just phenomenal. Most of the problems I've had with management, I've seen echoed here; which is very reassuring, and often very funny.
And that's it: We laugh and we make these beautiful and sardonic memes about the daily crap we have to deal with, and that's just really good to see.
That's all I wanted to say. Carry on everybody.</t>
        </is>
      </c>
      <c r="D8402" t="n">
        <v>1</v>
      </c>
      <c r="E8402" t="n">
        <v>10</v>
      </c>
      <c r="F8402">
        <f>HYPERLINK("https://www.reddit.com/r/diabetes/comments/f20t9o/i_feel_like_were_a_family/")</f>
        <v/>
      </c>
      <c r="G8402" t="inlineStr">
        <is>
          <t>2020-02-10 17:33:00</t>
        </is>
      </c>
      <c r="H8402" t="inlineStr">
        <is>
          <t>Type 1</t>
        </is>
      </c>
    </row>
    <row r="8403">
      <c r="A8403" t="inlineStr">
        <is>
          <t>f2104q</t>
        </is>
      </c>
      <c r="B8403" t="inlineStr">
        <is>
          <t>What's it like having a cgm?</t>
        </is>
      </c>
      <c r="C8403" t="inlineStr">
        <is>
          <t>Hi, I'm curious to learn more about cgms and what it's like to have one. I'm 6 months diagnosed and recently got an endo. I'm really interested in cgms, I know it's probably not perfect but I feel like it could help me a lot. I'm hoping my endo at some point will suggest it but idk too much about them. Do you have to have a special requirement for them? Is it better or worse that blood sugar testers? I know you have to change them every 2 weeks I think. Anyway just curious to know more thank you 😊</t>
        </is>
      </c>
      <c r="D8403" t="n">
        <v>1</v>
      </c>
      <c r="E8403" t="n">
        <v>0</v>
      </c>
      <c r="F8403">
        <f>HYPERLINK("https://www.reddit.com/r/diabetes/comments/f2104q/whats_it_like_having_a_cgm/")</f>
        <v/>
      </c>
      <c r="G8403" t="inlineStr">
        <is>
          <t>2020-02-10 17:46:41</t>
        </is>
      </c>
      <c r="H8403" t="inlineStr">
        <is>
          <t>Type 1</t>
        </is>
      </c>
    </row>
    <row r="8404">
      <c r="A8404" t="inlineStr">
        <is>
          <t>f212mt</t>
        </is>
      </c>
      <c r="B8404" t="inlineStr">
        <is>
          <t>Just diagnosed</t>
        </is>
      </c>
      <c r="C8404" t="inlineStr">
        <is>
          <t>Hi, I dunno how to do this but I’ve just been diagnosed type 2 at 28 and I’m kinda feeling horrible. I went into the hospital for my anxiety and they broke the news to me that my blood sugar was 300. Later they told me my a1c was 10 while I was in the mental health ward. I’m trying to remain positive - ever since I checked out of the hospital I’ve been trying to keep my blood sugar low without starving. As of a few minutes ago I am at 173. I feel drained. I’m scared and I just wanted a community I could join that would get it, yanno? Also sorry if this comes out disjointed, my brain is kinda foggy.</t>
        </is>
      </c>
      <c r="D8404" t="n">
        <v>1</v>
      </c>
      <c r="E8404" t="n">
        <v>23</v>
      </c>
      <c r="F8404">
        <f>HYPERLINK("https://www.reddit.com/r/diabetes/comments/f212mt/just_diagnosed/")</f>
        <v/>
      </c>
      <c r="G8404" t="inlineStr">
        <is>
          <t>2020-02-10 17:51:45</t>
        </is>
      </c>
      <c r="H8404" t="inlineStr">
        <is>
          <t>Type 2</t>
        </is>
      </c>
    </row>
    <row r="8405">
      <c r="A8405" t="inlineStr">
        <is>
          <t>f21hbn</t>
        </is>
      </c>
      <c r="B8405" t="inlineStr">
        <is>
          <t>Feels high but not high</t>
        </is>
      </c>
      <c r="C8405" t="inlineStr">
        <is>
          <t>Does anyone else get that sluggish feeling and also get really thirsty and feel like your sugar is high but then you test it and it's not high at all? Seems to happen more as I get older but I feel like I'm not as good at gauging as I used to be. Just curious</t>
        </is>
      </c>
      <c r="D8405" t="n">
        <v>1</v>
      </c>
      <c r="E8405" t="n">
        <v>1</v>
      </c>
      <c r="F8405">
        <f>HYPERLINK("https://www.reddit.com/r/diabetes/comments/f21hbn/feels_high_but_not_high/")</f>
        <v/>
      </c>
      <c r="G8405" t="inlineStr">
        <is>
          <t>2020-02-10 18:22:25</t>
        </is>
      </c>
      <c r="H8405" t="inlineStr">
        <is>
          <t>Type 1</t>
        </is>
      </c>
    </row>
    <row r="8406">
      <c r="A8406" t="inlineStr">
        <is>
          <t>f23stz</t>
        </is>
      </c>
      <c r="B8406" t="inlineStr">
        <is>
          <t>Got my first insulin prescription and I’m both excited and in need of a pep talk.</t>
        </is>
      </c>
      <c r="C8406" t="inlineStr">
        <is>
          <t>My body loves being erratic and unpredictable so I’m anxious about hypos. I’m not on any basal at this point because my fasting numbers are typically 80-120 and I’m active and prone to occasionally dipping into the 70s or lower if I skip a meal. My endo just wants me to use one unit of humalog before meals if my blood sugar is above 100, and I’m assuming we’re going to figure out my ratio based on the results. Realistically, how much do I really need to worry about a low from messing up my injection somehow or not having enough carbs with my meal? It feels weird and almost excessive to aim for 45g per meal since I’ve spent the last 6 months eating as few carbs as possible. 
That said, I’m looking forward to kicking some of this fatigue and not having to eat keto to no carb and still see numbers flirting with 200. Putting weight back on also sounds awesome!</t>
        </is>
      </c>
      <c r="D8406" t="n">
        <v>1</v>
      </c>
      <c r="E8406" t="n">
        <v>3</v>
      </c>
      <c r="F8406">
        <f>HYPERLINK("https://www.reddit.com/r/diabetes/comments/f23stz/got_my_first_insulin_prescription_and_im_both/")</f>
        <v/>
      </c>
      <c r="G8406" t="inlineStr">
        <is>
          <t>2020-02-10 21:29:06</t>
        </is>
      </c>
      <c r="H8406" t="inlineStr">
        <is>
          <t>Type 1.5/LADA</t>
        </is>
      </c>
    </row>
    <row r="8407">
      <c r="A8407" t="inlineStr">
        <is>
          <t>f29l3f</t>
        </is>
      </c>
      <c r="B8407" t="inlineStr">
        <is>
          <t>Can I donate blood</t>
        </is>
      </c>
      <c r="C8407" t="inlineStr">
        <is>
          <t>Good afternoon last week my school did a plan for a blood donation and if I pass all the other criteria can I or not?</t>
        </is>
      </c>
      <c r="D8407" t="n">
        <v>1</v>
      </c>
      <c r="E8407" t="n">
        <v>17</v>
      </c>
      <c r="F8407">
        <f>HYPERLINK("https://www.reddit.com/r/diabetes/comments/f29l3f/can_i_donate_blood/")</f>
        <v/>
      </c>
      <c r="G8407" t="inlineStr">
        <is>
          <t>2020-02-11 07:08:24</t>
        </is>
      </c>
      <c r="H8407" t="inlineStr">
        <is>
          <t>Type 1</t>
        </is>
      </c>
    </row>
    <row r="8408">
      <c r="A8408" t="inlineStr">
        <is>
          <t>f2b38n</t>
        </is>
      </c>
      <c r="B8408" t="inlineStr">
        <is>
          <t>What does foot neuropathy feel like?</t>
        </is>
      </c>
      <c r="C8408" t="inlineStr">
        <is>
          <t>Type 2</t>
        </is>
      </c>
      <c r="D8408" t="n">
        <v>1</v>
      </c>
      <c r="E8408" t="n">
        <v>8</v>
      </c>
      <c r="F8408">
        <f>HYPERLINK("https://www.reddit.com/r/diabetes/comments/f2b38n/what_does_foot_neuropathy_feel_like/")</f>
        <v/>
      </c>
      <c r="G8408" t="inlineStr">
        <is>
          <t>2020-02-11 08:52:23</t>
        </is>
      </c>
      <c r="H8408" t="inlineStr">
        <is>
          <t>Type 2</t>
        </is>
      </c>
    </row>
    <row r="8409">
      <c r="A8409" t="inlineStr">
        <is>
          <t>f2bumh</t>
        </is>
      </c>
      <c r="B8409" t="inlineStr">
        <is>
          <t>Sugar levels while travelling</t>
        </is>
      </c>
      <c r="C8409" t="inlineStr">
        <is>
          <t>Hi everyone,
My boyfriend (from UK) with type 1 diabetes is currently visiting me in Canada. He has been here for over a week now and still struggles with his levels, taking more insulin than he normally does. 
He says his diet/life habits aren't different here than at home, although I feel like he has a more "scheduled" lifestyle here (eating at regular hours, etc.)
Anyone has had this problem before?
Thank you,</t>
        </is>
      </c>
      <c r="D8409" t="n">
        <v>1</v>
      </c>
      <c r="E8409" t="n">
        <v>5</v>
      </c>
      <c r="F8409">
        <f>HYPERLINK("https://www.reddit.com/r/diabetes/comments/f2bumh/sugar_levels_while_travelling/")</f>
        <v/>
      </c>
      <c r="G8409" t="inlineStr">
        <is>
          <t>2020-02-11 09:42:28</t>
        </is>
      </c>
      <c r="H8409" t="inlineStr">
        <is>
          <t>Type 1</t>
        </is>
      </c>
    </row>
    <row r="8410">
      <c r="A8410" t="inlineStr">
        <is>
          <t>f2fa30</t>
        </is>
      </c>
      <c r="B8410" t="inlineStr">
        <is>
          <t>Is this hope i hold on too unrealistic?</t>
        </is>
      </c>
      <c r="C8410" t="inlineStr">
        <is>
          <t>I have had diabetes for 6 months ish it’s going ok and it doesn’t bother me too much, my hope is that 10-20 years from now, something big will come I don’t mean a cure (I’m not that stupid) but hopefully a semi cure I hope in the future diabetes eventually becomes a minor inconvenience at most for example smart insulin where we would only have to give one injection a day and it balances our blood sugars for us. Technology is advancing so we will see what comes.</t>
        </is>
      </c>
      <c r="D8410" t="n">
        <v>1</v>
      </c>
      <c r="E8410" t="n">
        <v>22</v>
      </c>
      <c r="F8410">
        <f>HYPERLINK("https://www.reddit.com/r/diabetes/comments/f2fa30/is_this_hope_i_hold_on_too_unrealistic/")</f>
        <v/>
      </c>
      <c r="G8410" t="inlineStr">
        <is>
          <t>2020-02-11 13:21:14</t>
        </is>
      </c>
      <c r="H8410" t="inlineStr">
        <is>
          <t>Type 1</t>
        </is>
      </c>
    </row>
    <row r="8411">
      <c r="A8411" t="inlineStr">
        <is>
          <t>f2flan</t>
        </is>
      </c>
      <c r="B8411" t="inlineStr">
        <is>
          <t>Any Insight pump users have trouble with the cannula tearing away from the sticky patch?</t>
        </is>
      </c>
      <c r="C8411" t="inlineStr">
        <is>
          <t>My missus uses an Insight and it seems every day she has to put in a new cannula because the plastic part tears off, not the whole patch, just the plastic.</t>
        </is>
      </c>
      <c r="D8411" t="n">
        <v>1</v>
      </c>
      <c r="E8411" t="n">
        <v>3</v>
      </c>
      <c r="F8411">
        <f>HYPERLINK("https://www.reddit.com/r/diabetes/comments/f2flan/any_insight_pump_users_have_trouble_with_the/")</f>
        <v/>
      </c>
      <c r="G8411" t="inlineStr">
        <is>
          <t>2020-02-11 13:40:38</t>
        </is>
      </c>
      <c r="H8411" t="inlineStr">
        <is>
          <t>Type 1</t>
        </is>
      </c>
    </row>
    <row r="8412">
      <c r="A8412" t="inlineStr">
        <is>
          <t>f2glgu</t>
        </is>
      </c>
      <c r="B8412" t="inlineStr">
        <is>
          <t>Help Us Understand How the Cost of Type 1 Care Is Threatening Lives</t>
        </is>
      </c>
      <c r="C8412" t="inlineStr">
        <is>
          <t>Hi all! I'm a reporter with the nonprofit news organization ProPublica. Our mission is to spotlight abuses of power, and hold those in power to account. We're looking to hear from people with Type 1 who have had trouble accessing treatment, medication or care because of the cost as part of a larger series we're doing on diabetes.
We've developed a questionnaire that will take people between 2 and 7 minutes to complete (based on how thorough you want to be). Here's the questionnaire: [https://www.propublica.org/getinvolved/help-us-understand-how-the-cost-of-diabetes-care-is-threatening-lives](https://www.propublica.org/getinvolved/help-us-understand-how-the-cost-of-diabetes-care-is-threatening-lives)
We're not offering payment for filling out the questionnaire, but by filling it out you'll ensure that your experiences drive and shape our reporting. The more people we hear from, the better the reporting will be.
Please feel free to reach our reporting team at [diabetes@propublica.org](mailto:diabetes@propublica.org) if you have any questions. Thanks,
Maya Miller
Engagement Reporting Fellow, ProPublica</t>
        </is>
      </c>
      <c r="D8412" t="n">
        <v>1</v>
      </c>
      <c r="E8412" t="n">
        <v>10</v>
      </c>
      <c r="F8412">
        <f>HYPERLINK("https://www.reddit.com/r/diabetes/comments/f2glgu/help_us_understand_how_the_cost_of_type_1_care_is/")</f>
        <v/>
      </c>
      <c r="G8412" t="inlineStr">
        <is>
          <t>2020-02-11 14:44:23</t>
        </is>
      </c>
      <c r="H8412" t="inlineStr">
        <is>
          <t>Type 1</t>
        </is>
      </c>
    </row>
    <row r="8413">
      <c r="A8413" t="inlineStr">
        <is>
          <t>f2h9hs</t>
        </is>
      </c>
      <c r="B8413" t="inlineStr">
        <is>
          <t>Can I use (Cooking) Extra Virgin Olive Oil for foot massage?</t>
        </is>
      </c>
      <c r="C8413" t="inlineStr">
        <is>
          <t>I want to give my dad some foot massage to increase blood circulation to feet.</t>
        </is>
      </c>
      <c r="D8413" t="n">
        <v>1</v>
      </c>
      <c r="E8413" t="n">
        <v>1</v>
      </c>
      <c r="F8413">
        <f>HYPERLINK("https://www.reddit.com/r/diabetes/comments/f2h9hs/can_i_use_cooking_extra_virgin_olive_oil_for_foot/")</f>
        <v/>
      </c>
      <c r="G8413" t="inlineStr">
        <is>
          <t>2020-02-11 15:28:30</t>
        </is>
      </c>
      <c r="H8413" t="inlineStr">
        <is>
          <t>Type 2</t>
        </is>
      </c>
    </row>
    <row r="8414">
      <c r="A8414" t="inlineStr">
        <is>
          <t>f2hmjo</t>
        </is>
      </c>
      <c r="B8414" t="inlineStr">
        <is>
          <t>Life insurance - Canada</t>
        </is>
      </c>
      <c r="C8414" t="inlineStr">
        <is>
          <t>Hi everyone, I recently switched job meaning that I do not have life insurance coverage anymore. I applied to Manulife but got declined because of T1.5 
The ones of you living with T1 or T1.5, were you able to get some sort of coverage? :(</t>
        </is>
      </c>
      <c r="D8414" t="n">
        <v>1</v>
      </c>
      <c r="E8414" t="n">
        <v>3</v>
      </c>
      <c r="F8414">
        <f>HYPERLINK("https://www.reddit.com/r/diabetes/comments/f2hmjo/life_insurance_canada/")</f>
        <v/>
      </c>
      <c r="G8414" t="inlineStr">
        <is>
          <t>2020-02-11 15:53:20</t>
        </is>
      </c>
      <c r="H8414" t="inlineStr">
        <is>
          <t>Type 1</t>
        </is>
      </c>
    </row>
    <row r="8415">
      <c r="A8415" t="inlineStr">
        <is>
          <t>f2lled</t>
        </is>
      </c>
      <c r="B8415" t="inlineStr">
        <is>
          <t>A Rant, A Story, Take It As You Will</t>
        </is>
      </c>
      <c r="C8415" t="inlineStr">
        <is>
          <t>Hello all!
I'm fairly new to this subreddit and as a type one diabetic, I like to surround myself with people I can relate to the best, and why not a stupid disease?
Anyways, I've been thinking alot about my condition recently, and wanted to at least find some way to express my stresses and conflicts with having this disease to you all.
Whether you think I'm a pityful person, looking for attention, or even threatening, I want you to understand I just want my story to be heard. There's probably nothing special about it, and take it with a grain of salt, please.
Anyways, let's begin.
Back in January of 2015 I was in a pretty annoyed stage in my life. In 6th grade I had the typical bullying, nothing super strange. For those 3 years prior to that date, I had eaten terribly. I would eat so bad that I needed painkillers every once in a while to get rid of my headaches from a flow of sugar and sodium. Eventually, my body popped, or something. On January 14th, 2015, I was playing video games and noticed that every 15 minutes I would go to get a drink, and then go to the bathroom. This happened all night, and asked my mother about it.
(Btw, my mother is a type 1 diabetic of 35 years).
She immediately checked my sugar to see it was 350. I actually found out I'm very lucky to have it that low when diagnosed, as higher could've caused more extensive treatment. Nonetheless, I was shattered. I was witnessing my future going into pieces. I'm not saying diabetes ruins your life, but it's a bottleneck in a variety of ways. 
I saw a doctor who sent me to a children's hospital. There, I spent 5 days being trained. We used those stupid flimsy syringes and viles. My mom was very supportive during all of this, and I was ready to take my life more seriously. The experience at the hospital wasn't anything special, just routine stuff and I was back in school the next week. Of course the bullies used my diabetes to beat me down, but I slowly grew ignorance finishing that school year.
Now in the next few years, my diabetes was unchanged. My A1C wasn't terrible, and the prices weren't bad. And then the prices got bad. At one point, we had to cancel a refill at my doctor simply because we couldn't afford it.
Also for context, I am not poor. My father is the only person who worked in my house at the time, making around $70,000 a year. I don't care how much he makes, I love him and he makes our lives work. Anyways, he couldn't make the money required and we just skimped out on insulin and fasted for a brief amount of time before we got more. Sure it was 100% dangerous to do that, but money was objective.
Another event that killed me was when I was in an abussive relationship. Starting in 2018, I was manipulated, abused, and sexually harassed by a woman. I won't go into the details of everything, but the stress and anxiety of being beaten by her caused my sugars to skyrocket, and I had ketones for a week. It was probably the worst experience as a diabetic since it was painful crushing down water bottles constantly, and heavily monitoring my sugar. 
Shortly after breaking up, I got a GCM. Now for one thing, it was free, which was nice. On the other hand, it hurt. I'm not saying this to be whiney, but they seriously intended for me to weekly shove a 2 inch needle into my abdomen, and not touch it? For one thing, my niece grabbed it and ripped it out of me at one point because she was curious, and Everytime I took it off, the sticky residue refused to come off my skin. After 2 months, I ditched the GCM. I wound up having it for 2 more weeks because my endocrinologist threatened to halt my prescription if I didn't complete the 3 month plan they had for me. I don't know if she legally meant to do that or said it for show, but I just did it anyways.
But here's the tricky part, I know it sounds fishy, but my life has slowly come into total control of my disease. What I mean by this is that my future, my career, and my kids are all influenced simply because of a disease. I realized this when I became much more understanding of health insurance. My dream has always been to become an electrical engineer. I even took AP classes, and passed them no problem. I also got a 1150 on my SAT. But the problem came when I realized that I couldn't afford insulin in the time I wouldve used to attend college and whatnot. I found myself at a deadend, and even my social worker at my high school reccomended me join the trades.
Now being an electrician is nice, since I can work anywhere, and there is always demand. But I feel so cheated out of my life because I can't persue my career since my disease limits my financial capabilities. Not only that, but the insurance from the union provides better coverage of my insulin, and would reduce the costs more than an electrical engineer. 
It frustrates me that my job opportunity is ripped away, and could even interfere with my role model to my future kids. I don't want to tell them that I grew up proper and smart, to just throw it away to go to trades because of my disease. I don't want to sound like I straight up gave up either. I thought long and hard the decision, and my therapist, social worker, and parents agreed that continuing to trade school is the best I have for my disease and it's affordability.
I know I'm strong, and bet you all are too, but really think, is your life controlled by your body? It sounds very subjective, but in my eyes I see it that way.
Again, this is just a rant and I want my story to be read by at least someone out there. I'm not a special person, I'm just one of you.</t>
        </is>
      </c>
      <c r="D8415" t="n">
        <v>1</v>
      </c>
      <c r="E8415" t="n">
        <v>2</v>
      </c>
      <c r="F8415">
        <f>HYPERLINK("https://www.reddit.com/r/diabetes/comments/f2lled/a_rant_a_story_take_it_as_you_will/")</f>
        <v/>
      </c>
      <c r="G8415" t="inlineStr">
        <is>
          <t>2020-02-11 20:35:39</t>
        </is>
      </c>
      <c r="H8415" t="inlineStr">
        <is>
          <t>Type 1</t>
        </is>
      </c>
    </row>
    <row r="8416">
      <c r="A8416" t="inlineStr">
        <is>
          <t>f2lsgw</t>
        </is>
      </c>
      <c r="B8416" t="inlineStr">
        <is>
          <t>Worst Low Ever?</t>
        </is>
      </c>
      <c r="C8416" t="inlineStr">
        <is>
          <t>I think my worst low was when I was at my job (pretty heavy lifting, packing warehouse) and I was 2 hours from the end of my shift. I accidentally took too much insulin before going, and forgot to take some sugar tablets. What wound up happening was my sugar reaching 55 for the entirety of the 2 hours. I was constantly messing up orders, and by the time I got home, I just chugged a 2 L or Dr Pepper and went on with my day.</t>
        </is>
      </c>
      <c r="D8416" t="n">
        <v>1</v>
      </c>
      <c r="E8416" t="n">
        <v>2</v>
      </c>
      <c r="F8416">
        <f>HYPERLINK("https://www.reddit.com/r/diabetes/comments/f2lsgw/worst_low_ever/")</f>
        <v/>
      </c>
      <c r="G8416" t="inlineStr">
        <is>
          <t>2020-02-11 20:51:16</t>
        </is>
      </c>
      <c r="H8416" t="inlineStr">
        <is>
          <t>Type 1</t>
        </is>
      </c>
    </row>
    <row r="8417">
      <c r="A8417" t="inlineStr">
        <is>
          <t>f2luav</t>
        </is>
      </c>
      <c r="B8417" t="inlineStr">
        <is>
          <t>Missing pancreas?</t>
        </is>
      </c>
      <c r="C8417" t="inlineStr">
        <is>
          <t>TLDR: Does anyone else have a 'missing' pancreas? Is there a way to get it back? (after anecdotal advice rather than 'standard medical advice')
Had my first call about diabetes in 2010 when a ruptured ulcer was bleeding for about 3 days. I collapsed from lack of blood and had a blood transfusion before I could have surgery on it.
During my recovery nurses did the regular blood tests and on my last day in care one of the nurses asked if I was taking my insulin. I told her I didn't have diabetes and I asked my GP at the time who told me they would get in contact with me if there was anything in the blood tests to worry about.
I had some mild signs of diabetes but ignored it (thirst, cracked feet, failing eyes from time to time, sleeping after a big meal) I had got back into fitness and  was sure I couldn't have T2... T1 didn't even cross my mind.
Sweating, peeing, drinking loads of water and passing out was a norm after I lived in Thailand in 2015. I thought it was the heat.
2017 i lost about 30kg in just under 2 months (I was already about 15% bodyfat so mostly muscle). That was just over a third of my weight.
I kept on drinking loads, also eating loads to try to get my weight back on. Exercised when I could (must have stimulated the ampk as I probably had no insulin) Came back to the UK in late 2018 and got rushed into hospital with DKA.
Since then been on a bit of a rollercoaster although managed to get my bg normal from Summer 2019.
Been getting other complications and ongoing steattorhea which at one stage was just pure white liquid coming out of my anus (sorry).
Went for an ultrasound today and the operator couldn't find my pancreas. Apparently it has shriveled up. Luckily the other organs were healthy. Going to probably have to go for MRI because thats the only way to see whats up with it. 
Has anyone else had this and managed to fix it without taking loads of medication? 
Is this normal in T1 diabetes?</t>
        </is>
      </c>
      <c r="D8417" t="n">
        <v>1</v>
      </c>
      <c r="E8417" t="n">
        <v>18</v>
      </c>
      <c r="F8417">
        <f>HYPERLINK("https://www.reddit.com/r/diabetes/comments/f2luav/missing_pancreas/")</f>
        <v/>
      </c>
      <c r="G8417" t="inlineStr">
        <is>
          <t>2020-02-11 20:55:26</t>
        </is>
      </c>
      <c r="H8417" t="inlineStr">
        <is>
          <t>Type 1</t>
        </is>
      </c>
    </row>
    <row r="8418">
      <c r="A8418" t="inlineStr">
        <is>
          <t>f2ovit</t>
        </is>
      </c>
      <c r="B8418" t="inlineStr">
        <is>
          <t>What to have for breakfast?</t>
        </is>
      </c>
      <c r="C8418" t="inlineStr">
        <is>
          <t>If I have carbs it will spike me, if I have fats it will steadily raise me until I don't have a margin for lunch. I'm eating sort of plant-based and I don't look forward to eating tofu for breakfast every single day.
The only thing that seems to work is slow carbs and leave a 2.5h window until lunch, but usually, that doesn't contain enough calories to reach my 1800/day goal.
I'm working during those hours so going for a walk is out of the scope.
I just don't know what to eat for breakfast that doesn't ruin my day. How do you manage it?</t>
        </is>
      </c>
      <c r="D8418" t="n">
        <v>1</v>
      </c>
      <c r="E8418" t="n">
        <v>22</v>
      </c>
      <c r="F8418">
        <f>HYPERLINK("https://www.reddit.com/r/diabetes/comments/f2ovit/what_to_have_for_breakfast/")</f>
        <v/>
      </c>
      <c r="G8418" t="inlineStr">
        <is>
          <t>2020-02-12 01:47:34</t>
        </is>
      </c>
      <c r="H8418" t="inlineStr">
        <is>
          <t>Type 2</t>
        </is>
      </c>
    </row>
    <row r="8419">
      <c r="A8419" t="inlineStr">
        <is>
          <t>f2prch</t>
        </is>
      </c>
      <c r="B8419" t="inlineStr">
        <is>
          <t>Life insurance question</t>
        </is>
      </c>
      <c r="C8419" t="inlineStr">
        <is>
          <t>So I have life insurance and im from the UK, I couldn't get critical illness cover because im type 1 diabetic.
I'm not sure from the wording on the policy but if I die from type 1 diabetes related complications, my family don't get any life insurance payout anyway?</t>
        </is>
      </c>
      <c r="D8419" t="n">
        <v>1</v>
      </c>
      <c r="E8419" t="n">
        <v>1</v>
      </c>
      <c r="F8419">
        <f>HYPERLINK("https://www.reddit.com/r/diabetes/comments/f2prch/life_insurance_question/")</f>
        <v/>
      </c>
      <c r="G8419" t="inlineStr">
        <is>
          <t>2020-02-12 03:20:29</t>
        </is>
      </c>
      <c r="H8419" t="inlineStr">
        <is>
          <t>Type 1</t>
        </is>
      </c>
    </row>
    <row r="8420">
      <c r="A8420" t="inlineStr">
        <is>
          <t>f2qxl6</t>
        </is>
      </c>
      <c r="B8420" t="inlineStr">
        <is>
          <t>Temporary solution for blurry vision</t>
        </is>
      </c>
      <c r="C8420" t="inlineStr">
        <is>
          <t>A few weeks ago, I was diagnosed with Type 2 diabetes. My blood sugar numbers are normal now, thank goodness, but I have experiences blurry vision (with my glasses or contacts). My eye doctor says it is most likely temporary. He said I shouldn't waste money on an upgraded glasses prescription. I can see clearly through the lower half of my bifocals, but it's annoying and hurts my neck by the end of the day. It's not the safest way to drive.
I decided to buy some $10 reading glasses and I place them on top of my regular glasses when I drive and when I'm working on a computer. I see fine now.
I'm just suggesting this for anyone else who may have temporary blurriness from diabetes.
But I'm also inquiring if this is unsafe for my vision in any way?</t>
        </is>
      </c>
      <c r="D8420" t="n">
        <v>1</v>
      </c>
      <c r="E8420" t="n">
        <v>14</v>
      </c>
      <c r="F8420">
        <f>HYPERLINK("https://www.reddit.com/r/diabetes/comments/f2qxl6/temporary_solution_for_blurry_vision/")</f>
        <v/>
      </c>
      <c r="G8420" t="inlineStr">
        <is>
          <t>2020-02-12 05:06:11</t>
        </is>
      </c>
      <c r="H8420" t="inlineStr">
        <is>
          <t>Type 2</t>
        </is>
      </c>
    </row>
    <row r="8421">
      <c r="A8421" t="inlineStr">
        <is>
          <t>f2th3x</t>
        </is>
      </c>
      <c r="B8421" t="inlineStr">
        <is>
          <t>Diabetes complication? Should I be worried?</t>
        </is>
      </c>
      <c r="C8421" t="inlineStr">
        <is>
          <t>So, the other day, I discovered I have a think cut on my toe.  I didn't even realize it, and it looks like it's healed a little bit already.  I made sure to clean it, put Neosporin on it, and put a bandaid on it.  I'm concerned, being a diabetic for 23 years, that I didn't feel it.  I'm also concerned if I should be worried about amputation or something like that.
Anyone have experience with something like this?</t>
        </is>
      </c>
      <c r="D8421" t="n">
        <v>1</v>
      </c>
      <c r="E8421" t="n">
        <v>6</v>
      </c>
      <c r="F8421">
        <f>HYPERLINK("https://www.reddit.com/r/diabetes/comments/f2th3x/diabetes_complication_should_i_be_worried/")</f>
        <v/>
      </c>
      <c r="G8421" t="inlineStr">
        <is>
          <t>2020-02-12 08:10:17</t>
        </is>
      </c>
      <c r="H8421" t="inlineStr">
        <is>
          <t>Type 1</t>
        </is>
      </c>
    </row>
    <row r="8422">
      <c r="A8422" t="inlineStr">
        <is>
          <t>f2u1nd</t>
        </is>
      </c>
      <c r="B8422" t="inlineStr">
        <is>
          <t>Northern Colorado Type 2 Research Study</t>
        </is>
      </c>
      <c r="C8422" t="inlineStr">
        <is>
          <t>Hello all! Thanks for letting me dropping in.  
For those of you from Northern Colorado below is some brief information about a study being conducted in Greeley at the Sunrise Community Center. 
The purpose of our study is to see if a new program that adds more education (occupational therapy) and exercise (yoga) to nutrition education works to help people manage their diabetes.  Our aim is to help them developing habits to manage their diabetes.   
The study will be held from February 28-May 8.
People who qualify for the study include:
* Adults living in Weld County with Type 2 Diabetes 
* Have children/grandchildren/ foster children living in the home
* Are eligible to receive federal food assistance or are on Medicaid.  
We will provide childcare and participants will be compensated at our data collection days.
The study and recruitment materials have been approved by the Colorado State University Human Subject Review Committee.   
If you would like to learn more, please contact the main investigator, Karen Atler (970-492-6066 or [karen.atler@colostate.edu](mailto:karen.atler@colostate.edu)) or the main recruiter, Emily Vaughan (651-206-0767 or [emily.vaughan@colostate.edu](mailto:emily.vaughan@colostate.edu)). Thanks for reading.</t>
        </is>
      </c>
      <c r="D8422" t="n">
        <v>1</v>
      </c>
      <c r="E8422" t="n">
        <v>3</v>
      </c>
      <c r="F8422">
        <f>HYPERLINK("https://www.reddit.com/r/diabetes/comments/f2u1nd/northern_colorado_type_2_research_study/")</f>
        <v/>
      </c>
      <c r="G8422" t="inlineStr">
        <is>
          <t>2020-02-12 08:46:30</t>
        </is>
      </c>
      <c r="H8422" t="inlineStr">
        <is>
          <t>Type 2</t>
        </is>
      </c>
    </row>
    <row r="8423">
      <c r="A8423" t="inlineStr">
        <is>
          <t>f2urfj</t>
        </is>
      </c>
      <c r="B8423" t="inlineStr">
        <is>
          <t>Tattoo care</t>
        </is>
      </c>
      <c r="C8423" t="inlineStr">
        <is>
          <t>I just got my first tattoo should I be doing anything extra to take of myself?</t>
        </is>
      </c>
      <c r="D8423" t="n">
        <v>1</v>
      </c>
      <c r="E8423" t="n">
        <v>7</v>
      </c>
      <c r="F8423">
        <f>HYPERLINK("https://www.reddit.com/r/diabetes/comments/f2urfj/tattoo_care/")</f>
        <v/>
      </c>
      <c r="G8423" t="inlineStr">
        <is>
          <t>2020-02-12 09:32:11</t>
        </is>
      </c>
      <c r="H8423" t="inlineStr">
        <is>
          <t>Type 1</t>
        </is>
      </c>
    </row>
    <row r="8424">
      <c r="A8424" t="inlineStr">
        <is>
          <t>f2urpc</t>
        </is>
      </c>
      <c r="B8424" t="inlineStr">
        <is>
          <t>Tattoo care</t>
        </is>
      </c>
      <c r="C8424" t="inlineStr">
        <is>
          <t>I just got my first tattoo should I be doing anything extra to take of myself?</t>
        </is>
      </c>
      <c r="D8424" t="n">
        <v>1</v>
      </c>
      <c r="E8424" t="n">
        <v>2</v>
      </c>
      <c r="F8424">
        <f>HYPERLINK("https://www.reddit.com/r/diabetes/comments/f2urpc/tattoo_care/")</f>
        <v/>
      </c>
      <c r="G8424" t="inlineStr">
        <is>
          <t>2020-02-12 09:32:35</t>
        </is>
      </c>
      <c r="H8424" t="inlineStr">
        <is>
          <t>Type 1</t>
        </is>
      </c>
    </row>
    <row r="8425">
      <c r="A8425" t="inlineStr">
        <is>
          <t>f2v6dd</t>
        </is>
      </c>
      <c r="B8425" t="inlineStr">
        <is>
          <t>Question about skipping meals</t>
        </is>
      </c>
      <c r="C8425" t="inlineStr">
        <is>
          <t>Hey everybody, I've got a question. Is it bad for me to drink something very sweet (like an orange juice) between the meals in order to stop my BG from dropping? Or is there any way to skip meals without going hypo?
I've got a pretty time-consuming job so I always have a breakfast with bolus to stabilize morning BG, then only something small like raspberries for a snack (with no bolus) and about 7-8 hours from breakfast a full sized meal. 
My basal is about 14U of Tresiba which is keeping my BG around 6-8 in the morning (maybe a bit much). So I can't neither decrease it (or else I would be hyper in the morning) or increase it (or I would get a hypo during the day). I'm not really sure if I'm still in the honeymoon phase (about 3 months from a diagnosis)
And so I drink about 100ml of juice every hour between the lunch just to keep the BG from going too low (I'd say that sugar drops about 2mmol per hour). I know orange juice has a high glycemic index, but not having a sensor or a pump yet leaves me wondering if it's bad for me or not.
Obvious solution is to get a pump which can turn off my insulin infusion, and I'm planning to get it in the near future, but is there anything I could do in the meantime?</t>
        </is>
      </c>
      <c r="D8425" t="n">
        <v>1</v>
      </c>
      <c r="E8425" t="n">
        <v>8</v>
      </c>
      <c r="F8425">
        <f>HYPERLINK("https://www.reddit.com/r/diabetes/comments/f2v6dd/question_about_skipping_meals/")</f>
        <v/>
      </c>
      <c r="G8425" t="inlineStr">
        <is>
          <t>2020-02-12 09:59:14</t>
        </is>
      </c>
      <c r="H8425" t="inlineStr">
        <is>
          <t>Type 1</t>
        </is>
      </c>
    </row>
    <row r="8426">
      <c r="A8426" t="inlineStr">
        <is>
          <t>f2x49h</t>
        </is>
      </c>
      <c r="B8426" t="inlineStr">
        <is>
          <t>Very Proud of myself!</t>
        </is>
      </c>
      <c r="C8426" t="inlineStr">
        <is>
          <t>Hi everyone! I am very happy about the progress that I’ve made. I started off by being diagnosed as pre/diabetic. After this diagnosis, I just fell into this deep depression and continuing to eat sweets, chips, etc. I was put on meds but have been off them for about a year and a half.
I slowly got it together and have managed to cut off most sugars out of my life! I rarely have anything worth added sugars (But I do love to have creamer with my morning coffee, hehe). I’ve been eating extremely well, even to the point that fast food gives me a stomach ache and makes me feel super sluggish. Eating healthy makes me feel great and I’ve just been generally feeling better! My A1C is officially down to a 5.8 from a 9 and I’ve never felt better! I rarely deal with high blood sugars now, even when I have a small treat or a mixed drink at the bar with friends. My blood sugar levels are generally in the low 100s/80-90s most of the time now! 
I’m just extremely proud of myself of getting to the point where I can continue to go about my day without fear for my blood sugar levels rising or dropping. I always keep a small snack on me just in case. It’a been a long and extremely hard time for me to make this huge lifestyle change after three years. 
I hope I can continue to work hard alongside all of you! :)</t>
        </is>
      </c>
      <c r="D8426" t="n">
        <v>1</v>
      </c>
      <c r="E8426" t="n">
        <v>1</v>
      </c>
      <c r="F8426">
        <f>HYPERLINK("https://www.reddit.com/r/diabetes/comments/f2x49h/very_proud_of_myself/")</f>
        <v/>
      </c>
      <c r="G8426" t="inlineStr">
        <is>
          <t>2020-02-12 12:03:57</t>
        </is>
      </c>
      <c r="H8426" t="inlineStr">
        <is>
          <t>Type 2</t>
        </is>
      </c>
    </row>
    <row r="8427">
      <c r="A8427" t="inlineStr">
        <is>
          <t>f2xei1</t>
        </is>
      </c>
      <c r="B8427" t="inlineStr">
        <is>
          <t>Diabetes stereotype</t>
        </is>
      </c>
      <c r="C8427" t="inlineStr">
        <is>
          <t>Do any other diabetes get the "Oh so you're unhealthy" or "You must have been fat before huh?" Thing when meeting new people, even saying you're type one?</t>
        </is>
      </c>
      <c r="D8427" t="n">
        <v>1</v>
      </c>
      <c r="E8427" t="n">
        <v>20</v>
      </c>
      <c r="F8427">
        <f>HYPERLINK("https://www.reddit.com/r/diabetes/comments/f2xei1/diabetes_stereotype/")</f>
        <v/>
      </c>
      <c r="G8427" t="inlineStr">
        <is>
          <t>2020-02-12 12:21:43</t>
        </is>
      </c>
      <c r="H8427" t="inlineStr">
        <is>
          <t>Type 1</t>
        </is>
      </c>
    </row>
    <row r="8428">
      <c r="A8428" t="inlineStr">
        <is>
          <t>f2yapp</t>
        </is>
      </c>
      <c r="B8428" t="inlineStr">
        <is>
          <t>Is diabetes outside of the honeymoon period much harder to manage?</t>
        </is>
      </c>
      <c r="C8428" t="inlineStr">
        <is>
          <t>Hi!
Right now I'm still in the honeymoon phase, and it's honestly driving me crazy, but I'm managing my blood sugar really well right now without stressing about it too much. 
So is managing diabetes gonna be much harder when my honeymoon period comes to and end? Or is all that changes, really just the numbers, so the amount of insulin I take and my insulin to carb ratio and my correction factor etc. etc. 
Does it also have an effect on working out? Right now I like to take a longer walk or go workout after larger meals with more carbs so I can take a bit less insulin and don't feel as bad about all the calories I just ate. Will my drop sugar drop more or less during a workout after the honeymoon period or is that just gonna stay exactly the same?
What did you have you change? How was your experience with it after it ended? Any advice would be great &amp;amp; much appreciated!
Thank you.</t>
        </is>
      </c>
      <c r="D8428" t="n">
        <v>1</v>
      </c>
      <c r="E8428" t="n">
        <v>4</v>
      </c>
      <c r="F8428">
        <f>HYPERLINK("https://www.reddit.com/r/diabetes/comments/f2yapp/is_diabetes_outside_of_the_honeymoon_period_much/")</f>
        <v/>
      </c>
      <c r="G8428" t="inlineStr">
        <is>
          <t>2020-02-12 13:18:22</t>
        </is>
      </c>
      <c r="H8428" t="inlineStr">
        <is>
          <t>Type 1</t>
        </is>
      </c>
    </row>
    <row r="8429">
      <c r="A8429" t="inlineStr">
        <is>
          <t>f31rkz</t>
        </is>
      </c>
      <c r="B8429" t="inlineStr">
        <is>
          <t>Old news about the Medtronic recall but some interesting data in the article</t>
        </is>
      </c>
      <c r="C8429" t="inlineStr">
        <is>
          <t>https://www.cnn.com/2020/02/12/health/medtronic-recall-minimed-insulin-pump-fda/index.html</t>
        </is>
      </c>
      <c r="D8429" t="n">
        <v>1</v>
      </c>
      <c r="E8429" t="n">
        <v>7</v>
      </c>
      <c r="F8429">
        <f>HYPERLINK("https://www.reddit.com/r/diabetes/comments/f31rkz/old_news_about_the_medtronic_recall_but_some/")</f>
        <v/>
      </c>
      <c r="G8429" t="inlineStr">
        <is>
          <t>2020-02-12 17:12:10</t>
        </is>
      </c>
      <c r="H8429" t="inlineStr">
        <is>
          <t>Type 1</t>
        </is>
      </c>
    </row>
    <row r="8430">
      <c r="A8430" t="inlineStr">
        <is>
          <t>f320b6</t>
        </is>
      </c>
      <c r="B8430" t="inlineStr">
        <is>
          <t>Anyone know when Control I-Q will be coming to Canada? Rumours?</t>
        </is>
      </c>
      <c r="C8430" t="inlineStr">
        <is>
          <t>I’ve never been a Tandem diabetic. I jumped on the omnipod train last year and started looping when it was available for omnipod. Before that I was with medtronic for 4 years. I’m in Canada so Basal I-Q just got released. I just want to know when Control I-Q will be out or if anyone’s talk to a rep? Gimme the deets. 
Thanks!</t>
        </is>
      </c>
      <c r="D8430" t="n">
        <v>1</v>
      </c>
      <c r="E8430" t="n">
        <v>7</v>
      </c>
      <c r="F8430">
        <f>HYPERLINK("https://www.reddit.com/r/diabetes/comments/f320b6/anyone_know_when_control_iq_will_be_coming_to/")</f>
        <v/>
      </c>
      <c r="G8430" t="inlineStr">
        <is>
          <t>2020-02-12 17:30:13</t>
        </is>
      </c>
      <c r="H8430" t="inlineStr">
        <is>
          <t>Type 1</t>
        </is>
      </c>
    </row>
    <row r="8431">
      <c r="A8431" t="inlineStr">
        <is>
          <t>f33pw5</t>
        </is>
      </c>
      <c r="B8431" t="inlineStr">
        <is>
          <t>Why, Why, Why do I do this?</t>
        </is>
      </c>
      <c r="C8431" t="inlineStr">
        <is>
          <t>I've been in range all day and I just ate a bowl of cereal. All that behaving myself just to blow it at the end of the day.  I need better will power.</t>
        </is>
      </c>
      <c r="D8431" t="n">
        <v>1</v>
      </c>
      <c r="E8431" t="n">
        <v>16</v>
      </c>
      <c r="F8431">
        <f>HYPERLINK("https://www.reddit.com/r/diabetes/comments/f33pw5/why_why_why_do_i_do_this/")</f>
        <v/>
      </c>
      <c r="G8431" t="inlineStr">
        <is>
          <t>2020-02-12 19:38:14</t>
        </is>
      </c>
      <c r="H8431" t="inlineStr">
        <is>
          <t>Type 2</t>
        </is>
      </c>
    </row>
    <row r="8432">
      <c r="A8432" t="inlineStr">
        <is>
          <t>f33wjf</t>
        </is>
      </c>
      <c r="B8432" t="inlineStr">
        <is>
          <t>Diabetic yeast infection (help)</t>
        </is>
      </c>
      <c r="C8432" t="inlineStr">
        <is>
          <t>Ok, this is my first ever reddit post and it's pretty embarrassing. But I'm a male in my 30s. I have uncontrolled diabetes, I haven't been to a doctor in quite a while. I dont have health insurance and cant afford to get it so thats not an option. I also make too much by less than $100 on unemployment to get state aid. I was fired in November while I was on medical leave for something unrelated and I havent been able to find decent work since. 
So to the point, I have a pretty painful and serious yeast infection. I know it's from the diabetes bc this has happened 2 times before this. I usually took fluconazole and I was fine in a week or so. But unbeknownst to me, that's a prescription medication for some reason. Being a single father and trying to keep up with bills isnt easy as it is, I cant afford an urgent care bill. Is there any proven over the counter med? Or anyone in the north jersey area, preferably a vet, (medication is much cheaper) whom could write me a prescription. I know that's illegal and ik I'm probably not going to have any luck but I'm desperate. Any advice is appreciated.</t>
        </is>
      </c>
      <c r="D8432" t="n">
        <v>1</v>
      </c>
      <c r="E8432" t="n">
        <v>10</v>
      </c>
      <c r="F8432">
        <f>HYPERLINK("https://www.reddit.com/r/diabetes/comments/f33wjf/diabetic_yeast_infection_help/")</f>
        <v/>
      </c>
      <c r="G8432" t="inlineStr">
        <is>
          <t>2020-02-12 19:52:05</t>
        </is>
      </c>
      <c r="H8432" t="inlineStr">
        <is>
          <t>Type 2</t>
        </is>
      </c>
    </row>
    <row r="8433">
      <c r="A8433" t="inlineStr">
        <is>
          <t>f36u5o</t>
        </is>
      </c>
      <c r="B8433" t="inlineStr">
        <is>
          <t>Overcame the Fear of Checking Blood Sugar</t>
        </is>
      </c>
      <c r="C8433" t="inlineStr">
        <is>
          <t>Hi all, I just wanted to post an update. Recently I posted something about having a mental block when checking my blood sugar. I couldn’t push the button on the lancet to make the needle prick me (I think that’s the right terminology). 
Tonight, I did it without thinking and I didn’t need help.</t>
        </is>
      </c>
      <c r="D8433" t="n">
        <v>1</v>
      </c>
      <c r="E8433" t="n">
        <v>26</v>
      </c>
      <c r="F8433">
        <f>HYPERLINK("https://www.reddit.com/r/diabetes/comments/f36u5o/overcame_the_fear_of_checking_blood_sugar/")</f>
        <v/>
      </c>
      <c r="G8433" t="inlineStr">
        <is>
          <t>2020-02-13 00:15:17</t>
        </is>
      </c>
      <c r="H8433" t="inlineStr">
        <is>
          <t>Type 2</t>
        </is>
      </c>
    </row>
    <row r="8434">
      <c r="A8434" t="inlineStr">
        <is>
          <t>f38k8f</t>
        </is>
      </c>
      <c r="B8434" t="inlineStr">
        <is>
          <t>My first Hba1c</t>
        </is>
      </c>
      <c r="C8434" t="inlineStr">
        <is>
          <t xml:space="preserve"> I got a result of 6.2%+, is it good enough? How do I lower it/ maintain good rang ?</t>
        </is>
      </c>
      <c r="D8434" t="n">
        <v>1</v>
      </c>
      <c r="E8434" t="n">
        <v>6</v>
      </c>
      <c r="F8434">
        <f>HYPERLINK("https://www.reddit.com/r/diabetes/comments/f38k8f/my_first_hba1c/")</f>
        <v/>
      </c>
      <c r="G8434" t="inlineStr">
        <is>
          <t>2020-02-13 03:23:59</t>
        </is>
      </c>
      <c r="H8434" t="inlineStr">
        <is>
          <t>Type 1</t>
        </is>
      </c>
    </row>
    <row r="8435">
      <c r="A8435" t="inlineStr">
        <is>
          <t>f3bgq2</t>
        </is>
      </c>
      <c r="B8435" t="inlineStr">
        <is>
          <t>Feeling weird and weak.</t>
        </is>
      </c>
      <c r="C8435" t="inlineStr">
        <is>
          <t>I recently got diagnosed with diabetes type 2, around 2 and a half weeks ago.
So, for the past week and 2 days, I've had a bad cough. It hurt my throat so bad, eating stung and drinking hurt too. Most of the food I ate, I only finished 1/4 portion and threw it up. Unfortunately, I have a bad reaction to things going to the back of my throat when I cough, like mucus or when I sniff and it brings from the nose to the mouth(Sorry for gross detail), anyway if I get that, I will gag until I throw up. So when I'm sick, and I'm coughing mucus, all that food ends up coming back up. So I've hardly eaten and hardly drank too for the last week. Now, I'm starting to get better and reckon I'm on my final couple of days of the sickness. So that's the backstory.
I'm eating now(healthy meals and healthy portions), I'm also drinking a lot more now (8 glasses of water). Suddenly now though, I have this weird feeling. It, is hard to explain so bare with me. The best way I can try and explain, is it is kind of like when you're really nervous and worried about something, then you suddenly stand up after being called to do the thing you're nervous about and all them nerves are flying through your body. On top of that, I also feel weak. I'm tired, very tired but am unable to nap which I've been trying to do for the last 7 hours. When I walk, I feel uneasy and feel almost as if I'm not walking with my legs, kind of like a weak, feeling you get after sitting too long..But it is constant, everytime I walk and it is mixed with them nerves feeling.  At first, I thought maybe I'm low on sugar so drank some Apple juice. Still felt the same, however didn't want to drink anymore incase this isn't anything to do with my sugars. Even while I type this, my arms and fingers just feel...weird.
Is this a normal feeling that happens after being sick? Is this diabetes related? Any advice?
I'm sorry, I'm not that educated with diabetes. My mum had it, but she had insulin. I don't take any meds right now as the doctor said they want to give me 3 months to get everything under control and if I can't then I'll be on a pill med.</t>
        </is>
      </c>
      <c r="D8435" t="n">
        <v>1</v>
      </c>
      <c r="E8435" t="n">
        <v>3</v>
      </c>
      <c r="F8435">
        <f>HYPERLINK("https://www.reddit.com/r/diabetes/comments/f3bgq2/feeling_weird_and_weak/")</f>
        <v/>
      </c>
      <c r="G8435" t="inlineStr">
        <is>
          <t>2020-02-13 07:19:17</t>
        </is>
      </c>
      <c r="H8435" t="inlineStr">
        <is>
          <t>Type 2</t>
        </is>
      </c>
    </row>
    <row r="8436">
      <c r="A8436" t="inlineStr">
        <is>
          <t>f3dtbf</t>
        </is>
      </c>
      <c r="B8436" t="inlineStr">
        <is>
          <t>Hair receding??</t>
        </is>
      </c>
      <c r="C8436" t="inlineStr">
        <is>
          <t>Hi I’m a 14 year old girl and my diabetes has been uncontrolled for a while but I’m trying to fix that, I recently found out my hairline is receding and might be connected to my diabetes. If I get my sugars controlled can I fix this because I’m getting really worried about this. Please help</t>
        </is>
      </c>
      <c r="D8436" t="n">
        <v>1</v>
      </c>
      <c r="E8436" t="n">
        <v>1</v>
      </c>
      <c r="F8436">
        <f>HYPERLINK("https://www.reddit.com/r/diabetes/comments/f3dtbf/hair_receding/")</f>
        <v/>
      </c>
      <c r="G8436" t="inlineStr">
        <is>
          <t>2020-02-13 09:55:29</t>
        </is>
      </c>
      <c r="H8436" t="inlineStr">
        <is>
          <t>Type 1</t>
        </is>
      </c>
    </row>
    <row r="8437">
      <c r="A8437" t="inlineStr">
        <is>
          <t>f3gddo</t>
        </is>
      </c>
      <c r="B8437" t="inlineStr">
        <is>
          <t>(M15)My checkup went well today!!</t>
        </is>
      </c>
      <c r="C8437" t="inlineStr">
        <is>
          <t>My A1C is 7, last time it was 7.4, I was worried I was doing bad, but my endocrinologist told me I was doing, "phenomenal"! Guys, it might not seem like much, but I'm so happy about it!!</t>
        </is>
      </c>
      <c r="D8437" t="n">
        <v>1</v>
      </c>
      <c r="E8437" t="n">
        <v>5</v>
      </c>
      <c r="F8437">
        <f>HYPERLINK("https://www.reddit.com/r/diabetes/comments/f3gddo/m15my_checkup_went_well_today/")</f>
        <v/>
      </c>
      <c r="G8437" t="inlineStr">
        <is>
          <t>2020-02-13 12:33:29</t>
        </is>
      </c>
      <c r="H8437" t="inlineStr">
        <is>
          <t>Type 1</t>
        </is>
      </c>
    </row>
    <row r="8438">
      <c r="A8438" t="inlineStr">
        <is>
          <t>f3hojj</t>
        </is>
      </c>
      <c r="B8438" t="inlineStr">
        <is>
          <t>Omnipod and Dexcom G6</t>
        </is>
      </c>
      <c r="C8438" t="inlineStr">
        <is>
          <t>Does anyone use RileyLink? If so, what are your thoughts on it?</t>
        </is>
      </c>
      <c r="D8438" t="n">
        <v>1</v>
      </c>
      <c r="E8438" t="n">
        <v>3</v>
      </c>
      <c r="F8438">
        <f>HYPERLINK("https://www.reddit.com/r/diabetes/comments/f3hojj/omnipod_and_dexcom_g6/")</f>
        <v/>
      </c>
      <c r="G8438" t="inlineStr">
        <is>
          <t>2020-02-13 13:58:13</t>
        </is>
      </c>
      <c r="H8438" t="inlineStr">
        <is>
          <t>Type 1</t>
        </is>
      </c>
    </row>
    <row r="8439">
      <c r="A8439" t="inlineStr">
        <is>
          <t>f3ir7t</t>
        </is>
      </c>
      <c r="B8439" t="inlineStr">
        <is>
          <t>How did you suspect you had diabetes? Because the doctor never suggested it to me</t>
        </is>
      </c>
      <c r="C8439" t="inlineStr">
        <is>
          <t>I have some issues but doctor never tested for diabetes.
He did normal CBC COMPLETE blood count test and results were normal.
But like, how do people notice they have diabetes?</t>
        </is>
      </c>
      <c r="D8439" t="n">
        <v>1</v>
      </c>
      <c r="E8439" t="n">
        <v>21</v>
      </c>
      <c r="F8439">
        <f>HYPERLINK("https://www.reddit.com/r/diabetes/comments/f3ir7t/how_did_you_suspect_you_had_diabetes_because_the/")</f>
        <v/>
      </c>
      <c r="G8439" t="inlineStr">
        <is>
          <t>2020-02-13 15:10:49</t>
        </is>
      </c>
      <c r="H8439" t="inlineStr">
        <is>
          <t>Type 2</t>
        </is>
      </c>
    </row>
    <row r="8440">
      <c r="A8440" t="inlineStr">
        <is>
          <t>f3l4n9</t>
        </is>
      </c>
      <c r="B8440" t="inlineStr">
        <is>
          <t>blood tests are just not accurate</t>
        </is>
      </c>
      <c r="C8440" t="inlineStr">
        <is>
          <t>all within 2 minutes doing 5 blood tests these were my results: 10.3,14.9,16.7, 17.8, 14.9.   They're not even accurate.</t>
        </is>
      </c>
      <c r="D8440" t="n">
        <v>1</v>
      </c>
      <c r="E8440" t="n">
        <v>4</v>
      </c>
      <c r="F8440">
        <f>HYPERLINK("https://www.reddit.com/r/diabetes/comments/f3l4n9/blood_tests_are_just_not_accurate/")</f>
        <v/>
      </c>
      <c r="G8440" t="inlineStr">
        <is>
          <t>2020-02-13 18:09:33</t>
        </is>
      </c>
      <c r="H8440" t="inlineStr">
        <is>
          <t>Type 1</t>
        </is>
      </c>
    </row>
    <row r="8441">
      <c r="A8441" t="inlineStr">
        <is>
          <t>f3lwyi</t>
        </is>
      </c>
      <c r="B8441" t="inlineStr">
        <is>
          <t>I'm having problems with intentional weight loss as a type 1. Any advice?</t>
        </is>
      </c>
      <c r="C8441" t="inlineStr">
        <is>
          <t>Hey there, I'm a 26-year-old male (diabetic since I was 4) currently at about 175lbs (79.4kg) and about 5'9" (175.3cm). Ideally, I would like to go back to 145-150lbs which I was back in 2015/2016. I gained some weight after some life changes, etc. It's been a little over a month since I started to intentionally attempt to lose weight. The way I know to do it is to reduce insulin intake... I have done this by eating low carbs foods that are moderate in fat and protein. I managed to reduce my insulin intake from 45-50 (sometimes 60 or so) units a day, to strictly 30u or less daily - it's been like that for 5 weeks. The thing is, after the first two weeks I lost 5lbs but for the last three, I seem to not lose any weight (and I mean exactly the same number). I doubt it's a plateau given that I haven't lost significant enough weight. I'm on a Tandem T-slim pump.
My glucose levels have never been better now that I'm taking less insulin and I'm excited to go to my next endo appointment because I know I will have lowered my A1C. I am way more under control now that I have removed most complex carbs, and I feel way less tired from the swings in glucose I used to have when I was taking more insulin. But my issue is my the way I have lost weight in the past doesn't seem to be working. Is there anything I'm not taking into account? Am I maybe being a little impatient? From what I understand it can take longer for type 1 diabetics to lose weight but I feel like this is significantly longer than usual for me. Any advice would help!</t>
        </is>
      </c>
      <c r="D8441" t="n">
        <v>1</v>
      </c>
      <c r="E8441" t="n">
        <v>25</v>
      </c>
      <c r="F8441">
        <f>HYPERLINK("https://www.reddit.com/r/diabetes/comments/f3lwyi/im_having_problems_with_intentional_weight_loss/")</f>
        <v/>
      </c>
      <c r="G8441" t="inlineStr">
        <is>
          <t>2020-02-13 19:10:59</t>
        </is>
      </c>
      <c r="H8441" t="inlineStr">
        <is>
          <t>Type 1</t>
        </is>
      </c>
    </row>
    <row r="8442">
      <c r="A8442" t="inlineStr">
        <is>
          <t>f3ppo9</t>
        </is>
      </c>
      <c r="B8442" t="inlineStr">
        <is>
          <t>Why will I take the right amount of insulin with a food and be fine, and the next day do the exact same and suddenly see my sugar rise by 150 points?</t>
        </is>
      </c>
      <c r="C8442" t="inlineStr">
        <is>
          <t>I know I’m not exactly eating the best, but for example I ate 2 “healthy fresh” meals that were the exact same. Yesterday I ate one for dinner, sugar bumped up like 10 points (150 to 160). They’re 20 carbs each. 
I do the exact same thing today, around the same time, and it jumps to 300, when I eat the exact same meal, with the exact same diet soda, and take the exact same amount of insulin via the nutrition label. 
This happens all the time, and it makes absolutely no sense.</t>
        </is>
      </c>
      <c r="D8442" t="n">
        <v>1</v>
      </c>
      <c r="E8442" t="n">
        <v>18</v>
      </c>
      <c r="F8442">
        <f>HYPERLINK("https://www.reddit.com/r/diabetes/comments/f3ppo9/why_will_i_take_the_right_amount_of_insulin_with/")</f>
        <v/>
      </c>
      <c r="G8442" t="inlineStr">
        <is>
          <t>2020-02-14 01:14:07</t>
        </is>
      </c>
      <c r="H8442" t="inlineStr">
        <is>
          <t>Type 1</t>
        </is>
      </c>
    </row>
    <row r="8443">
      <c r="A8443" t="inlineStr">
        <is>
          <t>f3r6oe</t>
        </is>
      </c>
      <c r="B8443" t="inlineStr">
        <is>
          <t>There are days when I struggle with this never going away</t>
        </is>
      </c>
      <c r="C8443" t="inlineStr">
        <is>
          <t>Diagnosed 2 years ago with a 10.9 A1C at 53 years old.  I spent 6 months in “I’ve got this” land and had a 5.5 a1c at my first retest.  Eliminated anything sugary, cut carbs to a minimum, lost 35 pounds. Problem solved, right? 
Like any good Greek tragedy, hubris kicks in.  I’ve solved this problem, never going back.  And then it starts - what harm could a little pizza do?  Sure, I’ll have fries with that this one time.  God, I miss cheesecake, maybe just one piece.  
My last test was in October and was a 6.5.  Unless I get serious, my April test is going to be closer to a 7.  Woke up this morning with a 167 - really disappointing.  
Some days it hits me hard that this never goes away.  That every slip shows up in my numbers.  That this struggle will never end.  And I just wonder if I have the strength to see it through - to get back to waking up at 105 every morning by being so disciplined.  Frankly, if I were that disciplined about food, I wouldn’t have ended up here in the first place.  
Ah, bad morning.  Thanks for letting me vent a little.</t>
        </is>
      </c>
      <c r="D8443" t="n">
        <v>1</v>
      </c>
      <c r="E8443" t="n">
        <v>8</v>
      </c>
      <c r="F8443">
        <f>HYPERLINK("https://www.reddit.com/r/diabetes/comments/f3r6oe/there_are_days_when_i_struggle_with_this_never/")</f>
        <v/>
      </c>
      <c r="G8443" t="inlineStr">
        <is>
          <t>2020-02-14 03:57:53</t>
        </is>
      </c>
      <c r="H8443" t="inlineStr">
        <is>
          <t>Type 2</t>
        </is>
      </c>
    </row>
    <row r="8444">
      <c r="A8444" t="inlineStr">
        <is>
          <t>f3ryvt</t>
        </is>
      </c>
      <c r="B8444" t="inlineStr">
        <is>
          <t>Freestyle Lebre (halp)</t>
        </is>
      </c>
      <c r="C8444" t="inlineStr">
        <is>
          <t>I am a type 1 diabetic of 10 years and I have been struggling with it for some time. I have been on dexcom and Medtronic CGMs and didn't like them very much. I did however love using the lebre. I know it lacks qualities like connecting with your pump and sending alerts. But it fit my active lifestyle perfectly with size and feeling. It also was very accurate while I was using it. I only was able to use it for a short period though because I had to pay out of pocket to get it through a pharmacy and it was just to expensive.
 I would really like to get back on the lebre and I'm wondering if there is a med supply that I can use my insurance through to get supply's without having to spend to much. I'm on Blue Cross/Blue Shield and Tricare if that helps.</t>
        </is>
      </c>
      <c r="D8444" t="n">
        <v>1</v>
      </c>
      <c r="E8444" t="n">
        <v>1</v>
      </c>
      <c r="F8444">
        <f>HYPERLINK("https://www.reddit.com/r/diabetes/comments/f3ryvt/freestyle_lebre_halp/")</f>
        <v/>
      </c>
      <c r="G8444" t="inlineStr">
        <is>
          <t>2020-02-14 05:10:33</t>
        </is>
      </c>
      <c r="H8444" t="inlineStr">
        <is>
          <t>Type 1</t>
        </is>
      </c>
    </row>
    <row r="8445">
      <c r="A8445" t="inlineStr">
        <is>
          <t>f3ssr8</t>
        </is>
      </c>
      <c r="B8445" t="inlineStr">
        <is>
          <t>Can someone help me with xdrip</t>
        </is>
      </c>
      <c r="C8445" t="inlineStr">
        <is>
          <t>I am on fb xdrip group but noone is answering. 
So I changed my sensor and I put it 2 calibrations and it didn't start to work. I put in my new sensor on the 12th.</t>
        </is>
      </c>
      <c r="D8445" t="n">
        <v>1</v>
      </c>
      <c r="E8445" t="n">
        <v>6</v>
      </c>
      <c r="F8445">
        <f>HYPERLINK("https://www.reddit.com/r/diabetes/comments/f3ssr8/can_someone_help_me_with_xdrip/")</f>
        <v/>
      </c>
      <c r="G8445" t="inlineStr">
        <is>
          <t>2020-02-14 06:18:44</t>
        </is>
      </c>
      <c r="H8445" t="inlineStr">
        <is>
          <t>Type 1</t>
        </is>
      </c>
    </row>
    <row r="8446">
      <c r="A8446" t="inlineStr">
        <is>
          <t>f3v48u</t>
        </is>
      </c>
      <c r="B8446" t="inlineStr">
        <is>
          <t>Eversense is Saving My Life!</t>
        </is>
      </c>
      <c r="C8446" t="inlineStr">
        <is>
          <t>I think I've shared before that I am using the Eversense CGM, and I am having huge success with it. I wanted to share my win today because I am just bouncing out of my seat with excitement. 
My last 5 A1C's....
* 11/05/2018 – 10.5%
* 2/27/2019 – 9.9% (increase in basal insulin doses)
* 8/5/2019 – 9.1% (first sensor placed 8/15)
* 11/11/2019 – 6.7% (second sensor placed 11/18)
* 2/12/2019 – **5.9%!!!!!!!**
I am absolutely ecstatic. For my A1C to be 5.9% even with the holidays thrown in there - Wow! And I started Weight Watchers again January 2nd, so I can only see this getting even better as I control my diet. =)</t>
        </is>
      </c>
      <c r="D8446" t="n">
        <v>1</v>
      </c>
      <c r="E8446" t="n">
        <v>21</v>
      </c>
      <c r="F8446">
        <f>HYPERLINK("https://www.reddit.com/r/diabetes/comments/f3v48u/eversense_is_saving_my_life/")</f>
        <v/>
      </c>
      <c r="G8446" t="inlineStr">
        <is>
          <t>2020-02-14 09:04:00</t>
        </is>
      </c>
      <c r="H8446" t="inlineStr">
        <is>
          <t>Type 2</t>
        </is>
      </c>
    </row>
    <row r="8447">
      <c r="A8447" t="inlineStr">
        <is>
          <t>f3wiwd</t>
        </is>
      </c>
      <c r="B8447" t="inlineStr">
        <is>
          <t>Worried about neuropathy....</t>
        </is>
      </c>
      <c r="C8447" t="inlineStr">
        <is>
          <t>17yrs, T1D, Hba1c = 14.7, 63kg/186cm
Over the last month or so ive been experiencing the following.
. Numbness down one side of my body, seems permanent 
. Terrible agonizing cramps in my calf muscles
. I cant drink coffee because its wayy too hot, im over sensitive to heat
. Pain tolerance is super low, a small punch is agony and i die if i stub my toe
. Complete sexual dysfunction ( im asexual but my partner is missing out :(.
. Super high fatigue, cant walk without trembling most days, no energy to either
. Whenever i hold something my hands shake
Should i see a doctor?</t>
        </is>
      </c>
      <c r="D8447" t="n">
        <v>1</v>
      </c>
      <c r="E8447" t="n">
        <v>11</v>
      </c>
      <c r="F8447">
        <f>HYPERLINK("https://www.reddit.com/r/diabetes/comments/f3wiwd/worried_about_neuropathy/")</f>
        <v/>
      </c>
      <c r="G8447" t="inlineStr">
        <is>
          <t>2020-02-14 10:37:08</t>
        </is>
      </c>
      <c r="H8447" t="inlineStr">
        <is>
          <t>Type 1</t>
        </is>
      </c>
    </row>
    <row r="8448">
      <c r="A8448" t="inlineStr">
        <is>
          <t>f42949</t>
        </is>
      </c>
      <c r="B8448" t="inlineStr">
        <is>
          <t>Are MRI with contrast safe for diabetics?</t>
        </is>
      </c>
      <c r="C8448" t="inlineStr">
        <is>
          <t>Hi,
Just wondering if diabetics are prone to more risk than others when using contrast dye for MRI?</t>
        </is>
      </c>
      <c r="D8448" t="n">
        <v>1</v>
      </c>
      <c r="E8448" t="n">
        <v>5</v>
      </c>
      <c r="F8448">
        <f>HYPERLINK("https://www.reddit.com/r/diabetes/comments/f42949/are_mri_with_contrast_safe_for_diabetics/")</f>
        <v/>
      </c>
      <c r="G8448" t="inlineStr">
        <is>
          <t>2020-02-14 17:21:34</t>
        </is>
      </c>
      <c r="H8448" t="inlineStr">
        <is>
          <t>Type 2</t>
        </is>
      </c>
    </row>
    <row r="8449">
      <c r="A8449" t="inlineStr">
        <is>
          <t>f43fal</t>
        </is>
      </c>
      <c r="B8449" t="inlineStr">
        <is>
          <t>Foot Nueropathy - tingling and burning sensation help</t>
        </is>
      </c>
      <c r="C8449" t="inlineStr">
        <is>
          <t>Newly Type-2.  6.4 readings twice in 1 year.  Just started taking Metformin to help.  2days later I went from 0 symptoms to chronic foot pain overnight.  Reading that it is irreversible and I’ll have it for life and may get worse to the point of impaired walking. 
What is my outlook - can others share their experience?  Thanks.</t>
        </is>
      </c>
      <c r="D8449" t="n">
        <v>1</v>
      </c>
      <c r="E8449" t="n">
        <v>13</v>
      </c>
      <c r="F8449">
        <f>HYPERLINK("https://www.reddit.com/r/diabetes/comments/f43fal/foot_nueropathy_tingling_and_burning_sensation/")</f>
        <v/>
      </c>
      <c r="G8449" t="inlineStr">
        <is>
          <t>2020-02-14 18:59:49</t>
        </is>
      </c>
      <c r="H8449" t="inlineStr">
        <is>
          <t>Type 2</t>
        </is>
      </c>
    </row>
    <row r="8450">
      <c r="A8450" t="inlineStr">
        <is>
          <t>f44qbd</t>
        </is>
      </c>
      <c r="B8450" t="inlineStr">
        <is>
          <t>Is there a way to test blood glucose level without buying an expensive machine?</t>
        </is>
      </c>
      <c r="C8450" t="inlineStr">
        <is>
          <t>To start I am not currently diagnosed. Over the last week I’ve been having a lot of fatigue and almost daily anxiety attacks. I have a chronic anxiety disorder, but my medication normally keeps me under control. One of my big triggers for anxiety attacks is dehydration. Over this last week I’ve been constantly thirsty. I’m drinking probably 3-4 times as much water as normal and still feeling dehydrated with dry lips. I’ve noticed my attacks tend to follow meals by about a half hour recently.
I’m not very educated in diabetes, but I’m thinking it may be possible for my blood glucose to be low. I want to test it and can’t get in to a doctor quickly. I was hoping to find out if there’s a one time test I can get from Walgreens or something just to get the fear off my mind. I’ve been sort of afraid of eating because I don’t want it to trigger my attacks.
Any advice and help is appreciated and obviously I’ll be getting into a doctor as soon as possible.</t>
        </is>
      </c>
      <c r="D8450" t="n">
        <v>1</v>
      </c>
      <c r="E8450" t="n">
        <v>18</v>
      </c>
      <c r="F8450">
        <f>HYPERLINK("https://www.reddit.com/r/diabetes/comments/f44qbd/is_there_a_way_to_test_blood_glucose_level/")</f>
        <v/>
      </c>
      <c r="G8450" t="inlineStr">
        <is>
          <t>2020-02-14 20:53:56</t>
        </is>
      </c>
      <c r="H8450" t="inlineStr">
        <is>
          <t>Type 1</t>
        </is>
      </c>
    </row>
    <row r="8451">
      <c r="A8451" t="inlineStr">
        <is>
          <t>f48di4</t>
        </is>
      </c>
      <c r="B8451" t="inlineStr">
        <is>
          <t>Advice for a diabetic relative</t>
        </is>
      </c>
      <c r="C8451" t="inlineStr">
        <is>
          <t>Hi guys, I don't have diabetes but my cousin does and I'd like to get some advice please. 
We're both at the stage in our lives where the most popular social thing to do is partying. My cousin is new to the area, and I'd like to invite him to a party of mine to meet new people and make friends.
He doesn't take his diabetes seriously, and has been in multiple diabetic comas as a result. He tries to fit in, and drinks and does drugs like everyone else is doing not keeping in mind that he isn't like everyone else and what is minimal risk for them is highly dangerous for him. This leaves me in a tight spot, I'd love to include him but I'm nervous of the idea too.
What could I do to have him feel included in a drinking environment? What type of party food do you like? Is it even safe for him to be drunk?</t>
        </is>
      </c>
      <c r="D8451" t="n">
        <v>1</v>
      </c>
      <c r="E8451" t="n">
        <v>7</v>
      </c>
      <c r="F8451">
        <f>HYPERLINK("https://www.reddit.com/r/diabetes/comments/f48di4/advice_for_a_diabetic_relative/")</f>
        <v/>
      </c>
      <c r="G8451" t="inlineStr">
        <is>
          <t>2020-02-15 03:44:52</t>
        </is>
      </c>
      <c r="H8451" t="inlineStr">
        <is>
          <t>Type 1</t>
        </is>
      </c>
    </row>
    <row r="8452">
      <c r="A8452" t="inlineStr">
        <is>
          <t>f4a9lk</t>
        </is>
      </c>
      <c r="B8452" t="inlineStr">
        <is>
          <t>No Sugar Checks?</t>
        </is>
      </c>
      <c r="C8452" t="inlineStr">
        <is>
          <t>So my Doctor told me about a month ago I was type two diabetic. My A1Cs came back at 11. He put me on Metformin and told me that with proper diet and exercise I could reverse this. I asked him what test kit I should get to check my numbers. He said none, that I don’t need to check my sugar. This makes no sense to me at all. How can I check progress without testing my sugar?? Is this normal??</t>
        </is>
      </c>
      <c r="D8452" t="n">
        <v>1</v>
      </c>
      <c r="E8452" t="n">
        <v>28</v>
      </c>
      <c r="F8452">
        <f>HYPERLINK("https://www.reddit.com/r/diabetes/comments/f4a9lk/no_sugar_checks/")</f>
        <v/>
      </c>
      <c r="G8452" t="inlineStr">
        <is>
          <t>2020-02-15 06:43:00</t>
        </is>
      </c>
      <c r="H8452" t="inlineStr">
        <is>
          <t>Type 2</t>
        </is>
      </c>
    </row>
    <row r="8453">
      <c r="A8453" t="inlineStr">
        <is>
          <t>f4agx7</t>
        </is>
      </c>
      <c r="B8453" t="inlineStr">
        <is>
          <t>One year post diagnosis and we're feeling ok!</t>
        </is>
      </c>
      <c r="C8453" t="inlineStr">
        <is>
          <t>Just got my A1c results, one year after my diagnosis. I haven't always been great, and I had a rough Dec/Jan with colds and not taking the best care of myself. I was extremely nervous to look at my results, but it's a 5.6!!!!!!!  This year has been a hell of a journey, both emotionally and physically. I have so much more energy, and have never been so knowledgeable about food in my life (not close to expert but just a healthy relationship). I know this is just the beginning, being LADA so things will change at some point. But today I am so proud of myself for making the changes needed to keep me healthy and happy. This subreddit has helped so much, especially right at the beginning. So, thanks y'all!</t>
        </is>
      </c>
      <c r="D8453" t="n">
        <v>1</v>
      </c>
      <c r="E8453" t="n">
        <v>4</v>
      </c>
      <c r="F8453">
        <f>HYPERLINK("https://www.reddit.com/r/diabetes/comments/f4agx7/one_year_post_diagnosis_and_were_feeling_ok/")</f>
        <v/>
      </c>
      <c r="G8453" t="inlineStr">
        <is>
          <t>2020-02-15 06:59:29</t>
        </is>
      </c>
      <c r="H8453" t="inlineStr">
        <is>
          <t>Type 1.5/LADA</t>
        </is>
      </c>
    </row>
    <row r="8454">
      <c r="A8454" t="inlineStr">
        <is>
          <t>f4e450</t>
        </is>
      </c>
      <c r="B8454" t="inlineStr">
        <is>
          <t>Kind of lost</t>
        </is>
      </c>
      <c r="C8454" t="inlineStr">
        <is>
          <t>Hey all. I was just diagnosed on thursday with type 2 diabetes and hypothyroidism. My a1c was 6.9. Dr put me on metformin and a thyroid medicine. Like the title says im feeling lost. Idk where to start in regards to what i should be eating. Obviously avoiding sugar and soda. Any resources for meal plans or general things to avoid and things to eat more of would be appreciated. Any advice at all would be appreciated actually.</t>
        </is>
      </c>
      <c r="D8454" t="n">
        <v>1</v>
      </c>
      <c r="E8454" t="n">
        <v>18</v>
      </c>
      <c r="F8454">
        <f>HYPERLINK("https://www.reddit.com/r/diabetes/comments/f4e450/kind_of_lost/")</f>
        <v/>
      </c>
      <c r="G8454" t="inlineStr">
        <is>
          <t>2020-02-15 11:15:40</t>
        </is>
      </c>
      <c r="H8454" t="inlineStr">
        <is>
          <t>Type 2</t>
        </is>
      </c>
    </row>
    <row r="8455">
      <c r="A8455" t="inlineStr">
        <is>
          <t>f4imuv</t>
        </is>
      </c>
      <c r="B8455" t="inlineStr">
        <is>
          <t>Will I ever not feel thirsty</t>
        </is>
      </c>
      <c r="C8455" t="inlineStr">
        <is>
          <t>I can drink 5 to 6 liters a day and never once feel nice and hydrated like I did as a child.
My mouth is always dry
I can't for the life of me figure out what to do?</t>
        </is>
      </c>
      <c r="D8455" t="n">
        <v>1</v>
      </c>
      <c r="E8455" t="n">
        <v>17</v>
      </c>
      <c r="F8455">
        <f>HYPERLINK("https://www.reddit.com/r/diabetes/comments/f4imuv/will_i_ever_not_feel_thirsty/")</f>
        <v/>
      </c>
      <c r="G8455" t="inlineStr">
        <is>
          <t>2020-02-15 16:36:31</t>
        </is>
      </c>
      <c r="H8455" t="inlineStr">
        <is>
          <t>Type 2</t>
        </is>
      </c>
    </row>
    <row r="8456">
      <c r="A8456" t="inlineStr">
        <is>
          <t>f4jor7</t>
        </is>
      </c>
      <c r="B8456" t="inlineStr">
        <is>
          <t>Building Muscle</t>
        </is>
      </c>
      <c r="C8456" t="inlineStr">
        <is>
          <t>I’m trying to build muscle, currently a bit chunky but keep my sugar levels 100-170 usual. Rarely go above 200. I’m wanting to build muscle pretty badly as I lost ALL of mine during my weight loss period. I know diet and exercise is gonna be the key for me but I’m curious if anyone else in here has experience building muscle with Type 1.5 Diabetes insulin dependent</t>
        </is>
      </c>
      <c r="D8456" t="n">
        <v>1</v>
      </c>
      <c r="E8456" t="n">
        <v>1</v>
      </c>
      <c r="F8456">
        <f>HYPERLINK("https://www.reddit.com/r/diabetes/comments/f4jor7/building_muscle/")</f>
        <v/>
      </c>
      <c r="G8456" t="inlineStr">
        <is>
          <t>2020-02-15 17:58:04</t>
        </is>
      </c>
      <c r="H8456" t="inlineStr">
        <is>
          <t>Type 1</t>
        </is>
      </c>
    </row>
    <row r="8457">
      <c r="A8457" t="inlineStr">
        <is>
          <t>f4jt3u</t>
        </is>
      </c>
      <c r="B8457" t="inlineStr">
        <is>
          <t>What to eat to gain weight</t>
        </is>
      </c>
      <c r="C8457" t="inlineStr">
        <is>
          <t>Without having my bg getting higher than the cost on insulin.</t>
        </is>
      </c>
      <c r="D8457" t="n">
        <v>1</v>
      </c>
      <c r="E8457" t="n">
        <v>8</v>
      </c>
      <c r="F8457">
        <f>HYPERLINK("https://www.reddit.com/r/diabetes/comments/f4jt3u/what_to_eat_to_gain_weight/")</f>
        <v/>
      </c>
      <c r="G8457" t="inlineStr">
        <is>
          <t>2020-02-15 18:07:28</t>
        </is>
      </c>
      <c r="H8457" t="inlineStr">
        <is>
          <t>Type 1</t>
        </is>
      </c>
    </row>
    <row r="8458">
      <c r="A8458" t="inlineStr">
        <is>
          <t>f4k31p</t>
        </is>
      </c>
      <c r="B8458" t="inlineStr">
        <is>
          <t>Advice for lows and high variation from day to day</t>
        </is>
      </c>
      <c r="C8458" t="inlineStr">
        <is>
          <t>I have been type one since I was 3 (21 years) and when I was a kid, my diabetes was very manageable. Eat carbs, give insulin, treat lows with 15g carbs...it was textbook. 
I went through puberty and my blood sugars went HAYWIRE. Apparently things like hormones and stress affect my blood sugars more than carbs and insulin ever do. Feeling stressed/anxious? High blood sugar regardless of insulin. The variation is unreal and my blood sugars are so unpredictable. I eat the same things every day, same activity level, and experience wildly different readings.
I exercise at the same time most days and sometimes, 30 minutes of exercise TANKS my blood sugar. Sometimes, it makes it go up 100 points (I never eat before I exercise). 
Recently it has gotten really bad. I had a low last year that showed up on my meter as “too low to measure” and I freaked out, I chugged juice and nothing seemed to raise my sugar. I was at work and let my colleagues know they may need to call 911. I ended up being fine but almost passed out. 
Since then I have had an absolute phobia of being low. I have extremely bad health anxiety anyway and this has blown it out of proportion, to the point where I’m so afraid to give too much insulin that my A1C has gone up quite a bit. How can I overcome this fear? It seems that when I have a low blood sugar, it takes so much to bring it back up. I’ve drank a gallon of juice and an hour later it’s 100. Sometimes I give insulin and my blood sugar goes down insanely rapidly, sometimes I eat the same thing with the same starting blood sugar and give the same amount of insulin and it shoots up. 
This is ruining my life and causing me so much stress, which is further causing me to have high readings. My doctor has the mindset of “if you’re giving your calculated dose it should work no matter how many carbs you eat or what kind” and that’s just not true in my experience. I feel really fed up and this is causing my depression to get really bad. I just need some advice.</t>
        </is>
      </c>
      <c r="D8458" t="n">
        <v>1</v>
      </c>
      <c r="E8458" t="n">
        <v>0</v>
      </c>
      <c r="F8458">
        <f>HYPERLINK("https://www.reddit.com/r/diabetes/comments/f4k31p/advice_for_lows_and_high_variation_from_day_to_day/")</f>
        <v/>
      </c>
      <c r="G8458" t="inlineStr">
        <is>
          <t>2020-02-15 18:29:59</t>
        </is>
      </c>
      <c r="H8458" t="inlineStr">
        <is>
          <t>Type 1</t>
        </is>
      </c>
    </row>
    <row r="8459">
      <c r="A8459" t="inlineStr">
        <is>
          <t>f4vhnj</t>
        </is>
      </c>
      <c r="B8459" t="inlineStr">
        <is>
          <t>Sensitivity from CGM</t>
        </is>
      </c>
      <c r="C8459" t="inlineStr">
        <is>
          <t>Just treated myself to a massage and had my CGM in my upper right arm. The woman started to massage my other arm (had nothing inserted in it) and I had to ask her to stop, it hurt so bad I'm assuming from past CGMs...that kinda sucks. There is no pain when she massaged my lower back, which is where I usually wear my pump site. Anyone else notice the spots where they insert their CGMs are super sensitive?</t>
        </is>
      </c>
      <c r="D8459" t="n">
        <v>1</v>
      </c>
      <c r="E8459" t="n">
        <v>1</v>
      </c>
      <c r="F8459">
        <f>HYPERLINK("https://www.reddit.com/r/diabetes/comments/f4vhnj/sensitivity_from_cgm/")</f>
        <v/>
      </c>
      <c r="G8459" t="inlineStr">
        <is>
          <t>2020-02-16 11:17:26</t>
        </is>
      </c>
      <c r="H8459" t="inlineStr">
        <is>
          <t>Type 1</t>
        </is>
      </c>
    </row>
    <row r="8460">
      <c r="A8460" t="inlineStr">
        <is>
          <t>f4w3gj</t>
        </is>
      </c>
      <c r="B8460" t="inlineStr">
        <is>
          <t>pneumonia shot?</t>
        </is>
      </c>
      <c r="C8460" t="inlineStr">
        <is>
          <t>Has anyone ever had or heard of an pneumonia shot. Before I got diabetes I never did. 2 weeks ago i was picking up more needles and test strips from my pharmacy (Walmart pharmacy) and the lady asked me if I had my flu shot and pneumonia shot. I already had my flu shot and she recommended the pneumonia shot too and I can't remember exactly what she said but sometimes about because of the disease and sometimes about diabetes getting a dry cough? Sorry I can't remember more. Is getting the shot a good idea? I told her I'd ask my dr but I remember I don't see him for another 3 months.</t>
        </is>
      </c>
      <c r="D8460" t="n">
        <v>1</v>
      </c>
      <c r="E8460" t="n">
        <v>8</v>
      </c>
      <c r="F8460">
        <f>HYPERLINK("https://www.reddit.com/r/diabetes/comments/f4w3gj/pneumonia_shot/")</f>
        <v/>
      </c>
      <c r="G8460" t="inlineStr">
        <is>
          <t>2020-02-16 11:54:29</t>
        </is>
      </c>
      <c r="H8460" t="inlineStr">
        <is>
          <t>Type 1</t>
        </is>
      </c>
    </row>
    <row r="8461">
      <c r="A8461" t="inlineStr">
        <is>
          <t>f4x2mo</t>
        </is>
      </c>
      <c r="B8461" t="inlineStr">
        <is>
          <t>Infusion sites</t>
        </is>
      </c>
      <c r="C8461" t="inlineStr">
        <is>
          <t>I couldn't find an answer in here maybe I missed it, but my doctor wants me to rotate down to my thighs and give my stomach a break but I am not sure where to place it. I have fat tissue but I have very strong muscles in my legs because of my job. I carry most of my fat in my belly...  When relaxed there is plenty of room but when I stand it use this mussels, I don't feel a lose spot to but it. 
Am I over thinking this? Also idk if I should place it on the outer or inner part of my thigh.... Please help I need to change it out tonight.</t>
        </is>
      </c>
      <c r="D8461" t="n">
        <v>1</v>
      </c>
      <c r="E8461" t="n">
        <v>2</v>
      </c>
      <c r="F8461">
        <f>HYPERLINK("https://www.reddit.com/r/diabetes/comments/f4x2mo/infusion_sites/")</f>
        <v/>
      </c>
      <c r="G8461" t="inlineStr">
        <is>
          <t>2020-02-16 12:54:52</t>
        </is>
      </c>
      <c r="H8461" t="inlineStr">
        <is>
          <t>Type 1.5/LADA</t>
        </is>
      </c>
    </row>
    <row r="8462">
      <c r="A8462" t="inlineStr">
        <is>
          <t>f4xjkp</t>
        </is>
      </c>
      <c r="B8462" t="inlineStr">
        <is>
          <t>I'm better than my pancreas :)</t>
        </is>
      </c>
      <c r="C8462" t="inlineStr">
        <is>
          <t>&amp;amp;#x200B;
[15 gr. carbs. over the day compensated, no spike.](https://preview.redd.it/pqsyf8lhqch41.png?width=1920&amp;amp;format=png&amp;amp;auto=webp&amp;amp;s=f09259b43f191315fb58d501fc29189c42b4be21)
My best day so far.  
Had Sushi with mango-coconut sauce , smoked Salmon with mustard-orange sauce and cream cheese. But this a lot of work... looking forward to my pump. (DT1)</t>
        </is>
      </c>
      <c r="D8462" t="n">
        <v>1</v>
      </c>
      <c r="E8462" t="n">
        <v>0</v>
      </c>
      <c r="F8462">
        <f>HYPERLINK("https://www.reddit.com/r/diabetes/comments/f4xjkp/im_better_than_my_pancreas/")</f>
        <v/>
      </c>
      <c r="G8462" t="inlineStr">
        <is>
          <t>2020-02-16 13:25:24</t>
        </is>
      </c>
      <c r="H8462" t="inlineStr">
        <is>
          <t>Type 1.5/LADA</t>
        </is>
      </c>
    </row>
    <row r="8463">
      <c r="A8463" t="inlineStr">
        <is>
          <t>f4xvw9</t>
        </is>
      </c>
      <c r="B8463" t="inlineStr">
        <is>
          <t>BGL Spike after cereal</t>
        </is>
      </c>
      <c r="C8463" t="inlineStr">
        <is>
          <t>So one thing that happens with me is when I eat cereal, my blood sugar will just spike. Even if I correct while I'm making my breakfast it still takes effect before the insulin. Another thing with cereal is it says I need to correct way more than any other food. I need to correct about 15 units for one bowl</t>
        </is>
      </c>
      <c r="D8463" t="n">
        <v>1</v>
      </c>
      <c r="E8463" t="n">
        <v>7</v>
      </c>
      <c r="F8463">
        <f>HYPERLINK("https://www.reddit.com/r/diabetes/comments/f4xvw9/bgl_spike_after_cereal/")</f>
        <v/>
      </c>
      <c r="G8463" t="inlineStr">
        <is>
          <t>2020-02-16 13:48:09</t>
        </is>
      </c>
      <c r="H8463" t="inlineStr">
        <is>
          <t>Type 1</t>
        </is>
      </c>
    </row>
    <row r="8464">
      <c r="A8464" t="inlineStr">
        <is>
          <t>f528ol</t>
        </is>
      </c>
      <c r="B8464" t="inlineStr">
        <is>
          <t>Omnipod has announced that the DASH has a software bug in their PDM bolus calculator - replacement PDM with fix expected in March - PLEASE READ if you are an Omnipod DASH user</t>
        </is>
      </c>
      <c r="C8464" t="inlineStr">
        <is>
          <t xml:space="preserve">
February 13, 2020 
URGENT: Medical Device Correction
Please read the notice below and select an option for response at the bottom of the page.
Important Information Regarding the Omnipod DASH™ Insulin Management System Bolus Calculator
Affected Product:
Device Description
 	Software Version
Omnipod DASH™ Personal Diabetes Manager (PDM)
 	Version 1.0.50 and earlier
Dear Valued Customer,
You are receiving this letter as our records indicate that you are a current user of the Omnipod DASH™ System. As the manufacturer of the Omnipod DASH™ System, customer safety is Insulet Corporation’s top priority. In line with this, we are writing to you with important safety information regarding the Omnipod DASH™ System’s Bolus Calculator. It has come to our attention that in certain scenarios described below, there is a remote possibility that the Omnipod DASH™ PDM (Personal Diabetes Manager) may suggest an insulin bolus amount based on incorrect information. If the user is not aware of this issue and delivers the bolus, it may result in over- or under-delivery of insulin, which may lead to hypoglycemia or hyperglycemia.
This does NOT affect the Omnipod DASH™ Pods or the widely distributed Omnipod® Insulin Management System. This notice is being issued as a precautionary measure. It is important to note that no injuries have been reported.
A software update is being developed to provide a solution for this issue, which is expected to be available starting March 2020. We will provide new PDMs containing the software update to all Omnipod DASH™ users and will contact you when we are ready to ship your PDM. 
What is the expected experience with the Omnipod DASH™ PDM Bolus Calculator?
In the Omnipod DASH™ PDM, the Bolus Calculator feature can be used to calculate a meal and/or correction bolus. The Bolus Calculator factors in the grams of carbohydrates entered, the user’s current blood glucose (BG) value, and the user’s insulin on board (IOB) to suggest a bolus amount. If the BG value is older than 10 minutes when the user tries to initiate a bolus, the Omnipod DASH™ PDM should prevent this bolus from being delivered (see Figure 1 below).
Figure 1: The timestamp associated with the BG value was greater than 10 minutes old, therefore the Omnipod DASH™ PDM does not allow the user to select Confirm at the bottom right of the Bolus Calculator screen to deliver the bolus.
How could the Bolus Calculator not function as intended? 
On rare occasions, the bolus calculator may use an old BG value that was entered more than 10 minutes prior and suggest an inaccurate bolus amount to the users. There are two specific scenarios where this may occur:
Scenario 1:
A user enters a BG value into the Bolus Calculator and does not deliver a bolus (Figure 2). 
The user selects “Cancel” at the bottom of the Bolus Calculator screen.
After selecting “Cancel”, a prompt asks the user “Are you sure you want to cancel?” with the options “Yes” or “No” (Figure 3). 
If the user does not choose either option after 10 minutes, and the Omnipod DASH™ PDM screen is put to sleep or the screen times out, this old BG value will be used in the next bolus calculation.
The next time the user enters the Bolus Calculator, they are presented a screen (Figure 4) which can suggest an inaccurate bolus amount. The Total Bolus is calculated based on the old BG value, even though no BG is displayed on the screen.
If the user selects “Calculations”, the old BG reading is displayed for the correction bolus (Figure 5).
The suggested dose may be too much or too little for the user, and if delivered by the user, may result in either hypoglycemia or hyperglycemia 
Note:The Figures above are for illustration purposes only. Actual values will vary based on user input.
How do you prevent the user from giving an inaccurate bolus? 
Always follow instructions on the Omnipod DASH™ PDM screen. In Scenario 1, selecting “Yes” or “No” when prompted to confirm the cancelled bolus will prevent this situation. 
Always enter a current BG into the Bolus Calculator before giving a bolus. This will replace the old BG value and ensure an accurate dose is calculated based on the current BG.
Always check the “Calculations” before initiating the bolus. The Total Bolus should always be the sum of the Meal Bolus and Correction Bolus.
Scenario 2:
A user enters a BG value into the Bolus Calculator.
Before initiating the bolus, an alarm occurs on the Omnipod DASH™ PDM or Pod that forces the user to deactivate their current Pod. See example alarm in Figure 6.
When the user activates a new Pod, the previously entered BG value will be used in the next bolus calculation.
The next time the user enters the Bolus Calculator, they are presented a screen (Figure 7) which can suggest an inaccurate bolus amount. The Total Bolus is calculated based on the old BG value, even though no BG is displayed on the screen.
If the user selects “Calculations”, the old BG reading is displayed for the correction bolus (Figure 8).
The suggested dose may be too much or too little for the user, and if delivered by the user, may result in either hypoglycemia or hyperglycemia.
Note:The Figures above are for illustration purposes only. Actual values will vary based on user input.
How do you prevent the user from giving an inaccurate bolus? 
Always enter a current BG into the Bolus Calculator before giving a bolus. This will replace the old BG value and ensure an accurate dose is calculated based on the current BG.
Always check the “Calculations” before initiating the bolus. The Total Bolus should always be the sum of the Meal Bolus and Correction Bolus.
How did Insulet become aware of this Bolus Calculator issue? 
Insulet is currently aware of 11 complaints associated with this issue and there have been no reports of injury. If a user is unaware of this issue, the incorrect information may result in over- or under-delivery of insulin, which may lead to hypoglycemia or hyperglycemia. For this reason, this notice has been issued to help users identify and avoid the issue. 
What devices are affected by this? 
This notice affects the Omnipod DASH™ PDM (using software version 1.0.50 and earlier). Users can check their Omnipod DASH™ PDM’s software version on the “About” screen in the Omnipod DASH™ PDM menu. 
Is it safe for users to continue using the Omnipod DASH™ PDM? 
Yes, it is safe for users to continue using the Omnipod DASH™ PDM if the steps detailed above are followed to ensure incorrect information is not used to calculate the suggested bolus. This voluntary action is being taken by Insulet Corporation with the knowledge of the U.S. Food and Drug Administration (FDA). Adverse reactions or quality problems experienced with the use of this product may be reported to the FDA’s MedWatch Adverse Event Reporting program either at www.fda.gov/Safety/MedWatch or by regular mail or by fax. 
How do I request a replacement PDM?
A software update will be made to the next version of Omnipod DASHTM PDM which will provide a solution for this issue and is expected to be available starting in March 2020. We are voluntarily providing a replacement PDM to all Omnipod DASH™ users and we will contact you directly when we are ready to ship your PDM.  You can also visit our website, www.omnipod.com for updated information on the PDM replacement timing.  In the meantime, you may continue using your current Omnipod DASH™ PDM provided you follow the steps detailed above to ensure incorrect information is not used to calculate the suggested amount of insulin to deliver
If you have any questions regarding the information provided in this Medical Device Correction, please contact 1-800-581-6359.
Yours sincerely,
Michael Spears
Senior Vice President, Regulatory Affairs &amp;amp; Compliance
Insulet Corporation
myomnipod.com
Customer Care (24/7): 1-800-581-6359
Have feedback? Leave us a review on Google.
Five Stars
Contact Us
Privacy Policy
FAQs
© 2020 Insulet Corporation. Omnipod, the Omnipod logo, DASH, and the DASH logo, are trademarks or registered trademarks of Insulet Corporation. All rights reserved.  
​*Up to 72 hours of insulin delivery. PT-000307 Rev. 001 02/2020
Insulet Corporation
100 Nagog Park, Acton, MA 01720</t>
        </is>
      </c>
      <c r="D8464" t="n">
        <v>1</v>
      </c>
      <c r="E8464" t="n">
        <v>1</v>
      </c>
      <c r="F8464">
        <f>HYPERLINK("https://www.reddit.com/r/diabetes/comments/f528ol/omnipod_has_announced_that_the_dash_has_a/")</f>
        <v/>
      </c>
      <c r="G8464" t="inlineStr">
        <is>
          <t>2020-02-16 19:14:46</t>
        </is>
      </c>
      <c r="H8464" t="inlineStr">
        <is>
          <t>Type 1</t>
        </is>
      </c>
    </row>
    <row r="8465">
      <c r="A8465" t="inlineStr">
        <is>
          <t>f52w5s</t>
        </is>
      </c>
      <c r="B8465" t="inlineStr">
        <is>
          <t>I just drunk 13 beers</t>
        </is>
      </c>
      <c r="C8465" t="inlineStr">
        <is>
          <t>I'm a little worried im diabetic too, will i be ok?</t>
        </is>
      </c>
      <c r="D8465" t="n">
        <v>1</v>
      </c>
      <c r="E8465" t="n">
        <v>14</v>
      </c>
      <c r="F8465">
        <f>HYPERLINK("https://www.reddit.com/r/diabetes/comments/f52w5s/i_just_drunk_13_beers/")</f>
        <v/>
      </c>
      <c r="G8465" t="inlineStr">
        <is>
          <t>2020-02-16 20:07:42</t>
        </is>
      </c>
      <c r="H8465" t="inlineStr">
        <is>
          <t>Type 2</t>
        </is>
      </c>
    </row>
    <row r="8466">
      <c r="A8466" t="inlineStr">
        <is>
          <t>f57xt2</t>
        </is>
      </c>
      <c r="B8466" t="inlineStr">
        <is>
          <t>Any survivors from foot ulcers and muscular atrophy?</t>
        </is>
      </c>
      <c r="C8466" t="inlineStr">
        <is>
          <t>Hi Diabetic Friends,
I'm curious if anyone has overcome any major foot injuries similar to mine? If so, what happened and how was your recovery and status now?
I'm been a T1D for over 30 years and I'm 45 years old now. Didn't take care of myself for several years and developed neuropathy in my feet around 20 years ago. Later leading to Charcot Foot in both of my feet. 
I broke my right ankle about 15 years ago and have 2 screws in my ankle. Couldn't afford physical therapy in USA and over the years, both of my lower legs developed muscular atrophy. My calf muscles are non existent and my ligaments are tight. Flexibility in both feet is absolutely horrible and going up stairs is challenging to say the least. 
14 months ago I had a foot ulcer on my left foot and I ended up getting a bone infection. Had a few surgeries to remove the necrotic flesh and the surgeon removed about 20% of my foot. Thankfully the tissues regrew and I was lucky to have my foot saved. PM me if you want to see pictures, it's a miracle I didn't lose my foot. 
Now I'm doing physical therapy and I'd like to get my flexibility back in both feet. Not sure if it's possible because my ankles have been fixated for several years and I'm curious if anyone else has been through this and how was your recovery and outcome? And my legs look like bird legs. 
I'm living in Europe now and can do as much physical therapy as needed but I'm wondering if it's even possible to overcome this kind of battle.</t>
        </is>
      </c>
      <c r="D8466" t="n">
        <v>1</v>
      </c>
      <c r="E8466" t="n">
        <v>3</v>
      </c>
      <c r="F8466">
        <f>HYPERLINK("https://www.reddit.com/r/diabetes/comments/f57xt2/any_survivors_from_foot_ulcers_and_muscular/")</f>
        <v/>
      </c>
      <c r="G8466" t="inlineStr">
        <is>
          <t>2020-02-17 04:17:37</t>
        </is>
      </c>
      <c r="H8466" t="inlineStr">
        <is>
          <t>Type 1</t>
        </is>
      </c>
    </row>
    <row r="8467">
      <c r="A8467" t="inlineStr">
        <is>
          <t>f5dik0</t>
        </is>
      </c>
      <c r="B8467" t="inlineStr">
        <is>
          <t>From 15.8 to 7.2 in 4 days</t>
        </is>
      </c>
      <c r="C8467" t="inlineStr">
        <is>
          <t>Hi everyone,
I have recently been diagnosed with type 2 diabetes. This is my first time posting to Reddit ever! I'm not looking for medical advice just your experience if something like this had happened you. 
A little back story... When I was 23 I was diagnosed with a GIST in my bowel, resulting in a small amount of my pancreas being removed as well. I was always aware that diabetes could be in my future but it is still a sick when it happens. 
Last week I went in for a standard surgery and while in there they tested my urine. They found glucose in it and proceeded to test my blood glucose. Resulting in a fasting blood sugar level of 10.3. 
They completed a 100 day average test of my bloods and fast tracked the results. They completed the surgery and fed and monitored me for a few hours. In discharge my blood glucose had risen to 15.6. 
The next day the doctor rang me and confirmed the test results, I had type 2 diabetes! 
Due to a situation with work I have to find a new gp in order to review all my results but rather than waiting I decided to do some research on what to eat and got myself a monitor so that i'd have something to show the doctor. 
For the first few days my blood sugar wouldn't come down below 10. I am starting to understand a little bit about how it all works. 
Today for the first time when I woke up my fasting sugar was under 10. I had breakfast and checked again within 2 hours and it had gone back up to 12.6. This was there smallest Spike I have had since I started monitoring. 
I checked again before I had dinner and it was back down to 8.6, I had an omelette  (2eggs with bacon) and a handful of nuts.
When I checked 1½ hours after it is after dropping again to 7.2. I know the normal range is upto 7.8 within 2 hours after eating. 
Has anyone else experienced such a dramatic change in blood sugar in the space of 5 days or is this normal? 
Sorry about the long post and thank you for reading.</t>
        </is>
      </c>
      <c r="D8467" t="n">
        <v>1</v>
      </c>
      <c r="E8467" t="n">
        <v>2</v>
      </c>
      <c r="F8467">
        <f>HYPERLINK("https://www.reddit.com/r/diabetes/comments/f5dik0/from_158_to_72_in_4_days/")</f>
        <v/>
      </c>
      <c r="G8467" t="inlineStr">
        <is>
          <t>2020-02-17 10:52:10</t>
        </is>
      </c>
      <c r="H8467" t="inlineStr">
        <is>
          <t>Type 2</t>
        </is>
      </c>
    </row>
    <row r="8468">
      <c r="A8468" t="inlineStr">
        <is>
          <t>f5fpdf</t>
        </is>
      </c>
      <c r="B8468" t="inlineStr">
        <is>
          <t>One more time</t>
        </is>
      </c>
      <c r="C8468" t="inlineStr">
        <is>
          <t>I wish I could just eat what I want one more time without having to stress about my blood sugar. I have not been to a McDonald's on years and I wish I could taste a milkshake one more time.
I wish I could diet like ordinary people and not have everything ruined by a low sugar..
I wish I could go out and party one more time, drink cocktails and have fun. Instead I need to take my pens everywhere I go and if I even take a sip of a cocktail, my blood sugar is ruined for the evening.
I wish I could live one more day without diabetes, one more time to be free.</t>
        </is>
      </c>
      <c r="D8468" t="n">
        <v>1</v>
      </c>
      <c r="E8468" t="n">
        <v>9</v>
      </c>
      <c r="F8468">
        <f>HYPERLINK("https://www.reddit.com/r/diabetes/comments/f5fpdf/one_more_time/")</f>
        <v/>
      </c>
      <c r="G8468" t="inlineStr">
        <is>
          <t>2020-02-17 13:07:59</t>
        </is>
      </c>
      <c r="H8468" t="inlineStr">
        <is>
          <t>Type 1</t>
        </is>
      </c>
    </row>
    <row r="8469">
      <c r="A8469" t="inlineStr">
        <is>
          <t>f5g4c4</t>
        </is>
      </c>
      <c r="B8469" t="inlineStr">
        <is>
          <t>Trip to Canada!</t>
        </is>
      </c>
      <c r="C8469" t="inlineStr">
        <is>
          <t>Hi all. I am heading to Canada in mid march for 10 days. I have type 1 and a freestyle libre. My control is okish, I'm 28 years old so hope to do a little skiing, eating and drinking. Can anyone give any useful advice for medication alterations/needles on planes/general advice on diabetes care in cold weather. From northern Ireland also!
Thanks in advance</t>
        </is>
      </c>
      <c r="D8469" t="n">
        <v>1</v>
      </c>
      <c r="E8469" t="n">
        <v>3</v>
      </c>
      <c r="F8469">
        <f>HYPERLINK("https://www.reddit.com/r/diabetes/comments/f5g4c4/trip_to_canada/")</f>
        <v/>
      </c>
      <c r="G8469" t="inlineStr">
        <is>
          <t>2020-02-17 13:33:52</t>
        </is>
      </c>
      <c r="H8469" t="inlineStr">
        <is>
          <t>Type 1</t>
        </is>
      </c>
    </row>
    <row r="8470">
      <c r="A8470" t="inlineStr">
        <is>
          <t>f5gpna</t>
        </is>
      </c>
      <c r="B8470" t="inlineStr">
        <is>
          <t>Fitbit x Dexcom?</t>
        </is>
      </c>
      <c r="C8470" t="inlineStr">
        <is>
          <t>Does anyone know which (if any) Fitbits connect to Dexcom? Thanks!</t>
        </is>
      </c>
      <c r="D8470" t="n">
        <v>1</v>
      </c>
      <c r="E8470" t="n">
        <v>1</v>
      </c>
      <c r="F8470">
        <f>HYPERLINK("https://www.reddit.com/r/diabetes/comments/f5gpna/fitbit_x_dexcom/")</f>
        <v/>
      </c>
      <c r="G8470" t="inlineStr">
        <is>
          <t>2020-02-17 14:10:49</t>
        </is>
      </c>
      <c r="H8470" t="inlineStr">
        <is>
          <t>Type 1</t>
        </is>
      </c>
    </row>
    <row r="8471">
      <c r="A8471" t="inlineStr">
        <is>
          <t>f5hs0i</t>
        </is>
      </c>
      <c r="B8471" t="inlineStr">
        <is>
          <t>Started my Dexcom G6 today!</t>
        </is>
      </c>
      <c r="C8471" t="inlineStr">
        <is>
          <t>I have a Medtronic pump but the sensor that it works with did not work for me.  I didnt have 30+ minutes to call to troubleshoot every time my sensor quit working.  
My Dexcom G6 came today and the insertion was so much easier!  I am in the 2 hour warm up now.</t>
        </is>
      </c>
      <c r="D8471" t="n">
        <v>1</v>
      </c>
      <c r="E8471" t="n">
        <v>8</v>
      </c>
      <c r="F8471">
        <f>HYPERLINK("https://www.reddit.com/r/diabetes/comments/f5hs0i/started_my_dexcom_g6_today/")</f>
        <v/>
      </c>
      <c r="G8471" t="inlineStr">
        <is>
          <t>2020-02-17 15:20:56</t>
        </is>
      </c>
      <c r="H8471" t="inlineStr">
        <is>
          <t>Type 1</t>
        </is>
      </c>
    </row>
    <row r="8472">
      <c r="A8472" t="inlineStr">
        <is>
          <t>f5iwkp</t>
        </is>
      </c>
      <c r="B8472" t="inlineStr">
        <is>
          <t>Diabetes and relationships</t>
        </is>
      </c>
      <c r="C8472" t="inlineStr">
        <is>
          <t>Does anyone have sny stories about being diabetic and being in a relationship? For me (25M) i just got a full time job with benefits and so now im doing great and able to afford all i need but the damage is done. Alot of health complications now. Just curious as to how others are doing. Are you happy? Doing great? Healthy? Does your partner help, support? Is it difficult?</t>
        </is>
      </c>
      <c r="D8472" t="n">
        <v>1</v>
      </c>
      <c r="E8472" t="n">
        <v>17</v>
      </c>
      <c r="F8472">
        <f>HYPERLINK("https://www.reddit.com/r/diabetes/comments/f5iwkp/diabetes_and_relationships/")</f>
        <v/>
      </c>
      <c r="G8472" t="inlineStr">
        <is>
          <t>2020-02-17 16:38:54</t>
        </is>
      </c>
      <c r="H8472" t="inlineStr">
        <is>
          <t>Type 1</t>
        </is>
      </c>
    </row>
    <row r="8473">
      <c r="A8473" t="inlineStr">
        <is>
          <t>f5miz3</t>
        </is>
      </c>
      <c r="B8473" t="inlineStr">
        <is>
          <t>New Diabetic</t>
        </is>
      </c>
      <c r="C8473" t="inlineStr">
        <is>
          <t>I was diagnosed with type one diabetes about a week ago and it is really rough. I, in my early teens, am having a hard time figuring out how much I am going to eat, what I’m going to eat (because I can’t make up my mind since I have always been able to just put it back in the pantry if I wanted to, but now since I have to count carbs I can’t), and having cravings is making it hard too. And the fact that I can only take insulin every 2 hours is making it the hardest. My parents are also trying to shape up my diet making this process even harder. I have never had the best diet, but I’ve always been crazy skinny, and had lost 10 lbs in about 6 months, but grew 4 and a half inches. I have been using the excuse that I’m trying to gain my weight back, but it’s not going to last forever. My parents also are trying to get me to talk to experienced diabetics and I really don’t want to right now. I just want to know how to be happy with myself and what I eat while having diabetes. This has been so hard for me, and my mom keeps saying that it isn’t that bad, that I am taking too hard, and being over reactive. But she also has the same habits as me and surely would struggle as I am if she shared the illness. Not to mention that I love ice cream and my parents are trying to limit me more than ever to once again, get me on a normal diet. I just need some advice on how to maintain stress, school, and diabetes. It doesn’t help at all that I stress eat like crazy. I simply need advice. I want to give up, but I know I can’t.</t>
        </is>
      </c>
      <c r="D8473" t="n">
        <v>1</v>
      </c>
      <c r="E8473" t="n">
        <v>34</v>
      </c>
      <c r="F8473">
        <f>HYPERLINK("https://www.reddit.com/r/diabetes/comments/f5miz3/new_diabetic/")</f>
        <v/>
      </c>
      <c r="G8473" t="inlineStr">
        <is>
          <t>2020-02-17 21:07:45</t>
        </is>
      </c>
      <c r="H8473" t="inlineStr">
        <is>
          <t>Type 1</t>
        </is>
      </c>
    </row>
    <row r="8474">
      <c r="A8474" t="inlineStr">
        <is>
          <t>f5nya1</t>
        </is>
      </c>
      <c r="B8474" t="inlineStr">
        <is>
          <t>For those in college like me</t>
        </is>
      </c>
      <c r="C8474" t="inlineStr">
        <is>
          <t>How do you balance controlling your blood sugars with keeping great grades? I feel like my grades are not great because I'm more focused on my BS than my schoolwork. What works for y'all?</t>
        </is>
      </c>
      <c r="D8474" t="n">
        <v>1</v>
      </c>
      <c r="E8474" t="n">
        <v>2</v>
      </c>
      <c r="F8474">
        <f>HYPERLINK("https://www.reddit.com/r/diabetes/comments/f5nya1/for_those_in_college_like_me/")</f>
        <v/>
      </c>
      <c r="G8474" t="inlineStr">
        <is>
          <t>2020-02-17 23:14:27</t>
        </is>
      </c>
      <c r="H8474" t="inlineStr">
        <is>
          <t>Type 1</t>
        </is>
      </c>
    </row>
    <row r="8475">
      <c r="A8475" t="inlineStr">
        <is>
          <t>f5qjcj</t>
        </is>
      </c>
      <c r="B8475" t="inlineStr">
        <is>
          <t>Dexcom G6 question</t>
        </is>
      </c>
      <c r="C8475" t="inlineStr">
        <is>
          <t>I am getting ready to switch from Medtronic's Guardian CGM to the Dexcom G6. My supplies arrived but I wanted to ask for advice before I hook myself up. First, is any training required or is the Dexcom G6 simple enough to do on my own. Second, I have had problems keeping my pump and "former" CGM attached when I ma outdoors. I live in a hot sweltering part of the US and even in using Skin Tac, and a Simpatch, keeping things attached is a struggle.</t>
        </is>
      </c>
      <c r="D8475" t="n">
        <v>1</v>
      </c>
      <c r="E8475" t="n">
        <v>7</v>
      </c>
      <c r="F8475">
        <f>HYPERLINK("https://www.reddit.com/r/diabetes/comments/f5qjcj/dexcom_g6_question/")</f>
        <v/>
      </c>
      <c r="G8475" t="inlineStr">
        <is>
          <t>2020-02-18 03:42:32</t>
        </is>
      </c>
      <c r="H8475" t="inlineStr">
        <is>
          <t>Type 1</t>
        </is>
      </c>
    </row>
    <row r="8476">
      <c r="A8476" t="inlineStr">
        <is>
          <t>f5ty2k</t>
        </is>
      </c>
      <c r="B8476" t="inlineStr">
        <is>
          <t>Medtronic 670g, CareLink Uploader, error 05-00</t>
        </is>
      </c>
      <c r="C8476" t="inlineStr">
        <is>
          <t>Hi everyone, 
Does anyone have experience trying to upload their pump (Medtronic 670g) data by using the Contour Next Link meter and the CareLink Uploader? In the past, I have gotten this process to work. However, now I am getting the following message:
&amp;gt; Remove and re-insert the Acensia CONTOUR NEXT LINK or CareLink USB device and check that the pump is ready to upload, then try again. Operation failed at 5% (reason code 05-00). 
&amp;amp;#x200B;
I have done the following: 
* Ensured it is not suspended or has a temp basal.
* Devices do not have low battery. 
* Tried upload on two different computers. Restarted them. Reinstalled the uploader.
* Looked through the help manuals for each device and software.
&amp;amp;#x200B;
Anyone have any thoughts besides calling the Medtronic number? The call has dropped twice after an hour on hold two different days.</t>
        </is>
      </c>
      <c r="D8476" t="n">
        <v>1</v>
      </c>
      <c r="E8476" t="n">
        <v>4</v>
      </c>
      <c r="F8476">
        <f>HYPERLINK("https://www.reddit.com/r/diabetes/comments/f5ty2k/medtronic_670g_carelink_uploader_error_0500/")</f>
        <v/>
      </c>
      <c r="G8476" t="inlineStr">
        <is>
          <t>2020-02-18 08:03:01</t>
        </is>
      </c>
      <c r="H8476" t="inlineStr">
        <is>
          <t>Type 1</t>
        </is>
      </c>
    </row>
    <row r="8477">
      <c r="A8477" t="inlineStr">
        <is>
          <t>f5u57w</t>
        </is>
      </c>
      <c r="B8477" t="inlineStr">
        <is>
          <t>Need ideas</t>
        </is>
      </c>
      <c r="C8477" t="inlineStr">
        <is>
          <t xml:space="preserve"> what are some good breakfast ideas? I'm getting sick of eggs bacon or sausage. Help!!</t>
        </is>
      </c>
      <c r="D8477" t="n">
        <v>1</v>
      </c>
      <c r="E8477" t="n">
        <v>17</v>
      </c>
      <c r="F8477">
        <f>HYPERLINK("https://www.reddit.com/r/diabetes/comments/f5u57w/need_ideas/")</f>
        <v/>
      </c>
      <c r="G8477" t="inlineStr">
        <is>
          <t>2020-02-18 08:15:38</t>
        </is>
      </c>
      <c r="H8477" t="inlineStr">
        <is>
          <t>Type 2</t>
        </is>
      </c>
    </row>
    <row r="8478">
      <c r="A8478" t="inlineStr">
        <is>
          <t>f5wfvl</t>
        </is>
      </c>
      <c r="B8478" t="inlineStr">
        <is>
          <t>I’ll be getting a Libre device soon!</t>
        </is>
      </c>
      <c r="C8478" t="inlineStr">
        <is>
          <t>Been diabetic for two years, so still new, but I had an assessment done today for the device, I haven’t got it yet, but hopefully within the coming month I’ll have it and will no longer need to prick my finger as often!</t>
        </is>
      </c>
      <c r="D8478" t="n">
        <v>1</v>
      </c>
      <c r="E8478" t="n">
        <v>2</v>
      </c>
      <c r="F8478">
        <f>HYPERLINK("https://www.reddit.com/r/diabetes/comments/f5wfvl/ill_be_getting_a_libre_device_soon/")</f>
        <v/>
      </c>
      <c r="G8478" t="inlineStr">
        <is>
          <t>2020-02-18 10:39:32</t>
        </is>
      </c>
      <c r="H8478" t="inlineStr">
        <is>
          <t>Type 1</t>
        </is>
      </c>
    </row>
    <row r="8479">
      <c r="A8479" t="inlineStr">
        <is>
          <t>f5z9pe</t>
        </is>
      </c>
      <c r="B8479" t="inlineStr">
        <is>
          <t>7.9 A1C!</t>
        </is>
      </c>
      <c r="C8479" t="inlineStr">
        <is>
          <t>I'm a type one teenager and historically my A1C has been like 9 and a few months ago I committed to \*try\* and a I just had my endo appointment and its 7.9!!! I know i have ways to go but still...</t>
        </is>
      </c>
      <c r="D8479" t="n">
        <v>1</v>
      </c>
      <c r="E8479" t="n">
        <v>10</v>
      </c>
      <c r="F8479">
        <f>HYPERLINK("https://www.reddit.com/r/diabetes/comments/f5z9pe/79_a1c/")</f>
        <v/>
      </c>
      <c r="G8479" t="inlineStr">
        <is>
          <t>2020-02-18 13:37:10</t>
        </is>
      </c>
      <c r="H8479" t="inlineStr">
        <is>
          <t>Type 1</t>
        </is>
      </c>
    </row>
    <row r="8480">
      <c r="A8480" t="inlineStr">
        <is>
          <t>f608g0</t>
        </is>
      </c>
      <c r="B8480" t="inlineStr">
        <is>
          <t>Pump vs Injection</t>
        </is>
      </c>
      <c r="C8480" t="inlineStr">
        <is>
          <t>Just wondering what people's preference is who have tried both?</t>
        </is>
      </c>
      <c r="D8480" t="n">
        <v>1</v>
      </c>
      <c r="E8480" t="n">
        <v>7</v>
      </c>
      <c r="F8480">
        <f>HYPERLINK("https://www.reddit.com/r/diabetes/comments/f608g0/pump_vs_injection/")</f>
        <v/>
      </c>
      <c r="G8480" t="inlineStr">
        <is>
          <t>2020-02-18 14:37:07</t>
        </is>
      </c>
      <c r="H8480" t="inlineStr">
        <is>
          <t>Type 1</t>
        </is>
      </c>
    </row>
    <row r="8481">
      <c r="A8481" t="inlineStr">
        <is>
          <t>f60plb</t>
        </is>
      </c>
      <c r="B8481" t="inlineStr">
        <is>
          <t>What's recovery like for long term neglect?</t>
        </is>
      </c>
      <c r="C8481" t="inlineStr">
        <is>
          <t>It's something I so rarely see anything talked about, maybe because we're all dead. I'm 28 and have had T1 since I was about 7. For the past decade I've let myself go to the point where I was not testing at all, just taking insulin. I have a 10 + A1C and suffer some effects including nerve damage. I suppose I can consider myself lucky since I can feel things in my feet and numbness isn't full onset yet so I suppose there's time.
&amp;amp;#x200B;
I know I'm in some shit but, I'd like to know what anyone who has experience like me has to say. I've had this overwhelming sense of death and suffering since last week. I don't know why it tripped in me to start thinking this way but it did and I can't stop now. Only work's been making me feel better.</t>
        </is>
      </c>
      <c r="D8481" t="n">
        <v>1</v>
      </c>
      <c r="E8481" t="n">
        <v>7</v>
      </c>
      <c r="F8481">
        <f>HYPERLINK("https://www.reddit.com/r/diabetes/comments/f60plb/whats_recovery_like_for_long_term_neglect/")</f>
        <v/>
      </c>
      <c r="G8481" t="inlineStr">
        <is>
          <t>2020-02-18 15:06:44</t>
        </is>
      </c>
      <c r="H8481" t="inlineStr">
        <is>
          <t>Type 1</t>
        </is>
      </c>
    </row>
    <row r="8482">
      <c r="A8482" t="inlineStr">
        <is>
          <t>f66lms</t>
        </is>
      </c>
      <c r="B8482" t="inlineStr">
        <is>
          <t>N00B question... finger stick location?</t>
        </is>
      </c>
      <c r="C8482" t="inlineStr">
        <is>
          <t>Do I have to stick my fingertip? I've worked with my hands my whole life, so my fingertips are relatively tough. Can I stick other places, like a thigh (my thigh, to be more precise)? I have a pretty solid tolerance for pain (I used to mountain bike pretty seriously, so I'm used to pain and the sight of my own blood)</t>
        </is>
      </c>
      <c r="D8482" t="n">
        <v>1</v>
      </c>
      <c r="E8482" t="n">
        <v>7</v>
      </c>
      <c r="F8482">
        <f>HYPERLINK("https://www.reddit.com/r/diabetes/comments/f66lms/n00b_question_finger_stick_location/")</f>
        <v/>
      </c>
      <c r="G8482" t="inlineStr">
        <is>
          <t>2020-02-18 22:20:42</t>
        </is>
      </c>
      <c r="H8482" t="inlineStr">
        <is>
          <t>Type 2</t>
        </is>
      </c>
    </row>
    <row r="8483">
      <c r="A8483" t="inlineStr">
        <is>
          <t>f68saw</t>
        </is>
      </c>
      <c r="B8483" t="inlineStr">
        <is>
          <t>Having high sugar for long periods will cause damage. So how long is long?</t>
        </is>
      </c>
      <c r="C8483" t="inlineStr">
        <is>
          <t>As the title says, I wonder if there is damage to my body if my sugar is high for e.g 4 hours a day? My sugar is not so well controlled, but I do manage it - what I mean is, I would have spikes that I would put under control after few hours, so I wonder how long is long?</t>
        </is>
      </c>
      <c r="D8483" t="n">
        <v>1</v>
      </c>
      <c r="E8483" t="n">
        <v>8</v>
      </c>
      <c r="F8483">
        <f>HYPERLINK("https://www.reddit.com/r/diabetes/comments/f68saw/having_high_sugar_for_long_periods_will_cause/")</f>
        <v/>
      </c>
      <c r="G8483" t="inlineStr">
        <is>
          <t>2020-02-19 02:04:20</t>
        </is>
      </c>
      <c r="H8483" t="inlineStr">
        <is>
          <t>Type 1</t>
        </is>
      </c>
    </row>
    <row r="8484">
      <c r="A8484" t="inlineStr">
        <is>
          <t>f6atim</t>
        </is>
      </c>
      <c r="B8484" t="inlineStr">
        <is>
          <t>Spain -- T1D insulin pump</t>
        </is>
      </c>
      <c r="C8484" t="inlineStr">
        <is>
          <t>¡Hola! Reddit!
I'm studying and working in Barcelona. Does anyone know whether it is possible to get access to insulin pump supplies - infusion sets, cartridges, cannulas, etc? Does the government provide that for people with T1D? 
My working contract has just started. Which services and supplies I can expect to receive to manage BG?  
¡Muchas gracias!</t>
        </is>
      </c>
      <c r="D8484" t="n">
        <v>1</v>
      </c>
      <c r="E8484" t="n">
        <v>2</v>
      </c>
      <c r="F8484">
        <f>HYPERLINK("https://www.reddit.com/r/diabetes/comments/f6atim/spain_t1d_insulin_pump/")</f>
        <v/>
      </c>
      <c r="G8484" t="inlineStr">
        <is>
          <t>2020-02-19 05:47:56</t>
        </is>
      </c>
      <c r="H8484" t="inlineStr">
        <is>
          <t>Type 1</t>
        </is>
      </c>
    </row>
    <row r="8485">
      <c r="A8485" t="inlineStr">
        <is>
          <t>f6dnpi</t>
        </is>
      </c>
      <c r="B8485" t="inlineStr">
        <is>
          <t>How many type 2s on this subreddit can control BG without any medication</t>
        </is>
      </c>
      <c r="C8485" t="inlineStr">
        <is>
          <t>I meant by diet and exercising alone.</t>
        </is>
      </c>
      <c r="D8485" t="n">
        <v>1</v>
      </c>
      <c r="E8485" t="n">
        <v>13</v>
      </c>
      <c r="F8485">
        <f>HYPERLINK("https://www.reddit.com/r/diabetes/comments/f6dnpi/how_many_type_2s_on_this_subreddit_can_control_bg/")</f>
        <v/>
      </c>
      <c r="G8485" t="inlineStr">
        <is>
          <t>2020-02-19 09:03:32</t>
        </is>
      </c>
      <c r="H8485" t="inlineStr">
        <is>
          <t>Type 2</t>
        </is>
      </c>
    </row>
    <row r="8486">
      <c r="A8486" t="inlineStr">
        <is>
          <t>f6fck7</t>
        </is>
      </c>
      <c r="B8486" t="inlineStr">
        <is>
          <t>anyone had issues with higher then normal blood sugars while using insulin lispro? (the generic humalog)</t>
        </is>
      </c>
      <c r="C8486" t="inlineStr">
        <is>
          <t>Got put on generic humalog a month or so ago becuase insurance wanted to pay for that instead of regular humalog. seems my blood sugars tend to go higher then normal humalog while using the same carb ratio of 10cabs to 1 unit of insulin, as an example i ate one of those slim-fast keto bars valued at 15carbs and took 1.5units to cover it but went from 88 to 153</t>
        </is>
      </c>
      <c r="D8486" t="n">
        <v>1</v>
      </c>
      <c r="E8486" t="n">
        <v>3</v>
      </c>
      <c r="F8486">
        <f>HYPERLINK("https://www.reddit.com/r/diabetes/comments/f6fck7/anyone_had_issues_with_higher_then_normal_blood/")</f>
        <v/>
      </c>
      <c r="G8486" t="inlineStr">
        <is>
          <t>2020-02-19 10:52:58</t>
        </is>
      </c>
      <c r="H8486" t="inlineStr">
        <is>
          <t>Type 1</t>
        </is>
      </c>
    </row>
    <row r="8487">
      <c r="A8487" t="inlineStr">
        <is>
          <t>f6ffic</t>
        </is>
      </c>
      <c r="B8487" t="inlineStr">
        <is>
          <t>Freestyle 50% of value from strips</t>
        </is>
      </c>
      <c r="C8487" t="inlineStr">
        <is>
          <t>Not sure this is acceptable: [https://i.imgur.com/8D91ru8.jpg](https://i.imgur.com/8D91ru8.jpg)
FSL         Contour
57           114
88           140
65            117
I know about the 15 min you're supposed to wait but this was a relatively flat morning with no meals and no meds and no large swings to track.  
Do better, Freestyle!</t>
        </is>
      </c>
      <c r="D8487" t="n">
        <v>1</v>
      </c>
      <c r="E8487" t="n">
        <v>1</v>
      </c>
      <c r="F8487">
        <f>HYPERLINK("https://www.reddit.com/r/diabetes/comments/f6ffic/freestyle_50_of_value_from_strips/")</f>
        <v/>
      </c>
      <c r="G8487" t="inlineStr">
        <is>
          <t>2020-02-19 10:58:16</t>
        </is>
      </c>
      <c r="H8487" t="inlineStr">
        <is>
          <t>Type 2</t>
        </is>
      </c>
    </row>
    <row r="8488">
      <c r="A8488" t="inlineStr">
        <is>
          <t>f6h0xu</t>
        </is>
      </c>
      <c r="B8488" t="inlineStr">
        <is>
          <t>Pain with CGM and Omnipod?</t>
        </is>
      </c>
      <c r="C8488" t="inlineStr">
        <is>
          <t>Iv been on the omnipod for years now. However Iv only been recently on the new Dexcom G6. 
I always feel like doing basic things like Exercise and even sleeping causes pain on those infusion sites. Even things like showering or wearing a seat-belt causes irritation.
Does anybody else experience this? and so what do you do to better help yourself?
I cant stop doing these things. 
Even currently i have a pod on my leg that hurts if I use my laptop on my lap.</t>
        </is>
      </c>
      <c r="D8488" t="n">
        <v>1</v>
      </c>
      <c r="E8488" t="n">
        <v>7</v>
      </c>
      <c r="F8488">
        <f>HYPERLINK("https://www.reddit.com/r/diabetes/comments/f6h0xu/pain_with_cgm_and_omnipod/")</f>
        <v/>
      </c>
      <c r="G8488" t="inlineStr">
        <is>
          <t>2020-02-19 12:42:24</t>
        </is>
      </c>
      <c r="H8488" t="inlineStr">
        <is>
          <t>Type 1</t>
        </is>
      </c>
    </row>
    <row r="8489">
      <c r="A8489" t="inlineStr">
        <is>
          <t>f6h20a</t>
        </is>
      </c>
      <c r="B8489" t="inlineStr">
        <is>
          <t>Any endo recommendations in Oklahoma City area?</t>
        </is>
      </c>
      <c r="C8489" t="inlineStr">
        <is>
          <t>Moving to Norman in May.</t>
        </is>
      </c>
      <c r="D8489" t="n">
        <v>1</v>
      </c>
      <c r="E8489" t="n">
        <v>0</v>
      </c>
      <c r="F8489">
        <f>HYPERLINK("https://www.reddit.com/r/diabetes/comments/f6h20a/any_endo_recommendations_in_oklahoma_city_area/")</f>
        <v/>
      </c>
      <c r="G8489" t="inlineStr">
        <is>
          <t>2020-02-19 12:44:20</t>
        </is>
      </c>
      <c r="H8489" t="inlineStr">
        <is>
          <t>Type 1</t>
        </is>
      </c>
    </row>
    <row r="8490">
      <c r="A8490" t="inlineStr">
        <is>
          <t>f6hhor</t>
        </is>
      </c>
      <c r="B8490" t="inlineStr">
        <is>
          <t>Question on foods that spike BG</t>
        </is>
      </c>
      <c r="C8490" t="inlineStr">
        <is>
          <t>I've had T1D for 2 years now and am starting to think about converting to a whole foods, plant-based diet (vegan). Two nights ago I had some brown rice without spiking. Last night I had brown rice + 100g of sweet potato. I bolused correctly, however I spiked to about 220 mg/dL from \~130 mg/dL (probably due to the sweet potato).
Based on your own personal experience, have you eaten foods that once spiked your bg but now don't anymore because your body either gets used to it or you make a diet change by cutting out fat, etc.?
I'm just wondering if I should completely cut out the foods that spike my bg from my diet…
Thanks!</t>
        </is>
      </c>
      <c r="D8490" t="n">
        <v>1</v>
      </c>
      <c r="E8490" t="n">
        <v>8</v>
      </c>
      <c r="F8490">
        <f>HYPERLINK("https://www.reddit.com/r/diabetes/comments/f6hhor/question_on_foods_that_spike_bg/")</f>
        <v/>
      </c>
      <c r="G8490" t="inlineStr">
        <is>
          <t>2020-02-19 13:13:13</t>
        </is>
      </c>
      <c r="H8490" t="inlineStr">
        <is>
          <t>Type 1</t>
        </is>
      </c>
    </row>
    <row r="8491">
      <c r="A8491" t="inlineStr">
        <is>
          <t>f6onk4</t>
        </is>
      </c>
      <c r="B8491" t="inlineStr">
        <is>
          <t>Can you get sick without your sugars skyrocketing?</t>
        </is>
      </c>
      <c r="C8491" t="inlineStr">
        <is>
          <t>I'm type 1. I feel like I'm coming down sick. Elevated heart rate and overall just feel like trash. Shouldn't my bg have warned me this was coming? I havent had to adjust insulin levels at all</t>
        </is>
      </c>
      <c r="D8491" t="n">
        <v>1</v>
      </c>
      <c r="E8491" t="n">
        <v>9</v>
      </c>
      <c r="F8491">
        <f>HYPERLINK("https://www.reddit.com/r/diabetes/comments/f6onk4/can_you_get_sick_without_your_sugars_skyrocketing/")</f>
        <v/>
      </c>
      <c r="G8491" t="inlineStr">
        <is>
          <t>2020-02-19 22:00:03</t>
        </is>
      </c>
      <c r="H8491" t="inlineStr">
        <is>
          <t>Type 1</t>
        </is>
      </c>
    </row>
    <row r="8492">
      <c r="A8492" t="inlineStr">
        <is>
          <t>f6r3vt</t>
        </is>
      </c>
      <c r="B8492" t="inlineStr">
        <is>
          <t>Hey guys looking for advice</t>
        </is>
      </c>
      <c r="C8492" t="inlineStr">
        <is>
          <t>I am type 1 of 8 years(i am 19) and i have ok control that i am improving greatly these last few months.My last hba1c is 7.0(i am pretty sure now it will be around 6.2) and my organs are normal and i got my eyes checked and everything was cool(perfect vision and no signs of any retinopathy thank god).My sugars while i am awake are very stable,mostly around 4 5 or 6,sometimes 7mmol(120mgdl).My problem is however my morning bg,it does not matter if i go to sleep with sugar 4 5 or 8 sometimes i will wake up with high blood sugar around 16 sometimes even higher.I don't eat anything before sleep so it aint the food and my doctor said it is normal in my age and that it is probably a combination of hormones and the dawn phenomenon and that it will likely go away.I am using apidra solostar for daily dosage(around 6-8units) and toujeo for the coverage(28units) that i inject when i wake up around 6am.Can i give toujeo before bedtime and eating something light(i am afraid of bad hypos) or can i give two dosages of that insulin for example instead of 28 at once that i give 14 before bed and 14 in the morning?Are there any good tips you can share for managing that phenomenon?Thanks</t>
        </is>
      </c>
      <c r="D8492" t="n">
        <v>1</v>
      </c>
      <c r="E8492" t="n">
        <v>3</v>
      </c>
      <c r="F8492">
        <f>HYPERLINK("https://www.reddit.com/r/diabetes/comments/f6r3vt/hey_guys_looking_for_advice/")</f>
        <v/>
      </c>
      <c r="G8492" t="inlineStr">
        <is>
          <t>2020-02-20 02:20:45</t>
        </is>
      </c>
      <c r="H8492" t="inlineStr">
        <is>
          <t>Type 1</t>
        </is>
      </c>
    </row>
    <row r="8493">
      <c r="A8493" t="inlineStr">
        <is>
          <t>f6whda</t>
        </is>
      </c>
      <c r="B8493" t="inlineStr">
        <is>
          <t>Scared of first time using pump</t>
        </is>
      </c>
      <c r="C8493" t="inlineStr">
        <is>
          <t>I just had an appointment where they explained how to use my new pump to me. I’ll start using it on Monday morning and then my doc will call my a few hours later to check in on me. 
I’m pretty scared of doing something wrong. My doctor hasn’t told me how much I will have to bolus (I’m getting a new insulin) and I’m really nervous. 
I feel like I’m not prepared enough. Did you guys feel safe and like you understood everything?</t>
        </is>
      </c>
      <c r="D8493" t="n">
        <v>2</v>
      </c>
      <c r="E8493" t="n">
        <v>14</v>
      </c>
      <c r="F8493">
        <f>HYPERLINK("https://www.reddit.com/r/diabetes/comments/f6whda/scared_of_first_time_using_pump/")</f>
        <v/>
      </c>
      <c r="G8493" t="inlineStr">
        <is>
          <t>2020-02-20 09:32:37</t>
        </is>
      </c>
      <c r="H8493" t="inlineStr">
        <is>
          <t>Type 1</t>
        </is>
      </c>
    </row>
    <row r="8494">
      <c r="A8494" t="inlineStr">
        <is>
          <t>f6ys2g</t>
        </is>
      </c>
      <c r="B8494" t="inlineStr">
        <is>
          <t>About to Update to Control IQ, quick question before I do</t>
        </is>
      </c>
      <c r="C8494" t="inlineStr">
        <is>
          <t>So I received my email with my Update ID Number and it also mentions  that you have 
&amp;gt;Supplies to change your cartridge. We recommend performing the update when you are ready for a new cartridge.
I'm just wondering why that is? I have 135 units in my pump currently and I really don't feel like wasting it, or waiting until its gone.</t>
        </is>
      </c>
      <c r="D8494" t="n">
        <v>1</v>
      </c>
      <c r="E8494" t="n">
        <v>5</v>
      </c>
      <c r="F8494">
        <f>HYPERLINK("https://www.reddit.com/r/diabetes/comments/f6ys2g/about_to_update_to_control_iq_quick_question/")</f>
        <v/>
      </c>
      <c r="G8494" t="inlineStr">
        <is>
          <t>2020-02-20 12:03:42</t>
        </is>
      </c>
      <c r="H8494" t="inlineStr">
        <is>
          <t>Type 1</t>
        </is>
      </c>
    </row>
    <row r="8495">
      <c r="A8495" t="inlineStr">
        <is>
          <t>f719ii</t>
        </is>
      </c>
      <c r="B8495" t="inlineStr">
        <is>
          <t>Seeking participants for interview about the potential of Reddit for type-2 Diabetes</t>
        </is>
      </c>
      <c r="C8495" t="inlineStr">
        <is>
          <t xml:space="preserve"> 
Hello  everyone. My name is Ata and I am a PhD Candidate at the Queensland  University of Technology (QUT) in Brisbane, Australia. I am currently  completing my thesis on the potential of Online Health Communities such  as Reddit for type-2 Diabetes. I would like to invite you for a  voluntary and anonymous online interview through Skype, Zoom or any  other software you prefer. The interview will take approximately 30  minutes.
Your perspective and  experiences are significant for this study. There are no right or wrong  answers to the questions that we will discuss. So, I would ask you to  discuss your views openly during the online interview and I am  interested in understanding your opinions. However, it is possible to  participate in this research project without being recorded. The  interview is completely anonymous and non-identifiable to protect your  privacy. During this interview, you are free to skip any question you  want. This study and ethical consideration have been approved by the  Queensland University of Technology (QUT) with the approval code  1900001024.
If you are interested in, please just drop me a message here.
If you would like to learn more, please contact me; Atae Rezaei Aghdam ([atae.rezaeiaghdam@hdr.qut.edu.au](mailto:atae.rezaeiaghdam@hdr.qut.edu.au)). Thank for reading.</t>
        </is>
      </c>
      <c r="D8495" t="n">
        <v>1</v>
      </c>
      <c r="E8495" t="n">
        <v>2</v>
      </c>
      <c r="F8495">
        <f>HYPERLINK("https://www.reddit.com/r/diabetes/comments/f719ii/seeking_participants_for_interview_about_the/")</f>
        <v/>
      </c>
      <c r="G8495" t="inlineStr">
        <is>
          <t>2020-02-20 14:44:58</t>
        </is>
      </c>
      <c r="H8495" t="inlineStr">
        <is>
          <t>Type 2</t>
        </is>
      </c>
    </row>
    <row r="8496">
      <c r="A8496" t="inlineStr">
        <is>
          <t>f727l3</t>
        </is>
      </c>
      <c r="B8496" t="inlineStr">
        <is>
          <t>A1c is down !</t>
        </is>
      </c>
      <c r="C8496" t="inlineStr">
        <is>
          <t>I am so proud of myself. I got a1c from 11 to 8. I know 8 is still a little high but it much better than 11.</t>
        </is>
      </c>
      <c r="D8496" t="n">
        <v>1</v>
      </c>
      <c r="E8496" t="n">
        <v>7</v>
      </c>
      <c r="F8496">
        <f>HYPERLINK("https://www.reddit.com/r/diabetes/comments/f727l3/a1c_is_down/")</f>
        <v/>
      </c>
      <c r="G8496" t="inlineStr">
        <is>
          <t>2020-02-20 15:51:13</t>
        </is>
      </c>
      <c r="H8496" t="inlineStr">
        <is>
          <t>Type 2</t>
        </is>
      </c>
    </row>
    <row r="8497">
      <c r="A8497" t="inlineStr">
        <is>
          <t>f72hrh</t>
        </is>
      </c>
      <c r="B8497" t="inlineStr">
        <is>
          <t>So yesterday I was told I’m diabetic T2</t>
        </is>
      </c>
      <c r="C8497" t="inlineStr">
        <is>
          <t xml:space="preserve">
Today I was told I had to start insulin as my A1c was 12. I’m 30 and while I’m out of shape and overweight... not by that much. I’m 5’6’’ and 175 pounds. I don’t eat a ton of sweets and sometimes non at all. My diet is poor but not any worse then anyone else’s. I eat fruits and veggies and a good mix of white and red meats. I’m so confused. 
Now to the funny part:
Today in the dr office getting my first shot of insulin, learned how to use this pen thing, held it infront of me. I had to put it down and the nurse gave me a garbage can because I got super nervous and nauseous. Then seconds later I passed out into the garbage can. It’s sucked, but it’s pretty fun now that it’s over. 
Good time to mention I have a severe mental thing against needles. This is going to be something fun trying to get off. 
Nurse ended up giving it to me in the back of my arm which I was fine with because I couldn’t see it. 
Just thought I’d share my misery, confusion, and funnies. 
Thanks for reading.</t>
        </is>
      </c>
      <c r="D8497" t="n">
        <v>1</v>
      </c>
      <c r="E8497" t="n">
        <v>27</v>
      </c>
      <c r="F8497">
        <f>HYPERLINK("https://www.reddit.com/r/diabetes/comments/f72hrh/so_yesterday_i_was_told_im_diabetic_t2/")</f>
        <v/>
      </c>
      <c r="G8497" t="inlineStr">
        <is>
          <t>2020-02-20 16:11:59</t>
        </is>
      </c>
      <c r="H8497" t="inlineStr">
        <is>
          <t>Type 2</t>
        </is>
      </c>
    </row>
    <row r="8498">
      <c r="A8498" t="inlineStr">
        <is>
          <t>f743xt</t>
        </is>
      </c>
      <c r="B8498" t="inlineStr">
        <is>
          <t>Getting an insulin pump in Ontario</t>
        </is>
      </c>
      <c r="C8498" t="inlineStr">
        <is>
          <t>I’m trying to get a pump. I’ve been searching online trying to find prices or literally anything I can but I haven’t had luck... 
I’ve looked at OmniPods but I don’t really think that would be a great fit. 
Does anyone have any info that could help? 
Thanks!</t>
        </is>
      </c>
      <c r="D8498" t="n">
        <v>1</v>
      </c>
      <c r="E8498" t="n">
        <v>2</v>
      </c>
      <c r="F8498">
        <f>HYPERLINK("https://www.reddit.com/r/diabetes/comments/f743xt/getting_an_insulin_pump_in_ontario/")</f>
        <v/>
      </c>
      <c r="G8498" t="inlineStr">
        <is>
          <t>2020-02-20 18:13:10</t>
        </is>
      </c>
      <c r="H8498" t="inlineStr">
        <is>
          <t>Type 1</t>
        </is>
      </c>
    </row>
    <row r="8499">
      <c r="A8499" t="inlineStr">
        <is>
          <t>f760m6</t>
        </is>
      </c>
      <c r="B8499" t="inlineStr">
        <is>
          <t>Thin and type 2 ??</t>
        </is>
      </c>
      <c r="C8499" t="inlineStr">
        <is>
          <t>Anyone with Type 2 Diabetes who is very thin?  What do you eat to gain weight also maintaining your blood sugar?</t>
        </is>
      </c>
      <c r="D8499" t="n">
        <v>1</v>
      </c>
      <c r="E8499" t="n">
        <v>7</v>
      </c>
      <c r="F8499">
        <f>HYPERLINK("https://www.reddit.com/r/diabetes/comments/f760m6/thin_and_type_2/")</f>
        <v/>
      </c>
      <c r="G8499" t="inlineStr">
        <is>
          <t>2020-02-20 20:46:15</t>
        </is>
      </c>
      <c r="H8499" t="inlineStr">
        <is>
          <t>Type 2</t>
        </is>
      </c>
    </row>
    <row r="8500">
      <c r="A8500" t="inlineStr">
        <is>
          <t>f7cpjp</t>
        </is>
      </c>
      <c r="B8500" t="inlineStr">
        <is>
          <t>11 Year old daughter just diagnosed with type 1</t>
        </is>
      </c>
      <c r="C8500" t="inlineStr">
        <is>
          <t>She has been in the hospital since Tuesday morning, we have been bamboozled with so much information over the last few days.  I am so proud of her, shes sticking her finger and injecting herself like a champ, taking it all on the chin.  
She is getting home today, and me and her mother are so worried about managing this without the help of all the wonderful nurses.  As good as it will be to have her home, I am so worried about calculating her doses, and what if she has a hypo?  I'm trying to be the strong one and take all the information in and reassure her and her mother that I have it under control and we will all smash this.... deep down i'm terrified and running on a few hours crappy sleep at the hospital over last few days.  I've been given steroids and antibiotics 
Does anyone have any advice, or resources, or anything really to help me out?  I don't really know what i'm looking for, maybe just some reassurance that this is manageable.  I'm cracking up through worry and lack of sleep being by her side in the hospital.  To top it all off ive been  ill with a chest infection, on steroids and anti biotics and pretty out of it while all this has been going on.  Her mums broke down a few times and I am being strong for her. 
I am SO proud of how she is taking it, I don't think it has really sunk in for her yet though.</t>
        </is>
      </c>
      <c r="D8500" t="n">
        <v>1</v>
      </c>
      <c r="E8500" t="n">
        <v>61</v>
      </c>
      <c r="F8500">
        <f>HYPERLINK("https://www.reddit.com/r/diabetes/comments/f7cpjp/11_year_old_daughter_just_diagnosed_with_type_1/")</f>
        <v/>
      </c>
      <c r="G8500" t="inlineStr">
        <is>
          <t>2020-02-21 07:31:13</t>
        </is>
      </c>
      <c r="H8500" t="inlineStr">
        <is>
          <t>Type 1</t>
        </is>
      </c>
    </row>
    <row r="8501">
      <c r="A8501" t="inlineStr">
        <is>
          <t>f7dyb8</t>
        </is>
      </c>
      <c r="B8501" t="inlineStr">
        <is>
          <t>Is there any way to show carbs amount in Glimp along the glucose curve?</t>
        </is>
      </c>
      <c r="C8501" t="inlineStr">
        <is>
          <t>Similar to what xDrip+ does when you enter a new treatment. I found it very useful but I'm kinda lost with Glimp.   
I've entered a new food item (I created one called carbs that amount to 1g of carbs so that I can input any quantity I want) but it's not showing. Also, I have no idea how to remove the entry or edit it...  
Thank you!</t>
        </is>
      </c>
      <c r="D8501" t="n">
        <v>1</v>
      </c>
      <c r="E8501" t="n">
        <v>0</v>
      </c>
      <c r="F8501">
        <f>HYPERLINK("https://www.reddit.com/r/diabetes/comments/f7dyb8/is_there_any_way_to_show_carbs_amount_in_glimp/")</f>
        <v/>
      </c>
      <c r="G8501" t="inlineStr">
        <is>
          <t>2020-02-21 08:56:00</t>
        </is>
      </c>
      <c r="H8501" t="inlineStr">
        <is>
          <t>Type 2</t>
        </is>
      </c>
    </row>
    <row r="8502">
      <c r="A8502" t="inlineStr">
        <is>
          <t>f7fdkl</t>
        </is>
      </c>
      <c r="B8502" t="inlineStr">
        <is>
          <t>Seeking Diabetes Patients for a Research Study (5 min/day, up to $350) [T2][Pre-Diabetes]</t>
        </is>
      </c>
      <c r="C8502" t="inlineStr">
        <is>
          <t>I work for a Health-Tech startup called SIPPA Solutions that is financially backed by the Research Foundation of the City University of New York (RF CUNY).
We are actively recruiting type 2 and pre-diabetes patients to participate in a *behavioral* (not clinical) research study that entails usage of a mobile application to aid in self-care management, by sending participants daily notifications/reminders/motivational messages related to diet, exercise habits, glucose measurement and medication adherence. We seek to understand how messaging affects behavioral changes in those with diabetes.
Participation would require approximately a 5-minute per-day commitment during the intervention phase, which lasts 3-6 months ($250 for 3 months participation, $350 for 6 months), in addition to an orientation process.
The study is approved by the New York City Department of Education Institutional Review Board (NYC DOE IRB). General questions about the IRB process should be emailed to [IRB@schools.nyc.gov](mailto:IRB@schools.nyc.gov). Regulatory or compliance questions should be directed to Mariana Azar at [mazar@schools.nyc.gov](mailto:mazar@schools.nyc.gov).
Participants must be 18 years or older. If you are interested in participating, please email [info@sippasolutions.com](mailto:info@sippasolutions.com) with your name, age, most recent HbA1c reading, and ask to speak with Connor.
Note: Mods, if this post violates the community rules, please remove. I do not want to cause any trouble.</t>
        </is>
      </c>
      <c r="D8502" t="n">
        <v>1</v>
      </c>
      <c r="E8502" t="n">
        <v>2</v>
      </c>
      <c r="F8502">
        <f>HYPERLINK("https://www.reddit.com/r/diabetes/comments/f7fdkl/seeking_diabetes_patients_for_a_research_study_5/")</f>
        <v/>
      </c>
      <c r="G8502" t="inlineStr">
        <is>
          <t>2020-02-21 10:31:19</t>
        </is>
      </c>
      <c r="H8502" t="inlineStr">
        <is>
          <t>Type 2</t>
        </is>
      </c>
    </row>
    <row r="8503">
      <c r="A8503" t="inlineStr">
        <is>
          <t>f7hmnl</t>
        </is>
      </c>
      <c r="B8503" t="inlineStr">
        <is>
          <t>I hate this goddamn disease</t>
        </is>
      </c>
      <c r="C8503" t="inlineStr">
        <is>
          <t>I don't have T1D, but I deal with it every day and night. I have two kids. My five year old was diagnosed after DKA at 17 months -- while my wife was pregnant with our second, who was diagnosed at 17 months, himself, in DKA.
For years this has been our relationship. From free fun, spending nights away together in hotels and enjoying life, to not having one fucking vacation in three years because I can only afford high deductible insurance plans. Literally I spend $20k-$30k every year just to keep my babies alive.
We separated for a year; we are fighting for this marriage but it isn't the same. Diabetes controls all in our lives. It's fucking misery dealing with lows and highs, hourly, and how much should we prebolus the kids? Will they eat? Maybe two plates full! Maybe none! I haven't slept throughout the night in years.
Will I outlive my kids? Do I have to curse of watching them die before me? How do we deal with bullies mocking the various medical devices sticking off of them? "Why do I have to have ports, Daddy?"
Why do I have to be the agent of pain, listening to them wail and cry when new ports have to be attached every three days and dexcoms every seven? I have to be strong and abandon being the agent of love in favor of that agent of pain.
Fuck this disease. I've lost who I was, who I wanted to be, and who I am over it.</t>
        </is>
      </c>
      <c r="D8503" t="n">
        <v>1</v>
      </c>
      <c r="E8503" t="n">
        <v>3</v>
      </c>
      <c r="F8503">
        <f>HYPERLINK("https://www.reddit.com/r/diabetes/comments/f7hmnl/i_hate_this_goddamn_disease/")</f>
        <v/>
      </c>
      <c r="G8503" t="inlineStr">
        <is>
          <t>2020-02-21 13:02:31</t>
        </is>
      </c>
      <c r="H8503" t="inlineStr">
        <is>
          <t>Type 1</t>
        </is>
      </c>
    </row>
    <row r="8504">
      <c r="A8504" t="inlineStr">
        <is>
          <t>f7ik51</t>
        </is>
      </c>
      <c r="B8504" t="inlineStr">
        <is>
          <t>Trulicity Pen at room temperature</t>
        </is>
      </c>
      <c r="C8504" t="inlineStr">
        <is>
          <t>My refrigerator door was left open and I was wondering if it's safe to take? I have two boxes I haven't used yet.</t>
        </is>
      </c>
      <c r="D8504" t="n">
        <v>1</v>
      </c>
      <c r="E8504" t="n">
        <v>3</v>
      </c>
      <c r="F8504">
        <f>HYPERLINK("https://www.reddit.com/r/diabetes/comments/f7ik51/trulicity_pen_at_room_temperature/")</f>
        <v/>
      </c>
      <c r="G8504" t="inlineStr">
        <is>
          <t>2020-02-21 14:04:49</t>
        </is>
      </c>
      <c r="H8504" t="inlineStr">
        <is>
          <t>Type 2</t>
        </is>
      </c>
    </row>
    <row r="8505">
      <c r="A8505" t="inlineStr">
        <is>
          <t>f7ips5</t>
        </is>
      </c>
      <c r="B8505" t="inlineStr">
        <is>
          <t>Weird red area on my body</t>
        </is>
      </c>
      <c r="C8505" t="inlineStr">
        <is>
          <t>I have these Mark's on my body that have within the past 8 month or so, or longer, gotten worse. It's like a hive break out but its spreading. I havent changed anything in my day to day life except moved out of my parents. I dont think its detergent, I use the Omnipod brand and always put it on my back because of my kitchen profession, it tends to slip off from the heat. My endocrinologist says it doesnt look diabetes related. Who knows it could be something totally different. Does anybody have experience with this?</t>
        </is>
      </c>
      <c r="D8505" t="n">
        <v>1</v>
      </c>
      <c r="E8505" t="n">
        <v>5</v>
      </c>
      <c r="F8505">
        <f>HYPERLINK("https://www.reddit.com/r/diabetes/comments/f7ips5/weird_red_area_on_my_body/")</f>
        <v/>
      </c>
      <c r="G8505" t="inlineStr">
        <is>
          <t>2020-02-21 14:15:17</t>
        </is>
      </c>
      <c r="H8505" t="inlineStr">
        <is>
          <t>Type 1</t>
        </is>
      </c>
    </row>
    <row r="8506">
      <c r="A8506" t="inlineStr">
        <is>
          <t>f7mkas</t>
        </is>
      </c>
      <c r="B8506" t="inlineStr">
        <is>
          <t>People with t1d who regularly workout, when you're gonna do a weight lifting session, what do you do?</t>
        </is>
      </c>
      <c r="C8506" t="inlineStr">
        <is>
          <t>When you're gonna do a weight lifting session, what do you do? Do you eat something? If so , is it high or low in carbs? And do you even inject yourself? And how should be my glucose be before the workout? Is it ok to have it high?</t>
        </is>
      </c>
      <c r="D8506" t="n">
        <v>1</v>
      </c>
      <c r="E8506" t="n">
        <v>3</v>
      </c>
      <c r="F8506">
        <f>HYPERLINK("https://www.reddit.com/r/diabetes/comments/f7mkas/people_with_t1d_who_regularly_workout_when_youre/")</f>
        <v/>
      </c>
      <c r="G8506" t="inlineStr">
        <is>
          <t>2020-02-21 19:04:47</t>
        </is>
      </c>
      <c r="H8506" t="inlineStr">
        <is>
          <t>Type 1</t>
        </is>
      </c>
    </row>
    <row r="8507">
      <c r="A8507" t="inlineStr">
        <is>
          <t>f7ou6g</t>
        </is>
      </c>
      <c r="B8507" t="inlineStr">
        <is>
          <t>So happy with my hard work!</t>
        </is>
      </c>
      <c r="C8507" t="inlineStr">
        <is>
          <t>I’m down 50+ lbs since I started my weight loss journey, today I went to my endo and my A1C was 5.1!!!! I couldn’t be happier she walked in and was like “whose this?!!?” and I assumed she was talking about my gf (first time meeting) so I said “my girlfriend ____” and she was like “I meant you silly, you’re a whole new person” and she told me how I’m a success story and I look so different etc etc, but I started with 2000mgs of met and 50 mgs of januvia and I’m finally off meds, will be monitoring blood twice a day now for a bit to help keep my numbers low! I have worked hard for this and I’m getting closer and closer to my weight goal started 298 am 240 now</t>
        </is>
      </c>
      <c r="D8507" t="n">
        <v>1</v>
      </c>
      <c r="E8507" t="n">
        <v>4</v>
      </c>
      <c r="F8507">
        <f>HYPERLINK("https://www.reddit.com/r/diabetes/comments/f7ou6g/so_happy_with_my_hard_work/")</f>
        <v/>
      </c>
      <c r="G8507" t="inlineStr">
        <is>
          <t>2020-02-21 22:31:53</t>
        </is>
      </c>
      <c r="H8507" t="inlineStr">
        <is>
          <t>Type 2</t>
        </is>
      </c>
    </row>
    <row r="8508">
      <c r="A8508" t="inlineStr">
        <is>
          <t>f7owhj</t>
        </is>
      </c>
      <c r="B8508" t="inlineStr">
        <is>
          <t>Freestyle Librelink Sensor</t>
        </is>
      </c>
      <c r="C8508" t="inlineStr">
        <is>
          <t>Hi All!
I’m a type 2 diabetic, have been for 10 years, going on 11th (since age 11/12). I just started using the LibreLink Sensor/Reader a couple of days ago and I have a couple of questions if y’all can help me out:
1) Are the sensors supposed to feel funny on your arm? Occasionally it feels itchy around the sensor, and I am pretty much constantly aware of it. I know it sounds silly, but I feel like I shouldn’t be that aware of its presence on my arm (it sorta feels like a constant light pressure).
2) Do you find that your readings are more accurate with a sensor/reader or with a regular meter? I tried comparing a few of the measurements and they were off both times, so I don’t know which measurement to believe...
Thanks in advance!</t>
        </is>
      </c>
      <c r="D8508" t="n">
        <v>1</v>
      </c>
      <c r="E8508" t="n">
        <v>8</v>
      </c>
      <c r="F8508">
        <f>HYPERLINK("https://www.reddit.com/r/diabetes/comments/f7owhj/freestyle_librelink_sensor/")</f>
        <v/>
      </c>
      <c r="G8508" t="inlineStr">
        <is>
          <t>2020-02-21 22:38:41</t>
        </is>
      </c>
      <c r="H8508" t="inlineStr">
        <is>
          <t>Type 2</t>
        </is>
      </c>
    </row>
    <row r="8509">
      <c r="A8509" t="inlineStr">
        <is>
          <t>f7tqml</t>
        </is>
      </c>
      <c r="B8509" t="inlineStr">
        <is>
          <t>Time to change my meds or maybe stop altogether.</t>
        </is>
      </c>
      <c r="C8509" t="inlineStr">
        <is>
          <t>So I have been exercising daily and on a diet for a few months now.   I am seeing this more and more now so starting to get a bit concerned, but in all probably a good thing.   Yes I know, go see your doctor.  But, I may just stop the meds any way to see what effect it has.  I am not on much compared to a lot of people 500mg per day of metformin.
https://preview.redd.it/oc1lsonbrhi41.jpg?width=1152&amp;amp;format=pjpg&amp;amp;auto=webp&amp;amp;s=5f01f56dfed6259c65160768584d0b08a9844414</t>
        </is>
      </c>
      <c r="D8509" t="n">
        <v>1</v>
      </c>
      <c r="E8509" t="n">
        <v>5</v>
      </c>
      <c r="F8509">
        <f>HYPERLINK("https://www.reddit.com/r/diabetes/comments/f7tqml/time_to_change_my_meds_or_maybe_stop_altogether/")</f>
        <v/>
      </c>
      <c r="G8509" t="inlineStr">
        <is>
          <t>2020-02-22 07:11:41</t>
        </is>
      </c>
      <c r="H8509" t="inlineStr">
        <is>
          <t>Type 2</t>
        </is>
      </c>
    </row>
    <row r="8510">
      <c r="A8510" t="inlineStr">
        <is>
          <t>f7v11p</t>
        </is>
      </c>
      <c r="B8510" t="inlineStr">
        <is>
          <t>Do you guys take "correction" doses?</t>
        </is>
      </c>
      <c r="C8510" t="inlineStr">
        <is>
          <t>I will give an example to explain the above.
I would wake up with highs e.g 250 etc so I would take about 3 units of novorapid without eating to bring it down.
Later, if I eat I would take my dose and then lets say after 4 hours I am a bit high so I would take few units again to lower it. It goes on like that in circles.
Is there any downside to this practice or should I just be worried about keeping my BG in level? 
I hope this is clear enough, I am lazy to write much as I am drunk right now. 
P.S I check my sugar on every 3-4 hours, 6pm reading was 126, and now at 9pm is 212 so I took 3 units to bring it down a bit.</t>
        </is>
      </c>
      <c r="D8510" t="n">
        <v>1</v>
      </c>
      <c r="E8510" t="n">
        <v>10</v>
      </c>
      <c r="F8510">
        <f>HYPERLINK("https://www.reddit.com/r/diabetes/comments/f7v11p/do_you_guys_take_correction_doses/")</f>
        <v/>
      </c>
      <c r="G8510" t="inlineStr">
        <is>
          <t>2020-02-22 08:46:48</t>
        </is>
      </c>
      <c r="H8510" t="inlineStr">
        <is>
          <t>Type 1</t>
        </is>
      </c>
    </row>
    <row r="8511">
      <c r="A8511" t="inlineStr">
        <is>
          <t>f7vcjm</t>
        </is>
      </c>
      <c r="B8511" t="inlineStr">
        <is>
          <t>I Have A Question</t>
        </is>
      </c>
      <c r="C8511" t="inlineStr">
        <is>
          <t>Why do insurance companies need 90 days of blood sugar logs in order for me to get Dexcom?</t>
        </is>
      </c>
      <c r="D8511" t="n">
        <v>1</v>
      </c>
      <c r="E8511" t="n">
        <v>2</v>
      </c>
      <c r="F8511">
        <f>HYPERLINK("https://www.reddit.com/r/diabetes/comments/f7vcjm/i_have_a_question/")</f>
        <v/>
      </c>
      <c r="G8511" t="inlineStr">
        <is>
          <t>2020-02-22 09:08:36</t>
        </is>
      </c>
      <c r="H8511" t="inlineStr">
        <is>
          <t>Type 1</t>
        </is>
      </c>
    </row>
    <row r="8512">
      <c r="A8512" t="inlineStr">
        <is>
          <t>f7xiev</t>
        </is>
      </c>
      <c r="B8512" t="inlineStr">
        <is>
          <t>Freestyle Libre 2 to Smartwatch</t>
        </is>
      </c>
      <c r="C8512" t="inlineStr">
        <is>
          <t>I read that it is possible to connect a Freestyle Libre 1 to a phone/using MiaoMiao or similar transmitters. I would like to know if anyone has experience doing the same with a Freestyle libre 2. 
I am specifically interested in sending my glucose levels directly to a smartwatch without using my phone as I don't want to be bound to my phone all the time. (Gym, Work, etc.) 
\- Do I need a transmitter like the MiaoMiao for my libre 2?
\- Do I need a standalone smartwatch or is any of the more recent smartwatches able to do the job?
I would really appreciate if you guys could help me out with my questions as I couldn't find enough info about this topic.
Thanks in advance!</t>
        </is>
      </c>
      <c r="D8512" t="n">
        <v>1</v>
      </c>
      <c r="E8512" t="n">
        <v>1</v>
      </c>
      <c r="F8512">
        <f>HYPERLINK("https://www.reddit.com/r/diabetes/comments/f7xiev/freestyle_libre_2_to_smartwatch/")</f>
        <v/>
      </c>
      <c r="G8512" t="inlineStr">
        <is>
          <t>2020-02-22 11:36:00</t>
        </is>
      </c>
      <c r="H8512" t="inlineStr">
        <is>
          <t>Type 1</t>
        </is>
      </c>
    </row>
    <row r="8513">
      <c r="A8513" t="inlineStr">
        <is>
          <t>f7xpe4</t>
        </is>
      </c>
      <c r="B8513" t="inlineStr">
        <is>
          <t>New to this</t>
        </is>
      </c>
      <c r="C8513" t="inlineStr">
        <is>
          <t>So I am new to this, hours ago found out type 2. 
All I see is a mess of info online I don't know where to start.
Does anyone know what percentage of fat people who get told they have type 2 actually give up carbs and slim down to an incredibly slim and fit weight? are all the studies and is all the science warped by large percentages of fat people who barely do anything to change their lifestyle?
Does medical science even know if people's beta cells can start behaving reasonably well for life or are people doomed even if they get athlete fit and eat strict keto for life and only drink water for life?
Where should I start what book or website?
It is profoundly, colossally terrifying to be here at this sub with people talking about having surgery on their eyes.</t>
        </is>
      </c>
      <c r="D8513" t="n">
        <v>1</v>
      </c>
      <c r="E8513" t="n">
        <v>10</v>
      </c>
      <c r="F8513">
        <f>HYPERLINK("https://www.reddit.com/r/diabetes/comments/f7xpe4/new_to_this/")</f>
        <v/>
      </c>
      <c r="G8513" t="inlineStr">
        <is>
          <t>2020-02-22 11:49:17</t>
        </is>
      </c>
      <c r="H8513" t="inlineStr">
        <is>
          <t>Type 2</t>
        </is>
      </c>
    </row>
    <row r="8514">
      <c r="A8514" t="inlineStr">
        <is>
          <t>f8167v</t>
        </is>
      </c>
      <c r="B8514" t="inlineStr">
        <is>
          <t>When should I be concerned?</t>
        </is>
      </c>
      <c r="C8514" t="inlineStr">
        <is>
          <t>Newly diagnosed Type 2, about 3 weeks. So I've been eating right, salads, chicken, Salmon all the good stuff. For the past week my BGL has been in the 120-150 mg/l range. Today when I woke up it was around 95 mg/l, didn't check after breakfast. Well now it's been about 3 hours since I ate my dinner and it's sitting at 88 mg/l. Is this normal? Should I be concerned?</t>
        </is>
      </c>
      <c r="D8514" t="n">
        <v>1</v>
      </c>
      <c r="E8514" t="n">
        <v>6</v>
      </c>
      <c r="F8514">
        <f>HYPERLINK("https://www.reddit.com/r/diabetes/comments/f8167v/when_should_i_be_concerned/")</f>
        <v/>
      </c>
      <c r="G8514" t="inlineStr">
        <is>
          <t>2020-02-22 15:53:11</t>
        </is>
      </c>
      <c r="H8514" t="inlineStr">
        <is>
          <t>Type 2</t>
        </is>
      </c>
    </row>
    <row r="8515">
      <c r="A8515" t="inlineStr">
        <is>
          <t>f824xh</t>
        </is>
      </c>
      <c r="B8515" t="inlineStr">
        <is>
          <t>Girlfriend just got diagnosed as well</t>
        </is>
      </c>
      <c r="C8515" t="inlineStr">
        <is>
          <t>I’ve been type 1 for 13 years. Today, my girlfriend of 10 years, no fam history of DM or any other autoimmune disorders, was diagnosed with T1. We’re both 26. I’m sitting here in the hospital with her, at a complete loss. I can’t believe it. What could be the odds? Fuckin eh.</t>
        </is>
      </c>
      <c r="D8515" t="n">
        <v>1</v>
      </c>
      <c r="E8515" t="n">
        <v>19</v>
      </c>
      <c r="F8515">
        <f>HYPERLINK("https://www.reddit.com/r/diabetes/comments/f824xh/girlfriend_just_got_diagnosed_as_well/")</f>
        <v/>
      </c>
      <c r="G8515" t="inlineStr">
        <is>
          <t>2020-02-22 17:06:48</t>
        </is>
      </c>
      <c r="H8515" t="inlineStr">
        <is>
          <t>Type 1</t>
        </is>
      </c>
    </row>
    <row r="8516">
      <c r="A8516" t="inlineStr">
        <is>
          <t>f83go6</t>
        </is>
      </c>
      <c r="B8516" t="inlineStr">
        <is>
          <t>Pre- Employment Medical Diabetes Tests</t>
        </is>
      </c>
      <c r="C8516" t="inlineStr">
        <is>
          <t>Hi all. Apologies if this has been asked before or is inappropriate. 
I recently  had a pre employment  medical where  my finger was pricked with a needle  and some blood was taken to measure my blood sugar. The nurse  then waited for the results and informed me the blood sugar  levels  were normal.  Nurse said if someone had type  2  she'd  know just from her little meter. 
I'm not asking if i have type 2 or not.  Im just asking the  validity  and accuracy  of a blood sugar meter in detecting  type 2 diabetes.
Thanks</t>
        </is>
      </c>
      <c r="D8516" t="n">
        <v>1</v>
      </c>
      <c r="E8516" t="n">
        <v>8</v>
      </c>
      <c r="F8516">
        <f>HYPERLINK("https://www.reddit.com/r/diabetes/comments/f83go6/pre_employment_medical_diabetes_tests/")</f>
        <v/>
      </c>
      <c r="G8516" t="inlineStr">
        <is>
          <t>2020-02-22 18:52:42</t>
        </is>
      </c>
      <c r="H8516" t="inlineStr">
        <is>
          <t>Type 2</t>
        </is>
      </c>
    </row>
    <row r="8517">
      <c r="A8517" t="inlineStr">
        <is>
          <t>f83v8i</t>
        </is>
      </c>
      <c r="B8517" t="inlineStr">
        <is>
          <t>Dexcom G6 Transmitter not pairing with Android Galaxy A6</t>
        </is>
      </c>
      <c r="C8517" t="inlineStr">
        <is>
          <t>Hi everyone. I have been trying to get my G6 transmitter to pair with my new A6 for hours now. I have had over 7 failed attempts at this point. I have done every troubleshoot one could thing of, save for removing the transmitter and sensor entirely. I removed and restarted the app (multiple times) and called Dexcom support, only to be told the same thing and then be hung up on. Has anyone else had this issue in the past? How did you troubleshoot? Thanks so much I’m advance.</t>
        </is>
      </c>
      <c r="D8517" t="n">
        <v>1</v>
      </c>
      <c r="E8517" t="n">
        <v>5</v>
      </c>
      <c r="F8517">
        <f>HYPERLINK("https://www.reddit.com/r/diabetes/comments/f83v8i/dexcom_g6_transmitter_not_pairing_with_android/")</f>
        <v/>
      </c>
      <c r="G8517" t="inlineStr">
        <is>
          <t>2020-02-22 19:26:16</t>
        </is>
      </c>
      <c r="H8517" t="inlineStr">
        <is>
          <t>Type 1</t>
        </is>
      </c>
    </row>
    <row r="8518">
      <c r="A8518" t="inlineStr">
        <is>
          <t>f87f6y</t>
        </is>
      </c>
      <c r="B8518" t="inlineStr">
        <is>
          <t>I have the diabeetus!</t>
        </is>
      </c>
      <c r="C8518" t="inlineStr">
        <is>
          <t>I've probably had it for a longer time but just recently got diagnosed with T2DM. My fasting BG was around 180 and my post-prandial around 300. My shit insurance covered me for a OneTouch verio BG monitor and the strips + lancets. 
I took metformin 500 mg yesterday and tested my sugar and it was down to 138 PP! I also didn't have my usual daytime sleepiness I usually have, and so I assume the hyperglycemia was the reason I've always felt super sleepy after lunch. I am awake now (4am) because my stomach hurt. I hope the fasting BG is down when I check it later in the morning. 
Currently doing my first poop, no diarrhea so that's good news. I have an odd pain below my thenar eminence but that could be a weird hand position while sleeping. 
I've heard there's a black market for test strips. Is this true and should I tell my doc I'm testing 4-5 times a day so they give me more lancets + test strips?</t>
        </is>
      </c>
      <c r="D8518" t="n">
        <v>1</v>
      </c>
      <c r="E8518" t="n">
        <v>6</v>
      </c>
      <c r="F8518">
        <f>HYPERLINK("https://www.reddit.com/r/diabetes/comments/f87f6y/i_have_the_diabeetus/")</f>
        <v/>
      </c>
      <c r="G8518" t="inlineStr">
        <is>
          <t>2020-02-23 01:39:37</t>
        </is>
      </c>
      <c r="H8518" t="inlineStr">
        <is>
          <t>Type 2</t>
        </is>
      </c>
    </row>
    <row r="8519">
      <c r="A8519" t="inlineStr">
        <is>
          <t>f8a0lk</t>
        </is>
      </c>
      <c r="B8519" t="inlineStr">
        <is>
          <t>I need help taking care of myself</t>
        </is>
      </c>
      <c r="C8519" t="inlineStr">
        <is>
          <t>I was diagnosed with diabetes about two-three years ago. Because I am older and overweight they immediately thought it was type 2 which gave me hope for diet and excesrcise being a reversal tactic. Once metformin didn’t work and my bs was over 300 for three weeks and I couldn’t breathe they realized their mistake. 
Anyways my pancreases had its lovely rebound where I went from obsessing over my sugars to feeling like I was a normal ass person not even taking any lantus for about a year.
Now I just can’t seem to find an interest or will to take care of myself at all. If I’m lucky I’ll test once MAYBE twice a day. I’m in the 670G pump and the continuous monitor they supply OOF the worst mfn thing I have ever tried to use, the UI of the whole pump is just generally shit. 
My sugars were ranging all the way from 28 - 475 on my pump the last time I went to my endo. They are a little better now my highest was 281 which I know isn’t great but fuck I have to have hope about something lmao 
I feel like my endo hates me every time I go. I’m literally 0.372 second from calling and rescheduling my appointment so maybe I can be a better diabetic before I see him. “You are what I would call an uncontrolled diabetic” *ahhhh the truth hit me with your car instead*
Anyways, I’m feeling extra anxious because my stomach just hurts a lot and I literally can’t even tell maybe I’m hungry maybe you’ve destroyed it and now you have gastro-peruses (???) 
Idk I’m an anxious bitch and getting type1 diabetes at 20 really just fucked me up. Hardly seems fair, homoPHOBIC if you will. I’m scared and sad and feel like shit about myself all the time. Would love to hear how anyone grabbed this by the balls and is just idk fine with it?? Living with it? Wanting to take care of yourself?? 
If anything, thanks for just reading this scattered post lol</t>
        </is>
      </c>
      <c r="D8519" t="n">
        <v>1</v>
      </c>
      <c r="E8519" t="n">
        <v>13</v>
      </c>
      <c r="F8519">
        <f>HYPERLINK("https://www.reddit.com/r/diabetes/comments/f8a0lk/i_need_help_taking_care_of_myself/")</f>
        <v/>
      </c>
      <c r="G8519" t="inlineStr">
        <is>
          <t>2020-02-23 06:21:05</t>
        </is>
      </c>
      <c r="H8519" t="inlineStr">
        <is>
          <t>Type 1</t>
        </is>
      </c>
    </row>
    <row r="8520">
      <c r="A8520" t="inlineStr">
        <is>
          <t>f8a6ec</t>
        </is>
      </c>
      <c r="B8520" t="inlineStr">
        <is>
          <t>Problems with OmniPods</t>
        </is>
      </c>
      <c r="C8520" t="inlineStr">
        <is>
          <t>Has anyone else noticed in the past year that the quality of pods has gone down or has been frequently more problematic? I've been getting a rough 1 in 5 pod failure rate, either it just fails with that awful continuous high pitched beep, or it detects an occlusion or it doesn't deliver insulin at all? This last one is a new problem I've noticed in batches of pods I've received in the past 4\~ months, I will set it to deliver insulin and it doesn't make the clicking noise at all and doesn't actually give me insulin at all! I've just had this one again, I made a sandwich consisting of two slices of white bread, a slice of ham and some lettuce. This comes to 32\~ grams of carbs, yet when I delivered my insulin and hour later my reading had shot up from 10.3 to 18.6 and in the 5 minutes it took me to change my pod it jumped up to 20, there literally wasn't any insulin in my system despite my monitor saying there was, this was a brand new pod I put on my leg which is a new site for me entirely so it wasn't a lumpy or bad site, it wasn't sore and when I took the pod off there wasn't a drop of blood, it was a perfect infusion. 
So now I'm sitting here giving myself my 6 unit dose of insulin again in thirds worrying that I'm giving myself a bloody double dose and that my insulin might just be pooled up and will release late. This happens way too often and seriously has be considering going back to injections.</t>
        </is>
      </c>
      <c r="D8520" t="n">
        <v>1</v>
      </c>
      <c r="E8520" t="n">
        <v>4</v>
      </c>
      <c r="F8520">
        <f>HYPERLINK("https://www.reddit.com/r/diabetes/comments/f8a6ec/problems_with_omnipods/")</f>
        <v/>
      </c>
      <c r="G8520" t="inlineStr">
        <is>
          <t>2020-02-23 06:34:41</t>
        </is>
      </c>
      <c r="H8520" t="inlineStr">
        <is>
          <t>Type 1</t>
        </is>
      </c>
    </row>
    <row r="8521">
      <c r="A8521" t="inlineStr">
        <is>
          <t>f8b5db</t>
        </is>
      </c>
      <c r="B8521" t="inlineStr">
        <is>
          <t>Forgot to press stop fill</t>
        </is>
      </c>
      <c r="C8521" t="inlineStr">
        <is>
          <t>As the title explains i forgot to press stop fill on my tslim x2 but pressed it a few seconds later, there was about 2-4 drops will this cause any problems?</t>
        </is>
      </c>
      <c r="D8521" t="n">
        <v>1</v>
      </c>
      <c r="E8521" t="n">
        <v>4</v>
      </c>
      <c r="F8521">
        <f>HYPERLINK("https://www.reddit.com/r/diabetes/comments/f8b5db/forgot_to_press_stop_fill/")</f>
        <v/>
      </c>
      <c r="G8521" t="inlineStr">
        <is>
          <t>2020-02-23 07:50:33</t>
        </is>
      </c>
      <c r="H8521" t="inlineStr">
        <is>
          <t>Type 1</t>
        </is>
      </c>
    </row>
    <row r="8522">
      <c r="A8522" t="inlineStr">
        <is>
          <t>f8dsuk</t>
        </is>
      </c>
      <c r="B8522" t="inlineStr">
        <is>
          <t>Looking for T1D volunteers!</t>
        </is>
      </c>
      <c r="C8522" t="inlineStr">
        <is>
          <t>UCSD Design Lab is looking for T1D volunteers to work with design students on CGM experiences! If you're interested, please refer to the flyer for more information. Thank you!
https://preview.redd.it/9umpbofhzpi41.jpg?width=2550&amp;amp;format=pjpg&amp;amp;auto=webp&amp;amp;s=17ec5c988c3e32870371f3fefe77d9e6973ccac1</t>
        </is>
      </c>
      <c r="D8522" t="n">
        <v>1</v>
      </c>
      <c r="E8522" t="n">
        <v>7</v>
      </c>
      <c r="F8522">
        <f>HYPERLINK("https://www.reddit.com/r/diabetes/comments/f8dsuk/looking_for_t1d_volunteers/")</f>
        <v/>
      </c>
      <c r="G8522" t="inlineStr">
        <is>
          <t>2020-02-23 10:50:48</t>
        </is>
      </c>
      <c r="H8522" t="inlineStr">
        <is>
          <t>Type 1</t>
        </is>
      </c>
    </row>
    <row r="8523">
      <c r="A8523" t="inlineStr">
        <is>
          <t>f8hnrc</t>
        </is>
      </c>
      <c r="B8523" t="inlineStr">
        <is>
          <t>How to help/care for my type 1 girlfriend</t>
        </is>
      </c>
      <c r="C8523" t="inlineStr">
        <is>
          <t>We haven't been together long, only the best part of a month and she's been type 1 diabetic for about six years now.
I want to learn about her diabetes and she's taught me stuff about her pump, basal &amp;amp; bolus, etc. but I want to learn more and help her and learn how to care for her when she's struggling when she's feeling rough because she's really high/really low.
Today, for example, she didn't have enough units in her pump to administer the correct dose until she got home and she was really high and told me she was rough and I just don't know what to say or do to help her (we go to different unis and live about 15 miles from eachother and neither can drive).
Any advice would be much appreciated!</t>
        </is>
      </c>
      <c r="D8523" t="n">
        <v>1</v>
      </c>
      <c r="E8523" t="n">
        <v>6</v>
      </c>
      <c r="F8523">
        <f>HYPERLINK("https://www.reddit.com/r/diabetes/comments/f8hnrc/how_to_helpcare_for_my_type_1_girlfriend/")</f>
        <v/>
      </c>
      <c r="G8523" t="inlineStr">
        <is>
          <t>2020-02-23 15:08:46</t>
        </is>
      </c>
      <c r="H8523" t="inlineStr">
        <is>
          <t>Type 1</t>
        </is>
      </c>
    </row>
    <row r="8524">
      <c r="A8524" t="inlineStr">
        <is>
          <t>f8jq9x</t>
        </is>
      </c>
      <c r="B8524" t="inlineStr">
        <is>
          <t>Well Dann. Today is my Diaversary.</t>
        </is>
      </c>
      <c r="C8524" t="inlineStr">
        <is>
          <t>One year ago I was admitted to the hospital after throwing up for three days straight. I could barely talk and have very little memory of what happened. I was triaged at 4am on Saturday morning and went to sleep around 6 am. My fiance left to feed the cats and grab my phone charger. The last thing I remember before falling asleep was a doctor telling me "It's diabetes".
This year has been filled with challanged, but was so much better than last year. I feel better and am glad to be alive. The previous year I was recover from an accident and was constantly feeling sick. The symptoms which I believe were caused by the accident were actually from Diabetes. The DKA I experienced felt like severe Norovirus. I had Norovirus once before and it felt like death. 
I feel that the biggest reason I didn't go to the hospital right away is I didn't think anyone would take me seriously. Ultimately I almost died because of that reasoning. I learned I can trust myself when I think something is wrong and everyday I am becoming more myself .</t>
        </is>
      </c>
      <c r="D8524" t="n">
        <v>1</v>
      </c>
      <c r="E8524" t="n">
        <v>4</v>
      </c>
      <c r="F8524">
        <f>HYPERLINK("https://www.reddit.com/r/diabetes/comments/f8jq9x/well_dann_today_is_my_diaversary/")</f>
        <v/>
      </c>
      <c r="G8524" t="inlineStr">
        <is>
          <t>2020-02-23 17:45:00</t>
        </is>
      </c>
      <c r="H8524" t="inlineStr">
        <is>
          <t>Type 1</t>
        </is>
      </c>
    </row>
    <row r="8525">
      <c r="A8525" t="inlineStr">
        <is>
          <t>f8o95b</t>
        </is>
      </c>
      <c r="B8525" t="inlineStr">
        <is>
          <t>First Time with VERY High Blood Sugar</t>
        </is>
      </c>
      <c r="C8525" t="inlineStr">
        <is>
          <t>Hi guys
So uh I’m supposed to stay in the range of 140 to 200 and tonight my meter said I was at 286-326 (I checked it 5 times after the initial reading of 302). This morning I was at 140 and I was careful about food today too. 
My blood sugar has been high lately due to being with Filipino family and having 2 infections. 
I really don’t know how I got into the 300s. I am on metphormin and I forgot to take 500 mg this morning yet when I forget and I’m at 140, I normally end up at 180-200. 
Tomorrow I’m just gonna stick with the keto diet and hope that my coach makes me breathless in swim practice tomorrow to hopefully bring this down. 
I don’t know what to do.</t>
        </is>
      </c>
      <c r="D8525" t="n">
        <v>1</v>
      </c>
      <c r="E8525" t="n">
        <v>15</v>
      </c>
      <c r="F8525">
        <f>HYPERLINK("https://www.reddit.com/r/diabetes/comments/f8o95b/first_time_with_very_high_blood_sugar/")</f>
        <v/>
      </c>
      <c r="G8525" t="inlineStr">
        <is>
          <t>2020-02-24 00:22:35</t>
        </is>
      </c>
      <c r="H8525" t="inlineStr">
        <is>
          <t>Type 2</t>
        </is>
      </c>
    </row>
    <row r="8526">
      <c r="A8526" t="inlineStr">
        <is>
          <t>f8sq49</t>
        </is>
      </c>
      <c r="B8526" t="inlineStr">
        <is>
          <t>My$99Insulin - Novolog $99 a month</t>
        </is>
      </c>
      <c r="C8526" t="inlineStr">
        <is>
          <t>My$99Insulin
[https://www.novocare.com/insulin/my99insulin.html](https://www.novocare.com/insulin/my99insulin.html)
All patients may be eligible to get a 30-day supply of a combination of Novo Nordisk insulin products (up to 3 vials or 2 packs of pens) for $99 for up to 12 months.a Register below to receive a card that you can download, save, and print. This card can be redeemed at most retail pharmacies and may be used to fill your monthly supply of insulin.
***Ask your doctor to double your prescription, stock up! If this Coronavirus interrupts the supply chain, you need to be prepared.***</t>
        </is>
      </c>
      <c r="D8526" t="n">
        <v>1</v>
      </c>
      <c r="E8526" t="n">
        <v>22</v>
      </c>
      <c r="F8526">
        <f>HYPERLINK("https://www.reddit.com/r/diabetes/comments/f8sq49/my99insulin_novolog_99_a_month/")</f>
        <v/>
      </c>
      <c r="G8526" t="inlineStr">
        <is>
          <t>2020-02-24 07:21:17</t>
        </is>
      </c>
      <c r="H8526" t="inlineStr">
        <is>
          <t>Type 1</t>
        </is>
      </c>
    </row>
    <row r="8527">
      <c r="A8527" t="inlineStr">
        <is>
          <t>f8vw7q</t>
        </is>
      </c>
      <c r="B8527" t="inlineStr">
        <is>
          <t>Kid with above average A1C</t>
        </is>
      </c>
      <c r="C8527" t="inlineStr">
        <is>
          <t>Hey guys, parent of a T1D kid here.  This question is specific to the type 1 community. My 14 year old kid recently got an above average A1C report. Has anyone seen any health risks relating to this? It’s his first time being over by a lot so I’m worried if this can cause complications.</t>
        </is>
      </c>
      <c r="D8527" t="n">
        <v>1</v>
      </c>
      <c r="E8527" t="n">
        <v>6</v>
      </c>
      <c r="F8527">
        <f>HYPERLINK("https://www.reddit.com/r/diabetes/comments/f8vw7q/kid_with_above_average_a1c/")</f>
        <v/>
      </c>
      <c r="G8527" t="inlineStr">
        <is>
          <t>2020-02-24 10:45:10</t>
        </is>
      </c>
      <c r="H8527" t="inlineStr">
        <is>
          <t>Type 1</t>
        </is>
      </c>
    </row>
    <row r="8528">
      <c r="A8528" t="inlineStr">
        <is>
          <t>f90nhz</t>
        </is>
      </c>
      <c r="B8528" t="inlineStr">
        <is>
          <t>Future love relation with diabetes?</t>
        </is>
      </c>
      <c r="C8528" t="inlineStr">
        <is>
          <t>Ok so i´m 20 years old and have never really had any serious relation with anyone and lately i have become very depressed due to the thought of living a very lonesome life. 
Im not sure how to direct my thoughts in a positive way when the negatives so out weights the positives so glass clear. I was reading around on some forums regarding dating someone with diabetes and it where a bunch of comments saying stuff like, "its fine as long as you have it under control" etc but then one comment said "Why bet on a wounded horse" and i guess i some regards he was right? In the modern age of dating why would you choose someone that is eventually going to have some sort of complication, when you instead can "go" for someone that don´t have diabetes. I guess one could say that personality is the one thing that could make another person drawn to someone with diabetes and and totally get that but since in reacent years i have become so drawn back i don´t see any scenario where anyone would even take notice to me, specially not in Sweden haha.. Just had a down day so felt like writing it off somewhere i guess..
Do you guys have any tips or maybe just some positive comments surrounding the topic, feels like i have been digging around in so much negativity so some positivity would be nice for once!:)</t>
        </is>
      </c>
      <c r="D8528" t="n">
        <v>1</v>
      </c>
      <c r="E8528" t="n">
        <v>13</v>
      </c>
      <c r="F8528">
        <f>HYPERLINK("https://www.reddit.com/r/diabetes/comments/f90nhz/future_love_relation_with_diabetes/")</f>
        <v/>
      </c>
      <c r="G8528" t="inlineStr">
        <is>
          <t>2020-02-24 15:45:03</t>
        </is>
      </c>
      <c r="H8528" t="inlineStr">
        <is>
          <t>Type 1</t>
        </is>
      </c>
    </row>
    <row r="8529">
      <c r="A8529" t="inlineStr">
        <is>
          <t>f91dj2</t>
        </is>
      </c>
      <c r="B8529" t="inlineStr">
        <is>
          <t>Dexcom G6 Coverage</t>
        </is>
      </c>
      <c r="C8529" t="inlineStr">
        <is>
          <t>Since finding out last week that my insurance denied my claim for the Dexcon G6 (even after I was told the preauth was approved), I am still working to piece together an appeal to fight this decision. I am so stressed and also saddened that something that has literally changed my life and my overall health may be taken away from me because of someone who does not fully understand how living with type one diabetes affects a patient and cannot get past statistics and data to see how innovative this system truly is. I am looking for any kind words or encouragement, advice, or just a diabetic to tell me they GET IT.  I've had this disease for 20 years come New Years Eve this year, and since being on this system, it is the only time in my diabetic life where I have felt comfortable and confident that I can lead a semi normal healthy long life. It just gives me so much piece of mind and hope, and now I feel a little depleted. Thank you in advance follow warriors 💙</t>
        </is>
      </c>
      <c r="D8529" t="n">
        <v>1</v>
      </c>
      <c r="E8529" t="n">
        <v>5</v>
      </c>
      <c r="F8529">
        <f>HYPERLINK("https://www.reddit.com/r/diabetes/comments/f91dj2/dexcom_g6_coverage/")</f>
        <v/>
      </c>
      <c r="G8529" t="inlineStr">
        <is>
          <t>2020-02-24 16:35:06</t>
        </is>
      </c>
      <c r="H8529" t="inlineStr">
        <is>
          <t>Type 1</t>
        </is>
      </c>
    </row>
    <row r="8530">
      <c r="A8530" t="inlineStr">
        <is>
          <t>f91lzl</t>
        </is>
      </c>
      <c r="B8530" t="inlineStr">
        <is>
          <t>Has anyone tried this blend of tea and if so does it affect your blood sugar levels?</t>
        </is>
      </c>
      <c r="C8530" t="inlineStr">
        <is>
          <t>Hello everyone I was diagnosed a month and a half ago with type 2 and since I have been working on losing weight and lowering my sugar levels.
It's been a challenge but I been managing. One thing I found out though is that I really dislike unsweetened coffee, so I been  looking for a tea to replace it as my morning drink. I found Harney and Sons Hot Cinnamon tea to be great and it has a hint of sweetness supposedly from the cinnamon. 
I was wondering if anyone here drinks the blend, its advertised as sugar free and the ingredients don't mention any artificial sweeteners. But I'm not too trusting with sweet things these days. I'd also want to avoid artificial sweeteners as much as I can.
If you drink the blend let me know if you found it to affect your blood glucose levels or if you know what they use to make it sweet.
Also if you have any recommendations for diabetic friendly tea blends.
[The blend](https://www.harney.com/products/hot-cinnamon-spice-tea)</t>
        </is>
      </c>
      <c r="D8530" t="n">
        <v>1</v>
      </c>
      <c r="E8530" t="n">
        <v>13</v>
      </c>
      <c r="F8530">
        <f>HYPERLINK("https://www.reddit.com/r/diabetes/comments/f91lzl/has_anyone_tried_this_blend_of_tea_and_if_so_does/")</f>
        <v/>
      </c>
      <c r="G8530" t="inlineStr">
        <is>
          <t>2020-02-24 16:50:50</t>
        </is>
      </c>
      <c r="H8530" t="inlineStr">
        <is>
          <t>Type 2</t>
        </is>
      </c>
    </row>
    <row r="8531">
      <c r="A8531" t="inlineStr">
        <is>
          <t>f99yv0</t>
        </is>
      </c>
      <c r="B8531" t="inlineStr">
        <is>
          <t>Control iQ Update</t>
        </is>
      </c>
      <c r="C8531" t="inlineStr">
        <is>
          <t>On January 19th I began the process to get the Control iQ update. I’m still waiting for the update and it’s almost March! I frequently contact my doctors office to check the status and they haven’t received a prescription request, still! Tandem is making it DIFFICULT to speak with anyone regarding the update. Is anyone else waiting this long? Any advice?</t>
        </is>
      </c>
      <c r="D8531" t="n">
        <v>1</v>
      </c>
      <c r="E8531" t="n">
        <v>7</v>
      </c>
      <c r="F8531">
        <f>HYPERLINK("https://www.reddit.com/r/diabetes/comments/f99yv0/control_iq_update/")</f>
        <v/>
      </c>
      <c r="G8531" t="inlineStr">
        <is>
          <t>2020-02-25 05:05:30</t>
        </is>
      </c>
      <c r="H8531" t="inlineStr">
        <is>
          <t>Type 1</t>
        </is>
      </c>
    </row>
    <row r="8532">
      <c r="A8532" t="inlineStr">
        <is>
          <t>f9ab5a</t>
        </is>
      </c>
      <c r="B8532" t="inlineStr">
        <is>
          <t>Diabetes Survey</t>
        </is>
      </c>
      <c r="C8532" t="inlineStr">
        <is>
          <t>Hello everyone, I am doing a project for uni about innovation for diabetics. 
If you are a type 1 diabetic, if you could please answer the survey that would be a great help.
Thank you
Link to survey : [https://coventry.onlinesurveys.ac.uk/diabetes-watch-questionnaire](https://coventry.onlinesurveys.ac.uk/diabetes-watch-questionnaire)</t>
        </is>
      </c>
      <c r="D8532" t="n">
        <v>1</v>
      </c>
      <c r="E8532" t="n">
        <v>4</v>
      </c>
      <c r="F8532">
        <f>HYPERLINK("https://www.reddit.com/r/diabetes/comments/f9ab5a/diabetes_survey/")</f>
        <v/>
      </c>
      <c r="G8532" t="inlineStr">
        <is>
          <t>2020-02-25 05:32:46</t>
        </is>
      </c>
      <c r="H8532" t="inlineStr">
        <is>
          <t>Type 1</t>
        </is>
      </c>
    </row>
    <row r="8533">
      <c r="A8533" t="inlineStr">
        <is>
          <t>f9b94o</t>
        </is>
      </c>
      <c r="B8533" t="inlineStr">
        <is>
          <t>Diabetics</t>
        </is>
      </c>
      <c r="C8533" t="inlineStr">
        <is>
          <t>•I love that I can eat whatever I want 
•I love that I dont have to know the nutritional value of everything I want to eat
•I love that I dont have to worry about it
•I love that I dont have to prick my fingers all the time
•I love that I dont have to pay to see the doctor more than normal
•I love that I dont have to pay for medication, or that I have to remember to take it
•I love that I can have cheat days
•I love that it can now be inherited by my children and my children's children
•I love how there is a cure
•I hate that none of this is true.</t>
        </is>
      </c>
      <c r="D8533" t="n">
        <v>1</v>
      </c>
      <c r="E8533" t="n">
        <v>1</v>
      </c>
      <c r="F8533">
        <f>HYPERLINK("https://www.reddit.com/r/diabetes/comments/f9b94o/diabetics/")</f>
        <v/>
      </c>
      <c r="G8533" t="inlineStr">
        <is>
          <t>2020-02-25 06:43:42</t>
        </is>
      </c>
      <c r="H8533" t="inlineStr">
        <is>
          <t>Type 2</t>
        </is>
      </c>
    </row>
    <row r="8534">
      <c r="A8534" t="inlineStr">
        <is>
          <t>f9e8wb</t>
        </is>
      </c>
      <c r="B8534" t="inlineStr">
        <is>
          <t>How long can a person be undiagnosed?</t>
        </is>
      </c>
      <c r="C8534" t="inlineStr">
        <is>
          <t>I was diagnosed with Type 1 diabetes in early October, when I went into DKA and spent about a week in the hospital. My A1C was 13.8, and as I know that's a 3 month average. Also, I've heard that some people produce some insulin even after being diagnosed, so it sort of has me wondering how long I could have been considered diabetic before this incident.
I definitely had been dealing with symptoms such as constant thirst and hunger, frequent urination, and fatigue for quite some time. They sort of built up over several months, which is why I didn't really feel concerned, and assumed I was just eating poorly, needed to exercise more, etc. I know, dumb. 
Because I didn't really give those problems a second thought, it's hard to say exactly when they started to get really bad. I know that when we selected a new apartment in July, we specifically chose a bedroom that had a bathroom attached, since I was getting up 4 our 5 times a night to pee.
The other this the doctor had mentioned is that symptoms usually start after you get really sick from something else and it triggers your immune system, but I honestly can't remember the last time I was sick.
Obviously, there's no way you could know when I stopped producing insulin, but does anyone who was diagnosed as an adult have an idea what the tipping point was for them? In the same vein, how did you find out--did you learn about it during some routine visit, or as the result DKA or something similar?</t>
        </is>
      </c>
      <c r="D8534" t="n">
        <v>1</v>
      </c>
      <c r="E8534" t="n">
        <v>8</v>
      </c>
      <c r="F8534">
        <f>HYPERLINK("https://www.reddit.com/r/diabetes/comments/f9e8wb/how_long_can_a_person_be_undiagnosed/")</f>
        <v/>
      </c>
      <c r="G8534" t="inlineStr">
        <is>
          <t>2020-02-25 10:00:44</t>
        </is>
      </c>
      <c r="H8534" t="inlineStr">
        <is>
          <t>Type 1</t>
        </is>
      </c>
    </row>
    <row r="8535">
      <c r="A8535" t="inlineStr">
        <is>
          <t>f9eotg</t>
        </is>
      </c>
      <c r="B8535" t="inlineStr">
        <is>
          <t>Dexcom G6. PLEASE HELP</t>
        </is>
      </c>
      <c r="C8535" t="inlineStr">
        <is>
          <t>So I own a Tslim X2 and Im currently trying to pair it to my new Dexcom g6. When I had my G5 It worked fine and never had the issue Im getting now, When I try to pair the transmitter to my Pump I get a "Invalid ID" please help!</t>
        </is>
      </c>
      <c r="D8535" t="n">
        <v>1</v>
      </c>
      <c r="E8535" t="n">
        <v>6</v>
      </c>
      <c r="F8535">
        <f>HYPERLINK("https://www.reddit.com/r/diabetes/comments/f9eotg/dexcom_g6_please_help/")</f>
        <v/>
      </c>
      <c r="G8535" t="inlineStr">
        <is>
          <t>2020-02-25 10:28:52</t>
        </is>
      </c>
      <c r="H8535" t="inlineStr">
        <is>
          <t>Type 1</t>
        </is>
      </c>
    </row>
    <row r="8536">
      <c r="A8536" t="inlineStr">
        <is>
          <t>f9l0on</t>
        </is>
      </c>
      <c r="B8536" t="inlineStr">
        <is>
          <t>Moving to another country after diagnosis.</t>
        </is>
      </c>
      <c r="C8536" t="inlineStr">
        <is>
          <t>Hi. 
So I got diagnosed about 2 months ago, spent a month in the hospital, been a month at home now &amp;amp; just got news that I actually got accepted for the job I *really* wanted. 
My issue is that:
* I never lived alone, period. I'm 19 (almost 20) and just finished school rather recently. 
* The job is in another country. I live in Germany and the job would be in the UK, London specifically. 
* The job is pretty busy and I'd be on my feet all day so I'm scared of going low because I'm not used to being on my feet *all day*. 
* Don't know anyone there yet, so can't set up emergency contacts or move close to someone I *know,*  so I'd have to deal with everything myself, always. At least for the first while.
* I'm still honeymooning and am *really* scared of being alone during the period it "wears off", because even know, my insulin to carb ratio changes *all* the time because of it and I'd hate to use too much or too little insulin. 
So, basically everything speaks against going, but I know I won't get the job later down the line and I worked so much to actually get it and it'd seriously suck not to go. 
Good news is that since I've been home I had pretty good control, my highest yet was 150 (once) and my lowest like 50 (once) and my average is at 95. So I feel pretty save with it here, but I feel like that's mostly because someone is with me most of the time and I always have someone that could help *if* something happens. 
Getting a CGM soon. Not sure if I get (or even want) a pump, yet. 
Any tips for living alone with type 1? Living alone in a foreign country with type 1? Dealing with being on your feet all day? 
Thanks.</t>
        </is>
      </c>
      <c r="D8536" t="n">
        <v>1</v>
      </c>
      <c r="E8536" t="n">
        <v>0</v>
      </c>
      <c r="F8536">
        <f>HYPERLINK("https://www.reddit.com/r/diabetes/comments/f9l0on/moving_to_another_country_after_diagnosis/")</f>
        <v/>
      </c>
      <c r="G8536" t="inlineStr">
        <is>
          <t>2020-02-25 17:16:58</t>
        </is>
      </c>
      <c r="H8536" t="inlineStr">
        <is>
          <t>Type 1</t>
        </is>
      </c>
    </row>
    <row r="8537">
      <c r="A8537" t="inlineStr">
        <is>
          <t>f9lhz0</t>
        </is>
      </c>
      <c r="B8537" t="inlineStr">
        <is>
          <t>Is drinking 4 diet cokes a day bad for you?</t>
        </is>
      </c>
      <c r="C8537" t="inlineStr">
        <is>
          <t>My doctor told me to drink diet sodas, but i don't know if 4 is too much.  I drink a couple coke zeros and a couple diet cokes. I get diet cranberry juice too but that gets old after awhile.  I don't like water all the time.  What are some other alternatives? Im a type 2 diabetic.</t>
        </is>
      </c>
      <c r="D8537" t="n">
        <v>1</v>
      </c>
      <c r="E8537" t="n">
        <v>45</v>
      </c>
      <c r="F8537">
        <f>HYPERLINK("https://www.reddit.com/r/diabetes/comments/f9lhz0/is_drinking_4_diet_cokes_a_day_bad_for_you/")</f>
        <v/>
      </c>
      <c r="G8537" t="inlineStr">
        <is>
          <t>2020-02-25 17:51:47</t>
        </is>
      </c>
      <c r="H8537" t="inlineStr">
        <is>
          <t>Type 2</t>
        </is>
      </c>
    </row>
    <row r="8538">
      <c r="A8538" t="inlineStr">
        <is>
          <t>f9qy40</t>
        </is>
      </c>
      <c r="B8538" t="inlineStr">
        <is>
          <t>My tips for having a good balance</t>
        </is>
      </c>
      <c r="C8538" t="inlineStr">
        <is>
          <t>Hi, this is my first post in this sub so please don't hate if you have seen this info 100 times already.   
I thought I could share some of the tips I have gathered over the years. Some are very obvious, but you still need to put effort to make them happen.   
Tip 1: Measure, measure, measure. Measuring often makes fixing problems much faster. (6-8 times a day with fingertip, or 15-20 times a day with Libre). Especially before meal and 1-2 hours after meal.
&amp;amp;#x200B;
Tip 2: You sleep 30% of your life, so having a good glucose level during night has a massive health effect. A stable night glucose is a result of 2 components: proper dose and getting a stable glucose in the evening.  
1. Fix long-term insulin dose **slowly** (1-2 units at the time) by looking at the graph from Libre if you have one. Only fix when you see the same pattern over multiple nights, for example linear decrease or increase for 3 days in a row.
2. If possible, **don't eat lots of carbs for 3 hours before going to bed**. If you go to bed at 10 pm, stop eating carbs at 7 pm. This one I have hard time obeying myself, and I know lots of people must be tempted to have a snack in the evening.
3. A bit before going to bed, fix your insulin level **gently.** My **personal** aim is 6-8 mmol/l. The more unstable your night graphs are, the more you need to have extra room for dropping. Optimally, just drink a glass of milk or fix with 1-2 units down. Before fixing anything: consider if you have had a heavy dinner, that may still bring your sugar up or down 3-4 hours after meal. Once I had a meal that affected 6 hours afterwards.
4. If you are not sure about your balance, don't just guess and wish for the best. Sometimes you have to postpone going to sleep.
&amp;amp;#x200B;
Tip 3: Get a Libre if you can. For me it's paid by the taxpayers, I don't know how much it costs at the in your country. It allows measuring a lot more, and the graphs it shows allow seeing trends much better. Up/down arrows are worth gold. Just be aware it has a slight delay.
&amp;amp;#x200B;
Tip 4: Don't be ashamed of using the pen, or measuring glucose in public or at work. Tell people you see often that you have a diabetes, and that you have to have insulin with carbs.
&amp;amp;#x200B;
Tip 5: Fixing low glucose.
1. I always carry liquid honey with me and put it under my tongue to get the fast response. 
2. If you have an urge to eat when low, eat **some fast carbs** for fixing glucose, but get the bulk with low and slow carb products. If you just eat lots of chocolate, ice cream, candy, cookies, you will end up having a high glucose and the rollercoaster starts.
3. Don't wait! I usually sense a low before it gets really low, but I might be too lazy to do anything.
4. You should adjust the speed of carbs based on how low your glucose is. For example when it's  approaching the low limit (4 mmol/l), bread or cookies might be enough. But when it's already severely low, flour isn't going to give you fast enough sugar. Use **as fast carbs** as possible to get back to 4 mmol/l. My tip is **liquid honey** for moderately/very low glucose fast carbs when you are on your own, or candy when you are in a public place. Neither contains fat, which makes the effect faster. Also, you don' get so much cholesterol. Put honey on/under your tongue, try to avoid excess contact with your teeth. I have one tube in my bedroom and another in my backpack. Beware that it's hard to measure how much honey is consumed.
5. Especially if you use Libre or other sensor with delay, be very cautious with fast carbs! I have had many nights where I try to fix low glucose in the evening and wonder why it doesn't work. Then I end up having high (13 mmol/l) instead.
&amp;amp;#x200B;
Tip 6: Eat a banana 15min before long or heavy workout or run, but don't get any insulin with that. For me it has provided a nicer balance than the official -30% insulin guideline. -30% seems to work for me **after** a heavy workout.
&amp;amp;#x200B;
Hope someone likes my tips. Discuss!</t>
        </is>
      </c>
      <c r="D8538" t="n">
        <v>1</v>
      </c>
      <c r="E8538" t="n">
        <v>1</v>
      </c>
      <c r="F8538">
        <f>HYPERLINK("https://www.reddit.com/r/diabetes/comments/f9qy40/my_tips_for_having_a_good_balance/")</f>
        <v/>
      </c>
      <c r="G8538" t="inlineStr">
        <is>
          <t>2020-02-26 01:51:45</t>
        </is>
      </c>
      <c r="H8538" t="inlineStr">
        <is>
          <t>Type 1</t>
        </is>
      </c>
    </row>
    <row r="8539">
      <c r="A8539" t="inlineStr">
        <is>
          <t>f9sujt</t>
        </is>
      </c>
      <c r="B8539" t="inlineStr">
        <is>
          <t>Will diabetes + coronavirus = RIP?</t>
        </is>
      </c>
      <c r="C8539" t="inlineStr">
        <is>
          <t>I'm kinda getting scared because it's spread to my country now and they are saying if you have diabetes it's a much bigger risk 😳</t>
        </is>
      </c>
      <c r="D8539" t="n">
        <v>1</v>
      </c>
      <c r="E8539" t="n">
        <v>15</v>
      </c>
      <c r="F8539">
        <f>HYPERLINK("https://www.reddit.com/r/diabetes/comments/f9sujt/will_diabetes_coronavirus_rip/")</f>
        <v/>
      </c>
      <c r="G8539" t="inlineStr">
        <is>
          <t>2020-02-26 04:59:47</t>
        </is>
      </c>
      <c r="H8539" t="inlineStr">
        <is>
          <t>Type 1</t>
        </is>
      </c>
    </row>
    <row r="8540">
      <c r="A8540" t="inlineStr">
        <is>
          <t>f9y474</t>
        </is>
      </c>
      <c r="B8540" t="inlineStr">
        <is>
          <t>Anyone else use alcohol to lower BG?</t>
        </is>
      </c>
      <c r="C8540" t="inlineStr">
        <is>
          <t>I been taking a shot or 2 with every meal I’ve eaten for the past month or so. Along with this I’ve drank Creatine Monohydrate every day as well but I’m pretty sure this is the alcohol doing more than the creatine. I’ve noticed my blood sugars are lower than usual, which is nice I can get quite high. I always hear drinking alcohol lowers you, I get hellllla low when drinking no matter what kinda booze it is too. I just found it good on my BG after eating when I took a shot right before eating. Must help my liver stop pumping sugar into me</t>
        </is>
      </c>
      <c r="D8540" t="n">
        <v>1</v>
      </c>
      <c r="E8540" t="n">
        <v>10</v>
      </c>
      <c r="F8540">
        <f>HYPERLINK("https://www.reddit.com/r/diabetes/comments/f9y474/anyone_else_use_alcohol_to_lower_bg/")</f>
        <v/>
      </c>
      <c r="G8540" t="inlineStr">
        <is>
          <t>2020-02-26 10:54:55</t>
        </is>
      </c>
      <c r="H8540" t="inlineStr">
        <is>
          <t>Type 1</t>
        </is>
      </c>
    </row>
    <row r="8541">
      <c r="A8541" t="inlineStr">
        <is>
          <t>f9z2ef</t>
        </is>
      </c>
      <c r="B8541" t="inlineStr">
        <is>
          <t>Newly diagnosed T1. Public defender. Am I screwed?</t>
        </is>
      </c>
      <c r="C8541" t="inlineStr">
        <is>
          <t>It’s been a month since I went into the hospital and found out I’m a diabetic. I’m a 26 year old attorney and I started this career less than a year ago. 
I’m so tired all the time. I’m on MDI and finger sticks. I don’t have the stamina I did when I started this job. I’m terrified of doing trials and having my blood sugar get out of control and failing my clients. This was my dream job. At this point I’m not sure if I can handle the stress of managing a disease and managing my caseloads.
I got my first CGM (Freestyle Libre) but haven’t tried putting it on yet because my phone is too old to be compatible. Plus I have a mental block about something being stuck to my body all the time...
This sub has been my source of so much information during the past month . I want to thank you all for posting and helping me through diagnosis as I lurk in the shadows. 
I know I’m in some kind of grieving process and have depressive tendencies anyway. I guess I’m looking for advice, thoughts, etc about making it through this initial diagnosis time. If there’s any lawyers or other people with jobs that involve lots of adrenaline, deadlines, and managing troubles people, please share your experience.
I’m grateful to be alive, but this SUCKS! 
[This post written with 222 blood sugar ]</t>
        </is>
      </c>
      <c r="D8541" t="n">
        <v>1</v>
      </c>
      <c r="E8541" t="n">
        <v>11</v>
      </c>
      <c r="F8541">
        <f>HYPERLINK("https://www.reddit.com/r/diabetes/comments/f9z2ef/newly_diagnosed_t1_public_defender_am_i_screwed/")</f>
        <v/>
      </c>
      <c r="G8541" t="inlineStr">
        <is>
          <t>2020-02-26 11:53:25</t>
        </is>
      </c>
      <c r="H8541" t="inlineStr">
        <is>
          <t>Type 1</t>
        </is>
      </c>
    </row>
    <row r="8542">
      <c r="A8542" t="inlineStr">
        <is>
          <t>fa0vvz</t>
        </is>
      </c>
      <c r="B8542" t="inlineStr">
        <is>
          <t>What to do when expecting a baby?</t>
        </is>
      </c>
      <c r="C8542" t="inlineStr">
        <is>
          <t>I am a type 1 diabetic and I have been for the past 18 years now. I have learned to deal with my diabetes in a solo life. And I have gotten many many challenges that I've learned to deal with solo.
I recently started dating a girl she has no clue about diabetes or anything about it. As most of us run into when we get into a new relationship. I just found out that she's pregnant. We're both in our early 30s literally days older than each other. She is not a type when diabetic I am.
I am seriously freaking out over the prospect of having a kid. I'm worried about giving my kid diabetes. I'm worried about my diabetes hindering my ability to be a good father. I'm worried about my diabetes entering my ability to be a good anything. 
What are your guys's experience like when it comes to having kids? Did your kids have diabetes? Did they not? Are only one of you diabetics, if so, did it affect your pregnancy?
 I'm seriously just trying to find out that I'm not the only one who freaks out in this situation and that there's others like me. I am scared and already had a nightmare the my sugar was low and I was home with my baby and unable to do anything because of how low my sugar was. 
I'm at work right now I'll be checking in with you guys to see how thing goes throughout the day. Just looking for some reinforcement advice anything that you guys could spare me to make this whole journey easier. I'm excited. I'm just really really nervous.</t>
        </is>
      </c>
      <c r="D8542" t="n">
        <v>1</v>
      </c>
      <c r="E8542" t="n">
        <v>9</v>
      </c>
      <c r="F8542">
        <f>HYPERLINK("https://www.reddit.com/r/diabetes/comments/fa0vvz/what_to_do_when_expecting_a_baby/")</f>
        <v/>
      </c>
      <c r="G8542" t="inlineStr">
        <is>
          <t>2020-02-26 13:44:47</t>
        </is>
      </c>
      <c r="H8542" t="inlineStr">
        <is>
          <t>Type 1</t>
        </is>
      </c>
    </row>
    <row r="8543">
      <c r="A8543" t="inlineStr">
        <is>
          <t>fa4vr6</t>
        </is>
      </c>
      <c r="B8543" t="inlineStr">
        <is>
          <t>Diabetes drugs recalled across Canada due to cancer concerns</t>
        </is>
      </c>
      <c r="C8543" t="inlineStr">
        <is>
          <t>[https://www.ctvnews.ca/health/diabetes-drugs-recalled-across-canada-due-to-cancer-concerns-1.4828883](https://www.ctvnews.ca/health/diabetes-drugs-recalled-across-canada-due-to-cancer-concerns-1.4828883)
&amp;amp;#x200B;
" 
TORONTO --  	Health Canada has expanded a national recall for certain types of  diabetes medications due to concerns that an impurity in the  prescription drugs could be linked to cancer.
	The recall, issued Wednesday, is for certain brands of drugs containing  metformin, which is prescribed to some patients with Type 2 diabetes to  help control their blood sugar levels.
	The recalled medications contain alarmingly high levels of an organic  compound called N-nitrosodimethylamine, or NDMA. The compound is safe  when ingested in small doses over a lifetime, but studies have shown  that it is potentially carcinogenic above a certain threshold."  
HEALTH CANADA RECALL INFO HERE , CHECK YOUR DIN NUMBERS:  
[https://healthycanadians.gc.ca/recall-alert-rappel-avis/hc-sc/2020/72287a-eng.php](https://healthycanadians.gc.ca/recall-alert-rappel-avis/hc-sc/2020/72287a-eng.php)</t>
        </is>
      </c>
      <c r="D8543" t="n">
        <v>1</v>
      </c>
      <c r="E8543" t="n">
        <v>2</v>
      </c>
      <c r="F8543">
        <f>HYPERLINK("https://www.reddit.com/r/diabetes/comments/fa4vr6/diabetes_drugs_recalled_across_canada_due_to/")</f>
        <v/>
      </c>
      <c r="G8543" t="inlineStr">
        <is>
          <t>2020-02-26 18:18:39</t>
        </is>
      </c>
      <c r="H8543" t="inlineStr">
        <is>
          <t>Type 2</t>
        </is>
      </c>
    </row>
    <row r="8544">
      <c r="A8544" t="inlineStr">
        <is>
          <t>fa57no</t>
        </is>
      </c>
      <c r="B8544" t="inlineStr">
        <is>
          <t>ATTENTION: Tandem T:SLIM X2 Users Planning to Upgrade to Control IQ</t>
        </is>
      </c>
      <c r="C8544" t="inlineStr">
        <is>
          <t>\&amp;gt;&amp;gt;&amp;gt; WARNING TO ALL TANDEM INSULIN PUMP USERS &amp;lt;&amp;lt;&amp;lt;
If you have a Mac and you are using a Tandem T:SLIM X2 and planning on doing the Control IQ update, DO NOT UPDATE TO THE NEW CATALINA OS!!!
Unfortunately, as of today, February 26, 2020, the Tandem Device Updater software DOES NOT WORK WITH THE CATALINA OS!!!
SOLUTION:  Do not update your Mac to the Catalina OS update.  If you have any questions, contact me, or Tandem Technical Support.
Hope this helps SOMEONE out there!
Cheers!
\~Antonio</t>
        </is>
      </c>
      <c r="D8544" t="n">
        <v>1</v>
      </c>
      <c r="E8544" t="n">
        <v>8</v>
      </c>
      <c r="F8544">
        <f>HYPERLINK("https://www.reddit.com/r/diabetes/comments/fa57no/attention_tandem_tslim_x2_users_planning_to/")</f>
        <v/>
      </c>
      <c r="G8544" t="inlineStr">
        <is>
          <t>2020-02-26 18:43:24</t>
        </is>
      </c>
      <c r="H8544" t="inlineStr">
        <is>
          <t>Type 1</t>
        </is>
      </c>
    </row>
    <row r="8545">
      <c r="A8545" t="inlineStr">
        <is>
          <t>fa7iz0</t>
        </is>
      </c>
      <c r="B8545" t="inlineStr">
        <is>
          <t>Hello everyone, I'm doing better.</t>
        </is>
      </c>
      <c r="C8545" t="inlineStr">
        <is>
          <t>I posted on here about being scared bout diabetes, now I feel better, I'm at peace and I weight 342lbs, so I decided to get a personal trainer and going on a strict diabetic friendly plan. All I ask of is your support.</t>
        </is>
      </c>
      <c r="D8545" t="n">
        <v>1</v>
      </c>
      <c r="E8545" t="n">
        <v>8</v>
      </c>
      <c r="F8545">
        <f>HYPERLINK("https://www.reddit.com/r/diabetes/comments/fa7iz0/hello_everyone_im_doing_better/")</f>
        <v/>
      </c>
      <c r="G8545" t="inlineStr">
        <is>
          <t>2020-02-26 21:52:25</t>
        </is>
      </c>
      <c r="H8545" t="inlineStr">
        <is>
          <t>Type 2</t>
        </is>
      </c>
    </row>
    <row r="8546">
      <c r="A8546" t="inlineStr">
        <is>
          <t>fa8n90</t>
        </is>
      </c>
      <c r="B8546" t="inlineStr">
        <is>
          <t>New to this</t>
        </is>
      </c>
      <c r="C8546" t="inlineStr">
        <is>
          <t>So I just got diagnosed that I have type 1 diabetes at the age of 19 (wonderful). Knew something was wrong when I felt sickness I have never felt in my life which turned out to be me going through dka. Anyway since I'm new at this I was wondering if you guys could answer a  few question of mine.
1.What would you consider a good reading after eating .
2. What would you consider a way too high reading and too low reading. 
3. Im having a little stomach pain is this normal. 
4. And what would happen if I just took the 24 acting insulin and not the short acting one.</t>
        </is>
      </c>
      <c r="D8546" t="n">
        <v>1</v>
      </c>
      <c r="E8546" t="n">
        <v>6</v>
      </c>
      <c r="F8546">
        <f>HYPERLINK("https://www.reddit.com/r/diabetes/comments/fa8n90/new_to_this/")</f>
        <v/>
      </c>
      <c r="G8546" t="inlineStr">
        <is>
          <t>2020-02-26 23:42:38</t>
        </is>
      </c>
      <c r="H8546" t="inlineStr">
        <is>
          <t>Type 1</t>
        </is>
      </c>
    </row>
    <row r="8547">
      <c r="A8547" t="inlineStr">
        <is>
          <t>faazs3</t>
        </is>
      </c>
      <c r="B8547" t="inlineStr">
        <is>
          <t>Diabetes depression. Gawd I hate thee.</t>
        </is>
      </c>
      <c r="C8547" t="inlineStr">
        <is>
          <t>So, this is gonna kinda be a rant. Sorry about that, just all the shit I can't really explain to everyone else but I feel like I need to get out. 
I was diagnosed with LADA in late October 2018. Originally I was diagnosed at an urgent care as a T2 back in 2016. That made no sense to me since I was pretty darn fit but that 9.7A1C test didn't lie. 
So I did what they told me. I saw a nutritionist, got on that diet. Started hitting the gym. Hard. Dropped my A1C to 7.0 in 60 days. Doc nearly hugged me since apparently so many people don't listen. I essentially dropped out of life in favor of exercise and diet so I could get myself healthy and move forward. Getting off that Metformin was my ONLY goal and I went after it as hard as I've done anything in my life. 
The problem is that I put my life on hold to do that and things didn't get better. I mean, they did for awhile but then suddenly I hit a wall. So tired. Achy. Angry as hell at the world. Thirsty like I can't believe. As things got worse the docs argued with me that I was backsliding. Then suddenly I dropped weight. A LOT of weight. Felt like total shit. I'm drinking pots of coffee to make it through the day. Finally I'm in the doctors office in late October 2018 and they're telling me that I'm backsliding and that I have low potassium so go home and drink some Gatorade. Then a few days later another doctor from the same practice calls and says "Drop what you're doing and get in here. I need to see you now". 
So I go in and she tells me that she saw my test results (I've never met this doc before) and that I need to go to the ER now. If I don't agree to go she's calling an ambulance? Whoa!? Serious right? So of course I go. They stick me with an IV immediately and put me on a EKG. The head doc for the ER that day tells me "Dude, you didn't do this to yourself". WTF? Hours go by and they inform me that I'm headed to the ICU. THE FUCKING ICU! For what!? Low potassium? Is that serious? 
Well that was a shitty night. In the morning I feel a hell of a lot better but I have no idea what's going on because no one is telling me shit until the head ICU doc comes in and tells me I had an A1C of 10.5 (!!!) and he's never seen someone with such bad bloodwork still breathing. Holy Hanna, what's going on?! Well, they're gonna give me some insulin for awhile and then send me to the regular hospital for a few days. So that goes on and the ICU guy is super nice he comes to see me and asks if I need anything. So, somehow I get this right and ask for an Rx for the Freestyle Libre CGM because... I dunno, seemed like a good idea at the time. Then he asks me to step on a scale for him. 97lbs in a hospital gown. Fuck, how the hell did I let this happen? What is going on? Cancer? Obviously this is my fault, fuck what that ER doc said, right? I mean, fucking look in the mirror! How did you not see just how bad this was? \[Now I know that low potassium screws with your brain, as does DKA in general. But still, damn!\]
So I do my time in the regular hospital and they send me off with an Rx for Lantus and Humalog vials plus the Libre. I go home. I'm a wreck. My wife ends up taking care of me for like three weeks because I'm such a wreck that I can't even look at my meter without breaking down crying or flying off the handle. I still don't know what the hell is going on but at this point it doesn't hurt to walk and I feel so much better that as long as I don't look at that devilish-data-device that scans me... I spend most of my time smiling like some sort of idiot. 
So I can't get an endo appointment right away and my regular doc, the one who kinda was wrong about everything, takes over my uh... treatment. Take your Metformin and no more than 5 units of Humalog per meal. Oh, and 26 units of Lantus. Gotta keep that T2 under control until we get you back to a healthy weight so you can get off the insulin!
And so 62 days after I leave the hospital I meet an endocrinologist. He'd asked me to get some work done at LabCorp a week before our first meeting. Damn it takes a while to find one an endo that has an open appointment. Two days after Christmas 2018. He sits down and asks if I have any questions. Awww shit, yeah about 27 months worth here doc. 
Finally someone just lays it on me: He tells me "You have late onset Type 1 diabetes. Your bloodwork is pretty stable all things considered with an A1C of 7.0 again." All those hypo incidents? Dude, you're 152lbs and taking 26u of Lantus a day. Scale that back to 18 tonight. If there days from now that's still a bit much drop to 16u. You ain't no T2 bud. 
And like that my life changed for the better yet again. They sent me to another nutritionist. I went once and never went again after she tried to tell me how to dose insulin in a way that made zero sense. Asked the endo and he just looked at me like a head grew out of my shoulder. LOL, well good thing I didn't listen to her, eh?
But here's the point: That was all the lead up to now. My life is, today, a fucking wreck. Yeah, my A1C is 6.3 for a year now but emotionally I'm a totaled and burning car. I thought that "diabetes depression" was bullshit, or some idiocy for weakminded fools, or for the people who just don't pay attention. It's not. I figured that out last night when, out of nowhere, I just started crying. That's when I realized that this has been awhile coming. 
October 24, 2016 is what sticks out in my head. That's the day my life came apart at the seams. I was accepted to graduate school and life was grand. That was the day I heard "You have sugar in your urine" followed by "You have diabetes. It's not a big deal". Well, now that "grand" feeling is gone because I spent two years fucking around with "Type 2", almost died, wracked up massive bills, made a bunch of stupid decisions while in DKA, ended up in a second bachelor's program that I don't want and don't need just to have reasonably affordable insurance. And now... I'm scared. More scared than I've ever been of anything. More scared than getting shot at. More scared than getting jumped.  More scared than when someone died in my arms. And worse than the fear? I've lost all my aggression towards anything. I don't "go after" things anymore. I don't "go through" problems. Even in BJJ where I should handle people easily all I do is defend. I don't attack anymore. I told myself for awhile that it was honing my defense skills or letting a newbie learn without killing his/her motivation. Nah, part of me just doesn't want to do what I know I should.  It's not that the fear creates incapacitating panic. It's that the fear creates incapacitating analysis paralysis. Maybe that's not the right wordamajiggers but damn, it's after 0430 and I can't think very well right now. 
Should I get a second bachelors? Look for a job? An internship? Hit grad school again? Every one of those choices sounds simultaneously stimulating, awesome and fucking terrifying at the same time. Honestly, I think my ability to accurately assess risk/reward is shot to shit (if I ever had it). I mean, how the fuck do I explain this four year, FOUR YEAR, gap in my life to... anyone? I mean, my wife gets it. She doesn't need an explanation. She's been there for me from day one. But how do I explain that to a hiring manager? A grad school admissions officer? How the fuck do I get them to see that I'm not the lazy piece of shit I look like on paper? That I've been working my ass off... on diabetes, not sitting on a couch smoking dope and playing guitar? 
I mean, 90% of people don't know shit about this problem so they need this long ass explanation before I even start to make sense and they're asleep five minutes in. 5% think they know but don't know anything worth knowing and the rest... have diabetes and I don't wanna dump this shit on them. They've got enough problems already, because fucking dia-goddamn-betes.  
I just don't know. I'm not honestly sure I can handle another punch in the mouth right now. Running with that metaphor, have you ever seen a boxer so dazed at the end of the round that he can't find his corner? Yeah, that's me right now. I hate it. And part of me despises myself for not just sucking it up and getting shit done but somehow I can't. I can't make those hard decisions that I used to find so easy. I can't take the advice I've given people for years. Fuck, some days I feel like I'm practically a child, unable to take care of myself. Like I can't make it places on time in the morning because I was up all night fighting highs or lows or just trying not to think about fighting highs or lows or I didn't get a dawn effect with breakfast so I'm scared to drive a car because I might hurt someone. But hey, at least all my organs function at well above average and my A1C is below target, right?
So, I guess this is that diabetes depression they warned me about and I laughed off/ignored. Paying for that hubris now, eh? 
If ya made it this far, well damn trooper, good on ya.</t>
        </is>
      </c>
      <c r="D8547" t="n">
        <v>1</v>
      </c>
      <c r="E8547" t="n">
        <v>20</v>
      </c>
      <c r="F8547">
        <f>HYPERLINK("https://www.reddit.com/r/diabetes/comments/faazs3/diabetes_depression_gawd_i_hate_thee/")</f>
        <v/>
      </c>
      <c r="G8547" t="inlineStr">
        <is>
          <t>2020-02-27 03:54:16</t>
        </is>
      </c>
      <c r="H8547" t="inlineStr">
        <is>
          <t>Type 1</t>
        </is>
      </c>
    </row>
    <row r="8548">
      <c r="A8548" t="inlineStr">
        <is>
          <t>fafbp5</t>
        </is>
      </c>
      <c r="B8548" t="inlineStr">
        <is>
          <t>New Medtronic Minimed Pump 723LNAS For Sale</t>
        </is>
      </c>
      <c r="C8548" t="inlineStr">
        <is>
          <t>PM here with offers. Thank you. It is in box unopened.</t>
        </is>
      </c>
      <c r="D8548" t="n">
        <v>1</v>
      </c>
      <c r="E8548" t="n">
        <v>1</v>
      </c>
      <c r="F8548">
        <f>HYPERLINK("https://www.reddit.com/r/diabetes/comments/fafbp5/new_medtronic_minimed_pump_723lnas_for_sale/")</f>
        <v/>
      </c>
      <c r="G8548" t="inlineStr">
        <is>
          <t>2020-02-27 09:14:45</t>
        </is>
      </c>
      <c r="H8548" t="inlineStr">
        <is>
          <t>Type 1</t>
        </is>
      </c>
    </row>
    <row r="8549">
      <c r="A8549" t="inlineStr">
        <is>
          <t>fafcfk</t>
        </is>
      </c>
      <c r="B8549" t="inlineStr">
        <is>
          <t>prone to corona infection</t>
        </is>
      </c>
      <c r="C8549" t="inlineStr">
        <is>
          <t>so, apparently people diagnosed with chronic illnesses, such as T1, are more prone to developing more serious cases of the corona virus prior to infection, and i'm a little freaked out by that ngl, being a T1 diabetic. don't mean to freak anyone else out, but i just needed to get this out somewhere, and hopefully receive some support from fellow T1s</t>
        </is>
      </c>
      <c r="D8549" t="n">
        <v>1</v>
      </c>
      <c r="E8549" t="n">
        <v>5</v>
      </c>
      <c r="F8549">
        <f>HYPERLINK("https://www.reddit.com/r/diabetes/comments/fafcfk/prone_to_corona_infection/")</f>
        <v/>
      </c>
      <c r="G8549" t="inlineStr">
        <is>
          <t>2020-02-27 09:16:02</t>
        </is>
      </c>
      <c r="H8549" t="inlineStr">
        <is>
          <t>Type 1</t>
        </is>
      </c>
    </row>
    <row r="8550">
      <c r="A8550" t="inlineStr">
        <is>
          <t>fagbop</t>
        </is>
      </c>
      <c r="B8550" t="inlineStr">
        <is>
          <t>Scared of the Hospital</t>
        </is>
      </c>
      <c r="C8550" t="inlineStr">
        <is>
          <t>Is anyone else scared of going to the hospital? 
I was diagnosed 2 years ago after my DKA got so bad that I had to take an ambulance to the hospital. They said my glucose level topped out at 800 mg/dL. I wasn't conscious for most of the first day. I spent about 3 days in the ICU and then spent a week in what they called a step down unit. They taught me how to text my blood sugar, how to inject insulin, counting carbs. All the basics.
So now when I start trending towards hyperglycemia and it won't come down, or I go hypoglycemic and it takes too long to go back up I get real scared. I think about getting stuck back in the hospital. I think about the breathing mask they forced me to wear. I think about the financial services representative who came by every day and wanted to know how I was going to pay for it all. I think about how I walked around the step down unit and walked past rooms with people dying slowly while their family watched. I think about how when my family would leave for the night how I would stare out the window and keep choking back tears. I think about how I considered just walking into traffic after they released me because I couldn't imagine living with this disease.
I don't think about it as much as I used to, but it still happens at least once a month. Sometimes it's not even because of a high or a low, it's just hearing someone talk about visiting a hospital, or the smell of some cleaning chemical. 
What I'm asking is does anyone else here have this problem? I'm not sure I've ever heard of anyone else articulating this feeling anywhere else before. I know my fear is irrational, but it's just so visceral when it hits I can't talk myself out of it. I'm very tired of being scared of something that will probably not happen again anytime soon.</t>
        </is>
      </c>
      <c r="D8550" t="n">
        <v>1</v>
      </c>
      <c r="E8550" t="n">
        <v>2</v>
      </c>
      <c r="F8550">
        <f>HYPERLINK("https://www.reddit.com/r/diabetes/comments/fagbop/scared_of_the_hospital/")</f>
        <v/>
      </c>
      <c r="G8550" t="inlineStr">
        <is>
          <t>2020-02-27 10:19:55</t>
        </is>
      </c>
      <c r="H8550" t="inlineStr">
        <is>
          <t>Type 1</t>
        </is>
      </c>
    </row>
    <row r="8551">
      <c r="A8551" t="inlineStr">
        <is>
          <t>fagqkh</t>
        </is>
      </c>
      <c r="B8551" t="inlineStr">
        <is>
          <t>Do I have to treat low BG? Hypoglycemic unawareness</t>
        </is>
      </c>
      <c r="C8551" t="inlineStr">
        <is>
          <t>Everything on the internet says to treat if under 70, but...do I have to? Will my brain have damage if i'm in the 60's and stable for a while if I don't treat? 1) I'm not hungry and 2) I'm a student/intern with an EXTREMELY tight budget who also doesn't qualify for financial assistance or government assistance so I'm trying not to snack when I don't have to. 
I use a medtronic 670g and CGM guardian and I don't use the closed loop/auto function. If the CGM tells me I'm in the 50's when I check I usually am actually in the 65 range and don't feel it. (yes, the alarm gets annoying). Should I just suspend the pump for awhile or is it fine to be in the 60's no problem? 
I just got out of a season of diabetes burnout about 4 months ago and can "feel" low bg \~45. I'm pretty well controlled overall.</t>
        </is>
      </c>
      <c r="D8551" t="n">
        <v>1</v>
      </c>
      <c r="E8551" t="n">
        <v>9</v>
      </c>
      <c r="F8551">
        <f>HYPERLINK("https://www.reddit.com/r/diabetes/comments/fagqkh/do_i_have_to_treat_low_bg_hypoglycemic_unawareness/")</f>
        <v/>
      </c>
      <c r="G8551" t="inlineStr">
        <is>
          <t>2020-02-27 10:45:41</t>
        </is>
      </c>
      <c r="H8551" t="inlineStr">
        <is>
          <t>Type 1</t>
        </is>
      </c>
    </row>
    <row r="8552">
      <c r="A8552" t="inlineStr">
        <is>
          <t>fanr2c</t>
        </is>
      </c>
      <c r="B8552" t="inlineStr">
        <is>
          <t>I think I screwed my self</t>
        </is>
      </c>
      <c r="C8552" t="inlineStr">
        <is>
          <t>I got diagnosed with diabetes about 4 years ago. My A1C was at 12 and my blood sugar levels where at between 200 to 300 range. I got put on metformin 1000 and glyburide 5 twice a day. After a week or so it would make me hypoglycemic. I reduced my recommended dosage and it work. I managed to drop my A1C to about 6.9 about 2 years ago. Then last year my a1c went up to 9.0, And today I went to do some work done and my a1c is at 11. I think I put to much faith on the meds thinking that was all. This is so disheartening, I need to lower my weight and fix my self my career path requires me to have my diabetes in check. I recently started to go to the gym doing about 20 mim of cardio and about 30 to 40 of weight lifting and 15 min cool down on the treadmill.
What have yall done to help you out with yalls A1C what are yalls plans of attack. So I can try and set up a system that might work for me and give me results?</t>
        </is>
      </c>
      <c r="D8552" t="n">
        <v>1</v>
      </c>
      <c r="E8552" t="n">
        <v>12</v>
      </c>
      <c r="F8552">
        <f>HYPERLINK("https://www.reddit.com/r/diabetes/comments/fanr2c/i_think_i_screwed_my_self/")</f>
        <v/>
      </c>
      <c r="G8552" t="inlineStr">
        <is>
          <t>2020-02-27 18:42:55</t>
        </is>
      </c>
      <c r="H8552" t="inlineStr">
        <is>
          <t>Type 2</t>
        </is>
      </c>
    </row>
    <row r="8553">
      <c r="A8553" t="inlineStr">
        <is>
          <t>faobmr</t>
        </is>
      </c>
      <c r="B8553" t="inlineStr">
        <is>
          <t>Can't Connect old contour next link meters to my 670g pump</t>
        </is>
      </c>
      <c r="C8553" t="inlineStr">
        <is>
          <t>The serial number of the meters are 4 digits short and auto connect is not an option on the meters. Do I really have to order new meters for this new pump? This new pump has been nothing but a nuisance to my life.</t>
        </is>
      </c>
      <c r="D8553" t="n">
        <v>1</v>
      </c>
      <c r="E8553" t="n">
        <v>5</v>
      </c>
      <c r="F8553">
        <f>HYPERLINK("https://www.reddit.com/r/diabetes/comments/faobmr/cant_connect_old_contour_next_link_meters_to_my/")</f>
        <v/>
      </c>
      <c r="G8553" t="inlineStr">
        <is>
          <t>2020-02-27 19:26:07</t>
        </is>
      </c>
      <c r="H8553" t="inlineStr">
        <is>
          <t>Type 1</t>
        </is>
      </c>
    </row>
    <row r="8554">
      <c r="A8554" t="inlineStr">
        <is>
          <t>faou47</t>
        </is>
      </c>
      <c r="B8554" t="inlineStr">
        <is>
          <t>Vog Mask?</t>
        </is>
      </c>
      <c r="C8554" t="inlineStr">
        <is>
          <t>Has anyone considered a Vog Mask? I've been lucky not to catch the flu so far but flu + coronavirus risk while living in a college dorm is a bit higher than I'd like. I have several other chronic illnesses that affect my immune system so I want to stay healthy, but I don't want to overreact. I've had my flu shot + all the other vaccines recommended but I'm wondering if investing in a vog mask could lower my risk of illness even more. Has anyone tried this? Has it helped you? TIA!</t>
        </is>
      </c>
      <c r="D8554" t="n">
        <v>1</v>
      </c>
      <c r="E8554" t="n">
        <v>5</v>
      </c>
      <c r="F8554">
        <f>HYPERLINK("https://www.reddit.com/r/diabetes/comments/faou47/vog_mask/")</f>
        <v/>
      </c>
      <c r="G8554" t="inlineStr">
        <is>
          <t>2020-02-27 20:06:22</t>
        </is>
      </c>
      <c r="H8554" t="inlineStr">
        <is>
          <t>Type 1</t>
        </is>
      </c>
    </row>
    <row r="8555">
      <c r="A8555" t="inlineStr">
        <is>
          <t>fb0fvo</t>
        </is>
      </c>
      <c r="B8555" t="inlineStr">
        <is>
          <t>Always tired what should I do?</t>
        </is>
      </c>
      <c r="C8555" t="inlineStr">
        <is>
          <t>My daily bg is around 7 mmol aka 127 mg dl but I am always tired.
If i go out for a bit for groceries I'll be sleeping from 7pm to 7 am and still wake up tired and sleep a whole lot more until noon.
What should I do?</t>
        </is>
      </c>
      <c r="D8555" t="n">
        <v>1</v>
      </c>
      <c r="E8555" t="n">
        <v>14</v>
      </c>
      <c r="F8555">
        <f>HYPERLINK("https://www.reddit.com/r/diabetes/comments/fb0fvo/always_tired_what_should_i_do/")</f>
        <v/>
      </c>
      <c r="G8555" t="inlineStr">
        <is>
          <t>2020-02-28 11:49:05</t>
        </is>
      </c>
      <c r="H8555" t="inlineStr">
        <is>
          <t>Type 2</t>
        </is>
      </c>
    </row>
    <row r="8556">
      <c r="A8556" t="inlineStr">
        <is>
          <t>fb1s4n</t>
        </is>
      </c>
      <c r="B8556" t="inlineStr">
        <is>
          <t>My Prediabetes has finally turned into the beast.</t>
        </is>
      </c>
      <c r="C8556" t="inlineStr">
        <is>
          <t>What now?
Hi folks!
I will try to keep this short.  My entire life I have been fit.  Not gym rat 4% body fat fit, but fit nonetheless.  I routinely exercised.  8 years ago, when I was 36, I had a heart attack and had to undergo quadruple bypass surgery.  Nobody saw that coming.  2 things saved my life.  My level of fitness and my age.  My LAD was 100% occluded, what doctors refer to as the "widow-maker", and my RCA was 80% occluded.  Due to the level of atrophy of the LAD my thoracic surgeon estimated that the vessel had been completely blocked for several years.  Years.  However, my heart had developed enough peripheral flow around the blockage over the years to keep me upright but as I aged it slowly became too little.  I discovered that I had high cholesterol (\~600 at the time).  Yup, I fell into the 'I feel fine, I don't need to see a doctor' trap.  
"You're prediabetic" my cardiologist said.  Pre-beg-your-pardon?  
My condolences on losing the genetic lottery kid.  Ya did everything right, but genetics doesn't discriminate...
Fast forward 8 years, I have been managing my cholesterol with a brain decaying statin, like many others, but my fasted blood glucose levels are now diabetic level.  Did I mention 3 years ago I was almost killed in a head on collision?  No?  Whelp, after narrowly surviving that noise I was in a wheelchair and traction for 6 months.  I developed some bad habits and admittedly stopped exercising and gained about 50 ponds.  I am the heaviest I have ever been.
Off to the Internet I went and proceeded to find nothing but conflicting information.  No surprise.
So many questions.
I understand it's progressive, but what am I in for realistically?  Will the neuropathy in my toes subside as I drive my A1c down and get my body back in shape?  They just throb. I have returned to a ketogenic diet.  I don't consume much sugar anyway but I have also bailed on starches.  Should I be taking supplements?  Could this be 1.5, how do they know?  What kind of specialists exist that aren't holistic shaman?
 Any insight will be greatly appreciated!</t>
        </is>
      </c>
      <c r="D8556" t="n">
        <v>1</v>
      </c>
      <c r="E8556" t="n">
        <v>7</v>
      </c>
      <c r="F8556">
        <f>HYPERLINK("https://www.reddit.com/r/diabetes/comments/fb1s4n/my_prediabetes_has_finally_turned_into_the_beast/")</f>
        <v/>
      </c>
      <c r="G8556" t="inlineStr">
        <is>
          <t>2020-02-28 13:16:34</t>
        </is>
      </c>
      <c r="H8556" t="inlineStr">
        <is>
          <t>Type 1.5/LADA</t>
        </is>
      </c>
    </row>
    <row r="8557">
      <c r="A8557" t="inlineStr">
        <is>
          <t>fb22jv</t>
        </is>
      </c>
      <c r="B8557" t="inlineStr">
        <is>
          <t>Recent type 1 diagnosis.</t>
        </is>
      </c>
      <c r="C8557" t="inlineStr">
        <is>
          <t>Hello All
I got my blood tested for the first time since probably middle school last week. The doctor's office called and said my glucose was in diabetic range and wanted me to come in Tuesday (2/25) for another blood test.  I have not received the results from the 2nd test in the mail yet. My glucose was 210mg/dl on the first (fasting blood test). 
I just got a call from one of the nurses at the front desk who said that based on the results of the latest blood test my doctor has diagnosed me as a type 1 diabetic and that I have been one for "likely several months." 
Is that possible? I'm a 23M. I always assumed you were born with type 1. I have another appointment scheduled for this tuesday (3/2). 
Based on the results of the first test I kind of assumed they were talking about type 2. Which I was surprised about because I feel like I'm in decent shape (5'7" 130lbs). So I was preparing to get a recommendation for a low carb diet, exercise, and maybe some medication. 
After the phone call, I feel kind of lost. Reading through the sub and online it seems not very similar to what I was researching earlier. For those of you out there who have been in a similar situation, what should I do before my appointment?
Are there any questions I should ask my doctor on Tuesday that I'm probably not thinking of? I have heard a million stories about the cost of insulin rising which is making me really concerned about the cost of getting one of the continuous glucose monitors and insulin and other medications.  I'm in FL USA if that helps. 
I feel like I should just stay calm and wait till Tuesday, but I also am not doing that. 
&amp;amp;#x200B;
I would appreciate any help or resources you guys can point me towards.</t>
        </is>
      </c>
      <c r="D8557" t="n">
        <v>1</v>
      </c>
      <c r="E8557" t="n">
        <v>24</v>
      </c>
      <c r="F8557">
        <f>HYPERLINK("https://www.reddit.com/r/diabetes/comments/fb22jv/recent_type_1_diagnosis/")</f>
        <v/>
      </c>
      <c r="G8557" t="inlineStr">
        <is>
          <t>2020-02-28 13:35:05</t>
        </is>
      </c>
      <c r="H8557" t="inlineStr">
        <is>
          <t>Type 1</t>
        </is>
      </c>
    </row>
    <row r="8558">
      <c r="A8558" t="inlineStr">
        <is>
          <t>fb2p8c</t>
        </is>
      </c>
      <c r="B8558" t="inlineStr">
        <is>
          <t>Drinking raising BG</t>
        </is>
      </c>
      <c r="C8558" t="inlineStr">
        <is>
          <t>Hey guys - I'm T1 and was just looking to see if alcohol raises anyone else's bg? I noticed if I would have sangria or a marg, even with bolusing my bg would shoot up and stay high. Tried died coke and vodka and the same thing would happen. I don't drink often, but when I do I would obviously not like this to happen. Super weird because all my T1 friends say they get crazy low when they drink.</t>
        </is>
      </c>
      <c r="D8558" t="n">
        <v>1</v>
      </c>
      <c r="E8558" t="n">
        <v>14</v>
      </c>
      <c r="F8558">
        <f>HYPERLINK("https://www.reddit.com/r/diabetes/comments/fb2p8c/drinking_raising_bg/")</f>
        <v/>
      </c>
      <c r="G8558" t="inlineStr">
        <is>
          <t>2020-02-28 14:19:56</t>
        </is>
      </c>
      <c r="H8558" t="inlineStr">
        <is>
          <t>Type 1</t>
        </is>
      </c>
    </row>
    <row r="8559">
      <c r="A8559" t="inlineStr">
        <is>
          <t>fb2sjy</t>
        </is>
      </c>
      <c r="B8559" t="inlineStr">
        <is>
          <t>Ramen?</t>
        </is>
      </c>
      <c r="C8559" t="inlineStr">
        <is>
          <t>What are your thoughts on cup of noodles? I was diagnosed last week and am craving ramen so bad, what are your experiences with it if eaten?</t>
        </is>
      </c>
      <c r="D8559" t="n">
        <v>1</v>
      </c>
      <c r="E8559" t="n">
        <v>4</v>
      </c>
      <c r="F8559">
        <f>HYPERLINK("https://www.reddit.com/r/diabetes/comments/fb2sjy/ramen/")</f>
        <v/>
      </c>
      <c r="G8559" t="inlineStr">
        <is>
          <t>2020-02-28 14:27:15</t>
        </is>
      </c>
      <c r="H8559" t="inlineStr">
        <is>
          <t>Type 1</t>
        </is>
      </c>
    </row>
    <row r="8560">
      <c r="A8560" t="inlineStr">
        <is>
          <t>fb4h6v</t>
        </is>
      </c>
      <c r="B8560" t="inlineStr">
        <is>
          <t>For iPhone users I made a shortcut for calculating insulin with pens! Let me know if you have any feedback.</t>
        </is>
      </c>
      <c r="C8560" t="inlineStr">
        <is>
          <t>Hello fellow T1 diabetics! I'm a pen user using Novolog and was frustrated with trying to calculate my insulin using a calculator all the time at meals, so I created a Siri Shortcut to do the work for me. I have two different shortcuts, one integrates with Sugarmate to grab your readings from the calendar if you have a Dexcom, and the other is for non-CGM calculations. 
**Few cool features:** 
* Integrates with Apple Health to record your insulin intake, blood glucose and carbs.
* Can be placed as a widget or app on your homescreen.
* Using "Hey Siri" you can ask Siri to run the automation and she will ask you the questions, hands free calculations!
* All you do is add your carbs (or blood sugar if using the non-CGM version) and it will tell you how many units of meal-time insulin to take (it shows raw value and rounded up).
* Current version is in mg/dl for blood glucose measurements
**To Setup:**
Once you download it, you will need to change the values given to you by your doctor for dividing to hit your target blood sugar, your target blood glucose (default is set to 120mg/dl) and your carbs division. I have noted them with comments, just make sure to go in and change them.
Also **MAKE SURE TO CHECK AGAINST ACTUAL CALCULATIONS FOR A BIT FOR ACCURACY**. I don't profess to be a doctor and this is meant to be a tool, not a replacement for doing it whatever way your doctor has informed you of. **Listen to your doctor**, not a stranger on the internet.
With that said, here are the links:
CGM/Sugarmate version: [https://www.icloud.com/shortcuts/2e43689316e14126ae63490dce1d4740](https://www.icloud.com/shortcuts/2e43689316e14126ae63490dce1d4740)
Non-CGM version: [https://www.icloud.com/shortcuts/96d33112764643d5ba70802baffe54aa](https://www.icloud.com/shortcuts/96d33112764643d5ba70802baffe54aa)
You will need to be updated to iOS 13 and have the shortcuts app installed for it to work, and you will need to allow shortcuts to write to the health app as well.
Let me know if you have any questions or feedback!</t>
        </is>
      </c>
      <c r="D8560" t="n">
        <v>1</v>
      </c>
      <c r="E8560" t="n">
        <v>15</v>
      </c>
      <c r="F8560">
        <f>HYPERLINK("https://www.reddit.com/r/diabetes/comments/fb4h6v/for_iphone_users_i_made_a_shortcut_for/")</f>
        <v/>
      </c>
      <c r="G8560" t="inlineStr">
        <is>
          <t>2020-02-28 16:37:50</t>
        </is>
      </c>
      <c r="H8560" t="inlineStr">
        <is>
          <t>Type 1</t>
        </is>
      </c>
    </row>
    <row r="8561">
      <c r="A8561" t="inlineStr">
        <is>
          <t>fb5bm2</t>
        </is>
      </c>
      <c r="B8561" t="inlineStr">
        <is>
          <t>RANT: My sugar has been bouncing between 150 and 300 for days with no reason found</t>
        </is>
      </c>
      <c r="C8561" t="inlineStr">
        <is>
          <t>I thought at first it was just a change of my Libre sensor to one that was poorly calibrated from the factory, but they're up and down and then insulin corrected every two hours for the past couple of days. It's getting really frustrating. On Thursday 10 units brought me from 260 to 240, and on Tuesday night I jogged for two miles and took insulin and still couldn't get it to dip below 200. 
&amp;amp;#x200B;
This disease has gotten so old and I'd love to have it go away or better treatment options or something, because when it's unexplainably weird it's so much more frustrating. I'd rather eat a cinnamon roll and at be able to say, "Yeah, my own decision has raised my sugar," than deal with "Yeah, I have no idea what raised my sugar."</t>
        </is>
      </c>
      <c r="D8561" t="n">
        <v>1</v>
      </c>
      <c r="E8561" t="n">
        <v>10</v>
      </c>
      <c r="F8561">
        <f>HYPERLINK("https://www.reddit.com/r/diabetes/comments/fb5bm2/rant_my_sugar_has_been_bouncing_between_150_and/")</f>
        <v/>
      </c>
      <c r="G8561" t="inlineStr">
        <is>
          <t>2020-02-28 17:45:49</t>
        </is>
      </c>
      <c r="H8561" t="inlineStr">
        <is>
          <t>Type 1</t>
        </is>
      </c>
    </row>
    <row r="8562">
      <c r="A8562" t="inlineStr">
        <is>
          <t>fb88h9</t>
        </is>
      </c>
      <c r="B8562" t="inlineStr">
        <is>
          <t>I have PCOS and got diabetes from it. My a1c is 6.1. I’m not on medication and haven’t been for 3 years. Any recommendations?</t>
        </is>
      </c>
      <c r="C8562" t="inlineStr">
        <is>
          <t>I have been okay at controlling this with diet and exercise for a few years. I cannot tolerate metformin and want to get my sugar to a normal level. I was hospitalized for an infection and didn’t mind a little insulin injection due to the infection. 
My doctor sucks. I need to find someone I can trust. I spent 20 years trying to diagnose the PCOS and it wasn’t until the diabetes came about and I was fat. Then they said metformin was the cure for everything, PCOS, even pregnant women, but it did nothing for me. 
Eating low carb got me to 6.1 and a normal weight. That was taken after “cheating” a lot. 
I feel like I need to find a good doc and an endo. How do I do that? I spent 15 years looking for docs to help with the PCOS only to get diabetes. Then my doc said hey, you have PCOS but this metformin will fix it and it didn’t.  I went keto after losing insurance but am no longer without insurance. Still 6.1 a1c. PCOS is pretty much gone/non issue. 
Will an endo let me use insulin/ other to get me okay? What should I ask about? I really limit my carbs and sugar but would rather be in range. 
Any other drugs that don’t make me run to the restroom all the time would be good.</t>
        </is>
      </c>
      <c r="D8562" t="n">
        <v>1</v>
      </c>
      <c r="E8562" t="n">
        <v>6</v>
      </c>
      <c r="F8562">
        <f>HYPERLINK("https://www.reddit.com/r/diabetes/comments/fb88h9/i_have_pcos_and_got_diabetes_from_it_my_a1c_is_61/")</f>
        <v/>
      </c>
      <c r="G8562" t="inlineStr">
        <is>
          <t>2020-02-28 21:53:39</t>
        </is>
      </c>
      <c r="H8562" t="inlineStr">
        <is>
          <t>Type 2</t>
        </is>
      </c>
    </row>
    <row r="8563">
      <c r="A8563" t="inlineStr">
        <is>
          <t>fbc9j4</t>
        </is>
      </c>
      <c r="B8563" t="inlineStr">
        <is>
          <t>Leg spasms at night</t>
        </is>
      </c>
      <c r="C8563" t="inlineStr">
        <is>
          <t>Hi, I'm new to the group and I'm sorry if this has been covered before but I scrolled down for quite a while and couldn't see any discussion about it. I have type 2 diabetes and have had it for about a year, and shortly after my diagnosis I started having really bad leg spasms at night, they'd wake me up about once an hour and I'd have to do a number of stretches before they'd go away.  
The problem is that they appear to be getting worse, and my Doctor has been of no help whatsoever, he prescribed Quinine but that didn't help at all, and otherwise seems lost. I've tried exercising before bed, doing various stretches, I take calcium, Vitamin D and B6 pills and Magnesium tablets, and Cod liver oil and nothing works.  
To be honest I'm getting pretty frustrated and depressed about it (and am already on anti-depressants, but have changed the type I take just in case it was that which was triggering it) and feel exhausted all the time, so if anyone does have any advice it would be enormously appreciated.</t>
        </is>
      </c>
      <c r="D8563" t="n">
        <v>1</v>
      </c>
      <c r="E8563" t="n">
        <v>19</v>
      </c>
      <c r="F8563">
        <f>HYPERLINK("https://www.reddit.com/r/diabetes/comments/fbc9j4/leg_spasms_at_night/")</f>
        <v/>
      </c>
      <c r="G8563" t="inlineStr">
        <is>
          <t>2020-02-29 05:07:28</t>
        </is>
      </c>
      <c r="H8563" t="inlineStr">
        <is>
          <t>Type 2</t>
        </is>
      </c>
    </row>
    <row r="8564">
      <c r="A8564" t="inlineStr">
        <is>
          <t>fbdw7v</t>
        </is>
      </c>
      <c r="B8564" t="inlineStr">
        <is>
          <t>Newly diagnosed Type 1 diabetic with concerns.</t>
        </is>
      </c>
      <c r="C8564" t="inlineStr">
        <is>
          <t>Hi everyone! My girlfriend was diagnosed with type 1 diabetes in November of last year. She’s taken it with great strides but has been having some problems. She has a dexcom and for a few days in a row she can keep her sugars around 100 with no problem but then she has nights where her sugars just drastically drop or spike with no warning.
Last night we were laying in bed and her sugars drastically rising and spiked at 272. She did her math and took her insulin and she normalized our but in an hour or so she just started dropping and capped around 44 or lower. She took 3 squeeze packs of glucose gel that had around 15gs of carbs and a few glucose tablets and she still sat around 44 for around 20 minutes. 
After this her blood sugars shot back up to around 270 again. For reference she is very active and health conscious. She is also currently on her period. I don’t know if anyone has advice for her or similar experiences???</t>
        </is>
      </c>
      <c r="D8564" t="n">
        <v>1</v>
      </c>
      <c r="E8564" t="n">
        <v>15</v>
      </c>
      <c r="F8564">
        <f>HYPERLINK("https://www.reddit.com/r/diabetes/comments/fbdw7v/newly_diagnosed_type_1_diabetic_with_concerns/")</f>
        <v/>
      </c>
      <c r="G8564" t="inlineStr">
        <is>
          <t>2020-02-29 07:17:29</t>
        </is>
      </c>
      <c r="H8564" t="inlineStr">
        <is>
          <t>Type 1</t>
        </is>
      </c>
    </row>
    <row r="8565">
      <c r="A8565" t="inlineStr">
        <is>
          <t>fbfegj</t>
        </is>
      </c>
      <c r="B8565" t="inlineStr">
        <is>
          <t>How to fix this true metrix glucose meter?</t>
        </is>
      </c>
      <c r="C8565" t="inlineStr">
        <is>
          <t>It gives vague results...if I use two separate strips on same finger in succession ...it give me totally different results ..for example 79 than 110 ..
Is there any way to fix this..I dont have control solution</t>
        </is>
      </c>
      <c r="D8565" t="n">
        <v>1</v>
      </c>
      <c r="E8565" t="n">
        <v>6</v>
      </c>
      <c r="F8565">
        <f>HYPERLINK("https://www.reddit.com/r/diabetes/comments/fbfegj/how_to_fix_this_true_metrix_glucose_meter/")</f>
        <v/>
      </c>
      <c r="G8565" t="inlineStr">
        <is>
          <t>2020-02-29 09:00:06</t>
        </is>
      </c>
      <c r="H8565" t="inlineStr">
        <is>
          <t>Type 2</t>
        </is>
      </c>
    </row>
    <row r="8566">
      <c r="A8566" t="inlineStr">
        <is>
          <t>fbfjwt</t>
        </is>
      </c>
      <c r="B8566" t="inlineStr">
        <is>
          <t>Type 1 UK: Has anybody here had their driving license taken away because of retinopathy? If so, are you able to reapply for your license when things get better?</t>
        </is>
      </c>
      <c r="C8566" t="inlineStr">
        <is>
          <t>Title kinda says it all really. I've had a bleed which is getting better, my vision is improving all the time. Timing is just unfortunate in that I had to renew at the same time it started.</t>
        </is>
      </c>
      <c r="D8566" t="n">
        <v>1</v>
      </c>
      <c r="E8566" t="n">
        <v>0</v>
      </c>
      <c r="F8566">
        <f>HYPERLINK("https://www.reddit.com/r/diabetes/comments/fbfjwt/type_1_uk_has_anybody_here_had_their_driving/")</f>
        <v/>
      </c>
      <c r="G8566" t="inlineStr">
        <is>
          <t>2020-02-29 09:09:50</t>
        </is>
      </c>
      <c r="H8566" t="inlineStr">
        <is>
          <t>Type 1</t>
        </is>
      </c>
    </row>
    <row r="8567">
      <c r="A8567" t="inlineStr">
        <is>
          <t>fbhw4z</t>
        </is>
      </c>
      <c r="B8567" t="inlineStr">
        <is>
          <t>New Dexcom G6 arriving Tuesday!! I need all of your pro tips.</t>
        </is>
      </c>
      <c r="C8567" t="inlineStr">
        <is>
          <t>So I'm 35, dxed 6 years ago, and this is my first CGM thanks to some new insurance via my wife's job.
I exercise a lot, biking, gym, running at least 7 times a week.  I also travel a lot. I can read all the internet articles I want about the best insertion points, accessories, apps and whatever else, but I love this forum so much and value all of y'all's opinions.  Help me with the learning curve! Thanks in advance!!</t>
        </is>
      </c>
      <c r="D8567" t="n">
        <v>1</v>
      </c>
      <c r="E8567" t="n">
        <v>14</v>
      </c>
      <c r="F8567">
        <f>HYPERLINK("https://www.reddit.com/r/diabetes/comments/fbhw4z/new_dexcom_g6_arriving_tuesday_i_need_all_of_your/")</f>
        <v/>
      </c>
      <c r="G8567" t="inlineStr">
        <is>
          <t>2020-02-29 11:44:17</t>
        </is>
      </c>
      <c r="H8567" t="inlineStr">
        <is>
          <t>Type 1</t>
        </is>
      </c>
    </row>
    <row r="8568">
      <c r="A8568" t="inlineStr">
        <is>
          <t>fbiir8</t>
        </is>
      </c>
      <c r="B8568" t="inlineStr">
        <is>
          <t>Question is about if blood sugar levels go up if you don't eat carbs and if so about what is the range?</t>
        </is>
      </c>
      <c r="C8568" t="inlineStr">
        <is>
          <t>I have a question that I have not been able to find online. If I eat only proteins and fats and no sugar or carbs should my blood sugar go up and if so about how much. I know there is no prefect number. For example my morning level was 98 then I hate 2 eggs, half an avocado, 4 carbs, but 3g fiber and some zero net carb bread and my sugar level went up to 130. Not sure if that means the bread is not truly Carb free of if just eating in general raises. Trying to get my A1C1 down and trying to keep 20 carbs per day. so I am  tracking my sugars a lot but know really sure if sugar levels go up when you don't eat carbs. any links or insight would be great.</t>
        </is>
      </c>
      <c r="D8568" t="n">
        <v>1</v>
      </c>
      <c r="E8568" t="n">
        <v>13</v>
      </c>
      <c r="F8568">
        <f>HYPERLINK("https://www.reddit.com/r/diabetes/comments/fbiir8/question_is_about_if_blood_sugar_levels_go_up_if/")</f>
        <v/>
      </c>
      <c r="G8568" t="inlineStr">
        <is>
          <t>2020-02-29 12:26:54</t>
        </is>
      </c>
      <c r="H8568" t="inlineStr">
        <is>
          <t>Type 2</t>
        </is>
      </c>
    </row>
    <row r="8569">
      <c r="A8569" t="inlineStr">
        <is>
          <t>fbjalk</t>
        </is>
      </c>
      <c r="B8569" t="inlineStr">
        <is>
          <t>Break outs after starting insulin?</t>
        </is>
      </c>
      <c r="C8569" t="inlineStr">
        <is>
          <t>Hi so some short background. I was diagnosed 6 months ago and I was put only on metformin, kept uping the dose until I got to 2,000mg a day and still couldn't get below 230 fasting. Got a new dr and he put me on insulin right away. A few weeks after starting insulin I started to get small break outs on my chest and upper back. I've never had breakout on by body ever. I only got breakouts on my face as a teen and young adult then that went away. My skin on my face was also pretty dry my while life and is now kinda oily? I drink lots of water and have water with about every meal (except breakfast) and I drink water throughout the day. Is this a side effect of insulin? Has anyone else had this?</t>
        </is>
      </c>
      <c r="D8569" t="n">
        <v>1</v>
      </c>
      <c r="E8569" t="n">
        <v>4</v>
      </c>
      <c r="F8569">
        <f>HYPERLINK("https://www.reddit.com/r/diabetes/comments/fbjalk/break_outs_after_starting_insulin/")</f>
        <v/>
      </c>
      <c r="G8569" t="inlineStr">
        <is>
          <t>2020-02-29 13:21:04</t>
        </is>
      </c>
      <c r="H8569" t="inlineStr">
        <is>
          <t>Type 1</t>
        </is>
      </c>
    </row>
    <row r="8570">
      <c r="A8570" t="inlineStr">
        <is>
          <t>fbjtdd</t>
        </is>
      </c>
      <c r="B8570" t="inlineStr">
        <is>
          <t>do any of you guys who are type 1 take metformin along with insulin?</t>
        </is>
      </c>
      <c r="C8570" t="inlineStr">
        <is>
          <t>I've been on only insulin for years since diagnosis and now they want me to take metformin too.  I researched it abit and it seems like a controversial thing that might not be beneficial.  just looking for some feedback.</t>
        </is>
      </c>
      <c r="D8570" t="n">
        <v>1</v>
      </c>
      <c r="E8570" t="n">
        <v>7</v>
      </c>
      <c r="F8570">
        <f>HYPERLINK("https://www.reddit.com/r/diabetes/comments/fbjtdd/do_any_of_you_guys_who_are_type_1_take_metformin/")</f>
        <v/>
      </c>
      <c r="G8570" t="inlineStr">
        <is>
          <t>2020-02-29 13:57:27</t>
        </is>
      </c>
      <c r="H8570" t="inlineStr">
        <is>
          <t>Type 1</t>
        </is>
      </c>
    </row>
    <row r="8571">
      <c r="A8571" t="inlineStr">
        <is>
          <t>fbjvg5</t>
        </is>
      </c>
      <c r="B8571" t="inlineStr">
        <is>
          <t>What carbohydrates should a 90+ year old Type 2 Diabetic eat?</t>
        </is>
      </c>
      <c r="C8571" t="inlineStr">
        <is>
          <t>Sounds like a stupid question but I'm not even sure if a Diabetic T2 can eat Potatoes due to the glucose.
So could anyone please provide examples of the sorts of carbs that a 91 year old Type 2 Diabetic should eat, or should they eat the same as a Diabetic of any age???
Thanks!</t>
        </is>
      </c>
      <c r="D8571" t="n">
        <v>1</v>
      </c>
      <c r="E8571" t="n">
        <v>10</v>
      </c>
      <c r="F8571">
        <f>HYPERLINK("https://www.reddit.com/r/diabetes/comments/fbjvg5/what_carbohydrates_should_a_90_year_old_type_2/")</f>
        <v/>
      </c>
      <c r="G8571" t="inlineStr">
        <is>
          <t>2020-02-29 14:01:20</t>
        </is>
      </c>
      <c r="H8571" t="inlineStr">
        <is>
          <t>Type 2</t>
        </is>
      </c>
    </row>
    <row r="8572">
      <c r="A8572" t="inlineStr">
        <is>
          <t>fbn26w</t>
        </is>
      </c>
      <c r="B8572" t="inlineStr">
        <is>
          <t>Having sky high glucose levels after heavy doses of antibiotics</t>
        </is>
      </c>
      <c r="C8572" t="inlineStr">
        <is>
          <t>(I'm T1 and Peritoneal Dialysis) I ended up in the hospital for what I thought was a tooth infection. ER department gave me both pills as well as IV for 2 days. I went in to the ER with safe levels (90-118) glucose levels. The first day in recovery (with no food in my stomach for \~16 hours) it remained below 138. On the second day and beyond I can't get it below 360+. Added a few extra units each Novolog dose with no effect (start 356, inject 15u for a 550 calorie breakfast) still 275 5 hours later.
I've read conflicting answers whether the antibiotics are causing the massive spikes but I'm hoping that it will get back to normal control after the antibiotics get filtered out of my system.</t>
        </is>
      </c>
      <c r="D8572" t="n">
        <v>1</v>
      </c>
      <c r="E8572" t="n">
        <v>11</v>
      </c>
      <c r="F8572">
        <f>HYPERLINK("https://www.reddit.com/r/diabetes/comments/fbn26w/having_sky_high_glucose_levels_after_heavy_doses/")</f>
        <v/>
      </c>
      <c r="G8572" t="inlineStr">
        <is>
          <t>2020-02-29 17:57:56</t>
        </is>
      </c>
      <c r="H8572" t="inlineStr">
        <is>
          <t>Type 1</t>
        </is>
      </c>
    </row>
    <row r="8573">
      <c r="A8573" t="inlineStr">
        <is>
          <t>fbnd9k</t>
        </is>
      </c>
      <c r="B8573" t="inlineStr">
        <is>
          <t>Has anyone had issues completing the control-IQ training?</t>
        </is>
      </c>
      <c r="C8573" t="inlineStr">
        <is>
          <t>I just finished the first of the two training modules buts its saying it is still "in-progress". When i hit resume it always goes back to the screen saying I have successfully completed the module and then I hit exit and still says in progress. Anyone had this problem?</t>
        </is>
      </c>
      <c r="D8573" t="n">
        <v>1</v>
      </c>
      <c r="E8573" t="n">
        <v>3</v>
      </c>
      <c r="F8573">
        <f>HYPERLINK("https://www.reddit.com/r/diabetes/comments/fbnd9k/has_anyone_had_issues_completing_the_controliq/")</f>
        <v/>
      </c>
      <c r="G8573" t="inlineStr">
        <is>
          <t>2020-02-29 18:21:50</t>
        </is>
      </c>
      <c r="H8573" t="inlineStr">
        <is>
          <t>Type 1</t>
        </is>
      </c>
    </row>
    <row r="8574">
      <c r="A8574" t="inlineStr">
        <is>
          <t>fboytf</t>
        </is>
      </c>
      <c r="B8574" t="inlineStr">
        <is>
          <t>New to T2</t>
        </is>
      </c>
      <c r="C8574" t="inlineStr">
        <is>
          <t>So, I'm new to the sweet life. And we found out on accident. My daughter has nondiabetic hypoglycemia, and she was acting off, so I had to help her test. Well, she was scared, so I tested myself... BAM 230....next day, fasting was 257. I'm not fat. I was in denial. I cried. I deemed my life over. That was in November, I've lost 35lbs, and my A1C went from 9.2 to 6.3. I still struggle with my fasting sugar, I'm low carb, strict on my nutrition.   
We're going to Disney here this summer, and I want to be able to get the odd treat (walking 10mi/day in 104 heat should help?) but the support around me is weak. Hubs gets it, but two small kids can't help being clueless (they're learning) and my friends are all "supplements and oils!!" and "Cure diabetes" &amp;gt;&amp;gt;; and my fave "OMG you're so YOUNG and not even fat! Just lose the weight!"  
So...here for support, information, and ideas. (on metformin with nutrition change)</t>
        </is>
      </c>
      <c r="D8574" t="n">
        <v>1</v>
      </c>
      <c r="E8574" t="n">
        <v>7</v>
      </c>
      <c r="F8574">
        <f>HYPERLINK("https://www.reddit.com/r/diabetes/comments/fboytf/new_to_t2/")</f>
        <v/>
      </c>
      <c r="G8574" t="inlineStr">
        <is>
          <t>2020-02-29 20:35:07</t>
        </is>
      </c>
      <c r="H8574" t="inlineStr">
        <is>
          <t>Type 2</t>
        </is>
      </c>
    </row>
    <row r="8575">
      <c r="A8575" t="inlineStr">
        <is>
          <t>fbu58e</t>
        </is>
      </c>
      <c r="B8575" t="inlineStr">
        <is>
          <t>Diabetic Vitamin Supplement Advice</t>
        </is>
      </c>
      <c r="C8575" t="inlineStr">
        <is>
          <t>I’m really sorry for the formatting. I’m on mobile.
I just wanted to ask any fellow South Africans on this subreddit about any Diabetic Vitamin/Supplements they use and would recommend. 
The reason why I ask is because I used to take a diabetic vitamin called Diabion and then I stopped taking it for about about 2/3 years and right now I’m unsure of any other vitamins that I could take because it looks like Diabion was discontinued. The reason why I stopped taking my vitamin was because I was in high school at the time and I felt that I didn’t need it. But now I’m in my third year of studying law and I find myself extremely tired by 12:30 - 13:00. I never used to get this tired so quickly and I’m starting to think that maybe taking some vitamins will help. Also do I have to take a diabetic supplement or can I just use the normal ones? 
A bit of my background:
I’m a 20 year old male and I have T1D. I’m currently using the Tslim insulin pump and the Dexcom G6 with Control IQ. I eat small regular meals throughout the day and I have really good control over my diabetes. My HbA1c is currently at 5.8.</t>
        </is>
      </c>
      <c r="D8575" t="n">
        <v>1</v>
      </c>
      <c r="E8575" t="n">
        <v>10</v>
      </c>
      <c r="F8575">
        <f>HYPERLINK("https://www.reddit.com/r/diabetes/comments/fbu58e/diabetic_vitamin_supplement_advice/")</f>
        <v/>
      </c>
      <c r="G8575" t="inlineStr">
        <is>
          <t>2020-03-01 05:37:43</t>
        </is>
      </c>
      <c r="H8575" t="inlineStr">
        <is>
          <t>Type 1</t>
        </is>
      </c>
    </row>
    <row r="8576">
      <c r="A8576" t="inlineStr">
        <is>
          <t>fbv083</t>
        </is>
      </c>
      <c r="B8576" t="inlineStr">
        <is>
          <t>What is the lowest grams of carbs per day you've ever seen someone eat on this sub?</t>
        </is>
      </c>
      <c r="C8576" t="inlineStr">
        <is>
          <t>The other day I saw a guy who eats like 49 grams of carbs per day. I want to know what kind of gram amounts others have said they eat. Type 2.</t>
        </is>
      </c>
      <c r="D8576" t="n">
        <v>1</v>
      </c>
      <c r="E8576" t="n">
        <v>30</v>
      </c>
      <c r="F8576">
        <f>HYPERLINK("https://www.reddit.com/r/diabetes/comments/fbv083/what_is_the_lowest_grams_of_carbs_per_day_youve/")</f>
        <v/>
      </c>
      <c r="G8576" t="inlineStr">
        <is>
          <t>2020-03-01 06:48:55</t>
        </is>
      </c>
      <c r="H8576" t="inlineStr">
        <is>
          <t>Type 2</t>
        </is>
      </c>
    </row>
    <row r="8577">
      <c r="A8577" t="inlineStr">
        <is>
          <t>fbxvox</t>
        </is>
      </c>
      <c r="B8577" t="inlineStr">
        <is>
          <t>Frustrated</t>
        </is>
      </c>
      <c r="C8577" t="inlineStr">
        <is>
          <t>Does anyone else go to the gym, and have to correct so much for lows that you break even on calories? Losing weight is so complicated with diabetes! I know about adjusting my insulin and I do. My diabetes is so fragile even with a CGM and eating right it still does this. 
Maybe a pump would help, but honestly my 12 year old struggles even with his pump.</t>
        </is>
      </c>
      <c r="D8577" t="n">
        <v>1</v>
      </c>
      <c r="E8577" t="n">
        <v>34</v>
      </c>
      <c r="F8577">
        <f>HYPERLINK("https://www.reddit.com/r/diabetes/comments/fbxvox/frustrated/")</f>
        <v/>
      </c>
      <c r="G8577" t="inlineStr">
        <is>
          <t>2020-03-01 10:05:40</t>
        </is>
      </c>
      <c r="H8577" t="inlineStr">
        <is>
          <t>Type 1</t>
        </is>
      </c>
    </row>
    <row r="8578">
      <c r="A8578" t="inlineStr">
        <is>
          <t>fbzgou</t>
        </is>
      </c>
      <c r="B8578" t="inlineStr">
        <is>
          <t>Average age of death for Type 1 Diabetics</t>
        </is>
      </c>
      <c r="C8578" t="inlineStr">
        <is>
          <t>Came across this [artice](https://www.webmd.com/diabetes/news/20150106/type-1-diabetes-linked-to-lower-life-expectancy-in-study#1) that talks about a study that was conducted that found that the average life expectancy for type 1 diabetics is 66 years old. I was wondering if this is also relevant for people that have relatively good control of their diabetes. 
I have an AIC of about 6.0 give or talk 0.2 points and it's kind of terrifying to think that my life expectancy could be 12 years shorter than all of my friends. I am only 17 years old so it's not really relevant to me now but I'm still curious.</t>
        </is>
      </c>
      <c r="D8578" t="n">
        <v>1</v>
      </c>
      <c r="E8578" t="n">
        <v>0</v>
      </c>
      <c r="F8578">
        <f>HYPERLINK("https://www.reddit.com/r/diabetes/comments/fbzgou/average_age_of_death_for_type_1_diabetics/")</f>
        <v/>
      </c>
      <c r="G8578" t="inlineStr">
        <is>
          <t>2020-03-01 11:48:35</t>
        </is>
      </c>
      <c r="H8578" t="inlineStr">
        <is>
          <t>Type 1</t>
        </is>
      </c>
    </row>
    <row r="8579">
      <c r="A8579" t="inlineStr">
        <is>
          <t>fbzh2c</t>
        </is>
      </c>
      <c r="B8579" t="inlineStr">
        <is>
          <t>Average life expectancy for Type 1 Diabetics</t>
        </is>
      </c>
      <c r="C8579" t="inlineStr">
        <is>
          <t>Came across this [artice](https://www.webmd.com/diabetes/news/20150106/type-1-diabetes-linked-to-lower-life-expectancy-in-study#1) that talks about a study that was conducted that found that the average life expectancy for type 1 diabetics is 66 years old. I was wondering if this is also relevant for people that have relatively good control of their diabetes. 
I have an AIC of about 6.0 give or talk 0.2 points and it's kind of terrifying to think that my life expectancy could be 12 years shorter than all of my friends. I am only 17 years old so it's not really relevant to me now but I'm still curious.</t>
        </is>
      </c>
      <c r="D8579" t="n">
        <v>1</v>
      </c>
      <c r="E8579" t="n">
        <v>18</v>
      </c>
      <c r="F8579">
        <f>HYPERLINK("https://www.reddit.com/r/diabetes/comments/fbzh2c/average_life_expectancy_for_type_1_diabetics/")</f>
        <v/>
      </c>
      <c r="G8579" t="inlineStr">
        <is>
          <t>2020-03-01 11:49:23</t>
        </is>
      </c>
      <c r="H8579" t="inlineStr">
        <is>
          <t>Type 1</t>
        </is>
      </c>
    </row>
    <row r="8580">
      <c r="A8580" t="inlineStr">
        <is>
          <t>fc2ew8</t>
        </is>
      </c>
      <c r="B8580" t="inlineStr">
        <is>
          <t>How to get diabetes?</t>
        </is>
      </c>
      <c r="C8580" t="inlineStr">
        <is>
          <t>How unhealthy do I have to get diabetes? How much sugar a day would be too much? I am 17 and have a BMI OF 27 which isn’t great but not the worst either. I’m pre obese I think. I often feel like I eat way too much sugar per day.</t>
        </is>
      </c>
      <c r="D8580" t="n">
        <v>1</v>
      </c>
      <c r="E8580" t="n">
        <v>10</v>
      </c>
      <c r="F8580">
        <f>HYPERLINK("https://www.reddit.com/r/diabetes/comments/fc2ew8/how_to_get_diabetes/")</f>
        <v/>
      </c>
      <c r="G8580" t="inlineStr">
        <is>
          <t>2020-03-01 15:06:05</t>
        </is>
      </c>
      <c r="H8580" t="inlineStr">
        <is>
          <t>Type 2</t>
        </is>
      </c>
    </row>
    <row r="8581">
      <c r="A8581" t="inlineStr">
        <is>
          <t>fc3y89</t>
        </is>
      </c>
      <c r="B8581" t="inlineStr">
        <is>
          <t>Samantha's Capstone Diabulimia Survey</t>
        </is>
      </c>
      <c r="C8581" t="inlineStr">
        <is>
          <t xml:space="preserve"> Hello! My name is Samantha Simon. I am a senior in high school and a Type 1 diabetic. I am currently completing an AP Capstone paper on the effects of social media on Diabulimia (the dual diagnosis of an eating disorder and Type 1 diabetes, typically through the omission of insulin). If you are interested in taking part in my research, please follow the anonymous link below to my survey. The survey will take approximately 10 minutes to complete and is voluntary and anonymous. There are no risks for participating in this study. You must be 18 years or older, have Type 1 diabetes, and have a history or current experience with Diabulimia in order to participate. Thank you for your help!</t>
        </is>
      </c>
      <c r="D8581" t="n">
        <v>1</v>
      </c>
      <c r="E8581" t="n">
        <v>15</v>
      </c>
      <c r="F8581">
        <f>HYPERLINK("https://www.reddit.com/r/diabetes/comments/fc3y89/samanthas_capstone_diabulimia_survey/")</f>
        <v/>
      </c>
      <c r="G8581" t="inlineStr">
        <is>
          <t>2020-03-01 16:58:46</t>
        </is>
      </c>
      <c r="H8581" t="inlineStr">
        <is>
          <t>Type 1</t>
        </is>
      </c>
    </row>
    <row r="8582">
      <c r="A8582" t="inlineStr">
        <is>
          <t>fc6izn</t>
        </is>
      </c>
      <c r="B8582" t="inlineStr">
        <is>
          <t>Best app for Dexcom G6?</t>
        </is>
      </c>
      <c r="C8582" t="inlineStr">
        <is>
          <t>Hey--I'm about to get my Dexcom G6 in the mail this week and I'm super excited about it--but I noticed that the Dexcom App itself (in the apple App Store) gets pretty awful reviews. 
I was wondering if y'all use something different? And if so, I'd love to hear all your recs.</t>
        </is>
      </c>
      <c r="D8582" t="n">
        <v>1</v>
      </c>
      <c r="E8582" t="n">
        <v>11</v>
      </c>
      <c r="F8582">
        <f>HYPERLINK("https://www.reddit.com/r/diabetes/comments/fc6izn/best_app_for_dexcom_g6/")</f>
        <v/>
      </c>
      <c r="G8582" t="inlineStr">
        <is>
          <t>2020-03-01 20:20:03</t>
        </is>
      </c>
      <c r="H8582" t="inlineStr">
        <is>
          <t>Type 1</t>
        </is>
      </c>
    </row>
    <row r="8583">
      <c r="A8583" t="inlineStr">
        <is>
          <t>fc7q4r</t>
        </is>
      </c>
      <c r="B8583" t="inlineStr">
        <is>
          <t>Question for fellow diabetics with ink</t>
        </is>
      </c>
      <c r="C8583" t="inlineStr">
        <is>
          <t>Anyone else find that if your blood sugars/a1c is higher, tattoos don't take to your skin very well?
I got one a few months ago and just had it touched up yesterday. My artists remarked that I was taking the ink SO much better and not bleeding as much. The only difference I can think of is my a1c is much lower now.
Anyone else notice this?</t>
        </is>
      </c>
      <c r="D8583" t="n">
        <v>1</v>
      </c>
      <c r="E8583" t="n">
        <v>10</v>
      </c>
      <c r="F8583">
        <f>HYPERLINK("https://www.reddit.com/r/diabetes/comments/fc7q4r/question_for_fellow_diabetics_with_ink/")</f>
        <v/>
      </c>
      <c r="G8583" t="inlineStr">
        <is>
          <t>2020-03-01 22:07:05</t>
        </is>
      </c>
      <c r="H8583" t="inlineStr">
        <is>
          <t>Type 1</t>
        </is>
      </c>
    </row>
    <row r="8584">
      <c r="A8584" t="inlineStr">
        <is>
          <t>fc9c1z</t>
        </is>
      </c>
      <c r="B8584" t="inlineStr">
        <is>
          <t>Is it gonna actually get better?</t>
        </is>
      </c>
      <c r="C8584" t="inlineStr">
        <is>
          <t>So, a little while ago I was approved for a Medtronic 670g insulin pump, and I actually have it, but they want me to do another class before they put me on it. I also have about a month-ish before they give me the CGM that comes with it
I have a lot of problems with highs, my body is never consistent with what it needs, I could have it spike after lunch, and then at one point, not even bother spiking? In the past year, my insulin requirement has fluctuated. Dinner is weird, where eating any dinner could potentially drop my sugars a bit, but then slowly over 6 or more hours after, just climb up high.
I'm doing what I can to treat myself, and everything else is just not working out. Does anyone know (or believe) my life will actually get better after I'm put on this pump?</t>
        </is>
      </c>
      <c r="D8584" t="n">
        <v>1</v>
      </c>
      <c r="E8584" t="n">
        <v>4</v>
      </c>
      <c r="F8584">
        <f>HYPERLINK("https://www.reddit.com/r/diabetes/comments/fc9c1z/is_it_gonna_actually_get_better/")</f>
        <v/>
      </c>
      <c r="G8584" t="inlineStr">
        <is>
          <t>2020-03-02 00:55:45</t>
        </is>
      </c>
      <c r="H8584" t="inlineStr">
        <is>
          <t>Type 1</t>
        </is>
      </c>
    </row>
    <row r="8585">
      <c r="A8585" t="inlineStr">
        <is>
          <t>fcdczs</t>
        </is>
      </c>
      <c r="B8585" t="inlineStr">
        <is>
          <t>I don't really understand how my body works</t>
        </is>
      </c>
      <c r="C8585" t="inlineStr">
        <is>
          <t>Yesterday I went to visit my parents and they cooked my favorite. I haven't really eaten rice in awhile when I do it's usually small amounts of brown rice. I had two plates of white rice with beans and chicken I knew I would probably have to take some insulin as soon as I got back home. So k get home and checked my numbers and I got 92 I couldn't believe it so I checked again and 93. It was about 2-3 hours after eating also I'm type 2. Could someone make sense of this for me ?</t>
        </is>
      </c>
      <c r="D8585" t="n">
        <v>1</v>
      </c>
      <c r="E8585" t="n">
        <v>4</v>
      </c>
      <c r="F8585">
        <f>HYPERLINK("https://www.reddit.com/r/diabetes/comments/fcdczs/i_dont_really_understand_how_my_body_works/")</f>
        <v/>
      </c>
      <c r="G8585" t="inlineStr">
        <is>
          <t>2020-03-02 07:07:12</t>
        </is>
      </c>
      <c r="H8585" t="inlineStr">
        <is>
          <t>Type 2</t>
        </is>
      </c>
    </row>
    <row r="8586">
      <c r="A8586" t="inlineStr">
        <is>
          <t>fcez75</t>
        </is>
      </c>
      <c r="B8586" t="inlineStr">
        <is>
          <t>Best App or Book to Learn about Carb Counting?</t>
        </is>
      </c>
      <c r="C8586" t="inlineStr">
        <is>
          <t>I'm new to Tandem Insulin Pumps took me 2 years to finally have my endocrinologist be comfortable enough to switch me from Insulin Pens (Novolog and Tresiba) to finally use an Insulin Pump, but I'm new to Carb counting I need to learn it to make sure I give myself the right bolus for meals and little insulin for snacks. What's a easy method you do to calucate the amount of carbs you eat? Also do you guys portion your plates so your blood sugars don't go to high? But I need any advice or suggestions to make sure I'm doing this right when I do see my diabetic educator so will help me put this pump on! Thanks everyone! 😊💕</t>
        </is>
      </c>
      <c r="D8586" t="n">
        <v>1</v>
      </c>
      <c r="E8586" t="n">
        <v>19</v>
      </c>
      <c r="F8586">
        <f>HYPERLINK("https://www.reddit.com/r/diabetes/comments/fcez75/best_app_or_book_to_learn_about_carb_counting/")</f>
        <v/>
      </c>
      <c r="G8586" t="inlineStr">
        <is>
          <t>2020-03-02 08:53:31</t>
        </is>
      </c>
      <c r="H8586" t="inlineStr">
        <is>
          <t>Type 1</t>
        </is>
      </c>
    </row>
    <row r="8587">
      <c r="A8587" t="inlineStr">
        <is>
          <t>fchcku</t>
        </is>
      </c>
      <c r="B8587" t="inlineStr">
        <is>
          <t>Cookbook recommendations for type 2 diabetics?</t>
        </is>
      </c>
      <c r="C8587" t="inlineStr">
        <is>
          <t>Been struggling to make a variety of meals without cooking the same type of food everyday. Anyone have any good cookbook recommendations for T2's that's usually busy?</t>
        </is>
      </c>
      <c r="D8587" t="n">
        <v>1</v>
      </c>
      <c r="E8587" t="n">
        <v>4</v>
      </c>
      <c r="F8587">
        <f>HYPERLINK("https://www.reddit.com/r/diabetes/comments/fchcku/cookbook_recommendations_for_type_2_diabetics/")</f>
        <v/>
      </c>
      <c r="G8587" t="inlineStr">
        <is>
          <t>2020-03-02 11:23:03</t>
        </is>
      </c>
      <c r="H8587" t="inlineStr">
        <is>
          <t>Type 2</t>
        </is>
      </c>
    </row>
    <row r="8588">
      <c r="A8588" t="inlineStr">
        <is>
          <t>fcif87</t>
        </is>
      </c>
      <c r="B8588" t="inlineStr">
        <is>
          <t>Sugar alcohols - what is your opinion about Sugar Alcohols?</t>
        </is>
      </c>
      <c r="C8588" t="inlineStr">
        <is>
          <t>I just finished a pack of bars, which have 12g Fat and 19g Carbs (9g fiber, 1g sugar and 8g sugar alcohol). Is this good for a type 2 diabetic as a lunch substitute, once in a while?</t>
        </is>
      </c>
      <c r="D8588" t="n">
        <v>1</v>
      </c>
      <c r="E8588" t="n">
        <v>7</v>
      </c>
      <c r="F8588">
        <f>HYPERLINK("https://www.reddit.com/r/diabetes/comments/fcif87/sugar_alcohols_what_is_your_opinion_about_sugar/")</f>
        <v/>
      </c>
      <c r="G8588" t="inlineStr">
        <is>
          <t>2020-03-02 12:30:51</t>
        </is>
      </c>
      <c r="H8588" t="inlineStr">
        <is>
          <t>Type 2</t>
        </is>
      </c>
    </row>
    <row r="8589">
      <c r="A8589" t="inlineStr">
        <is>
          <t>fckjrc</t>
        </is>
      </c>
      <c r="B8589" t="inlineStr">
        <is>
          <t>Just diagnosed last week. Doctor put me on a vegetarian/no fat diet essentially. Still getting used to no sugar or carbs, but I was told I can have things like raisins and monkfruit sweetener. Why is my blood sugar so high?</t>
        </is>
      </c>
      <c r="C8589" t="inlineStr">
        <is>
          <t>Had a big bowl of oatmeal with flax and chia plus some raisins and monkfruit sweetener this morning and my blood sugar has spiked. It's been around 180-190 for the past couple days but I just tested it and its up to 233. What the heck? I researched both raisins and monkfruit and everything I found said they wouldn't spike me. Any ideas? I will cut out anything I have to to get better.</t>
        </is>
      </c>
      <c r="D8589" t="n">
        <v>1</v>
      </c>
      <c r="E8589" t="n">
        <v>21</v>
      </c>
      <c r="F8589">
        <f>HYPERLINK("https://www.reddit.com/r/diabetes/comments/fckjrc/just_diagnosed_last_week_doctor_put_me_on_a/")</f>
        <v/>
      </c>
      <c r="G8589" t="inlineStr">
        <is>
          <t>2020-03-02 14:45:20</t>
        </is>
      </c>
      <c r="H8589" t="inlineStr">
        <is>
          <t>Type 2</t>
        </is>
      </c>
    </row>
    <row r="8590">
      <c r="A8590" t="inlineStr">
        <is>
          <t>fclfxc</t>
        </is>
      </c>
      <c r="B8590" t="inlineStr">
        <is>
          <t>Started Taking Jardiance Tonight</t>
        </is>
      </c>
      <c r="C8590" t="inlineStr">
        <is>
          <t>Along with Metformin once daily at 500mg I’m taking Jardiance 25mg once daily as well. I’ve read that a common side effect is a possible UTI. I was wondering if some of you currently on it (or have been on it) could share how it worked for you? 
Thanks!</t>
        </is>
      </c>
      <c r="D8590" t="n">
        <v>1</v>
      </c>
      <c r="E8590" t="n">
        <v>8</v>
      </c>
      <c r="F8590">
        <f>HYPERLINK("https://www.reddit.com/r/diabetes/comments/fclfxc/started_taking_jardiance_tonight/")</f>
        <v/>
      </c>
      <c r="G8590" t="inlineStr">
        <is>
          <t>2020-03-02 15:45:43</t>
        </is>
      </c>
      <c r="H8590" t="inlineStr">
        <is>
          <t>Type 2</t>
        </is>
      </c>
    </row>
    <row r="8591">
      <c r="A8591" t="inlineStr">
        <is>
          <t>fcm0cw</t>
        </is>
      </c>
      <c r="B8591" t="inlineStr">
        <is>
          <t>Just wondering</t>
        </is>
      </c>
      <c r="C8591" t="inlineStr">
        <is>
          <t>I just stopped taking any kind of insulin for two days and my blood sugar hasnt shown a adverse reaction to it yet.  Is there a reason for this ?</t>
        </is>
      </c>
      <c r="D8591" t="n">
        <v>1</v>
      </c>
      <c r="E8591" t="n">
        <v>13</v>
      </c>
      <c r="F8591">
        <f>HYPERLINK("https://www.reddit.com/r/diabetes/comments/fcm0cw/just_wondering/")</f>
        <v/>
      </c>
      <c r="G8591" t="inlineStr">
        <is>
          <t>2020-03-02 16:25:24</t>
        </is>
      </c>
      <c r="H8591" t="inlineStr">
        <is>
          <t>Type 1</t>
        </is>
      </c>
    </row>
    <row r="8592">
      <c r="A8592" t="inlineStr">
        <is>
          <t>fcnzkg</t>
        </is>
      </c>
      <c r="B8592" t="inlineStr">
        <is>
          <t>Not the Diabetic One!!</t>
        </is>
      </c>
      <c r="C8592" t="inlineStr">
        <is>
          <t>At an amazing wedding this weekend, I was not the diabetic. I didn’t hide my dosing or CGM checking, but no one really cared. 
I did put my CGM and infusion site under my dress, but it was the first extended period of time I managed things on my own like an adult. Honestly I should be experienced in adulting by now. But it was refreshing to be a wedding guest without people asking me about my drink choices (no pressure to drink the grapefruit specialty drink), no one asking me if I am okay during a low (dinner and dancing is hard), and no one criticizing my choice of dessert. 
Don’t get me wrong, my daily support team is amazing, but being okay on my own was the most amazingly freeing experience. Like a stress vacation. Maybe I should become a professional wedding crasher whenever I need a break :)</t>
        </is>
      </c>
      <c r="D8592" t="n">
        <v>1</v>
      </c>
      <c r="E8592" t="n">
        <v>4</v>
      </c>
      <c r="F8592">
        <f>HYPERLINK("https://www.reddit.com/r/diabetes/comments/fcnzkg/not_the_diabetic_one/")</f>
        <v/>
      </c>
      <c r="G8592" t="inlineStr">
        <is>
          <t>2020-03-02 18:53:13</t>
        </is>
      </c>
      <c r="H8592" t="inlineStr">
        <is>
          <t>Type 1</t>
        </is>
      </c>
    </row>
    <row r="8593">
      <c r="A8593" t="inlineStr">
        <is>
          <t>fcpn3e</t>
        </is>
      </c>
      <c r="B8593" t="inlineStr">
        <is>
          <t>Big oof</t>
        </is>
      </c>
      <c r="C8593" t="inlineStr">
        <is>
          <t>Yea so my a1c went from a 7.3 to 9.1. I am now sad</t>
        </is>
      </c>
      <c r="D8593" t="n">
        <v>1</v>
      </c>
      <c r="E8593" t="n">
        <v>3</v>
      </c>
      <c r="F8593">
        <f>HYPERLINK("https://www.reddit.com/r/diabetes/comments/fcpn3e/big_oof/")</f>
        <v/>
      </c>
      <c r="G8593" t="inlineStr">
        <is>
          <t>2020-03-02 21:06:25</t>
        </is>
      </c>
      <c r="H8593" t="inlineStr">
        <is>
          <t>Type 1</t>
        </is>
      </c>
    </row>
    <row r="8594">
      <c r="A8594" t="inlineStr">
        <is>
          <t>fcupdx</t>
        </is>
      </c>
      <c r="B8594" t="inlineStr">
        <is>
          <t>Adhesive</t>
        </is>
      </c>
      <c r="C8594" t="inlineStr">
        <is>
          <t>Has anyone had a problem with irritant to the adhesive?</t>
        </is>
      </c>
      <c r="D8594" t="n">
        <v>1</v>
      </c>
      <c r="E8594" t="n">
        <v>6</v>
      </c>
      <c r="F8594">
        <f>HYPERLINK("https://www.reddit.com/r/diabetes/comments/fcupdx/adhesive/")</f>
        <v/>
      </c>
      <c r="G8594" t="inlineStr">
        <is>
          <t>2020-03-03 05:40:33</t>
        </is>
      </c>
      <c r="H8594" t="inlineStr">
        <is>
          <t>Type 2</t>
        </is>
      </c>
    </row>
    <row r="8595">
      <c r="A8595" t="inlineStr">
        <is>
          <t>fcvcbp</t>
        </is>
      </c>
      <c r="B8595" t="inlineStr">
        <is>
          <t>New diabetic just started treatment/management - help please</t>
        </is>
      </c>
      <c r="C8595" t="inlineStr">
        <is>
          <t>Hey there.  I have been Type 2 Diabetic since a visit to the ER this past weekend.  Glucose was over 500.  Started treatment and have concerns that it is not getting me to the range of 130-180.  I am consistently averaging 220-250.  Is the insulin and metformin something that takes time to show results, because I am terrified that this isn't working.  Any insight would be appreciated.</t>
        </is>
      </c>
      <c r="D8595" t="n">
        <v>1</v>
      </c>
      <c r="E8595" t="n">
        <v>5</v>
      </c>
      <c r="F8595">
        <f>HYPERLINK("https://www.reddit.com/r/diabetes/comments/fcvcbp/new_diabetic_just_started_treatmentmanagement/")</f>
        <v/>
      </c>
      <c r="G8595" t="inlineStr">
        <is>
          <t>2020-03-03 06:29:25</t>
        </is>
      </c>
      <c r="H8595" t="inlineStr">
        <is>
          <t>Type 2</t>
        </is>
      </c>
    </row>
    <row r="8596">
      <c r="A8596" t="inlineStr">
        <is>
          <t>fcve70</t>
        </is>
      </c>
      <c r="B8596" t="inlineStr">
        <is>
          <t>Wondering if I should seek a second opinion</t>
        </is>
      </c>
      <c r="C8596" t="inlineStr">
        <is>
          <t>Hello.
In July of last year I took a tumble while mountain biking, and over the course of a week or so, a gash I had on my arm became more and more painful to the point that I eventually checked myself into the hospital.  It had become infected, and after a complete blood panel, my results came back with a blood sugar level of 285.  The on-staff physician immediately informs me that I have type 2 diabetes, and gets me going on a regiment of 500mg of metformin twice a day.
This was fairly shocking news, as I have always led a pretty healthy lifestyle, and eat much healthier than average.  That said, I do have type 1 diabetes in my family history, and his response was 'sometimes it just happens'.
Ok, he's a doctor and knows better than I do, so I take my script and head out with a 6 month follow-up scheduled.
Fast forward to last week, I visit my doctor for the follow-up, and he asks me what my blood sugar monitoring has looked like.  I inform him that I've never seen my sugar levels surpass 135, even a couple hours after a large meal and a few beers.  He then orders a full blood work-up which came back today.
Male
44 years old
Athletic build (34 inch waist, 48 inch chest)
210 lbs
A1c - 5.1
LDL cholesterol - 89
HDL cholesterol - 49
Triglycerides - 114
The above was achieved without any significant lifestyle changes.  I made a conscious effort to lower red meat intake, and increase lean chicken and fatty fish intake, but we're not talking about what I would call a lifestyle shift.  More of a tweak.  I have also continued to consume alcohol socially, albeit at a reduced rate, and have not done much to reduce carb intake.
My question is, has anyone heard of, or been involved in a misdiagnosis of this nature?  I've read that severe trauma can spike blood sugar to exceptionally high levels, and I'm just not convinced that I am in fact diabetic.
Thanks in advance.</t>
        </is>
      </c>
      <c r="D8596" t="n">
        <v>1</v>
      </c>
      <c r="E8596" t="n">
        <v>11</v>
      </c>
      <c r="F8596">
        <f>HYPERLINK("https://www.reddit.com/r/diabetes/comments/fcve70/wondering_if_i_should_seek_a_second_opinion/")</f>
        <v/>
      </c>
      <c r="G8596" t="inlineStr">
        <is>
          <t>2020-03-03 06:33:16</t>
        </is>
      </c>
      <c r="H8596" t="inlineStr">
        <is>
          <t>Type 2</t>
        </is>
      </c>
    </row>
    <row r="8597">
      <c r="A8597" t="inlineStr">
        <is>
          <t>fcx2ub</t>
        </is>
      </c>
      <c r="B8597" t="inlineStr">
        <is>
          <t>Is it too late for me to reverse my diabetes?</t>
        </is>
      </c>
      <c r="C8597" t="inlineStr">
        <is>
          <t>I limit my sugar to just salad dressing twice a day and no carbs other than vegetables, my diet is meat cheese and vegetables but my sugar is never below 200. Most of the time it’s above 300, I exercise 4-5 times a week for at least an hour and Nothing has changed. I feel really lost I’m taking metformin and doing everything I’m supposed to, do you guys have any tips 
My normal fasting (morning) is 215-325</t>
        </is>
      </c>
      <c r="D8597" t="n">
        <v>1</v>
      </c>
      <c r="E8597" t="n">
        <v>18</v>
      </c>
      <c r="F8597">
        <f>HYPERLINK("https://www.reddit.com/r/diabetes/comments/fcx2ub/is_it_too_late_for_me_to_reverse_my_diabetes/")</f>
        <v/>
      </c>
      <c r="G8597" t="inlineStr">
        <is>
          <t>2020-03-03 08:27:54</t>
        </is>
      </c>
      <c r="H8597" t="inlineStr">
        <is>
          <t>Type 2</t>
        </is>
      </c>
    </row>
    <row r="8598">
      <c r="A8598" t="inlineStr">
        <is>
          <t>fcxwgx</t>
        </is>
      </c>
      <c r="B8598" t="inlineStr">
        <is>
          <t>Is there a way to prevent lumps from forming when injecting insulin?</t>
        </is>
      </c>
      <c r="C8598" t="inlineStr">
        <is>
          <t>Sometimes I will get a lump that gets bigger as I inject more Basaglar and sometimes I won’t. I inject my Humalog deeper since I use a syringe instead, but I can still feel a lump where I injected when I (lightly) press near the injection site. 
It never happened when I was first diagnosed in January of this year, but now it’s somewhat frequent. Should I bring this up with my doctor or do I have nothing to worry about? They usually go away within a few hours and I still experience hypoglycemia regularly (which I depend on since I haven’t been able to check my blood sugar).</t>
        </is>
      </c>
      <c r="D8598" t="n">
        <v>1</v>
      </c>
      <c r="E8598" t="n">
        <v>5</v>
      </c>
      <c r="F8598">
        <f>HYPERLINK("https://www.reddit.com/r/diabetes/comments/fcxwgx/is_there_a_way_to_prevent_lumps_from_forming_when/")</f>
        <v/>
      </c>
      <c r="G8598" t="inlineStr">
        <is>
          <t>2020-03-03 09:20:36</t>
        </is>
      </c>
      <c r="H8598" t="inlineStr">
        <is>
          <t>Type 2</t>
        </is>
      </c>
    </row>
    <row r="8599">
      <c r="A8599" t="inlineStr">
        <is>
          <t>fcyf1v</t>
        </is>
      </c>
      <c r="B8599" t="inlineStr">
        <is>
          <t>Just starting Xigduo.</t>
        </is>
      </c>
      <c r="C8599" t="inlineStr">
        <is>
          <t>Any reviews from real people? Just would like some input.
TIA</t>
        </is>
      </c>
      <c r="D8599" t="n">
        <v>1</v>
      </c>
      <c r="E8599" t="n">
        <v>0</v>
      </c>
      <c r="F8599">
        <f>HYPERLINK("https://www.reddit.com/r/diabetes/comments/fcyf1v/just_starting_xigduo/")</f>
        <v/>
      </c>
      <c r="G8599" t="inlineStr">
        <is>
          <t>2020-03-03 09:53:27</t>
        </is>
      </c>
      <c r="H8599" t="inlineStr">
        <is>
          <t>Type 2</t>
        </is>
      </c>
    </row>
    <row r="8600">
      <c r="A8600" t="inlineStr">
        <is>
          <t>fcyqdl</t>
        </is>
      </c>
      <c r="B8600" t="inlineStr">
        <is>
          <t>Too high if a basal rate or too much bolus for food?</t>
        </is>
      </c>
      <c r="C8600" t="inlineStr">
        <is>
          <t>I wanted everyone's opinion on this one. Over the past few weeks I've been basal testing to better get my blood sugar under control. I've had some success but sometimes it seems randomly inconsistent. I also suspect I have too much bolus rates for carbohydrates.
An example would be earlier, a little over an hour ago, when I ate about 53 grams of carbs. Well, that's what I put it at least. Normally out of fear that I'll get too much insulin and go low, I leave some carbs out to see what ot does. The real carb amount i ate was probably around 70ish (don't exactly remember from earlier). Normally that would cause high blood sugar in a diabetic with correct settings, however now, only about an hour afterwards, my blood sugar is dropping (back to 107, though the GCM says it's dropping at more than a normal rate, one down arrow).
My real question is that, would a situation like that be caused by bolusing too much alone, or could a basal rate also affect that?</t>
        </is>
      </c>
      <c r="D8600" t="n">
        <v>1</v>
      </c>
      <c r="E8600" t="n">
        <v>6</v>
      </c>
      <c r="F8600">
        <f>HYPERLINK("https://www.reddit.com/r/diabetes/comments/fcyqdl/too_high_if_a_basal_rate_or_too_much_bolus_for/")</f>
        <v/>
      </c>
      <c r="G8600" t="inlineStr">
        <is>
          <t>2020-03-03 10:13:04</t>
        </is>
      </c>
      <c r="H8600" t="inlineStr">
        <is>
          <t>Type 1</t>
        </is>
      </c>
    </row>
    <row r="8601">
      <c r="A8601" t="inlineStr">
        <is>
          <t>fcza70</t>
        </is>
      </c>
      <c r="B8601" t="inlineStr">
        <is>
          <t>Invokana</t>
        </is>
      </c>
      <c r="C8601" t="inlineStr">
        <is>
          <t>I got prescribed invokana at 300mg 1 tablet a day before first meal. My A1c is at 11.2 I had my diabetes under control and managed to drop my A1C to I think to 6.9 then I just lost my way in good eating and working out And gained weight. I'm currently working on getting my commercial pilot license and invokana is on the no fly list for the FAA.  I'm wondering if I lower my A1C to less then 9 by the time of my next check up if I can get off invokana?
I'm currently eating a out 1900 calories a day and working out 5 times a week between an hour and hour and half depending on work out.</t>
        </is>
      </c>
      <c r="D8601" t="n">
        <v>1</v>
      </c>
      <c r="E8601" t="n">
        <v>0</v>
      </c>
      <c r="F8601">
        <f>HYPERLINK("https://www.reddit.com/r/diabetes/comments/fcza70/invokana/")</f>
        <v/>
      </c>
      <c r="G8601" t="inlineStr">
        <is>
          <t>2020-03-03 10:47:42</t>
        </is>
      </c>
      <c r="H8601" t="inlineStr">
        <is>
          <t>Type 2</t>
        </is>
      </c>
    </row>
    <row r="8602">
      <c r="A8602" t="inlineStr">
        <is>
          <t>fd0xbh</t>
        </is>
      </c>
      <c r="B8602" t="inlineStr">
        <is>
          <t>dexcom watch face</t>
        </is>
      </c>
      <c r="C8602" t="inlineStr">
        <is>
          <t>I downloaded and installed the custom app. I have the app running on my pixel 4 which is working great! However, I don't have the watch face in my wear os app to display on my fossil watch.
I don't know what to do now. Any ideas? I miss the readings on my watch.
Thank you</t>
        </is>
      </c>
      <c r="D8602" t="n">
        <v>1</v>
      </c>
      <c r="E8602" t="n">
        <v>2</v>
      </c>
      <c r="F8602">
        <f>HYPERLINK("https://www.reddit.com/r/diabetes/comments/fd0xbh/dexcom_watch_face/")</f>
        <v/>
      </c>
      <c r="G8602" t="inlineStr">
        <is>
          <t>2020-03-03 12:29:10</t>
        </is>
      </c>
      <c r="H8602" t="inlineStr">
        <is>
          <t>Type 1</t>
        </is>
      </c>
    </row>
    <row r="8603">
      <c r="A8603" t="inlineStr">
        <is>
          <t>fd6tat</t>
        </is>
      </c>
      <c r="B8603" t="inlineStr">
        <is>
          <t>I cheated.. twice today and yesterday.</t>
        </is>
      </c>
      <c r="C8603" t="inlineStr">
        <is>
          <t>Yesterday I had a bowl of Shells and Cheese and today I had 4 pieces of thin crust veggie pizza. I feel guilty. :( It’s not easy!!</t>
        </is>
      </c>
      <c r="D8603" t="n">
        <v>1</v>
      </c>
      <c r="E8603" t="n">
        <v>4</v>
      </c>
      <c r="F8603">
        <f>HYPERLINK("https://www.reddit.com/r/diabetes/comments/fd6tat/i_cheated_twice_today_and_yesterday/")</f>
        <v/>
      </c>
      <c r="G8603" t="inlineStr">
        <is>
          <t>2020-03-03 19:23:31</t>
        </is>
      </c>
      <c r="H8603" t="inlineStr">
        <is>
          <t>Type 2</t>
        </is>
      </c>
    </row>
    <row r="8604">
      <c r="A8604" t="inlineStr">
        <is>
          <t>fd8d6j</t>
        </is>
      </c>
      <c r="B8604" t="inlineStr">
        <is>
          <t>Tlock-luer</t>
        </is>
      </c>
      <c r="C8604" t="inlineStr">
        <is>
          <t>My son has juvenile diabetes and we switched from Medtronic to tandem tslim about a year ago. The tandem sites he has go in sideways and they have a opening where the needle goes in is exposed and they get infected within a day of wearing them. He asked if we could switch sites so I ordered different ones that go straight in and the needle is covered (not sure if that makes sence) but they accidentally sent me luer lock sites with my tlock cartridges and then right after that we lost our insurance and edgepark then refused to switch them out. Has anyone had any success trying to make them fit together or found an adapter. I have looked everywhere that I can and no one sells luer lock cartridges in America I've only found places that only deliver to Canada.  Any suggestions?</t>
        </is>
      </c>
      <c r="D8604" t="n">
        <v>1</v>
      </c>
      <c r="E8604" t="n">
        <v>6</v>
      </c>
      <c r="F8604">
        <f>HYPERLINK("https://www.reddit.com/r/diabetes/comments/fd8d6j/tlockluer/")</f>
        <v/>
      </c>
      <c r="G8604" t="inlineStr">
        <is>
          <t>2020-03-03 21:32:20</t>
        </is>
      </c>
      <c r="H8604" t="inlineStr">
        <is>
          <t>Type 1</t>
        </is>
      </c>
    </row>
    <row r="8605">
      <c r="A8605" t="inlineStr">
        <is>
          <t>fd9dvq</t>
        </is>
      </c>
      <c r="B8605" t="inlineStr">
        <is>
          <t>Do y'all ever wake up with severe nausea even with perfect blood sugar?</t>
        </is>
      </c>
      <c r="C8605" t="inlineStr">
        <is>
          <t>Every other day I wake up feeling like I'm in the 400s when my blood sugar is actually 120. Waking up early is hard enough by itself and the nausea makes everything so much worse.
I don't understand what causes it. My blood sugar is perfectly healthy, so why the fuck do I feel like throwing up? And it always miraculously disappears at 9 AM. 
Is this a thing that's common with you guys too, or does my pancreas just hate me?</t>
        </is>
      </c>
      <c r="D8605" t="n">
        <v>1</v>
      </c>
      <c r="E8605" t="n">
        <v>12</v>
      </c>
      <c r="F8605">
        <f>HYPERLINK("https://www.reddit.com/r/diabetes/comments/fd9dvq/do_yall_ever_wake_up_with_severe_nausea_even_with/")</f>
        <v/>
      </c>
      <c r="G8605" t="inlineStr">
        <is>
          <t>2020-03-03 23:12:19</t>
        </is>
      </c>
      <c r="H8605" t="inlineStr">
        <is>
          <t>Type 1</t>
        </is>
      </c>
    </row>
    <row r="8606">
      <c r="A8606" t="inlineStr">
        <is>
          <t>fd9phb</t>
        </is>
      </c>
      <c r="B8606" t="inlineStr">
        <is>
          <t>Latest a1c</t>
        </is>
      </c>
      <c r="C8606" t="inlineStr">
        <is>
          <t>Just had my latest appointment with my endo yesterday. They were happy to inform me that my a1c is currently 7.0%! This is down from 8.7% approximately 6 months ago. I'm feeling so much better and hoping to keep knocking it down by a few points.</t>
        </is>
      </c>
      <c r="D8606" t="n">
        <v>1</v>
      </c>
      <c r="E8606" t="n">
        <v>9</v>
      </c>
      <c r="F8606">
        <f>HYPERLINK("https://www.reddit.com/r/diabetes/comments/fd9phb/latest_a1c/")</f>
        <v/>
      </c>
      <c r="G8606" t="inlineStr">
        <is>
          <t>2020-03-03 23:46:44</t>
        </is>
      </c>
      <c r="H8606" t="inlineStr">
        <is>
          <t>Type 1</t>
        </is>
      </c>
    </row>
    <row r="8607">
      <c r="A8607" t="inlineStr">
        <is>
          <t>fd9x1e</t>
        </is>
      </c>
      <c r="B8607" t="inlineStr">
        <is>
          <t>Diet Only?</t>
        </is>
      </c>
      <c r="C8607" t="inlineStr">
        <is>
          <t>I was diagnosed with Type 2 diabetes about 4 years ago.  I had always believed diet control and exercise was the first treatment for diabetes.  I was prescribed metformin in the beginning.   Everytime I ate I would have spontaneous vomiting and diarrhea.  Then I was prescribed Janumet XR.  I tolerated it at first at 2 tablets daily.   Then my doctor cut it to 1 1/2 tablets a day because of the same issue.  I am now down to 1/2 tablet twice daily and have started to have the same issues again.  I feel like my meds are poison.   My A1C is running from 6.5 to 6.8 the past year.  I have asked 2 doctors why diet was never tried in the beginning.  They just give me a blank stare like I should know.  I would appreciate your thoughts or experiences.</t>
        </is>
      </c>
      <c r="D8607" t="n">
        <v>1</v>
      </c>
      <c r="E8607" t="n">
        <v>14</v>
      </c>
      <c r="F8607">
        <f>HYPERLINK("https://www.reddit.com/r/diabetes/comments/fd9x1e/diet_only/")</f>
        <v/>
      </c>
      <c r="G8607" t="inlineStr">
        <is>
          <t>2020-03-04 00:09:51</t>
        </is>
      </c>
      <c r="H8607" t="inlineStr">
        <is>
          <t>Type 2</t>
        </is>
      </c>
    </row>
    <row r="8608">
      <c r="A8608" t="inlineStr">
        <is>
          <t>fdcbxy</t>
        </is>
      </c>
      <c r="B8608" t="inlineStr">
        <is>
          <t>Trulicity pen and travel?</t>
        </is>
      </c>
      <c r="C8608" t="inlineStr">
        <is>
          <t>This is my first time traveling since I started using the Trulicity weekly pen. It’s not a long commute, it’s just 2-3 hours, but I was wondering how I should store my trulicity pen since it has to stay cold at all times. What tips and tricks can you kind people help me out with?</t>
        </is>
      </c>
      <c r="D8608" t="n">
        <v>1</v>
      </c>
      <c r="E8608" t="n">
        <v>4</v>
      </c>
      <c r="F8608">
        <f>HYPERLINK("https://www.reddit.com/r/diabetes/comments/fdcbxy/trulicity_pen_and_travel/")</f>
        <v/>
      </c>
      <c r="G8608" t="inlineStr">
        <is>
          <t>2020-03-04 04:32:14</t>
        </is>
      </c>
      <c r="H8608" t="inlineStr">
        <is>
          <t>Type 2</t>
        </is>
      </c>
    </row>
    <row r="8609">
      <c r="A8609" t="inlineStr">
        <is>
          <t>fdd9o1</t>
        </is>
      </c>
      <c r="B8609" t="inlineStr">
        <is>
          <t>Health drama</t>
        </is>
      </c>
      <c r="C8609" t="inlineStr">
        <is>
          <t>For the past few weeks I've been having severe medical issues that have caused me to miss a lot of work and have to go to the doc's office often. Today I woke up puking my guts out and made an apt with the doc, called work to call off, and just now got a call back saying my assignment has been ended and I am now under inactive status until I "get my health in order" ... I mean I understand that it's not good to take time off of work as much as I am but I really dont have a choice when I can barely drive. Now I have to tell my bf that I'm without a job and start the horrible process of finding another one. 
I guess I'm just looking for advice or something that can help with my situation.</t>
        </is>
      </c>
      <c r="D8609" t="n">
        <v>1</v>
      </c>
      <c r="E8609" t="n">
        <v>8</v>
      </c>
      <c r="F8609">
        <f>HYPERLINK("https://www.reddit.com/r/diabetes/comments/fdd9o1/health_drama/")</f>
        <v/>
      </c>
      <c r="G8609" t="inlineStr">
        <is>
          <t>2020-03-04 05:50:28</t>
        </is>
      </c>
      <c r="H8609" t="inlineStr">
        <is>
          <t>Type 1</t>
        </is>
      </c>
    </row>
    <row r="8610">
      <c r="A8610" t="inlineStr">
        <is>
          <t>fde1kh</t>
        </is>
      </c>
      <c r="B8610" t="inlineStr">
        <is>
          <t>Need help Lists &amp;amp; ideas</t>
        </is>
      </c>
      <c r="C8610" t="inlineStr">
        <is>
          <t>What can diabetics eat? Breakfast Lunch &amp;amp; dinner? I'm having such a hard time. There are some days I wont eat or just say Fuck it and eat whatever. Yes call me lazy :\ I guess what im saying is I don't know much about diabetes.</t>
        </is>
      </c>
      <c r="D8610" t="n">
        <v>1</v>
      </c>
      <c r="E8610" t="n">
        <v>10</v>
      </c>
      <c r="F8610">
        <f>HYPERLINK("https://www.reddit.com/r/diabetes/comments/fde1kh/need_help_lists_ideas/")</f>
        <v/>
      </c>
      <c r="G8610" t="inlineStr">
        <is>
          <t>2020-03-04 06:49:56</t>
        </is>
      </c>
      <c r="H8610" t="inlineStr">
        <is>
          <t>Type 2</t>
        </is>
      </c>
    </row>
    <row r="8611">
      <c r="A8611" t="inlineStr">
        <is>
          <t>fdiev3</t>
        </is>
      </c>
      <c r="B8611" t="inlineStr">
        <is>
          <t>Looking for suggestions on Smartwatch to use with Dexcom G6</t>
        </is>
      </c>
      <c r="C8611" t="inlineStr">
        <is>
          <t>Hey guys! So to make a long story short, I work in a very loud factory where 99% of the time I am wearing my hearing protection and sometimes can't feel when I'm going low due to constant moving and lifting and just generally feeling like I'm just mid workout. It's happened a few times to where by the time I feel a low coming on I'm already at sub 55 when I check my dexcom. So I was wondering, what smartwatches do you guys use to pair with your dexcom usage? Do any pair directly to the dexcom? Do any of them vibrate when you get a notification from your dexcom (I'm thinking this is key in my search as it would be 100% more effective at notifying me of a low rather then sound)? All in all what do you guys suggest for smartwatches that work well with Dexcom? Thanks in advance for your suggestions and feedback!</t>
        </is>
      </c>
      <c r="D8611" t="n">
        <v>1</v>
      </c>
      <c r="E8611" t="n">
        <v>8</v>
      </c>
      <c r="F8611">
        <f>HYPERLINK("https://www.reddit.com/r/diabetes/comments/fdiev3/looking_for_suggestions_on_smartwatch_to_use_with/")</f>
        <v/>
      </c>
      <c r="G8611" t="inlineStr">
        <is>
          <t>2020-03-04 11:38:40</t>
        </is>
      </c>
      <c r="H8611" t="inlineStr">
        <is>
          <t>Type 1</t>
        </is>
      </c>
    </row>
    <row r="8612">
      <c r="A8612" t="inlineStr">
        <is>
          <t>fdjkm3</t>
        </is>
      </c>
      <c r="B8612" t="inlineStr">
        <is>
          <t>Are we likely to die from COVID-19?</t>
        </is>
      </c>
      <c r="C8612" t="inlineStr">
        <is>
          <t>I know we have a weaker immune system. I'm hoping we can pull thru and stay alive.</t>
        </is>
      </c>
      <c r="D8612" t="n">
        <v>1</v>
      </c>
      <c r="E8612" t="n">
        <v>17</v>
      </c>
      <c r="F8612">
        <f>HYPERLINK("https://www.reddit.com/r/diabetes/comments/fdjkm3/are_we_likely_to_die_from_covid19/")</f>
        <v/>
      </c>
      <c r="G8612" t="inlineStr">
        <is>
          <t>2020-03-04 12:54:22</t>
        </is>
      </c>
      <c r="H8612" t="inlineStr">
        <is>
          <t>Type 1</t>
        </is>
      </c>
    </row>
    <row r="8613">
      <c r="A8613" t="inlineStr">
        <is>
          <t>fdldho</t>
        </is>
      </c>
      <c r="B8613" t="inlineStr">
        <is>
          <t>Dexcom won’t replace my defective transmitter</t>
        </is>
      </c>
      <c r="C8613" t="inlineStr">
        <is>
          <t>So I’ve been having an issue with Dexcom CS for over two weeks now. A newly inserted sensor bled out. So I took it out and inserted another one. I go to do the warmup but it tells me to replace the sensor. So I take out the second one and insert a third. Same thing. I’m not sure what happened or what to do. Maybe I’m doing something wrong but I’ve been doing this for awhile now so I know what I’m doing. I’m now using my second transmitter. When it expires, I will go weeks without my CGM, which is not good cause my sugars are out of control when I’m at work. 
Anyone have some advice? Thanks!! ❤️</t>
        </is>
      </c>
      <c r="D8613" t="n">
        <v>1</v>
      </c>
      <c r="E8613" t="n">
        <v>12</v>
      </c>
      <c r="F8613">
        <f>HYPERLINK("https://www.reddit.com/r/diabetes/comments/fdldho/dexcom_wont_replace_my_defective_transmitter/")</f>
        <v/>
      </c>
      <c r="G8613" t="inlineStr">
        <is>
          <t>2020-03-04 14:51:59</t>
        </is>
      </c>
      <c r="H8613" t="inlineStr">
        <is>
          <t>Type 1</t>
        </is>
      </c>
    </row>
    <row r="8614">
      <c r="A8614" t="inlineStr">
        <is>
          <t>fdlspj</t>
        </is>
      </c>
      <c r="B8614" t="inlineStr">
        <is>
          <t>Favorite 0 carb alcohol mix?</t>
        </is>
      </c>
      <c r="C8614" t="inlineStr">
        <is>
          <t>Tired of drinking shots of straight alcohol when I'm partying with the boys while they can mix everything with orange juice or whatever. I'm not a big fan of diet soda.</t>
        </is>
      </c>
      <c r="D8614" t="n">
        <v>1</v>
      </c>
      <c r="E8614" t="n">
        <v>18</v>
      </c>
      <c r="F8614">
        <f>HYPERLINK("https://www.reddit.com/r/diabetes/comments/fdlspj/favorite_0_carb_alcohol_mix/")</f>
        <v/>
      </c>
      <c r="G8614" t="inlineStr">
        <is>
          <t>2020-03-04 15:20:37</t>
        </is>
      </c>
      <c r="H8614" t="inlineStr">
        <is>
          <t>Type 1</t>
        </is>
      </c>
    </row>
    <row r="8615">
      <c r="A8615" t="inlineStr">
        <is>
          <t>fdogl5</t>
        </is>
      </c>
      <c r="B8615" t="inlineStr">
        <is>
          <t>10 Year Anniversary</t>
        </is>
      </c>
      <c r="C8615" t="inlineStr">
        <is>
          <t>I did it. I made it 10 years! 10 years of victory, frustration, crying, therapy, burnout, and renewed dedication. 
Every day that I live is on borrowed time. I am so fortunate to live in a time where treatment is so much more managable and easy.
I've released 4 albums with two bands. I've met a woman I love. I own a home. I've lived long enough to make my parents proud and not be another name gone too soon. 
Ive cried when my blood sugar tanked on christmas day. Ive lived 10 years without a break or a vacation from this disease. 10 years of fear over my eyesight and kidneys. 10 years of fighting that urge to eat another slice of cake. 
I am a fighter. Everyone in this sub is. This place has given me a refuge to lurk and know that I am not alone. I wish a lifetime of health for myself and all of you. Please take care of yourselves and know that its ok to feel angry, depressed, and weighed down. Please take care of your mental health. I promise to be an ear for anybody who needs a confidant. 
For anybody newly diagnosed, know that despite the fact that this is a chronic illness, you have no limit.</t>
        </is>
      </c>
      <c r="D8615" t="n">
        <v>1</v>
      </c>
      <c r="E8615" t="n">
        <v>8</v>
      </c>
      <c r="F8615">
        <f>HYPERLINK("https://www.reddit.com/r/diabetes/comments/fdogl5/10_year_anniversary/")</f>
        <v/>
      </c>
      <c r="G8615" t="inlineStr">
        <is>
          <t>2020-03-04 18:39:10</t>
        </is>
      </c>
      <c r="H8615" t="inlineStr">
        <is>
          <t>Type 1</t>
        </is>
      </c>
    </row>
    <row r="8616">
      <c r="A8616" t="inlineStr">
        <is>
          <t>fdp6u5</t>
        </is>
      </c>
      <c r="B8616" t="inlineStr">
        <is>
          <t>Most reliable mini fridge for insulin?</t>
        </is>
      </c>
      <c r="C8616" t="inlineStr">
        <is>
          <t>The fridge and mini fridge we own - sucks. We have to keep it at the highest setting to keep the insulin from freezing because the range is so varied. At the lowest setting it goes from 36 degrees F to 45 degrees F.
I have thermometers... is there an affordable mini fridge or wine cooler that I can buy just to store my girlfriend’s insulin that stays in range? It needs to be between 36 and 46 degrees F. 
TIA!</t>
        </is>
      </c>
      <c r="D8616" t="n">
        <v>1</v>
      </c>
      <c r="E8616" t="n">
        <v>2</v>
      </c>
      <c r="F8616">
        <f>HYPERLINK("https://www.reddit.com/r/diabetes/comments/fdp6u5/most_reliable_mini_fridge_for_insulin/")</f>
        <v/>
      </c>
      <c r="G8616" t="inlineStr">
        <is>
          <t>2020-03-04 19:34:54</t>
        </is>
      </c>
      <c r="H8616" t="inlineStr">
        <is>
          <t>Type 1</t>
        </is>
      </c>
    </row>
    <row r="8617">
      <c r="A8617" t="inlineStr">
        <is>
          <t>fdqfev</t>
        </is>
      </c>
      <c r="B8617" t="inlineStr">
        <is>
          <t>Been lurking for 2 months as dad of New Type 1</t>
        </is>
      </c>
      <c r="C8617" t="inlineStr">
        <is>
          <t>Joined reddit tonight as I want to support those in this community.   
I spend hours almost every night on the internet trying to find more information and some hope.
This place is realistic and has a great sarcastic humor. Cinnamon comments !!! 
The hope is hard to find.  
I want to give my son (16) some hope as this diagnosis has rocked his world. 
More tough days than good honestly. This is going to take time for sure.   
I'm so sad for him.  
[https://www.forbes.com/sites/carrierubinstein/2020/02/27/diabetic-patients-get-ready-an-oral-insulin-capsule-that-may-soon-be-on-the-market/#542852953704](https://www.forbes.com/sites/carrierubinstein/2020/02/27/diabetic-patients-get-ready-an-oral-insulin-capsule-that-may-soon-be-on-the-market/#542852953704)</t>
        </is>
      </c>
      <c r="D8617" t="n">
        <v>1</v>
      </c>
      <c r="E8617" t="n">
        <v>2</v>
      </c>
      <c r="F8617">
        <f>HYPERLINK("https://www.reddit.com/r/diabetes/comments/fdqfev/been_lurking_for_2_months_as_dad_of_new_type_1/")</f>
        <v/>
      </c>
      <c r="G8617" t="inlineStr">
        <is>
          <t>2020-03-04 21:18:42</t>
        </is>
      </c>
      <c r="H8617" t="inlineStr">
        <is>
          <t>Type 1</t>
        </is>
      </c>
    </row>
    <row r="8618">
      <c r="A8618" t="inlineStr">
        <is>
          <t>fdybas</t>
        </is>
      </c>
      <c r="B8618" t="inlineStr">
        <is>
          <t>Favorite snacks?</t>
        </is>
      </c>
      <c r="C8618" t="inlineStr">
        <is>
          <t>I have Type 2. Looking to get off my ass (again 😒🥴😉) and refresh my diet. What are some of your favorite diabetic-friendly snacks?</t>
        </is>
      </c>
      <c r="D8618" t="n">
        <v>1</v>
      </c>
      <c r="E8618" t="n">
        <v>6</v>
      </c>
      <c r="F8618">
        <f>HYPERLINK("https://www.reddit.com/r/diabetes/comments/fdybas/favorite_snacks/")</f>
        <v/>
      </c>
      <c r="G8618" t="inlineStr">
        <is>
          <t>2020-03-05 09:05:04</t>
        </is>
      </c>
      <c r="H8618" t="inlineStr">
        <is>
          <t>Type 2</t>
        </is>
      </c>
    </row>
    <row r="8619">
      <c r="A8619" t="inlineStr">
        <is>
          <t>fdzt09</t>
        </is>
      </c>
      <c r="B8619" t="inlineStr">
        <is>
          <t>So I just got my medtronic 670g hooked up to me today</t>
        </is>
      </c>
      <c r="C8619" t="inlineStr">
        <is>
          <t>I kinda have some concerns about the whole thing tbh. My endo wants me to take 1 unit for every 15 carbs I eat, and while that would probably apply for dinner, lunch would be a pain. idk
Does anyone have any suggestions? The device itself doesn't seem hard to use, but they want me to basically report any change I make to the device, just so they can walk me through it or something. Should I wait for their response, or just take it in my own hands more than they want me to? Am I legally allowed to do that or are they gonna take it away from me if I don't do precisely what they want, even if it works for me?
I guess an upside to it is they're willing to be flexible with my blood sugar range, so that's ok I guess. I'm just like really depressed, and tbh the instructor I had today just felt mentally exhausting to deal with.</t>
        </is>
      </c>
      <c r="D8619" t="n">
        <v>1</v>
      </c>
      <c r="E8619" t="n">
        <v>2</v>
      </c>
      <c r="F8619">
        <f>HYPERLINK("https://www.reddit.com/r/diabetes/comments/fdzt09/so_i_just_got_my_medtronic_670g_hooked_up_to_me/")</f>
        <v/>
      </c>
      <c r="G8619" t="inlineStr">
        <is>
          <t>2020-03-05 10:41:04</t>
        </is>
      </c>
      <c r="H8619" t="inlineStr">
        <is>
          <t>Type 1</t>
        </is>
      </c>
    </row>
    <row r="8620">
      <c r="A8620" t="inlineStr">
        <is>
          <t>fdzvjo</t>
        </is>
      </c>
      <c r="B8620" t="inlineStr">
        <is>
          <t>Dexcom case</t>
        </is>
      </c>
      <c r="C8620" t="inlineStr">
        <is>
          <t>have you found a Dexcom case that you like?  something like a phone case so I can hook it to my belt loop, or put it around my neck with touchscreen</t>
        </is>
      </c>
      <c r="D8620" t="n">
        <v>1</v>
      </c>
      <c r="E8620" t="n">
        <v>0</v>
      </c>
      <c r="F8620">
        <f>HYPERLINK("https://www.reddit.com/r/diabetes/comments/fdzvjo/dexcom_case/")</f>
        <v/>
      </c>
      <c r="G8620" t="inlineStr">
        <is>
          <t>2020-03-05 10:45:47</t>
        </is>
      </c>
      <c r="H8620" t="inlineStr">
        <is>
          <t>Type 1</t>
        </is>
      </c>
    </row>
    <row r="8621">
      <c r="A8621" t="inlineStr">
        <is>
          <t>fe1rav</t>
        </is>
      </c>
      <c r="B8621" t="inlineStr">
        <is>
          <t>A quick shout out and thanks!!</t>
        </is>
      </c>
      <c r="C8621" t="inlineStr">
        <is>
          <t>I just wanted to make a quick shoutout and thanks post to u/shirazzzy, who generously helped me out with some supplies. 
It’s moments like this that remind me how amazing the diabetes community really is!!</t>
        </is>
      </c>
      <c r="D8621" t="n">
        <v>1</v>
      </c>
      <c r="E8621" t="n">
        <v>1</v>
      </c>
      <c r="F8621">
        <f>HYPERLINK("https://www.reddit.com/r/diabetes/comments/fe1rav/a_quick_shout_out_and_thanks/")</f>
        <v/>
      </c>
      <c r="G8621" t="inlineStr">
        <is>
          <t>2020-03-05 12:44:59</t>
        </is>
      </c>
      <c r="H8621" t="inlineStr">
        <is>
          <t>Type 1</t>
        </is>
      </c>
    </row>
    <row r="8622">
      <c r="A8622" t="inlineStr">
        <is>
          <t>fe27gc</t>
        </is>
      </c>
      <c r="B8622" t="inlineStr">
        <is>
          <t>Not losing weight... anabolic vs. catabolic state</t>
        </is>
      </c>
      <c r="C8622" t="inlineStr">
        <is>
          <t>Has anyone else been told that their body was in a catabolic state and needs to transition to an anabolic state? 
I’ve been working really... REALLY frickin hard and I have not lost a single pound. In fact, I gained a pound from my diagnosis to my second appointment. I joined weight watchers and orange theory fitness 6 weeks ago and my body is exactly the same. It’s so frustrating because I’m working really hard and getting no results. 
My endo told me that the reason why I gained a pound is because my body was in a catabolic state because of uncontrolled diabetes. It needs to be in an anabolic state- that’s when sugars are controlled- in order to effectively lose weight. So for the past 6 weeks I’ve been checking my sugars and they’ve been good. Nothing over 140 (fasting) and more so in the 110-120 range. So is my body in an anabolic state yet?! 
Does anyone have any experience with this? I’m very new to this diagnosis and relearning how to eat and exist. I’d love to hear your diabetic weight loss stories because I’m about to just give up. 
TIA!!!</t>
        </is>
      </c>
      <c r="D8622" t="n">
        <v>1</v>
      </c>
      <c r="E8622" t="n">
        <v>4</v>
      </c>
      <c r="F8622">
        <f>HYPERLINK("https://www.reddit.com/r/diabetes/comments/fe27gc/not_losing_weight_anabolic_vs_catabolic_state/")</f>
        <v/>
      </c>
      <c r="G8622" t="inlineStr">
        <is>
          <t>2020-03-05 13:13:11</t>
        </is>
      </c>
      <c r="H8622" t="inlineStr">
        <is>
          <t>Type 2</t>
        </is>
      </c>
    </row>
    <row r="8623">
      <c r="A8623" t="inlineStr">
        <is>
          <t>fe3rng</t>
        </is>
      </c>
      <c r="B8623" t="inlineStr">
        <is>
          <t>Diagnosed 3 weeks ago and just had an intense panic attack at work.</t>
        </is>
      </c>
      <c r="C8623" t="inlineStr">
        <is>
          <t>It’s been three weeks since I was diagnosed and now I’m on an intense clean eating diet. I can’t have most fats, no sugar obviously and since my levels are still pretty high, very little carbs, nothing processed. I’m a relatively thin girl who’s whole life and hobbies revolved around eating good food, traveling and owning a bubble tea business. I lost it today at work (I’m also a nanny) because I can no longer be who I am. I feel like a part of me was ripped away and I’m worried I may never get to have it back. I had dreams of traveling the world as a food writer, trying all the different dishes I come across and living freely, but now I’m a slave to that goddamn meter. I feel so defeated today.</t>
        </is>
      </c>
      <c r="D8623" t="n">
        <v>1</v>
      </c>
      <c r="E8623" t="n">
        <v>12</v>
      </c>
      <c r="F8623">
        <f>HYPERLINK("https://www.reddit.com/r/diabetes/comments/fe3rng/diagnosed_3_weeks_ago_and_just_had_an_intense/")</f>
        <v/>
      </c>
      <c r="G8623" t="inlineStr">
        <is>
          <t>2020-03-05 14:55:52</t>
        </is>
      </c>
      <c r="H8623" t="inlineStr">
        <is>
          <t>Type 2</t>
        </is>
      </c>
    </row>
    <row r="8624">
      <c r="A8624" t="inlineStr">
        <is>
          <t>fe5cz6</t>
        </is>
      </c>
      <c r="B8624" t="inlineStr">
        <is>
          <t>Starting Metformin soon, any advice on what to expect?</t>
        </is>
      </c>
      <c r="C8624" t="inlineStr">
        <is>
          <t>So, new doctor says to me "I have no idea what your last doctor was thinking but you should be on medication so we're starting you on **Metformin HCL 1000mg** 2x daily."
So, not on any sort of medication prior with an A1C (as of 2 years ago finding out more by next week for new blood work take today) of 6.2 and am now starting Metformin.
I've already checked drug interaction websites and asked my pharmacist about interactions with other medications.
What I'm looking for is any advice on if there are any foods to avoid with this (besides the obvious diabetes diet changes already in place) or what to expect side effect wise.
Only thing the doctor told me for side effects was to most likely expect loose bowel movements and perhaps mild GI discomfort for probably the first 6 weeks while my body gets used to the medication.</t>
        </is>
      </c>
      <c r="D8624" t="n">
        <v>1</v>
      </c>
      <c r="E8624" t="n">
        <v>13</v>
      </c>
      <c r="F8624">
        <f>HYPERLINK("https://www.reddit.com/r/diabetes/comments/fe5cz6/starting_metformin_soon_any_advice_on_what_to/")</f>
        <v/>
      </c>
      <c r="G8624" t="inlineStr">
        <is>
          <t>2020-03-05 16:50:46</t>
        </is>
      </c>
      <c r="H8624" t="inlineStr">
        <is>
          <t>Type 2</t>
        </is>
      </c>
    </row>
    <row r="8625">
      <c r="A8625" t="inlineStr">
        <is>
          <t>fe6svm</t>
        </is>
      </c>
      <c r="B8625" t="inlineStr">
        <is>
          <t>Is it bad to take a set amount of insulin for every meal?</t>
        </is>
      </c>
      <c r="C8625" t="inlineStr">
        <is>
          <t>I read somewhere in this sub that doing so is “outdated.” Do other people count carbohydrates and take a certain amount of insulin accordingly? I (diagnosed in January of this year) have never done that. I measured a cup of Cheerios and it made me hate my life, so I never did it again lol. I’ve just been eating healthier and I try not to waste 10 units of insulin by eating half a sandwich for a “meal.” Maybe things will change when I see my endo in April.</t>
        </is>
      </c>
      <c r="D8625" t="n">
        <v>1</v>
      </c>
      <c r="E8625" t="n">
        <v>8</v>
      </c>
      <c r="F8625">
        <f>HYPERLINK("https://www.reddit.com/r/diabetes/comments/fe6svm/is_it_bad_to_take_a_set_amount_of_insulin_for/")</f>
        <v/>
      </c>
      <c r="G8625" t="inlineStr">
        <is>
          <t>2020-03-05 18:39:05</t>
        </is>
      </c>
      <c r="H8625" t="inlineStr">
        <is>
          <t>Type 2</t>
        </is>
      </c>
    </row>
    <row r="8626">
      <c r="A8626" t="inlineStr">
        <is>
          <t>fe88gi</t>
        </is>
      </c>
      <c r="B8626" t="inlineStr">
        <is>
          <t>33 year old vegan and I’ve just been diagnosed... I feel like crying.</t>
        </is>
      </c>
      <c r="C8626" t="inlineStr">
        <is>
          <t>I’m confused and bewildered. I do not understand how this happened. I eat well. I exercise. It just doesn’t make sense. My father was diabetic and was diagnosed around my age, but he was an alcoholic. He died this past October at 53. I’m terrified and embarrassed and I don’t know what to do. I haven’t told my husband or any of my other family members because I’m so humiliated. I’m panicking and just so out of sorts. Any advice or support would be so appreciated.</t>
        </is>
      </c>
      <c r="D8626" t="n">
        <v>1</v>
      </c>
      <c r="E8626" t="n">
        <v>21</v>
      </c>
      <c r="F8626">
        <f>HYPERLINK("https://www.reddit.com/r/diabetes/comments/fe88gi/33_year_old_vegan_and_ive_just_been_diagnosed_i/")</f>
        <v/>
      </c>
      <c r="G8626" t="inlineStr">
        <is>
          <t>2020-03-05 20:35:11</t>
        </is>
      </c>
      <c r="H8626" t="inlineStr">
        <is>
          <t>Type 2</t>
        </is>
      </c>
    </row>
    <row r="8627">
      <c r="A8627" t="inlineStr">
        <is>
          <t>fea7bu</t>
        </is>
      </c>
      <c r="B8627" t="inlineStr">
        <is>
          <t>Why not ? Cure diabetes naturally....</t>
        </is>
      </c>
      <c r="C8627" t="inlineStr">
        <is>
          <t>By chance I received a tweet to naturally cure a type 2 diabetes.
Check this :
https://twitter.com/Frisquet3/status/1235828606372179968</t>
        </is>
      </c>
      <c r="D8627" t="n">
        <v>1</v>
      </c>
      <c r="E8627" t="n">
        <v>3</v>
      </c>
      <c r="F8627">
        <f>HYPERLINK("https://www.reddit.com/r/diabetes/comments/fea7bu/why_not_cure_diabetes_naturally/")</f>
        <v/>
      </c>
      <c r="G8627" t="inlineStr">
        <is>
          <t>2020-03-05 23:45:38</t>
        </is>
      </c>
      <c r="H8627" t="inlineStr">
        <is>
          <t>Type 2</t>
        </is>
      </c>
    </row>
    <row r="8628">
      <c r="A8628" t="inlineStr">
        <is>
          <t>feah21</t>
        </is>
      </c>
      <c r="B8628" t="inlineStr">
        <is>
          <t>Is your bloodsugar supposed to be high after drinking?</t>
        </is>
      </c>
      <c r="C8628" t="inlineStr">
        <is>
          <t>Hey, I just drunk about half a cup of vodka and my bloodsugar rose to 348 after about an hour. I corrected, and it been an hour later and it’s 413. I didn’t realize I’d drunk enough to mess up my sugar levels, and I’m scared of correcting again in case  it drops low. Any advice? Should I be worried?</t>
        </is>
      </c>
      <c r="D8628" t="n">
        <v>1</v>
      </c>
      <c r="E8628" t="n">
        <v>15</v>
      </c>
      <c r="F8628">
        <f>HYPERLINK("https://www.reddit.com/r/diabetes/comments/feah21/is_your_bloodsugar_supposed_to_be_high_after/")</f>
        <v/>
      </c>
      <c r="G8628" t="inlineStr">
        <is>
          <t>2020-03-06 00:15:03</t>
        </is>
      </c>
      <c r="H8628" t="inlineStr">
        <is>
          <t>Type 1</t>
        </is>
      </c>
    </row>
    <row r="8629">
      <c r="A8629" t="inlineStr">
        <is>
          <t>fehr9u</t>
        </is>
      </c>
      <c r="B8629" t="inlineStr">
        <is>
          <t>Lantus</t>
        </is>
      </c>
      <c r="C8629" t="inlineStr">
        <is>
          <t>If you are in or around metro Detroit or want to drive close to me I have boxes of Lantus about to expire.  Pm me.</t>
        </is>
      </c>
      <c r="D8629" t="n">
        <v>1</v>
      </c>
      <c r="E8629" t="n">
        <v>3</v>
      </c>
      <c r="F8629">
        <f>HYPERLINK("https://www.reddit.com/r/diabetes/comments/fehr9u/lantus/")</f>
        <v/>
      </c>
      <c r="G8629" t="inlineStr">
        <is>
          <t>2020-03-06 10:27:05</t>
        </is>
      </c>
      <c r="H8629" t="inlineStr">
        <is>
          <t>Type 1</t>
        </is>
      </c>
    </row>
    <row r="8630">
      <c r="A8630" t="inlineStr">
        <is>
          <t>fei9wn</t>
        </is>
      </c>
      <c r="B8630" t="inlineStr">
        <is>
          <t>UMR/UHC Issues</t>
        </is>
      </c>
      <c r="C8630" t="inlineStr">
        <is>
          <t>I just spent the last month or so calling back and forth between my endo, my HR department, UMR, and Tandem to try and get the t slim x2 because my endo made it seem like it was the best option for me, and I have already been happily using the Dexcom G6 for around 6 months so it made the most sense due to its compatibility with my Dexcom. 
Long story short, I couldn’t get a benefit exception through UMR to get the t slim at affordable costs, so now I’m back to the drawing board.
I want to move forward and get started with Medtronic, but after reading reviews of their pumps and CGM, as well as the recall that I just saw news of, I’m not very sold on their equipment. If it comes down to it and it’s my only option I will gladly take it over my MDI routine, but I was wondering how you guys feel about Medtronic, or if you might have any suggestions or advice. I’m new to the pump scene so any and all help is very appreciated. I’ve looked into the Omnipod a bit, but with UMR’s deal with Medtronic I’m not sure I want to go through another month of being tossed around just to find that they can’t get it covered in network again.</t>
        </is>
      </c>
      <c r="D8630" t="n">
        <v>1</v>
      </c>
      <c r="E8630" t="n">
        <v>5</v>
      </c>
      <c r="F8630">
        <f>HYPERLINK("https://www.reddit.com/r/diabetes/comments/fei9wn/umruhc_issues/")</f>
        <v/>
      </c>
      <c r="G8630" t="inlineStr">
        <is>
          <t>2020-03-06 11:00:40</t>
        </is>
      </c>
      <c r="H8630" t="inlineStr">
        <is>
          <t>Type 1.5/LADA</t>
        </is>
      </c>
    </row>
    <row r="8631">
      <c r="A8631" t="inlineStr">
        <is>
          <t>fek217</t>
        </is>
      </c>
      <c r="B8631" t="inlineStr">
        <is>
          <t>Low blood sugars and my vision! Do any other diabetics have this problem?</t>
        </is>
      </c>
      <c r="C8631" t="inlineStr">
        <is>
          <t xml:space="preserve">
Its strange and hard to explain. When I am low or am approaching a low I start to have differences in my vision, but these differences are not listed as symptoms anywhere. 
I can explain it better for anybody who cares or might have a similar issue. 
When they are low I have issues my vision and how my brain interprets symbols. Usually you see the shape and know what letter, but for me I sometimes see the letter, but only see the spaces between it when I I am low. Even the spaces within the letter like an e or an o. It's scares me and sometimes I think this is not diabetes problem, but something wrong with my brain only brought about by lows.</t>
        </is>
      </c>
      <c r="D8631" t="n">
        <v>1</v>
      </c>
      <c r="E8631" t="n">
        <v>19</v>
      </c>
      <c r="F8631">
        <f>HYPERLINK("https://www.reddit.com/r/diabetes/comments/fek217/low_blood_sugars_and_my_vision_do_any_other/")</f>
        <v/>
      </c>
      <c r="G8631" t="inlineStr">
        <is>
          <t>2020-03-06 12:55:45</t>
        </is>
      </c>
      <c r="H8631" t="inlineStr">
        <is>
          <t>Type 1</t>
        </is>
      </c>
    </row>
    <row r="8632">
      <c r="A8632" t="inlineStr">
        <is>
          <t>fen2y7</t>
        </is>
      </c>
      <c r="B8632" t="inlineStr">
        <is>
          <t>Are these diabetic symptoms or something else?</t>
        </is>
      </c>
      <c r="C8632" t="inlineStr">
        <is>
          <t>I have symptoms on my toes, that I googled might be diabetes or something else. I have horizontal indentations on the nails of my two large toes, a dark knuckle on one toe, and my toes turn bright red at the end of the day. Has anyone experienced any of these symptoms?</t>
        </is>
      </c>
      <c r="D8632" t="n">
        <v>1</v>
      </c>
      <c r="E8632" t="n">
        <v>11</v>
      </c>
      <c r="F8632">
        <f>HYPERLINK("https://www.reddit.com/r/diabetes/comments/fen2y7/are_these_diabetic_symptoms_or_something_else/")</f>
        <v/>
      </c>
      <c r="G8632" t="inlineStr">
        <is>
          <t>2020-03-06 16:24:49</t>
        </is>
      </c>
      <c r="H8632" t="inlineStr">
        <is>
          <t>Type 2</t>
        </is>
      </c>
    </row>
    <row r="8633">
      <c r="A8633" t="inlineStr">
        <is>
          <t>fep0tk</t>
        </is>
      </c>
      <c r="B8633" t="inlineStr">
        <is>
          <t>Moving to the USA for college.</t>
        </is>
      </c>
      <c r="C8633" t="inlineStr">
        <is>
          <t>So I'm a Brazilian student in the last year of high school, and recently I have started working on studying abroad. I got a company to help me free of charge, but they only do USA, Canada and UK. When researching a little bit, I made the decision that I will mostly apply to top tier colleges, such as Havard or Caltech, because I don't think it is worth the hassle to move and try to live somewhere else to study in an university with a similar level to the one I'm applying for in Brazil.
However, as you guys may have guessed, I'm quite worried about insulin prices, since those schools are in the USA. Can anyone enlighten me on how student's health insurance works? How much am I going to have to pay in practice?</t>
        </is>
      </c>
      <c r="D8633" t="n">
        <v>1</v>
      </c>
      <c r="E8633" t="n">
        <v>3</v>
      </c>
      <c r="F8633">
        <f>HYPERLINK("https://www.reddit.com/r/diabetes/comments/fep0tk/moving_to_the_usa_for_college/")</f>
        <v/>
      </c>
      <c r="G8633" t="inlineStr">
        <is>
          <t>2020-03-06 18:57:48</t>
        </is>
      </c>
      <c r="H8633" t="inlineStr">
        <is>
          <t>Type 1</t>
        </is>
      </c>
    </row>
    <row r="8634">
      <c r="A8634" t="inlineStr">
        <is>
          <t>feq5d5</t>
        </is>
      </c>
      <c r="B8634" t="inlineStr">
        <is>
          <t>Does the emotional up and downs ever go away?</t>
        </is>
      </c>
      <c r="C8634" t="inlineStr">
        <is>
          <t>I got diagnosed August 30, 2019. It's been hard figuring things out but I'm trying really hard and I'm getting there. But do the emotional ups and downs go away? Most of the time I'm ok, I try to make the best of it or make jokes like "I always wanted to be number 1 at something, this is not what I meant" stupid I know. Sometimes though I drop into depression and that I'm doing it all wrong and I'll never get to where I see others at... I also struggle financially so I feel like if my insurance doesn't cover it, it will never happen. I blame myself a lot and feel like I did this to myself, so I still take it kinda hard when someone makes a comment like "you must have ate too much sugar" or "did you not take care of yourself?" Even though I know that's not true for either type
Sometimes it still feels like a nightmare and if I could just wake up and it all never happened or if I could just hit pause and make everything just stop. Sometimes I feel like I'm being punished, like I made god angry. It feels like to much to handle sometimes.
So does this ever stop? Do you ever stop obsessing over it and thinking about diabetes everyday. Like I know we have to do diabetes stuff daily but I mean like the worry about blood sugar and anxiously waiting for the right amount if time to check it again.</t>
        </is>
      </c>
      <c r="D8634" t="n">
        <v>1</v>
      </c>
      <c r="E8634" t="n">
        <v>16</v>
      </c>
      <c r="F8634">
        <f>HYPERLINK("https://www.reddit.com/r/diabetes/comments/feq5d5/does_the_emotional_up_and_downs_ever_go_away/")</f>
        <v/>
      </c>
      <c r="G8634" t="inlineStr">
        <is>
          <t>2020-03-06 20:34:14</t>
        </is>
      </c>
      <c r="H8634" t="inlineStr">
        <is>
          <t>Type 1</t>
        </is>
      </c>
    </row>
    <row r="8635">
      <c r="A8635" t="inlineStr">
        <is>
          <t>ferg37</t>
        </is>
      </c>
      <c r="B8635" t="inlineStr">
        <is>
          <t>Does an A1C of borderline Prediabetic levels seem wrong for someone who is around 19 BMI points?</t>
        </is>
      </c>
      <c r="C8635" t="inlineStr">
        <is>
          <t>I really feel like a skinny type 2 Diabetic and my A1C seems to prove that I'm at least a skinny borderline Prediabetic. My BMI is 19.2
And this was after around 3 months of cutting out almost all junk food and almost 2 months of vitamin D supplementation (blood tests showed I was still noticeably deficient after supplements)
My doctor isn't concerned but I'm so close to being underweight that  I don't want to imagine what my A1C would be if I gained weight. 
Does this seem abnormal? How can I be so close to Prediabetes and almost underweight? 
Thanks</t>
        </is>
      </c>
      <c r="D8635" t="n">
        <v>1</v>
      </c>
      <c r="E8635" t="n">
        <v>18</v>
      </c>
      <c r="F8635">
        <f>HYPERLINK("https://www.reddit.com/r/diabetes/comments/ferg37/does_an_a1c_of_borderline_prediabetic_levels_seem/")</f>
        <v/>
      </c>
      <c r="G8635" t="inlineStr">
        <is>
          <t>2020-03-06 22:38:13</t>
        </is>
      </c>
      <c r="H8635" t="inlineStr">
        <is>
          <t>Type 2</t>
        </is>
      </c>
    </row>
    <row r="8636">
      <c r="A8636" t="inlineStr">
        <is>
          <t>fews73</t>
        </is>
      </c>
      <c r="B8636" t="inlineStr">
        <is>
          <t>Any type 1s out there with term life insurance?</t>
        </is>
      </c>
      <c r="C8636" t="inlineStr">
        <is>
          <t>Curious to see how much you all are paying a month for your premiums. I myself have a policy, with a 15 year history of controlled type 1 on a pump, hypertension (on 2 meds) and hyperlipidemia (on lipitor) and my premiums are obviously higher than I want it to be.</t>
        </is>
      </c>
      <c r="D8636" t="n">
        <v>1</v>
      </c>
      <c r="E8636" t="n">
        <v>3</v>
      </c>
      <c r="F8636">
        <f>HYPERLINK("https://www.reddit.com/r/diabetes/comments/fews73/any_type_1s_out_there_with_term_life_insurance/")</f>
        <v/>
      </c>
      <c r="G8636" t="inlineStr">
        <is>
          <t>2020-03-07 07:43:24</t>
        </is>
      </c>
      <c r="H8636" t="inlineStr">
        <is>
          <t>Type 1</t>
        </is>
      </c>
    </row>
    <row r="8637">
      <c r="A8637" t="inlineStr">
        <is>
          <t>feywyc</t>
        </is>
      </c>
      <c r="B8637" t="inlineStr">
        <is>
          <t>Found out I have T2 yesterday. Very scared.</t>
        </is>
      </c>
      <c r="C8637" t="inlineStr">
        <is>
          <t>My A1c was 5.3 in June; I didn't make any lifestyle changes because I was stupid and in denial, and yesterday my glucose was 395. I went to the store for a glucometer when I realized I was peeing once an hour. Before that I had taken a nap because I was so exhausted; I think it was even higher at that point.
Then I added things up: the pain my right kidney that's gone on a month and a half, the increased blurriness in my vision, the sharp pains in my feet. I was trying to figure out what it meant, but was in denial. I have so many risk factors for Type 2 that it's ridiculous, but I didn't want to see. I'm already on metformin for PCOS, yet my glucose was 395. That scares me.
I'm also scared because my aunt died from diabetic ketoacidosis in her 40s, and I grew up watching my mom inject herself with insulin every day and die from pancreatic cancer. 
I'm also feeling very ashamed. I should have watched my weight better, ate better, exercised more. I feel like people are going to hear I have T2 and look down on me because it's very tied to lifestyle.
But mostly I just want to be ok, and I don't know when I will be, and how long it will last. Maybe I'm being melodramatic, but this is really hard. I still want to have a good life.</t>
        </is>
      </c>
      <c r="D8637" t="n">
        <v>1</v>
      </c>
      <c r="E8637" t="n">
        <v>28</v>
      </c>
      <c r="F8637">
        <f>HYPERLINK("https://www.reddit.com/r/diabetes/comments/feywyc/found_out_i_have_t2_yesterday_very_scared/")</f>
        <v/>
      </c>
      <c r="G8637" t="inlineStr">
        <is>
          <t>2020-03-07 10:11:01</t>
        </is>
      </c>
      <c r="H8637" t="inlineStr">
        <is>
          <t>Type 2</t>
        </is>
      </c>
    </row>
    <row r="8638">
      <c r="A8638" t="inlineStr">
        <is>
          <t>ff16pi</t>
        </is>
      </c>
      <c r="B8638" t="inlineStr">
        <is>
          <t>Metformin question</t>
        </is>
      </c>
      <c r="C8638" t="inlineStr">
        <is>
          <t>Does metformin contain steroids? I'm talking to a fellow T2 diabetic (our minister when I get married this year). He said that metformin contains steroids and may interfere with weight loss. I can't find anything online so I thought I'd ask you guys.  We all know how big pharma is and their reach in many practicing doctors.</t>
        </is>
      </c>
      <c r="D8638" t="n">
        <v>1</v>
      </c>
      <c r="E8638" t="n">
        <v>12</v>
      </c>
      <c r="F8638">
        <f>HYPERLINK("https://www.reddit.com/r/diabetes/comments/ff16pi/metformin_question/")</f>
        <v/>
      </c>
      <c r="G8638" t="inlineStr">
        <is>
          <t>2020-03-07 12:41:59</t>
        </is>
      </c>
      <c r="H8638" t="inlineStr">
        <is>
          <t>Type 2</t>
        </is>
      </c>
    </row>
    <row r="8639">
      <c r="A8639" t="inlineStr">
        <is>
          <t>ff1arb</t>
        </is>
      </c>
      <c r="B8639" t="inlineStr">
        <is>
          <t>My boyfriend is experiencing what we both think is diabetic neuropathy</t>
        </is>
      </c>
      <c r="C8639" t="inlineStr">
        <is>
          <t>My boyfriend is 18 and he got diagnosed with Type 1 when he was 13. He’s usually really good with taking care of his diabetes but he didn’t take his insulin for one day. Yesterday he was complaining about a puns and needles sensation in his fingers, and I just kinda told him to see if it felt better in the morning. Today, the feeling hasn’t gone away and everything we look at online says it’s permanent nerve damage. The feeling is in his dominant hand and he’s an artist and a guitarist. So I have a few questions. 
1. Is there anything else it could be? And how do we know for sure? Do we go to a doctor or do we go to the hospital, or do we just handle this on our own?
2. How do I make him feel better if it is diabetic neuropathy? I’m struggling to find the right things to say, because I’ve never gone through this before, and neither has he. 
Anything helps, I just want my boyfriend to be ok.</t>
        </is>
      </c>
      <c r="D8639" t="n">
        <v>1</v>
      </c>
      <c r="E8639" t="n">
        <v>6</v>
      </c>
      <c r="F8639">
        <f>HYPERLINK("https://www.reddit.com/r/diabetes/comments/ff1arb/my_boyfriend_is_experiencing_what_we_both_think/")</f>
        <v/>
      </c>
      <c r="G8639" t="inlineStr">
        <is>
          <t>2020-03-07 12:50:05</t>
        </is>
      </c>
      <c r="H8639" t="inlineStr">
        <is>
          <t>Type 1</t>
        </is>
      </c>
    </row>
    <row r="8640">
      <c r="A8640" t="inlineStr">
        <is>
          <t>ff48y9</t>
        </is>
      </c>
      <c r="B8640" t="inlineStr">
        <is>
          <t>I have questions regarding the Coronavirus.</t>
        </is>
      </c>
      <c r="C8640" t="inlineStr">
        <is>
          <t>I just want to be educated, If someone like me 25 years old, with an A1C of 5.4 ends up contracting this virus. What should I expect and what actions should I take to ensure that I keep everything under control?</t>
        </is>
      </c>
      <c r="D8640" t="n">
        <v>1</v>
      </c>
      <c r="E8640" t="n">
        <v>8</v>
      </c>
      <c r="F8640">
        <f>HYPERLINK("https://www.reddit.com/r/diabetes/comments/ff48y9/i_have_questions_regarding_the_coronavirus/")</f>
        <v/>
      </c>
      <c r="G8640" t="inlineStr">
        <is>
          <t>2020-03-07 16:17:09</t>
        </is>
      </c>
      <c r="H8640" t="inlineStr">
        <is>
          <t>Type 1</t>
        </is>
      </c>
    </row>
    <row r="8641">
      <c r="A8641" t="inlineStr">
        <is>
          <t>ff5few</t>
        </is>
      </c>
      <c r="B8641" t="inlineStr">
        <is>
          <t>Ozempic for a month</t>
        </is>
      </c>
      <c r="C8641" t="inlineStr">
        <is>
          <t>So a bit of background
Diagnosed December 12,2018 at 10.7. 
Really aggressive treatment from the getgo - metformin, glimepiride, insulin, CGM, dietary changes. Got off insulin after just 3 weeks. A1C was great at my 6 month, and even for my diavetsary, we were still below 6. 
I had an appointment recently because I wanted to try Ozempic or Victoza or something. Our goal with my doc was to manage my sugars and my appetite better without using any pills. 
It’s been working great. I am down five pounds, we just titrated up to 0.5 injection on Tuesday. Stopped metformin completely on Thursday, but even before then I was just doing 500mg BID. 
My concern now is that my cgm is showing me in hypo ranges. I am asymptomatic, and part of me thinks there may still be some residual metformin working in my system, but part of me also thinks its just my cgm being faulty. My libre sensor has 3 days left before being switched out. 
I don’t actually have a lancet available, so I can’t take an accurate reading right now... I guess more what I’m asking is - has anyone had the hypo symptoms from ozempic?</t>
        </is>
      </c>
      <c r="D8641" t="n">
        <v>1</v>
      </c>
      <c r="E8641" t="n">
        <v>1</v>
      </c>
      <c r="F8641">
        <f>HYPERLINK("https://www.reddit.com/r/diabetes/comments/ff5few/ozempic_for_a_month/")</f>
        <v/>
      </c>
      <c r="G8641" t="inlineStr">
        <is>
          <t>2020-03-07 17:47:19</t>
        </is>
      </c>
      <c r="H8641" t="inlineStr">
        <is>
          <t>Type 2</t>
        </is>
      </c>
    </row>
    <row r="8642">
      <c r="A8642" t="inlineStr">
        <is>
          <t>ff5r69</t>
        </is>
      </c>
      <c r="B8642" t="inlineStr">
        <is>
          <t>Can I donate plasma or not?</t>
        </is>
      </c>
      <c r="C8642" t="inlineStr">
        <is>
          <t>I’ve seen people say you can give blood and others say you can’t. More important to me is can I give plasma? It seems like everyone has a different opinion on the topic. Some doctors refuse people who have diabetes and others say it’s fine. I’m a little upset at the fact that there’s no consensus on it. Between doctors, who are medical professionals, you don’t know enough about my disease to tell me if I can or cannot donate? I would find out locally but I don’t want to go through all the testing and exams and paperwork only for someone to tell me I can’t do it.</t>
        </is>
      </c>
      <c r="D8642" t="n">
        <v>1</v>
      </c>
      <c r="E8642" t="n">
        <v>7</v>
      </c>
      <c r="F8642">
        <f>HYPERLINK("https://www.reddit.com/r/diabetes/comments/ff5r69/can_i_donate_plasma_or_not/")</f>
        <v/>
      </c>
      <c r="G8642" t="inlineStr">
        <is>
          <t>2020-03-07 18:12:24</t>
        </is>
      </c>
      <c r="H8642" t="inlineStr">
        <is>
          <t>Type 1</t>
        </is>
      </c>
    </row>
    <row r="8643">
      <c r="A8643" t="inlineStr">
        <is>
          <t>ff5v74</t>
        </is>
      </c>
      <c r="B8643" t="inlineStr">
        <is>
          <t>Insulin shortage in Canada?</t>
        </is>
      </c>
      <c r="C8643" t="inlineStr">
        <is>
          <t>I'm curious if I'm the only one who noticed that lately drugstores aren't carrying as much insulin in stock, and sometimes none? Today I've had to do 3 drugstores in Montreal in order to find one who had at least one vial in stock (turns out I took their last two vials, as they were unable to supply my third).</t>
        </is>
      </c>
      <c r="D8643" t="n">
        <v>1</v>
      </c>
      <c r="E8643" t="n">
        <v>6</v>
      </c>
      <c r="F8643">
        <f>HYPERLINK("https://www.reddit.com/r/diabetes/comments/ff5v74/insulin_shortage_in_canada/")</f>
        <v/>
      </c>
      <c r="G8643" t="inlineStr">
        <is>
          <t>2020-03-07 18:21:05</t>
        </is>
      </c>
      <c r="H8643" t="inlineStr">
        <is>
          <t>Type 1</t>
        </is>
      </c>
    </row>
    <row r="8644">
      <c r="A8644" t="inlineStr">
        <is>
          <t>ff70fi</t>
        </is>
      </c>
      <c r="B8644" t="inlineStr">
        <is>
          <t>Parent suggesting I just cut out all carbs because my BS raises after every meal? Good idea?</t>
        </is>
      </c>
      <c r="C8644" t="inlineStr">
        <is>
          <t>I’ve been a T1 for almost 2 years now. My nutritionist and Endo had both agreed 200 carbs/day was an alright limit for me to maintain my current weight. 
I try to stick to 50 carbs/meal, and I bolus 20 minutes before I eat. After every meal, no matter what it is, my blood sugar still rises, often 100 or 150 points. For example, it was 150, I ate a 50 carb lean cuisine meal, and now it’s 280. I have an appointment to see my Endo about Bolus rates, but it’s still a month away (there’s only 1 or 2 in my area, impossible to get appointments). 
After saying how much I hate it rising, my parent suggested just completely cutting out carbs and going Keto like my sister (who has no diabetes). Is this...rational?</t>
        </is>
      </c>
      <c r="D8644" t="n">
        <v>1</v>
      </c>
      <c r="E8644" t="n">
        <v>15</v>
      </c>
      <c r="F8644">
        <f>HYPERLINK("https://www.reddit.com/r/diabetes/comments/ff70fi/parent_suggesting_i_just_cut_out_all_carbs/")</f>
        <v/>
      </c>
      <c r="G8644" t="inlineStr">
        <is>
          <t>2020-03-07 19:50:45</t>
        </is>
      </c>
      <c r="H8644" t="inlineStr">
        <is>
          <t>Type 1</t>
        </is>
      </c>
    </row>
    <row r="8645">
      <c r="A8645" t="inlineStr">
        <is>
          <t>ffb1le</t>
        </is>
      </c>
      <c r="B8645" t="inlineStr">
        <is>
          <t>how to travel long term when you have T1D?</t>
        </is>
      </c>
      <c r="C8645" t="inlineStr">
        <is>
          <t>I am looking to travel for as long as possible but will need to be able to purchase diabetes supplies like insulin, BGL strips, insulin pump supples and possibly CGM supplies on the road?
I also need to go to appointments back home for HBA1C testing and see my endocrinologist 3/6 months. whats the best of doing this while travelling without having to return home?</t>
        </is>
      </c>
      <c r="D8645" t="n">
        <v>1</v>
      </c>
      <c r="E8645" t="n">
        <v>10</v>
      </c>
      <c r="F8645">
        <f>HYPERLINK("https://www.reddit.com/r/diabetes/comments/ffb1le/how_to_travel_long_term_when_you_have_t1d/")</f>
        <v/>
      </c>
      <c r="G8645" t="inlineStr">
        <is>
          <t>2020-03-08 03:54:31</t>
        </is>
      </c>
      <c r="H8645" t="inlineStr">
        <is>
          <t>Type 1</t>
        </is>
      </c>
    </row>
    <row r="8646">
      <c r="A8646" t="inlineStr">
        <is>
          <t>fffe86</t>
        </is>
      </c>
      <c r="B8646" t="inlineStr">
        <is>
          <t>Freestyle libre</t>
        </is>
      </c>
      <c r="C8646" t="inlineStr">
        <is>
          <t>My fingers are so happy that I no longer have to stick them and I am getting better control of my numbers now that I use the freestyle Libre</t>
        </is>
      </c>
      <c r="D8646" t="n">
        <v>1</v>
      </c>
      <c r="E8646" t="n">
        <v>15</v>
      </c>
      <c r="F8646">
        <f>HYPERLINK("https://www.reddit.com/r/diabetes/comments/fffe86/freestyle_libre/")</f>
        <v/>
      </c>
      <c r="G8646" t="inlineStr">
        <is>
          <t>2020-03-08 10:04:05</t>
        </is>
      </c>
      <c r="H8646" t="inlineStr">
        <is>
          <t>Type 2</t>
        </is>
      </c>
    </row>
    <row r="8647">
      <c r="A8647" t="inlineStr">
        <is>
          <t>ffffsl</t>
        </is>
      </c>
      <c r="B8647" t="inlineStr">
        <is>
          <t>Different descriptions</t>
        </is>
      </c>
      <c r="C8647" t="inlineStr">
        <is>
          <t>I remember as a kid growing up in Trinidad and Tobago people never said they had diabetes they always say I have a touch of sugar funny how different cultures different ways of describing their conditions also did did not have to finger stick they had to use urine and write down what color the stick turned.</t>
        </is>
      </c>
      <c r="D8647" t="n">
        <v>1</v>
      </c>
      <c r="E8647" t="n">
        <v>5</v>
      </c>
      <c r="F8647">
        <f>HYPERLINK("https://www.reddit.com/r/diabetes/comments/ffffsl/different_descriptions/")</f>
        <v/>
      </c>
      <c r="G8647" t="inlineStr">
        <is>
          <t>2020-03-08 10:06:48</t>
        </is>
      </c>
      <c r="H8647" t="inlineStr">
        <is>
          <t>Type 2</t>
        </is>
      </c>
    </row>
    <row r="8648">
      <c r="A8648" t="inlineStr">
        <is>
          <t>ffg0rj</t>
        </is>
      </c>
      <c r="B8648" t="inlineStr">
        <is>
          <t>Does anyone get intense cramps when their blood sugar levels fall quickly?</t>
        </is>
      </c>
      <c r="C8648" t="inlineStr">
        <is>
          <t>My mum said she believes that when her blood sugar levels fall quickly she gets cramp, specifically her legs and arms. When she has food she injects 1 unit of insulin per 10 grams of carbs and injects novarapid 15 minutes before she eats. The intense cramps happen 40 minutes to 60 minutes after she eats and usually last for 30 minutes to 60 minutes. She also takes various other medication which may impact this. Any suggestions how to prevent this would be greatly appreciated. Thanks in advance.</t>
        </is>
      </c>
      <c r="D8648" t="n">
        <v>1</v>
      </c>
      <c r="E8648" t="n">
        <v>1</v>
      </c>
      <c r="F8648">
        <f>HYPERLINK("https://www.reddit.com/r/diabetes/comments/ffg0rj/does_anyone_get_intense_cramps_when_their_blood/")</f>
        <v/>
      </c>
      <c r="G8648" t="inlineStr">
        <is>
          <t>2020-03-08 10:46:06</t>
        </is>
      </c>
      <c r="H8648" t="inlineStr">
        <is>
          <t>Type 1</t>
        </is>
      </c>
    </row>
    <row r="8649">
      <c r="A8649" t="inlineStr">
        <is>
          <t>ffgika</t>
        </is>
      </c>
      <c r="B8649" t="inlineStr">
        <is>
          <t>Diabetic lows</t>
        </is>
      </c>
      <c r="C8649" t="inlineStr">
        <is>
          <t>Does anyone else experience diabetic lows with the no symptoms I'm have been below 40 with no clue whatsoever unless I check  My numbers</t>
        </is>
      </c>
      <c r="D8649" t="n">
        <v>1</v>
      </c>
      <c r="E8649" t="n">
        <v>11</v>
      </c>
      <c r="F8649">
        <f>HYPERLINK("https://www.reddit.com/r/diabetes/comments/ffgika/diabetic_lows/")</f>
        <v/>
      </c>
      <c r="G8649" t="inlineStr">
        <is>
          <t>2020-03-08 11:18:52</t>
        </is>
      </c>
      <c r="H8649" t="inlineStr">
        <is>
          <t>Type 2</t>
        </is>
      </c>
    </row>
    <row r="8650">
      <c r="A8650" t="inlineStr">
        <is>
          <t>ffic03</t>
        </is>
      </c>
      <c r="B8650" t="inlineStr">
        <is>
          <t>Umm has this happened to anyone else?</t>
        </is>
      </c>
      <c r="C8650" t="inlineStr">
        <is>
          <t>So I’m pretty recently diagnosed but this is the first time I noticed this (sorry if this is TMI!!)
My blood sugar has been spiking a bit today but what I am most confused about is that my urine seems to be tinted green? Is that related to high bg? Now I’m not saying it’s like I poured some green dye in the toilet but it is like a bright yellow/green. I am also very hydrated before someone asks so I’m not worried about that.
I also have ruled out any infections
I know you guys aren’t doctors that’s why I’m not looking for advice. Just seeing if this has happened to anyone before lol</t>
        </is>
      </c>
      <c r="D8650" t="n">
        <v>1</v>
      </c>
      <c r="E8650" t="n">
        <v>7</v>
      </c>
      <c r="F8650">
        <f>HYPERLINK("https://www.reddit.com/r/diabetes/comments/ffic03/umm_has_this_happened_to_anyone_else/")</f>
        <v/>
      </c>
      <c r="G8650" t="inlineStr">
        <is>
          <t>2020-03-08 13:14:13</t>
        </is>
      </c>
      <c r="H8650" t="inlineStr">
        <is>
          <t>Type 1</t>
        </is>
      </c>
    </row>
    <row r="8651">
      <c r="A8651" t="inlineStr">
        <is>
          <t>ffjior</t>
        </is>
      </c>
      <c r="B8651" t="inlineStr">
        <is>
          <t>Concert vs Coronavirus</t>
        </is>
      </c>
      <c r="C8651" t="inlineStr">
        <is>
          <t>I have tickets to go see Tool at a sold out show in Portland, OR on Wednesday. Stadium holds over 20k people. Do you guys think it’s unsafe to go? 
I’m 35 years old and have had type 1 since age 9. I’m overweight but not bad, and my a1c is always in the 6s. I’m relatively healthy.
My wife thinks I shouldn’t go because of the coronavirus. I wanted to get your opinion because I’m on the fence.</t>
        </is>
      </c>
      <c r="D8651" t="n">
        <v>1</v>
      </c>
      <c r="E8651" t="n">
        <v>10</v>
      </c>
      <c r="F8651">
        <f>HYPERLINK("https://www.reddit.com/r/diabetes/comments/ffjior/concert_vs_coronavirus/")</f>
        <v/>
      </c>
      <c r="G8651" t="inlineStr">
        <is>
          <t>2020-03-08 14:30:06</t>
        </is>
      </c>
      <c r="H8651" t="inlineStr">
        <is>
          <t>Type 1</t>
        </is>
      </c>
    </row>
    <row r="8652">
      <c r="A8652" t="inlineStr">
        <is>
          <t>ffkq12</t>
        </is>
      </c>
      <c r="B8652" t="inlineStr">
        <is>
          <t>my sugar is 500 because my tslim infusion needle bent ...</t>
        </is>
      </c>
      <c r="C8652" t="inlineStr">
        <is>
          <t>i feel like shit i didn't even notice till right now. i just changed sites but now because i have insulin on board it will not let me take more. luckily i have a pen left over and just shot a ton up to bring me down... i am so messed up and feel like death.... 
don't know why it did it either but when i pulled the infusion site off it was bent straight over.</t>
        </is>
      </c>
      <c r="D8652" t="n">
        <v>1</v>
      </c>
      <c r="E8652" t="n">
        <v>4</v>
      </c>
      <c r="F8652">
        <f>HYPERLINK("https://www.reddit.com/r/diabetes/comments/ffkq12/my_sugar_is_500_because_my_tslim_infusion_needle/")</f>
        <v/>
      </c>
      <c r="G8652" t="inlineStr">
        <is>
          <t>2020-03-08 15:50:49</t>
        </is>
      </c>
      <c r="H8652" t="inlineStr">
        <is>
          <t>Type 1</t>
        </is>
      </c>
    </row>
    <row r="8653">
      <c r="A8653" t="inlineStr">
        <is>
          <t>ffmcx2</t>
        </is>
      </c>
      <c r="B8653" t="inlineStr">
        <is>
          <t>Pre-bolused for a meal and almost fell asleep</t>
        </is>
      </c>
      <c r="C8653" t="inlineStr">
        <is>
          <t>I've been getting all worked up over a girl this weekend and sleeping like shit so I almost got too comfy lying down and fell asleep (I live alone). 20 minutes later I suddenly think "Did I ever pre-bolus?" That woke me up quick. All good but low-key dodged a bad bullet.
Also, LPT: If you're trying to not think about someone, don't go on their instagram(!) and decide to check out their video of covering a song(!!) b/c if you're unlucky they'll actually have a talent for vocals and guitar(!!!) and and it turns out it's a sad wistful love song(!!!!!!!!!!!!!!!). Oof.</t>
        </is>
      </c>
      <c r="D8653" t="n">
        <v>1</v>
      </c>
      <c r="E8653" t="n">
        <v>0</v>
      </c>
      <c r="F8653">
        <f>HYPERLINK("https://www.reddit.com/r/diabetes/comments/ffmcx2/prebolused_for_a_meal_and_almost_fell_asleep/")</f>
        <v/>
      </c>
      <c r="G8653" t="inlineStr">
        <is>
          <t>2020-03-08 17:48:10</t>
        </is>
      </c>
      <c r="H8653" t="inlineStr">
        <is>
          <t>Type 1</t>
        </is>
      </c>
    </row>
    <row r="8654">
      <c r="A8654" t="inlineStr">
        <is>
          <t>ffoj0t</t>
        </is>
      </c>
      <c r="B8654" t="inlineStr">
        <is>
          <t>Any tips on managing blood sugar while in the honeymoon phase?</t>
        </is>
      </c>
      <c r="C8654" t="inlineStr">
        <is>
          <t>Hi!
This is annoying. If I eat yoghurt on Monday mornings at 8, take 2 units I'll end up at a BG of 90 two hours later. If I eat the same yoghurt, at the same time, just a day later and take 2 units as well, I'll end up at 70. The next day I repeat it and I'll end up at 120. 
I'm never way too low or way too high, but it's still super annoying, I want more control. 
Are there any tricks? Any tips? Advice? 
Thanks.</t>
        </is>
      </c>
      <c r="D8654" t="n">
        <v>1</v>
      </c>
      <c r="E8654" t="n">
        <v>8</v>
      </c>
      <c r="F8654">
        <f>HYPERLINK("https://www.reddit.com/r/diabetes/comments/ffoj0t/any_tips_on_managing_blood_sugar_while_in_the/")</f>
        <v/>
      </c>
      <c r="G8654" t="inlineStr">
        <is>
          <t>2020-03-08 20:31:14</t>
        </is>
      </c>
      <c r="H8654" t="inlineStr">
        <is>
          <t>Type 1</t>
        </is>
      </c>
    </row>
    <row r="8655">
      <c r="A8655" t="inlineStr">
        <is>
          <t>ffolrq</t>
        </is>
      </c>
      <c r="B8655" t="inlineStr">
        <is>
          <t>Anyone else diagnosed with almost no symptoms</t>
        </is>
      </c>
      <c r="C8655" t="inlineStr">
        <is>
          <t>I feel like the only t1d who wasn’t in dka when I was diagnosed.
I remember I noticed my breath smelled like acetone and I was peeing a lot but I wasn’t drinking much more than usual! I already knew t1d symptoms because of a friend of mine who has t1d.
Anyways I was feeling absolutely fine besides the excessive peeing ( only once an hour ish as opposed to the 4-5 ive heard from some others)  Also, my mouth wasn’t that dry. It was kind of a slimy feeling, but it didn’t feel like a desert. I was just slightly more thirsty than usual. 
Decided it wouldn’t be a bad idea to buy a cheap little Walmart lancet and just make sure I didn’t have diabetes. It was more for peace of mind than for me actually thinking I had diabetes (does that make sense?) like I felt like I couldn’t breathe until I made sure.
Well thank god I did! My bg was 250! My only thoughts were “WTF WTF WTF”
I’m thankful to have caught it early! Doctors were shocked I caught it myself.</t>
        </is>
      </c>
      <c r="D8655" t="n">
        <v>1</v>
      </c>
      <c r="E8655" t="n">
        <v>13</v>
      </c>
      <c r="F8655">
        <f>HYPERLINK("https://www.reddit.com/r/diabetes/comments/ffolrq/anyone_else_diagnosed_with_almost_no_symptoms/")</f>
        <v/>
      </c>
      <c r="G8655" t="inlineStr">
        <is>
          <t>2020-03-08 20:37:17</t>
        </is>
      </c>
      <c r="H8655" t="inlineStr">
        <is>
          <t>Type 1</t>
        </is>
      </c>
    </row>
    <row r="8656">
      <c r="A8656" t="inlineStr">
        <is>
          <t>ffqgcv</t>
        </is>
      </c>
      <c r="B8656" t="inlineStr">
        <is>
          <t>Lack of sexual drive from diabetes?</t>
        </is>
      </c>
      <c r="C8656" t="inlineStr">
        <is>
          <t>I got diagnosed with diabetes after an athropic pancreas in late 2018 early 2019. My A1C was 17.2 no kidding. I had a very shitty lifestyle full of chocolates, cold drinks, carb filled meals, and no exercise. After losing about 46KG in about 6 months, getting depressed, non stop pain, and also quitting masturbation, I spent the last year just wallowing in my sorrow. 
Recently I started feeling better. But the thing that concerns me is that I shoot blanks now. I have little to no sexual drive or romance left in me. Im just 20 years of age and I worry that I might not be able to have kids of my own. My A1C has decreased to 12.6 and my frequent peeing has stopped, but this shooting blanks has got me worried. 
Extra info: Used to take cipralex. A smoker. Been a patient of high triglycerides as well(2700)in the year 2013 now 130ish.</t>
        </is>
      </c>
      <c r="D8656" t="n">
        <v>1</v>
      </c>
      <c r="E8656" t="n">
        <v>16</v>
      </c>
      <c r="F8656">
        <f>HYPERLINK("https://www.reddit.com/r/diabetes/comments/ffqgcv/lack_of_sexual_drive_from_diabetes/")</f>
        <v/>
      </c>
      <c r="G8656" t="inlineStr">
        <is>
          <t>2020-03-08 23:25:08</t>
        </is>
      </c>
      <c r="H8656" t="inlineStr">
        <is>
          <t>Type 2</t>
        </is>
      </c>
    </row>
    <row r="8657">
      <c r="A8657" t="inlineStr">
        <is>
          <t>ffs54l</t>
        </is>
      </c>
      <c r="B8657" t="inlineStr">
        <is>
          <t>Happy 20th Diabetic Birthday to me!</t>
        </is>
      </c>
      <c r="C8657" t="inlineStr">
        <is>
          <t>So today's the day, 20 years since my diagnosis. Happy to see how far technology has come in those years and so excited for what is to come in the next few years!</t>
        </is>
      </c>
      <c r="D8657" t="n">
        <v>1</v>
      </c>
      <c r="E8657" t="n">
        <v>4</v>
      </c>
      <c r="F8657">
        <f>HYPERLINK("https://www.reddit.com/r/diabetes/comments/ffs54l/happy_20th_diabetic_birthday_to_me/")</f>
        <v/>
      </c>
      <c r="G8657" t="inlineStr">
        <is>
          <t>2020-03-09 02:32:46</t>
        </is>
      </c>
      <c r="H8657" t="inlineStr">
        <is>
          <t>Type 1</t>
        </is>
      </c>
    </row>
    <row r="8658">
      <c r="A8658" t="inlineStr">
        <is>
          <t>ffu68d</t>
        </is>
      </c>
      <c r="B8658" t="inlineStr">
        <is>
          <t>So pleased...</t>
        </is>
      </c>
      <c r="C8658" t="inlineStr">
        <is>
          <t>My A1c was 8. Back in October and after being on metformin, watching my carbs and losing  20 lbs my A1c is now 6.1  yay!</t>
        </is>
      </c>
      <c r="D8658" t="n">
        <v>1</v>
      </c>
      <c r="E8658" t="n">
        <v>9</v>
      </c>
      <c r="F8658">
        <f>HYPERLINK("https://www.reddit.com/r/diabetes/comments/ffu68d/so_pleased/")</f>
        <v/>
      </c>
      <c r="G8658" t="inlineStr">
        <is>
          <t>2020-03-09 05:51:32</t>
        </is>
      </c>
      <c r="H8658" t="inlineStr">
        <is>
          <t>Type 2</t>
        </is>
      </c>
    </row>
    <row r="8659">
      <c r="A8659" t="inlineStr">
        <is>
          <t>ffvghv</t>
        </is>
      </c>
      <c r="B8659" t="inlineStr">
        <is>
          <t>Not Medidally Necessary</t>
        </is>
      </c>
      <c r="C8659" t="inlineStr">
        <is>
          <t>I just got a response from my insurance! My insulin pump isn't medically necessary! I'm so glad thst my disease is cured and that I don't need to use an insulin pump anymore.
Ill go outside and just wait. It won't take too long to die right?
I don't need it. I should be fine subsisting on air instead?
/s
All joking aside. I just wish I understood who the living breathing human was who looked at my case and said: not medically necessary.</t>
        </is>
      </c>
      <c r="D8659" t="n">
        <v>1</v>
      </c>
      <c r="E8659" t="n">
        <v>0</v>
      </c>
      <c r="F8659">
        <f>HYPERLINK("https://www.reddit.com/r/diabetes/comments/ffvghv/not_medidally_necessary/")</f>
        <v/>
      </c>
      <c r="G8659" t="inlineStr">
        <is>
          <t>2020-03-09 07:27:37</t>
        </is>
      </c>
      <c r="H8659" t="inlineStr">
        <is>
          <t>Type 1</t>
        </is>
      </c>
    </row>
    <row r="8660">
      <c r="A8660" t="inlineStr">
        <is>
          <t>ffvhjc</t>
        </is>
      </c>
      <c r="B8660" t="inlineStr">
        <is>
          <t>Not Medically Necessary!</t>
        </is>
      </c>
      <c r="C8660" t="inlineStr">
        <is>
          <t>Just got a response from my insurance! My insulin pump, to replace my current insulin pump isn't medically necessary! I'm so glad that my disease is cured, and that I don't need to use an insulin pump anymore.
Ill go outside and just wait. It won't take too long to die right?
I don't need it. I should be fine subsisting on air instead? Right? 
/s
All joking aside. I just wish I could look the person who made this retarded decision in the eyes. A living breathing human was who looked at my case and said: not medically necessary.</t>
        </is>
      </c>
      <c r="D8660" t="n">
        <v>1</v>
      </c>
      <c r="E8660" t="n">
        <v>38</v>
      </c>
      <c r="F8660">
        <f>HYPERLINK("https://www.reddit.com/r/diabetes/comments/ffvhjc/not_medically_necessary/")</f>
        <v/>
      </c>
      <c r="G8660" t="inlineStr">
        <is>
          <t>2020-03-09 07:29:41</t>
        </is>
      </c>
      <c r="H8660" t="inlineStr">
        <is>
          <t>Type 1</t>
        </is>
      </c>
    </row>
    <row r="8661">
      <c r="A8661" t="inlineStr">
        <is>
          <t>fg5ai6</t>
        </is>
      </c>
      <c r="B8661" t="inlineStr">
        <is>
          <t>Freestyle Libre 14 Day - Inaccuracies</t>
        </is>
      </c>
      <c r="C8661" t="inlineStr">
        <is>
          <t>Anyone else experience extreme inaccuracies compared to finger sticks with a meter when you’re sick? I understand being sick will throw your sugars out of whack but i’m getting readings that are 100 points apart from the sensor and blood sugar meter.</t>
        </is>
      </c>
      <c r="D8661" t="n">
        <v>1</v>
      </c>
      <c r="E8661" t="n">
        <v>2</v>
      </c>
      <c r="F8661">
        <f>HYPERLINK("https://www.reddit.com/r/diabetes/comments/fg5ai6/freestyle_libre_14_day_inaccuracies/")</f>
        <v/>
      </c>
      <c r="G8661" t="inlineStr">
        <is>
          <t>2020-03-09 17:47:22</t>
        </is>
      </c>
      <c r="H8661" t="inlineStr">
        <is>
          <t>Type 1</t>
        </is>
      </c>
    </row>
    <row r="8662">
      <c r="A8662" t="inlineStr">
        <is>
          <t>fg7xug</t>
        </is>
      </c>
      <c r="B8662" t="inlineStr">
        <is>
          <t>High carb meal messes with BGs for days??!</t>
        </is>
      </c>
      <c r="C8662" t="inlineStr">
        <is>
          <t>Hi all, I have noticed a trend whenever I try to eat a higher carb meal (I typically eat low to moderate carb). It happened again this weekend. I ordered some yucca fries (delicious!) and totally underestimated the carb count. I bolused for about 60 carbs and the reality was more like 80-100 carbs. Went high that afternoon, but came down by the evening. The thing is, now if a single crumb of carbohydrate touches my mouth, my BG spikes up to 200. And my overnight BGs are in the 180s and basically unresponsive to mass amounts of insulin! Any idea what could be happening and what I can do about it?? I’m on MDI/Dexcom. Thanks in advance!!</t>
        </is>
      </c>
      <c r="D8662" t="n">
        <v>1</v>
      </c>
      <c r="E8662" t="n">
        <v>7</v>
      </c>
      <c r="F8662">
        <f>HYPERLINK("https://www.reddit.com/r/diabetes/comments/fg7xug/high_carb_meal_messes_with_bgs_for_days/")</f>
        <v/>
      </c>
      <c r="G8662" t="inlineStr">
        <is>
          <t>2020-03-09 21:00:08</t>
        </is>
      </c>
      <c r="H8662" t="inlineStr">
        <is>
          <t>Type 1</t>
        </is>
      </c>
    </row>
    <row r="8663">
      <c r="A8663" t="inlineStr">
        <is>
          <t>fg86ir</t>
        </is>
      </c>
      <c r="B8663" t="inlineStr">
        <is>
          <t>I think I'm diabetic?</t>
        </is>
      </c>
      <c r="C8663" t="inlineStr">
        <is>
          <t>So, I'm brand new here.  Recently doctor ordered some blood tests and threw in hemoglobin test.  I got the results online (Kaiser) and I have an a1c of 7%.  Googled it, apparently that means I'm diabetic?
Unfortunately couldn't schedule follow up with doctor until the 23rd, so until then I'm kinda lost and clueless.   Am I diabetic?  How fast can I lower my a1c to safe levels? Once you are diagnosed, can you 'get rid of' diabetes through diet and exercise?  I started exercising and eating healthier the day I got the results, and I'm not gonna stop.
Thanks, I'm so lost and concerned.  A patient should not be able to see their test results without a doctor to help interpret them, it's giving me way more stress than needed.</t>
        </is>
      </c>
      <c r="D8663" t="n">
        <v>1</v>
      </c>
      <c r="E8663" t="n">
        <v>6</v>
      </c>
      <c r="F8663">
        <f>HYPERLINK("https://www.reddit.com/r/diabetes/comments/fg86ir/i_think_im_diabetic/")</f>
        <v/>
      </c>
      <c r="G8663" t="inlineStr">
        <is>
          <t>2020-03-09 21:19:48</t>
        </is>
      </c>
      <c r="H8663" t="inlineStr">
        <is>
          <t>Type 2</t>
        </is>
      </c>
    </row>
    <row r="8664">
      <c r="A8664" t="inlineStr">
        <is>
          <t>fg8tk9</t>
        </is>
      </c>
      <c r="B8664" t="inlineStr">
        <is>
          <t>Invalid transmitter ID?</t>
        </is>
      </c>
      <c r="C8664" t="inlineStr">
        <is>
          <t>I was wondering if it matters how I pair the Dexcom G6 transmitter. I will do it on my phone and on my pump but does the order matter? Thanks for the help.</t>
        </is>
      </c>
      <c r="D8664" t="n">
        <v>1</v>
      </c>
      <c r="E8664" t="n">
        <v>1</v>
      </c>
      <c r="F8664">
        <f>HYPERLINK("https://www.reddit.com/r/diabetes/comments/fg8tk9/invalid_transmitter_id/")</f>
        <v/>
      </c>
      <c r="G8664" t="inlineStr">
        <is>
          <t>2020-03-09 22:16:36</t>
        </is>
      </c>
      <c r="H8664" t="inlineStr">
        <is>
          <t>Type 1</t>
        </is>
      </c>
    </row>
    <row r="8665">
      <c r="A8665" t="inlineStr">
        <is>
          <t>fgbf96</t>
        </is>
      </c>
      <c r="B8665" t="inlineStr">
        <is>
          <t>Ever dated a diabetic girl?</t>
        </is>
      </c>
      <c r="C8665" t="inlineStr">
        <is>
          <t>I'm one of those girls. It was my first time. I never wanted to date bc I always thought I would transfer the disease to that guy. I didn't. However my blood sugar would always go low when me and my ex would have heavy make out sessions. I always found that weird.</t>
        </is>
      </c>
      <c r="D8665" t="n">
        <v>1</v>
      </c>
      <c r="E8665" t="n">
        <v>11</v>
      </c>
      <c r="F8665">
        <f>HYPERLINK("https://www.reddit.com/r/diabetes/comments/fgbf96/ever_dated_a_diabetic_girl/")</f>
        <v/>
      </c>
      <c r="G8665" t="inlineStr">
        <is>
          <t>2020-03-10 02:57:47</t>
        </is>
      </c>
      <c r="H8665" t="inlineStr">
        <is>
          <t>Type 1</t>
        </is>
      </c>
    </row>
    <row r="8666">
      <c r="A8666" t="inlineStr">
        <is>
          <t>fgf38z</t>
        </is>
      </c>
      <c r="B8666" t="inlineStr">
        <is>
          <t>Platelet Rich Plasma (PRP) Treatment</t>
        </is>
      </c>
      <c r="C8666" t="inlineStr">
        <is>
          <t>I recently went to the ortho for an appointment to get my knee checked out. Doctor said that I have degenerative meniscus and that among other options he recommends PRP injections (3x to be exact). While I'm researching PRP generally, I'm wondering whether there are any studies or anyone has experience with T1s and PRP.
A bit of background, I'm a very active adult (34) that plays soccer 3x a week and hits the gym 2x a week. I have excellent BS control (&amp;lt;6 club!). I went skiing a month ago, then had some soccer games, and felt the pain shortly after that. I've rested it and iced consistently for about 2 weeks but haven't had much improvement since. FWIW, I also had a similar injury/pain a couple of years ago and opted against PRP and arthroscopic surgery then as well. Let me know if any other info would be helpful. TIA!!</t>
        </is>
      </c>
      <c r="D8666" t="n">
        <v>1</v>
      </c>
      <c r="E8666" t="n">
        <v>4</v>
      </c>
      <c r="F8666">
        <f>HYPERLINK("https://www.reddit.com/r/diabetes/comments/fgf38z/platelet_rich_plasma_prp_treatment/")</f>
        <v/>
      </c>
      <c r="G8666" t="inlineStr">
        <is>
          <t>2020-03-10 07:58:27</t>
        </is>
      </c>
      <c r="H8666" t="inlineStr">
        <is>
          <t>Type 1</t>
        </is>
      </c>
    </row>
    <row r="8667">
      <c r="A8667" t="inlineStr">
        <is>
          <t>fgjwjm</t>
        </is>
      </c>
      <c r="B8667" t="inlineStr">
        <is>
          <t>Prior authorization</t>
        </is>
      </c>
      <c r="C8667" t="inlineStr">
        <is>
          <t>It seems whenever my endo prescribes a medication, whatever insurance I have at the time says no and needs a PA. Do you guys run into this a lot as well?</t>
        </is>
      </c>
      <c r="D8667" t="n">
        <v>1</v>
      </c>
      <c r="E8667" t="n">
        <v>5</v>
      </c>
      <c r="F8667">
        <f>HYPERLINK("https://www.reddit.com/r/diabetes/comments/fgjwjm/prior_authorization/")</f>
        <v/>
      </c>
      <c r="G8667" t="inlineStr">
        <is>
          <t>2020-03-10 12:55:20</t>
        </is>
      </c>
      <c r="H8667" t="inlineStr">
        <is>
          <t>Type 2</t>
        </is>
      </c>
    </row>
    <row r="8668">
      <c r="A8668" t="inlineStr">
        <is>
          <t>fgjy8n</t>
        </is>
      </c>
      <c r="B8668" t="inlineStr">
        <is>
          <t>How can you improve your insulin sensitivity with diet or lifestyle as a type 1?</t>
        </is>
      </c>
      <c r="C8668" t="inlineStr">
        <is>
          <t>I'm looking for lifestyle changes (mainly dietary) that can improve your sensitivity to insulin.
To clarify, I'm not just looking for a diet that will reduce my insulin needs, obviously a keto diet would be best for that. I'm just looking to be as responsive to insulin as possible.
I'm on a pretty strict weight training routine and consume a lot of calories, and recently my insulin sensitivity has been pretty terrible. Especially at lunch. For example, today I had about 150g of carbs for lunch and did 20 units of humalog, and my blood sugar still ended up being like 80 points higher a few hours later (went from 120 to 200). So that would put my insulin:carb ratio somewhere around like 1:6. Pretty terrible. The afternoon is better but still not great, it's more like 1:9.</t>
        </is>
      </c>
      <c r="D8668" t="n">
        <v>1</v>
      </c>
      <c r="E8668" t="n">
        <v>21</v>
      </c>
      <c r="F8668">
        <f>HYPERLINK("https://www.reddit.com/r/diabetes/comments/fgjy8n/how_can_you_improve_your_insulin_sensitivity_with/")</f>
        <v/>
      </c>
      <c r="G8668" t="inlineStr">
        <is>
          <t>2020-03-10 12:58:07</t>
        </is>
      </c>
      <c r="H8668" t="inlineStr">
        <is>
          <t>Type 1</t>
        </is>
      </c>
    </row>
    <row r="8669">
      <c r="A8669" t="inlineStr">
        <is>
          <t>fglcoi</t>
        </is>
      </c>
      <c r="B8669" t="inlineStr">
        <is>
          <t>Gastroparesis... A new bump in the road.</t>
        </is>
      </c>
      <c r="C8669" t="inlineStr">
        <is>
          <t>I'm heading to my endocrinologist this friday and through many sick nights and investigation I believe that I have gastroparesis. 
Online it says it's common for diabetics but I have never heard of anyone else with it and doctors have never talked about it. I was so scared it was DKA but I was more balanced than that to have MONTHLY fights with dka so I knew it couldn't be that.. I just don't understand why isnt it talked about more or if the internet lied about it being a common side effect..
Is there anyone else dealing with this too? I just need a little encouragement that I'm not as broken as I think I am.</t>
        </is>
      </c>
      <c r="D8669" t="n">
        <v>1</v>
      </c>
      <c r="E8669" t="n">
        <v>14</v>
      </c>
      <c r="F8669">
        <f>HYPERLINK("https://www.reddit.com/r/diabetes/comments/fglcoi/gastroparesis_a_new_bump_in_the_road/")</f>
        <v/>
      </c>
      <c r="G8669" t="inlineStr">
        <is>
          <t>2020-03-10 14:22:55</t>
        </is>
      </c>
      <c r="H8669" t="inlineStr">
        <is>
          <t>Type 1</t>
        </is>
      </c>
    </row>
    <row r="8670">
      <c r="A8670" t="inlineStr">
        <is>
          <t>fglvyv</t>
        </is>
      </c>
      <c r="B8670" t="inlineStr">
        <is>
          <t>Dawn phenomenon - please help</t>
        </is>
      </c>
      <c r="C8670" t="inlineStr">
        <is>
          <t>Hi, looking for some suggestions please. I am currently suffering from dawn phenomenon - my blood sugar spikes every morning at 6am, right up to 18mmol, and because of this, I normally skip breakfast. I’ve started to wake up at 6am to take 4 units to prevent spikes and it’s working pretty well! 
However, I have now started eat breakfast again (normally 9/10am) and my blood sugar spikes again, despite a 30-min pre-bolus injection, and stays around 13mmol. I am wondering if I should change my ratios (right now it’s 1:8) or up my basal (split dose, 8 units at 10pm and 9 units at 10am).
Feeling really frustrated and clueless. Does anyone have some advice? How are other people treating their dawn phenomenon spikes?</t>
        </is>
      </c>
      <c r="D8670" t="n">
        <v>1</v>
      </c>
      <c r="E8670" t="n">
        <v>15</v>
      </c>
      <c r="F8670">
        <f>HYPERLINK("https://www.reddit.com/r/diabetes/comments/fglvyv/dawn_phenomenon_please_help/")</f>
        <v/>
      </c>
      <c r="G8670" t="inlineStr">
        <is>
          <t>2020-03-10 14:55:42</t>
        </is>
      </c>
      <c r="H8670" t="inlineStr">
        <is>
          <t>Type 1</t>
        </is>
      </c>
    </row>
    <row r="8671">
      <c r="A8671" t="inlineStr">
        <is>
          <t>fgmqe3</t>
        </is>
      </c>
      <c r="B8671" t="inlineStr">
        <is>
          <t>Medtronic 670g assistance needed</t>
        </is>
      </c>
      <c r="C8671" t="inlineStr">
        <is>
          <t>Hi all,
As stated, I have a Medtronic 670g with the Guardian CGM.  Last week, my CGM was fucking up like crazy and two sensors didn't work (in a row).  I just chalked that up to bad sensors (another gripe I have about this system).
After lunch, today, my blood sugar has remained around 250 for the past 3 or 4 hours.  I'm in Auto mode, and didn't think to check it until 3 hours in.  Upon seeing this, I tried to do a correction bolus, and my pump said No Bolus Administered.  Usually, this happens when I've still got active insulin on board that should cover the high.  I had 0.0 active insulin.  I tried again:  BG of 244, 0g carb intake.  It still said No Bolus Administered.  I started freaking out a little.  I waited about 5 minutes and tried again, and it gave me 0.4 units (CLEARLY not enough).  I tried it again immediately after that, and it gave me another 0.3 .  
WTF is going on??  0.7 units is not enough to bring me back down to normal.  I was still freaking out and turned OFF Auto Mode.  Then did the correction bolus.  With the 0.7 now Active, it still gave me 2.3 units.  THIS IS WHAT IT SHOULD HAVE DONE IN THE FIRST PLACE!
My question is, do any of you have experience with this?  Should I just turn off Auto Mode?  Why the fuck would it miscalculate my lunch and let me go that high?  Should I even trust that it's giving me insulin?  I'm just starting to calm down, but my CGM still says its not at 271.  I don't have my meter at work or else I'd test it here.  Can you guys help me somehow?  I'm getting really nervous about this... maybe I need to go back to injections?</t>
        </is>
      </c>
      <c r="D8671" t="n">
        <v>1</v>
      </c>
      <c r="E8671" t="n">
        <v>7</v>
      </c>
      <c r="F8671">
        <f>HYPERLINK("https://www.reddit.com/r/diabetes/comments/fgmqe3/medtronic_670g_assistance_needed/")</f>
        <v/>
      </c>
      <c r="G8671" t="inlineStr">
        <is>
          <t>2020-03-10 15:47:42</t>
        </is>
      </c>
      <c r="H8671" t="inlineStr">
        <is>
          <t>Type 1</t>
        </is>
      </c>
    </row>
    <row r="8672">
      <c r="A8672" t="inlineStr">
        <is>
          <t>fgnfhh</t>
        </is>
      </c>
      <c r="B8672" t="inlineStr">
        <is>
          <t>Flu again</t>
        </is>
      </c>
      <c r="C8672" t="inlineStr">
        <is>
          <t>Found out today that I have the flu...again. It’s my third time having it. When I had it in November it turned into pneumonia. 
Has anyone else had problems with the flu this year? I’m not sure if it’s because I got my flu shot at work instead of at my endo.</t>
        </is>
      </c>
      <c r="D8672" t="n">
        <v>1</v>
      </c>
      <c r="E8672" t="n">
        <v>10</v>
      </c>
      <c r="F8672">
        <f>HYPERLINK("https://www.reddit.com/r/diabetes/comments/fgnfhh/flu_again/")</f>
        <v/>
      </c>
      <c r="G8672" t="inlineStr">
        <is>
          <t>2020-03-10 16:33:09</t>
        </is>
      </c>
      <c r="H8672" t="inlineStr">
        <is>
          <t>Type 1</t>
        </is>
      </c>
    </row>
    <row r="8673">
      <c r="A8673" t="inlineStr">
        <is>
          <t>fgp74x</t>
        </is>
      </c>
      <c r="B8673" t="inlineStr">
        <is>
          <t>Today is my diabetes anniversary.</t>
        </is>
      </c>
      <c r="C8673" t="inlineStr">
        <is>
          <t>On March 11 2012, I was diagnosed with Type 1 at the age of 16. I was terrified of needles, so it scared the hell out of me. I would go on to have some rough times, develop a mild eating disorder, lose a lot of weight, then gain a lot of weight, was afraid to workout to not hypo, and so on. 
But right now? Things are incredibly a lot better. Diabetes helped my stay focused and disciplined. It’s helping me keep a great and healthy diet, it’s helping me stay consistent with my workouts, and it’s helping me manage my time correctly. Sure it requires a lot of work, but it’s not as bad as I thought. 
Honestly I wouldn’t have it any other way.</t>
        </is>
      </c>
      <c r="D8673" t="n">
        <v>1</v>
      </c>
      <c r="E8673" t="n">
        <v>3</v>
      </c>
      <c r="F8673">
        <f>HYPERLINK("https://www.reddit.com/r/diabetes/comments/fgp74x/today_is_my_diabetes_anniversary/")</f>
        <v/>
      </c>
      <c r="G8673" t="inlineStr">
        <is>
          <t>2020-03-10 18:35:18</t>
        </is>
      </c>
      <c r="H8673" t="inlineStr">
        <is>
          <t>Type 1</t>
        </is>
      </c>
    </row>
    <row r="8674">
      <c r="A8674" t="inlineStr">
        <is>
          <t>fgqkw9</t>
        </is>
      </c>
      <c r="B8674" t="inlineStr">
        <is>
          <t>Low symptoms at a higher BG?</t>
        </is>
      </c>
      <c r="C8674" t="inlineStr">
        <is>
          <t>Hey all,
I am fairly new here, joined about a week after I was diagnosed with t1 a little less than a month ago. I have noticed that I feel a bit shaky in school(easy to tell when you're writing all the time) usually in the afternoon. But when I look at my dexcom, it is showing around 90-100. I am very active with a weight training class, and currently baseball. Is it normal for athletes to feel low with slightly higher sugars than normal? My dietitian recommended being above 130 before any physical activity and going to bed because I'm so active.</t>
        </is>
      </c>
      <c r="D8674" t="n">
        <v>1</v>
      </c>
      <c r="E8674" t="n">
        <v>4</v>
      </c>
      <c r="F8674">
        <f>HYPERLINK("https://www.reddit.com/r/diabetes/comments/fgqkw9/low_symptoms_at_a_higher_bg/")</f>
        <v/>
      </c>
      <c r="G8674" t="inlineStr">
        <is>
          <t>2020-03-10 20:15:19</t>
        </is>
      </c>
      <c r="H8674" t="inlineStr">
        <is>
          <t>Type 1</t>
        </is>
      </c>
    </row>
    <row r="8675">
      <c r="A8675" t="inlineStr">
        <is>
          <t>fgu1qn</t>
        </is>
      </c>
      <c r="B8675" t="inlineStr">
        <is>
          <t>I'm confused about ketones?</t>
        </is>
      </c>
      <c r="C8675" t="inlineStr">
        <is>
          <t>Just I just decided to check myself.. Blood sugar is at 151 and my Ketones read onky a "trace"
At what level should someone be worried? And what do you do to correct it?</t>
        </is>
      </c>
      <c r="D8675" t="n">
        <v>1</v>
      </c>
      <c r="E8675" t="n">
        <v>1</v>
      </c>
      <c r="F8675">
        <f>HYPERLINK("https://www.reddit.com/r/diabetes/comments/fgu1qn/im_confused_about_ketones/")</f>
        <v/>
      </c>
      <c r="G8675" t="inlineStr">
        <is>
          <t>2020-03-11 01:43:52</t>
        </is>
      </c>
      <c r="H8675" t="inlineStr">
        <is>
          <t>Type 1</t>
        </is>
      </c>
    </row>
    <row r="8676">
      <c r="A8676" t="inlineStr">
        <is>
          <t>fgxped</t>
        </is>
      </c>
      <c r="B8676" t="inlineStr">
        <is>
          <t>Omnipod Dash coverage for BCBS</t>
        </is>
      </c>
      <c r="C8676" t="inlineStr">
        <is>
          <t>The Dash system needs to be billed as Durable Medical to be covered by BCBS. Insulet Corp won't allow this. My rep said not to use Insulet Corp as your provider in this situation but go to another provider that carries the Dash system and will allow billing as DME. There are several. So even though Insulet makes the damn thing they won't allow proper billing but another provider that they sell it to will. WAKE UP INSULET! U SUCK! We need this system to loop and be healthy, so we'll go around you. Thanks</t>
        </is>
      </c>
      <c r="D8676" t="n">
        <v>1</v>
      </c>
      <c r="E8676" t="n">
        <v>11</v>
      </c>
      <c r="F8676">
        <f>HYPERLINK("https://www.reddit.com/r/diabetes/comments/fgxped/omnipod_dash_coverage_for_bcbs/")</f>
        <v/>
      </c>
      <c r="G8676" t="inlineStr">
        <is>
          <t>2020-03-11 07:08:11</t>
        </is>
      </c>
      <c r="H8676" t="inlineStr">
        <is>
          <t>Type 1</t>
        </is>
      </c>
    </row>
    <row r="8677">
      <c r="A8677" t="inlineStr">
        <is>
          <t>fgzee4</t>
        </is>
      </c>
      <c r="B8677" t="inlineStr">
        <is>
          <t>Got the flu and ran elevated basals. I'm better now, but sugars are still rocky and basals still high</t>
        </is>
      </c>
      <c r="C8677" t="inlineStr">
        <is>
          <t>And yes, I know, talk to my doctor, except he died last summer and the interim endo I have is worthless except for calling in scripts and I'm still looking for a new doctor.
&amp;amp;#x200B;
Until then: Has anyone had their basals stay elevated and their sugars stay rocky after they got better? I'm definitely better. I actually went to the ER because sugars were so oddly high and got a workup; WBC count is normal, fever is broken, no sign of infection.  But sugars are so high I woke up nauseous with ketones this morning because I ran into the 250s most of yesterday, even though my TDD is more than double what it used to be before I got sick. And it's not like I suddenly started eating pizza and bagels for every meal.  I usually run about a .55u/hr basal and 5-9u/day boluses, and right now I'm at 1.0u and stacking a 40-75% increase on top + correction bolusing 5-10u at a time  just to drag it down from the 200s. I'm not having a ton of lows. I sometimes think I'm going to go low, and then I hit, like 95, rejoice, and it starts climbing again. 
&amp;amp;#x200B;
Not stressed; I was never super physically active - my usual walk/jog with the dog routine hasn't changed.  Usually morning walks/jogs with the dog were what kept my morning sugars in check but I'm at 217 now and climbing. I've been at this for over 20 years and never had the TDDs from illness persist after I got better.  Anyone else seen this before?</t>
        </is>
      </c>
      <c r="D8677" t="n">
        <v>1</v>
      </c>
      <c r="E8677" t="n">
        <v>6</v>
      </c>
      <c r="F8677">
        <f>HYPERLINK("https://www.reddit.com/r/diabetes/comments/fgzee4/got_the_flu_and_ran_elevated_basals_im_better_now/")</f>
        <v/>
      </c>
      <c r="G8677" t="inlineStr">
        <is>
          <t>2020-03-11 09:00:15</t>
        </is>
      </c>
      <c r="H8677" t="inlineStr">
        <is>
          <t>Type 1</t>
        </is>
      </c>
    </row>
    <row r="8678">
      <c r="A8678" t="inlineStr">
        <is>
          <t>fh0w8d</t>
        </is>
      </c>
      <c r="B8678" t="inlineStr">
        <is>
          <t>Is it normal not to feel lows?</t>
        </is>
      </c>
      <c r="C8678" t="inlineStr">
        <is>
          <t>Hi. I'm still kinda new being diagnosed 6-7 months ago. Anyway I don't always feel my lows. 90% of the time what causes the lows is because my drs still want me to take metformin with my insulin and I've asked to go off of it but they said no (I got put on metformin when I was in the er for dka at first diagnosed and misdiagnosed as t2) but most of the time I don't feel my lows. Yesterday while I was waiting for my boyfriend to bring me food, I checked my sugar before I ate and I was at 54 and I didn't feel shakes or anything. I don't really feel any till I get down to 40's or 30s, i rarely get that low but it's still scary. I also don't always feel shakes but sometimes i actually feel super tired when I'm low and that one scares me the most, my blood sugar also drops in my sleep.
No I don't have a cgm, my insurance is slow, idk if it cover them and I'm a broke college student:(. But hopefully I can find out if they do cover them and hopefully get one soon. I've only just barely been able to see an endo so I for sure plan to tell them all this at my next appointment. I just wanted to know is this normal or a way to fix it?</t>
        </is>
      </c>
      <c r="D8678" t="n">
        <v>1</v>
      </c>
      <c r="E8678" t="n">
        <v>9</v>
      </c>
      <c r="F8678">
        <f>HYPERLINK("https://www.reddit.com/r/diabetes/comments/fh0w8d/is_it_normal_not_to_feel_lows/")</f>
        <v/>
      </c>
      <c r="G8678" t="inlineStr">
        <is>
          <t>2020-03-11 10:31:11</t>
        </is>
      </c>
      <c r="H8678" t="inlineStr">
        <is>
          <t>Type 1</t>
        </is>
      </c>
    </row>
    <row r="8679">
      <c r="A8679" t="inlineStr">
        <is>
          <t>fh4jla</t>
        </is>
      </c>
      <c r="B8679" t="inlineStr">
        <is>
          <t>Medical ID</t>
        </is>
      </c>
      <c r="C8679" t="inlineStr">
        <is>
          <t>Has anyone gotten a medical ID from wish? They are extremely cheap on wish, and was wondering if they are okay (quality wise)</t>
        </is>
      </c>
      <c r="D8679" t="n">
        <v>1</v>
      </c>
      <c r="E8679" t="n">
        <v>5</v>
      </c>
      <c r="F8679">
        <f>HYPERLINK("https://www.reddit.com/r/diabetes/comments/fh4jla/medical_id/")</f>
        <v/>
      </c>
      <c r="G8679" t="inlineStr">
        <is>
          <t>2020-03-11 14:16:06</t>
        </is>
      </c>
      <c r="H8679" t="inlineStr">
        <is>
          <t>Type 1</t>
        </is>
      </c>
    </row>
    <row r="8680">
      <c r="A8680" t="inlineStr">
        <is>
          <t>fh53um</t>
        </is>
      </c>
      <c r="B8680" t="inlineStr">
        <is>
          <t>I'm very paranoid about covid-19 and my friends keep telling me to stop overreacting</t>
        </is>
      </c>
      <c r="C8680" t="inlineStr">
        <is>
          <t>They don't think taking all the precautions is necessary and are telling me to chill and it's just upsetting. Hopefully someone here can relate because I am newly diabetic and freaked out since we're at a higher risk of complications and/or death. I'm in AZ and my town already has 2 cases, so I think my friends are being idiots and aren't really taking my feelings about this into consideration. Today was also the day my endo confirmed I have LADA rather than type 2, and it's really got me down. I just wish people could understand how it feels firsthand without developing a chronic illness themselves...</t>
        </is>
      </c>
      <c r="D8680" t="n">
        <v>0</v>
      </c>
      <c r="E8680" t="n">
        <v>5</v>
      </c>
      <c r="F8680">
        <f>HYPERLINK("https://www.reddit.com/r/diabetes/comments/fh53um/im_very_paranoid_about_covid19_and_my_friends/")</f>
        <v/>
      </c>
      <c r="G8680" t="inlineStr">
        <is>
          <t>2020-03-11 14:51:31</t>
        </is>
      </c>
      <c r="H8680" t="inlineStr">
        <is>
          <t>Type 1.5/LADA</t>
        </is>
      </c>
    </row>
    <row r="8681">
      <c r="A8681" t="inlineStr">
        <is>
          <t>fhbvxb</t>
        </is>
      </c>
      <c r="B8681" t="inlineStr">
        <is>
          <t>Seeking participants for interview about the potential of Reddit for type-2 Diabetes</t>
        </is>
      </c>
      <c r="C8681" t="inlineStr">
        <is>
          <t xml:space="preserve"> Hello   everyone. My name is Ata and I  am a PhD Candidate at the Queensland   University of Technology (QUT) in  Brisbane, Australia. I am currently   completing my thesis on the  potential of Online Health Communities such   as Reddit for type-2  Diabetes. I would like to invite you for a   voluntary and anonymous  online interview through Skype, Zoom or any   other software you prefer.  The interview will take approximately 30   minutes.
Your  perspective and   experiences are significant for this study. There are  no right or wrong   answers to the questions that we will discuss. So, I  would ask you to   discuss your views openly during the online interview  and I am   interested in understanding your opinions. However, it is  possible to   participate in this research project without being  recorded. The   interview is completely anonymous and non-identifiable to  protect your   privacy. During this interview, you are free to skip any  question you   want. This study and ethical consideration have been  approved by the   Queensland University of Technology (QUT) with the  approval code   1900001024.
If you are interested in, please just drop me a message here.
If you would like to learn more, please contact me; Atae Rezaei Aghdam ([atae.rezaeiaghdam@hdr.qut.edu.au](mailto:atae.rezaeiaghdam@hdr.qut.edu.au)). Thank for reading</t>
        </is>
      </c>
      <c r="D8681" t="n">
        <v>1</v>
      </c>
      <c r="E8681" t="n">
        <v>0</v>
      </c>
      <c r="F8681">
        <f>HYPERLINK("https://www.reddit.com/r/diabetes/comments/fhbvxb/seeking_participants_for_interview_about_the/")</f>
        <v/>
      </c>
      <c r="G8681" t="inlineStr">
        <is>
          <t>2020-03-11 23:14:09</t>
        </is>
      </c>
      <c r="H8681" t="inlineStr">
        <is>
          <t>Type 2</t>
        </is>
      </c>
    </row>
    <row r="8682">
      <c r="A8682" t="inlineStr">
        <is>
          <t>fhhgul</t>
        </is>
      </c>
      <c r="B8682" t="inlineStr">
        <is>
          <t>[Research survey on health tracking]</t>
        </is>
      </c>
      <c r="C8682" t="inlineStr">
        <is>
          <t xml:space="preserve"> 
\[Research survey on health tracking\]
\*\*Please delete if not allowed\*\*
Dear All,
We're back again!
We are a group of university researchers from Oxford and NYU trying to find the best way to help people live healthier by understanding their own health through health tracking apps.
\*\*There are no right or wrong, honest answers will help us bring meaning to our research!\*\*
About the survey
\- Only 2 mins
\- All information will be kept Anonymous
Survey link: forms.gle/MNV96wHfDS62uUBB9
Best,
Jeff</t>
        </is>
      </c>
      <c r="D8682" t="n">
        <v>1</v>
      </c>
      <c r="E8682" t="n">
        <v>1</v>
      </c>
      <c r="F8682">
        <f>HYPERLINK("https://www.reddit.com/r/diabetes/comments/fhhgul/research_survey_on_health_tracking/")</f>
        <v/>
      </c>
      <c r="G8682" t="inlineStr">
        <is>
          <t>2020-03-12 07:49:02</t>
        </is>
      </c>
      <c r="H8682" t="inlineStr">
        <is>
          <t>Type 2</t>
        </is>
      </c>
    </row>
    <row r="8683">
      <c r="A8683" t="inlineStr">
        <is>
          <t>fhixgp</t>
        </is>
      </c>
      <c r="B8683" t="inlineStr">
        <is>
          <t>When will a fully non-invasive CGM be available? (speculation)</t>
        </is>
      </c>
      <c r="C8683" t="inlineStr">
        <is>
          <t>In what form will it come?
A new Apple watch?
A patch?
Contact Lens?
Ear clip?
What do you think will make it first?</t>
        </is>
      </c>
      <c r="D8683" t="n">
        <v>1</v>
      </c>
      <c r="E8683" t="n">
        <v>6</v>
      </c>
      <c r="F8683">
        <f>HYPERLINK("https://www.reddit.com/r/diabetes/comments/fhixgp/when_will_a_fully_noninvasive_cgm_be_available/")</f>
        <v/>
      </c>
      <c r="G8683" t="inlineStr">
        <is>
          <t>2020-03-12 09:22:11</t>
        </is>
      </c>
      <c r="H8683" t="inlineStr">
        <is>
          <t>Type 1.5/LADA</t>
        </is>
      </c>
    </row>
    <row r="8684">
      <c r="A8684" t="inlineStr">
        <is>
          <t>fhk3tl</t>
        </is>
      </c>
      <c r="B8684" t="inlineStr">
        <is>
          <t>Is losing weight having diabetes type 2 harder?</t>
        </is>
      </c>
      <c r="C8684" t="inlineStr">
        <is>
          <t xml:space="preserve"> Tried low carb plus exercise it worked but hit a plateau, now the only way I can burn fat is by doing keto + intermittent fasting. Does it make it harder to build muscle too? I have been able to built muscle but not enough.</t>
        </is>
      </c>
      <c r="D8684" t="n">
        <v>1</v>
      </c>
      <c r="E8684" t="n">
        <v>6</v>
      </c>
      <c r="F8684">
        <f>HYPERLINK("https://www.reddit.com/r/diabetes/comments/fhk3tl/is_losing_weight_having_diabetes_type_2_harder/")</f>
        <v/>
      </c>
      <c r="G8684" t="inlineStr">
        <is>
          <t>2020-03-12 10:33:26</t>
        </is>
      </c>
      <c r="H8684" t="inlineStr">
        <is>
          <t>Type 2</t>
        </is>
      </c>
    </row>
    <row r="8685">
      <c r="A8685" t="inlineStr">
        <is>
          <t>fhnrv5</t>
        </is>
      </c>
      <c r="B8685" t="inlineStr">
        <is>
          <t>Need some insight</t>
        </is>
      </c>
      <c r="C8685" t="inlineStr">
        <is>
          <t>Currently on vacation.  BS was perfect before I left for the day.  Spend the day on the water (in Cabo) ate some fruit in the 6 hours I was out. Came back to my room to test my BS. 555!!!   What the actual fuck.   So my question is can dehydration cause this? Like I said, I only had a handful if grapes and blueberries. I feel great currently. Not thirsty, not sick at all. Usually when it’s this high I definitely fee it. I even gave myself a few units of insulin after I ate the fruit.</t>
        </is>
      </c>
      <c r="D8685" t="n">
        <v>1</v>
      </c>
      <c r="E8685" t="n">
        <v>4</v>
      </c>
      <c r="F8685">
        <f>HYPERLINK("https://www.reddit.com/r/diabetes/comments/fhnrv5/need_some_insight/")</f>
        <v/>
      </c>
      <c r="G8685" t="inlineStr">
        <is>
          <t>2020-03-12 14:15:51</t>
        </is>
      </c>
      <c r="H8685" t="inlineStr">
        <is>
          <t>Type 1</t>
        </is>
      </c>
    </row>
    <row r="8686">
      <c r="A8686" t="inlineStr">
        <is>
          <t>fho4yc</t>
        </is>
      </c>
      <c r="B8686" t="inlineStr">
        <is>
          <t>Recently switched to NovoNordisk's Fiasp and Tresiba. Anyone else using it? How did it work for you?</t>
        </is>
      </c>
      <c r="C8686" t="inlineStr">
        <is>
          <t>I've recently recovered from DKA and they decided to switch my meds. This was my first decompensation. I've been on NovoRapid and Lantus ever since my diagnosis, 7 years ago.
My doctor admitted he isn't very familiar to this new medication and that we'll see how it goes. 
So far I keep having high blood sugars before dinner, I barely get hypos, but the rest is in range. 
I was curious if anyone has used these meds, how they reacted to them and if they did them better.</t>
        </is>
      </c>
      <c r="D8686" t="n">
        <v>1</v>
      </c>
      <c r="E8686" t="n">
        <v>6</v>
      </c>
      <c r="F8686">
        <f>HYPERLINK("https://www.reddit.com/r/diabetes/comments/fho4yc/recently_switched_to_novonordisks_fiasp_and/")</f>
        <v/>
      </c>
      <c r="G8686" t="inlineStr">
        <is>
          <t>2020-03-12 14:37:36</t>
        </is>
      </c>
      <c r="H8686" t="inlineStr">
        <is>
          <t>Type 1</t>
        </is>
      </c>
    </row>
    <row r="8687">
      <c r="A8687" t="inlineStr">
        <is>
          <t>fhojk8</t>
        </is>
      </c>
      <c r="B8687" t="inlineStr">
        <is>
          <t>Can anxiety make you feel like you are having low blood sugar?</t>
        </is>
      </c>
      <c r="C8687" t="inlineStr">
        <is>
          <t>I'm just wondering and just want to know if this happens to anyone else.</t>
        </is>
      </c>
      <c r="D8687" t="n">
        <v>1</v>
      </c>
      <c r="E8687" t="n">
        <v>4</v>
      </c>
      <c r="F8687">
        <f>HYPERLINK("https://www.reddit.com/r/diabetes/comments/fhojk8/can_anxiety_make_you_feel_like_you_are_having_low/")</f>
        <v/>
      </c>
      <c r="G8687" t="inlineStr">
        <is>
          <t>2020-03-12 15:02:27</t>
        </is>
      </c>
      <c r="H8687" t="inlineStr">
        <is>
          <t>Type 1</t>
        </is>
      </c>
    </row>
    <row r="8688">
      <c r="A8688" t="inlineStr">
        <is>
          <t>fhomvu</t>
        </is>
      </c>
      <c r="B8688" t="inlineStr">
        <is>
          <t>Just found out I have type 1 diabetes</t>
        </is>
      </c>
      <c r="C8688" t="inlineStr">
        <is>
          <t>As the title says, I just recently found out I have type 1 diabetes. Im wondering if anyone here has any websites or resources that specialize in recipes for diabetics? I've come to realize portion control is key but if anyone has anything that would help I would very much appreciate it.</t>
        </is>
      </c>
      <c r="D8688" t="n">
        <v>1</v>
      </c>
      <c r="E8688" t="n">
        <v>9</v>
      </c>
      <c r="F8688">
        <f>HYPERLINK("https://www.reddit.com/r/diabetes/comments/fhomvu/just_found_out_i_have_type_1_diabetes/")</f>
        <v/>
      </c>
      <c r="G8688" t="inlineStr">
        <is>
          <t>2020-03-12 15:08:01</t>
        </is>
      </c>
      <c r="H8688" t="inlineStr">
        <is>
          <t>Type 1</t>
        </is>
      </c>
    </row>
    <row r="8689">
      <c r="A8689" t="inlineStr">
        <is>
          <t>fhoq0o</t>
        </is>
      </c>
      <c r="B8689" t="inlineStr">
        <is>
          <t>What are your numbers?</t>
        </is>
      </c>
      <c r="C8689" t="inlineStr">
        <is>
          <t>I was diagnosed as a type 2 but I have to take insulin now. I'm a 26, 5'8, 145 lbs male. I have been on nasal for 2 years and bolus for 6 months. I'm still trying to figure out my carb to insulin ratio. I have it down to 1:5g of carbs. I just wanted to see what is everybody else's numbers, just to get an idea. Is my ratio too low? Does anyone have less than 1:5?</t>
        </is>
      </c>
      <c r="D8689" t="n">
        <v>1</v>
      </c>
      <c r="E8689" t="n">
        <v>2</v>
      </c>
      <c r="F8689">
        <f>HYPERLINK("https://www.reddit.com/r/diabetes/comments/fhoq0o/what_are_your_numbers/")</f>
        <v/>
      </c>
      <c r="G8689" t="inlineStr">
        <is>
          <t>2020-03-12 15:13:14</t>
        </is>
      </c>
      <c r="H8689" t="inlineStr">
        <is>
          <t>Type 1</t>
        </is>
      </c>
    </row>
    <row r="8690">
      <c r="A8690" t="inlineStr">
        <is>
          <t>fhq66d</t>
        </is>
      </c>
      <c r="B8690" t="inlineStr">
        <is>
          <t>Running low on alochol wips and everywhere is sold out</t>
        </is>
      </c>
      <c r="C8690" t="inlineStr">
        <is>
          <t>Every store in my area is pretty much sold out of alcohol wipes because because are hoarding them. I'm running a bit low on them, so are there any alternatives to using alcohol wipes for cleaning my skin?</t>
        </is>
      </c>
      <c r="D8690" t="n">
        <v>1</v>
      </c>
      <c r="E8690" t="n">
        <v>19</v>
      </c>
      <c r="F8690">
        <f>HYPERLINK("https://www.reddit.com/r/diabetes/comments/fhq66d/running_low_on_alochol_wips_and_everywhere_is/")</f>
        <v/>
      </c>
      <c r="G8690" t="inlineStr">
        <is>
          <t>2020-03-12 16:47:01</t>
        </is>
      </c>
      <c r="H8690" t="inlineStr">
        <is>
          <t>Type 1</t>
        </is>
      </c>
    </row>
    <row r="8691">
      <c r="A8691" t="inlineStr">
        <is>
          <t>fhqc71</t>
        </is>
      </c>
      <c r="B8691" t="inlineStr">
        <is>
          <t>People with late onset diagnoses: What was your experience like?</t>
        </is>
      </c>
      <c r="C8691" t="inlineStr">
        <is>
          <t>I’m hoping this doesn’t qualify as a “do I have diabetes?” post because I’m planning on going to my doctor soon!! I just wanted to see if anyone here can relate, I guess. I’m 24 and have very mild symptoms of diabetes like fruity-smelling pee, constant yeast infections, excessive thirst/peeing, BUT I’ve had these symptoms for years. Nothing has ever pushed me to the point of seeing a doctor (except my yeast infections, which my shitty doctor keeps brushing off). So my question is: what was your experience with your diagnosis? Was it an emergency situation or did you have mild symptoms?</t>
        </is>
      </c>
      <c r="D8691" t="n">
        <v>1</v>
      </c>
      <c r="E8691" t="n">
        <v>11</v>
      </c>
      <c r="F8691">
        <f>HYPERLINK("https://www.reddit.com/r/diabetes/comments/fhqc71/people_with_late_onset_diagnoses_what_was_your/")</f>
        <v/>
      </c>
      <c r="G8691" t="inlineStr">
        <is>
          <t>2020-03-12 16:57:41</t>
        </is>
      </c>
      <c r="H8691" t="inlineStr">
        <is>
          <t>Type 1.5/LADA</t>
        </is>
      </c>
    </row>
    <row r="8692">
      <c r="A8692" t="inlineStr">
        <is>
          <t>fhs5it</t>
        </is>
      </c>
      <c r="B8692" t="inlineStr">
        <is>
          <t>I hope someday I can be super rich and go around helping type 1s</t>
        </is>
      </c>
      <c r="C8692" t="inlineStr">
        <is>
          <t>I really hope someday I have a ton of money and can go around gifting dexcoms and pumps and insulin to people who can't afford it. I feel so sad when I see diabetics struggling so much to afford stuff to simply survive (including myself lol) and this is my goal for the future. :)</t>
        </is>
      </c>
      <c r="D8692" t="n">
        <v>1</v>
      </c>
      <c r="E8692" t="n">
        <v>15</v>
      </c>
      <c r="F8692">
        <f>HYPERLINK("https://www.reddit.com/r/diabetes/comments/fhs5it/i_hope_someday_i_can_be_super_rich_and_go_around/")</f>
        <v/>
      </c>
      <c r="G8692" t="inlineStr">
        <is>
          <t>2020-03-12 19:04:06</t>
        </is>
      </c>
      <c r="H8692" t="inlineStr">
        <is>
          <t>Type 1</t>
        </is>
      </c>
    </row>
    <row r="8693">
      <c r="A8693" t="inlineStr">
        <is>
          <t>fhsv5c</t>
        </is>
      </c>
      <c r="B8693" t="inlineStr">
        <is>
          <t>Should we be concerned about insulin shortages?</t>
        </is>
      </c>
      <c r="C8693" t="inlineStr">
        <is>
          <t>It seems like everyone is being told to stay home and that things are being shut down.  Will things get worse and we'll start to see insulin shortages?</t>
        </is>
      </c>
      <c r="D8693" t="n">
        <v>1</v>
      </c>
      <c r="E8693" t="n">
        <v>1</v>
      </c>
      <c r="F8693">
        <f>HYPERLINK("https://www.reddit.com/r/diabetes/comments/fhsv5c/should_we_be_concerned_about_insulin_shortages/")</f>
        <v/>
      </c>
      <c r="G8693" t="inlineStr">
        <is>
          <t>2020-03-12 19:54:52</t>
        </is>
      </c>
      <c r="H8693" t="inlineStr">
        <is>
          <t>Type 1</t>
        </is>
      </c>
    </row>
    <row r="8694">
      <c r="A8694" t="inlineStr">
        <is>
          <t>fhug6r</t>
        </is>
      </c>
      <c r="B8694" t="inlineStr">
        <is>
          <t>Pump Needed</t>
        </is>
      </c>
      <c r="C8694" t="inlineStr">
        <is>
          <t>Anyone selling a working pump they upgraded from?   Mine bit the dust and I have no insurance.</t>
        </is>
      </c>
      <c r="D8694" t="n">
        <v>1</v>
      </c>
      <c r="E8694" t="n">
        <v>0</v>
      </c>
      <c r="F8694">
        <f>HYPERLINK("https://www.reddit.com/r/diabetes/comments/fhug6r/pump_needed/")</f>
        <v/>
      </c>
      <c r="G8694" t="inlineStr">
        <is>
          <t>2020-03-12 22:04:38</t>
        </is>
      </c>
      <c r="H8694" t="inlineStr">
        <is>
          <t>Type 2</t>
        </is>
      </c>
    </row>
    <row r="8695">
      <c r="A8695" t="inlineStr">
        <is>
          <t>fhvh56</t>
        </is>
      </c>
      <c r="B8695" t="inlineStr">
        <is>
          <t>Lack of sexual pleasure...</t>
        </is>
      </c>
      <c r="C8695" t="inlineStr">
        <is>
          <t>Sex doesn’t feel very good... it feels okay but my hand somehow makes me feel more pleasure. Orgasms don’t feel good anymore. My blood sugars are very controlled, I don’t understand why I’m loosing sensation. I have numb toes and I see floaters a lot. I don’t understand why I’m getting this damage, I control my BG so well I rarely EVER go above 250 on a bad day. I’m so angry and I don’t understand.</t>
        </is>
      </c>
      <c r="D8695" t="n">
        <v>1</v>
      </c>
      <c r="E8695" t="n">
        <v>5</v>
      </c>
      <c r="F8695">
        <f>HYPERLINK("https://www.reddit.com/r/diabetes/comments/fhvh56/lack_of_sexual_pleasure/")</f>
        <v/>
      </c>
      <c r="G8695" t="inlineStr">
        <is>
          <t>2020-03-12 23:45:02</t>
        </is>
      </c>
      <c r="H8695" t="inlineStr">
        <is>
          <t>Type 1</t>
        </is>
      </c>
    </row>
    <row r="8696">
      <c r="A8696" t="inlineStr">
        <is>
          <t>fhvozo</t>
        </is>
      </c>
      <c r="B8696" t="inlineStr">
        <is>
          <t>Experiencing frequent low and high readings after diet change.</t>
        </is>
      </c>
      <c r="C8696" t="inlineStr">
        <is>
          <t>Is this normal? I was letting myself stay on autopilot and just not worrying about my levels (bad I know) but after a test showed 200 after a light meal and 160 after another small meal i wanted to kick myself in gear again. Cutting out sugars and trying lower carb meals was the goal. I've now noticed I'm getting really drastic numbers, like 180 after a fairly low carb meal, that soon after (4 hours) dropped to 60. Could this be my body trying to adjust to the lower carb and sugar intake? I'm not on any sort of medication for my diabetes so it's not over medication.  
Also, if anyone has any recommendations for good fast food and frozen meal options I would love them.</t>
        </is>
      </c>
      <c r="D8696" t="n">
        <v>1</v>
      </c>
      <c r="E8696" t="n">
        <v>11</v>
      </c>
      <c r="F8696">
        <f>HYPERLINK("https://www.reddit.com/r/diabetes/comments/fhvozo/experiencing_frequent_low_and_high_readings_after/")</f>
        <v/>
      </c>
      <c r="G8696" t="inlineStr">
        <is>
          <t>2020-03-13 00:07:07</t>
        </is>
      </c>
      <c r="H8696" t="inlineStr">
        <is>
          <t>Type 2</t>
        </is>
      </c>
    </row>
    <row r="8697">
      <c r="A8697" t="inlineStr">
        <is>
          <t>fhxc9d</t>
        </is>
      </c>
      <c r="B8697" t="inlineStr">
        <is>
          <t>[US/UK] FREE Health, Diet, and Fitness Audible Audiobook Promo codes.</t>
        </is>
      </c>
      <c r="C8697" t="inlineStr">
        <is>
          <t>Hi guys!
I have new MARCH 2020 codes for UK and USA for the following books:
**Please comment below which country codes you want and for which book number you want. If you want all of them, just say “ALL”.** 
Please do leave a review at the end :)
**For US use the following to redeem the codes:**  [audible.com/acx-promo](http://audible.com/acx-promo)
**For UK, use the following to redeem the codes:** [audible.co.uk/acx-promo](http://audible.co.uk/acx-promo)
&amp;amp;#x200B;
1. **The Complete Healthy Smoothie Recipe Book:** [https://www.audible.com/pd//B07G7GD6MC](https://www.audible.com/pd//B07G7GD6MC)
2. **The Complete Mediterranean Diet for Beginners:** [https://www.audible.com/pd//B07HFJDNXJ](https://www.audible.com/pd//B07HFJDNXJ)
3. **The Complete Paleo Diet Cookbook:** [https://www.audible.com/pd//B07H4XMYH2](https://www.audible.com/pd//B07H4XMYH2)
4. **Anti-Inflammatory Diet: Your Guide to Eating to Minimize Inflammation and Maximize Health** [https://www.audible.com/pd//B07H3DDNLX](https://www.audible.com/pd//B07H3DDNLX)
5. **Top 30 Gluten-Free Recipes to Help You Look and Feel Better Than You Ever Thought Possible** https://www.audible.com/pd//B07GDN1HW6 
6. **Guide to Intermittent Fasting Learn Everything You Need About Intermittent Fasting and All the Benefits Associated with It**: [https://www.audible.com/pd//B07GVP3QP7](https://www.audible.com/pd//B07GVP3QP7)
7. **Anxiety and Depression Cure: Simple Workbook for Anxiety Relief**: [https://www.audible.com/pd//B07RL8ZR8B](https://www.audible.com/pd//B07RL8ZR8B)
8. **The Novice Runner's Handbook: A Comprehensive Guide to Get You Started as a Runner or Jogger**: [https://www.audible.com/pd//B07RF9TRXZ](https://www.audible.com/pd//B07RF9TRXZ)
9. **Paleo Diet Cookbook, Air Fryer Cookbook, Vegan Slow Cooker Cookbook &amp;amp; Anti-Inflammatory Cookbook**: [https://www.audible.com/pd//B07R8GCHDY](https://www.audible.com/pd//B07R8GCHDY)
10. **Low-Calorie Cookbook**: https://www.audible.com/pd//B07MPCSG1C
11. **Minimalist Budget Simple Strategies on How to Save More and Become Financially Secure**: https://www.audible.com/pd//B07HQWFFGY
12. **The Complete Low Carb Cookbook**: https://www.audible.com/pd//B07HBDGVGW
13. **Dash Diet Action Plan Book**: https://www.audible.com/pd//B07H7TBD2P
14. **Insulin Resistance Diet Plan Guide on How to End Diabetes**: https://www.audible.com/pd//B07P1ZB9DQ
15. **Plant-Based Nutrition Guide on How to Eat Healthy and For a Healthier Body**: https://www.audible.com/pd//B07NXW4G2W
16. **Stress and Anxiety Management &amp;amp; Alcohol Addiction**: https://www.audible.com/pd//B07VX84BH8
17. **Insulin Resistance Diet &amp;amp; Immune System Recovery Plan**: [https://www.audible.com/pd//B07VTHRJB1](https://www.audible.com/pd//B07VTHRJB1)
18. **The Complete Salad Recipe**: [https://www.audible.com/pd//B07JGBMG6Z](https://www.audible.com/pd//B07JGBMG6Z)
19. **Healthy Superfoods Food Recipes Clean Eating**: [https://www.audible.com/pd//B07HSMW6N4](https://www.audible.com/pd//B07HSMW6N4)
20. **How to Lose Weight Well: Easy Steps to Lose Weight by Eating**: [https://www.audible.com/pd//B07MCW3BLZ](https://www.audible.com/pd//B07MCW3BLZ)
21. **Fitness Nutrition: How to Unlock Your Physical Potential by Working Out and Eating Properly** [https://www.audible.com/pd//B07HNB3WDY](https://www.audible.com/pd//B07HNB3WDY)
22. **The Complete Vegetarian Recipes Cookbook**: [https://www.audible.com/pd//B07PMTF8HD](https://www.audible.com/pd//B07PMTF8HD)
23. **Fatty Liver Diet: Guide on How to End Fatty Liver Disease** [https://www.audible.com/pd//B07NLJXV8Q](https://www.audible.com/pd//B07NLJXV8Q)
24. **The Complete Metabolism Diet**: [https://www.audible.com/pd//B07KX7D348](https://www.audible.com/pd//B07KX7D348)
25. **Autism: Parents’ Guide to Autism Spectrum Disorder**: [https://www.audible.com/pd//B07RSF88DS](https://www.audible.com/pd//B07RSF88DS)
26. **Diabetic Recipe Books, Low-Calorie Recipes, Low Carb Recipes, Gluten-Free Cookbooks**: [https://www.audible.com/pd//B07RN2PWYC](https://www.audible.com/pd//B07RN2PWYC)
27. **Ketogenic Diet for Beginners: Lose a Lot of Weight Fast Using Your Body’s Natural Processes**: [https://www.audible.com/pd//B07HBF37PH](https://www.audible.com/pd//B07HBF37PH)
28. **Mindfulness Top 10 Tips Guide to Overcoming Obsessions and Compulsions Using Mindfulness** [https://www.audible.com/pd//B07GNXH1MP](https://www.audible.com/pd//B07GNXH1MP)
29. **Binge Eating Disorder: Self Help Binge Eating Guide to Stop and Overcome Overeating:** [https://www.audible.com/pd//B07HMF7WD6](https://www.audible.com/pd//B07HMF7WD6)
30. **The Complete Diabetic Cookbook Delicious and Balanced Recipes Made Easy**: [https://www.audible.com/pd//B07H4XXBJ5](https://www.audible.com/pd//B07H4XXBJ5)
31. **5:2 Fast Diet Recipe Lose Weight Program**: [https://www.audible.com/pd//B07H4XXBJ5](https://www.audible.com/pd//B07H4XXBJ5)
32. **The Complete Plant-Based Diet**: [https://www.audible.com/pd//B07JMKDJKW](https://www.audible.com/pd//B07JMKDJKW)
33. **Stress and Anxiety Management: The CBT Solution for Stress Relief, Panic Attacks, and Anxiet**y [https://www.audible.com/pd//B07RH8TGQM](https://www.audible.com/pd//B07RH8TGQM)
34. **Anxiety and Depression &amp;amp; Runners Handbook**: [https://www.audible.com/pd//B07VYVMPH5](https://www.audible.com/pd//B07VYVMPH5)
35. **The Complete Soup Maker Recipe Book**: [https://www.audible.com/pd//B07G7GTK2F](https://www.audible.com/pd//B07G7GTK2F)
36. H**ealthy Smoothie Recipe Book, Soup Maker Recipe Book, Vegetarian Cookbook &amp;amp; 5 2 Fast Diet**: [https://www.audible.com/pd//B07RJ21RPB](https://www.audible.com/pd//B07RJ21RPB)
37. **Dash Diet, Superfoods Cookbook, Metabolism Diet &amp;amp; Indian Cookbook**: [https://www.audible.com/pd//B07VLJ9YKC](https://www.audible.com/pd//B07VLJ9YKC)
38. **Sugar Detox Plan &amp;amp; Fatty Liver Diet Books: Fatty Liver Disease**: [https://www.audible.com/pd//B07VS52DVT](https://www.audible.com/pd//B07VS52DVT)
39. **Ketogenic Diet, Mediterranean Diet, Instant Pot Recipe Cookbook &amp;amp; Intermittent Fasting:** [https://www.audible.com/pd//B07XVPBGZJ](https://www.audible.com/pd//B07XVPBGZJ)
40. **How to Lose Weight Well &amp;amp; How to Lose Belly Fa**t: [https://www.audible.com/pd//B07VXZ8F47](https://www.audible.com/pd//B07VXZ8F47)
41. **Meal Prep for Beginners Healthy Grab and Go Meals**: https://www.audible.com/pd//B07NSRB58R 
42. **Bodyweight Training: How to Use Calisthenics to Become Fitter and Stronger**: [https://www.audible.com/pd//B07JMHZ9Y5](https://www.audible.com/pd//B07JMHZ9Y5)
43. **Air Fryer Cookbook: For Quick and Healthy Meals**: [https://www.audible.com/pd//B07G7GQM53](https://www.audible.com/pd//B07G7GQM53)
44. **One-Pot Cookbook**: https://www.audible.com/pd//B07PXLMGPF
45. **Slow Cooker Recipe Book - Simple Recipes, Extraordinary Results:** https://www.audible.com/pd//B07Q642D1L
46. **Meal Prep Cookbook, Slow Cooker Recipe Cookbook, Gut Diet &amp;amp; One Pot Cookbook**: https://www.audible.com/pd//B07VVMKHY5
47. **Arthritis Diet Anti-inflammatory Diet for Arthritis Pain Relief:** https://www.audible.com/pd//B07QZM1NYP
48. **Narcissism Understanding Narcissistic Personality Disorder**: https://www.audible.com/pd//B07R6V912P
49. **Alcohol Addiction: How to Stop Drinking and Recover from Alcohol Addiction:** https://www.audible.com/pd//B07RD1D251
50. **Anxiety and Depression &amp;amp; Runners Handbook:** https://www.audible.com/pd//B07VYVMPH5
51. **The Complete Indian Diet: Top Delicious Indian Recipes** https://www.audible.com/pd//B07JJL7J7V
52. **Healthy Cookbook and Super Easy Vegan Slow Cooker Recipes to Follow** [https://www.audible.com/pd//B07G7HRWBH](https://www.audible.com/pd//B07G7HRWBH)
53. **Food Addiction Problems And Solutions Overcoming Food Addiction**: [https://www.audible.com/pd//B07M79KSCV](https://www.audible.com/pd//B07M79KSCV)
54. **How to Lose Belly Fat: A Complete Guide to Losing Weight and Achieving a Flat Belly** [https://www.audible.com/pd//B07NX1W6SL](https://www.audible.com/pd//B07NX1W6SL)
55. I**mmune System: Boost the Immune System and Heal Your Gut and Cleanse Your Body Naturally** [https://www.audible.com/pd//B07NZ89B23](https://www.audible.com/pd//B07NZ89B23)
56. **Sugar Detox: Guide to End Sugar Cravings (Carb Craving)** [https://www.audible.com/pd//B07MWJXYJF](https://www.audible.com/pd//B07MWJXYJF)
57. **Healthy Eating: The Food Science Guide on What to Ea**t [https://www.audible.com/pd//B07NHHPPXT](https://www.audible.com/pd//B07NHHPPXT)
58. **Gut Health Diet Plan Book Gut and Psychology Syndrome:** [https://www.audible.com/pd//B07NHHPPXT](https://www.audible.com/pd//B07NHHPPXT)
59. **Autism Spectrum Disorder &amp;amp; Narcissism Personality Disorder**: [https://www.audible.com/pd//B07VT91H7Q](https://www.audible.com/pd//B07VT91H7Q)
60. **Food Addiction Treatment for Overeating &amp;amp; Healthy Eating Guide on What to Eat Healthily:**  [https://www.audible.com/pd//B07VMNXFDT](https://www.audible.com/pd//B07VMNXFDT)</t>
        </is>
      </c>
      <c r="D8697" t="n">
        <v>1</v>
      </c>
      <c r="E8697" t="n">
        <v>1</v>
      </c>
      <c r="F8697">
        <f>HYPERLINK("https://www.reddit.com/r/diabetes/comments/fhxc9d/usuk_free_health_diet_and_fitness_audible/")</f>
        <v/>
      </c>
      <c r="G8697" t="inlineStr">
        <is>
          <t>2020-03-13 03:09:54</t>
        </is>
      </c>
      <c r="H8697" t="inlineStr">
        <is>
          <t>Type 1</t>
        </is>
      </c>
    </row>
    <row r="8698">
      <c r="A8698" t="inlineStr">
        <is>
          <t>fhzi7g</t>
        </is>
      </c>
      <c r="B8698" t="inlineStr">
        <is>
          <t>Not sure what to do, please help</t>
        </is>
      </c>
      <c r="C8698" t="inlineStr">
        <is>
          <t>Hi all,
I come to you as a last resort because I have no idea what my options are and legitimately feel like this disease could kill me.  I'm currently 27 and was born a type 1 diabetic.  I'm the only one in my family with this disease and the only one in my friend circle, Ive struggled with it my entire life.  The older I get the more seriously I take my disease and I'm trying so hard to take all the right steps to take care of myself, but my GOD is living with diabetes in America expensive.  I finally got a job with health insurance albeit not very good health insurance, and I reeeally don't make a lot of money, not to mention I'm worried my company could potentially go under sooner rather than later.  Obviously, this is making it hard to keep up with my insulin as is not to mention all my other medications.  My last trip to the Endo my doctor recommended me going on a CGM, "Great" I thought, "another medical expenses that I can't afford." Well, turns out I was right, my rep gave me the most insane quote on any piece of medical equipment I've ever gotten in my life, even after I hit my insurance premiums (which I won't hit regardless because they're so God damn high).  When I got off that phone call I just broke down in my truck and cried, I really feel like I NEED a CGM for my own well being, being diabetic for this long takes a toll on you regardless of how you manage it and I know it's just killing me.  My job is killing me, my day to day life there is so demanding even having 30 seconds to check my blood is a rarity not to mention things are so hectic, even remembering all the time becomes difficult.  I spoke to my doctor about this and she agreed a CGM would help me tremendously but, I just don't see how I could ever afford one.  On top of insulin prices, rent, day to day living expenses, and just having anything left over at all for spending money, I don't see how I'm ever gonna be able to afford this let alone SAVE for my future.  The pressures of this disease are getting to me and I don't know what to do.  Please, if there's any advice you guys could offer, some black market diabetes store in Mexico I could get the equipment I need to live for cheap (halfway kidding but, for real) I would be forever grateful.  I'm at such a loss, I hate America and it's shitty healthcare and have legitimate aspirations to leave my entire life and everything I love behind just to move to Canada so I can actually make it past my 30s, but again, how am I ever gonna save to get there?  I hate this, I'm struggling, any advice or words of encouragement would be greatly appreciated.  Sorry for the vent, ya'll are the best,
-Demented</t>
        </is>
      </c>
      <c r="D8698" t="n">
        <v>1</v>
      </c>
      <c r="E8698" t="n">
        <v>17</v>
      </c>
      <c r="F8698">
        <f>HYPERLINK("https://www.reddit.com/r/diabetes/comments/fhzi7g/not_sure_what_to_do_please_help/")</f>
        <v/>
      </c>
      <c r="G8698" t="inlineStr">
        <is>
          <t>2020-03-13 06:18:08</t>
        </is>
      </c>
      <c r="H8698" t="inlineStr">
        <is>
          <t>Type 1</t>
        </is>
      </c>
    </row>
    <row r="8699">
      <c r="A8699" t="inlineStr">
        <is>
          <t>fi9w8g</t>
        </is>
      </c>
      <c r="B8699" t="inlineStr">
        <is>
          <t>Carb counting a steak?</t>
        </is>
      </c>
      <c r="C8699" t="inlineStr">
        <is>
          <t>Still getting up to speed with this whole T1D thing, and practicing carb counting. How would you usually count fats and proteins? I know they can have a lesser affect on blood sugars. 
For example, what would you count a 6 oz sirloin as?</t>
        </is>
      </c>
      <c r="D8699" t="n">
        <v>1</v>
      </c>
      <c r="E8699" t="n">
        <v>9</v>
      </c>
      <c r="F8699">
        <f>HYPERLINK("https://www.reddit.com/r/diabetes/comments/fi9w8g/carb_counting_a_steak/")</f>
        <v/>
      </c>
      <c r="G8699" t="inlineStr">
        <is>
          <t>2020-03-13 17:27:54</t>
        </is>
      </c>
      <c r="H8699" t="inlineStr">
        <is>
          <t>Type 1</t>
        </is>
      </c>
    </row>
    <row r="8700">
      <c r="A8700" t="inlineStr">
        <is>
          <t>fia64v</t>
        </is>
      </c>
      <c r="B8700" t="inlineStr">
        <is>
          <t>Any success stories with a keto diet?</t>
        </is>
      </c>
      <c r="C8700" t="inlineStr">
        <is>
          <t>I have type II, as far as I know. It came on very suddenly, like over the past few months. I already had a fairly low carb diet but now I'm trying keto because although my blood glucose levels are in the normal range I still feel like garbage. I've been so sick and tired and can't even work, I just don't seem to tolerate medications well.  Before starting insulin I didn't feel great but I could at least make it to work, but the last couple months with insulin have been absolute hell.
My endocrinologist was entirely unhelpful, then she retired without transferring care, so I'm back to my GP.
So I've managed to keep my blood sugar down with just a little Basoglar (metformin didn't help and had terrible side effects), but now I have this awful "keto flu." My guess is that perhaps the added insulin I was taking was keeping sodium levels normal, and now that I've stopped taking the short acting insulin (humelog) those levels have crashed.
Anybody try keto with success?</t>
        </is>
      </c>
      <c r="D8700" t="n">
        <v>1</v>
      </c>
      <c r="E8700" t="n">
        <v>13</v>
      </c>
      <c r="F8700">
        <f>HYPERLINK("https://www.reddit.com/r/diabetes/comments/fia64v/any_success_stories_with_a_keto_diet/")</f>
        <v/>
      </c>
      <c r="G8700" t="inlineStr">
        <is>
          <t>2020-03-13 17:47:06</t>
        </is>
      </c>
      <c r="H8700" t="inlineStr">
        <is>
          <t>Type 2</t>
        </is>
      </c>
    </row>
    <row r="8701">
      <c r="A8701" t="inlineStr">
        <is>
          <t>fidblk</t>
        </is>
      </c>
      <c r="B8701" t="inlineStr">
        <is>
          <t>One of my coworkers have diabetes type 2 eats sweets on a daily basis, don't take medication and still alive how?</t>
        </is>
      </c>
      <c r="C8701" t="inlineStr">
        <is>
          <t xml:space="preserve"> I do intermittent fasting + low carb and weight training. Don't need medication and I'm starting to see more muscle definition and vascularity, don't have cheat meals the last time I had a cheat meal I gained 6 lbs and wanted to eat more. I hear her talking about her favorites donuts and find her eating candies, cakes, white bread and sweetened oatmeal. Her family has diabetes and her husband almost lost his leg. People like this really pisses me off and then they start crying during the complications.</t>
        </is>
      </c>
      <c r="D8701" t="n">
        <v>1</v>
      </c>
      <c r="E8701" t="n">
        <v>2</v>
      </c>
      <c r="F8701">
        <f>HYPERLINK("https://www.reddit.com/r/diabetes/comments/fidblk/one_of_my_coworkers_have_diabetes_type_2_eats/")</f>
        <v/>
      </c>
      <c r="G8701" t="inlineStr">
        <is>
          <t>2020-03-13 21:59:00</t>
        </is>
      </c>
      <c r="H8701" t="inlineStr">
        <is>
          <t>Type 2</t>
        </is>
      </c>
    </row>
    <row r="8702">
      <c r="A8702" t="inlineStr">
        <is>
          <t>fidwgx</t>
        </is>
      </c>
      <c r="B8702" t="inlineStr">
        <is>
          <t>Controlled type2 Covid</t>
        </is>
      </c>
      <c r="C8702" t="inlineStr">
        <is>
          <t>This may sound like a silly question but I hope people will bare with me. Some like to use the term "controlled" while others will call it a "complete reversal" but I am just curious if a controlled/reversed type 2 diagnosis is still a immune suppressed risk in relation to covid19? I understand no one is immune to contracting the virus, but the CDC does highlight a few high risk populations.
As soon as I was diagnosed last year with diabetes and hypertension, I lost 80 pounds, am no longer considered obese and remain on a healthy diet, free of sugar/high carb. My doctor confirmed that these changes did bring my A1c to a reversed diabetes state. I do however still have hypertension despite diet and light exercise.
 Does the CDC warning online only relate to active type 1 and 2 diabetes or should I still be extra cautious as well? I ask because I am a grad student currently completing clinical rotations at a hospital in NY. Our classes will go fully online in the coming weeks but we're told clinic rotations will continue as normal. Should I voice my concern of being exposed to patients who may have it, or will I be ok to continue for the last 6 weeks of rotation there? Thank you in advance for your kind response.</t>
        </is>
      </c>
      <c r="D8702" t="n">
        <v>1</v>
      </c>
      <c r="E8702" t="n">
        <v>1</v>
      </c>
      <c r="F8702">
        <f>HYPERLINK("https://www.reddit.com/r/diabetes/comments/fidwgx/controlled_type2_covid/")</f>
        <v/>
      </c>
      <c r="G8702" t="inlineStr">
        <is>
          <t>2020-03-13 22:55:59</t>
        </is>
      </c>
      <c r="H8702" t="inlineStr">
        <is>
          <t>Type 2</t>
        </is>
      </c>
    </row>
    <row r="8703">
      <c r="A8703" t="inlineStr">
        <is>
          <t>fig5yl</t>
        </is>
      </c>
      <c r="B8703" t="inlineStr">
        <is>
          <t>A1c going down</t>
        </is>
      </c>
      <c r="C8703" t="inlineStr">
        <is>
          <t>A year ago, it was 11.4. Five months ago it was 8.9. A month ago, it was 7.5. Still not great, but I'll take it.</t>
        </is>
      </c>
      <c r="D8703" t="n">
        <v>1</v>
      </c>
      <c r="E8703" t="n">
        <v>14</v>
      </c>
      <c r="F8703">
        <f>HYPERLINK("https://www.reddit.com/r/diabetes/comments/fig5yl/a1c_going_down/")</f>
        <v/>
      </c>
      <c r="G8703" t="inlineStr">
        <is>
          <t>2020-03-14 03:08:59</t>
        </is>
      </c>
      <c r="H8703" t="inlineStr">
        <is>
          <t>Type 2</t>
        </is>
      </c>
    </row>
    <row r="8704">
      <c r="A8704" t="inlineStr">
        <is>
          <t>fihukh</t>
        </is>
      </c>
      <c r="B8704" t="inlineStr">
        <is>
          <t>Am i in the honeymoon phase?</t>
        </is>
      </c>
      <c r="C8704" t="inlineStr">
        <is>
          <t>I am newly diagnosed (3 months ago) and 14 y/o 
Going thru puberty. i was diagnosed kinda late and was in dka with blood sugars over 27 mmol (486 mgdl) its not because its easy managing my diabetes, but somedays its just all green numbers. maybe also because i am on pump. My sensitivty is about 3 for 1 unit and i weigh a little over 130 pounds and is 162 cm (5,3 feet). Sometimes my number go over 13 mmol (234 mgdl) and rarely goes under 3.4 mmol (61 mgdl) am i still in the honeymoon phase or what do you think?</t>
        </is>
      </c>
      <c r="D8704" t="n">
        <v>1</v>
      </c>
      <c r="E8704" t="n">
        <v>1</v>
      </c>
      <c r="F8704">
        <f>HYPERLINK("https://www.reddit.com/r/diabetes/comments/fihukh/am_i_in_the_honeymoon_phase/")</f>
        <v/>
      </c>
      <c r="G8704" t="inlineStr">
        <is>
          <t>2020-03-14 05:48:38</t>
        </is>
      </c>
      <c r="H8704" t="inlineStr">
        <is>
          <t>Type 1</t>
        </is>
      </c>
    </row>
    <row r="8705">
      <c r="A8705" t="inlineStr">
        <is>
          <t>fiins9</t>
        </is>
      </c>
      <c r="B8705" t="inlineStr">
        <is>
          <t>PSA to all my type 1s</t>
        </is>
      </c>
      <c r="C8705" t="inlineStr">
        <is>
          <t>Obviously it’s good to stay calm and follow protocols but stock up on all your hypo treatments and everything you need in emergency. If you’re asked to self isolate or are quarantined because of COVID-19 you’ll have what you need.
Stay safe babes x</t>
        </is>
      </c>
      <c r="D8705" t="n">
        <v>1</v>
      </c>
      <c r="E8705" t="n">
        <v>4</v>
      </c>
      <c r="F8705">
        <f>HYPERLINK("https://www.reddit.com/r/diabetes/comments/fiins9/psa_to_all_my_type_1s/")</f>
        <v/>
      </c>
      <c r="G8705" t="inlineStr">
        <is>
          <t>2020-03-14 06:51:55</t>
        </is>
      </c>
      <c r="H8705" t="inlineStr">
        <is>
          <t>Type 1</t>
        </is>
      </c>
    </row>
    <row r="8706">
      <c r="A8706" t="inlineStr">
        <is>
          <t>fikoob</t>
        </is>
      </c>
      <c r="B8706" t="inlineStr">
        <is>
          <t>Strange glucose readings on my One Touch Ultra2</t>
        </is>
      </c>
      <c r="C8706" t="inlineStr">
        <is>
          <t>Checked my pointer finger and I was at 57 this morning. Which panicked me because I felt no low symptoms. So I checked again through my thumb and it read 75..then my middle finger 88..then my pointer again 98. Why did that happen?</t>
        </is>
      </c>
      <c r="D8706" t="n">
        <v>1</v>
      </c>
      <c r="E8706" t="n">
        <v>2</v>
      </c>
      <c r="F8706">
        <f>HYPERLINK("https://www.reddit.com/r/diabetes/comments/fikoob/strange_glucose_readings_on_my_one_touch_ultra2/")</f>
        <v/>
      </c>
      <c r="G8706" t="inlineStr">
        <is>
          <t>2020-03-14 09:08:29</t>
        </is>
      </c>
      <c r="H8706" t="inlineStr">
        <is>
          <t>Type 1</t>
        </is>
      </c>
    </row>
    <row r="8707">
      <c r="A8707" t="inlineStr">
        <is>
          <t>fikzto</t>
        </is>
      </c>
      <c r="B8707" t="inlineStr">
        <is>
          <t>Been using Dexcom G6 for a year, switched insurance, now being denied.</t>
        </is>
      </c>
      <c r="C8707" t="inlineStr">
        <is>
          <t>I got diagnosed a year ago as Type 1 and immediately got on the Dexcom G6. Now, I just started a new job and got BCBS FEP (supposedly a really good insurance). I need prior approval before they'll pay for any Dexcom stuff. I had my doctor fill out a form for them. It hit all their check marks except for "uncontrolled diabetes and tests sugar 4 times a day with strips".
My a1c is 4.8% (with a very high time in range), so my doctor put that down and that I am not uncontrolled. Now they denied me because it's not medically necessary. 
What the fuck. The only reason my a1c is low is because of my dexcom. Anyone know what to do?</t>
        </is>
      </c>
      <c r="D8707" t="n">
        <v>1</v>
      </c>
      <c r="E8707" t="n">
        <v>3</v>
      </c>
      <c r="F8707">
        <f>HYPERLINK("https://www.reddit.com/r/diabetes/comments/fikzto/been_using_dexcom_g6_for_a_year_switched/")</f>
        <v/>
      </c>
      <c r="G8707" t="inlineStr">
        <is>
          <t>2020-03-14 09:27:28</t>
        </is>
      </c>
      <c r="H8707" t="inlineStr">
        <is>
          <t>Type 1</t>
        </is>
      </c>
    </row>
    <row r="8708">
      <c r="A8708" t="inlineStr">
        <is>
          <t>fimcgv</t>
        </is>
      </c>
      <c r="B8708" t="inlineStr">
        <is>
          <t>How many days can you live without insulin ?</t>
        </is>
      </c>
      <c r="C8708" t="inlineStr">
        <is>
          <t>So i have been wondering, how much time can you live without insulin if you are a T1 diabetic ?</t>
        </is>
      </c>
      <c r="D8708" t="n">
        <v>1</v>
      </c>
      <c r="E8708" t="n">
        <v>9</v>
      </c>
      <c r="F8708">
        <f>HYPERLINK("https://www.reddit.com/r/diabetes/comments/fimcgv/how_many_days_can_you_live_without_insulin/")</f>
        <v/>
      </c>
      <c r="G8708" t="inlineStr">
        <is>
          <t>2020-03-14 10:51:02</t>
        </is>
      </c>
      <c r="H8708" t="inlineStr">
        <is>
          <t>Type 1</t>
        </is>
      </c>
    </row>
    <row r="8709">
      <c r="A8709" t="inlineStr">
        <is>
          <t>fio6co</t>
        </is>
      </c>
      <c r="B8709" t="inlineStr">
        <is>
          <t>Where to get a medical alert tattoo?</t>
        </is>
      </c>
      <c r="C8709" t="inlineStr">
        <is>
          <t>I'm a type one, and I'm only 15, so I'm just starting to drive, and I'm worried that if something goes wrong and EMT's have to check me out, I want them to know I'm diabetic and not just on drugs. I had a bracelet for a while, but it broke, and I was always forgetting it, so I figure a tattoo would be a pretty good idea. I was thinking that I should get it on my bicep because then it would be large and noticeable, and not completely covered by clothing. But my mom said they probably wouldn't check there, so I should probably get it on my wrist, I think then it would be too small to be noticeable while they're checking me out. So I'm not sure and decided to ask you guys, thank you!</t>
        </is>
      </c>
      <c r="D8709" t="n">
        <v>1</v>
      </c>
      <c r="E8709" t="n">
        <v>6</v>
      </c>
      <c r="F8709">
        <f>HYPERLINK("https://www.reddit.com/r/diabetes/comments/fio6co/where_to_get_a_medical_alert_tattoo/")</f>
        <v/>
      </c>
      <c r="G8709" t="inlineStr">
        <is>
          <t>2020-03-14 12:40:53</t>
        </is>
      </c>
      <c r="H8709" t="inlineStr">
        <is>
          <t>Type 1</t>
        </is>
      </c>
    </row>
    <row r="8710">
      <c r="A8710" t="inlineStr">
        <is>
          <t>fip26z</t>
        </is>
      </c>
      <c r="B8710" t="inlineStr">
        <is>
          <t>Dexcom g6 signal loss 😭</t>
        </is>
      </c>
      <c r="C8710" t="inlineStr">
        <is>
          <t>Hi all, I recently got set up with the g6 and was loving it! Until today.. Iv had signal loss all day no matter what I do I can't seem to get it back..
I'm using the Huawei p30 pro as its not on the compatible list I had to download the BYO app from another tread on here and was working fine for last few days. I'm not in a position at this moment to change my phone. 
Iv tried all the normal resetting settings. Restarted phone. Cleared cache etc the only thing I havnt done is deleted the app and reinstall as I'm half afraid it won't work at all.
Has anyone else had this issue or any suggestions?
Thanks in advance</t>
        </is>
      </c>
      <c r="D8710" t="n">
        <v>1</v>
      </c>
      <c r="E8710" t="n">
        <v>3</v>
      </c>
      <c r="F8710">
        <f>HYPERLINK("https://www.reddit.com/r/diabetes/comments/fip26z/dexcom_g6_signal_loss/")</f>
        <v/>
      </c>
      <c r="G8710" t="inlineStr">
        <is>
          <t>2020-03-14 13:35:43</t>
        </is>
      </c>
      <c r="H8710" t="inlineStr">
        <is>
          <t>Type 1</t>
        </is>
      </c>
    </row>
    <row r="8711">
      <c r="A8711" t="inlineStr">
        <is>
          <t>fiuuim</t>
        </is>
      </c>
      <c r="B8711" t="inlineStr">
        <is>
          <t>Anyone on ACE inhibitors?</t>
        </is>
      </c>
      <c r="C8711" t="inlineStr">
        <is>
          <t>My primary just put me on a low dose (5 mg) and said essentially all diabetics should be on this, even though my blood pressures run pretty consistently lower than 130 which is what I had always heard was the threshold. I’m also 25. Idk what I’ve read seems like this isn’t common but wondering what all your experiences have been.</t>
        </is>
      </c>
      <c r="D8711" t="n">
        <v>1</v>
      </c>
      <c r="E8711" t="n">
        <v>1</v>
      </c>
      <c r="F8711">
        <f>HYPERLINK("https://www.reddit.com/r/diabetes/comments/fiuuim/anyone_on_ace_inhibitors/")</f>
        <v/>
      </c>
      <c r="G8711" t="inlineStr">
        <is>
          <t>2020-03-14 20:09:41</t>
        </is>
      </c>
      <c r="H8711" t="inlineStr">
        <is>
          <t>Type 1</t>
        </is>
      </c>
    </row>
    <row r="8712">
      <c r="A8712" t="inlineStr">
        <is>
          <t>fiuw0n</t>
        </is>
      </c>
      <c r="B8712" t="inlineStr">
        <is>
          <t>Panicking about my blood sugar</t>
        </is>
      </c>
      <c r="C8712" t="inlineStr">
        <is>
          <t>I've been very good at keeping my sugars in range...but my doctor told me to cut my dosage of metformin in half and now I feel like I don't have any control. My blood sugar is much higher, and it's really been affecting my mental state. I didn't even want to cut my meds in half cause I had FINALLY felt comfortable enough with my diabetes and keeping track of carbs and not panicking at every meal, and now suddenly here I am again. I know they want me to get off the metformin completely at some point and I can't handle the thought of that, I didn't want to decrease my dose and I want to go back up to what I was taking, but is that alright? I just feel like that's going against what the doctor wants but I don't feel right at all cutting it down,</t>
        </is>
      </c>
      <c r="D8712" t="n">
        <v>1</v>
      </c>
      <c r="E8712" t="n">
        <v>0</v>
      </c>
      <c r="F8712">
        <f>HYPERLINK("https://www.reddit.com/r/diabetes/comments/fiuw0n/panicking_about_my_blood_sugar/")</f>
        <v/>
      </c>
      <c r="G8712" t="inlineStr">
        <is>
          <t>2020-03-14 20:12:45</t>
        </is>
      </c>
      <c r="H8712" t="inlineStr">
        <is>
          <t>Type 2</t>
        </is>
      </c>
    </row>
    <row r="8713">
      <c r="A8713" t="inlineStr">
        <is>
          <t>fiw802</t>
        </is>
      </c>
      <c r="B8713" t="inlineStr">
        <is>
          <t>T1 Diabetics- how do you control your BS during/after working out?</t>
        </is>
      </c>
      <c r="C8713" t="inlineStr">
        <is>
          <t>I  have been up and down with my weight most of my life because exercising is freaking HARD with T1D. I've had diabetes for almost 15 years (since I was 9), I dont remember how my blood sugar was when I first started exercising in middle school but I know that I wasnt consistent with it over the years. 
Any time I would try to commit to working out and eating healthy my blood sugar would drop after workouts and then of course that means I need sugar and most of the time when it would drop it'd be a big drop so I'd just go for everything in sight. 
Luckily, for about the last 3 months I've actually been  pretty good at staying consistent and not giving up when my blood sugar drops during workouts. Also good at giving my BS time to adjust and go back up before eating things I'd regret. 
I know it's going to happen sometimes, that's just the T1D life, but what do you guys do to STOP the lows? When I have a juice or food right after working out I feel like I didnt accomplish as much as I'd like to. I have some carbs about an hour or so before exercise (like the doc said to do) but I STILL tend to go low and I'm so fed up with it.</t>
        </is>
      </c>
      <c r="D8713" t="n">
        <v>1</v>
      </c>
      <c r="E8713" t="n">
        <v>7</v>
      </c>
      <c r="F8713">
        <f>HYPERLINK("https://www.reddit.com/r/diabetes/comments/fiw802/t1_diabetics_how_do_you_control_your_bs/")</f>
        <v/>
      </c>
      <c r="G8713" t="inlineStr">
        <is>
          <t>2020-03-14 21:59:53</t>
        </is>
      </c>
      <c r="H8713" t="inlineStr">
        <is>
          <t>Type 1</t>
        </is>
      </c>
    </row>
    <row r="8714">
      <c r="A8714" t="inlineStr">
        <is>
          <t>fj3d1y</t>
        </is>
      </c>
      <c r="B8714" t="inlineStr">
        <is>
          <t>T1 and NFC Implants</t>
        </is>
      </c>
      <c r="C8714" t="inlineStr">
        <is>
          <t>Hi there, I'm getting an NFC chip placed into the webbing of my hand between index and thumb. is there anything beet related that would effect this/make it somehow dangerous for me? big thanks :D</t>
        </is>
      </c>
      <c r="D8714" t="n">
        <v>1</v>
      </c>
      <c r="E8714" t="n">
        <v>5</v>
      </c>
      <c r="F8714">
        <f>HYPERLINK("https://www.reddit.com/r/diabetes/comments/fj3d1y/t1_and_nfc_implants/")</f>
        <v/>
      </c>
      <c r="G8714" t="inlineStr">
        <is>
          <t>2020-03-15 08:52:59</t>
        </is>
      </c>
      <c r="H8714" t="inlineStr">
        <is>
          <t>Type 1</t>
        </is>
      </c>
    </row>
    <row r="8715">
      <c r="A8715" t="inlineStr">
        <is>
          <t>fj66km</t>
        </is>
      </c>
      <c r="B8715" t="inlineStr">
        <is>
          <t>UK: Diabetes and COVID-19 (Some help and advise about working from home please)</t>
        </is>
      </c>
      <c r="C8715" t="inlineStr">
        <is>
          <t>Hello. I work in an office in central London and have T1D: this post is about T1D and COVID-19. 
Last week, my company provided all of us normal office dwellers with laptops so we could work from home as a disaster recovery type affair or if the government recommended limiting human interaction, homeworking or restricted travel due to Corona Virus. 
This was done ahead of the government cobra meeting and expected announcement on Friday afternoon detailing the "proactive" measures that the UK would be taking. The government then went on to announce that they would do nothing for the time being. 
The government seems to be taking a hands off, wait and see, "herd immunity" approach which appears to knowingly sacrifice some of the old, infirm, diabetics and any other unfortunate "at risk" or weak folk (people like me) for the greater good. While I don't have a problem with this in a philosophical sense (I don't fear death) I would like to avoid it or at least delay it and perhaps have some fun first or time to reflect beforehand. 
My boss rang me and said, "it's your choice, if you want to work from home, don't feel bad about being the first person to do it". This sounded to me, like a tacit disapproval although it was him that instigated the conversation. No one else is working from home yet. I would potentially be the only person doing it. Just because I am diabetic (I don't have children, I don't have any dependants or any of the responsibilities that my colleagues do which are probably more valid reasons than mine to disappear from work while they remain in the office). 
So while I am in an exceptionally fortunate position in that I have the choice, a laptop and could potentially work from home quite easily (and save £6 per day on travel). Should I do it? Should I text my boss and say, nah mate, we have had 1300 confirmed cases and 34 deaths due to COVID-19. I'm not coming in for the next three months (or longer). See you later, bud. Call me, yeah?
As a T1D, am I gambling too much by travelling on the tube as things get worse? What are you doing? How will you cope? What would you do in my position? 
Sorry for the very long ramble. 
TLDR: I have the option to work from home but I will be the only one/first person to do it. What would you do?</t>
        </is>
      </c>
      <c r="D8715" t="n">
        <v>1</v>
      </c>
      <c r="E8715" t="n">
        <v>24</v>
      </c>
      <c r="F8715">
        <f>HYPERLINK("https://www.reddit.com/r/diabetes/comments/fj66km/uk_diabetes_and_covid19_some_help_and_advise/")</f>
        <v/>
      </c>
      <c r="G8715" t="inlineStr">
        <is>
          <t>2020-03-15 11:44:22</t>
        </is>
      </c>
      <c r="H8715" t="inlineStr">
        <is>
          <t>Type 1</t>
        </is>
      </c>
    </row>
    <row r="8716">
      <c r="A8716" t="inlineStr">
        <is>
          <t>fj8yd8</t>
        </is>
      </c>
      <c r="B8716" t="inlineStr">
        <is>
          <t>How much does insulin injections build insulin resistance?</t>
        </is>
      </c>
      <c r="C8716" t="inlineStr">
        <is>
          <t>I’m T2 and been injecting insulin for a while. I’ve noticed I need to take more to get good numbers. I also have GAD65 antibodies however. My fasting sugars are 100-150. I need to take at least 6-8 units of fast acting to see good results. Not sure if it’s insulin resistance or pancreatic damage. Doctor just says it’s T1 kicking my ass but my C-Peptide is 2.2</t>
        </is>
      </c>
      <c r="D8716" t="n">
        <v>1</v>
      </c>
      <c r="E8716" t="n">
        <v>10</v>
      </c>
      <c r="F8716">
        <f>HYPERLINK("https://www.reddit.com/r/diabetes/comments/fj8yd8/how_much_does_insulin_injections_build_insulin/")</f>
        <v/>
      </c>
      <c r="G8716" t="inlineStr">
        <is>
          <t>2020-03-15 14:30:14</t>
        </is>
      </c>
      <c r="H8716" t="inlineStr">
        <is>
          <t>Type 2</t>
        </is>
      </c>
    </row>
    <row r="8717">
      <c r="A8717" t="inlineStr">
        <is>
          <t>fj97p0</t>
        </is>
      </c>
      <c r="B8717" t="inlineStr">
        <is>
          <t>My journey over a year out as Type 2</t>
        </is>
      </c>
      <c r="C8717" t="inlineStr">
        <is>
          <t>December, 2018. Found back from blood work I had an A1C of 7.4, and I was a diabetic with high blood pressure. It sucked. I was 34, and I felt I had so much time ahead of me. I should've known better. I should've been more careful of my family history. I should've paid more attention to my body, and not just my career.
I thought of it two ways. I could kick myself. I could remain mad. I could say "fuck it" and just eat whatever I wanted. After all, diabetes or not, no one is escaping death, ultimately. If I wanted to stay around a little longer, I had to do something now before the problems set in and it started to destroy me. My mind went back to a good quote by Marcus Aurelius from *Meditations*:  
&amp;gt; Objective judgment, now at this very moment. Unselfish action, now at this very moment. Willing acceptance—now at this very moment—of all external events. That’s all you need.
So, I got serious about tracking what I was putting into my body. I logged everything, best I could. There are some things I just guesstimate, or I know how much to leave left over calories wise, but I was able to narrow it down with trial and error. You get out what you put in -- and I intended to know what was going in. (Also, I never even realized how caloricly dense cheese was before then.)
When I started seriously in late December, into January, 2019, I started with mornings at around 165-170 mg/dl without medication. Blood pressure sitting at about 135/90. My after meals were never horrible, but at the time I was hitting about an average of 170. 
Today, I'm down about 90 pounds. My mornings average around 110. I've had a good week or two where I was hitting 90s consistently, but I seem to be back to 110. After meals, my average is around 105-110 -- oddly better than my morning levels, with a blood pressure averaging about 120/80. (It may even be lower, as I don't check it as frequently as I used to.) My last A1C was 5.4, and based on my dailies being lower since that check, I'm expecting it to come back lower. (My next big step is to add exercise, as this has been mostly diet based.)
I've been lurking around here for some time, mostly just reading. I know y'all face much steeper challenges than I do, or even ever did. I know my story is not nearly as noteworthy as some of the others on here. Still, for those out there doing what you can to fight; don't give up. There will be plenty of time to give up the fight when you're done and gone.
But for now, you're not gone. You're not done, yet.</t>
        </is>
      </c>
      <c r="D8717" t="n">
        <v>1</v>
      </c>
      <c r="E8717" t="n">
        <v>2</v>
      </c>
      <c r="F8717">
        <f>HYPERLINK("https://www.reddit.com/r/diabetes/comments/fj97p0/my_journey_over_a_year_out_as_type_2/")</f>
        <v/>
      </c>
      <c r="G8717" t="inlineStr">
        <is>
          <t>2020-03-15 14:48:11</t>
        </is>
      </c>
      <c r="H8717" t="inlineStr">
        <is>
          <t>Type 2</t>
        </is>
      </c>
    </row>
    <row r="8718">
      <c r="A8718" t="inlineStr">
        <is>
          <t>fj9v1r</t>
        </is>
      </c>
      <c r="B8718" t="inlineStr">
        <is>
          <t>just a little bit of a rant i needed to get out</t>
        </is>
      </c>
      <c r="C8718" t="inlineStr">
        <is>
          <t>i really just need to rant a little and put it somewhere; considering it’s diabetes related, i figured here was the best place. 
my blood sugar has been running high for the past few days, hanging out in the 200s most of the time. we are contacting my endocrinologist to sort it out, but it’s just. so frustrating. 
i can hear my mom on the phone, talking with the nurse from chop who helps us about how i’ve been a moody bitch (my words, not hers. it’s true though, i *have* been acting bitchy). 
my dad just keeps asking if i’ve done a correction recently, and then pats my leg and says it’s not my fault when i have. 
i’ve been acting moody and snapping because i was asked a “stupid question.” its just pissing me off- i stayed in range overnight before shooting right back up again, and i’m just so tired of constantly being pestered about checking my blood sugar, and have i done a correction recently?</t>
        </is>
      </c>
      <c r="D8718" t="n">
        <v>1</v>
      </c>
      <c r="E8718" t="n">
        <v>7</v>
      </c>
      <c r="F8718">
        <f>HYPERLINK("https://www.reddit.com/r/diabetes/comments/fj9v1r/just_a_little_bit_of_a_rant_i_needed_to_get_out/")</f>
        <v/>
      </c>
      <c r="G8718" t="inlineStr">
        <is>
          <t>2020-03-15 15:28:54</t>
        </is>
      </c>
      <c r="H8718" t="inlineStr">
        <is>
          <t>Type 1</t>
        </is>
      </c>
    </row>
    <row r="8719">
      <c r="A8719" t="inlineStr">
        <is>
          <t>fjbdjj</t>
        </is>
      </c>
      <c r="B8719" t="inlineStr">
        <is>
          <t>Why I don't inject enough</t>
        </is>
      </c>
      <c r="C8719" t="inlineStr">
        <is>
          <t>It's been a problem for years and I'm pretty sure it's linked to my depression. It started when I was in sixth form and began struggling with my school work due to my mental health. I began dropping lunchtime injections. I also had an asshole in the friend group who would moan if she saw me get my insulin out which didn't help with my anxiety and wanting to fit in.
It started to get really bad in november. I was pretty much just doing my basal and it would be a good day if I tested my blood sugars at least once. At the time my mood was really low and I was struggling with stress. It got better over the christmas holidays when I was less stressed and with my family. Now I'm stressed again and back to testing my sugars once or twice a day instead of 5-8 times. I've not been great with my insulin either, not even my basal because my sleeping patterns are messed up and I keep waking up at random times and going back to sleep and waking up at a different random time when I used to do my basal at 10am. Now it's like 4pm if I remember.
What's worst is i know exactly what damage I'm doing to my body: damaging my eyes, kidneys, nerves, circulation etc. etc.</t>
        </is>
      </c>
      <c r="D8719" t="n">
        <v>1</v>
      </c>
      <c r="E8719" t="n">
        <v>8</v>
      </c>
      <c r="F8719">
        <f>HYPERLINK("https://www.reddit.com/r/diabetes/comments/fjbdjj/why_i_dont_inject_enough/")</f>
        <v/>
      </c>
      <c r="G8719" t="inlineStr">
        <is>
          <t>2020-03-15 17:03:32</t>
        </is>
      </c>
      <c r="H8719" t="inlineStr">
        <is>
          <t>Type 1</t>
        </is>
      </c>
    </row>
    <row r="8720">
      <c r="A8720" t="inlineStr">
        <is>
          <t>fjcs6z</t>
        </is>
      </c>
      <c r="B8720" t="inlineStr">
        <is>
          <t>Dreams and blood sugar numbers</t>
        </is>
      </c>
      <c r="C8720" t="inlineStr">
        <is>
          <t>I was diagnosed a little over a year ago. I wear a dexcom and I take a combo of metformin, levemir, and humalog. During the day I have amazing control, usually going no higher than 120 even when eating kinda carb heavyish. I split my daily dose of levemir between 1/3 in the morning, 2/3 at night. I seem to have problems maintaining control while sleeping. I also have a Fitbit versa 2 that I wear overnight that tracks sleep patterns. I’ve noticed a direct correlation between my restless sleep times and my blood sugar beginning to spike. I kinda just noticed this today, so I haven’t been able to talk to my doctor about it yet, (appointment in a few weeks). 
Has anyone else experienced this? Or am I just grasping at straws trying to explain things? It’s just frustrating and upsetting because I’m doing so much to try and control my numbers and I wake up much higher than when i went to bed.</t>
        </is>
      </c>
      <c r="D8720" t="n">
        <v>1</v>
      </c>
      <c r="E8720" t="n">
        <v>1</v>
      </c>
      <c r="F8720">
        <f>HYPERLINK("https://www.reddit.com/r/diabetes/comments/fjcs6z/dreams_and_blood_sugar_numbers/")</f>
        <v/>
      </c>
      <c r="G8720" t="inlineStr">
        <is>
          <t>2020-03-15 18:38:27</t>
        </is>
      </c>
      <c r="H8720" t="inlineStr">
        <is>
          <t>Type 2</t>
        </is>
      </c>
    </row>
    <row r="8721">
      <c r="A8721" t="inlineStr">
        <is>
          <t>fjddpw</t>
        </is>
      </c>
      <c r="B8721" t="inlineStr">
        <is>
          <t>Depression and dt1, M(27)</t>
        </is>
      </c>
      <c r="C8721" t="inlineStr">
        <is>
          <t>I've been blessed by the sugary delights of dt1 two years ago. Three months after I am dyagnosed with F34, severe depression episodes. Got put on anti depressants, went to all kinds of therapy. My glucose was somewhat ok, but since the begining of this year it all went downhill... My mental state is in ruins, my glucose even worse. Time in range under 30%, avrage almost 9 mol (sorry Im from europe, dont know the US system). I dont even know why I am posting this, guess I dont have anyone else to talk to. I am not looking for pity or anything like that, just wondering what kind of complications should I expect first. I feel beaten, without any energy or will to continue, the constant pain in my leg stoping me from forgeting about it even for a little bit. I apologiese for my terriable english.</t>
        </is>
      </c>
      <c r="D8721" t="n">
        <v>1</v>
      </c>
      <c r="E8721" t="n">
        <v>5</v>
      </c>
      <c r="F8721">
        <f>HYPERLINK("https://www.reddit.com/r/diabetes/comments/fjddpw/depression_and_dt1_m27/")</f>
        <v/>
      </c>
      <c r="G8721" t="inlineStr">
        <is>
          <t>2020-03-15 19:20:49</t>
        </is>
      </c>
      <c r="H8721" t="inlineStr">
        <is>
          <t>Type 1.5/LADA</t>
        </is>
      </c>
    </row>
    <row r="8722">
      <c r="A8722" t="inlineStr">
        <is>
          <t>fjfbz7</t>
        </is>
      </c>
      <c r="B8722" t="inlineStr">
        <is>
          <t>Worried with the coronavirus, low on insulin, and I don't know what to do</t>
        </is>
      </c>
      <c r="C8722" t="inlineStr">
        <is>
          <t>Hey, all. So you all know about the COVID-19 quarantining happening, I'm sure.
I'll be blunt. I have one full vial of insulin left and I can't get onto my own medical insurance for another month until I'm 19 because our insurance dropped us due to not being able to pay, and I don't know what to do because of my area, which has been heavily hit by COVID-19 (I live in Santa Clara County)
It's super expensive and we can't go back to our old medical provider without paying the bills for the insulin with money we don't have on a whim. And I don't know what to do with this quarantining shutting stuff down and I need someone to talk to or help or anything.
I'm not worried if I contract it or anything, I actually have a high immune system. I'm just worried about running out of insulin during this time and not having any medical to fall back on until early April, but the coronavirus doesn't help at all.
The CDC just released a statement recommending no gatherings of people 50 or more for 8 weeks, so all this with me having to quarantine for at least two weeks is stressing me out hard. Suggestions, please and any help would be appreciated.
Also, wash your hands. Please.</t>
        </is>
      </c>
      <c r="D8722" t="n">
        <v>1</v>
      </c>
      <c r="E8722" t="n">
        <v>24</v>
      </c>
      <c r="F8722">
        <f>HYPERLINK("https://www.reddit.com/r/diabetes/comments/fjfbz7/worried_with_the_coronavirus_low_on_insulin_and_i/")</f>
        <v/>
      </c>
      <c r="G8722" t="inlineStr">
        <is>
          <t>2020-03-15 21:49:41</t>
        </is>
      </c>
      <c r="H8722" t="inlineStr">
        <is>
          <t>Type 1</t>
        </is>
      </c>
    </row>
    <row r="8723">
      <c r="A8723" t="inlineStr">
        <is>
          <t>fjhzdm</t>
        </is>
      </c>
      <c r="B8723" t="inlineStr">
        <is>
          <t>Control IQ and reusing dexcom sensors</t>
        </is>
      </c>
      <c r="C8723" t="inlineStr">
        <is>
          <t>I was able to upgrade to control IQ on my tandem slim X2 but I seem to no longer be able to reuse sensor codes so I can wear my dexcom for 20 days instead of 10. How I did it before worked before the update so I'm pretty sure I'm not doing it wrong. Has anyone else run into this? If so have you found a way to get around it?</t>
        </is>
      </c>
      <c r="D8723" t="n">
        <v>1</v>
      </c>
      <c r="E8723" t="n">
        <v>4</v>
      </c>
      <c r="F8723">
        <f>HYPERLINK("https://www.reddit.com/r/diabetes/comments/fjhzdm/control_iq_and_reusing_dexcom_sensors/")</f>
        <v/>
      </c>
      <c r="G8723" t="inlineStr">
        <is>
          <t>2020-03-16 02:02:01</t>
        </is>
      </c>
      <c r="H8723" t="inlineStr">
        <is>
          <t>Type 1</t>
        </is>
      </c>
    </row>
    <row r="8724">
      <c r="A8724" t="inlineStr">
        <is>
          <t>fjlxme</t>
        </is>
      </c>
      <c r="B8724" t="inlineStr">
        <is>
          <t>Insulin to carb ratio</t>
        </is>
      </c>
      <c r="C8724" t="inlineStr">
        <is>
          <t>Hi there,
I'm getting back into proper carb counting after a while away from it (burnout) and I was wondering if a ratio of 1U : 7.7g seems like a 'right' number. (I know its supposed to be different for each person)
Does this number seem too high / too little? (I don't know any Diabetics IRL and I've had it for 14 years haha)
Thanks in advance :)</t>
        </is>
      </c>
      <c r="D8724" t="n">
        <v>1</v>
      </c>
      <c r="E8724" t="n">
        <v>14</v>
      </c>
      <c r="F8724">
        <f>HYPERLINK("https://www.reddit.com/r/diabetes/comments/fjlxme/insulin_to_carb_ratio/")</f>
        <v/>
      </c>
      <c r="G8724" t="inlineStr">
        <is>
          <t>2020-03-16 07:37:11</t>
        </is>
      </c>
      <c r="H8724" t="inlineStr">
        <is>
          <t>Type 1</t>
        </is>
      </c>
    </row>
    <row r="8725">
      <c r="A8725" t="inlineStr">
        <is>
          <t>fjlyhr</t>
        </is>
      </c>
      <c r="B8725" t="inlineStr">
        <is>
          <t>Need to get blood work but I am in a county with the most confirmed COVID-19 cases in my state. What to do?</t>
        </is>
      </c>
      <c r="C8725" t="inlineStr">
        <is>
          <t>I live in the Philadelphia suburbs. The county that I live in has the most confirmed COVID-19 cases in Pennslyvania, and it is being put under some of the most strenuous restrictions in the state. One of my roommates has asthma and is really worried about being exposed, since she could end up in the hospital with severe complications. I want to be extra cautious. So I don't really feel comfortable going to a clinic where there will potentially be a lot of sick people in the waiting area. What should I do?
I also would likely need to take mass transit to my doctors appointment which is a whole other concern.</t>
        </is>
      </c>
      <c r="D8725" t="n">
        <v>1</v>
      </c>
      <c r="E8725" t="n">
        <v>12</v>
      </c>
      <c r="F8725">
        <f>HYPERLINK("https://www.reddit.com/r/diabetes/comments/fjlyhr/need_to_get_blood_work_but_i_am_in_a_county_with/")</f>
        <v/>
      </c>
      <c r="G8725" t="inlineStr">
        <is>
          <t>2020-03-16 07:38:51</t>
        </is>
      </c>
      <c r="H8725" t="inlineStr">
        <is>
          <t>Type 1</t>
        </is>
      </c>
    </row>
    <row r="8726">
      <c r="A8726" t="inlineStr">
        <is>
          <t>fjppii</t>
        </is>
      </c>
      <c r="B8726" t="inlineStr">
        <is>
          <t>Giving away Dexcom G5/G4 inserts and Animus cartridges</t>
        </is>
      </c>
      <c r="C8726" t="inlineStr">
        <is>
          <t>Hi all, don't know if anyone here still uese the G5/G4 or an Animus pump, but I found some older supplies and if anyone would find use in them I'm happy to ship them anywhere in the US as long as you pay postage. I have two G5/G4 inserts from 2015 and Animus insulin carts from around the same time.
Also please social distance as much as you can and stay safe! Solidarity and we will get through this!</t>
        </is>
      </c>
      <c r="D8726" t="n">
        <v>1</v>
      </c>
      <c r="E8726" t="n">
        <v>0</v>
      </c>
      <c r="F8726">
        <f>HYPERLINK("https://www.reddit.com/r/diabetes/comments/fjppii/giving_away_dexcom_g5g4_inserts_and_animus/")</f>
        <v/>
      </c>
      <c r="G8726" t="inlineStr">
        <is>
          <t>2020-03-16 11:26:16</t>
        </is>
      </c>
      <c r="H8726" t="inlineStr">
        <is>
          <t>Type 1</t>
        </is>
      </c>
    </row>
    <row r="8727">
      <c r="A8727" t="inlineStr">
        <is>
          <t>fjvvee</t>
        </is>
      </c>
      <c r="B8727" t="inlineStr">
        <is>
          <t>Itchy legs</t>
        </is>
      </c>
      <c r="C8727" t="inlineStr">
        <is>
          <t>24f, been diabetic for 7 years now, take my meds but my diet's not been soooo good A1C at 11, bodys been holding up well this far but I'm scared I took it too far. Been having these 1 or 3 random itch spots around my lower calves for around three months once a monthish but they disappear after a few days so at the time i thought they were insect bites or something, nothing serious. Well, I went drinking a few days ago and experienced this unusual pain all over my legs but I attributed it to not taking water since I normally take A LOT of it. So yesterday i got many of these tiny very itchy bumps all over my lower calves all of a sudden almost at the same time, so no way anything bit me. Is this the onset of diabetic neuropathy? How worried should I be? Is there anything I can do or am I now doomed to suffer slowly. The itching disappeared after I got water in me and my sugars went back to normal but I'm still worried. There is no pain, no itchiness anywhere else and I admit I had been slacking on my water intake the past week. I take humalog 26 units before meals and 12 units Lantus before bed. PLEASE HELP I'm freaking out.</t>
        </is>
      </c>
      <c r="D8727" t="n">
        <v>1</v>
      </c>
      <c r="E8727" t="n">
        <v>17</v>
      </c>
      <c r="F8727">
        <f>HYPERLINK("https://www.reddit.com/r/diabetes/comments/fjvvee/itchy_legs/")</f>
        <v/>
      </c>
      <c r="G8727" t="inlineStr">
        <is>
          <t>2020-03-16 17:40:05</t>
        </is>
      </c>
      <c r="H8727" t="inlineStr">
        <is>
          <t>Type 1</t>
        </is>
      </c>
    </row>
    <row r="8728">
      <c r="A8728" t="inlineStr">
        <is>
          <t>fjvyg3</t>
        </is>
      </c>
      <c r="B8728" t="inlineStr">
        <is>
          <t>Random Question About Low Blood Sugars</t>
        </is>
      </c>
      <c r="C8728" t="inlineStr">
        <is>
          <t>I've had type 1 diabetes for almost 10 years now, and whenever I get a low blood sugar I can always notice that my cognitive functions go down while I'm low, but once I get back in range everything returns to normal.  I was wondering if having low blood sugars can cause any long term brain damage, it seems like my brain not having enough sugar to work could definitely cause something to go wrong.</t>
        </is>
      </c>
      <c r="D8728" t="n">
        <v>1</v>
      </c>
      <c r="E8728" t="n">
        <v>8</v>
      </c>
      <c r="F8728">
        <f>HYPERLINK("https://www.reddit.com/r/diabetes/comments/fjvyg3/random_question_about_low_blood_sugars/")</f>
        <v/>
      </c>
      <c r="G8728" t="inlineStr">
        <is>
          <t>2020-03-16 17:45:33</t>
        </is>
      </c>
      <c r="H8728" t="inlineStr">
        <is>
          <t>Type 1</t>
        </is>
      </c>
    </row>
    <row r="8729">
      <c r="A8729" t="inlineStr">
        <is>
          <t>fjwy0p</t>
        </is>
      </c>
      <c r="B8729" t="inlineStr">
        <is>
          <t>Do I have a right to be mad at my PCP?</t>
        </is>
      </c>
      <c r="C8729" t="inlineStr">
        <is>
          <t>My work is offering 10 days off from work if you are considered high risk for COVID-19. Since I have diabetes, I fall into this category. 
For context I’m 25(F) type 1 diabetic. I’ve had diabetes for 15 years, I am well controlled. I’m relatively healthy other than having asthma.
I called into my Endo to ask for documentation of my condition and they told me it has to go through my PCP (I don’t think this is correct). So I called my PCP. He said I didn’t qualify or really need to take time off, because I’m not high risk since I’m young and relatively happy other than the diabetes. This goes against the CDC guidelines saying diabetes need to self isolated since there is evidence that they have a higher risk of getting very sick from the virus. 
I think his behavior is highly irresponsible and inappropriate.
Am I justified in the way I feel? I’m also open to advice for what to do?</t>
        </is>
      </c>
      <c r="D8729" t="n">
        <v>1</v>
      </c>
      <c r="E8729" t="n">
        <v>11</v>
      </c>
      <c r="F8729">
        <f>HYPERLINK("https://www.reddit.com/r/diabetes/comments/fjwy0p/do_i_have_a_right_to_be_mad_at_my_pcp/")</f>
        <v/>
      </c>
      <c r="G8729" t="inlineStr">
        <is>
          <t>2020-03-16 18:53:55</t>
        </is>
      </c>
      <c r="H8729" t="inlineStr">
        <is>
          <t>Type 1</t>
        </is>
      </c>
    </row>
    <row r="8730">
      <c r="A8730" t="inlineStr">
        <is>
          <t>fk7d6v</t>
        </is>
      </c>
      <c r="B8730" t="inlineStr">
        <is>
          <t>Scarred Tissue</t>
        </is>
      </c>
      <c r="C8730" t="inlineStr">
        <is>
          <t>Since I got OmniPod, I’ve been experiencing very itchy arms and huge bumps that aren’t visible but you can feel them. My doctor told me it’s scarred tissue from all of the needles in my arm. Does anyone have any advice on how to deal with it? I have a powerful steroid but am sacred that it will hurt my skin.</t>
        </is>
      </c>
      <c r="D8730" t="n">
        <v>1</v>
      </c>
      <c r="E8730" t="n">
        <v>0</v>
      </c>
      <c r="F8730">
        <f>HYPERLINK("https://www.reddit.com/r/diabetes/comments/fk7d6v/scarred_tissue/")</f>
        <v/>
      </c>
      <c r="G8730" t="inlineStr">
        <is>
          <t>2020-03-17 08:41:11</t>
        </is>
      </c>
      <c r="H8730" t="inlineStr">
        <is>
          <t>Type 1</t>
        </is>
      </c>
    </row>
    <row r="8731">
      <c r="A8731" t="inlineStr">
        <is>
          <t>fk96v0</t>
        </is>
      </c>
      <c r="B8731" t="inlineStr">
        <is>
          <t>[US/UK] FREE Health, Diet, and Fitness Audible Audiobook Promo codes.</t>
        </is>
      </c>
      <c r="C8731" t="inlineStr">
        <is>
          <t>Hi guys!
I have new MARCH 2020 codes for UK and USA for the following books:
**Please comment below which country codes you want and for which book number you want. If you want all of them, just say “ALL”.** 
Please do leave a review at the end :)
**For US use the following to redeem the codes:**  [audible.com/acx-promo](http://audible.com/acx-promo)
**For UK, use the following to redeem the codes:** [audible.co.uk/acx-promo](http://audible.co.uk/acx-promo)
&amp;amp;#x200B;
1. **The Complete Healthy Smoothie Recipe Book:** [https://www.audible.com/pd//B07G7GD6MC](https://www.audible.com/pd//B07G7GD6MC)
2. **The Complete Mediterranean Diet for Beginners:** [https://www.audible.com/pd//B07HFJDNXJ](https://www.audible.com/pd//B07HFJDNXJ)
3. **The Complete Paleo Diet Cookbook:** [https://www.audible.com/pd//B07H4XMYH2](https://www.audible.com/pd//B07H4XMYH2)
4. **Anti-Inflammatory Diet: Your Guide to Eating to Minimize Inflammation and Maximize Health** [https://www.audible.com/pd//B07H3DDNLX](https://www.audible.com/pd//B07H3DDNLX)
5. **Top 30 Gluten-Free Recipes to Help You Look and Feel Better Than You Ever Thought Possible** https://www.audible.com/pd//B07GDN1HW6 
6. **Guide to Intermittent Fasting Learn Everything You Need About Intermittent Fasting and All the Benefits Associated with It**: [https://www.audible.com/pd//B07GVP3QP7](https://www.audible.com/pd//B07GVP3QP7)
7. **Anxiety and Depression Cure: Simple Workbook for Anxiety Relief**: [https://www.audible.com/pd//B07RL8ZR8B](https://www.audible.com/pd//B07RL8ZR8B)
8. **The Novice Runner's Handbook: A Comprehensive Guide to Get You Started as a Runner or Jogger**: [https://www.audible.com/pd//B07RF9TRXZ](https://www.audible.com/pd//B07RF9TRXZ)
9. **Paleo Diet Cookbook, Air Fryer Cookbook, Vegan Slow Cooker Cookbook &amp;amp; Anti-Inflammatory Cookbook**: [https://www.audible.com/pd//B07R8GCHDY](https://www.audible.com/pd//B07R8GCHDY)
10. **Low-Calorie Cookbook**: https://www.audible.com/pd//B07MPCSG1C
11. **Minimalist Budget Simple Strategies on How to Save More and Become Financially Secure**: https://www.audible.com/pd//B07HQWFFGY
12. **The Complete Low Carb Cookbook**: https://www.audible.com/pd//B07HBDGVGW
13. **Dash Diet Action Plan Book**: https://www.audible.com/pd//B07H7TBD2P
14. **Insulin Resistance Diet Plan Guide on How to End Diabetes**: https://www.audible.com/pd//B07P1ZB9DQ
15. **Plant-Based Nutrition Guide on How to Eat Healthy and For a Healthier Body**: https://www.audible.com/pd//B07NXW4G2W
16. **Stress and Anxiety Management &amp;amp; Alcohol Addiction**: https://www.audible.com/pd//B07VX84BH8
17. **Insulin Resistance Diet &amp;amp; Immune System Recovery Plan**: [https://www.audible.com/pd//B07VTHRJB1](https://www.audible.com/pd//B07VTHRJB1)
18. **The Complete Salad Recipe**: [https://www.audible.com/pd//B07JGBMG6Z](https://www.audible.com/pd//B07JGBMG6Z)
19. **Healthy Superfoods Food Recipes Clean Eating**: [https://www.audible.com/pd//B07HSMW6N4](https://www.audible.com/pd//B07HSMW6N4)
20. **How to Lose Weight Well: Easy Steps to Lose Weight by Eating**: [https://www.audible.com/pd//B07MCW3BLZ](https://www.audible.com/pd//B07MCW3BLZ)
21. **Fitness Nutrition: How to Unlock Your Physical Potential by Working Out and Eating Properly** [https://www.audible.com/pd//B07HNB3WDY](https://www.audible.com/pd//B07HNB3WDY)
22. **The Complete Vegetarian Recipes Cookbook**: [https://www.audible.com/pd//B07PMTF8HD](https://www.audible.com/pd//B07PMTF8HD)
23. **Fatty Liver Diet: Guide on How to End Fatty Liver Disease** [https://www.audible.com/pd//B07NLJXV8Q](https://www.audible.com/pd//B07NLJXV8Q)
24. **The Complete Metabolism Diet**: [https://www.audible.com/pd//B07KX7D348](https://www.audible.com/pd//B07KX7D348)
25. **Autism: Parents’ Guide to Autism Spectrum Disorder**: [https://www.audible.com/pd//B07RSF88DS](https://www.audible.com/pd//B07RSF88DS)
26. **Diabetic Recipe Books, Low-Calorie Recipes, Low Carb Recipes, Gluten-Free Cookbooks**: [https://www.audible.com/pd//B07RN2PWYC](https://www.audible.com/pd//B07RN2PWYC)
27. **Ketogenic Diet for Beginners: Lose a Lot of Weight Fast Using Your Body’s Natural Processes**: [https://www.audible.com/pd//B07HBF37PH](https://www.audible.com/pd//B07HBF37PH)
28. **Mindfulness Top 10 Tips Guide to Overcoming Obsessions and Compulsions Using Mindfulness** [https://www.audible.com/pd//B07GNXH1MP](https://www.audible.com/pd//B07GNXH1MP)
29. **Binge Eating Disorder: Self Help Binge Eating Guide to Stop and Overcome Overeating:** [https://www.audible.com/pd//B07HMF7WD6](https://www.audible.com/pd//B07HMF7WD6)
30. **The Complete Diabetic Cookbook Delicious and Balanced Recipes Made Easy**: [https://www.audible.com/pd//B07H4XXBJ5](https://www.audible.com/pd//B07H4XXBJ5)
31. **5:2 Fast Diet Recipe Lose Weight Program**: [https://www.audible.com/pd//B07H4XXBJ5](https://www.audible.com/pd//B07H4XXBJ5)
32. **The Complete Plant-Based Diet**: [https://www.audible.com/pd//B07JMKDJKW](https://www.audible.com/pd//B07JMKDJKW)
33. **Stress and Anxiety Management: The CBT Solution for Stress Relief, Panic Attacks, and Anxiet**y [https://www.audible.com/pd//B07RH8TGQM](https://www.audible.com/pd//B07RH8TGQM)
34. **Anxiety and Depression &amp;amp; Runners Handbook**: [https://www.audible.com/pd//B07VYVMPH5](https://www.audible.com/pd//B07VYVMPH5)
35. **The Complete Soup Maker Recipe Book**: [https://www.audible.com/pd//B07G7GTK2F](https://www.audible.com/pd//B07G7GTK2F)
36. H**ealthy Smoothie Recipe Book, Soup Maker Recipe Book, Vegetarian Cookbook &amp;amp; 5 2 Fast Diet**: [https://www.audible.com/pd//B07RJ21RPB](https://www.audible.com/pd//B07RJ21RPB)
37. **Dash Diet, Superfoods Cookbook, Metabolism Diet &amp;amp; Indian Cookbook**: [https://www.audible.com/pd//B07VLJ9YKC](https://www.audible.com/pd//B07VLJ9YKC)
38. **Sugar Detox Plan &amp;amp; Fatty Liver Diet Books: Fatty Liver Disease**: [https://www.audible.com/pd//B07VS52DVT](https://www.audible.com/pd//B07VS52DVT)
39. **Ketogenic Diet, Mediterranean Diet, Instant Pot Recipe Cookbook &amp;amp; Intermittent Fasting:** [https://www.audible.com/pd//B07XVPBGZJ](https://www.audible.com/pd//B07XVPBGZJ)
40. **How to Lose Weight Well &amp;amp; How to Lose Belly Fa**t: [https://www.audible.com/pd//B07VXZ8F47](https://www.audible.com/pd//B07VXZ8F47)
41. **Meal Prep for Beginners Healthy Grab and Go Meals**: https://www.audible.com/pd//B07NSRB58R 
42. **Bodyweight Training: How to Use Calisthenics to Become Fitter and Stronger**: [https://www.audible.com/pd//B07JMHZ9Y5](https://www.audible.com/pd//B07JMHZ9Y5)
43. **Air Fryer Cookbook: For Quick and Healthy Meals**: [https://www.audible.com/pd//B07G7GQM53](https://www.audible.com/pd//B07G7GQM53)
44. **One-Pot Cookbook**: https://www.audible.com/pd//B07PXLMGPF
45. **Slow Cooker Recipe Book - Simple Recipes, Extraordinary Results:** https://www.audible.com/pd//B07Q642D1L
46. **Meal Prep Cookbook, Slow Cooker Recipe Cookbook, Gut Diet &amp;amp; One Pot Cookbook**: https://www.audible.com/pd//B07VVMKHY5
47. **Arthritis Diet Anti-inflammatory Diet for Arthritis Pain Relief:** https://www.audible.com/pd//B07QZM1NYP
48. **Narcissism Understanding Narcissistic Personality Disorder**: https://www.audible.com/pd//B07R6V912P
49. **Alcohol Addiction: How to Stop Drinking and Recover from Alcohol Addiction:** https://www.audible.com/pd//B07RD1D251
50. **Anxiety and Depression &amp;amp; Runners Handbook:** https://www.audible.com/pd//B07VYVMPH5
51. **The Complete Indian Diet: Top Delicious Indian Recipes** https://www.audible.com/pd//B07JJL7J7V
52. **Healthy Cookbook and Super Easy Vegan Slow Cooker Recipes to Follow** [https://www.audible.com/pd//B07G7HRWBH](https://www.audible.com/pd//B07G7HRWBH)
53. **Food Addiction Problems And Solutions Overcoming Food Addiction**: [https://www.audible.com/pd//B07M79KSCV](https://www.audible.com/pd//B07M79KSCV)
54. **How to Lose Belly Fat: A Complete Guide to Losing Weight and Achieving a Flat Belly** [https://www.audible.com/pd//B07NX1W6SL](https://www.audible.com/pd//B07NX1W6SL)
55. I**mmune System: Boost the Immune System and Heal Your Gut and Cleanse Your Body Naturally** [https://www.audible.com/pd//B07NZ89B23](https://www.audible.com/pd//B07NZ89B23)
56. **Sugar Detox: Guide to End Sugar Cravings (Carb Craving)** [https://www.audible.com/pd//B07MWJXYJF](https://www.audible.com/pd//B07MWJXYJF)
57. **Healthy Eating: The Food Science Guide on What to Ea**t [https://www.audible.com/pd//B07NHHPPXT](https://www.audible.com/pd//B07NHHPPXT)
58. **Gut Health Diet Plan Book Gut and Psychology Syndrome:** [https://www.audible.com/pd//B07NHHPPXT](https://www.audible.com/pd//B07NHHPPXT)
59. **Autism Spectrum Disorder &amp;amp; Narcissism Personality Disorder**: [https://www.audible.com/pd//B07VT91H7Q](https://www.audible.com/pd//B07VT91H7Q)
60. **Food Addiction Treatment for Overeating &amp;amp; Healthy Eating Guide on What to Eat Healthily:**  [https://www.audible.com/pd//B07VMNXFDT](https://www.audible.com/pd//B07VMNXFDT)</t>
        </is>
      </c>
      <c r="D8731" t="n">
        <v>1</v>
      </c>
      <c r="E8731" t="n">
        <v>1</v>
      </c>
      <c r="F8731">
        <f>HYPERLINK("https://www.reddit.com/r/diabetes/comments/fk96v0/usuk_free_health_diet_and_fitness_audible/")</f>
        <v/>
      </c>
      <c r="G8731" t="inlineStr">
        <is>
          <t>2020-03-17 10:26:29</t>
        </is>
      </c>
      <c r="H8731" t="inlineStr">
        <is>
          <t>Type 1</t>
        </is>
      </c>
    </row>
    <row r="8732">
      <c r="A8732" t="inlineStr">
        <is>
          <t>fk9xoq</t>
        </is>
      </c>
      <c r="B8732" t="inlineStr">
        <is>
          <t>has anyone here dealt with diabulimia? is it something you still struggle with?</t>
        </is>
      </c>
      <c r="C8732" t="inlineStr">
        <is>
          <t>heya, i hope everyone is having a great day. i’ve been a type 1 diabetic for 8 years, and was diagnosed when i was 8. when going through my teen years i definitely developed some body issues, became very self conscious and had been going through diabetic burnout. i just didn’t really want to take care of it anymore. as i had got sick i had noticed that i was losing weight at an alarming weight. with this combined with my mother’s problems in her life it  soon turned into a complete roller coaster of me not taking care of myself and putting myself in the ICU at least every month from anywhere to 3-30 days for 2-3 years to become thin. and no one had stopped me. i hadn’t cared that i couldn’t walk or breathe or that i looked like a zombie. i just wanted to be thin. fast forward to september of last year i had been taken away from my family for medical neglect. i know what i did was wrong and i’m still trying to recover from all the damage i did to myself physically and mentally but i’m working towards reunification with my mother, and all i can think about is going back to old habits again. is there any advice anyone can give me to help me through this? thanks for reading. &amp;lt;3</t>
        </is>
      </c>
      <c r="D8732" t="n">
        <v>1</v>
      </c>
      <c r="E8732" t="n">
        <v>8</v>
      </c>
      <c r="F8732">
        <f>HYPERLINK("https://www.reddit.com/r/diabetes/comments/fk9xoq/has_anyone_here_dealt_with_diabulimia_is_it/")</f>
        <v/>
      </c>
      <c r="G8732" t="inlineStr">
        <is>
          <t>2020-03-17 11:07:59</t>
        </is>
      </c>
      <c r="H8732" t="inlineStr">
        <is>
          <t>Type 1</t>
        </is>
      </c>
    </row>
    <row r="8733">
      <c r="A8733" t="inlineStr">
        <is>
          <t>fkb8ov</t>
        </is>
      </c>
      <c r="B8733" t="inlineStr">
        <is>
          <t>How worried should I be?...</t>
        </is>
      </c>
      <c r="C8733" t="inlineStr">
        <is>
          <t>25/F T1D here.  
I'm a pretty unhealthy T1D in general, my life has consistently made it difficult to focus on my diabetes, especially since I was diagnosed at 18/19. I've been hospitalized for DKA 8 - 10 times over the last 5 years... My A1C is greater than 9. I know this is unhealthy and a danger to myself, but I suffer from chronic depression, bipolar 2, anxiety, and PTSD. Not to mention having family that I live with that do not care to help me manage my health... We are poor, always have been, and our eating habits are pretty bad. 
I recently started working at our local zoo, and after 2 days, we shut down til at least April for the sake of everyone's health. I did my best to keep my distance and wash/sanitize my hands, but I'm still scared that I've been in contact with numerous carriers.
On top of it all, I live with my grandparents (64 and 66) and my grandpa had the nerve to go to the casino this past weekend! He has terrible hygiene and I'm so scared he's going to get all of us killed or very sick, but he doesn't take this seriously at all...  
I'm terrified of COVID-19. I do not want to die within the next month or two. I've heard conflicting reports on how serious this is, for healthy folks and healthy T1Ds, and I am just incredibly scared. 
What should I do? What CAN I do? What are my odds of not making it through all this...</t>
        </is>
      </c>
      <c r="D8733" t="n">
        <v>1</v>
      </c>
      <c r="E8733" t="n">
        <v>4</v>
      </c>
      <c r="F8733">
        <f>HYPERLINK("https://www.reddit.com/r/diabetes/comments/fkb8ov/how_worried_should_i_be/")</f>
        <v/>
      </c>
      <c r="G8733" t="inlineStr">
        <is>
          <t>2020-03-17 12:20:00</t>
        </is>
      </c>
      <c r="H8733" t="inlineStr">
        <is>
          <t>Type 1</t>
        </is>
      </c>
    </row>
    <row r="8734">
      <c r="A8734" t="inlineStr">
        <is>
          <t>fkfxjo</t>
        </is>
      </c>
      <c r="B8734" t="inlineStr">
        <is>
          <t>New diabetes documentary</t>
        </is>
      </c>
      <c r="C8734" t="inlineStr">
        <is>
          <t>Hey guys,
My name's Judd, I'm a US filmmaker currently living in New Zealand.  Full disclosure - I do not have type 1 or type 2 diabetes, but after having a lot of friends and family who manage both type 1 and type 2, and after my dad told me he was diagnosed as prediabetic, I took a great interest in learning more.  It eventually led to me making an 8 part documentary series, a youtube channel, and an accompanying comprehensive program that includes guides and cookbooks.  
I just wanted to introduce myself and my program, Diabetes Smarts, in case anyone was interested in checking it out.  I've worked hard to create a comprehensive docu series and accompanying program that fully explains diabetes, and offers some concrete, natural, and lasting steps to take to improve your blood glucose control, possibly lose weight, and even perhaps lower your A1C to below the diabetic threshold on a permanent basis.
Thanks for reading guys, and, yeah, if you have any questions or thoughts about the series, I'm happy to chat.  
Here's our youtube page, it includes episode 1 of the series...
[https://www.youtube.com/channel/UCsBHtEfLIwSBuphCx1XqkkQ](https://www.youtube.com/channel/UCsBHtEfLIwSBuphCx1XqkkQ)</t>
        </is>
      </c>
      <c r="D8734" t="n">
        <v>1</v>
      </c>
      <c r="E8734" t="n">
        <v>0</v>
      </c>
      <c r="F8734">
        <f>HYPERLINK("https://www.reddit.com/r/diabetes/comments/fkfxjo/new_diabetes_documentary/")</f>
        <v/>
      </c>
      <c r="G8734" t="inlineStr">
        <is>
          <t>2020-03-17 17:01:07</t>
        </is>
      </c>
      <c r="H8734" t="inlineStr">
        <is>
          <t>Type 2</t>
        </is>
      </c>
    </row>
    <row r="8735">
      <c r="A8735" t="inlineStr">
        <is>
          <t>fkgtsi</t>
        </is>
      </c>
      <c r="B8735" t="inlineStr">
        <is>
          <t>In the beginning of February I was admitted to the hospital due to cellulitis and was told I have diabetes and an A1C of 12</t>
        </is>
      </c>
      <c r="C8735" t="inlineStr">
        <is>
          <t>Got my A1C results today and I'm down to 7. The advice I've read on this subreddit has been invaluable. Thank you!</t>
        </is>
      </c>
      <c r="D8735" t="n">
        <v>1</v>
      </c>
      <c r="E8735" t="n">
        <v>16</v>
      </c>
      <c r="F8735">
        <f>HYPERLINK("https://www.reddit.com/r/diabetes/comments/fkgtsi/in_the_beginning_of_february_i_was_admitted_to/")</f>
        <v/>
      </c>
      <c r="G8735" t="inlineStr">
        <is>
          <t>2020-03-17 18:01:15</t>
        </is>
      </c>
      <c r="H8735" t="inlineStr">
        <is>
          <t>Type 2</t>
        </is>
      </c>
    </row>
    <row r="8736">
      <c r="A8736" t="inlineStr">
        <is>
          <t>fkickm</t>
        </is>
      </c>
      <c r="B8736" t="inlineStr">
        <is>
          <t>How often do you calibrate your Dexcom G6?</t>
        </is>
      </c>
      <c r="C8736" t="inlineStr">
        <is>
          <t>I know it can last 10 days without calibration, but there are times it is spot on for me, and other times where the numbers can be greater than 60 difference, especially towards the high end. I was wondering if anyone has any anecdotes to this, or if they calibrate their G6 once or even more times on a daily basis? I'm considering calibrating once or twice a day.</t>
        </is>
      </c>
      <c r="D8736" t="n">
        <v>1</v>
      </c>
      <c r="E8736" t="n">
        <v>3</v>
      </c>
      <c r="F8736">
        <f>HYPERLINK("https://www.reddit.com/r/diabetes/comments/fkickm/how_often_do_you_calibrate_your_dexcom_g6/")</f>
        <v/>
      </c>
      <c r="G8736" t="inlineStr">
        <is>
          <t>2020-03-17 19:46:56</t>
        </is>
      </c>
      <c r="H8736" t="inlineStr">
        <is>
          <t>Type 1</t>
        </is>
      </c>
    </row>
    <row r="8737">
      <c r="A8737" t="inlineStr">
        <is>
          <t>fkipvt</t>
        </is>
      </c>
      <c r="B8737" t="inlineStr">
        <is>
          <t>Stressed out and not knowing what to do</t>
        </is>
      </c>
      <c r="C8737" t="inlineStr">
        <is>
          <t>Hi everyone,
I just round this sub and is a good thing I did since I’m freaking out.
I was diagnosed at 14 and have been living with T1D for 12 yearling now. I have had up and Downs but in general I’ve been ok.
4 Years ago I stopped seeing my doctor because he moved to another country and Also I Came out as trans.
It was hard to find a doctor willing to treat a trans woman but I did around 6 months ago.
Anyways, during my time with no doctor I was fine (I mean could have been better but levels Were generally in the healthy range) and starting with this new doctor he changed my dosis to a “more strict” carb count.
That helped at first and even helped my loose some dépression weight but recently I have noticed that even if I eat thé exact same thing and fer the same insulin dose I can have very different levels 2 hours later.
Is pretty stressing and I’m not sure what to do about it. I called my doctor but he suggested I see a nutriologist but finding one and checking if my insurance covers it will tale time.
Has Anyone gone Through something similar? Have Any suggestions on what it could be or what I can do to fix it?
Thanks in advance and thank you for reading :)</t>
        </is>
      </c>
      <c r="D8737" t="n">
        <v>1</v>
      </c>
      <c r="E8737" t="n">
        <v>2</v>
      </c>
      <c r="F8737">
        <f>HYPERLINK("https://www.reddit.com/r/diabetes/comments/fkipvt/stressed_out_and_not_knowing_what_to_do/")</f>
        <v/>
      </c>
      <c r="G8737" t="inlineStr">
        <is>
          <t>2020-03-17 20:13:29</t>
        </is>
      </c>
      <c r="H8737" t="inlineStr">
        <is>
          <t>Type 1</t>
        </is>
      </c>
    </row>
    <row r="8738">
      <c r="A8738" t="inlineStr">
        <is>
          <t>fkl4ow</t>
        </is>
      </c>
      <c r="B8738" t="inlineStr">
        <is>
          <t>Confession: It's 2:30 am and I just ate two bowls of cereal and drank a Pepsi.</t>
        </is>
      </c>
      <c r="C8738" t="inlineStr">
        <is>
          <t>I knew it was over correcting but dammit it was 2:30 and I woke up in a cold sweat and Dexcom said "LOW". Thank god for my fiance I could barely get out of bed. What's some of the things you've eaten in the middle of the night during a low?</t>
        </is>
      </c>
      <c r="D8738" t="n">
        <v>1</v>
      </c>
      <c r="E8738" t="n">
        <v>9</v>
      </c>
      <c r="F8738">
        <f>HYPERLINK("https://www.reddit.com/r/diabetes/comments/fkl4ow/confession_its_230_am_and_i_just_ate_two_bowls_of/")</f>
        <v/>
      </c>
      <c r="G8738" t="inlineStr">
        <is>
          <t>2020-03-17 23:36:32</t>
        </is>
      </c>
      <c r="H8738" t="inlineStr">
        <is>
          <t>Type 1</t>
        </is>
      </c>
    </row>
    <row r="8739">
      <c r="A8739" t="inlineStr">
        <is>
          <t>fkm6a4</t>
        </is>
      </c>
      <c r="B8739" t="inlineStr">
        <is>
          <t>How do u in your country go one with diabetes type 1</t>
        </is>
      </c>
      <c r="C8739" t="inlineStr">
        <is>
          <t>I myself am not a extrovert in the field of diabetes, but from the stories i hear from topics online or magazines I have a very confusing site of how foreign people do it. I think the same as here but I’m not sure what methods u use.</t>
        </is>
      </c>
      <c r="D8739" t="n">
        <v>1</v>
      </c>
      <c r="E8739" t="n">
        <v>3</v>
      </c>
      <c r="F8739">
        <f>HYPERLINK("https://www.reddit.com/r/diabetes/comments/fkm6a4/how_do_u_in_your_country_go_one_with_diabetes/")</f>
        <v/>
      </c>
      <c r="G8739" t="inlineStr">
        <is>
          <t>2020-03-18 01:19:35</t>
        </is>
      </c>
      <c r="H8739" t="inlineStr">
        <is>
          <t>Type 1</t>
        </is>
      </c>
    </row>
    <row r="8740">
      <c r="A8740" t="inlineStr">
        <is>
          <t>fkmtzh</t>
        </is>
      </c>
      <c r="B8740" t="inlineStr">
        <is>
          <t>Insulin pump simply not working anymore and I don't know what to do</t>
        </is>
      </c>
      <c r="C8740" t="inlineStr">
        <is>
          <t>Hi friends,  
I have Type 1 diabetes and have been using an Accu-chek Spirit for over 10 years now I think, and it has really helped me. I used to have seizures at night because of hipos and thanks to the pump, it has never again happened to me.  
But on the last few months I started noticing many of my infusion sites were lasting only a day or two before my blood levels would spike. On the last few days it has turned much worse, with most of my tries apparently never even being "right" to begin with. I have done this for so long and it seems quite improbable to me that I'd miss so much in a row, I believe it's over 8 tries now, with all of them being bad. I decided to, while I keep trying, use a normal pen to keep my blood levels down - otherwise my sugar levels would be over 400 for the last day or two.  
This is stressing the shit out of me, specially since I am suspected to have the coronavirus and high blood levels fuck up the immune system. I don't know what to do anymore, going back to Lantus is not an option cause I live alone and if I get a seizure at night I'm fucked, but not being able to control my blood levels is also terrible. To make matters even worse I recently moved and do not have an endocrinologist following me up yet. Could it be I developed some kind of resistance to the pump's infusion set? Does anyone have similar experiences and could shine some light into what I should do?</t>
        </is>
      </c>
      <c r="D8740" t="n">
        <v>1</v>
      </c>
      <c r="E8740" t="n">
        <v>8</v>
      </c>
      <c r="F8740">
        <f>HYPERLINK("https://www.reddit.com/r/diabetes/comments/fkmtzh/insulin_pump_simply_not_working_anymore_and_i/")</f>
        <v/>
      </c>
      <c r="G8740" t="inlineStr">
        <is>
          <t>2020-03-18 02:29:11</t>
        </is>
      </c>
      <c r="H8740" t="inlineStr">
        <is>
          <t>Type 1</t>
        </is>
      </c>
    </row>
    <row r="8741">
      <c r="A8741" t="inlineStr">
        <is>
          <t>fkpb8r</t>
        </is>
      </c>
      <c r="B8741" t="inlineStr">
        <is>
          <t>Does Stress/Anxiety Increase Blood Sugar?</t>
        </is>
      </c>
      <c r="C8741" t="inlineStr">
        <is>
          <t>For the past few weeks, my blood sugar has been 20-30 points higher than usual.  Obviously everyone is stressing about what's going on in the world today.  Do I just need to get a better handle on my stress/anxiety?  I was diagnosed as T2 about a year ago so I'm still learning my way through things.  Hard to tell if my diabetes is getting worse or if this is just a stress thing.  Anyone else having similar issues?</t>
        </is>
      </c>
      <c r="D8741" t="n">
        <v>1</v>
      </c>
      <c r="E8741" t="n">
        <v>8</v>
      </c>
      <c r="F8741">
        <f>HYPERLINK("https://www.reddit.com/r/diabetes/comments/fkpb8r/does_stressanxiety_increase_blood_sugar/")</f>
        <v/>
      </c>
      <c r="G8741" t="inlineStr">
        <is>
          <t>2020-03-18 06:13:01</t>
        </is>
      </c>
      <c r="H8741" t="inlineStr">
        <is>
          <t>Type 2</t>
        </is>
      </c>
    </row>
    <row r="8742">
      <c r="A8742" t="inlineStr">
        <is>
          <t>fksit8</t>
        </is>
      </c>
      <c r="B8742" t="inlineStr">
        <is>
          <t>Pregnant and diabetic</t>
        </is>
      </c>
      <c r="C8742" t="inlineStr">
        <is>
          <t>Hello all I found out I was type 2 in november I got pregnant in January my A1C was a 9.6 then a 6.6 now it's a 5.6!!! I'm on slow release metformin and trying to get my numbers to meet the requirements!!! The dr said if I wasnt pregnant my diabetes would be amazing right now!! But because I'm pregnant she thinks insulin will be a good choice for me.. I'm only about 12 weeks in and she said it would just be for the pregnancy assuming I can keep my A1c down and a workout going and eating right!!! I'm so proud of myself but also terrfied of the thought of insulin and giving myself a shot!! I'll know friday if I need the insulin or not!!! Heres hoping!!!</t>
        </is>
      </c>
      <c r="D8742" t="n">
        <v>1</v>
      </c>
      <c r="E8742" t="n">
        <v>3</v>
      </c>
      <c r="F8742">
        <f>HYPERLINK("https://www.reddit.com/r/diabetes/comments/fksit8/pregnant_and_diabetic/")</f>
        <v/>
      </c>
      <c r="G8742" t="inlineStr">
        <is>
          <t>2020-03-18 09:39:03</t>
        </is>
      </c>
      <c r="H8742" t="inlineStr">
        <is>
          <t>Type 2</t>
        </is>
      </c>
    </row>
    <row r="8743">
      <c r="A8743" t="inlineStr">
        <is>
          <t>fkuj41</t>
        </is>
      </c>
      <c r="B8743" t="inlineStr">
        <is>
          <t>Does anyone else absolutely not want to eat when you are borderline low?</t>
        </is>
      </c>
      <c r="C8743" t="inlineStr">
        <is>
          <t>I'm a non-insulin dependant T2.  I've had a few cases, like now, when I'm in the mid to low 70s and I'm not hungry or feel like eating at all.  I'm just wondering if that's common?</t>
        </is>
      </c>
      <c r="D8743" t="n">
        <v>1</v>
      </c>
      <c r="E8743" t="n">
        <v>4</v>
      </c>
      <c r="F8743">
        <f>HYPERLINK("https://www.reddit.com/r/diabetes/comments/fkuj41/does_anyone_else_absolutely_not_want_to_eat_when/")</f>
        <v/>
      </c>
      <c r="G8743" t="inlineStr">
        <is>
          <t>2020-03-18 11:33:06</t>
        </is>
      </c>
      <c r="H8743" t="inlineStr">
        <is>
          <t>Type 2</t>
        </is>
      </c>
    </row>
    <row r="8744">
      <c r="A8744" t="inlineStr">
        <is>
          <t>fl2foq</t>
        </is>
      </c>
      <c r="B8744" t="inlineStr">
        <is>
          <t>So Frustrated!</t>
        </is>
      </c>
      <c r="C8744" t="inlineStr">
        <is>
          <t>I am so frustrated!  We have only one Endo in our town, and it seems that all of the old people/t2 go and see her, making it hard for us t1's to get much needed appointments.  Anyone else have this issue?  Shouldn't these people go and see their GP's instead?  They don't use insulin, they just have to take a pill and that's it, they have it easy, we don't.  Its not my fault that my pancreas doesn't work, all they need to do is watch their diet.</t>
        </is>
      </c>
      <c r="D8744" t="n">
        <v>2</v>
      </c>
      <c r="E8744" t="n">
        <v>13</v>
      </c>
      <c r="F8744">
        <f>HYPERLINK("https://www.reddit.com/r/diabetes/comments/fl2foq/so_frustrated/")</f>
        <v/>
      </c>
      <c r="G8744" t="inlineStr">
        <is>
          <t>2020-03-18 19:40:08</t>
        </is>
      </c>
      <c r="H8744" t="inlineStr">
        <is>
          <t>Type 1</t>
        </is>
      </c>
    </row>
    <row r="8745">
      <c r="A8745" t="inlineStr">
        <is>
          <t>fl6uce</t>
        </is>
      </c>
      <c r="B8745" t="inlineStr">
        <is>
          <t>Is my mum talking absolute crap?</t>
        </is>
      </c>
      <c r="C8745" t="inlineStr">
        <is>
          <t>She basically said on the radio (bbc I think) they were saying how it’s possible getting diagnosed with diabetes at a later age means you have a lesser version of it? Like my diabetes is not as bad as I was diagnosed at 15 compared to this girl who I know who got it when she was 3? I tried googling it and can’t find anything about it anywhere.</t>
        </is>
      </c>
      <c r="D8745" t="n">
        <v>1</v>
      </c>
      <c r="E8745" t="n">
        <v>12</v>
      </c>
      <c r="F8745">
        <f>HYPERLINK("https://www.reddit.com/r/diabetes/comments/fl6uce/is_my_mum_talking_absolute_crap/")</f>
        <v/>
      </c>
      <c r="G8745" t="inlineStr">
        <is>
          <t>2020-03-19 01:51:55</t>
        </is>
      </c>
      <c r="H8745" t="inlineStr">
        <is>
          <t>Type 1</t>
        </is>
      </c>
    </row>
    <row r="8746">
      <c r="A8746" t="inlineStr">
        <is>
          <t>flhl77</t>
        </is>
      </c>
      <c r="B8746" t="inlineStr">
        <is>
          <t>Should i use spike app?</t>
        </is>
      </c>
      <c r="C8746" t="inlineStr">
        <is>
          <t>I am getting a dexcom g6 soon and i have read about spike app where i dont have to wait for 2 hour warmup and it predicts 4 hours in the future. Is it more accurate than the dexcom app or otherwise better?
And can i use the dexcom app at the same time?</t>
        </is>
      </c>
      <c r="D8746" t="n">
        <v>1</v>
      </c>
      <c r="E8746" t="n">
        <v>5</v>
      </c>
      <c r="F8746">
        <f>HYPERLINK("https://www.reddit.com/r/diabetes/comments/flhl77/should_i_use_spike_app/")</f>
        <v/>
      </c>
      <c r="G8746" t="inlineStr">
        <is>
          <t>2020-03-19 13:52:33</t>
        </is>
      </c>
      <c r="H8746" t="inlineStr">
        <is>
          <t>Type 1</t>
        </is>
      </c>
    </row>
    <row r="8747">
      <c r="A8747" t="inlineStr">
        <is>
          <t>flk9y2</t>
        </is>
      </c>
      <c r="B8747" t="inlineStr">
        <is>
          <t>Newly diagnosed T2 - feeling.... excited?</t>
        </is>
      </c>
      <c r="C8747" t="inlineStr">
        <is>
          <t>I put off getting blood work for way too long, and had the feeling I was diabetic for a few years now. I am glad I am now diagnosed T2 as of yesterday. I was in need of a major lifestyle change when it came to my eating, drinking and exercise. Nothing was motivating me to make a change, but this definitely will. 
At least in this moment I am excited to kick this in the butt and get healthy. I know it is going to be a tough journey with a lot of sacrifices. I am going to miss my copious amounts of red wine and carbs!! 
Picked up a OneTouch Verio Reflect and just took my first Metformin 500MG twice daily. 
Here we go....this is my life now!</t>
        </is>
      </c>
      <c r="D8747" t="n">
        <v>1</v>
      </c>
      <c r="E8747" t="n">
        <v>10</v>
      </c>
      <c r="F8747">
        <f>HYPERLINK("https://www.reddit.com/r/diabetes/comments/flk9y2/newly_diagnosed_t2_feeling_excited/")</f>
        <v/>
      </c>
      <c r="G8747" t="inlineStr">
        <is>
          <t>2020-03-19 16:31:03</t>
        </is>
      </c>
      <c r="H8747" t="inlineStr">
        <is>
          <t>Type 2</t>
        </is>
      </c>
    </row>
    <row r="8748">
      <c r="A8748" t="inlineStr">
        <is>
          <t>flo5fz</t>
        </is>
      </c>
      <c r="B8748" t="inlineStr">
        <is>
          <t>Lipohypertrophy</t>
        </is>
      </c>
      <c r="C8748" t="inlineStr">
        <is>
          <t>I’ve been reading online about lipohypertrophy  and what it is and how to get rid of it. I’ve read that by avoiding injection site it could take up to 6 months or a full year to see improvements. I was wondering if anyone else has had experience with this and has seen improvements in the lumps reducing? Thank you :)</t>
        </is>
      </c>
      <c r="D8748" t="n">
        <v>1</v>
      </c>
      <c r="E8748" t="n">
        <v>1</v>
      </c>
      <c r="F8748">
        <f>HYPERLINK("https://www.reddit.com/r/diabetes/comments/flo5fz/lipohypertrophy/")</f>
        <v/>
      </c>
      <c r="G8748" t="inlineStr">
        <is>
          <t>2020-03-19 20:47:01</t>
        </is>
      </c>
      <c r="H8748" t="inlineStr">
        <is>
          <t>Type 1</t>
        </is>
      </c>
    </row>
    <row r="8749">
      <c r="A8749" t="inlineStr">
        <is>
          <t>flqj2u</t>
        </is>
      </c>
      <c r="B8749" t="inlineStr">
        <is>
          <t>Hello again! T2 Diabetic Advice?</t>
        </is>
      </c>
      <c r="C8749" t="inlineStr">
        <is>
          <t>I’d like to know what you think is a must for a Type 2 Diabetic to be aware of? Specifically, which doctors should I regularly be seeing? I really feel like I have a lot of anxiety around what I should be doing/who I should be seeing as a diabetic even though I have been diabetic for 10-11 years so far. I’ve also been having on and off chest pains, but I’m only 23 so I’m wondering if I should go see a heart doctor to check on the health of my heart. I’m female, if that makes any difference. Recommendations please!</t>
        </is>
      </c>
      <c r="D8749" t="n">
        <v>1</v>
      </c>
      <c r="E8749" t="n">
        <v>7</v>
      </c>
      <c r="F8749">
        <f>HYPERLINK("https://www.reddit.com/r/diabetes/comments/flqj2u/hello_again_t2_diabetic_advice/")</f>
        <v/>
      </c>
      <c r="G8749" t="inlineStr">
        <is>
          <t>2020-03-19 23:57:18</t>
        </is>
      </c>
      <c r="H8749" t="inlineStr">
        <is>
          <t>Type 2</t>
        </is>
      </c>
    </row>
    <row r="8750">
      <c r="A8750" t="inlineStr">
        <is>
          <t>flqpku</t>
        </is>
      </c>
      <c r="B8750" t="inlineStr">
        <is>
          <t>Can antibiotics lower bgl?</t>
        </is>
      </c>
      <c r="C8750" t="inlineStr">
        <is>
          <t>The last month or so my bgl has been high, for no discernable reason for the spike, and I've also been low key sick. This week I finally went to a doctor (my mom was worried I had caught COVID-19 since we know I was exposed) and the doctor wasn't sure what the problem was but he ruled out a few things and prescribed a round of antibiotics to catch anything not immediately noticable. 
2 days in to my 5 day round of antibiotics my breathing was easier, cough basically gone but, most importantly, since then my bgl has dropped to a range of 90-120 throughout the day.
Could the antibiotics have something to do with this or is it just coincidence?</t>
        </is>
      </c>
      <c r="D8750" t="n">
        <v>1</v>
      </c>
      <c r="E8750" t="n">
        <v>3</v>
      </c>
      <c r="F8750">
        <f>HYPERLINK("https://www.reddit.com/r/diabetes/comments/flqpku/can_antibiotics_lower_bgl/")</f>
        <v/>
      </c>
      <c r="G8750" t="inlineStr">
        <is>
          <t>2020-03-20 00:12:14</t>
        </is>
      </c>
      <c r="H8750" t="inlineStr">
        <is>
          <t>Type 2</t>
        </is>
      </c>
    </row>
    <row r="8751">
      <c r="A8751" t="inlineStr">
        <is>
          <t>flrtap</t>
        </is>
      </c>
      <c r="B8751" t="inlineStr">
        <is>
          <t>Erectile.... Problem?</t>
        </is>
      </c>
      <c r="C8751" t="inlineStr">
        <is>
          <t>I don't get high blood sugars as often since I've moved from finger pricking to cgm, but I've been noticing very hard erections whenever I get rising/ above normal (not high) blood sugar.
I began noticing this when I would wake up in the middle of the night with very hard erections. I would naturally check my glucose levels with my phone and It would be above normal. 
Lately I've used this very hard erection as a sign that my body is telling me that my glucose is higher than normal blood and it's quite often accurate. I feel like this indicator occurs even before I would feel any other signals of rising blood sugar. 
I'm not complaining and neither is my girlfriend, but I was wondering if any other type ones experience this and can provide insight as to why this happens.</t>
        </is>
      </c>
      <c r="D8751" t="n">
        <v>1</v>
      </c>
      <c r="E8751" t="n">
        <v>8</v>
      </c>
      <c r="F8751">
        <f>HYPERLINK("https://www.reddit.com/r/diabetes/comments/flrtap/erectile_problem/")</f>
        <v/>
      </c>
      <c r="G8751" t="inlineStr">
        <is>
          <t>2020-03-20 01:56:45</t>
        </is>
      </c>
      <c r="H8751" t="inlineStr">
        <is>
          <t>Type 1</t>
        </is>
      </c>
    </row>
    <row r="8752">
      <c r="A8752" t="inlineStr">
        <is>
          <t>flsgxw</t>
        </is>
      </c>
      <c r="B8752" t="inlineStr">
        <is>
          <t>Coronavirus, sick leave.</t>
        </is>
      </c>
      <c r="C8752" t="inlineStr">
        <is>
          <t>Tl;dr: Anywhere I can site to get sick leave for 12 weeks?
So I'm a type 1 diabetic in the UK, I work in a warehouse where social distancing isn't really possible. Luckily so far I have not gotten ill, but people in my work have gone home with symptoms of Covid 19. I've read online that "high risk" people should practise social distancing for up to 12 weeks. Does anyone have any advice or any links that I could use to be able to explain properly my situation to my employers as, for my own safety, I feel as though I really shouldn't be in work whilst others around me are getting ill.</t>
        </is>
      </c>
      <c r="D8752" t="n">
        <v>1</v>
      </c>
      <c r="E8752" t="n">
        <v>5</v>
      </c>
      <c r="F8752">
        <f>HYPERLINK("https://www.reddit.com/r/diabetes/comments/flsgxw/coronavirus_sick_leave/")</f>
        <v/>
      </c>
      <c r="G8752" t="inlineStr">
        <is>
          <t>2020-03-20 02:59:34</t>
        </is>
      </c>
      <c r="H8752" t="inlineStr">
        <is>
          <t>Type 1</t>
        </is>
      </c>
    </row>
    <row r="8753">
      <c r="A8753" t="inlineStr">
        <is>
          <t>flwd71</t>
        </is>
      </c>
      <c r="B8753" t="inlineStr">
        <is>
          <t>I've just got a sensor</t>
        </is>
      </c>
      <c r="C8753" t="inlineStr">
        <is>
          <t>I'm from the UK, and for years I haven't be able to get a sensor as I didn't fit the NHS strict guidelines (which involves poor sugar control, bad hba1cs, no hypo awareness.) Which I'm fine about as people who need it should get it before I do. 
Today I've finally got one and i'm so fucking excited because its life changing already. I've taken 4 blood sugars within the past 2 hours. Nobody else at home really understands how much better this will make my life and I just wanted to share some excitement with people who get it.
The NHS will fund it after a while too as i'm choosing to self fund for the first few months. I never wanted my parents to pay for such an expensive device and I've only recently started working full time. 
God bless our National Health Service.</t>
        </is>
      </c>
      <c r="D8753" t="n">
        <v>1</v>
      </c>
      <c r="E8753" t="n">
        <v>19</v>
      </c>
      <c r="F8753">
        <f>HYPERLINK("https://www.reddit.com/r/diabetes/comments/flwd71/ive_just_got_a_sensor/")</f>
        <v/>
      </c>
      <c r="G8753" t="inlineStr">
        <is>
          <t>2020-03-20 07:57:44</t>
        </is>
      </c>
      <c r="H8753" t="inlineStr">
        <is>
          <t>Type 1</t>
        </is>
      </c>
    </row>
    <row r="8754">
      <c r="A8754" t="inlineStr">
        <is>
          <t>flxit5</t>
        </is>
      </c>
      <c r="B8754" t="inlineStr">
        <is>
          <t>accu-chek guide and contour next</t>
        </is>
      </c>
      <c r="C8754" t="inlineStr">
        <is>
          <t>I have half a container of accu-chek guide and like 15 contour next if anyone uses them. 
Send me a message with your address and ill mail them to you. I know its not a lot, but if you need them lmk.</t>
        </is>
      </c>
      <c r="D8754" t="n">
        <v>1</v>
      </c>
      <c r="E8754" t="n">
        <v>0</v>
      </c>
      <c r="F8754">
        <f>HYPERLINK("https://www.reddit.com/r/diabetes/comments/flxit5/accuchek_guide_and_contour_next/")</f>
        <v/>
      </c>
      <c r="G8754" t="inlineStr">
        <is>
          <t>2020-03-20 09:06:07</t>
        </is>
      </c>
      <c r="H8754" t="inlineStr">
        <is>
          <t>Type 1</t>
        </is>
      </c>
    </row>
    <row r="8755">
      <c r="A8755" t="inlineStr">
        <is>
          <t>fm0l0b</t>
        </is>
      </c>
      <c r="B8755" t="inlineStr">
        <is>
          <t>Any advice for allergies?</t>
        </is>
      </c>
      <c r="C8755" t="inlineStr">
        <is>
          <t>I have an appointment with my dr and endo soon and plan to ask them about allergies medication, but anyone have any suggestions that can help with allergies. I sometimes take claritin D, only when my allergies get pretty serious (coughing, sneezing 1000x, itchy watery red eyes, stuffy runny nose, itchy skin, wheezing) we also got 2 new rescue dogs that I'm not used so my allergies have been getting out of wack. The claritin D spikes my bg a couple hours after taking it so I don't like to take it unless I am absolutely miserable. Of course I correct to bring my bg down cause I want to keep my bg levels in range at all times especially with everything going around, after I correct my bg levels are like normal for me for the rest of the day it's just that one spike. So if anyone has any suggestions I can try so I don't have to take allergy medicine as much it be greatly appreciated lol 😄</t>
        </is>
      </c>
      <c r="D8755" t="n">
        <v>1</v>
      </c>
      <c r="E8755" t="n">
        <v>11</v>
      </c>
      <c r="F8755">
        <f>HYPERLINK("https://www.reddit.com/r/diabetes/comments/fm0l0b/any_advice_for_allergies/")</f>
        <v/>
      </c>
      <c r="G8755" t="inlineStr">
        <is>
          <t>2020-03-20 12:00:30</t>
        </is>
      </c>
      <c r="H8755" t="inlineStr">
        <is>
          <t>Type 1</t>
        </is>
      </c>
    </row>
    <row r="8756">
      <c r="A8756" t="inlineStr">
        <is>
          <t>fm0n48</t>
        </is>
      </c>
      <c r="B8756" t="inlineStr">
        <is>
          <t>Using diabetes to your advantage in situations?</t>
        </is>
      </c>
      <c r="C8756" t="inlineStr">
        <is>
          <t>Hello, please do not judge me but I want to see what others have done. Has anyone ever used diabetes to help them out in a situation or get them out of trouble or something to that effect? For an example, when I was in junior high I was not a good student. So on days I didn’t do my homework in a specific class I would go to the nurses office with a “low” blood sugar and miss the class so I didn’t have to turn in my homework. I would be curious to know what other situations people have done something similar. Again, please do not judge.</t>
        </is>
      </c>
      <c r="D8756" t="n">
        <v>1</v>
      </c>
      <c r="E8756" t="n">
        <v>12</v>
      </c>
      <c r="F8756">
        <f>HYPERLINK("https://www.reddit.com/r/diabetes/comments/fm0n48/using_diabetes_to_your_advantage_in_situations/")</f>
        <v/>
      </c>
      <c r="G8756" t="inlineStr">
        <is>
          <t>2020-03-20 12:03:35</t>
        </is>
      </c>
      <c r="H8756" t="inlineStr">
        <is>
          <t>Type 1</t>
        </is>
      </c>
    </row>
    <row r="8757">
      <c r="A8757" t="inlineStr">
        <is>
          <t>fm155f</t>
        </is>
      </c>
      <c r="B8757" t="inlineStr">
        <is>
          <t>New to Tandem and Dexcon G6- been having some issues</t>
        </is>
      </c>
      <c r="C8757" t="inlineStr">
        <is>
          <t>I received a t:slim X2 pump and a Dexcom G6 (wohoo!) roughly 3 weeks ago after being on a Minimed and have never been on a CGM before. I'm on day 6 of my Dexcom sensor and have been going well but today the discrepancy between the sensor readings and my actual blood sugar levels are roughly 40 +/- points. I keep calibrating as much as I can but the sensor readings just can't seem to match up. Does this typically mean the sensor in use needs to be changed? Does this point to a more serious hardware issue?</t>
        </is>
      </c>
      <c r="D8757" t="n">
        <v>1</v>
      </c>
      <c r="E8757" t="n">
        <v>0</v>
      </c>
      <c r="F8757">
        <f>HYPERLINK("https://www.reddit.com/r/diabetes/comments/fm155f/new_to_tandem_and_dexcon_g6_been_having_some/")</f>
        <v/>
      </c>
      <c r="G8757" t="inlineStr">
        <is>
          <t>2020-03-20 12:32:14</t>
        </is>
      </c>
      <c r="H8757" t="inlineStr">
        <is>
          <t>Type 1</t>
        </is>
      </c>
    </row>
    <row r="8758">
      <c r="A8758" t="inlineStr">
        <is>
          <t>fm1nl1</t>
        </is>
      </c>
      <c r="B8758" t="inlineStr">
        <is>
          <t>What diabetes supplier do you use? I have Anthem Blue Cross Blue Shield and I’m trying to figure out where to get my stuff from.</t>
        </is>
      </c>
      <c r="C8758" t="inlineStr">
        <is>
          <t>Any help is appreciated. Thanks!</t>
        </is>
      </c>
      <c r="D8758" t="n">
        <v>1</v>
      </c>
      <c r="E8758" t="n">
        <v>12</v>
      </c>
      <c r="F8758">
        <f>HYPERLINK("https://www.reddit.com/r/diabetes/comments/fm1nl1/what_diabetes_supplier_do_you_use_i_have_anthem/")</f>
        <v/>
      </c>
      <c r="G8758" t="inlineStr">
        <is>
          <t>2020-03-20 13:01:48</t>
        </is>
      </c>
      <c r="H8758" t="inlineStr">
        <is>
          <t>Type 1</t>
        </is>
      </c>
    </row>
    <row r="8759">
      <c r="A8759" t="inlineStr">
        <is>
          <t>fm4s2o</t>
        </is>
      </c>
      <c r="B8759" t="inlineStr">
        <is>
          <t>Xdrip / Dexcom G5 calibration - sudden high spikes?</t>
        </is>
      </c>
      <c r="C8759" t="inlineStr">
        <is>
          <t>Hi everyone, 
I just recently started using Dexcom g5 with xdrip. Everything seems to go well and seems to be fairly close to actual  blood sugar. Sometimes I add my number from the finger stick and after about 5 or 10 minutes, the xdrip curve will match it.
I have calibrated it a few times too, and I've been very level but suddenly last night, it shows  that I bounced from low 100s to suddenly 200 around 2am, back down and again to 244 mg/dl around 4 am.
I didn't wake up and have normal levels this morning, so I am wondering how accurate this data may be?
I have my Dexcom on my arm, I may be sleeping on it- would that have any effects?
I'm still in honeymoon phase, I didn't eat a ton of carbs before bed or anything.
Any advice would be greatly appreciated.</t>
        </is>
      </c>
      <c r="D8759" t="n">
        <v>1</v>
      </c>
      <c r="E8759" t="n">
        <v>2</v>
      </c>
      <c r="F8759">
        <f>HYPERLINK("https://www.reddit.com/r/diabetes/comments/fm4s2o/xdrip_dexcom_g5_calibration_sudden_high_spikes/")</f>
        <v/>
      </c>
      <c r="G8759" t="inlineStr">
        <is>
          <t>2020-03-20 16:09:05</t>
        </is>
      </c>
      <c r="H8759" t="inlineStr">
        <is>
          <t>Type 1.5/LADA</t>
        </is>
      </c>
    </row>
    <row r="8760">
      <c r="A8760" t="inlineStr">
        <is>
          <t>fm4zu1</t>
        </is>
      </c>
      <c r="B8760" t="inlineStr">
        <is>
          <t>Can we reverse the Type-2 Diabetes?</t>
        </is>
      </c>
      <c r="C8760" t="inlineStr">
        <is>
          <t>Check out my latest article. 
\#CanWeReverseType2Diabetes 
\#WEightLoss #LIfestylechanges</t>
        </is>
      </c>
      <c r="D8760" t="n">
        <v>1</v>
      </c>
      <c r="E8760" t="n">
        <v>2</v>
      </c>
      <c r="F8760">
        <f>HYPERLINK("https://www.reddit.com/r/diabetes/comments/fm4zu1/can_we_reverse_the_type2_diabetes/")</f>
        <v/>
      </c>
      <c r="G8760" t="inlineStr">
        <is>
          <t>2020-03-20 16:22:18</t>
        </is>
      </c>
      <c r="H8760" t="inlineStr">
        <is>
          <t>Type 2</t>
        </is>
      </c>
    </row>
    <row r="8761">
      <c r="A8761" t="inlineStr">
        <is>
          <t>fm8kj6</t>
        </is>
      </c>
      <c r="B8761" t="inlineStr">
        <is>
          <t>New Type 2 Here</t>
        </is>
      </c>
      <c r="C8761" t="inlineStr">
        <is>
          <t>I'm on Metformin and Januvia last 2 weeks
I can't taste much... Nothing taste delicious or satisfying... And I'm trying not to over salt or over sugar my food... I just ate one Ritz cracker with cheese from my son that he was eating and taste like absolute nothing... Iegit wanted to barf.
Can you guys share with me foods that's have been satisfying to you while your taste buds were all messed up while eating healthy, fruits, dishes, breakfast, dinners whatever you can thanks.</t>
        </is>
      </c>
      <c r="D8761" t="n">
        <v>1</v>
      </c>
      <c r="E8761" t="n">
        <v>6</v>
      </c>
      <c r="F8761">
        <f>HYPERLINK("https://www.reddit.com/r/diabetes/comments/fm8kj6/new_type_2_here/")</f>
        <v/>
      </c>
      <c r="G8761" t="inlineStr">
        <is>
          <t>2020-03-20 20:27:12</t>
        </is>
      </c>
      <c r="H8761" t="inlineStr">
        <is>
          <t>Type 2</t>
        </is>
      </c>
    </row>
    <row r="8762">
      <c r="A8762" t="inlineStr">
        <is>
          <t>fmdcqg</t>
        </is>
      </c>
      <c r="B8762" t="inlineStr">
        <is>
          <t>Omnipod PDM died</t>
        </is>
      </c>
      <c r="C8762" t="inlineStr">
        <is>
          <t>I went to bolus last night about ten PM. My PDM made a beeping noise and the screen said remove pod now and call customer support. I called and the agent walked me through a pinhole reset. He asked me what was on the screen after the reset and I told him just the logo flashing. "He said that's not good" and then said it had to be replaced. He said I won't get a new PDM until Monday. I took some basalglar and had to rely on dexcom G5 over night.
 I went up to 241 and confirmed it on my Accu check meter. I took some novolog and went to sleep around 1230. I woke up this morning to 274 with a diagonal up arrow on dexcom. I checked with my meter and that said I was actually 402. This is my first failure with Omnipod after using it for almost 3 years. I never expected it could get this bad where I just can't use it all of a sudden.</t>
        </is>
      </c>
      <c r="D8762" t="n">
        <v>1</v>
      </c>
      <c r="E8762" t="n">
        <v>5</v>
      </c>
      <c r="F8762">
        <f>HYPERLINK("https://www.reddit.com/r/diabetes/comments/fmdcqg/omnipod_pdm_died/")</f>
        <v/>
      </c>
      <c r="G8762" t="inlineStr">
        <is>
          <t>2020-03-21 04:03:50</t>
        </is>
      </c>
      <c r="H8762" t="inlineStr">
        <is>
          <t>Type 1</t>
        </is>
      </c>
    </row>
    <row r="8763">
      <c r="A8763" t="inlineStr">
        <is>
          <t>fmf3ku</t>
        </is>
      </c>
      <c r="B8763" t="inlineStr">
        <is>
          <t>My transmitter died on my first day of new sensor</t>
        </is>
      </c>
      <c r="C8763" t="inlineStr">
        <is>
          <t>I really need some help here, my transmitter died on day one of new sensor and I really don't want to rip it off as I have limited g6 supplies. Is there any way I can change the transmitter for a new one? If so and if I have to stops the sensor, can I trick the system to restart on the same sensor but different transmitter?</t>
        </is>
      </c>
      <c r="D8763" t="n">
        <v>1</v>
      </c>
      <c r="E8763" t="n">
        <v>3</v>
      </c>
      <c r="F8763">
        <f>HYPERLINK("https://www.reddit.com/r/diabetes/comments/fmf3ku/my_transmitter_died_on_my_first_day_of_new_sensor/")</f>
        <v/>
      </c>
      <c r="G8763" t="inlineStr">
        <is>
          <t>2020-03-21 06:39:24</t>
        </is>
      </c>
      <c r="H8763" t="inlineStr">
        <is>
          <t>Type 1</t>
        </is>
      </c>
    </row>
    <row r="8764">
      <c r="A8764" t="inlineStr">
        <is>
          <t>fmgjwv</t>
        </is>
      </c>
      <c r="B8764" t="inlineStr">
        <is>
          <t>How much would it cost a T2 diabetic in the USA if they had no insurance?</t>
        </is>
      </c>
      <c r="C8764" t="inlineStr">
        <is>
          <t>One of my family members wants to move to the US, but has heart conditions and is a T2. 
I assume this disqualifies them from insurance? How much would it feasibly cost do you think?
Thank you.</t>
        </is>
      </c>
      <c r="D8764" t="n">
        <v>1</v>
      </c>
      <c r="E8764" t="n">
        <v>15</v>
      </c>
      <c r="F8764">
        <f>HYPERLINK("https://www.reddit.com/r/diabetes/comments/fmgjwv/how_much_would_it_cost_a_t2_diabetic_in_the_usa/")</f>
        <v/>
      </c>
      <c r="G8764" t="inlineStr">
        <is>
          <t>2020-03-21 08:21:27</t>
        </is>
      </c>
      <c r="H8764" t="inlineStr">
        <is>
          <t>Type 2</t>
        </is>
      </c>
    </row>
    <row r="8765">
      <c r="A8765" t="inlineStr">
        <is>
          <t>fmgpja</t>
        </is>
      </c>
      <c r="B8765" t="inlineStr">
        <is>
          <t>Just started insulin still high fasting.</t>
        </is>
      </c>
      <c r="C8765" t="inlineStr">
        <is>
          <t>Hello all to disclose I am 12 weeks pregnant normally a type 2 diabetic with an A1C of 5.6.. but becuase of the pregnancy my sugars need to be more controlled so I was told to take insulin at bedtime... well I get kinda worked up over having to inject myself and usually do it about 30 mins before bed but never eat anything after.. my fasting number this morning was 107.. when it should according to my endocrinologist be less than 95.. and my after breakfast is high too at 181.. but by lunch time and dinner they are very normal.. is this normal???</t>
        </is>
      </c>
      <c r="D8765" t="n">
        <v>1</v>
      </c>
      <c r="E8765" t="n">
        <v>1</v>
      </c>
      <c r="F8765">
        <f>HYPERLINK("https://www.reddit.com/r/diabetes/comments/fmgpja/just_started_insulin_still_high_fasting/")</f>
        <v/>
      </c>
      <c r="G8765" t="inlineStr">
        <is>
          <t>2020-03-21 08:31:48</t>
        </is>
      </c>
      <c r="H8765" t="inlineStr">
        <is>
          <t>Type 2</t>
        </is>
      </c>
    </row>
    <row r="8766">
      <c r="A8766" t="inlineStr">
        <is>
          <t>fmh756</t>
        </is>
      </c>
      <c r="B8766" t="inlineStr">
        <is>
          <t>What A1C should I aim for to be able to live with this disease for 70+ years?</t>
        </is>
      </c>
      <c r="C8766" t="inlineStr">
        <is>
          <t>I‘m currently usually between 5,9 and 6,3 with 7% of my readings being over 160mg/dl and 4 % below 65 according to my dexcom. Dexcom estimates by A1C at 5,7% but I don’t really believe that.
Is that good enough?</t>
        </is>
      </c>
      <c r="D8766" t="n">
        <v>1</v>
      </c>
      <c r="E8766" t="n">
        <v>6</v>
      </c>
      <c r="F8766">
        <f>HYPERLINK("https://www.reddit.com/r/diabetes/comments/fmh756/what_a1c_should_i_aim_for_to_be_able_to_live_with/")</f>
        <v/>
      </c>
      <c r="G8766" t="inlineStr">
        <is>
          <t>2020-03-21 09:03:08</t>
        </is>
      </c>
      <c r="H8766" t="inlineStr">
        <is>
          <t>Type 1</t>
        </is>
      </c>
    </row>
    <row r="8767">
      <c r="A8767" t="inlineStr">
        <is>
          <t>fmlq7z</t>
        </is>
      </c>
      <c r="B8767" t="inlineStr">
        <is>
          <t>Any tips on how to help diabetic nerve pain?</t>
        </is>
      </c>
      <c r="C8767" t="inlineStr">
        <is>
          <t>My grandmother (55) has diabetes, type two and she suffers from a lot of pain in her toes and feet. I've tried rubbing them, putting ointment on her feet,  but she still gets a great deal of pain. She takes medicine for it , but due to other meds she needs for a new issue she doesn't get the affects they used to give. Can anyone here who's had this give me some advice on how to help?</t>
        </is>
      </c>
      <c r="D8767" t="n">
        <v>1</v>
      </c>
      <c r="E8767" t="n">
        <v>6</v>
      </c>
      <c r="F8767">
        <f>HYPERLINK("https://www.reddit.com/r/diabetes/comments/fmlq7z/any_tips_on_how_to_help_diabetic_nerve_pain/")</f>
        <v/>
      </c>
      <c r="G8767" t="inlineStr">
        <is>
          <t>2020-03-21 13:25:52</t>
        </is>
      </c>
      <c r="H8767" t="inlineStr">
        <is>
          <t>Type 2</t>
        </is>
      </c>
    </row>
    <row r="8768">
      <c r="A8768" t="inlineStr">
        <is>
          <t>fmsz7t</t>
        </is>
      </c>
      <c r="B8768" t="inlineStr">
        <is>
          <t>Blogging About Social Distancing as a Diabetic</t>
        </is>
      </c>
      <c r="C8768" t="inlineStr">
        <is>
          <t>Started with a journal and now moving on to making a blog about social distancing myself. I'd make a vlog but I like being in my pajamas and not everyone at home would be comfortable with a vlog.</t>
        </is>
      </c>
      <c r="D8768" t="n">
        <v>1</v>
      </c>
      <c r="E8768" t="n">
        <v>1</v>
      </c>
      <c r="F8768">
        <f>HYPERLINK("https://www.reddit.com/r/diabetes/comments/fmsz7t/blogging_about_social_distancing_as_a_diabetic/")</f>
        <v/>
      </c>
      <c r="G8768" t="inlineStr">
        <is>
          <t>2020-03-21 20:19:24</t>
        </is>
      </c>
      <c r="H8768" t="inlineStr">
        <is>
          <t>Type 2</t>
        </is>
      </c>
    </row>
    <row r="8769">
      <c r="A8769" t="inlineStr">
        <is>
          <t>fmunft</t>
        </is>
      </c>
      <c r="B8769" t="inlineStr">
        <is>
          <t>How involved are your parents in your management?</t>
        </is>
      </c>
      <c r="C8769" t="inlineStr">
        <is>
          <t>Within the past six months, my parents have taken an increased interest in helping me manage my diabetes, due to a somewhat distant family member passing away from related complications at a young age. I know they want to help, but I'm not really sure what they can do?   
I was diagnosed 6 years ago at 22, so I was out of college and living on my own. So they've never -- really -- been involved in my management. My numbers are okay, but I'm really nervous about having them come to my appointments because I feel like I'm going to disappoint them with bad numbers. Even though I expect my A1C to go down from last time.</t>
        </is>
      </c>
      <c r="D8769" t="n">
        <v>1</v>
      </c>
      <c r="E8769" t="n">
        <v>13</v>
      </c>
      <c r="F8769">
        <f>HYPERLINK("https://www.reddit.com/r/diabetes/comments/fmunft/how_involved_are_your_parents_in_your_management/")</f>
        <v/>
      </c>
      <c r="G8769" t="inlineStr">
        <is>
          <t>2020-03-21 22:22:12</t>
        </is>
      </c>
      <c r="H8769" t="inlineStr">
        <is>
          <t>Type 1</t>
        </is>
      </c>
    </row>
    <row r="8770">
      <c r="A8770" t="inlineStr">
        <is>
          <t>fmuyz5</t>
        </is>
      </c>
      <c r="B8770" t="inlineStr">
        <is>
          <t>Diabetes and OCD</t>
        </is>
      </c>
      <c r="C8770" t="inlineStr">
        <is>
          <t>I was diagnosed as a kid with type 1 diabetes over 20 years ago. I was diagnosed with OCD over 10 years ago. When my blood sugar is low, my OCD can get kind of intense. Way more intense that ever seems to occur outside of low blood sugar incidents. Does anyone else have both of these conditions? Anyone have any insight into if perhaps my low blood sugars are putting me into bodily states of panic, that my mind is reacting to negatively in it's sugar deprived condition? If not, can someone point me in the direction of information that might be pertinent? Thanks.</t>
        </is>
      </c>
      <c r="D8770" t="n">
        <v>1</v>
      </c>
      <c r="E8770" t="n">
        <v>12</v>
      </c>
      <c r="F8770">
        <f>HYPERLINK("https://www.reddit.com/r/diabetes/comments/fmuyz5/diabetes_and_ocd/")</f>
        <v/>
      </c>
      <c r="G8770" t="inlineStr">
        <is>
          <t>2020-03-21 22:49:29</t>
        </is>
      </c>
      <c r="H8770" t="inlineStr">
        <is>
          <t>Type 1</t>
        </is>
      </c>
    </row>
    <row r="8771">
      <c r="A8771" t="inlineStr">
        <is>
          <t>fmwxam</t>
        </is>
      </c>
      <c r="B8771" t="inlineStr">
        <is>
          <t>Husband is diabetic - how can I support him?</t>
        </is>
      </c>
      <c r="C8771" t="inlineStr">
        <is>
          <t>I’ve even with my husband for 7 years. When we first started dating, I didn’t know anything about diabetes. Literally. Nothing. I never knew anyone personally that had diabetes, heard about it from others and honestly wasn’t quite sure what it even was besides “something about sugar”. 
Since being with my husband, I have learned more about it and seeing the day to day life of a diabetic. Most days, I can see the emotional and physical stress it causes him. Of course, some days are worse than others. He can have his sugars be as high as 600, and as low as 200 on a regular basis - I believe his only form of medication has been Humalog for a while now. 
Back in September of 2016, he got very sick. He went into DKA for the first time. In and out of a coma, it was absolutely terrifying to see him like this. Flash forward to now, he had just went back into DKA this past Monday. Since then, he has been discharged from the ICU and now back at home. He was diagnosed positive with Influenza B (negative for COVID-19). 
Since he has been discharged, and at home resting, they had sent in a new (OTC?) insulin to be used additionally that is a 70/30 (I honestly would like to do more research/be informed of it). Although this insulin is helping him feel better, it has been making his sugars drop to around 60-70. That’s a huge shock to us, obviously not good, and he is still trying to adjust to it. In the process he is still trying to feel better from his flu; he is quite overwhelmed and depressed. 
So, if you’ve gotten this far, my reason for this post. I am his wife. His rock, the person he can lean on. I want to do everything I can to help him as much as possible, to make living as easy as possible. I’m currently feeling like a real piece of shit for not knowing if I can do more for him. What do you, or would you, appreciate from your significant other to make the daily beets easier to cope with? What would you want your SO to know?
Additionally, if anyone has any learning material to familiarize myself more with general terms and the literal science of being a Type 1 diabetic, I would love that information.</t>
        </is>
      </c>
      <c r="D8771" t="n">
        <v>1</v>
      </c>
      <c r="E8771" t="n">
        <v>18</v>
      </c>
      <c r="F8771">
        <f>HYPERLINK("https://www.reddit.com/r/diabetes/comments/fmwxam/husband_is_diabetic_how_can_i_support_him/")</f>
        <v/>
      </c>
      <c r="G8771" t="inlineStr">
        <is>
          <t>2020-03-22 01:56:17</t>
        </is>
      </c>
      <c r="H8771" t="inlineStr">
        <is>
          <t>Type 1</t>
        </is>
      </c>
    </row>
    <row r="8772">
      <c r="A8772" t="inlineStr">
        <is>
          <t>fmz6fu</t>
        </is>
      </c>
      <c r="B8772" t="inlineStr">
        <is>
          <t>Insulin staining white clothes?</t>
        </is>
      </c>
      <c r="C8772" t="inlineStr">
        <is>
          <t>So, I have a bit of a different question. Ever since I started using my pump, I noticed that almost all of my white shirts (and some hoodies as well) have two yellow [stains](https://imgur.com/a/zwXmy1s) on the stomach area, roughly were my sites are. 
Both me and my mum have no clue what it could be other than that. Anybody have experienced anything similar? Or know how to get rid of it?</t>
        </is>
      </c>
      <c r="D8772" t="n">
        <v>1</v>
      </c>
      <c r="E8772" t="n">
        <v>2</v>
      </c>
      <c r="F8772">
        <f>HYPERLINK("https://www.reddit.com/r/diabetes/comments/fmz6fu/insulin_staining_white_clothes/")</f>
        <v/>
      </c>
      <c r="G8772" t="inlineStr">
        <is>
          <t>2020-03-22 05:27:56</t>
        </is>
      </c>
      <c r="H8772" t="inlineStr">
        <is>
          <t>Type 1</t>
        </is>
      </c>
    </row>
    <row r="8773">
      <c r="A8773" t="inlineStr">
        <is>
          <t>fn4cp2</t>
        </is>
      </c>
      <c r="B8773" t="inlineStr">
        <is>
          <t>ISO: Dexcom G6 Sensors Needed - Down to our last one</t>
        </is>
      </c>
      <c r="C8773" t="inlineStr">
        <is>
          <t>What I'm going through right now to get Ruby's Diabetes supplies:  
1. Call doctor, they prescribe insulin and diabetes glucose monitoring supplies.
2. Call supplier, they require pre-authorization and submit to insurance provider.
3. Call insurance supplier after 1 week of no response. UMR says they have not received any pre-auth. 
4. Call Supplier, they say they are waiting on UMR insurance provider.
5. Call doctor, repeat.  
Shit is broken. Each call takes hours on hold or talking to people that have zero to do with direct patient to doctor relationship. Entire healthcare system is overloaded.It's always bad (things take days that should take minutes but it's very bad right now (things take weeks that normally take days). 
Insurance company is asking me what the cost of the supplies is. HOW the F am I supposed to know?They are also asking me to fax... yes fax a request in because this is durable medical equipment... and that is handled only through fax. What is this 1999?
This communication &amp;amp; supplies breakdown was bad enough normally, but has gotten even worse under Covid-19. **We have an immediate need Dexcom G6 sensors and in the near future require a new transmitter.**</t>
        </is>
      </c>
      <c r="D8773" t="n">
        <v>1</v>
      </c>
      <c r="E8773" t="n">
        <v>10</v>
      </c>
      <c r="F8773">
        <f>HYPERLINK("https://www.reddit.com/r/diabetes/comments/fn4cp2/iso_dexcom_g6_sensors_needed_down_to_our_last_one/")</f>
        <v/>
      </c>
      <c r="G8773" t="inlineStr">
        <is>
          <t>2020-03-22 11:23:43</t>
        </is>
      </c>
      <c r="H8773" t="inlineStr">
        <is>
          <t>Type 1</t>
        </is>
      </c>
    </row>
    <row r="8774">
      <c r="A8774" t="inlineStr">
        <is>
          <t>fn5ers</t>
        </is>
      </c>
      <c r="B8774" t="inlineStr">
        <is>
          <t>Bad vial of humalog?</t>
        </is>
      </c>
      <c r="C8774" t="inlineStr">
        <is>
          <t>We got a vial from our doc. We are having trouble getting her numbers down. Example: BS was at 269 at 11am - gave her 8 units. It only brought it down to 206 at noon.  This pattern was the same yesterday. Anyone had a bad vial out there? She is type 2 taking 22 units of long-acting basalglar at night and sliding scale Humalog during the day.</t>
        </is>
      </c>
      <c r="D8774" t="n">
        <v>1</v>
      </c>
      <c r="E8774" t="n">
        <v>12</v>
      </c>
      <c r="F8774">
        <f>HYPERLINK("https://www.reddit.com/r/diabetes/comments/fn5ers/bad_vial_of_humalog/")</f>
        <v/>
      </c>
      <c r="G8774" t="inlineStr">
        <is>
          <t>2020-03-22 12:23:34</t>
        </is>
      </c>
      <c r="H8774" t="inlineStr">
        <is>
          <t>Type 2</t>
        </is>
      </c>
    </row>
    <row r="8775">
      <c r="A8775" t="inlineStr">
        <is>
          <t>fn5g22</t>
        </is>
      </c>
      <c r="B8775" t="inlineStr">
        <is>
          <t>Really really supid queston but what leads to diabetics toes falling off?</t>
        </is>
      </c>
      <c r="C8775" t="inlineStr">
        <is>
          <t>I know it happens, and I have been diabetic for about 10 years, but never learned why it happens or how likely it is to happen to me.</t>
        </is>
      </c>
      <c r="D8775" t="n">
        <v>1</v>
      </c>
      <c r="E8775" t="n">
        <v>12</v>
      </c>
      <c r="F8775">
        <f>HYPERLINK("https://www.reddit.com/r/diabetes/comments/fn5g22/really_really_supid_queston_but_what_leads_to/")</f>
        <v/>
      </c>
      <c r="G8775" t="inlineStr">
        <is>
          <t>2020-03-22 12:25:43</t>
        </is>
      </c>
      <c r="H8775" t="inlineStr">
        <is>
          <t>Type 1</t>
        </is>
      </c>
    </row>
    <row r="8776">
      <c r="A8776" t="inlineStr">
        <is>
          <t>fn5qnf</t>
        </is>
      </c>
      <c r="B8776" t="inlineStr">
        <is>
          <t>What do you think about Metamucil for lowering cholesterol and blood sugar? Any other suggestions for lowering blood sugar naturally? (type 2)</t>
        </is>
      </c>
      <c r="C8776" t="inlineStr">
        <is>
          <t>I was looking up what Metamucil does and it claims to lower blood sugar. I’m newly diagnosed, my levels are still a bit high so I’m looking for more options besides my Metformin.</t>
        </is>
      </c>
      <c r="D8776" t="n">
        <v>1</v>
      </c>
      <c r="E8776" t="n">
        <v>9</v>
      </c>
      <c r="F8776">
        <f>HYPERLINK("https://www.reddit.com/r/diabetes/comments/fn5qnf/what_do_you_think_about_metamucil_for_lowering/")</f>
        <v/>
      </c>
      <c r="G8776" t="inlineStr">
        <is>
          <t>2020-03-22 12:41:35</t>
        </is>
      </c>
      <c r="H8776" t="inlineStr">
        <is>
          <t>Type 2</t>
        </is>
      </c>
    </row>
    <row r="8777">
      <c r="A8777" t="inlineStr">
        <is>
          <t>fnc7u6</t>
        </is>
      </c>
      <c r="B8777" t="inlineStr">
        <is>
          <t>Covid 19- 62 y/o T1 healthcare worker- refusal of work? or stress leave? ontario, canada</t>
        </is>
      </c>
      <c r="C8777" t="inlineStr">
        <is>
          <t>I am here on behalf of my mother, 62 y/o breast cancer survivor with T1 diabetes she is working on the front lines as a phlebotomist at a lab.
 I am deeply concerned for her with the covid 19 risk. Over 5000 healthcare workers just in Italy and China have been infected due to the unavailability of full hazmat suits. Her work place has regular masks (they don't have enough of the n95 masks to use them all the time) they are wearing gowns, gloves and faceshields. But these measures proved insufficient in other countries. 
 She has told her boss that she doesnt feel comfortable with the high risk of her health, since she is more vulnerable than others. They refuse to put her on modified duties. And told her, the PPE they provide is sufficient. Our family and others in the healthcare really feel that she should be sent home because of her age and vulnerabilities. 
I am searching for thoughts and advice. I've asked her to see if she can take a leave of stress. But her doctor recently retired... 
so I'm interested On steps I can recommend she can take. 
Ps.This is my first Reddit post, so please bare with me!</t>
        </is>
      </c>
      <c r="D8777" t="n">
        <v>1</v>
      </c>
      <c r="E8777" t="n">
        <v>21</v>
      </c>
      <c r="F8777">
        <f>HYPERLINK("https://www.reddit.com/r/diabetes/comments/fnc7u6/covid_19_62_yo_t1_healthcare_worker_refusal_of/")</f>
        <v/>
      </c>
      <c r="G8777" t="inlineStr">
        <is>
          <t>2020-03-22 19:20:58</t>
        </is>
      </c>
      <c r="H8777" t="inlineStr">
        <is>
          <t>Type 1</t>
        </is>
      </c>
    </row>
    <row r="8778">
      <c r="A8778" t="inlineStr">
        <is>
          <t>fnck1a</t>
        </is>
      </c>
      <c r="B8778" t="inlineStr">
        <is>
          <t>Any type 1.5’s (LADA) here?</t>
        </is>
      </c>
      <c r="C8778" t="inlineStr">
        <is>
          <t>I was diagnosed with type 2 at the age of 30, about 10 years ago. I’ve pretty much been able to control it with my diet until the last 6 months when my sugars have been high - 275-350 fasting - for no conceivable reason. I saw my endrocrinologist, my A1C was 11. She started me on ozempic for 3 months with a plan to have repeat labs and see her again. I see her next week but just got my lab results - A1C is up to 11.3. In the last three months I have eaten perfectly and lost 15 pounds. I literally have done everything a diabetic should do. I can’t figure out why things are going the wrong way. I have 4 other autoimmune diseases so some research led me to LADA. I’m wondering if I was misdiagnosed and this is what I actually have.</t>
        </is>
      </c>
      <c r="D8778" t="n">
        <v>1</v>
      </c>
      <c r="E8778" t="n">
        <v>30</v>
      </c>
      <c r="F8778">
        <f>HYPERLINK("https://www.reddit.com/r/diabetes/comments/fnck1a/any_type_15s_lada_here/")</f>
        <v/>
      </c>
      <c r="G8778" t="inlineStr">
        <is>
          <t>2020-03-22 19:45:14</t>
        </is>
      </c>
      <c r="H8778" t="inlineStr">
        <is>
          <t>Type 1.5/LADA</t>
        </is>
      </c>
    </row>
    <row r="8779">
      <c r="A8779" t="inlineStr">
        <is>
          <t>fnec77</t>
        </is>
      </c>
      <c r="B8779" t="inlineStr">
        <is>
          <t>Stomach ache and queasiness and nasty nauseous feeling when sugar drops</t>
        </is>
      </c>
      <c r="C8779" t="inlineStr">
        <is>
          <t>T2 trying to get it under control but my sugars have been in the low 300s and high 200s
I get this feeling when I wake up and if I have not eaten in a while
Metformin and long and short acting insulin</t>
        </is>
      </c>
      <c r="D8779" t="n">
        <v>1</v>
      </c>
      <c r="E8779" t="n">
        <v>2</v>
      </c>
      <c r="F8779">
        <f>HYPERLINK("https://www.reddit.com/r/diabetes/comments/fnec77/stomach_ache_and_queasiness_and_nasty_nauseous/")</f>
        <v/>
      </c>
      <c r="G8779" t="inlineStr">
        <is>
          <t>2020-03-22 22:02:55</t>
        </is>
      </c>
      <c r="H8779" t="inlineStr">
        <is>
          <t>Type 2</t>
        </is>
      </c>
    </row>
    <row r="8780">
      <c r="A8780" t="inlineStr">
        <is>
          <t>fngoym</t>
        </is>
      </c>
      <c r="B8780" t="inlineStr">
        <is>
          <t>Should I be worried to go to sleep because of really low blood sugar at night?</t>
        </is>
      </c>
      <c r="C8780" t="inlineStr">
        <is>
          <t>My blood sugar has been dropping a lot this week to now I dont really feel like I'm having a low. I have been  waking  up a night in the 40s-30s even  though  my blood sugar  would  be 111-200s before bed and I still drop. I tried to tell my mom I need to adjust my basal but she won't listen. Saying that I'm being  more  active  even  though  I have been  telling her that I'm dropping way more than normal. I went through 3 bottles of glucose tabs this week. Should I tell her that? So she would listen to me?</t>
        </is>
      </c>
      <c r="D8780" t="n">
        <v>1</v>
      </c>
      <c r="E8780" t="n">
        <v>13</v>
      </c>
      <c r="F8780">
        <f>HYPERLINK("https://www.reddit.com/r/diabetes/comments/fngoym/should_i_be_worried_to_go_to_sleep_because_of/")</f>
        <v/>
      </c>
      <c r="G8780" t="inlineStr">
        <is>
          <t>2020-03-23 01:46:03</t>
        </is>
      </c>
      <c r="H8780" t="inlineStr">
        <is>
          <t>Type 1</t>
        </is>
      </c>
    </row>
    <row r="8781">
      <c r="A8781" t="inlineStr">
        <is>
          <t>fnmlpc</t>
        </is>
      </c>
      <c r="B8781" t="inlineStr">
        <is>
          <t>My Type-1 Diabetic Roommate is not taking the coronavirus seriously</t>
        </is>
      </c>
      <c r="C8781" t="inlineStr">
        <is>
          <t>My roommate who is a 22 year old male, university student does not seem to be self isolating very well and continues to go out for groceries and socializes everyday. He is even a nursing student and is considering picking up shifts at the hospital. He told me that he's fine because his A1C levels are good? I don't know what this means. Should he be more cautious? Isn't he in the autoimmune group that could be more susceptible? Any answers are appreciated.</t>
        </is>
      </c>
      <c r="D8781" t="n">
        <v>1</v>
      </c>
      <c r="E8781" t="n">
        <v>3</v>
      </c>
      <c r="F8781">
        <f>HYPERLINK("https://www.reddit.com/r/diabetes/comments/fnmlpc/my_type1_diabetic_roommate_is_not_taking_the/")</f>
        <v/>
      </c>
      <c r="G8781" t="inlineStr">
        <is>
          <t>2020-03-23 09:14:26</t>
        </is>
      </c>
      <c r="H8781" t="inlineStr">
        <is>
          <t>Type 1</t>
        </is>
      </c>
    </row>
    <row r="8782">
      <c r="A8782" t="inlineStr">
        <is>
          <t>fns6ss</t>
        </is>
      </c>
      <c r="B8782" t="inlineStr">
        <is>
          <t>Selling Brand New Dexcom G6 Receiver!</t>
        </is>
      </c>
      <c r="C8782" t="inlineStr">
        <is>
          <t>The box has never been opened.</t>
        </is>
      </c>
      <c r="D8782" t="n">
        <v>1</v>
      </c>
      <c r="E8782" t="n">
        <v>2</v>
      </c>
      <c r="F8782">
        <f>HYPERLINK("https://www.reddit.com/r/diabetes/comments/fns6ss/selling_brand_new_dexcom_g6_receiver/")</f>
        <v/>
      </c>
      <c r="G8782" t="inlineStr">
        <is>
          <t>2020-03-23 14:18:27</t>
        </is>
      </c>
      <c r="H8782" t="inlineStr">
        <is>
          <t>Type 1</t>
        </is>
      </c>
    </row>
    <row r="8783">
      <c r="A8783" t="inlineStr">
        <is>
          <t>fnsu09</t>
        </is>
      </c>
      <c r="B8783" t="inlineStr">
        <is>
          <t>Don’t know what it did, but I’ll take it.</t>
        </is>
      </c>
      <c r="C8783" t="inlineStr">
        <is>
          <t>I recently changed a particular medication for another unrelated condition. Since starting this new med a month ago I’ve dropped +/-10 lb, and my fasting bs has dropped from 6.8 to 6.0 (from 125 to about 105) - in one month, and all without any exercise at all. Literally nothing changed in my diabetes meds or activity. In fact, since having a surgery a month and a half ago, I have stopped exercise altogether.
When I started to see my fasting numbers dropping so fast I reduced my metformin dosing on my own, since Dr promised that he’d lower the dose if I got my fasting numbers below that 6.0/105 level. Just now I took a reading and it was 4.9/90. 
I sure don’t know what it did, but I will take that!!</t>
        </is>
      </c>
      <c r="D8783" t="n">
        <v>1</v>
      </c>
      <c r="E8783" t="n">
        <v>8</v>
      </c>
      <c r="F8783">
        <f>HYPERLINK("https://www.reddit.com/r/diabetes/comments/fnsu09/dont_know_what_it_did_but_ill_take_it/")</f>
        <v/>
      </c>
      <c r="G8783" t="inlineStr">
        <is>
          <t>2020-03-23 14:54:14</t>
        </is>
      </c>
      <c r="H8783" t="inlineStr">
        <is>
          <t>Type 2</t>
        </is>
      </c>
    </row>
    <row r="8784">
      <c r="A8784" t="inlineStr">
        <is>
          <t>fntlxq</t>
        </is>
      </c>
      <c r="B8784" t="inlineStr">
        <is>
          <t>I had a reaction to Libre after using for 7 mos, and now the new one itches horribly. Should I remove a week early?</t>
        </is>
      </c>
      <c r="C8784" t="inlineStr">
        <is>
          <t>As stated in my post, when I removed my previous Libre on Sunday, I had a skin reaction. The skin where the adhesive touches was red, crusty, irritated, and smelled AWFUL. 
The place the filament was looked fine, just around it where the adhesive was looked awful. 
Anyway, I put a new sensor on the other arm the next day, it bled when it went in but not since. It’s now been 6 days and it’s itchy again. There’s also bruising around the Libre site, but it doesn’t hurt. 
Should I remove the sensor a week early to see what my skin is like? Or should I wait it out and assume I’m overreacting? 
I only have 1 more sensor left after that until at least mid-April</t>
        </is>
      </c>
      <c r="D8784" t="n">
        <v>1</v>
      </c>
      <c r="E8784" t="n">
        <v>4</v>
      </c>
      <c r="F8784">
        <f>HYPERLINK("https://www.reddit.com/r/diabetes/comments/fntlxq/i_had_a_reaction_to_libre_after_using_for_7_mos/")</f>
        <v/>
      </c>
      <c r="G8784" t="inlineStr">
        <is>
          <t>2020-03-23 15:39:12</t>
        </is>
      </c>
      <c r="H8784" t="inlineStr">
        <is>
          <t>Type 2</t>
        </is>
      </c>
    </row>
    <row r="8785">
      <c r="A8785" t="inlineStr">
        <is>
          <t>fntr49</t>
        </is>
      </c>
      <c r="B8785" t="inlineStr">
        <is>
          <t>Dexcom G6 and Siri.</t>
        </is>
      </c>
      <c r="C8785" t="inlineStr">
        <is>
          <t xml:space="preserve"> Just got a Dexcom G6 that I use with an iphone. I really like it, but when I ask siri what my blood sugar is, I want it to simply say the blood sugar instead of giving me a Dexcom product branding intro in which Siri mispronounces tht company name Dexcom every time I want to hear my blood sugar. I don't want to hear siri say "Dex cuuum" says ten thousand times over the next four years. Does anyone know how to change the "Simon says" feature and get rid of it on my Iphone? There has to be a way.</t>
        </is>
      </c>
      <c r="D8785" t="n">
        <v>1</v>
      </c>
      <c r="E8785" t="n">
        <v>3</v>
      </c>
      <c r="F8785">
        <f>HYPERLINK("https://www.reddit.com/r/diabetes/comments/fntr49/dexcom_g6_and_siri/")</f>
        <v/>
      </c>
      <c r="G8785" t="inlineStr">
        <is>
          <t>2020-03-23 15:48:11</t>
        </is>
      </c>
      <c r="H8785" t="inlineStr">
        <is>
          <t>Type 1</t>
        </is>
      </c>
    </row>
    <row r="8786">
      <c r="A8786" t="inlineStr">
        <is>
          <t>fnvyvt</t>
        </is>
      </c>
      <c r="B8786" t="inlineStr">
        <is>
          <t>What happens if you take more than 3 1000mg metformin in a day?</t>
        </is>
      </c>
      <c r="C8786" t="inlineStr">
        <is>
          <t>I forgot I had 2 already today and took another but then I found my pillbox but both pills were already gone.</t>
        </is>
      </c>
      <c r="D8786" t="n">
        <v>1</v>
      </c>
      <c r="E8786" t="n">
        <v>6</v>
      </c>
      <c r="F8786">
        <f>HYPERLINK("https://www.reddit.com/r/diabetes/comments/fnvyvt/what_happens_if_you_take_more_than_3_1000mg/")</f>
        <v/>
      </c>
      <c r="G8786" t="inlineStr">
        <is>
          <t>2020-03-23 18:05:27</t>
        </is>
      </c>
      <c r="H8786" t="inlineStr">
        <is>
          <t>Type 2</t>
        </is>
      </c>
    </row>
    <row r="8787">
      <c r="A8787" t="inlineStr">
        <is>
          <t>fnxkjk</t>
        </is>
      </c>
      <c r="B8787" t="inlineStr">
        <is>
          <t>Help please ??</t>
        </is>
      </c>
      <c r="C8787" t="inlineStr">
        <is>
          <t>I have had strong diabetes symptoms for a while now I should’ve been tested earlier but I thought it was my anxiety and now I don’t know what to do any tips until then to manage blood sugar etc</t>
        </is>
      </c>
      <c r="D8787" t="n">
        <v>1</v>
      </c>
      <c r="E8787" t="n">
        <v>13</v>
      </c>
      <c r="F8787">
        <f>HYPERLINK("https://www.reddit.com/r/diabetes/comments/fnxkjk/help_please/")</f>
        <v/>
      </c>
      <c r="G8787" t="inlineStr">
        <is>
          <t>2020-03-23 19:53:14</t>
        </is>
      </c>
      <c r="H8787" t="inlineStr">
        <is>
          <t>Type 2</t>
        </is>
      </c>
    </row>
    <row r="8788">
      <c r="A8788" t="inlineStr">
        <is>
          <t>fo0kla</t>
        </is>
      </c>
      <c r="B8788" t="inlineStr">
        <is>
          <t>Newly diagnosed, I’ve been at 120-160 pretty consistently, even after eating. But if I eat any grains, it shoots up to 220-250. This is pretty bad right?</t>
        </is>
      </c>
      <c r="C8788" t="inlineStr">
        <is>
          <t>This is considered a spike right? What happens if this happens more? I usually only feel a little more sluggish and that’s it.</t>
        </is>
      </c>
      <c r="D8788" t="n">
        <v>1</v>
      </c>
      <c r="E8788" t="n">
        <v>23</v>
      </c>
      <c r="F8788">
        <f>HYPERLINK("https://www.reddit.com/r/diabetes/comments/fo0kla/newly_diagnosed_ive_been_at_120160_pretty/")</f>
        <v/>
      </c>
      <c r="G8788" t="inlineStr">
        <is>
          <t>2020-03-23 23:50:47</t>
        </is>
      </c>
      <c r="H8788" t="inlineStr">
        <is>
          <t>Type 2</t>
        </is>
      </c>
    </row>
    <row r="8789">
      <c r="A8789" t="inlineStr">
        <is>
          <t>fo2b5k</t>
        </is>
      </c>
      <c r="B8789" t="inlineStr">
        <is>
          <t>Injury</t>
        </is>
      </c>
      <c r="C8789" t="inlineStr">
        <is>
          <t>Just step on one of my sister's earrings and it started bleeding, i wipe the blood off and cleaned the wound, just my luck, i had no bandages, so I had to put a paper towel in sock, going to get disinfecting cream and bandages tommorow, my ar1 was 6.3, clinics to full to check now. Should I be worried, cause I exercise daily and watch my sugar.</t>
        </is>
      </c>
      <c r="D8789" t="n">
        <v>1</v>
      </c>
      <c r="E8789" t="n">
        <v>4</v>
      </c>
      <c r="F8789">
        <f>HYPERLINK("https://www.reddit.com/r/diabetes/comments/fo2b5k/injury/")</f>
        <v/>
      </c>
      <c r="G8789" t="inlineStr">
        <is>
          <t>2020-03-24 02:36:25</t>
        </is>
      </c>
      <c r="H8789" t="inlineStr">
        <is>
          <t>Type 2</t>
        </is>
      </c>
    </row>
    <row r="8790">
      <c r="A8790" t="inlineStr">
        <is>
          <t>fo5yqs</t>
        </is>
      </c>
      <c r="B8790" t="inlineStr">
        <is>
          <t>Low Blood Sugar in morning</t>
        </is>
      </c>
      <c r="C8790" t="inlineStr">
        <is>
          <t>My wife drinks a Glucerna (16g carbs, 10g protein) before bed to help with low blood sugar in the morning. She still has low blood sugar sometimes, and I am wondering if switching to a drink with higher protein or higher carbs would help. I know carbs will increase blood sugar immediately, but would protein, fat or calories in general be more effective overnight.</t>
        </is>
      </c>
      <c r="D8790" t="n">
        <v>1</v>
      </c>
      <c r="E8790" t="n">
        <v>4</v>
      </c>
      <c r="F8790">
        <f>HYPERLINK("https://www.reddit.com/r/diabetes/comments/fo5yqs/low_blood_sugar_in_morning/")</f>
        <v/>
      </c>
      <c r="G8790" t="inlineStr">
        <is>
          <t>2020-03-24 07:25:45</t>
        </is>
      </c>
      <c r="H8790" t="inlineStr">
        <is>
          <t>Type 2</t>
        </is>
      </c>
    </row>
    <row r="8791">
      <c r="A8791" t="inlineStr">
        <is>
          <t>fo7ffp</t>
        </is>
      </c>
      <c r="B8791" t="inlineStr">
        <is>
          <t>Help UK</t>
        </is>
      </c>
      <c r="C8791" t="inlineStr">
        <is>
          <t>I posted about this before but we've had some updates.
So it's physically impossible in my warehouse to social distance, but if I don't fall under the "shielding" protocol I won't get a letter. If I don't get a letter, I don't get paid, if I go in I'm at a higher risk of falling ill and potentially dying. What do I do? I called my GP for a doctors note, they passed me onto 111. 111 won't give me a note for longer than 7 days, and to call my GP for a longer sick line. GP aren't giving out sick lines and if I need on to call 111... anyone else getting tossed around in circles. Surely they know we are in the higher risk category but none of them want to be the one to give out the sick line to let me not risk my life and not worry about not being paid</t>
        </is>
      </c>
      <c r="D8791" t="n">
        <v>1</v>
      </c>
      <c r="E8791" t="n">
        <v>3</v>
      </c>
      <c r="F8791">
        <f>HYPERLINK("https://www.reddit.com/r/diabetes/comments/fo7ffp/help_uk/")</f>
        <v/>
      </c>
      <c r="G8791" t="inlineStr">
        <is>
          <t>2020-03-24 08:55:21</t>
        </is>
      </c>
      <c r="H8791" t="inlineStr">
        <is>
          <t>Type 1</t>
        </is>
      </c>
    </row>
    <row r="8792">
      <c r="A8792" t="inlineStr">
        <is>
          <t>fo7vl0</t>
        </is>
      </c>
      <c r="B8792" t="inlineStr">
        <is>
          <t>Full box of Autosoft XC infusion sets to someone in need</t>
        </is>
      </c>
      <c r="C8792" t="inlineStr">
        <is>
          <t>Hi everyone: I have a full box (10 sets) of Autosoft XC , 23 inch/6 mm infusion sets for use with the Tandem Tslim pump. I'd like to donate them to someone in need right now. I recently switched to the Tandem pump from Medtronic, and found that the XC types don't work for me. So I'm now using the Autosoft 30 type, and therefore have this full box of XCs that I can't use. It's too risky to go to my doctor's office to donate them there, given the virus. So I'm happy to mail this box to anyone who can use them. Message me your name and address if you would like them. I'd really like for them not to just go to waste here at my house. 
PS the box itself is open, as I opened it before I realized they would not work for me. But the individual sets inside are not. Should be a 30 day supply if you change every 3 days.</t>
        </is>
      </c>
      <c r="D8792" t="n">
        <v>1</v>
      </c>
      <c r="E8792" t="n">
        <v>0</v>
      </c>
      <c r="F8792">
        <f>HYPERLINK("https://www.reddit.com/r/diabetes/comments/fo7vl0/full_box_of_autosoft_xc_infusion_sets_to_someone/")</f>
        <v/>
      </c>
      <c r="G8792" t="inlineStr">
        <is>
          <t>2020-03-24 09:21:00</t>
        </is>
      </c>
      <c r="H8792" t="inlineStr">
        <is>
          <t>Type 1</t>
        </is>
      </c>
    </row>
    <row r="8793">
      <c r="A8793" t="inlineStr">
        <is>
          <t>foapbn</t>
        </is>
      </c>
      <c r="B8793" t="inlineStr">
        <is>
          <t>Honeymoon T1D, help with exercise, losing weight and working out</t>
        </is>
      </c>
      <c r="C8793" t="inlineStr">
        <is>
          <t>Help with exercise, losing weight and working out
Hi everyone, so I’m a T1D in my (very low insulin requirement) honeymoon period. I’m on a 1:20g ratio, 1/2 unit levemir in the morning on inactive days or none on active days. 
I am 5’11 and 200lbs. I hate my body and want to workout, lose weight and feel better about myself. The problem is I don’t know how to go about it.
I’m currently in the U.K. which is on lockdown which means no gyms are open. 
I have been on a DAFNE course in which they instructed me to try and raise my blood sugar before doing cardio so my BS doesn’t drop, but I struggle getting it too much higher without eating which defeats the object or working out to lose weight when I’m stuffing my face to get bloods at a level to workout.
I carry the majority of my weight in my belly, hips and thighs. I am incredibly weak in my upper half. It’s hard enough for people to get into shape normally, but then adding BS into it makes it even harder to find something I think is relevant to me. 
Does anyone have any websites, advice, or training programmes that worked well for them? I love routine, and I want something I can stick to that’s accessible. May be worth mentioning also I follow a pescatarian diet.
Thanks again</t>
        </is>
      </c>
      <c r="D8793" t="n">
        <v>1</v>
      </c>
      <c r="E8793" t="n">
        <v>1</v>
      </c>
      <c r="F8793">
        <f>HYPERLINK("https://www.reddit.com/r/diabetes/comments/foapbn/honeymoon_t1d_help_with_exercise_losing_weight/")</f>
        <v/>
      </c>
      <c r="G8793" t="inlineStr">
        <is>
          <t>2020-03-24 11:52:12</t>
        </is>
      </c>
      <c r="H8793" t="inlineStr">
        <is>
          <t>Type 1</t>
        </is>
      </c>
    </row>
    <row r="8794">
      <c r="A8794" t="inlineStr">
        <is>
          <t>fob2pj</t>
        </is>
      </c>
      <c r="B8794" t="inlineStr">
        <is>
          <t>I've been doing bad for days</t>
        </is>
      </c>
      <c r="C8794" t="inlineStr">
        <is>
          <t>Haven't been eating well (type 2), kinda just said "fuck it" to caring about my blood sugar, which I know is bad...I've been eating mostly banana bread, which I know already spikes my sugar bad, I just can't find it in myself to care. The banana bread has run out, so I'm hoping I'll get back on track tomorrow, but I'm just so tired. I haven't even been diabetic for that long, I'm just so worn out from it and life in general. I'm trying to be kind to myself, I haven't been perfect but I'm trying my best usually, but I know this is stupid and that i shouldn't have let myself stop caring about myself for days. Oh well, just venting I guess, I feel like I have to tell someone how awful I've been doing because my mom always seems so proud of how good I've been handling this...I'm really not...</t>
        </is>
      </c>
      <c r="D8794" t="n">
        <v>1</v>
      </c>
      <c r="E8794" t="n">
        <v>12</v>
      </c>
      <c r="F8794">
        <f>HYPERLINK("https://www.reddit.com/r/diabetes/comments/fob2pj/ive_been_doing_bad_for_days/")</f>
        <v/>
      </c>
      <c r="G8794" t="inlineStr">
        <is>
          <t>2020-03-24 12:11:29</t>
        </is>
      </c>
      <c r="H8794" t="inlineStr">
        <is>
          <t>Type 2</t>
        </is>
      </c>
    </row>
    <row r="8795">
      <c r="A8795" t="inlineStr">
        <is>
          <t>fofzp5</t>
        </is>
      </c>
      <c r="B8795" t="inlineStr">
        <is>
          <t>4 month after t1 diagnosis</t>
        </is>
      </c>
      <c r="C8795" t="inlineStr">
        <is>
          <t>My 11 year old son went to his 3 month checkup and he’s growing wonderfully and his a1c is 6.2 I was shocked and amazed because of course he has highs and lows. ❤️❤️❤️ don’t have words I worry so much about him and how I am doing caring for him educating him . We are doing this! I tend to get so discouraged so today was a win win win!!!!</t>
        </is>
      </c>
      <c r="D8795" t="n">
        <v>1</v>
      </c>
      <c r="E8795" t="n">
        <v>14</v>
      </c>
      <c r="F8795">
        <f>HYPERLINK("https://www.reddit.com/r/diabetes/comments/fofzp5/4_month_after_t1_diagnosis/")</f>
        <v/>
      </c>
      <c r="G8795" t="inlineStr">
        <is>
          <t>2020-03-24 16:46:43</t>
        </is>
      </c>
      <c r="H8795" t="inlineStr">
        <is>
          <t>Type 1</t>
        </is>
      </c>
    </row>
    <row r="8796">
      <c r="A8796" t="inlineStr">
        <is>
          <t>foh4sn</t>
        </is>
      </c>
      <c r="B8796" t="inlineStr">
        <is>
          <t>My roommate is unable to get insulin because of travel restrictions -- please help</t>
        </is>
      </c>
      <c r="C8796" t="inlineStr">
        <is>
          <t>My roommate has diabetes type 1 and is an undocumented immigrant. We live in Seattle, WA currently but he has lived in Alaska for the past five years and is a resident of that state. He booked a flight there because he has a doctor at a community clinic there who provides him with insulin for $15. Unfortunately now because of the pandemic he cannot fly to Alaska without also self-quarantining for two weeks and this is not possible for him. He needs to get insulin asap -- his previous supply will run out soon.
My question is, is there anyway for someone undocumented and uninsured to get insulin quickly and cheaply in Washington state? English is his second language and neither of us have any clue about who to talk to. Of course, if there is no cheap option we will find some way to pay, but it is important we find insulin soon.  Thank you so much for your help.</t>
        </is>
      </c>
      <c r="D8796" t="n">
        <v>1</v>
      </c>
      <c r="E8796" t="n">
        <v>25</v>
      </c>
      <c r="F8796">
        <f>HYPERLINK("https://www.reddit.com/r/diabetes/comments/foh4sn/my_roommate_is_unable_to_get_insulin_because_of/")</f>
        <v/>
      </c>
      <c r="G8796" t="inlineStr">
        <is>
          <t>2020-03-24 17:57:23</t>
        </is>
      </c>
      <c r="H8796" t="inlineStr">
        <is>
          <t>Type 1</t>
        </is>
      </c>
    </row>
    <row r="8797">
      <c r="A8797" t="inlineStr">
        <is>
          <t>fohmlu</t>
        </is>
      </c>
      <c r="B8797" t="inlineStr">
        <is>
          <t>witnessed my first hypoglycemic seizure. now have questions</t>
        </is>
      </c>
      <c r="C8797" t="inlineStr">
        <is>
          <t>My T1 girlfriend and i have been seeing each other for over a year. She had a hypo seizure, the first one I’ve witnessed and the first she’s had in 3 years, over the weekend. I was able to get her back to responsiveness with juice. She was convulsing, bit her tongue, vomited, very disoriented after coming to. 
She’s not on a pump. She does have lows, treats with juice or glucose tablets. Tests 4x/day or when she has symptoms. I’ve learned to watch for symptoms, but the only one i witnessed was she twitched slightly about a minute before the seizure.  Not as much as I’ve seen with her typical low, and very briefly. 
She lives alone, has half custody of her toddler son. We are longish distance (2 hours). We are serious, but not live together serious. She’s alone, and now working from home, most of the time. 
She doesn’t want to tell her doc about the seizures, because she can not afford to not drive. Understand this because she tests before she drives, and seizures typically take place in her sleep. She instructed me not to call an ambulance unless i can’t get her to respond for an extended period as this will likely lead to her losing her license (USA)
I’m asking questions here because she is obviously embarrassed about the seizure and me having to help her, and i don’t want to add to that. 
1. What would happen if she seized alone? What is the likely scenario? She could easily go up to 8 hours without talking to or seeing anyone. 
2. Advice for living alone with this? I asked her to keep juice boxes/glucose gel in more accessible locations so when she feels low, she can treat immediately even if she can’t get to her monitor . I asked her to let me help pay for the glucagon (she claims too expensive when i asked months ago). We both keep snacks on us, in her car, working on getting a glucometer for my house. 
3. What technology exists that isn’t terribly cost prohibitive that can monitor for this and prevent it? How, if applicable to you, were you convinced to get a pump and/or monitor? She seems avoidant of the idea. 
Appreciate all help and advice.</t>
        </is>
      </c>
      <c r="D8797" t="n">
        <v>1</v>
      </c>
      <c r="E8797" t="n">
        <v>14</v>
      </c>
      <c r="F8797">
        <f>HYPERLINK("https://www.reddit.com/r/diabetes/comments/fohmlu/witnessed_my_first_hypoglycemic_seizure_now_have/")</f>
        <v/>
      </c>
      <c r="G8797" t="inlineStr">
        <is>
          <t>2020-03-24 18:30:06</t>
        </is>
      </c>
      <c r="H8797" t="inlineStr">
        <is>
          <t>Type 1</t>
        </is>
      </c>
    </row>
    <row r="8798">
      <c r="A8798" t="inlineStr">
        <is>
          <t>foi3tv</t>
        </is>
      </c>
      <c r="B8798" t="inlineStr">
        <is>
          <t>Fake colds and false lows or something else?</t>
        </is>
      </c>
      <c r="C8798" t="inlineStr">
        <is>
          <t>Evening!
So Soliqua is turning out to be a miracle drug for me.  I'm in my target range for the first time in years, and I'm there more often than not.  Previously, regardless of drugs, insulin, or dosage, I lived at around 300 most of the time.
Which brings me to my question.  After I spend a few hours under 150, I start feeling like I'm catching a cold.  Aches, fatigue, that irritating feeling in the back of my throat.  It never goes beyond that.
I've emailed my endo asking about this, but I wanted to see if others have experienced the same thing.  Does the body continually freak out in the normal sugar range for a while when it hasn't been there in a (long) while?</t>
        </is>
      </c>
      <c r="D8798" t="n">
        <v>1</v>
      </c>
      <c r="E8798" t="n">
        <v>3</v>
      </c>
      <c r="F8798">
        <f>HYPERLINK("https://www.reddit.com/r/diabetes/comments/foi3tv/fake_colds_and_false_lows_or_something_else/")</f>
        <v/>
      </c>
      <c r="G8798" t="inlineStr">
        <is>
          <t>2020-03-24 19:02:15</t>
        </is>
      </c>
      <c r="H8798" t="inlineStr">
        <is>
          <t>Type 2</t>
        </is>
      </c>
    </row>
    <row r="8799">
      <c r="A8799" t="inlineStr">
        <is>
          <t>foj730</t>
        </is>
      </c>
      <c r="B8799" t="inlineStr">
        <is>
          <t>Best meter to use w/o insurance?</t>
        </is>
      </c>
      <c r="C8799" t="inlineStr">
        <is>
          <t>Hey there fellow diabetics! Does anyone have advice on which meter is best to use if you’re not covered by insurance? I’m currently using the Freestyle Lite but it seems like there are cheaper options. Thank you in advance and let’s keep those A1C’s nice and low.</t>
        </is>
      </c>
      <c r="D8799" t="n">
        <v>1</v>
      </c>
      <c r="E8799" t="n">
        <v>6</v>
      </c>
      <c r="F8799">
        <f>HYPERLINK("https://www.reddit.com/r/diabetes/comments/foj730/best_meter_to_use_wo_insurance/")</f>
        <v/>
      </c>
      <c r="G8799" t="inlineStr">
        <is>
          <t>2020-03-24 20:18:31</t>
        </is>
      </c>
      <c r="H8799" t="inlineStr">
        <is>
          <t>Type 1</t>
        </is>
      </c>
    </row>
    <row r="8800">
      <c r="A8800" t="inlineStr">
        <is>
          <t>folobk</t>
        </is>
      </c>
      <c r="B8800" t="inlineStr">
        <is>
          <t>How's everyone hanging in there? And a question</t>
        </is>
      </c>
      <c r="C8800" t="inlineStr">
        <is>
          <t>Evening there!
26 M here. I've been a diagnosed type 2 for about a year and a half. The past two weeks my BG hasn't gone over 300, but I had a long period where it was over 200 for quite awhile.
I guess you could say that the whole coronavirus thing had me scared straight. I'm working from home and find myself only really eating at meal times and working standing up, walking around the house when possible (I work on events so ny workload has basically been nonexistent).
That being said, I did want to know what a "safe" range for BG is as to not harm my immune system. I've been getting plenty of rest and drinking TONS of water. Again, paranoia since the daughter has daycare (only 5 or 6 kids actually there right now) and the wife works at a bank so she's out and about, but their lobby is closed.
How worried should I be? Biggest fear is not seeing my 6 year old grow up.
As for the second bit, I've loved having everyone home in the weekend and have been able to disconnect and calm my worries when we're all together. How's everyone else coping with it?</t>
        </is>
      </c>
      <c r="D8800" t="n">
        <v>1</v>
      </c>
      <c r="E8800" t="n">
        <v>2</v>
      </c>
      <c r="F8800">
        <f>HYPERLINK("https://www.reddit.com/r/diabetes/comments/folobk/hows_everyone_hanging_in_there_and_a_question/")</f>
        <v/>
      </c>
      <c r="G8800" t="inlineStr">
        <is>
          <t>2020-03-24 23:42:22</t>
        </is>
      </c>
      <c r="H8800" t="inlineStr">
        <is>
          <t>Type 2</t>
        </is>
      </c>
    </row>
    <row r="8801">
      <c r="A8801" t="inlineStr">
        <is>
          <t>fon13f</t>
        </is>
      </c>
      <c r="B8801" t="inlineStr">
        <is>
          <t>A1c Clarification Needed</t>
        </is>
      </c>
      <c r="C8801" t="inlineStr">
        <is>
          <t>Hey guys, I’m a “long time” diabetic (have had it for over 10 years now, diagnosed at 13 yo). However, due to the fact that I was 13 when I was diagnosed, I was at the age where doctors talked to me rather than just my parents. So I was informed about things like they were talking to a 5 year old. This led to me believing that having an A1c of between 6.5 and 7 was my goal A1c. When I finally switched over to an adult endo, they assumed I knew everything and helped me tighten some things up but gave no new guidance.
I just realized this last visit that when my 6.5 A1c came in that she was disappointed and said “it didn’t reflect my recent trend of lower maintained blood sugars”. So I was very confused. I see a bunch of people on this subreddit showing off their 5-5.5 A1c’s and being extremely happy. When I was educated long ago about A1c’s, these were considered scarily low and dangerous numbers. So what am I actually supposed to be aiming for in terms of A1c?!
I have been trying to step up my responsibility in managing my numbers. I am now on a CGM with Auto-mode capabilities, ensuring it’s in auto mode as often as possible, and dosing 20 minutes before I eat so that my numbers don’t spike. What A1c should I be aiming for, and what are the “bad” low areas and “bad” high areas. My sub 7 A1c goal seems to be pediatric guidance given by doctors that don’t care as much about how well you maintain your blood sugars and rather just more about making sure they don’t die in bed from going low at night.
Please advise!! And THANK YOU. You guys have already helped with so many things I was never “fully informed” on.
TL;DR - I thought &amp;lt;7 was a good A1c. Apparently it’s not. What is the goal for a 25 year old?</t>
        </is>
      </c>
      <c r="D8801" t="n">
        <v>1</v>
      </c>
      <c r="E8801" t="n">
        <v>9</v>
      </c>
      <c r="F8801">
        <f>HYPERLINK("https://www.reddit.com/r/diabetes/comments/fon13f/a1c_clarification_needed/")</f>
        <v/>
      </c>
      <c r="G8801" t="inlineStr">
        <is>
          <t>2020-03-25 01:52:25</t>
        </is>
      </c>
      <c r="H8801" t="inlineStr">
        <is>
          <t>Type 1</t>
        </is>
      </c>
    </row>
    <row r="8802">
      <c r="A8802" t="inlineStr">
        <is>
          <t>fotl7o</t>
        </is>
      </c>
      <c r="B8802" t="inlineStr">
        <is>
          <t>How do you know if you're HIGH or LOW (without testing) - physical cues?</t>
        </is>
      </c>
      <c r="C8802" t="inlineStr">
        <is>
          <t>I've noticed when I'm LOW: 
SLEEPY
NOSE STARTS RUNNING
FEEL LIKE I'M STONED
SOMETIMES ANXCIOUS , SOMETIMES TOTALLY AT PEACE
HIGH:
FEEL LIKE SHIT
ANXIOUS
TIRED</t>
        </is>
      </c>
      <c r="D8802" t="n">
        <v>1</v>
      </c>
      <c r="E8802" t="n">
        <v>13</v>
      </c>
      <c r="F8802">
        <f>HYPERLINK("https://www.reddit.com/r/diabetes/comments/fotl7o/how_do_you_know_if_youre_high_or_low_without/")</f>
        <v/>
      </c>
      <c r="G8802" t="inlineStr">
        <is>
          <t>2020-03-25 09:47:32</t>
        </is>
      </c>
      <c r="H8802" t="inlineStr">
        <is>
          <t>Type 1.5/LADA</t>
        </is>
      </c>
    </row>
    <row r="8803">
      <c r="A8803" t="inlineStr">
        <is>
          <t>fouana</t>
        </is>
      </c>
      <c r="B8803" t="inlineStr">
        <is>
          <t>Dating a diabetic???</t>
        </is>
      </c>
      <c r="C8803" t="inlineStr">
        <is>
          <t>Ok I am diabetic. I'm 27 now but I was diagnosed when I was 2 years old. Ever since, I always thought if a perfect match for a diabetic would be with someone who is also a diabetic. Idk if thats safe or not  but it sounds so perfect. I feel like the couple would understand each other at a different level. Are there any diabetic couples here? Love to hear your story :)</t>
        </is>
      </c>
      <c r="D8803" t="n">
        <v>1</v>
      </c>
      <c r="E8803" t="n">
        <v>14</v>
      </c>
      <c r="F8803">
        <f>HYPERLINK("https://www.reddit.com/r/diabetes/comments/fouana/dating_a_diabetic/")</f>
        <v/>
      </c>
      <c r="G8803" t="inlineStr">
        <is>
          <t>2020-03-25 10:26:58</t>
        </is>
      </c>
      <c r="H8803" t="inlineStr">
        <is>
          <t>Type 1</t>
        </is>
      </c>
    </row>
    <row r="8804">
      <c r="A8804" t="inlineStr">
        <is>
          <t>fozlja</t>
        </is>
      </c>
      <c r="B8804" t="inlineStr">
        <is>
          <t>Fiasp Pump Experiences</t>
        </is>
      </c>
      <c r="C8804" t="inlineStr">
        <is>
          <t>I've been using Apidra for most of my pumping diabetic life. And I've generally been pretty happy with it. However, my insurance decided they won't cover it anymore so I got switched around over to Fiasp. Doctor seems happy with the insulin, but searching online I see a lot of different experiences with it. I'm currently using a minimed 670g.
So just wondering what people's experiences are with it in the pump especially if you have been using it for a longer amount of time. 
And side question to all that, what has y'alls experience been when switching insulin brands? This will be my first big change and its does have me a little bit freaked out. 
Thanks for the advice!</t>
        </is>
      </c>
      <c r="D8804" t="n">
        <v>1</v>
      </c>
      <c r="E8804" t="n">
        <v>3</v>
      </c>
      <c r="F8804">
        <f>HYPERLINK("https://www.reddit.com/r/diabetes/comments/fozlja/fiasp_pump_experiences/")</f>
        <v/>
      </c>
      <c r="G8804" t="inlineStr">
        <is>
          <t>2020-03-25 15:23:18</t>
        </is>
      </c>
      <c r="H8804" t="inlineStr">
        <is>
          <t>Type 1</t>
        </is>
      </c>
    </row>
    <row r="8805">
      <c r="A8805" t="inlineStr">
        <is>
          <t>fp123w</t>
        </is>
      </c>
      <c r="B8805" t="inlineStr">
        <is>
          <t>Nerve Pain in Leg When Blood Sugar is Low</t>
        </is>
      </c>
      <c r="C8805" t="inlineStr">
        <is>
          <t>I’m T1 and 13 weeks pregnant. For a few weeks now I have been having excruciating pain in my right thigh whenever my sugar is below 60. Is this normal? 
Also for other moms out there - what were some weird things you went through during your pregnancy as a T1 Diabetic?!</t>
        </is>
      </c>
      <c r="D8805" t="n">
        <v>1</v>
      </c>
      <c r="E8805" t="n">
        <v>1</v>
      </c>
      <c r="F8805">
        <f>HYPERLINK("https://www.reddit.com/r/diabetes/comments/fp123w/nerve_pain_in_leg_when_blood_sugar_is_low/")</f>
        <v/>
      </c>
      <c r="G8805" t="inlineStr">
        <is>
          <t>2020-03-25 16:49:33</t>
        </is>
      </c>
      <c r="H8805" t="inlineStr">
        <is>
          <t>Type 1</t>
        </is>
      </c>
    </row>
    <row r="8806">
      <c r="A8806" t="inlineStr">
        <is>
          <t>fp15ds</t>
        </is>
      </c>
      <c r="B8806" t="inlineStr">
        <is>
          <t>Pump Leaving Lumps / Hole</t>
        </is>
      </c>
      <c r="C8806" t="inlineStr">
        <is>
          <t>I recently started using the TSlim and I’m noticing when I remove the pump insertion site when switching cartridges, I have like hard lumps where the insertion was and a small little hole. It’s leaving marks down my legs so I’m concerned to start putting them on my stomach or arms. Is this normal? Am I doing something wrong? Could this be scar tissue forming? I’m only 21 so like I’d love to not have too many marks. Furthermore, anyone know how to get rid of the scars ??</t>
        </is>
      </c>
      <c r="D8806" t="n">
        <v>1</v>
      </c>
      <c r="E8806" t="n">
        <v>3</v>
      </c>
      <c r="F8806">
        <f>HYPERLINK("https://www.reddit.com/r/diabetes/comments/fp15ds/pump_leaving_lumps_hole/")</f>
        <v/>
      </c>
      <c r="G8806" t="inlineStr">
        <is>
          <t>2020-03-25 16:54:46</t>
        </is>
      </c>
      <c r="H8806" t="inlineStr">
        <is>
          <t>Type 1</t>
        </is>
      </c>
    </row>
    <row r="8807">
      <c r="A8807" t="inlineStr">
        <is>
          <t>fp1q44</t>
        </is>
      </c>
      <c r="B8807" t="inlineStr">
        <is>
          <t>135 carbs a day?!</t>
        </is>
      </c>
      <c r="C8807" t="inlineStr">
        <is>
          <t>Since my diagnosis at the end of February, I’ve been reading as much as I can and trying to educate myself. With Metformin, more exercise, and keeping my carb intake under 80 grams a day, my BG readings are pretty steady at around 85-120. The One Drop app gives me an A1c prediction of 5.4 if I keep this trend up. That’s a 3.1 decrease from my A1c on February 27. 
Yesterday, I had my first telephone appointment with my nutritionist/diabetes educator and she wants me to be eating at least 135 a day. 35 for breakfast, 50 for lunch, and 50 for dinner. That seems like so much to me. Especially since I’m vegetarian and eating too many carbs over the last 16 years likely attributed to the development of my diabetes. 
Does this carb amount seem high to anyone else? Or is this a common/reasonable amount?</t>
        </is>
      </c>
      <c r="D8807" t="n">
        <v>1</v>
      </c>
      <c r="E8807" t="n">
        <v>20</v>
      </c>
      <c r="F8807">
        <f>HYPERLINK("https://www.reddit.com/r/diabetes/comments/fp1q44/135_carbs_a_day/")</f>
        <v/>
      </c>
      <c r="G8807" t="inlineStr">
        <is>
          <t>2020-03-25 17:30:46</t>
        </is>
      </c>
      <c r="H8807" t="inlineStr">
        <is>
          <t>Type 2</t>
        </is>
      </c>
    </row>
    <row r="8808">
      <c r="A8808" t="inlineStr">
        <is>
          <t>fp31fi</t>
        </is>
      </c>
      <c r="B8808" t="inlineStr">
        <is>
          <t>Low blood sugar all day?</t>
        </is>
      </c>
      <c r="C8808" t="inlineStr">
        <is>
          <t>My son was around 220 most of the night, and we noticed this morning that the cord on his pump had been damaged so he probably wasn’t getting enough insulin. We changed the site and gave a corrective dose which brought him down, but now he has been low the entire day. Basal IQ keeps shutting the insulin off, and even though I’ve given him a bunch of snacks for free, it didn’t seem to raise his blood sugar much at all today. Even juice barely did anything, and half an hour after giving him some and seeing little increase, he would go back down to 60 with the pump shitting off the insulin delivery again. 
We checked for keytones when he woke up and he had none, and I’ve also verified his number with a finger check a few times and all were matching his G6. 
He just has his night time snack an hour ago and I didn’t even put it in his pump, and his sugar didn’t go up at all after eating it. I’ve set his basal rate to 50% now. He went to bed saying his belly hurt, which I think might be gas but can’t know because he isn’t good at describing just how it hurts.
Any thoughts?</t>
        </is>
      </c>
      <c r="D8808" t="n">
        <v>1</v>
      </c>
      <c r="E8808" t="n">
        <v>3</v>
      </c>
      <c r="F8808">
        <f>HYPERLINK("https://www.reddit.com/r/diabetes/comments/fp31fi/low_blood_sugar_all_day/")</f>
        <v/>
      </c>
      <c r="G8808" t="inlineStr">
        <is>
          <t>2020-03-25 18:55:09</t>
        </is>
      </c>
      <c r="H8808" t="inlineStr">
        <is>
          <t>Type 1</t>
        </is>
      </c>
    </row>
    <row r="8809">
      <c r="A8809" t="inlineStr">
        <is>
          <t>fp4nwd</t>
        </is>
      </c>
      <c r="B8809" t="inlineStr">
        <is>
          <t>Humalog shipment options</t>
        </is>
      </c>
      <c r="C8809" t="inlineStr">
        <is>
          <t>I live in Portland, Oregon, and was wondering if any of you lovely people get your insulin delivered through the mail? I’m on humalog and have pretty good insurance through Cigna. I don’t want to go to the pharmacy and risk getting the Coronavirus, so I was hoping to have it delivered. Let me know what I should do. Thanks!</t>
        </is>
      </c>
      <c r="D8809" t="n">
        <v>1</v>
      </c>
      <c r="E8809" t="n">
        <v>2</v>
      </c>
      <c r="F8809">
        <f>HYPERLINK("https://www.reddit.com/r/diabetes/comments/fp4nwd/humalog_shipment_options/")</f>
        <v/>
      </c>
      <c r="G8809" t="inlineStr">
        <is>
          <t>2020-03-25 20:47:57</t>
        </is>
      </c>
      <c r="H8809" t="inlineStr">
        <is>
          <t>Type 1</t>
        </is>
      </c>
    </row>
    <row r="8810">
      <c r="A8810" t="inlineStr">
        <is>
          <t>fp6ont</t>
        </is>
      </c>
      <c r="B8810" t="inlineStr">
        <is>
          <t>Low Income/Fixed Income</t>
        </is>
      </c>
      <c r="C8810" t="inlineStr">
        <is>
          <t>What would be the best way to control Diabetes on a fixed income? I'm Type 2 Diabetic and my wife has Hypoglycemia. So it's very conflicting diets. We are on a fixed income and I have lost work due to this Covid-19 BS. We are on Disability and I was working part time to help with extra costs. My wife also has kidney issues and we both suffer from mental health. 
Any meal ideas that would help us both?</t>
        </is>
      </c>
      <c r="D8810" t="n">
        <v>1</v>
      </c>
      <c r="E8810" t="n">
        <v>3</v>
      </c>
      <c r="F8810">
        <f>HYPERLINK("https://www.reddit.com/r/diabetes/comments/fp6ont/low_incomefixed_income/")</f>
        <v/>
      </c>
      <c r="G8810" t="inlineStr">
        <is>
          <t>2020-03-25 23:32:03</t>
        </is>
      </c>
      <c r="H8810" t="inlineStr">
        <is>
          <t>Type 2</t>
        </is>
      </c>
    </row>
    <row r="8811">
      <c r="A8811" t="inlineStr">
        <is>
          <t>fp87m4</t>
        </is>
      </c>
      <c r="B8811" t="inlineStr">
        <is>
          <t>Mixing up insulin and extreme lows</t>
        </is>
      </c>
      <c r="C8811" t="inlineStr">
        <is>
          <t>Has anyone ever accidentally grabbed the wrong pen to take a night shot? Idk if this is my case but I am really suspecting I did cuz my sugar was 40 about 30 mins after taking my 47unit night shot. Demolished half the kitchen and now again, 4 hours later I'm at 37. If I gave myself that big of a regular shot what should I do? Just keep eating? I feel horrible and havent gotten any sleep.</t>
        </is>
      </c>
      <c r="D8811" t="n">
        <v>1</v>
      </c>
      <c r="E8811" t="n">
        <v>20</v>
      </c>
      <c r="F8811">
        <f>HYPERLINK("https://www.reddit.com/r/diabetes/comments/fp87m4/mixing_up_insulin_and_extreme_lows/")</f>
        <v/>
      </c>
      <c r="G8811" t="inlineStr">
        <is>
          <t>2020-03-26 01:53:47</t>
        </is>
      </c>
      <c r="H8811" t="inlineStr">
        <is>
          <t>Type 1</t>
        </is>
      </c>
    </row>
    <row r="8812">
      <c r="A8812" t="inlineStr">
        <is>
          <t>fpb2vo</t>
        </is>
      </c>
      <c r="B8812" t="inlineStr">
        <is>
          <t>Work are pushing me to come in, I don't understand the UK guidelines for self isolating</t>
        </is>
      </c>
      <c r="C8812" t="inlineStr">
        <is>
          <t>Obviously I'm diabetic (type 1) and I have asthma with a blue and brown inhaler, additionally I live with my parents and my mum has rheumatoid arthritis, putting her in the very high risk category, my job are pushing me to come into work because I am only at high risk, and I don't know what to do. I work with autistic children who spit and bite staff and I'm very worried, not just for me but for my mum. I've looked through the government website and can't find a clear answer for someone in my situation. What are my rights? Is it my decision to self isolate or not? Thank you.</t>
        </is>
      </c>
      <c r="D8812" t="n">
        <v>1</v>
      </c>
      <c r="E8812" t="n">
        <v>3</v>
      </c>
      <c r="F8812">
        <f>HYPERLINK("https://www.reddit.com/r/diabetes/comments/fpb2vo/work_are_pushing_me_to_come_in_i_dont_understand/")</f>
        <v/>
      </c>
      <c r="G8812" t="inlineStr">
        <is>
          <t>2020-03-26 05:59:55</t>
        </is>
      </c>
      <c r="H8812" t="inlineStr">
        <is>
          <t>Type 1</t>
        </is>
      </c>
    </row>
    <row r="8813">
      <c r="A8813" t="inlineStr">
        <is>
          <t>fpc8vn</t>
        </is>
      </c>
      <c r="B8813" t="inlineStr">
        <is>
          <t>Dexcom - Google pixel 4 functionality</t>
        </is>
      </c>
      <c r="C8813" t="inlineStr">
        <is>
          <t>Hey everyone, 
Long time type 1 diabetic, first time poster. I just started the Dexcom about 2 weeks ago. I was sad to find my phone doesn't link with the Dexcom (as that was one of the larger selling points for me). It isn't a hassle to use the Dexcom meter to read the Dexcom's data, but as a diabetic, I'm sure you know the hassle of bringing your insulin, needles, ect. with you everywhere you go.
Just curious if anyone has spoken to Dexcom about building a platform for the G6 app off the newer google phones.
Thanks!!!</t>
        </is>
      </c>
      <c r="D8813" t="n">
        <v>1</v>
      </c>
      <c r="E8813" t="n">
        <v>6</v>
      </c>
      <c r="F8813">
        <f>HYPERLINK("https://www.reddit.com/r/diabetes/comments/fpc8vn/dexcom_google_pixel_4_functionality/")</f>
        <v/>
      </c>
      <c r="G8813" t="inlineStr">
        <is>
          <t>2020-03-26 07:18:04</t>
        </is>
      </c>
      <c r="H8813" t="inlineStr">
        <is>
          <t>Type 1</t>
        </is>
      </c>
    </row>
    <row r="8814">
      <c r="A8814" t="inlineStr">
        <is>
          <t>fpdwcb</t>
        </is>
      </c>
      <c r="B8814" t="inlineStr">
        <is>
          <t>is it possible to force install the dexcom g6 app on an unsupported device?</t>
        </is>
      </c>
      <c r="C8814" t="inlineStr">
        <is>
          <t>i'm on android. i just think it's stupid that it's only supported on a handful of phones. i get why that probably is, but i'm honestly not worried about security risks in the slightest.</t>
        </is>
      </c>
      <c r="D8814" t="n">
        <v>1</v>
      </c>
      <c r="E8814" t="n">
        <v>6</v>
      </c>
      <c r="F8814">
        <f>HYPERLINK("https://www.reddit.com/r/diabetes/comments/fpdwcb/is_it_possible_to_force_install_the_dexcom_g6_app/")</f>
        <v/>
      </c>
      <c r="G8814" t="inlineStr">
        <is>
          <t>2020-03-26 08:54:52</t>
        </is>
      </c>
      <c r="H8814" t="inlineStr">
        <is>
          <t>Type 2</t>
        </is>
      </c>
    </row>
    <row r="8815">
      <c r="A8815" t="inlineStr">
        <is>
          <t>fpg6cu</t>
        </is>
      </c>
      <c r="B8815" t="inlineStr">
        <is>
          <t>A1C 14 to 5.5</t>
        </is>
      </c>
      <c r="C8815" t="inlineStr">
        <is>
          <t>Diagnosed in September and just got my first A1C two days ago. Get a Dexcom if you can.</t>
        </is>
      </c>
      <c r="D8815" t="n">
        <v>0</v>
      </c>
      <c r="E8815" t="n">
        <v>9</v>
      </c>
      <c r="F8815">
        <f>HYPERLINK("https://www.reddit.com/r/diabetes/comments/fpg6cu/a1c_14_to_55/")</f>
        <v/>
      </c>
      <c r="G8815" t="inlineStr">
        <is>
          <t>2020-03-26 10:56:03</t>
        </is>
      </c>
      <c r="H8815" t="inlineStr">
        <is>
          <t>Type 1</t>
        </is>
      </c>
    </row>
    <row r="8816">
      <c r="A8816" t="inlineStr">
        <is>
          <t>fphlqs</t>
        </is>
      </c>
      <c r="B8816" t="inlineStr">
        <is>
          <t>Endocrinologist Interview</t>
        </is>
      </c>
      <c r="C8816" t="inlineStr">
        <is>
          <t xml:space="preserve"> Hello, I am currently a student at the University of Arizona taking a class in Healthcare Entrepreneurship and currently doing a project on type 1 diabetes and I was wondering if any endocrinologist would be willing to do a short 7 question interview today in which you would remain completely anonymous in my paper. If you are willing to answer these questions feel free to PM me. I very much appreciate all of the help. Thank you</t>
        </is>
      </c>
      <c r="D8816" t="n">
        <v>1</v>
      </c>
      <c r="E8816" t="n">
        <v>0</v>
      </c>
      <c r="F8816">
        <f>HYPERLINK("https://www.reddit.com/r/diabetes/comments/fphlqs/endocrinologist_interview/")</f>
        <v/>
      </c>
      <c r="G8816" t="inlineStr">
        <is>
          <t>2020-03-26 12:11:34</t>
        </is>
      </c>
      <c r="H8816" t="inlineStr">
        <is>
          <t>Type 1</t>
        </is>
      </c>
    </row>
    <row r="8817">
      <c r="A8817" t="inlineStr">
        <is>
          <t>fpk8kk</t>
        </is>
      </c>
      <c r="B8817" t="inlineStr">
        <is>
          <t>Boyfriend making ignorant comments about my diabetes, feel like I’m losing my sanity</t>
        </is>
      </c>
      <c r="C8817" t="inlineStr">
        <is>
          <t>I am in a 4 month long distance relationship. I was very close friends with my boyfriend for about a year before we got together, so I am astounded by his comments. We often have arguments and if he has upset me, I try my best to calmly explain why. But he never gets the whole picture, he keeps asking the same question over and over and over again, as if I had never tried to explain anything. I am even considering whether he has some kind of communication disorder, he has also said he struggles to translate his thoughts into words.
I was very irritable and anxious, I was on the bed crying because I felt so anxious and couldn’t leave the bed even though his brother announced that dinner was ready, my boyfriend got annoyed telling me that I was being a rude guest, he left to go to the kitchen. Next thing my Dexcom says I’m 2.5 and going down, I have glucose and sent a text saying that I’m very low and to start without me. 10 minutes go by and he didn’t even come to check if I was ok. After I felt well enough, I told him that I’m upset that he read my text that I was low and didn’t even bother to come and see if I was ok, for all he knows I could’ve been on the floor having a seizure. I said that I was behaving strangely because I was low and it wasn’t my fault. I said I wanted to go home because I felt unwelcome, to which he said that me going low was my fault, and that I can pack my bags and leave by myself to go to the airport. I asked him why is he being so mean, and I  proceeded to have a panic attack because I felt unsafe. His brother came and helped calm me down, and told my boyfriend that he was too harsh on me.
He recently has said “remember to take the right amount of insulin”, which I calmly explained that it is an unhelpful question because it’s not as if I choose to not take the right amount of insulin. He proceeded to say “I don’t agree”, which made it 10x worse, and has repeatedly asked why is it offensive even though I feel I have explained about a million times. He then asked if I wanted him to agree with me in any case, which was incredibly frustrating because out of the whole time we have known each other, I have always said that I don’t expect or want people to agree or disagree with me, I just care about whether the topic is being discussed in a mature way and that everyone’s view point is taken into equal consideration. I made a lot of effort to try and explain how I manage my diabetes and how I’d like to be supported, but he, 4 months into our relationship, does not sound any better than some stranger making ignorant comments about diabetes. And this makes me very upset because I cannot imagine a future with someone who doesn’t want to make the effort to learn about my diabetes management, and therefore makes me feel unsafe around him if something bad were to happen to me. 
Nevermind about the diabetes, I feel that he often doesn’t take my feelings seriously or listens properly. I was crying and describing my past emotionally abusive relationship, and he started having a laughing fit because he heard “fart” out of “... far too ...”. I asked him to stop laughing his ass off and he just laughed even more. I was really upset.
I would write more but then it would be too long to read. I need someone that isn’t involved to give some perspective, because I feel like I am going crazy and don’t know what to think anymore. Thanks for reading.</t>
        </is>
      </c>
      <c r="D8817" t="n">
        <v>2</v>
      </c>
      <c r="E8817" t="n">
        <v>20</v>
      </c>
      <c r="F8817">
        <f>HYPERLINK("https://www.reddit.com/r/diabetes/comments/fpk8kk/boyfriend_making_ignorant_comments_about_my/")</f>
        <v/>
      </c>
      <c r="G8817" t="inlineStr">
        <is>
          <t>2020-03-26 14:37:22</t>
        </is>
      </c>
      <c r="H8817" t="inlineStr">
        <is>
          <t>Type 1</t>
        </is>
      </c>
    </row>
    <row r="8818">
      <c r="A8818" t="inlineStr">
        <is>
          <t>fpkwvp</t>
        </is>
      </c>
      <c r="B8818" t="inlineStr">
        <is>
          <t>Type 1 and birth control</t>
        </is>
      </c>
      <c r="C8818" t="inlineStr">
        <is>
          <t>Hey guys, 
I've been diagnosed with type 1 since 2003. And up to till now, I've never considered birth control. But unfortunately my surgeon found endometriosis and I might go on it. 
Anybody here is on birth control as well? Did it effect your insulin resistance? Was there weight gain because of it? 
Any info would be appreciated!</t>
        </is>
      </c>
      <c r="D8818" t="n">
        <v>1</v>
      </c>
      <c r="E8818" t="n">
        <v>8</v>
      </c>
      <c r="F8818">
        <f>HYPERLINK("https://www.reddit.com/r/diabetes/comments/fpkwvp/type_1_and_birth_control/")</f>
        <v/>
      </c>
      <c r="G8818" t="inlineStr">
        <is>
          <t>2020-03-26 15:15:14</t>
        </is>
      </c>
      <c r="H8818" t="inlineStr">
        <is>
          <t>Type 1</t>
        </is>
      </c>
    </row>
    <row r="8819">
      <c r="A8819" t="inlineStr">
        <is>
          <t>fpl0ku</t>
        </is>
      </c>
      <c r="B8819" t="inlineStr">
        <is>
          <t>Dexcom G6 Questions</t>
        </is>
      </c>
      <c r="C8819" t="inlineStr">
        <is>
          <t>So I recently got diagnosed with Type 1 and I was prescribed Dexcom G6 so I wouldn't have to prick my fingers so much (this was after 10 days of pricking my fingers to get my BS Ouch!) and so I have it on my stomach cause that's what the directions said to do, but I'm having issues where the transmitter will stop transmitting to my iphone. I read that you can put it on the back of the arm cause the stomach seems to have a lot of issues. Any other tips I can get for when I change the sensor? Does the back of the arm work better? Thank you.</t>
        </is>
      </c>
      <c r="D8819" t="n">
        <v>1</v>
      </c>
      <c r="E8819" t="n">
        <v>4</v>
      </c>
      <c r="F8819">
        <f>HYPERLINK("https://www.reddit.com/r/diabetes/comments/fpl0ku/dexcom_g6_questions/")</f>
        <v/>
      </c>
      <c r="G8819" t="inlineStr">
        <is>
          <t>2020-03-26 15:20:55</t>
        </is>
      </c>
      <c r="H8819" t="inlineStr">
        <is>
          <t>Type 1</t>
        </is>
      </c>
    </row>
    <row r="8820">
      <c r="A8820" t="inlineStr">
        <is>
          <t>fpl7k8</t>
        </is>
      </c>
      <c r="B8820" t="inlineStr">
        <is>
          <t>Looking for resources on where to get insulin when you suddenly become uninsured</t>
        </is>
      </c>
      <c r="C8820" t="inlineStr">
        <is>
          <t>I’ve never been in a situation where I’m about to run out of insulin and also just lost my insurance (thanks COVID). I’m not sure where to look or who to ask on how to get insulin since I’m over halfway done with my last bottle and can’t afford it without insurance. 
(I’ve been trying to get insulin since the beginning of the month but the pharmacy I had to use for my insurance has been jerking me around and now I’m SOL) 
Thank you in advance!</t>
        </is>
      </c>
      <c r="D8820" t="n">
        <v>1</v>
      </c>
      <c r="E8820" t="n">
        <v>15</v>
      </c>
      <c r="F8820">
        <f>HYPERLINK("https://www.reddit.com/r/diabetes/comments/fpl7k8/looking_for_resources_on_where_to_get_insulin/")</f>
        <v/>
      </c>
      <c r="G8820" t="inlineStr">
        <is>
          <t>2020-03-26 15:32:03</t>
        </is>
      </c>
      <c r="H8820" t="inlineStr">
        <is>
          <t>Type 1</t>
        </is>
      </c>
    </row>
    <row r="8821">
      <c r="A8821" t="inlineStr">
        <is>
          <t>fppcbo</t>
        </is>
      </c>
      <c r="B8821" t="inlineStr">
        <is>
          <t>8yrs T2. ICU 3 Xs, Flu =&amp;gt;DKA. ICU asked Sure T2? I demanded test from Endo. I’m T1 (T1.5 tech).</t>
        </is>
      </c>
      <c r="C8821" t="inlineStr">
        <is>
          <t>I have struggled for years switching from medication to medication which all make me sick, I’ve lost as much weight as I could, got myself down to a normal BMI was told over and over with a little more effort this will go away, be under control. But I can never get truly infringe without unpredictable and instant lows.
Plus, I’d get sick, and suddenly I would feel like I’m dying, and my organs are stressed and freaking out, pancreatitis and DKA and over and over. Sometime my sugars/A1C are in range and I’m STILL landing in ICU getting questioned on my diagnosis not even know what the difference WAS between the two!!!!
I got a lung cold last year and within a day I knew I was DKA sick again, went to the hospital and, yup, DKA. My cold turned into pneumonia which triggered keto acidosis.
While in the hospital they ended up treating me as a type 1 with sugar water even though I told them I am Type 2. Specialist came in and he just straight up told my friend that I’m probably type 1 at the time but I didn’t remember any of that. Because I was so fucking out of it. If you’ve ever been in DKA you know what I’m talking about.
Anyway, after I got out of the hospital I saw my Endo and asked and they pooh-poohed it away.
I went 3 weeks ago and insisted. My Doc asked me in a really condescending way why I thought I was T1.5. I explained my situation and she finally agreed. Our appointment this week was a 180 from my normal treatment. And alteration to my meds.
I know there’s not a huge difference in treatment but I couldn’t believe how hard it was to get tested after so many ICU/near death incidences. 
I have no idea what any of this means for me really, but I hope it helps prevent DKA in the future. Any suggestions besides keep sugars in range, check ketones and go in quickly??</t>
        </is>
      </c>
      <c r="D8821" t="n">
        <v>1</v>
      </c>
      <c r="E8821" t="n">
        <v>3</v>
      </c>
      <c r="F8821">
        <f>HYPERLINK("https://www.reddit.com/r/diabetes/comments/fppcbo/8yrs_t2_icu_3_xs_flu_dka_icu_asked_sure_t2_i/")</f>
        <v/>
      </c>
      <c r="G8821" t="inlineStr">
        <is>
          <t>2020-03-26 19:54:31</t>
        </is>
      </c>
      <c r="H8821" t="inlineStr">
        <is>
          <t>Type 1.5/LADA</t>
        </is>
      </c>
    </row>
    <row r="8822">
      <c r="A8822" t="inlineStr">
        <is>
          <t>fppdat</t>
        </is>
      </c>
      <c r="B8822" t="inlineStr">
        <is>
          <t>A poem I wrote about being low at night</t>
        </is>
      </c>
      <c r="C8822" t="inlineStr">
        <is>
          <t>There’s no feeling such as thee
Up in the middle of the night
My body shaking
My mind altered
I’m not hungry
As I force yet another hand full of Skittles
An invisible enemy
In my blood
In the machine 
So I wait
At my dining room kitchen
In this not so quiet house 
It wasn’t always like this</t>
        </is>
      </c>
      <c r="D8822" t="n">
        <v>1</v>
      </c>
      <c r="E8822" t="n">
        <v>2</v>
      </c>
      <c r="F8822">
        <f>HYPERLINK("https://www.reddit.com/r/diabetes/comments/fppdat/a_poem_i_wrote_about_being_low_at_night/")</f>
        <v/>
      </c>
      <c r="G8822" t="inlineStr">
        <is>
          <t>2020-03-26 19:56:32</t>
        </is>
      </c>
      <c r="H8822" t="inlineStr">
        <is>
          <t>Type 1</t>
        </is>
      </c>
    </row>
    <row r="8823">
      <c r="A8823" t="inlineStr">
        <is>
          <t>fpqvvl</t>
        </is>
      </c>
      <c r="B8823" t="inlineStr">
        <is>
          <t>I'm in the danger zone</t>
        </is>
      </c>
      <c r="C8823" t="inlineStr">
        <is>
          <t>This past week, I've been using a glucometer I bought off of Amazon and so far I'm averaging around 250-300. Even at fasting I hit the 200 threshold. 
I will say I haven't checked regularly since this week, but dr visits have averaged me at 150-180 in the past couple months. 
The thing that changed this week was adding rybelsus to my regimen, which I take on top of metformin. 
I have checked when I feel a drop and the glucometer reads around 180 which is odd.
Anyone have any insight on this?</t>
        </is>
      </c>
      <c r="D8823" t="n">
        <v>1</v>
      </c>
      <c r="E8823" t="n">
        <v>7</v>
      </c>
      <c r="F8823">
        <f>HYPERLINK("https://www.reddit.com/r/diabetes/comments/fpqvvl/im_in_the_danger_zone/")</f>
        <v/>
      </c>
      <c r="G8823" t="inlineStr">
        <is>
          <t>2020-03-26 21:48:16</t>
        </is>
      </c>
      <c r="H8823" t="inlineStr">
        <is>
          <t>Type 1.5/LADA</t>
        </is>
      </c>
    </row>
    <row r="8824">
      <c r="A8824" t="inlineStr">
        <is>
          <t>fpr1cv</t>
        </is>
      </c>
      <c r="B8824" t="inlineStr">
        <is>
          <t>Good diabetes snacks</t>
        </is>
      </c>
      <c r="C8824" t="inlineStr">
        <is>
          <t>Hello diabetics, I have a few great snack ideas.
1. Seaweed. Seaweed usually has extremely low carbs, has that good chip crunch, and is usually a pretty tasty snack.
2. Carrots. Carrots are big cronch, they're healthy, low carb, and orange.
•Low snacks
Some pretty cool low snacks are gummy bears, chalk tablets, apple juice, and soda. 
Alright thanks guys</t>
        </is>
      </c>
      <c r="D8824" t="n">
        <v>1</v>
      </c>
      <c r="E8824" t="n">
        <v>7</v>
      </c>
      <c r="F8824">
        <f>HYPERLINK("https://www.reddit.com/r/diabetes/comments/fpr1cv/good_diabetes_snacks/")</f>
        <v/>
      </c>
      <c r="G8824" t="inlineStr">
        <is>
          <t>2020-03-26 22:00:35</t>
        </is>
      </c>
      <c r="H8824" t="inlineStr">
        <is>
          <t>Type 1</t>
        </is>
      </c>
    </row>
    <row r="8825">
      <c r="A8825" t="inlineStr">
        <is>
          <t>fpuh0e</t>
        </is>
      </c>
      <c r="B8825" t="inlineStr">
        <is>
          <t>UK coronavirus and work?</t>
        </is>
      </c>
      <c r="C8825" t="inlineStr">
        <is>
          <t>What are people doing regarding working at this time? I'm T1 and I'm working with the public still.... Unsure of what to do and where I stand. Only been at the job a month.</t>
        </is>
      </c>
      <c r="D8825" t="n">
        <v>1</v>
      </c>
      <c r="E8825" t="n">
        <v>1</v>
      </c>
      <c r="F8825">
        <f>HYPERLINK("https://www.reddit.com/r/diabetes/comments/fpuh0e/uk_coronavirus_and_work/")</f>
        <v/>
      </c>
      <c r="G8825" t="inlineStr">
        <is>
          <t>2020-03-27 03:13:41</t>
        </is>
      </c>
      <c r="H8825" t="inlineStr">
        <is>
          <t>Type 1</t>
        </is>
      </c>
    </row>
    <row r="8826">
      <c r="A8826" t="inlineStr">
        <is>
          <t>fpuybz</t>
        </is>
      </c>
      <c r="B8826" t="inlineStr">
        <is>
          <t>Waking up in the middle of the night due to lows</t>
        </is>
      </c>
      <c r="C8826" t="inlineStr">
        <is>
          <t>Hi, I am a type 2 on Metformin 500 mg three times a day and Januvia once a day. For the past week I have been having nightmares and waking up at 1,2, and 3 AM. I check my blood sugar and it is in the high 50’s. I always eat a snack before bed, but this keeps happening and I keep waking up in the middle of the night, checking my blood sugar drinking sprite or milk and having a small snack to treat the low blood sugar and it makes  me sleepy during the day when I need to be productive. Has anyone else had this or currently have this? What did you do?</t>
        </is>
      </c>
      <c r="D8826" t="n">
        <v>1</v>
      </c>
      <c r="E8826" t="n">
        <v>4</v>
      </c>
      <c r="F8826">
        <f>HYPERLINK("https://www.reddit.com/r/diabetes/comments/fpuybz/waking_up_in_the_middle_of_the_night_due_to_lows/")</f>
        <v/>
      </c>
      <c r="G8826" t="inlineStr">
        <is>
          <t>2020-03-27 03:57:02</t>
        </is>
      </c>
      <c r="H8826" t="inlineStr">
        <is>
          <t>Type 2</t>
        </is>
      </c>
    </row>
    <row r="8827">
      <c r="A8827" t="inlineStr">
        <is>
          <t>fq1io9</t>
        </is>
      </c>
      <c r="B8827" t="inlineStr">
        <is>
          <t>US: Copay question on dexcom sensors</t>
        </is>
      </c>
      <c r="C8827" t="inlineStr">
        <is>
          <t>If you are getting your dexcom g6 through pharmacy, do you pay a co-pay per sensor or the co-pay for the 3 pack ?</t>
        </is>
      </c>
      <c r="D8827" t="n">
        <v>1</v>
      </c>
      <c r="E8827" t="n">
        <v>8</v>
      </c>
      <c r="F8827">
        <f>HYPERLINK("https://www.reddit.com/r/diabetes/comments/fq1io9/us_copay_question_on_dexcom_sensors/")</f>
        <v/>
      </c>
      <c r="G8827" t="inlineStr">
        <is>
          <t>2020-03-27 10:40:00</t>
        </is>
      </c>
      <c r="H8827" t="inlineStr">
        <is>
          <t>Type 1</t>
        </is>
      </c>
    </row>
    <row r="8828">
      <c r="A8828" t="inlineStr">
        <is>
          <t>fq9kgr</t>
        </is>
      </c>
      <c r="B8828" t="inlineStr">
        <is>
          <t>Sex and t1 diabetes</t>
        </is>
      </c>
      <c r="C8828" t="inlineStr">
        <is>
          <t>Hi all, 
I'm 32/f and I've just started dating a 27/m with type 1. This is the first time I've ever knowingly met someone with type 1 and I've tried to learn a bit about it so I know what to expect. 
When we first got together (around 2 months ago) he told me that he had type 1, and that it affected his sex drive. He told me that he has a low sex drive and that he sometimes struggles to get it up. 
Since we started sleeping together I've found that he doesn't have a low sex drive at all (yay!) and it seems fairly normal for a guy in his twenties who just met someone. I haven't noticed that he struggles to get it up. What I HAVE noticed is that once it is up, he needs to do something with it ie have sex with me. If he doesn't, it disappears and doesn't come back again. 
This can be a bit frustrating for me as I take a little while longer to warm up, when he waits for me and works on me, then tries to have sex with me, he's usually calmed down by then and the moment has gone. 
I just wondered if a) this was something that type 1s and their partners dealt with often and b) what they do about it?   
Thanks :)</t>
        </is>
      </c>
      <c r="D8828" t="n">
        <v>1</v>
      </c>
      <c r="E8828" t="n">
        <v>6</v>
      </c>
      <c r="F8828">
        <f>HYPERLINK("https://www.reddit.com/r/diabetes/comments/fq9kgr/sex_and_t1_diabetes/")</f>
        <v/>
      </c>
      <c r="G8828" t="inlineStr">
        <is>
          <t>2020-03-27 17:29:00</t>
        </is>
      </c>
      <c r="H8828" t="inlineStr">
        <is>
          <t>Type 1</t>
        </is>
      </c>
    </row>
    <row r="8829">
      <c r="A8829" t="inlineStr">
        <is>
          <t>fqbdqn</t>
        </is>
      </c>
      <c r="B8829" t="inlineStr">
        <is>
          <t>Feeling some Neuropathy symptoms I think...</t>
        </is>
      </c>
      <c r="C8829" t="inlineStr">
        <is>
          <t>Hey everyone, Just yesterday I was doing fine and feeling ok no problems. 
went to bed and noticed a numbing feeling on the right side of my right foot when the bridge is connecting to the pinky on the top side of my foot.
explaining the feeling is that it isn't anywhere near my toes per say and the only thing I'm feeling is just numbness no pain and its just in a particular area and in 1 foot. 
I can't really explain too well but every other symptom of listed for neuorpathy loss of balanced and effecting the entire foot with numbness and sharp pain isn't there (its not even in the toes and just the top right side edge of the right foot as I mentioned).
&amp;amp;#x200B;
So any clue to what this is? If it is early stage neuorpathy, would lowering blood sugars and losing weight eating healthy fix the nerves down there? Just wanted to know super early if there is anything I can do. Thanks again</t>
        </is>
      </c>
      <c r="D8829" t="n">
        <v>1</v>
      </c>
      <c r="E8829" t="n">
        <v>4</v>
      </c>
      <c r="F8829">
        <f>HYPERLINK("https://www.reddit.com/r/diabetes/comments/fqbdqn/feeling_some_neuropathy_symptoms_i_think/")</f>
        <v/>
      </c>
      <c r="G8829" t="inlineStr">
        <is>
          <t>2020-03-27 19:18:33</t>
        </is>
      </c>
      <c r="H8829" t="inlineStr">
        <is>
          <t>Type 2</t>
        </is>
      </c>
    </row>
    <row r="8830">
      <c r="A8830" t="inlineStr">
        <is>
          <t>fqcm1m</t>
        </is>
      </c>
      <c r="B8830" t="inlineStr">
        <is>
          <t>Question from a newly diagnosed diabetic.</t>
        </is>
      </c>
      <c r="C8830" t="inlineStr">
        <is>
          <t>So I’ve been living type 1 diabetes for not too long. My blood sugar still gets dairy high a lot. I was curious for if anyone had any tips on snacks for when you are very hungry but have high blood sugar. Cause it’s a problem that I’ve been facing a lot recently. Any help would mean a lot!!!</t>
        </is>
      </c>
      <c r="D8830" t="n">
        <v>1</v>
      </c>
      <c r="E8830" t="n">
        <v>4</v>
      </c>
      <c r="F8830">
        <f>HYPERLINK("https://www.reddit.com/r/diabetes/comments/fqcm1m/question_from_a_newly_diagnosed_diabetic/")</f>
        <v/>
      </c>
      <c r="G8830" t="inlineStr">
        <is>
          <t>2020-03-27 20:40:16</t>
        </is>
      </c>
      <c r="H8830" t="inlineStr">
        <is>
          <t>Type 1</t>
        </is>
      </c>
    </row>
    <row r="8831">
      <c r="A8831" t="inlineStr">
        <is>
          <t>fqjgb1</t>
        </is>
      </c>
      <c r="B8831" t="inlineStr">
        <is>
          <t>Low Acid - Food/Drinks for Low Blood Sugar</t>
        </is>
      </c>
      <c r="C8831" t="inlineStr">
        <is>
          <t>Hi all,
My T1 boyfriend is recovering from a bout of acute gastritis. It's been pretty stressful because I obviously didn't want to have to take him to the hospital right now with all this Corona stuff going on. He's finally stopped vomiting, can hold fluids down, and can even eat a little bit, but his system is still pretty easily upset. I am worried about what to have on hand right now in case of low blood sugar. Normal options such as coke or OJ would probably be too acidic at the moment. Any ideas of things that are sugary but easy on the stomach?</t>
        </is>
      </c>
      <c r="D8831" t="n">
        <v>1</v>
      </c>
      <c r="E8831" t="n">
        <v>7</v>
      </c>
      <c r="F8831">
        <f>HYPERLINK("https://www.reddit.com/r/diabetes/comments/fqjgb1/low_acid_fooddrinks_for_low_blood_sugar/")</f>
        <v/>
      </c>
      <c r="G8831" t="inlineStr">
        <is>
          <t>2020-03-28 05:39:51</t>
        </is>
      </c>
      <c r="H8831" t="inlineStr">
        <is>
          <t>Type 1</t>
        </is>
      </c>
    </row>
    <row r="8832">
      <c r="A8832" t="inlineStr">
        <is>
          <t>fqkhj3</t>
        </is>
      </c>
      <c r="B8832" t="inlineStr">
        <is>
          <t>People on pumps: give me your opinions</t>
        </is>
      </c>
      <c r="C8832" t="inlineStr">
        <is>
          <t>I’m a T1 for about 20 years now, in my 30s. Excellent blood sugar control, with a1c usually between 5.8 and 6.3. I use pens currently. 
My biggest concern about switching to a pump is how active I am; I run around 50km/30mi a week. Since I have good control, I haven’t seen a need to switch, though some of the recent advancements of combining CGM with pumps does interest me. 
What are you currently using and what general opinions do you have? For those of you who are quite active, have you run into any problems?</t>
        </is>
      </c>
      <c r="D8832" t="n">
        <v>1</v>
      </c>
      <c r="E8832" t="n">
        <v>26</v>
      </c>
      <c r="F8832">
        <f>HYPERLINK("https://www.reddit.com/r/diabetes/comments/fqkhj3/people_on_pumps_give_me_your_opinions/")</f>
        <v/>
      </c>
      <c r="G8832" t="inlineStr">
        <is>
          <t>2020-03-28 06:48:12</t>
        </is>
      </c>
      <c r="H8832" t="inlineStr">
        <is>
          <t>Type 1</t>
        </is>
      </c>
    </row>
    <row r="8833">
      <c r="A8833" t="inlineStr">
        <is>
          <t>fqm2qx</t>
        </is>
      </c>
      <c r="B8833" t="inlineStr">
        <is>
          <t>Traditional injection pen user here...</t>
        </is>
      </c>
      <c r="C8833" t="inlineStr">
        <is>
          <t>I’ve used pens all my life (had diabetes for 16 years now) - NovoRapid and Lantas.
What are the reasons as to why I should start using the pump? 
To me it just seems more invasive than the pen since you have to have it strapped to you all the time? 
And you still have to enter the amount that you would take, right? 
Confused on it all.
I don’t see the diabetes centre at the hospital due to really bad experiences and my diabetes is well managed (HBA1c of 6.0 at last reading - I visit the nurse at the doctor every few months to get this) so I haven’t got any clue on the latest gadgets. 
Thanks!</t>
        </is>
      </c>
      <c r="D8833" t="n">
        <v>1</v>
      </c>
      <c r="E8833" t="n">
        <v>6</v>
      </c>
      <c r="F8833">
        <f>HYPERLINK("https://www.reddit.com/r/diabetes/comments/fqm2qx/traditional_injection_pen_user_here/")</f>
        <v/>
      </c>
      <c r="G8833" t="inlineStr">
        <is>
          <t>2020-03-28 08:19:19</t>
        </is>
      </c>
      <c r="H8833" t="inlineStr">
        <is>
          <t>Type 1</t>
        </is>
      </c>
    </row>
    <row r="8834">
      <c r="A8834" t="inlineStr">
        <is>
          <t>fqmy9u</t>
        </is>
      </c>
      <c r="B8834" t="inlineStr">
        <is>
          <t>Dexcom G6 sensor failure</t>
        </is>
      </c>
      <c r="C8834" t="inlineStr">
        <is>
          <t>So far I’ve had two sensors tell me they’ve failed. Why does this keep happening? Anyone also have this happen?</t>
        </is>
      </c>
      <c r="D8834" t="n">
        <v>1</v>
      </c>
      <c r="E8834" t="n">
        <v>10</v>
      </c>
      <c r="F8834">
        <f>HYPERLINK("https://www.reddit.com/r/diabetes/comments/fqmy9u/dexcom_g6_sensor_failure/")</f>
        <v/>
      </c>
      <c r="G8834" t="inlineStr">
        <is>
          <t>2020-03-28 09:06:43</t>
        </is>
      </c>
      <c r="H8834" t="inlineStr">
        <is>
          <t>Type 1</t>
        </is>
      </c>
    </row>
    <row r="8835">
      <c r="A8835" t="inlineStr">
        <is>
          <t>fqq8hs</t>
        </is>
      </c>
      <c r="B8835" t="inlineStr">
        <is>
          <t>I have a small dilemma i need help with.</t>
        </is>
      </c>
      <c r="C8835" t="inlineStr">
        <is>
          <t>Ok so i've got type 2 and both my uncle and dr have suggested getting a foot massager to help with circulation only problem is i have no frigging idea if i should just go for a cheap roller or get an actual massager.
When they told me i shrugged it off but now i've started to feel like my feet specifically my soles are going numb so maybe that's due to the circulation issues i was forewarned about.
Anyway the dilemma is what kind of massager would help the most?</t>
        </is>
      </c>
      <c r="D8835" t="n">
        <v>1</v>
      </c>
      <c r="E8835" t="n">
        <v>10</v>
      </c>
      <c r="F8835">
        <f>HYPERLINK("https://www.reddit.com/r/diabetes/comments/fqq8hs/i_have_a_small_dilemma_i_need_help_with/")</f>
        <v/>
      </c>
      <c r="G8835" t="inlineStr">
        <is>
          <t>2020-03-28 12:02:42</t>
        </is>
      </c>
      <c r="H8835" t="inlineStr">
        <is>
          <t>Type 2</t>
        </is>
      </c>
    </row>
    <row r="8836">
      <c r="A8836" t="inlineStr">
        <is>
          <t>fqrqej</t>
        </is>
      </c>
      <c r="B8836" t="inlineStr">
        <is>
          <t>Is there a Secondary Market for Dexcom G6 Sensors anywhere? The US Healthcare system has failed.</t>
        </is>
      </c>
      <c r="C8836" t="inlineStr">
        <is>
          <t>We are still searching for Dexcom G6 Sensors and are completely out of supplies.  
[https://www.reddit.com/r/diabetes/comments/fn4cp2/iso\_dexcom\_g6\_sensors\_needed\_down\_to\_our\_last\_one/](https://www.reddit.com/r/diabetes/comments/fn4cp2/iso_dexcom_g6_sensors_needed_down_to_our_last_one/)</t>
        </is>
      </c>
      <c r="D8836" t="n">
        <v>2</v>
      </c>
      <c r="E8836" t="n">
        <v>4</v>
      </c>
      <c r="F8836">
        <f>HYPERLINK("https://www.reddit.com/r/diabetes/comments/fqrqej/is_there_a_secondary_market_for_dexcom_g6_sensors/")</f>
        <v/>
      </c>
      <c r="G8836" t="inlineStr">
        <is>
          <t>2020-03-28 13:22:29</t>
        </is>
      </c>
      <c r="H8836" t="inlineStr">
        <is>
          <t>Type 1</t>
        </is>
      </c>
    </row>
    <row r="8837">
      <c r="A8837" t="inlineStr">
        <is>
          <t>fqsivb</t>
        </is>
      </c>
      <c r="B8837" t="inlineStr">
        <is>
          <t>I'm an 'essential employee' but also (obviously) high risk.</t>
        </is>
      </c>
      <c r="C8837" t="inlineStr">
        <is>
          <t>My city's not in lockdown yet but it look like it'll happen soon. I work for Amazon and understand why we are essential, ppl need packages especially now. Should I keep going to work and just be careful ( I need the money) but at the same time I don't want to get sick.</t>
        </is>
      </c>
      <c r="D8837" t="n">
        <v>1</v>
      </c>
      <c r="E8837" t="n">
        <v>9</v>
      </c>
      <c r="F8837">
        <f>HYPERLINK("https://www.reddit.com/r/diabetes/comments/fqsivb/im_an_essential_employee_but_also_obviously_high/")</f>
        <v/>
      </c>
      <c r="G8837" t="inlineStr">
        <is>
          <t>2020-03-28 14:04:10</t>
        </is>
      </c>
      <c r="H8837" t="inlineStr">
        <is>
          <t>Type 1</t>
        </is>
      </c>
    </row>
    <row r="8838">
      <c r="A8838" t="inlineStr">
        <is>
          <t>fqvd54</t>
        </is>
      </c>
      <c r="B8838" t="inlineStr">
        <is>
          <t>Dexcom question?</t>
        </is>
      </c>
      <c r="C8838" t="inlineStr">
        <is>
          <t>I know when I used the Medtronic sensors they would tell me to not tape it down because if it was taped down too hard, it would throw off the sensor. I’m nervous about my new dexcom transmitter getting caught on stuff(it has already caught on the kitchen table when I stand up lol but maybe over time I’d get used to it being there it’d be fine?), can I put some IV tape over it or will that affect it somehow?</t>
        </is>
      </c>
      <c r="D8838" t="n">
        <v>2</v>
      </c>
      <c r="E8838" t="n">
        <v>3</v>
      </c>
      <c r="F8838">
        <f>HYPERLINK("https://www.reddit.com/r/diabetes/comments/fqvd54/dexcom_question/")</f>
        <v/>
      </c>
      <c r="G8838" t="inlineStr">
        <is>
          <t>2020-03-28 16:39:39</t>
        </is>
      </c>
      <c r="H8838" t="inlineStr">
        <is>
          <t>Type 1</t>
        </is>
      </c>
    </row>
    <row r="8839">
      <c r="A8839" t="inlineStr">
        <is>
          <t>fqxki4</t>
        </is>
      </c>
      <c r="B8839" t="inlineStr">
        <is>
          <t>Once Blood sugar comes down to normal for extended period of time, will skin changes return to normal?</t>
        </is>
      </c>
      <c r="C8839" t="inlineStr">
        <is>
          <t>I was just diagnosed with type 2 diabetes :(. The symptom that alerted me to go to the doctor is that I have dryness, hyperpigmented spots and hair loss on my lower legs and feet. I'm only in my 30s, so I would hope my body has enough regenerative capacity to heal. Has anyone been able control their blood glucose and get it down to normal range and noticed a return to normal skin and hair on their legs? 
&amp;amp;#x200B;
Im really embarrassed to wear sandals and shorts. I hope these changes aren't permanent and I can grow back the hair on my legs.
&amp;amp;#x200B;
of course I care about all the other health problems with diabetes, but this cosmetic issue is still something important to me.</t>
        </is>
      </c>
      <c r="D8839" t="n">
        <v>1</v>
      </c>
      <c r="E8839" t="n">
        <v>2</v>
      </c>
      <c r="F8839">
        <f>HYPERLINK("https://www.reddit.com/r/diabetes/comments/fqxki4/once_blood_sugar_comes_down_to_normal_for/")</f>
        <v/>
      </c>
      <c r="G8839" t="inlineStr">
        <is>
          <t>2020-03-28 18:55:33</t>
        </is>
      </c>
      <c r="H8839" t="inlineStr">
        <is>
          <t>Type 2</t>
        </is>
      </c>
    </row>
    <row r="8840">
      <c r="A8840" t="inlineStr">
        <is>
          <t>fqzal6</t>
        </is>
      </c>
      <c r="B8840" t="inlineStr">
        <is>
          <t>Does metformin make anyone else sick?</t>
        </is>
      </c>
      <c r="C8840" t="inlineStr">
        <is>
          <t>I have taken it off and on for 18 months and just decided to do it again because this whole coronavirus thing and wanted to be healthy. I know I should diet too but let’s not talk about that lol. It feels like I feel so much pressure under my breast above my belly button and it hurts so bad. I feel nausea and I hate this.</t>
        </is>
      </c>
      <c r="D8840" t="n">
        <v>1</v>
      </c>
      <c r="E8840" t="n">
        <v>11</v>
      </c>
      <c r="F8840">
        <f>HYPERLINK("https://www.reddit.com/r/diabetes/comments/fqzal6/does_metformin_make_anyone_else_sick/")</f>
        <v/>
      </c>
      <c r="G8840" t="inlineStr">
        <is>
          <t>2020-03-28 20:50:45</t>
        </is>
      </c>
      <c r="H8840" t="inlineStr">
        <is>
          <t>Type 2</t>
        </is>
      </c>
    </row>
    <row r="8841">
      <c r="A8841" t="inlineStr">
        <is>
          <t>fqzasl</t>
        </is>
      </c>
      <c r="B8841" t="inlineStr">
        <is>
          <t>HELP</t>
        </is>
      </c>
      <c r="C8841" t="inlineStr">
        <is>
          <t>My boyfriend is T1... Blood sugar of 30. Soaked and covered in sweet... INSISTING I don’t call 911!?!? What do I do here?? Do I listen to him?? Or is 30 just wayyyy too fucking low? I’m freaking out!!</t>
        </is>
      </c>
      <c r="D8841" t="n">
        <v>1</v>
      </c>
      <c r="E8841" t="n">
        <v>17</v>
      </c>
      <c r="F8841">
        <f>HYPERLINK("https://www.reddit.com/r/diabetes/comments/fqzasl/help/")</f>
        <v/>
      </c>
      <c r="G8841" t="inlineStr">
        <is>
          <t>2020-03-28 20:51:10</t>
        </is>
      </c>
      <c r="H8841" t="inlineStr">
        <is>
          <t>Type 1</t>
        </is>
      </c>
    </row>
    <row r="8842">
      <c r="A8842" t="inlineStr">
        <is>
          <t>fr0svv</t>
        </is>
      </c>
      <c r="B8842" t="inlineStr">
        <is>
          <t>2 Crazy Type1 Diabetic Storytimes</t>
        </is>
      </c>
      <c r="C8842" t="inlineStr">
        <is>
          <t>So ive been diabetic for 5 years now and im currently 16 and love reading diabetic storys on reddit so i thought id share my own.
So after 5years ive got a lot to tell but there 2 in particular id like to share.
1. During my time in secondary school (im from England) i mostly hung around 'bad crowds' and i very rarely told people about my illness as im a very privet person but the word about me spread around and i had, on not just 1 occasion but 3, been asked if people could 'borrow' a needle to give them selves or other tattoos (assuming thats all they wanted them for) of course i said no.
2. My second 'story' is about the time i skived school and got caught. (this storys a little long but worth it, ill put it in bullet points at the end). 
So me and my 2 friends decided to skip school for the day (i had done it many times before but rhese 2 hadnt) well i had been drinking and my levels dropped so i ate fold... Alot and at this time the school had actually found out we were missing, the police were searching for us and they even shkwed up at my friends house. So my friend left to go check on her mum at home as her mum deemed it an 'emergency'. Meanwhile my other friends family thought she had ran away and she was hyperventilating, as this was happening my numbers were in their 30s and i had run out of insulin.. (i kmow what are the chances) so i had no choice and had to go home and face my parents. (i did cal my brother to help me out and he said yes but my phone died so i had no other choice). So me and my friend are going to my house which was like an hour away and i promised her it was only like 20mins. Eventually i had to admit to my parents what wed done and reveal the truth to the school whilst my parents were glaring at me cause i bad lied about why we werent at school.
(to sum it up)
-Skived school, Got drunk
-blood levels dropped
-ate too much
-had no insulin because i had forgot It
-had police and teachers searching for us
-friend had to leave and go home cause schl was there. 
-numbers were in 30s
-called brother for help but phone died
-had to face my parents and reveal the truth.</t>
        </is>
      </c>
      <c r="D8842" t="n">
        <v>1</v>
      </c>
      <c r="E8842" t="n">
        <v>1</v>
      </c>
      <c r="F8842">
        <f>HYPERLINK("https://www.reddit.com/r/diabetes/comments/fr0svv/2_crazy_type1_diabetic_storytimes/")</f>
        <v/>
      </c>
      <c r="G8842" t="inlineStr">
        <is>
          <t>2020-03-28 22:42:55</t>
        </is>
      </c>
      <c r="H8842" t="inlineStr">
        <is>
          <t>Type 1</t>
        </is>
      </c>
    </row>
    <row r="8843">
      <c r="A8843" t="inlineStr">
        <is>
          <t>fr1rcw</t>
        </is>
      </c>
      <c r="B8843" t="inlineStr">
        <is>
          <t>Insulin pump failed, loaner won’t get here till Tuesday, what to do till then?</t>
        </is>
      </c>
      <c r="C8843" t="inlineStr">
        <is>
          <t>The title pretty much says it all, but to provide more detail, my paradigm pump, which is probably about nine years old off the top of my head, died on me tonight. I fell in the lake the other day and some hairline cracks had developed which rendered the water resistance useless. Medtronic is sending me a loaner pump for 90 days while I sort out my medical insurance to replace it, however it won’t get here until Tuesday, two full days from now. I have a handful of syringes and only fast acting insulin, how should I manage until then? I have a LibreLink sensor so I can at least check very often.</t>
        </is>
      </c>
      <c r="D8843" t="n">
        <v>1</v>
      </c>
      <c r="E8843" t="n">
        <v>7</v>
      </c>
      <c r="F8843">
        <f>HYPERLINK("https://www.reddit.com/r/diabetes/comments/fr1rcw/insulin_pump_failed_loaner_wont_get_here_till/")</f>
        <v/>
      </c>
      <c r="G8843" t="inlineStr">
        <is>
          <t>2020-03-29 00:03:39</t>
        </is>
      </c>
      <c r="H8843" t="inlineStr">
        <is>
          <t>Type 1</t>
        </is>
      </c>
    </row>
    <row r="8844">
      <c r="A8844" t="inlineStr">
        <is>
          <t>fr36ks</t>
        </is>
      </c>
      <c r="B8844" t="inlineStr">
        <is>
          <t>Keep spilling ketones and loosing weight but I’m not T1...?</t>
        </is>
      </c>
      <c r="C8844" t="inlineStr">
        <is>
          <t>Diagnosed at 17, was 225lbs and suddenly dropped to 180lbs. A1C of 12. I was put on metformin 500mg 2x a day and BG didn’t usually go over 180-200 when eating with carbs (not many &amp;lt;60) and would wake up in the morning &amp;lt;150. No matter how much I eat I keep loosing weight, my BG is controlled but I don’t stop getting both thinner and lighter. I’ve also noticed I keep spilling ketones, saw a moderate level and drank so much water I nearly puked and it eventually made the ketones wear off. I’m now 18, using insulin, I was gaining weight again at the beginning but I’m loosing again. My C-Peptide is 2.2 so my doctor says it’s not T1 since it’s been 2 years now. I did test positive for GAD65 at 197 IU/mL but doc says C-Peptide isn’t low enough to be T1. I’m scared because not only am I loosing fat but my muscle is nearly gone, my stomach caves in and my rib cage pokes way to far out. Doctor keeps telling me I’m fine but I know something is wrong, my mental clarity is so bad, my memory is horrific. My toes are numb, sex doesn’t feel good, I barley even feel my orgasms anymore. I’m always tired. Anything similar happen with you guys? I’m just at a loss for answers...</t>
        </is>
      </c>
      <c r="D8844" t="n">
        <v>1</v>
      </c>
      <c r="E8844" t="n">
        <v>1</v>
      </c>
      <c r="F8844">
        <f>HYPERLINK("https://www.reddit.com/r/diabetes/comments/fr36ks/keep_spilling_ketones_and_loosing_weight_but_im/")</f>
        <v/>
      </c>
      <c r="G8844" t="inlineStr">
        <is>
          <t>2020-03-29 02:20:42</t>
        </is>
      </c>
      <c r="H8844" t="inlineStr">
        <is>
          <t>Type 2</t>
        </is>
      </c>
    </row>
    <row r="8845">
      <c r="A8845" t="inlineStr">
        <is>
          <t>fr36mj</t>
        </is>
      </c>
      <c r="B8845" t="inlineStr">
        <is>
          <t>Keep spilling ketones and loosing weight but I’m not T1...?</t>
        </is>
      </c>
      <c r="C8845" t="inlineStr">
        <is>
          <t>Diagnosed at 17, was 225lbs and suddenly dropped to 180lbs. A1C of 12. I was put on metformin 500mg 2x a day and BG didn’t usually go over 180-200 when eating with carbs (not many &amp;lt;60) and would wake up in the morning &amp;lt;150. No matter how much I eat I keep loosing weight, my BG is controlled but I don’t stop getting both thinner and lighter. I’ve also noticed I keep spilling ketones, saw a moderate level and drank so much water I nearly puked and it eventually made the ketones wear off. I’m now 18, using insulin, I was gaining weight again at the beginning but I’m loosing again. My C-Peptide is 2.2 so my doctor says it’s not T1 since it’s been 2 years now. I did test positive for GAD65 at 197 IU/mL but doc says C-Peptide isn’t low enough to be T1. I’m scared because not only am I loosing fat but my muscle is nearly gone, my stomach caves in and my rib cage pokes way to far out. Doctor keeps telling me I’m fine but I know something is wrong, my mental clarity is so bad, my memory is horrific. My toes are numb, sex doesn’t feel good, I barley even feel my orgasms anymore. I’m always tired. Anything similar happen with you guys? I’m just at a loss for answers...</t>
        </is>
      </c>
      <c r="D8845" t="n">
        <v>1</v>
      </c>
      <c r="E8845" t="n">
        <v>1</v>
      </c>
      <c r="F8845">
        <f>HYPERLINK("https://www.reddit.com/r/diabetes/comments/fr36mj/keep_spilling_ketones_and_loosing_weight_but_im/")</f>
        <v/>
      </c>
      <c r="G8845" t="inlineStr">
        <is>
          <t>2020-03-29 02:20:52</t>
        </is>
      </c>
      <c r="H8845" t="inlineStr">
        <is>
          <t>Type 2</t>
        </is>
      </c>
    </row>
    <row r="8846">
      <c r="A8846" t="inlineStr">
        <is>
          <t>fr36q0</t>
        </is>
      </c>
      <c r="B8846" t="inlineStr">
        <is>
          <t>Keep spilling ketones and loosing weight but I’m not T1...?</t>
        </is>
      </c>
      <c r="C8846" t="inlineStr">
        <is>
          <t>Diagnosed at 17, was 225lbs and suddenly dropped to 180lbs. A1C of 12. I was put on metformin 500mg 2x a day and BG didn’t usually go over 180-200 when eating with carbs (not many &amp;lt;60) and would wake up in the morning &amp;lt;150. No matter how much I eat I keep loosing weight, my BG is controlled but I don’t stop getting both thinner and lighter. I’ve also noticed I keep spilling ketones, saw a moderate level and drank so much water I nearly puked and it eventually made the ketones wear off. I’m now 18, using insulin, I was gaining weight again at the beginning but I’m loosing again. My C-Peptide is 2.2 so my doctor says it’s not T1 since it’s been 2 years now. I did test positive for GAD65 at 197 IU/mL but doc says C-Peptide isn’t low enough to be T1. I’m scared because not only am I loosing fat but my muscle is nearly gone, my stomach caves in and my rib cage pokes way to far out. Doctor keeps telling me I’m fine but I know something is wrong, my mental clarity is so bad, my memory is horrific. My toes are numb, sex doesn’t feel good, I barley even feel my orgasms anymore. I’m always tired. Anything similar happen with you guys? I’m just at a loss for answers...</t>
        </is>
      </c>
      <c r="D8846" t="n">
        <v>1</v>
      </c>
      <c r="E8846" t="n">
        <v>7</v>
      </c>
      <c r="F8846">
        <f>HYPERLINK("https://www.reddit.com/r/diabetes/comments/fr36q0/keep_spilling_ketones_and_loosing_weight_but_im/")</f>
        <v/>
      </c>
      <c r="G8846" t="inlineStr">
        <is>
          <t>2020-03-29 02:21:11</t>
        </is>
      </c>
      <c r="H8846" t="inlineStr">
        <is>
          <t>Type 2</t>
        </is>
      </c>
    </row>
    <row r="8847">
      <c r="A8847" t="inlineStr">
        <is>
          <t>fr5nuc</t>
        </is>
      </c>
      <c r="B8847" t="inlineStr">
        <is>
          <t>Am I giving myself too much Lantus? Lows in the middle of the night.</t>
        </is>
      </c>
      <c r="C8847" t="inlineStr">
        <is>
          <t>Hey all. I hope the quarantine is treating everyone well. I have a question about my Lantus insulin. Ever since i've been isolated, i've been eating a lot healthier (no take out/fast food, etc.), and because of that i feel my insulin is working differently. 
Pre-isolation, i usually gave myself 37 units of lantus every night at 10pm, and i rarely had lows. Nowadays, i regularly wake up in the middle of the night and my levels are around 3.5-2.5 mmol/L and i need to get up and get some OJ and crackers. 
I've been reducing my lantus a little each day, and last night i gave myself 34 units (3 less than normal), but i still went from 8.4 mmol/L at 11pm, ate two oreos, and even then woke up at 8am with a 2.7. 
I guess my question is, is it possible i have been overcompensating my long acting insulin that badly? Should i keep reducing the amount until i find a stable dose? I dont have a family doctor or endo so im not sure where else to turn for some guidance. Thanks everybody, any insights welcomed.</t>
        </is>
      </c>
      <c r="D8847" t="n">
        <v>1</v>
      </c>
      <c r="E8847" t="n">
        <v>4</v>
      </c>
      <c r="F8847">
        <f>HYPERLINK("https://www.reddit.com/r/diabetes/comments/fr5nuc/am_i_giving_myself_too_much_lantus_lows_in_the/")</f>
        <v/>
      </c>
      <c r="G8847" t="inlineStr">
        <is>
          <t>2020-03-29 06:10:00</t>
        </is>
      </c>
      <c r="H8847" t="inlineStr">
        <is>
          <t>Type 1</t>
        </is>
      </c>
    </row>
    <row r="8848">
      <c r="A8848" t="inlineStr">
        <is>
          <t>fr65bf</t>
        </is>
      </c>
      <c r="B8848" t="inlineStr">
        <is>
          <t>My lowest blood glucose ever was 25 - heres how</t>
        </is>
      </c>
      <c r="C8848" t="inlineStr">
        <is>
          <t>I'm 27 F with Type 1 diabetes - and last year I was going thru the worst break up ever- actually more like my first break up ever since its the first time I ever dated. Anywho, I was very upset bc my ex ghosted me on the day of my graduation and i kept reaching out but he'd ignore me. I couldn't eat! Like at all. I lost 15 pounds and I just felt miserable. I did have lows but they were mainly in 50s 60s range. One day I woke up and I felt... sort of nothing. It was a very numb feeling. I was like eh im probably low, lets go get juice. A few mins later i felt very weak. Mom came in my room and I tested and it was 25. Me n mom both stared at each other and I started shivering all over immediately. I consumed banana, alot of sugar, then my bg came back to normal. I also urinated alot bc of how much sugar i consumed. Later on, I started crying. Idk why. I just hated the feeling of how miserable I was bc of some dumb, immature idiot who btw knew i was diabetic.
Im so glad he blocked me everywhere. I dont need the demon who ruined my graduation and then my health. Today I look at my numbers and smile bc I've been so healthy... and gained a bit of weight too. Ah who, cares I'll loose it. But yeah, thats just a little story I wanted to share with you all :)</t>
        </is>
      </c>
      <c r="D8848" t="n">
        <v>1</v>
      </c>
      <c r="E8848" t="n">
        <v>0</v>
      </c>
      <c r="F8848">
        <f>HYPERLINK("https://www.reddit.com/r/diabetes/comments/fr65bf/my_lowest_blood_glucose_ever_was_25_heres_how/")</f>
        <v/>
      </c>
      <c r="G8848" t="inlineStr">
        <is>
          <t>2020-03-29 06:49:45</t>
        </is>
      </c>
      <c r="H8848" t="inlineStr">
        <is>
          <t>Type 1</t>
        </is>
      </c>
    </row>
    <row r="8849">
      <c r="A8849" t="inlineStr">
        <is>
          <t>fr687d</t>
        </is>
      </c>
      <c r="B8849" t="inlineStr">
        <is>
          <t>My lowest blood sugar went down to 25</t>
        </is>
      </c>
      <c r="C8849" t="inlineStr">
        <is>
          <t>I'm 27 F with Type 1 diabetes - and last year I was going thru the worst break up ever- actually more like my first break up ever since its the first time I ever dated. Anywho, I was very upset bc my ex ghosted me on the day of my graduation and i kept reaching out but he'd ignore me. I couldn't eat! Like at all. I lost 15 pounds and I just felt miserable. I did have lows but they were mainly in 50s 60s range. One day I woke up and I felt... sort of nothing. It was a very numb feeling. I was like eh im probably low, lets go get juice. A few mins later i felt very weak. Mom came in my room and I tested and it was 25. Me n mom both stared at each other and I started shivering all over immediately. I consumed banana, alot of sugar, then my bg came back to normal. I also urinated alot bc of how much sugar i consumed. Later on, I started crying. Idk why. I just hated the feeling of how miserable I was bc of some dumb, immature idiot who btw knew i was diabetic.
Im so glad he blocked me everywhere. I dont need the demon who ruined my graduation and then my health. Today I look at my numbers and smile bc I've been so healthy... and gained a bit of weight too. Ah who, cares I'll loose it. But yeah, thats just a little story I wanted to share with you all :)</t>
        </is>
      </c>
      <c r="D8849" t="n">
        <v>1</v>
      </c>
      <c r="E8849" t="n">
        <v>9</v>
      </c>
      <c r="F8849">
        <f>HYPERLINK("https://www.reddit.com/r/diabetes/comments/fr687d/my_lowest_blood_sugar_went_down_to_25/")</f>
        <v/>
      </c>
      <c r="G8849" t="inlineStr">
        <is>
          <t>2020-03-29 06:55:47</t>
        </is>
      </c>
      <c r="H8849" t="inlineStr">
        <is>
          <t>Type 1</t>
        </is>
      </c>
    </row>
    <row r="8850">
      <c r="A8850" t="inlineStr">
        <is>
          <t>fr69z1</t>
        </is>
      </c>
      <c r="B8850" t="inlineStr">
        <is>
          <t>Help?</t>
        </is>
      </c>
      <c r="C8850" t="inlineStr">
        <is>
          <t>So I've been pretty good at controlling my numbers up until about a week ago. I've been out of the honeymoon phase for a while, so that's not it, but my numbers have been reaching about 280 for literally every meal I eat, and injecting 15 minutes before doesn't help. I'm on the pump and control iq if that helps, but that's not what's causing it. My insulin and site aren't bad, because I've changed both twice now. Im just looking for a solution.</t>
        </is>
      </c>
      <c r="D8850" t="n">
        <v>1</v>
      </c>
      <c r="E8850" t="n">
        <v>11</v>
      </c>
      <c r="F8850">
        <f>HYPERLINK("https://www.reddit.com/r/diabetes/comments/fr69z1/help/")</f>
        <v/>
      </c>
      <c r="G8850" t="inlineStr">
        <is>
          <t>2020-03-29 06:59:29</t>
        </is>
      </c>
      <c r="H8850" t="inlineStr">
        <is>
          <t>Type 1</t>
        </is>
      </c>
    </row>
    <row r="8851">
      <c r="A8851" t="inlineStr">
        <is>
          <t>fralzr</t>
        </is>
      </c>
      <c r="B8851" t="inlineStr">
        <is>
          <t>16.3 a1c --&amp;gt; 8.8 in 2 months!</t>
        </is>
      </c>
      <c r="C8851" t="inlineStr">
        <is>
          <t>Life's been crazy for everyone recently, I bet. I hope you're all doing well.
Just before covid-19 hit the news, I was diagnosed with T1. I had all the symptoms, just shy of DKA I'm assuming. I really wasn't doing well for a whole 8 months (I would've been diagnosed earlier if I hadn't been brushed off by 3 other doctors but I digress... Be pushy when it comes to your health, friends). My endo (she is the actual best endocrinologist ever) and her specialist were really proud of me. I'm impressed with myself. 
I wanted to post this because I'm generally just feeling optimistic and peaceful. I get to stay home, play animal crossing, and watch my a1c inch closer to 7 every day. 
That being said, I was in a terrible financial spot when I was diagnosed (diabetes symptoms for 8 months = feeling sick = not working). Now that all my shit is sorted out and I'm comfortable, I wanted to extend a hand to anyone in my area that needs either Apidra, Basaglar, pen needles (NovoFine 32G 4mm), lancets, test strips, or a Freestyle Libre Sensor (I even have an extra monitor). I'd gladly meet anyone in Ottawa (6 feet apart, ofc lol) who really needs these things (I live near byward market). Unfortunately I won't be making this an international give away until the pandemic has subsided, but I do have plans to in the future.
So if you need some supplies just slide in my dms! Not a single one of us is truly alone in this, no matter how much we believe it.</t>
        </is>
      </c>
      <c r="D8851" t="n">
        <v>5</v>
      </c>
      <c r="E8851" t="n">
        <v>10</v>
      </c>
      <c r="F8851">
        <f>HYPERLINK("https://www.reddit.com/r/diabetes/comments/fralzr/163_a1c_88_in_2_months/")</f>
        <v/>
      </c>
      <c r="G8851" t="inlineStr">
        <is>
          <t>2020-03-29 11:29:41</t>
        </is>
      </c>
      <c r="H8851" t="inlineStr">
        <is>
          <t>Type 1.5/LADA</t>
        </is>
      </c>
    </row>
    <row r="8852">
      <c r="A8852" t="inlineStr">
        <is>
          <t>fram90</t>
        </is>
      </c>
      <c r="B8852" t="inlineStr">
        <is>
          <t>My difficult journey from T2 diagnosis to T1 diagnosis. Just a rant feeling frustrated</t>
        </is>
      </c>
      <c r="C8852" t="inlineStr">
        <is>
          <t>It started with pee and thirst, so so much pee and thirst I would wake up every night for both water and to piss. This went on for many months... Eventually my body was betraying me, I was falling asleep randomly, vomiting, random blackouts and every time I would drink/smoke I’d turn so retarded people thought I had a disorder. I went from 230lbs to 180lbs but was in denial. I had been diagnosed with Pre Diabetes right before this happened.. A1C of 6.4, on diagnosis day it was 12. I was blacking out and waking up confused... I remember waking up mornings gasping for air on the floor as if I had came back from the dead. My vision was fuzzy with green grainy looking dots and nearly double by the time of diagnosis. I was always sooo hungry, I chased this hunger almost as much as I chased the thirst. My fingers where so fat and swollen it looked disgusting. I couldn’t think, I was having Bipolar mood swings 24/7 and drinking alcohol without limits. I was sleeping 12+hrs every day and always so tired I’d pass out randomly. I blacked out one day and woke up under a bridge confused and stumbling around. Every time I spoke I slurred, my eyes would roll to the back of my head and I’d have little seizures. My lips always burned and my feet always hurt. Eventually after diagnosis I got my A1C down to 5.9 and got my diabetes under control with the help of Metformin 500mg2x a day. I was still spilling ketones constantly and got so skinny my lowest weight was 148lbs... I’m a large strong guy and looked like one of those holocaust survivors. Any carbs I ate would send my BG so high I’d wanna vomit. The insane thirst kept happening. Eventually after health insurance kicked me out of the state and I had to go back home my endo told me I truly believed it was T1. Tested positive for GAD65 and started insulin on that day. My mental clarity became clear, I had energy, I was FINALLY ABLE TO EAT. My life changed that day, however I was devastated to hear that T1 diagnosis. I’m currently doing okay, average BG of 120’s-150’s. I was so hurt with T2 diagnosis tho... my mom would blame me and call me a fat fuck. Say it was my fault, people around me told me the same. My emotional state has improved, the thought loops of “I can’t believe I’m diabetic” plagued me so badly it was all I thought about. There are days I’m so hurt I don’t take my insulin, there are days my life means everything to me, there are days I pig out and don’t care, there are days I go full force to tackle my beetus, diabetes is all about ups and downs... literally. I currently can’t feel my toes, my hands hurt constantly and I can’t have orgasms anymore. But diabetes made me truly appreciate life, because before this it meant nothing to me. I didn’t even cry on T2 diagnosis day I felt literally no pain. Just a vent post, hope some find some entertainment, or comfort, or information whatever your looking for. Diabetes is easy and hard at the same time, but my endo changed my life. Make sure you get a correct diagnosis.. incorrect diagnosis is hell when you only have pills to correct BG</t>
        </is>
      </c>
      <c r="D8852" t="n">
        <v>4</v>
      </c>
      <c r="E8852" t="n">
        <v>12</v>
      </c>
      <c r="F8852">
        <f>HYPERLINK("https://www.reddit.com/r/diabetes/comments/fram90/my_difficult_journey_from_t2_diagnosis_to_t1/")</f>
        <v/>
      </c>
      <c r="G8852" t="inlineStr">
        <is>
          <t>2020-03-29 11:30:11</t>
        </is>
      </c>
      <c r="H8852" t="inlineStr">
        <is>
          <t>Type 1</t>
        </is>
      </c>
    </row>
    <row r="8853">
      <c r="A8853" t="inlineStr">
        <is>
          <t>frbcie</t>
        </is>
      </c>
      <c r="B8853" t="inlineStr">
        <is>
          <t>Neuropathy - sudden relief</t>
        </is>
      </c>
      <c r="C8853" t="inlineStr">
        <is>
          <t>Hey all. For reference, neuropathy is what brought me into the doctor and resulted in my diagnosis with an A1C of 13.5 December 16, 2019. 
I had pretty severe symptoms. I was either not feeling anything in my feet, or I was feeling only immense pain. Shortly after diagnosis I started an exercise and food regimen that has resulted in great results. I'm down to 220lbs from 285lbs. My cholesterol is perfect. Microalbumin test came back clean. And my first recheck of A1C came back as 5.1; I have not been prescribed anything. Not metformin and not insulin. 
After a bunch of research, I started taking 1200mg of alpha lipoic acid every day (600mg in the morning and 600 at night). I saw an immediate difference in my neuropathy symptoms. Like. Next day I woke up and felt like I had completely normal feet. 
I have been doing this for the last three months with varied results. Some days my feet feel totally normal, somedays they are numb and painful. Lately, for two weeks or so, it has been nothing but pain in my feet. Like awful pain. Three days ago, I accidentally forgot my morning dose of alpha lipoic acid, and only realized in the evening. I went to go take my evening dose but noticed my feet hadn't hurt at all that day. And they also weren't numb at all. 
So I've been off it for three days, and my feet feel awesome. 
Anybody experience something like this? Idk. Still trying to get a handle on all this and make sure I'm not losing my mind.</t>
        </is>
      </c>
      <c r="D8853" t="n">
        <v>0</v>
      </c>
      <c r="E8853" t="n">
        <v>8</v>
      </c>
      <c r="F8853">
        <f>HYPERLINK("https://www.reddit.com/r/diabetes/comments/frbcie/neuropathy_sudden_relief/")</f>
        <v/>
      </c>
      <c r="G8853" t="inlineStr">
        <is>
          <t>2020-03-29 12:12:26</t>
        </is>
      </c>
      <c r="H8853" t="inlineStr">
        <is>
          <t>Type 2</t>
        </is>
      </c>
    </row>
    <row r="8854">
      <c r="A8854" t="inlineStr">
        <is>
          <t>frbq8e</t>
        </is>
      </c>
      <c r="B8854" t="inlineStr">
        <is>
          <t>High blood sugar, relatively healthy, freaking out.</t>
        </is>
      </c>
      <c r="C8854" t="inlineStr">
        <is>
          <t>Hey guys. Recently used one of my dads blood glucose kit at had a blood glucose level of 300. I’m only 20 years old. On the skinnier side (BMI puts me as overweight however) I’m pretty active and put in hours of cardio at the gym, and don’t consume sugar really other than Splenda. I’m going to urgent care later as my parents warned me that these are pretty high levels. It runs in my family so I shouldn’t really be surprised . I haven’t stopped crying since This morning, I don’t know what I did wrong and I just feel disgusting and horrible. In the past I’ve struggled with disordered eating and I just feel like this is going to cause my parents to view me as a greedy eater and start being super controlling of what I eat and probably make me relapse. I’m sorry this is so incoherent and ranty. I just don’t know what to do. Any advice/reassurance from other young diabetics would be great.</t>
        </is>
      </c>
      <c r="D8854" t="n">
        <v>0</v>
      </c>
      <c r="E8854" t="n">
        <v>10</v>
      </c>
      <c r="F8854">
        <f>HYPERLINK("https://www.reddit.com/r/diabetes/comments/frbq8e/high_blood_sugar_relatively_healthy_freaking_out/")</f>
        <v/>
      </c>
      <c r="G8854" t="inlineStr">
        <is>
          <t>2020-03-29 12:34:10</t>
        </is>
      </c>
      <c r="H8854" t="inlineStr">
        <is>
          <t>Type 2</t>
        </is>
      </c>
    </row>
    <row r="8855">
      <c r="A8855" t="inlineStr">
        <is>
          <t>freeib</t>
        </is>
      </c>
      <c r="B8855" t="inlineStr">
        <is>
          <t>Is selling test strips you got through your heath insurance illegal?</t>
        </is>
      </c>
      <c r="C8855" t="inlineStr">
        <is>
          <t>I see ads online all the time to sell unused testing strips, is this legal? I have a ton of unused test strips I got through my health insurance, is it legal to resell them through one of these such things? Has anyone done it before on here?</t>
        </is>
      </c>
      <c r="D8855" t="n">
        <v>1</v>
      </c>
      <c r="E8855" t="n">
        <v>7</v>
      </c>
      <c r="F8855">
        <f>HYPERLINK("https://www.reddit.com/r/diabetes/comments/freeib/is_selling_test_strips_you_got_through_your_heath/")</f>
        <v/>
      </c>
      <c r="G8855" t="inlineStr">
        <is>
          <t>2020-03-29 15:10:06</t>
        </is>
      </c>
      <c r="H8855" t="inlineStr">
        <is>
          <t>Type 1</t>
        </is>
      </c>
    </row>
    <row r="8856">
      <c r="A8856" t="inlineStr">
        <is>
          <t>frev87</t>
        </is>
      </c>
      <c r="B8856" t="inlineStr">
        <is>
          <t>I don't know what to fill here hehe</t>
        </is>
      </c>
      <c r="C8856" t="inlineStr">
        <is>
          <t>Hello, today I Lost my freestyle libre reader ( I have Diabetes 2 type) and I don't know where it should be. I searched almost everywhere. I have a box where it came in, but I don't know what do do now.. Can anybody help me? Anything that might be helpful.</t>
        </is>
      </c>
      <c r="D8856" t="n">
        <v>1</v>
      </c>
      <c r="E8856" t="n">
        <v>4</v>
      </c>
      <c r="F8856">
        <f>HYPERLINK("https://www.reddit.com/r/diabetes/comments/frev87/i_dont_know_what_to_fill_here_hehe/")</f>
        <v/>
      </c>
      <c r="G8856" t="inlineStr">
        <is>
          <t>2020-03-29 15:37:33</t>
        </is>
      </c>
      <c r="H8856" t="inlineStr">
        <is>
          <t>Type 2</t>
        </is>
      </c>
    </row>
    <row r="8857">
      <c r="A8857" t="inlineStr">
        <is>
          <t>frf156</t>
        </is>
      </c>
      <c r="B8857" t="inlineStr">
        <is>
          <t>Low carbs, low protein, no sugar, oh my!</t>
        </is>
      </c>
      <c r="C8857" t="inlineStr">
        <is>
          <t>My mother, 69 y.o, was just diagnosed last week, and is having some trouble with her kidneys so I don’t want to overdue protein and has high cholesterol. I am having trouble getting her enough calories after seriously lowering and swapping carbs, any recipes or food recommendations? She is a picky eater.</t>
        </is>
      </c>
      <c r="D8857" t="n">
        <v>1</v>
      </c>
      <c r="E8857" t="n">
        <v>2</v>
      </c>
      <c r="F8857">
        <f>HYPERLINK("https://www.reddit.com/r/diabetes/comments/frf156/low_carbs_low_protein_no_sugar_oh_my/")</f>
        <v/>
      </c>
      <c r="G8857" t="inlineStr">
        <is>
          <t>2020-03-29 15:47:21</t>
        </is>
      </c>
      <c r="H8857" t="inlineStr">
        <is>
          <t>Type 2</t>
        </is>
      </c>
    </row>
    <row r="8858">
      <c r="A8858" t="inlineStr">
        <is>
          <t>frhpxo</t>
        </is>
      </c>
      <c r="B8858" t="inlineStr">
        <is>
          <t>Any way to delete Dexcom data?</t>
        </is>
      </c>
      <c r="C8858" t="inlineStr">
        <is>
          <t>Hey guys. Been using a G6 since January. Had one fail about a month ago, but didn’t realize until it was already into the urgent low part. Now, for my 90 days estimate on clarity, there is a section for urgent low, that shows &amp;lt;1%. Is there a way to delete that set from my data? 
Thanks</t>
        </is>
      </c>
      <c r="D8858" t="n">
        <v>1</v>
      </c>
      <c r="E8858" t="n">
        <v>6</v>
      </c>
      <c r="F8858">
        <f>HYPERLINK("https://www.reddit.com/r/diabetes/comments/frhpxo/any_way_to_delete_dexcom_data/")</f>
        <v/>
      </c>
      <c r="G8858" t="inlineStr">
        <is>
          <t>2020-03-29 18:33:03</t>
        </is>
      </c>
      <c r="H8858" t="inlineStr">
        <is>
          <t>Type 1</t>
        </is>
      </c>
    </row>
    <row r="8859">
      <c r="A8859" t="inlineStr">
        <is>
          <t>frm4nr</t>
        </is>
      </c>
      <c r="B8859" t="inlineStr">
        <is>
          <t>T1D: Only one shot today, and my #'s were great!</t>
        </is>
      </c>
      <c r="C8859" t="inlineStr">
        <is>
          <t>This is a less conventional treatment plan. I'm sharing this because it works GREAT for me. And I think that for some people who want less invasive treatment plans, it might be life-changing as well. Many of you probably will disagree with this or want give me advice to change my regimen or approach to diabetes... please move on now. Again, this works GREAT for me and my numbers are good. I am not looking for advice. Thanks. 
I've been on 2 shots/day since I was diagnosed. Details below. This plan works SO well for me, and allows me to eat what I want (counting carbs, of course), while allowing me to live my life and be as free from diabetes as I think is possible being a T1D. And I've had A1C's below 7 almost every time.
Before breakfast: 
-Short acting: sliding scale for carbs, if applicable, correction, if applicable
-Long acting: NPH, which peaks for me around 4-5 hours after taking it (breakfast at 8, peaks around 12, perfect for lunch)
Before dinner: 
-Short acting: sliding scale for carbs, if applicable, correction, if applicable
-Long acting: none to a small amount of NPH, depending on temperature
Add snacks as needed... I'm usually hungry anyway.
When weather is cold, like today, I don't take any long-acting at night. This means, very occasionally, I can live as a T1D on only one shot a day! ...if my luck is good and weather is cold and I eat a low-carb dinner. But today was one of those days!! 
Around dinner my blood sugar was slightly low (~65). It's been cold at night so I wasn't planning to take any NPH long-acting. So, I didn't take any insulin and had a moderate-carb dinner (~30-40g), and watched my # (I am currently on a CGM, though I'm not a big fan -- too invasive). My # came up and stayed under 150. 
All day my #'s have been great. I'd post a screenshot of my CGM but you can either do text or photo, not both here. So just trust me -- I lived today as a T1D on only one shot! With better #'s than many days! 
Success feels good.</t>
        </is>
      </c>
      <c r="D8859" t="n">
        <v>1</v>
      </c>
      <c r="E8859" t="n">
        <v>5</v>
      </c>
      <c r="F8859">
        <f>HYPERLINK("https://www.reddit.com/r/diabetes/comments/frm4nr/t1d_only_one_shot_today_and_my_s_were_great/")</f>
        <v/>
      </c>
      <c r="G8859" t="inlineStr">
        <is>
          <t>2020-03-30 00:07:31</t>
        </is>
      </c>
      <c r="H8859" t="inlineStr">
        <is>
          <t>Type 1</t>
        </is>
      </c>
    </row>
    <row r="8860">
      <c r="A8860" t="inlineStr">
        <is>
          <t>fro0eg</t>
        </is>
      </c>
      <c r="B8860" t="inlineStr">
        <is>
          <t>Diabetes care in Israel is so much better than the US</t>
        </is>
      </c>
      <c r="C8860" t="inlineStr">
        <is>
          <t>This might just be my insurance and/or the doctor that I found, but diabetes care is so much better in Israel than the US. I just moved to Israel this year to pursue a Master's degree. I was extremely stressed about the idea, especially since I was just diagnosed with T1D last summer. We had met our deductible, so my 4 days in the ICU, from going into diabetic ketoacidosis, was only $300 (the total bill was around $24,000 before insurance). My 3 month supply of insulin was only $90 total, my pen needles $19, and I got my Dexcom supplies for free. While my visits to my family doctor were $20 a visit and to my endocrinologist were $40 a visit. I had really no idea what it was going to cost since I'm still under my parent's insurance. Come the new year, suddenly my insulin is $90 per month, my pen needles are $25, and Dexcom sends me a bill for about $1,300 for my three month supply of continuous glucose monitor supplies. I said screw that I'll probably find something better in Israel, and I did. 
Through my Israeli insurance, all of my doctors visits are covered, my pen needles are covered, my insulin is covered, and I just got a FreeStyle Libre (not as good as Dexcom obviously) which was also covered. I only pay $750 a year to my insurance via my tuition and it's covered by a fellowship anyway. My doctor is great and gave me her personal phone number in case I had any issues with any of the process here, questions, or emergencies. I really liked my endocrinologist in the US though, but I feel even more taken care of here.</t>
        </is>
      </c>
      <c r="D8860" t="n">
        <v>1</v>
      </c>
      <c r="E8860" t="n">
        <v>2</v>
      </c>
      <c r="F8860">
        <f>HYPERLINK("https://www.reddit.com/r/diabetes/comments/fro0eg/diabetes_care_in_israel_is_so_much_better_than/")</f>
        <v/>
      </c>
      <c r="G8860" t="inlineStr">
        <is>
          <t>2020-03-30 03:02:27</t>
        </is>
      </c>
      <c r="H8860" t="inlineStr">
        <is>
          <t>Type 1</t>
        </is>
      </c>
    </row>
    <row r="8861">
      <c r="A8861" t="inlineStr">
        <is>
          <t>frt3q7</t>
        </is>
      </c>
      <c r="B8861" t="inlineStr">
        <is>
          <t>Why if I wake up "high" at 150 I always have to double my units to get it to normal. Only in the morning it's double. Usually it's 1 unit for every 100 points. But in the morning it's always double to get it down. Is this you guys also? Am I not considering something?</t>
        </is>
      </c>
      <c r="C8861" t="inlineStr">
        <is>
          <t>Help</t>
        </is>
      </c>
      <c r="D8861" t="n">
        <v>1</v>
      </c>
      <c r="E8861" t="n">
        <v>11</v>
      </c>
      <c r="F8861">
        <f>HYPERLINK("https://www.reddit.com/r/diabetes/comments/frt3q7/why_if_i_wake_up_high_at_150_i_always_have_to/")</f>
        <v/>
      </c>
      <c r="G8861" t="inlineStr">
        <is>
          <t>2020-03-30 08:42:21</t>
        </is>
      </c>
      <c r="H8861" t="inlineStr">
        <is>
          <t>Type 1</t>
        </is>
      </c>
    </row>
    <row r="8862">
      <c r="A8862" t="inlineStr">
        <is>
          <t>frti16</t>
        </is>
      </c>
      <c r="B8862" t="inlineStr">
        <is>
          <t>Ok WHAT?? I realized if I prick my toe, it’s not as uncomfortable but I get different results?</t>
        </is>
      </c>
      <c r="C8862" t="inlineStr">
        <is>
          <t>I’ve been pricking my toe recently, it just feels better and my fingers are kind thin these days, but out of curiosity (and because I noticed the blood from my toe is much darker than my fingers) I tested my finger right after and it was a different number! My toe was 154 and my finger was 132... is there an explanation for this?</t>
        </is>
      </c>
      <c r="D8862" t="n">
        <v>1</v>
      </c>
      <c r="E8862" t="n">
        <v>12</v>
      </c>
      <c r="F8862">
        <f>HYPERLINK("https://www.reddit.com/r/diabetes/comments/frti16/ok_what_i_realized_if_i_prick_my_toe_its_not_as/")</f>
        <v/>
      </c>
      <c r="G8862" t="inlineStr">
        <is>
          <t>2020-03-30 09:04:03</t>
        </is>
      </c>
      <c r="H8862" t="inlineStr">
        <is>
          <t>Type 2</t>
        </is>
      </c>
    </row>
    <row r="8863">
      <c r="A8863" t="inlineStr">
        <is>
          <t>fry8zo</t>
        </is>
      </c>
      <c r="B8863" t="inlineStr">
        <is>
          <t>I found a cheap and easy alternative to gluco-tabs or sugary gels... A teaspoon of sugar!</t>
        </is>
      </c>
      <c r="C8863" t="inlineStr">
        <is>
          <t>I woke up normal levelled, had the same breakfast I have every day before going to do the same work I do every day, ended up 14.9 (~260). Did a big correction dose and got to 14 (~250) an hour later. Did another correction and got to 10 (~180) an hour after that. Got fed up of testing, left it for almost 2 hours but then felt low and tested at 4 (~72). Had lunch (including bananas) and some gluco gel, didn't inject (on purpose) then had an afternoon nap. Woke up at 2.2 (~40) and felt a bit out of sorts but decided I didn't want to go through my stock of gluco gel too much during lockdown so went downstairs and had a big teaspoon of sugar that normally goes in tea/coffee for other people. 10 minutes later I was up to 5 (~90) and felt right as rain.
I've tried sugary tea before but never just a straight up teaspoon of sugar. Took a little while to dissolve in my mouth but had none of the powder and chewing effort of tabs nor the stickiness of gels. And on top of that it was very fast acting. Would definitely recommend.</t>
        </is>
      </c>
      <c r="D8863" t="n">
        <v>1</v>
      </c>
      <c r="E8863" t="n">
        <v>7</v>
      </c>
      <c r="F8863">
        <f>HYPERLINK("https://www.reddit.com/r/diabetes/comments/fry8zo/i_found_a_cheap_and_easy_alternative_to_glucotabs/")</f>
        <v/>
      </c>
      <c r="G8863" t="inlineStr">
        <is>
          <t>2020-03-30 13:11:19</t>
        </is>
      </c>
      <c r="H8863" t="inlineStr">
        <is>
          <t>Type 1</t>
        </is>
      </c>
    </row>
    <row r="8864">
      <c r="A8864" t="inlineStr">
        <is>
          <t>frza9i</t>
        </is>
      </c>
      <c r="B8864" t="inlineStr">
        <is>
          <t>Well I’m F**ked. I dumped out my pillbox for today into my hand (a couple vitamins and Tylenol) including two metformin 1000mg and took all of them at once... I’m gonna have the gas of the century :(</t>
        </is>
      </c>
      <c r="C8864" t="inlineStr">
        <is>
          <t>At least I had some food first..</t>
        </is>
      </c>
      <c r="D8864" t="n">
        <v>1</v>
      </c>
      <c r="E8864" t="n">
        <v>4</v>
      </c>
      <c r="F8864">
        <f>HYPERLINK("https://www.reddit.com/r/diabetes/comments/frza9i/well_im_fked_i_dumped_out_my_pillbox_for_today/")</f>
        <v/>
      </c>
      <c r="G8864" t="inlineStr">
        <is>
          <t>2020-03-30 14:07:35</t>
        </is>
      </c>
      <c r="H8864" t="inlineStr">
        <is>
          <t>Type 2</t>
        </is>
      </c>
    </row>
    <row r="8865">
      <c r="A8865" t="inlineStr">
        <is>
          <t>fs1av5</t>
        </is>
      </c>
      <c r="B8865" t="inlineStr">
        <is>
          <t>Female, type 2 diabetes, still having high blood sugars</t>
        </is>
      </c>
      <c r="C8865" t="inlineStr">
        <is>
          <t>Hi all, 
This Friday, it will be two weeks since I started my metformin and my other two medications (I don’t know them off the top of my head) for what they just labelled as type 2 diabetes without ruling out other kinds. 
I’m having some weird symptoms - my blood sugar still are in the teens despite sticking to a low carb, low sugar diet. I’ve been shaking uncontrollably almost like I’m having a seizure. Sometimes my father has even noticed my eyes quickly jerking. I’ve been tested for epilepsy several times in my life only because I’m at higher risk due to cerebral palsy. 
However, since my high blood sugars have started, I begin to shake uncontrollably the higher they get. My doctor brushed me off because he said that only typically happens with really low blood sugars - which I certainly haven’t had. The lowest I’ve had since I’ve started monitoring my blood sugars is 8.5/mmol. 
Has anyone experienced this or heard of this with high blood sugar?</t>
        </is>
      </c>
      <c r="D8865" t="n">
        <v>1</v>
      </c>
      <c r="E8865" t="n">
        <v>4</v>
      </c>
      <c r="F8865">
        <f>HYPERLINK("https://www.reddit.com/r/diabetes/comments/fs1av5/female_type_2_diabetes_still_having_high_blood/")</f>
        <v/>
      </c>
      <c r="G8865" t="inlineStr">
        <is>
          <t>2020-03-30 15:59:00</t>
        </is>
      </c>
      <c r="H8865" t="inlineStr">
        <is>
          <t>Type 2</t>
        </is>
      </c>
    </row>
    <row r="8866">
      <c r="A8866" t="inlineStr">
        <is>
          <t>fs237r</t>
        </is>
      </c>
      <c r="B8866" t="inlineStr">
        <is>
          <t>5.4 before desert. 19.1 one hour later after desert. Back to 5.8 less than an hour after that. THAT'S how you ride the roller coaster.</t>
        </is>
      </c>
      <c r="C8866" t="inlineStr">
        <is>
          <t>So, made a guilty pleasure desert and straight up forgot I ate a second slice. Oops! Now I need to eat a few carbs or I'll crash overnight, theres a stupid amount of insulin in me right now.
Can't be perfect all the time!</t>
        </is>
      </c>
      <c r="D8866" t="n">
        <v>1</v>
      </c>
      <c r="E8866" t="n">
        <v>4</v>
      </c>
      <c r="F8866">
        <f>HYPERLINK("https://www.reddit.com/r/diabetes/comments/fs237r/54_before_desert_191_one_hour_later_after_desert/")</f>
        <v/>
      </c>
      <c r="G8866" t="inlineStr">
        <is>
          <t>2020-03-30 16:47:09</t>
        </is>
      </c>
      <c r="H8866" t="inlineStr">
        <is>
          <t>Type 1</t>
        </is>
      </c>
    </row>
    <row r="8867">
      <c r="A8867" t="inlineStr">
        <is>
          <t>fs50c0</t>
        </is>
      </c>
      <c r="B8867" t="inlineStr">
        <is>
          <t>I recently got diagnosed with diabetes and have a question about something</t>
        </is>
      </c>
      <c r="C8867" t="inlineStr">
        <is>
          <t>My doctor wanted me to change my diet and exercise more to see if I'll get rid of it and come back in 3 months. That was around mid to late Feb. Lately my saliva has had a sweet taste to it. Even when I have morning breath. I don't have anything to check my blood sugar because I opted to try and change my lifestyle instead of jumping on meds. I don't remember what my blood sugar was, I just remember it was diabetic but just above borderline. And it was high, not low.
My question is, should i be worried that my saliva has a sweet taste to it?</t>
        </is>
      </c>
      <c r="D8867" t="n">
        <v>1</v>
      </c>
      <c r="E8867" t="n">
        <v>13</v>
      </c>
      <c r="F8867">
        <f>HYPERLINK("https://www.reddit.com/r/diabetes/comments/fs50c0/i_recently_got_diagnosed_with_diabetes_and_have_a/")</f>
        <v/>
      </c>
      <c r="G8867" t="inlineStr">
        <is>
          <t>2020-03-30 19:52:04</t>
        </is>
      </c>
      <c r="H8867" t="inlineStr">
        <is>
          <t>Type 2</t>
        </is>
      </c>
    </row>
    <row r="8868">
      <c r="A8868" t="inlineStr">
        <is>
          <t>fs6rws</t>
        </is>
      </c>
      <c r="B8868" t="inlineStr">
        <is>
          <t>Struggling with hypers since a half year</t>
        </is>
      </c>
      <c r="C8868" t="inlineStr">
        <is>
          <t>Hello there, I’ve got t1 since 6 years now I’m 20 y old and have some questions.
Since a half year my bloodsugar is more often on a high lv like &amp;lt;300mg/dl and I kinda have the feeling it’s all about what I eat. I recently got a Depression and I stayed a lot of time at home if that make sense (I’m German hope my English is understandable) 
So I don’t make to much workout maybe like small exercises a day (was more in the past) 
So my question now: every time I eat something „bad“ like white bread,pizza,Cornflakes my bloodsugar goes into oblivion and stays on a High Level way too long 
In the past i didn’t had the struggle with such high and long holding bloodsugar. (Now it hurts my daylie job because I’m more often ill.)
Do you guys have any suggestions what I might change about my lifestyle 
Like training 
Good food, maybe something like a table or anything what you guys use like Some food rotation if that make sense 
Or any Tipps 
Every help is greatly appreciated :)</t>
        </is>
      </c>
      <c r="D8868" t="n">
        <v>1</v>
      </c>
      <c r="E8868" t="n">
        <v>9</v>
      </c>
      <c r="F8868">
        <f>HYPERLINK("https://www.reddit.com/r/diabetes/comments/fs6rws/struggling_with_hypers_since_a_half_year/")</f>
        <v/>
      </c>
      <c r="G8868" t="inlineStr">
        <is>
          <t>2020-03-30 21:58:48</t>
        </is>
      </c>
      <c r="H8868" t="inlineStr">
        <is>
          <t>Type 1</t>
        </is>
      </c>
    </row>
    <row r="8869">
      <c r="A8869" t="inlineStr">
        <is>
          <t>fs8pvv</t>
        </is>
      </c>
      <c r="B8869" t="inlineStr">
        <is>
          <t>Damn</t>
        </is>
      </c>
      <c r="C8869" t="inlineStr">
        <is>
          <t>Never thought diabetes could affect hair that much 😳</t>
        </is>
      </c>
      <c r="D8869" t="n">
        <v>1</v>
      </c>
      <c r="E8869" t="n">
        <v>1</v>
      </c>
      <c r="F8869">
        <f>HYPERLINK("https://www.reddit.com/r/diabetes/comments/fs8pvv/damn/")</f>
        <v/>
      </c>
      <c r="G8869" t="inlineStr">
        <is>
          <t>2020-03-31 00:41:41</t>
        </is>
      </c>
      <c r="H8869" t="inlineStr">
        <is>
          <t>Type 1</t>
        </is>
      </c>
    </row>
    <row r="8870">
      <c r="A8870" t="inlineStr">
        <is>
          <t>fsamu4</t>
        </is>
      </c>
      <c r="B8870" t="inlineStr">
        <is>
          <t>Verifine needles UK</t>
        </is>
      </c>
      <c r="C8870" t="inlineStr">
        <is>
          <t>So when my partner was picking up my prescription today, the pharmacist told her that they're struggling to get my needles in and do not have any right now. I've got about 5-7 days (depending on what I eat) worth of needles left. How do I go about getting them if they're in short supply?</t>
        </is>
      </c>
      <c r="D8870" t="n">
        <v>1</v>
      </c>
      <c r="E8870" t="n">
        <v>1</v>
      </c>
      <c r="F8870">
        <f>HYPERLINK("https://www.reddit.com/r/diabetes/comments/fsamu4/verifine_needles_uk/")</f>
        <v/>
      </c>
      <c r="G8870" t="inlineStr">
        <is>
          <t>2020-03-31 03:34:16</t>
        </is>
      </c>
      <c r="H8870" t="inlineStr">
        <is>
          <t>Type 1</t>
        </is>
      </c>
    </row>
    <row r="8871">
      <c r="A8871" t="inlineStr">
        <is>
          <t>fsbhlb</t>
        </is>
      </c>
      <c r="B8871" t="inlineStr">
        <is>
          <t>How about you recently</t>
        </is>
      </c>
      <c r="C8871" t="inlineStr">
        <is>
          <t>Based on recent condition, how about you?</t>
        </is>
      </c>
      <c r="D8871" t="n">
        <v>1</v>
      </c>
      <c r="E8871" t="n">
        <v>1</v>
      </c>
      <c r="F8871">
        <f>HYPERLINK("https://www.reddit.com/r/diabetes/comments/fsbhlb/how_about_you_recently/")</f>
        <v/>
      </c>
      <c r="G8871" t="inlineStr">
        <is>
          <t>2020-03-31 04:45:42</t>
        </is>
      </c>
      <c r="H8871" t="inlineStr">
        <is>
          <t>Type 2</t>
        </is>
      </c>
    </row>
    <row r="8872">
      <c r="A8872" t="inlineStr">
        <is>
          <t>fsd0cs</t>
        </is>
      </c>
      <c r="B8872" t="inlineStr">
        <is>
          <t>Question regarding employment</t>
        </is>
      </c>
      <c r="C8872" t="inlineStr">
        <is>
          <t>So I've seen all the apparent complications diabetics are susceptible to if they get coronavirus. I'm marked as an essential employee and have to work at the University im employed at. My last day is currently marked for May 29th but with how Coronavirus has been spreading I've been curious as to if I should move that date up? Am I overreacting or should thorough hygiene and social distancing be sufficient deterrents from getting the virus.</t>
        </is>
      </c>
      <c r="D8872" t="n">
        <v>1</v>
      </c>
      <c r="E8872" t="n">
        <v>7</v>
      </c>
      <c r="F8872">
        <f>HYPERLINK("https://www.reddit.com/r/diabetes/comments/fsd0cs/question_regarding_employment/")</f>
        <v/>
      </c>
      <c r="G8872" t="inlineStr">
        <is>
          <t>2020-03-31 06:35:15</t>
        </is>
      </c>
      <c r="H8872" t="inlineStr">
        <is>
          <t>Type 1</t>
        </is>
      </c>
    </row>
    <row r="8873">
      <c r="A8873" t="inlineStr">
        <is>
          <t>fsfpaa</t>
        </is>
      </c>
      <c r="B8873" t="inlineStr">
        <is>
          <t>High blood sugar in the evening</t>
        </is>
      </c>
      <c r="C8873" t="inlineStr">
        <is>
          <t>Hey, 
I'm having really high blood sugars in the evening, right before my supper meal.   
I usually have a cup of coffee in the afternoon - an account for it, but still quite high. 
Any suggestions?</t>
        </is>
      </c>
      <c r="D8873" t="n">
        <v>1</v>
      </c>
      <c r="E8873" t="n">
        <v>10</v>
      </c>
      <c r="F8873">
        <f>HYPERLINK("https://www.reddit.com/r/diabetes/comments/fsfpaa/high_blood_sugar_in_the_evening/")</f>
        <v/>
      </c>
      <c r="G8873" t="inlineStr">
        <is>
          <t>2020-03-31 09:11:24</t>
        </is>
      </c>
      <c r="H8873" t="inlineStr">
        <is>
          <t>Type 1</t>
        </is>
      </c>
    </row>
    <row r="8874">
      <c r="A8874" t="inlineStr">
        <is>
          <t>fsgirw</t>
        </is>
      </c>
      <c r="B8874" t="inlineStr">
        <is>
          <t>Covid 19</t>
        </is>
      </c>
      <c r="C8874" t="inlineStr">
        <is>
          <t>My partner has type 1 and shes absolutely terrified about catching the corona virus. Im constantly trying to reassure her. Could anyone here who caught and survived it tell me how it was? What happened? Cheers.</t>
        </is>
      </c>
      <c r="D8874" t="n">
        <v>1</v>
      </c>
      <c r="E8874" t="n">
        <v>2</v>
      </c>
      <c r="F8874">
        <f>HYPERLINK("https://www.reddit.com/r/diabetes/comments/fsgirw/covid_19/")</f>
        <v/>
      </c>
      <c r="G8874" t="inlineStr">
        <is>
          <t>2020-03-31 09:55:20</t>
        </is>
      </c>
      <c r="H8874" t="inlineStr">
        <is>
          <t>Type 1</t>
        </is>
      </c>
    </row>
    <row r="8875">
      <c r="A8875" t="inlineStr">
        <is>
          <t>fsh97s</t>
        </is>
      </c>
      <c r="B8875" t="inlineStr">
        <is>
          <t>I was wondering if any of you had a period of time after you’re diagnosis where your blood sugar was really smooth and normal</t>
        </is>
      </c>
      <c r="C8875" t="inlineStr">
        <is>
          <t>I got diagnosed a few days after my birthday back in September so I’m kinda new to all of this. However since my diagnosis my control was really good and my doctor is kinda confused as to why it’s this good. Plus I don’t have any of the genetic marker for diabetes. I’m wondering if there could be an answer to this.</t>
        </is>
      </c>
      <c r="D8875" t="n">
        <v>3</v>
      </c>
      <c r="E8875" t="n">
        <v>26</v>
      </c>
      <c r="F8875">
        <f>HYPERLINK("https://www.reddit.com/r/diabetes/comments/fsh97s/i_was_wondering_if_any_of_you_had_a_period_of/")</f>
        <v/>
      </c>
      <c r="G8875" t="inlineStr">
        <is>
          <t>2020-03-31 10:33:49</t>
        </is>
      </c>
      <c r="H8875" t="inlineStr">
        <is>
          <t>Type 1</t>
        </is>
      </c>
    </row>
    <row r="8876">
      <c r="A8876" t="inlineStr">
        <is>
          <t>fsnayp</t>
        </is>
      </c>
      <c r="B8876" t="inlineStr">
        <is>
          <t>Just started jardiance</t>
        </is>
      </c>
      <c r="C8876" t="inlineStr">
        <is>
          <t>Insurance just approved it. Been on many meds including januvia metformin etc. no stomach issues so far like the others and sugar was at 153 after eating a huge dinner last night and taking no insulin today and still eating.</t>
        </is>
      </c>
      <c r="D8876" t="n">
        <v>2</v>
      </c>
      <c r="E8876" t="n">
        <v>4</v>
      </c>
      <c r="F8876">
        <f>HYPERLINK("https://www.reddit.com/r/diabetes/comments/fsnayp/just_started_jardiance/")</f>
        <v/>
      </c>
      <c r="G8876" t="inlineStr">
        <is>
          <t>2020-03-31 15:51:56</t>
        </is>
      </c>
      <c r="H8876" t="inlineStr">
        <is>
          <t>Type 2</t>
        </is>
      </c>
    </row>
    <row r="8877">
      <c r="A8877" t="inlineStr">
        <is>
          <t>fsncy6</t>
        </is>
      </c>
      <c r="B8877" t="inlineStr">
        <is>
          <t>Insulin pen just stops sometimes</t>
        </is>
      </c>
      <c r="C8877" t="inlineStr">
        <is>
          <t>So I was just put on insulin at night to get my fasting number down.. sometimes the pen injects all the medicine sometimes it stops half way or after 1 click..anyone deal with that and a solution?? My pharmacist said taking the pen apart and "fixing" it should work.. umm okay</t>
        </is>
      </c>
      <c r="D8877" t="n">
        <v>1</v>
      </c>
      <c r="E8877" t="n">
        <v>7</v>
      </c>
      <c r="F8877">
        <f>HYPERLINK("https://www.reddit.com/r/diabetes/comments/fsncy6/insulin_pen_just_stops_sometimes/")</f>
        <v/>
      </c>
      <c r="G8877" t="inlineStr">
        <is>
          <t>2020-03-31 15:55:05</t>
        </is>
      </c>
      <c r="H8877" t="inlineStr">
        <is>
          <t>Type 2</t>
        </is>
      </c>
    </row>
    <row r="8878">
      <c r="A8878" t="inlineStr">
        <is>
          <t>fspppz</t>
        </is>
      </c>
      <c r="B8878" t="inlineStr">
        <is>
          <t>How do I know if I’m in/out of honeymoon?</t>
        </is>
      </c>
      <c r="C8878" t="inlineStr">
        <is>
          <t>I was scrolling through some posts today seeing some people having to take upwards of 20 units for certain meals and I usually only take at most 10 if I’m really going in on the carbs.
I was diagnosed in December of 2019 and am wondering if there’s anyway to tell that I am in/out of the honeymoon phase and if I am in it; how hard is it to keep the levels I am keeping now? I am usually in between 70-130 most of the time and I’m just worried if I am in the honeymoon and get out of it my levels are going to go apeshit.</t>
        </is>
      </c>
      <c r="D8878" t="n">
        <v>1</v>
      </c>
      <c r="E8878" t="n">
        <v>13</v>
      </c>
      <c r="F8878">
        <f>HYPERLINK("https://www.reddit.com/r/diabetes/comments/fspppz/how_do_i_know_if_im_inout_of_honeymoon/")</f>
        <v/>
      </c>
      <c r="G8878" t="inlineStr">
        <is>
          <t>2020-03-31 18:17:18</t>
        </is>
      </c>
      <c r="H8878" t="inlineStr">
        <is>
          <t>Type 1</t>
        </is>
      </c>
    </row>
    <row r="8879">
      <c r="A8879" t="inlineStr">
        <is>
          <t>fsqjjm</t>
        </is>
      </c>
      <c r="B8879" t="inlineStr">
        <is>
          <t>so....what do you do if you lose your insurance?</t>
        </is>
      </c>
      <c r="C8879" t="inlineStr">
        <is>
          <t>I've been T1 for a few years now and I've always had health insurance.  Recently with the corona scare work has slowed way down and I'm currently on stand by.  Fortunately my insurance is still paid for through work, but what happens if things stay slow and they have to let me go?  
I live close to the Canadian border and have gone over once before to pick up humalog and tresiba.  But with the virus scare going strong and the border closed, that isn't an option.  I have about 2 months of insulin left.  What happens if timing is really terrible and I get let go before I get a refill on my insulin and before the canadian border opens back up?  
Just survive on crappy walmart insulin as best I can?</t>
        </is>
      </c>
      <c r="D8879" t="n">
        <v>1</v>
      </c>
      <c r="E8879" t="n">
        <v>10</v>
      </c>
      <c r="F8879">
        <f>HYPERLINK("https://www.reddit.com/r/diabetes/comments/fsqjjm/sowhat_do_you_do_if_you_lose_your_insurance/")</f>
        <v/>
      </c>
      <c r="G8879" t="inlineStr">
        <is>
          <t>2020-03-31 19:09:29</t>
        </is>
      </c>
      <c r="H8879" t="inlineStr">
        <is>
          <t>Type 1</t>
        </is>
      </c>
    </row>
    <row r="8880">
      <c r="A8880" t="inlineStr">
        <is>
          <t>fsqo8u</t>
        </is>
      </c>
      <c r="B8880" t="inlineStr">
        <is>
          <t>I am 24 ( diabetic t1 since 3) and I’ve become an heavy smoker</t>
        </is>
      </c>
      <c r="C8880" t="inlineStr">
        <is>
          <t>Well, as we all know by now, the complications are very bad, and despite having a controled hbac1 (6.5%) I am having trouble quitting smoking, because it’s hard on it self for a “normal” person, but shouldn’t the complications of having diabetes work as an extra motivator? My diet is not that good, but I do maintain healthy weight. It’s just the casual.. work-stress life I guess that prompts me to smoke (alot). 
Just looking for some discussion</t>
        </is>
      </c>
      <c r="D8880" t="n">
        <v>1</v>
      </c>
      <c r="E8880" t="n">
        <v>5</v>
      </c>
      <c r="F8880">
        <f>HYPERLINK("https://www.reddit.com/r/diabetes/comments/fsqo8u/i_am_24_diabetic_t1_since_3_and_ive_become_an/")</f>
        <v/>
      </c>
      <c r="G8880" t="inlineStr">
        <is>
          <t>2020-03-31 19:17:47</t>
        </is>
      </c>
      <c r="H8880" t="inlineStr">
        <is>
          <t>Type 1</t>
        </is>
      </c>
    </row>
    <row r="8881">
      <c r="A8881" t="inlineStr">
        <is>
          <t>fssqu9</t>
        </is>
      </c>
      <c r="B8881" t="inlineStr">
        <is>
          <t>Looking for T1D volunteers for remote design project!</t>
        </is>
      </c>
      <c r="C8881" t="inlineStr">
        <is>
          <t>UCSD Design Lab is looking for T1D volunteers to work with design students on CGM experiences! In light of the current COVID-19 (Coronavirus) pandemic, all of our work will be done remotely. If you're interested, please refer to the flyer for more information. Thank you!
https://preview.redd.it/teeg9nz3x4q41.jpg?width=2550&amp;amp;format=pjpg&amp;amp;auto=webp&amp;amp;s=d7606e79d5f14d4967f517a21489868d296a6602</t>
        </is>
      </c>
      <c r="D8881" t="n">
        <v>1</v>
      </c>
      <c r="E8881" t="n">
        <v>0</v>
      </c>
      <c r="F8881">
        <f>HYPERLINK("https://www.reddit.com/r/diabetes/comments/fssqu9/looking_for_t1d_volunteers_for_remote_design/")</f>
        <v/>
      </c>
      <c r="G8881" t="inlineStr">
        <is>
          <t>2020-03-31 21:36:44</t>
        </is>
      </c>
      <c r="H8881" t="inlineStr">
        <is>
          <t>Type 1</t>
        </is>
      </c>
    </row>
    <row r="8882">
      <c r="A8882" t="inlineStr">
        <is>
          <t>fst71z</t>
        </is>
      </c>
      <c r="B8882" t="inlineStr">
        <is>
          <t>Blood sugar spiking with on keto</t>
        </is>
      </c>
      <c r="C8882" t="inlineStr">
        <is>
          <t>I'm a type 2 diabetic. The first year was easy. I lowered my a1c by 3.5points in the first 6 months. Then I got over confident, and it started to come back up. So I really been buckling down and trying to stick to as little carbs as possible, going for walks, and making sure I take my medication on time.
I'm taking 32units of lantis twice a day currently along with some metformin. I can't keep a consistent blood sugar level!
The last week I have started the keeto diet. I have had zero carbs, while i feel fine my blood sugar is spiking dangerously high while having zero carbs. My blood sugar was 300 this morning! I had no carbs for a week now. I took my meds, drank tons of water, went for a long walk even though I shouldn't be out during this virus. Got it back down as low as 175 before dinner. 
All I had was two poached eggs. I am now checking it before bed and it's back up 235. I have been drinking water all day none stop. I have drank over 2 gallons of water in the last two days trying to keep my sugar even. Nothing I do helps.
All I was able to do is get a hold of my doctors MA which she told me my doctor was out till for two days. She was hoping the person filling in tomorrow might be able to get back to me. 
Has anyone here had this problem? Does anyone know what I'm doing wrong? Thanks!</t>
        </is>
      </c>
      <c r="D8882" t="n">
        <v>1</v>
      </c>
      <c r="E8882" t="n">
        <v>40</v>
      </c>
      <c r="F8882">
        <f>HYPERLINK("https://www.reddit.com/r/diabetes/comments/fst71z/blood_sugar_spiking_with_on_keto/")</f>
        <v/>
      </c>
      <c r="G8882" t="inlineStr">
        <is>
          <t>2020-03-31 22:08:25</t>
        </is>
      </c>
      <c r="H8882" t="inlineStr">
        <is>
          <t>Type 2</t>
        </is>
      </c>
    </row>
    <row r="8883">
      <c r="A8883" t="inlineStr">
        <is>
          <t>fsy0pq</t>
        </is>
      </c>
      <c r="B8883" t="inlineStr">
        <is>
          <t>Anyone experienced dry eyes?</t>
        </is>
      </c>
      <c r="C8883" t="inlineStr">
        <is>
          <t>Last couple of months I started experiencing weird sensations in my left eye, slight stinging especially when looking at monitors (Work in IT so no shock) but it'd continue on for hours and it'd cause me trouble sleeping as I'd constantly "feel" my eye. It hasn't affected my vision but it's always there.
My first thoughts were its retinopathy (my last scan came back as slight changes have occurred) but after speaking to my opticians and GP they have prescribed me Evolve Hypromellose eye drops and said it's likely dry eyes. They have relieved my pains slightly but with everything going on in the end world right now I can't get an in person appointment to confirm.
My big question is, is this likely to be permanent? I've had diabetes for 10 years now and I'm 26 and I've tried controlling my diabetes as best I can and this is really bumming me out, right now it's just my left eye but I dread to feel any sensation in my right eye now too.</t>
        </is>
      </c>
      <c r="D8883" t="n">
        <v>1</v>
      </c>
      <c r="E8883" t="n">
        <v>5</v>
      </c>
      <c r="F8883">
        <f>HYPERLINK("https://www.reddit.com/r/diabetes/comments/fsy0pq/anyone_experienced_dry_eyes/")</f>
        <v/>
      </c>
      <c r="G8883" t="inlineStr">
        <is>
          <t>2020-04-01 04:28:40</t>
        </is>
      </c>
      <c r="H8883" t="inlineStr">
        <is>
          <t>Type 1</t>
        </is>
      </c>
    </row>
    <row r="8884">
      <c r="A8884" t="inlineStr">
        <is>
          <t>ft1mkg</t>
        </is>
      </c>
      <c r="B8884" t="inlineStr">
        <is>
          <t>Diabetes type 1 and eating disorders (help) (Trigger Warning)</t>
        </is>
      </c>
      <c r="C8884" t="inlineStr">
        <is>
          <t>Hi, I'm new here.
Since I was 16 years old I have regularly starved myself.
Half a year ago I started losing weight really fast even though I was eating a lot. After a few months, I was the skinniest I have ever been but was probably eating more than I had ever done in my life. It was like a fucking dream. But my sight got worse and I lost feeling in my foot and in my hand. Then I got diagnosed with diabetes type 1 (5 months ago)
Now (20 y/o) I have gained the weight back and for the last two weeks I have not given myself any insulin and I am afraid of checking my blood sugar because I know that it is way too high. I am lying to my roommates and damaging my body.
I know that if I continue doing this I could do long term damage, but I still have this voice in my head that convinces me that if I just don't do it for a few weeks I would lose so much weight. I know that it is worse to lose your sight or have kidney failure or die than to not be skinny, but I still want to do this. 
I know this sounds so weird and of course, I don't want to die so is there anyone here that has type 1 diabetes and has stopped giving themself insulin to get skinny. I just want someone to talk to about this.</t>
        </is>
      </c>
      <c r="D8884" t="n">
        <v>1</v>
      </c>
      <c r="E8884" t="n">
        <v>17</v>
      </c>
      <c r="F8884">
        <f>HYPERLINK("https://www.reddit.com/r/diabetes/comments/ft1mkg/diabetes_type_1_and_eating_disorders_help_trigger/")</f>
        <v/>
      </c>
      <c r="G8884" t="inlineStr">
        <is>
          <t>2020-04-01 08:15:23</t>
        </is>
      </c>
      <c r="H8884" t="inlineStr">
        <is>
          <t>Type 1</t>
        </is>
      </c>
    </row>
    <row r="8885">
      <c r="A8885" t="inlineStr">
        <is>
          <t>ft9852</t>
        </is>
      </c>
      <c r="B8885" t="inlineStr">
        <is>
          <t>I just got diagnose with diabetes a few months ago!! Need advice!</t>
        </is>
      </c>
      <c r="C8885" t="inlineStr">
        <is>
          <t>Hey everyone, I found out that I have Type 1 diabetes in February and it's been a scary journey. It would be great if you guys could talk about what difficulties you guys have faced and how you've managed it. Thanks!</t>
        </is>
      </c>
      <c r="D8885" t="n">
        <v>1</v>
      </c>
      <c r="E8885" t="n">
        <v>2</v>
      </c>
      <c r="F8885">
        <f>HYPERLINK("https://www.reddit.com/r/diabetes/comments/ft9852/i_just_got_diagnose_with_diabetes_a_few_months/")</f>
        <v/>
      </c>
      <c r="G8885" t="inlineStr">
        <is>
          <t>2020-04-01 14:37:03</t>
        </is>
      </c>
      <c r="H8885" t="inlineStr">
        <is>
          <t>Type 1</t>
        </is>
      </c>
    </row>
    <row r="8886">
      <c r="A8886" t="inlineStr">
        <is>
          <t>ftfart</t>
        </is>
      </c>
      <c r="B8886" t="inlineStr">
        <is>
          <t>Question for a friend with Type 1</t>
        </is>
      </c>
      <c r="C8886" t="inlineStr">
        <is>
          <t>My best friend was unfortunately diagnosed with Type 1 in high school. Is pooping a high amount something associated with diabetes or is this something else?</t>
        </is>
      </c>
      <c r="D8886" t="n">
        <v>1</v>
      </c>
      <c r="E8886" t="n">
        <v>0</v>
      </c>
      <c r="F8886">
        <f>HYPERLINK("https://www.reddit.com/r/diabetes/comments/ftfart/question_for_a_friend_with_type_1/")</f>
        <v/>
      </c>
      <c r="G8886" t="inlineStr">
        <is>
          <t>2020-04-01 20:46:04</t>
        </is>
      </c>
      <c r="H8886" t="inlineStr">
        <is>
          <t>Type 1</t>
        </is>
      </c>
    </row>
    <row r="8887">
      <c r="A8887" t="inlineStr">
        <is>
          <t>ftguot</t>
        </is>
      </c>
      <c r="B8887" t="inlineStr">
        <is>
          <t>Dexcom trouble on iPhone app.</t>
        </is>
      </c>
      <c r="C8887" t="inlineStr">
        <is>
          <t>I got the Dexcom in September 2019. The receiver (little phone it comes with) has always worked with my dexcom, there have been a few times it doesn’t work, this has only happened to 2 different sensors (the thing you actually stick on your skin). I have the iPhone xs max, thought maybe it had something to do with the function of the Dexcom app. I’ve also had the app since September 2019. The app only works when I first start a new sensor or when I can waste 5 minutes trying to make it work by turning on and off my bluetooth as the app says. I’ve called the Dexcom customer support a few times and they all say the same thing, turn bluetooth off and on and wait 10 minutes. I usually have nothing else connected to my bluetooth but my dexcom and I make sure it’s connected on the device list in my settings under “bluetooth”. Anyone with the same problems? Can anyone help?</t>
        </is>
      </c>
      <c r="D8887" t="n">
        <v>1</v>
      </c>
      <c r="E8887" t="n">
        <v>3</v>
      </c>
      <c r="F8887">
        <f>HYPERLINK("https://www.reddit.com/r/diabetes/comments/ftguot/dexcom_trouble_on_iphone_app/")</f>
        <v/>
      </c>
      <c r="G8887" t="inlineStr">
        <is>
          <t>2020-04-01 22:46:35</t>
        </is>
      </c>
      <c r="H8887" t="inlineStr">
        <is>
          <t>Type 1</t>
        </is>
      </c>
    </row>
    <row r="8888">
      <c r="A8888" t="inlineStr">
        <is>
          <t>fthmg7</t>
        </is>
      </c>
      <c r="B8888" t="inlineStr">
        <is>
          <t>I started Metformin, is my blood sugar suppose to be lower by now? What else should i expect on this medication?</t>
        </is>
      </c>
      <c r="C8888" t="inlineStr">
        <is>
          <t>So I've been taking Metformin for 6 days now (taking 1 500mg a day and then i have to take 2 500mg a day starting saturday), and I just had a question. Is my blood sugar suppose to be lower by now or do i have to wait a bit longer?
Right now in the mornings before eating my blood sugar is 16 mmol/L, is it suppose to be lower by now?</t>
        </is>
      </c>
      <c r="D8888" t="n">
        <v>1</v>
      </c>
      <c r="E8888" t="n">
        <v>8</v>
      </c>
      <c r="F8888">
        <f>HYPERLINK("https://www.reddit.com/r/diabetes/comments/fthmg7/i_started_metformin_is_my_blood_sugar_suppose_to/")</f>
        <v/>
      </c>
      <c r="G8888" t="inlineStr">
        <is>
          <t>2020-04-01 23:53:47</t>
        </is>
      </c>
      <c r="H8888" t="inlineStr">
        <is>
          <t>Type 2</t>
        </is>
      </c>
    </row>
    <row r="8889">
      <c r="A8889" t="inlineStr">
        <is>
          <t>ftlggd</t>
        </is>
      </c>
      <c r="B8889" t="inlineStr">
        <is>
          <t>What can I do with my Omnipod PDM that is out of warranty?</t>
        </is>
      </c>
      <c r="C8889" t="inlineStr">
        <is>
          <t>I just got a new OmniPod PDF since my warranty expired on my previous PDM.  I'm wondering if anyone knows of any organizations I can donate this to?  It is less than a year old (it was replaced as my original pump malfunctioned while still under warranty) and works just fine.
TIA.</t>
        </is>
      </c>
      <c r="D8889" t="n">
        <v>1</v>
      </c>
      <c r="E8889" t="n">
        <v>0</v>
      </c>
      <c r="F8889">
        <f>HYPERLINK("https://www.reddit.com/r/diabetes/comments/ftlggd/what_can_i_do_with_my_omnipod_pdm_that_is_out_of/")</f>
        <v/>
      </c>
      <c r="G8889" t="inlineStr">
        <is>
          <t>2020-04-02 05:26:41</t>
        </is>
      </c>
      <c r="H8889" t="inlineStr">
        <is>
          <t>Type 2</t>
        </is>
      </c>
    </row>
    <row r="8890">
      <c r="A8890" t="inlineStr">
        <is>
          <t>ftmp3c</t>
        </is>
      </c>
      <c r="B8890" t="inlineStr">
        <is>
          <t>Management with depression? Please help</t>
        </is>
      </c>
      <c r="C8890" t="inlineStr">
        <is>
          <t>Hi, guys. I'm new here, and I'm a 18 year old diabetic with type 2; I was diagnosed 4 years ago. Up until late last year my A1C and blood sugar have been good without much work, but all of a sudden it went from 6's to an 8. I don't know what happened because my diet didn't change, but now I'm getting much higher readings. Exercise is something I have to really kick myself in the butt for bc I struggled to find time, but now with quarantine it's more about feeling motivated due to my depression. Also my high readings make me feel worse about my image, bc I will exercise sometimes for weeks without any change. 
I have a 1.5 mother who is really harping on me about this and if I slack for a couple of days on exercise she gets upset with me, or looks at my high readings and tries to destroy my 'but I wont be so hard on myself bc' logic (like if I wake up high but ate right before bed sort of thing). I'm not sure how to get through to her this is me trying to avoid thoughts like "I'll never get better" or "I'm unhealthy bc I'm not like other people". For a long time I took my diabetes really hard bc I saw these kids my age treating themselves worse then me and consuming sugary stuff, but they were completely healthy just bc they didn't get the short end of the stick in a family with diabetic history. I feel really hopeless right now so, I really want to ask for advice. 
What do you guys do to help take care of yourself? How do you get yourself to exercise? Do you struggle with mental health that affects your diabetes?</t>
        </is>
      </c>
      <c r="D8890" t="n">
        <v>1</v>
      </c>
      <c r="E8890" t="n">
        <v>2</v>
      </c>
      <c r="F8890">
        <f>HYPERLINK("https://www.reddit.com/r/diabetes/comments/ftmp3c/management_with_depression_please_help/")</f>
        <v/>
      </c>
      <c r="G8890" t="inlineStr">
        <is>
          <t>2020-04-02 06:52:40</t>
        </is>
      </c>
      <c r="H8890" t="inlineStr">
        <is>
          <t>Type 2</t>
        </is>
      </c>
    </row>
    <row r="8891">
      <c r="A8891" t="inlineStr">
        <is>
          <t>ftng8s</t>
        </is>
      </c>
      <c r="B8891" t="inlineStr">
        <is>
          <t>Type 1 and high risk for COVID-19</t>
        </is>
      </c>
      <c r="C8891" t="inlineStr">
        <is>
          <t>Two days ago I went to my physician for a regular follow up for my Type 1 diabetes diagnosis I received at the end of January of this year. I also needed a note from him. I asked if having Type 1 put me in the high risk category for COVID-19. I also asked if he would write a note so I can apply for two weeks emergency pay, but he did not consider me in the high risk category. I'm a little miffed. Is type 1 considered high risk in this time of the corona virus?</t>
        </is>
      </c>
      <c r="D8891" t="n">
        <v>1</v>
      </c>
      <c r="E8891" t="n">
        <v>0</v>
      </c>
      <c r="F8891">
        <f>HYPERLINK("https://www.reddit.com/r/diabetes/comments/ftng8s/type_1_and_high_risk_for_covid19/")</f>
        <v/>
      </c>
      <c r="G8891" t="inlineStr">
        <is>
          <t>2020-04-02 07:38:57</t>
        </is>
      </c>
      <c r="H8891" t="inlineStr">
        <is>
          <t>Type 1</t>
        </is>
      </c>
    </row>
    <row r="8892">
      <c r="A8892" t="inlineStr">
        <is>
          <t>fto1ef</t>
        </is>
      </c>
      <c r="B8892" t="inlineStr">
        <is>
          <t>PSA to people who switched to Tandem from Minimed</t>
        </is>
      </c>
      <c r="C8892" t="inlineStr">
        <is>
          <t>Hey all as someone who has had diabetes for 16 years I want to inform people who switch to the Tandem pump about insulin blockages. They are very common for Tandem pumps and don’t indicate a major failure, just make a note of how much insulin didn’t get delivered, straighten out your tubing, and re-dose. With the Minimed pumps a delivery issue was severe, it only happened to me once in 14 years, and it was due to hitting a vein or capillary and blood shooting into the infusion set. 
Tl;dr Tandem insulin blockage is not a big deal, Minimed blockage is. Carry on.</t>
        </is>
      </c>
      <c r="D8892" t="n">
        <v>1</v>
      </c>
      <c r="E8892" t="n">
        <v>2</v>
      </c>
      <c r="F8892">
        <f>HYPERLINK("https://www.reddit.com/r/diabetes/comments/fto1ef/psa_to_people_who_switched_to_tandem_from_minimed/")</f>
        <v/>
      </c>
      <c r="G8892" t="inlineStr">
        <is>
          <t>2020-04-02 08:13:37</t>
        </is>
      </c>
      <c r="H8892" t="inlineStr">
        <is>
          <t>Type 1</t>
        </is>
      </c>
    </row>
    <row r="8893">
      <c r="A8893" t="inlineStr">
        <is>
          <t>ftpphk</t>
        </is>
      </c>
      <c r="B8893" t="inlineStr">
        <is>
          <t>Humalog 75/25 mix</t>
        </is>
      </c>
      <c r="C8893" t="inlineStr">
        <is>
          <t>Diabetic for a buncha years, been on humalog since day 1 for short acting and Lantus for long acting. my roommates mom gets insulin through her work that she gives me to keep my back stock up. (an angel i know) one time she accidentally gave me a humalog kwikpen that’s a 75/25 mix. i meant to bring it up at my latest Endo/PCP appointment to see how i could correctly use it or if i just shouldn’t mess with it but forgot cause it happens, and now with Covid we’re all high risk so i don’t want to go unless i absolutely have to. anyone have any insight from personal use or a medical viewpoint on whether i can use this correctly</t>
        </is>
      </c>
      <c r="D8893" t="n">
        <v>1</v>
      </c>
      <c r="E8893" t="n">
        <v>1</v>
      </c>
      <c r="F8893">
        <f>HYPERLINK("https://www.reddit.com/r/diabetes/comments/ftpphk/humalog_7525_mix/")</f>
        <v/>
      </c>
      <c r="G8893" t="inlineStr">
        <is>
          <t>2020-04-02 09:46:23</t>
        </is>
      </c>
      <c r="H8893" t="inlineStr">
        <is>
          <t>Type 1</t>
        </is>
      </c>
    </row>
    <row r="8894">
      <c r="A8894" t="inlineStr">
        <is>
          <t>ftsxoa</t>
        </is>
      </c>
      <c r="B8894" t="inlineStr">
        <is>
          <t>Quarantine help</t>
        </is>
      </c>
      <c r="C8894" t="inlineStr">
        <is>
          <t>Hey guys, I posted on here a few weeks ago, I'm trying to lose weight, lost 10 pounds so far, but since the gyms have closed, I need a at home workout routine, anyone got any?</t>
        </is>
      </c>
      <c r="D8894" t="n">
        <v>1</v>
      </c>
      <c r="E8894" t="n">
        <v>4</v>
      </c>
      <c r="F8894">
        <f>HYPERLINK("https://www.reddit.com/r/diabetes/comments/ftsxoa/quarantine_help/")</f>
        <v/>
      </c>
      <c r="G8894" t="inlineStr">
        <is>
          <t>2020-04-02 12:38:28</t>
        </is>
      </c>
      <c r="H8894" t="inlineStr">
        <is>
          <t>Type 2</t>
        </is>
      </c>
    </row>
    <row r="8895">
      <c r="A8895" t="inlineStr">
        <is>
          <t>ftw3hx</t>
        </is>
      </c>
      <c r="B8895" t="inlineStr">
        <is>
          <t>TruSteel Infusion Set. My site is killing.... me.</t>
        </is>
      </c>
      <c r="C8895" t="inlineStr">
        <is>
          <t>I've just set up my new infusion site and it's freaking killing me. I've been doing the pump thing for just over 5 years and every so often this happens any ideas as to why. In the past I've changed site locations but I'm thinking of just leaving it and enduring the pain. I do not have any signs of lipohypertrophy in the site region or for that matter on my person. 
I was doing MDI for 42 years and 5 years on a Animas pump and just over a month on the Tandem X2. You got to love living with diabetes I'm keeping my chin up. Cheers......</t>
        </is>
      </c>
      <c r="D8895" t="n">
        <v>1</v>
      </c>
      <c r="E8895" t="n">
        <v>1</v>
      </c>
      <c r="F8895">
        <f>HYPERLINK("https://www.reddit.com/r/diabetes/comments/ftw3hx/trusteel_infusion_set_my_site_is_killing_me/")</f>
        <v/>
      </c>
      <c r="G8895" t="inlineStr">
        <is>
          <t>2020-04-02 15:32:22</t>
        </is>
      </c>
      <c r="H8895" t="inlineStr">
        <is>
          <t>Type 1</t>
        </is>
      </c>
    </row>
    <row r="8896">
      <c r="A8896" t="inlineStr">
        <is>
          <t>ftznr5</t>
        </is>
      </c>
      <c r="B8896" t="inlineStr">
        <is>
          <t>New to all this, did my first glucose test today. Will the number go down?</t>
        </is>
      </c>
      <c r="C8896" t="inlineStr">
        <is>
          <t>Hey all, recently found out I was diabetic with an a1c of ~11. Met with an Endocrinologist today, who gave me a meter and put me on metformin, but didn't really give me any guidance regarding what my numbers should be doing (I didn't think to ask). 
First test reading was 210 about 2 1/2 hours post meal (sandwich with low carb bread - about 14g of carbs total). I've been eating very low carb (averaging around 50g total for the whole day) for the last 10ish days - pretty much since my primary care called to confirm it. Haven't done much exercise since I've been recovering from surgery still, but was quite active before the surgery - I was just eating like shit and diabetes is hereditary. 
I believe when my blood was drawn for the surgery pre-op it tested at 270, so 210 is certainly an improvement. I just don't know what 210 means other than my meter telling me its "above range". Will it continue to go down as I continue to eat better and lose weight or is it too soon to tell based off just one reading? 
Kinda just spooked by all this and looking for guidance. Any help would be appreciated.</t>
        </is>
      </c>
      <c r="D8896" t="n">
        <v>1</v>
      </c>
      <c r="E8896" t="n">
        <v>4</v>
      </c>
      <c r="F8896">
        <f>HYPERLINK("https://www.reddit.com/r/diabetes/comments/ftznr5/new_to_all_this_did_my_first_glucose_test_today/")</f>
        <v/>
      </c>
      <c r="G8896" t="inlineStr">
        <is>
          <t>2020-04-02 19:12:02</t>
        </is>
      </c>
      <c r="H8896" t="inlineStr">
        <is>
          <t>Type 2</t>
        </is>
      </c>
    </row>
    <row r="8897">
      <c r="A8897" t="inlineStr">
        <is>
          <t>fu2kwc</t>
        </is>
      </c>
      <c r="B8897" t="inlineStr">
        <is>
          <t>Can’t feel orgasms... IM ONLY 18</t>
        </is>
      </c>
      <c r="C8897" t="inlineStr">
        <is>
          <t>Went uncontrolled for months before finding out I’m diabetic. I feel no pleasure from sex, I can barley even get myself off. IM DEVASTATED. Sex doesn’t feel good, is there anything that can reverse this??!)? My BG is well under control now but I’m so young and I’m devastated with this, I’ve managed to only climax once with a woman and all I want is my old sensation back. I was deficient in B12 a while ago could that be it? Would getting B12 back in me cause me to gain sensations again? Any advice helps... this loops my mind all day to the point I wanna lay down and cry</t>
        </is>
      </c>
      <c r="D8897" t="n">
        <v>1</v>
      </c>
      <c r="E8897" t="n">
        <v>13</v>
      </c>
      <c r="F8897">
        <f>HYPERLINK("https://www.reddit.com/r/diabetes/comments/fu2kwc/cant_feel_orgasms_im_only_18/")</f>
        <v/>
      </c>
      <c r="G8897" t="inlineStr">
        <is>
          <t>2020-04-02 22:33:23</t>
        </is>
      </c>
      <c r="H8897" t="inlineStr">
        <is>
          <t>Type 1</t>
        </is>
      </c>
    </row>
    <row r="8898">
      <c r="A8898" t="inlineStr">
        <is>
          <t>fu2vrn</t>
        </is>
      </c>
      <c r="B8898" t="inlineStr">
        <is>
          <t>Has anyone ever successfully reversed neuropathy?</t>
        </is>
      </c>
      <c r="C8898" t="inlineStr">
        <is>
          <t>I have neuropathy on my hands, feet and worse of all the tip of my dick. I’m devastated beyond reason. Has anyone ever had damage done and managed to recover? Will taking B12 help? Please any answers help, I already have an appointment to see my endo next week</t>
        </is>
      </c>
      <c r="D8898" t="n">
        <v>1</v>
      </c>
      <c r="E8898" t="n">
        <v>4</v>
      </c>
      <c r="F8898">
        <f>HYPERLINK("https://www.reddit.com/r/diabetes/comments/fu2vrn/has_anyone_ever_successfully_reversed_neuropathy/")</f>
        <v/>
      </c>
      <c r="G8898" t="inlineStr">
        <is>
          <t>2020-04-02 22:57:39</t>
        </is>
      </c>
      <c r="H8898" t="inlineStr">
        <is>
          <t>Type 1</t>
        </is>
      </c>
    </row>
    <row r="8899">
      <c r="A8899" t="inlineStr">
        <is>
          <t>fu2y13</t>
        </is>
      </c>
      <c r="B8899" t="inlineStr">
        <is>
          <t>Has anyone ever successfully reversed neuropathy?</t>
        </is>
      </c>
      <c r="C8899" t="inlineStr">
        <is>
          <t>I have neuropathy on my hands, feet and worse of all the tip of my dick. I’m devastated beyond reason. Has anyone ever had damage done and managed to recover? Will taking B12 help? Please any answers help, I already have an appointment to see my endo next week</t>
        </is>
      </c>
      <c r="D8899" t="n">
        <v>1</v>
      </c>
      <c r="E8899" t="n">
        <v>4</v>
      </c>
      <c r="F8899">
        <f>HYPERLINK("https://www.reddit.com/r/diabetes/comments/fu2y13/has_anyone_ever_successfully_reversed_neuropathy/")</f>
        <v/>
      </c>
      <c r="G8899" t="inlineStr">
        <is>
          <t>2020-04-02 23:02:52</t>
        </is>
      </c>
      <c r="H8899" t="inlineStr">
        <is>
          <t>Type 1</t>
        </is>
      </c>
    </row>
    <row r="8900">
      <c r="A8900" t="inlineStr">
        <is>
          <t>fu2y74</t>
        </is>
      </c>
      <c r="B8900" t="inlineStr">
        <is>
          <t>Has anyone ever successfully reversed neuropathy?</t>
        </is>
      </c>
      <c r="C8900" t="inlineStr">
        <is>
          <t>I have neuropathy on my hands, feet and worse of all the tip of my dick. I’m devastated beyond reason. Has anyone ever had damage done and managed to recover? Will taking B12 help? Please any answers help, I already have an appointment to see my endo next week</t>
        </is>
      </c>
      <c r="D8900" t="n">
        <v>1</v>
      </c>
      <c r="E8900" t="n">
        <v>3</v>
      </c>
      <c r="F8900">
        <f>HYPERLINK("https://www.reddit.com/r/diabetes/comments/fu2y74/has_anyone_ever_successfully_reversed_neuropathy/")</f>
        <v/>
      </c>
      <c r="G8900" t="inlineStr">
        <is>
          <t>2020-04-02 23:03:15</t>
        </is>
      </c>
      <c r="H8900" t="inlineStr">
        <is>
          <t>Type 1</t>
        </is>
      </c>
    </row>
    <row r="8901">
      <c r="A8901" t="inlineStr">
        <is>
          <t>fu5ffw</t>
        </is>
      </c>
      <c r="B8901" t="inlineStr">
        <is>
          <t>T1 Diabetic’s average fast acting ratios and boluses</t>
        </is>
      </c>
      <c r="C8901" t="inlineStr">
        <is>
          <t>I’m a video game developer and a type 1 diabetic. I’m starting on a game where one plays as a t1 diabetic and will be including as realistic as possible blood sugar management. I was originally just going to base all the math around my 8:1 ratio and every 40 over 120, but then I realized that it’s totally possible Im an outlier in either field, and I’d like the game to be more representative of us t1’s as a whole rather than just me personally.
I would appreciate if any other t1’s out there could share with me their grams of carbs to units ratio and their bolus guidelines. It would also be appreciated if you noted if you use mM(most places) or mg/dL(American)</t>
        </is>
      </c>
      <c r="D8901" t="n">
        <v>1</v>
      </c>
      <c r="E8901" t="n">
        <v>10</v>
      </c>
      <c r="F8901">
        <f>HYPERLINK("https://www.reddit.com/r/diabetes/comments/fu5ffw/t1_diabetics_average_fast_acting_ratios_and/")</f>
        <v/>
      </c>
      <c r="G8901" t="inlineStr">
        <is>
          <t>2020-04-03 02:39:25</t>
        </is>
      </c>
      <c r="H8901" t="inlineStr">
        <is>
          <t>Type 1</t>
        </is>
      </c>
    </row>
    <row r="8902">
      <c r="A8902" t="inlineStr">
        <is>
          <t>fubjo0</t>
        </is>
      </c>
      <c r="B8902" t="inlineStr">
        <is>
          <t>Ozempic to Trulicity</t>
        </is>
      </c>
      <c r="C8902" t="inlineStr">
        <is>
          <t>Anyone experience switching from one to the other?</t>
        </is>
      </c>
      <c r="D8902" t="n">
        <v>1</v>
      </c>
      <c r="E8902" t="n">
        <v>2</v>
      </c>
      <c r="F8902">
        <f>HYPERLINK("https://www.reddit.com/r/diabetes/comments/fubjo0/ozempic_to_trulicity/")</f>
        <v/>
      </c>
      <c r="G8902" t="inlineStr">
        <is>
          <t>2020-04-03 09:33:04</t>
        </is>
      </c>
      <c r="H8902" t="inlineStr">
        <is>
          <t>Type 2</t>
        </is>
      </c>
    </row>
    <row r="8903">
      <c r="A8903" t="inlineStr">
        <is>
          <t>fuem1b</t>
        </is>
      </c>
      <c r="B8903" t="inlineStr">
        <is>
          <t>Can people at risk (such as T1 diabetics) be tested for coronavirus even if they are asymptomatic?</t>
        </is>
      </c>
      <c r="C8903" t="inlineStr">
        <is>
          <t>Someone with diabetes would be less stressed if they knew they could get the virus and not get sick&amp;gt;</t>
        </is>
      </c>
      <c r="D8903" t="n">
        <v>1</v>
      </c>
      <c r="E8903" t="n">
        <v>4</v>
      </c>
      <c r="F8903">
        <f>HYPERLINK("https://www.reddit.com/r/diabetes/comments/fuem1b/can_people_at_risk_such_as_t1_diabetics_be_tested/")</f>
        <v/>
      </c>
      <c r="G8903" t="inlineStr">
        <is>
          <t>2020-04-03 12:20:32</t>
        </is>
      </c>
      <c r="H8903" t="inlineStr">
        <is>
          <t>Type 1</t>
        </is>
      </c>
    </row>
    <row r="8904">
      <c r="A8904" t="inlineStr">
        <is>
          <t>fuk2ay</t>
        </is>
      </c>
      <c r="B8904" t="inlineStr">
        <is>
          <t>Very confused</t>
        </is>
      </c>
      <c r="C8904" t="inlineStr">
        <is>
          <t>Hello everyone.
Trying to find out if someone here has similar symptoms. Late September early October 2019. At the time I was pushing 190 lbs. I was diagnosed with type 2 diabetes. I had an A1C of 13.4 I was out on metformin and insulin. Around December I had a bout of what they called starvation Ketoacidosis. I was in the ER for 4 days while they tested and stabilized some numbers. I saw a Gastroenterologist who wanted me to get checked for gastroparesis. An Endo saw me as well. He ordered your typical panels to test for type 1. All came back negative. I was released. I left the hosptial and was put on a bolus insulin and ordered to see an endo. The endo at the hospital sent a referral to test for MODY diabetes, but the endo I went to see had a suspicion it was lada. Fast forward to January. Another episode about a month later. High ketones in the urine, again the called it starvation Ketoacidosis. Again in February I went back in, and I had another episode in early March. All the same symptoms vomiting nausea can't keep anything down, and the highest my blood sugars got was 220 in the hospital. The typical treatment is IV bags and other anti nausea meds that are given via IV. I went and saw the Top specialist at a Univeristy hospital. Tested my A1C it was down to 5.9. He wanted to pull me off insulin, but my morning numbers were somewhat out of whack. I have gone from originally 6 units of baslagar to 27 units now. I was doing a keto diet but all the Endos I have seen told me to stop and keep eating what I can. My weight at last check was 155, and I'm having a hard time. So here we are in early April, and I'm having symptoms like I did. I have been vomiting for 2 days my BS will not get below 140, even with no food. I'm starting to think I have a autoimmune disease along with having type 1.5. Lastly. The university doctor kept saying it's very unlikely you are a type 1.5 due to the fact you are Korean.</t>
        </is>
      </c>
      <c r="D8904" t="n">
        <v>1</v>
      </c>
      <c r="E8904" t="n">
        <v>8</v>
      </c>
      <c r="F8904">
        <f>HYPERLINK("https://www.reddit.com/r/diabetes/comments/fuk2ay/very_confused/")</f>
        <v/>
      </c>
      <c r="G8904" t="inlineStr">
        <is>
          <t>2020-04-03 17:37:08</t>
        </is>
      </c>
      <c r="H8904" t="inlineStr">
        <is>
          <t>Type 2</t>
        </is>
      </c>
    </row>
    <row r="8905">
      <c r="A8905" t="inlineStr">
        <is>
          <t>fumyso</t>
        </is>
      </c>
      <c r="B8905" t="inlineStr">
        <is>
          <t>Staying home as a diabetic</t>
        </is>
      </c>
      <c r="C8905" t="inlineStr">
        <is>
          <t>The news is clear: diabetics are vulnerable.
My job has been determined to be essential, however I work with my hands and I cannot work from home. I left work a few weeks ago and used up all of my sick time, an additional generous ten days of sick time my employer gave me, and now I'm using vacation time - which will be gone next week. I have to think seriously about what to do next.
I'm curious what others have done. How have your states handled self-isolation, in terms of benefits?</t>
        </is>
      </c>
      <c r="D8905" t="n">
        <v>1</v>
      </c>
      <c r="E8905" t="n">
        <v>20</v>
      </c>
      <c r="F8905">
        <f>HYPERLINK("https://www.reddit.com/r/diabetes/comments/fumyso/staying_home_as_a_diabetic/")</f>
        <v/>
      </c>
      <c r="G8905" t="inlineStr">
        <is>
          <t>2020-04-03 20:58:37</t>
        </is>
      </c>
      <c r="H8905" t="inlineStr">
        <is>
          <t>Type 1</t>
        </is>
      </c>
    </row>
    <row r="8906">
      <c r="A8906" t="inlineStr">
        <is>
          <t>fuos6i</t>
        </is>
      </c>
      <c r="B8906" t="inlineStr">
        <is>
          <t>Do I have diabetes??</t>
        </is>
      </c>
      <c r="C8906" t="inlineStr">
        <is>
          <t>21 Year old male, recently noticed I have been peeing a little more often then usually. I made a log of it the other week. Days we’re I drink around 1-2 liters of liquids, I pee about 5-6 times over a 24 hour period.
Would that be considered Frequent Urination? 
P.S: That is the only symptom I seem to be having, I do not have excessive thirst or hunger. I do drink a lot of diet sodas which I have cut down the past few weeks.</t>
        </is>
      </c>
      <c r="D8906" t="n">
        <v>1</v>
      </c>
      <c r="E8906" t="n">
        <v>5</v>
      </c>
      <c r="F8906">
        <f>HYPERLINK("https://www.reddit.com/r/diabetes/comments/fuos6i/do_i_have_diabetes/")</f>
        <v/>
      </c>
      <c r="G8906" t="inlineStr">
        <is>
          <t>2020-04-03 23:30:14</t>
        </is>
      </c>
      <c r="H8906" t="inlineStr">
        <is>
          <t>Type 1</t>
        </is>
      </c>
    </row>
    <row r="8907">
      <c r="A8907" t="inlineStr">
        <is>
          <t>fuuu1a</t>
        </is>
      </c>
      <c r="B8907" t="inlineStr">
        <is>
          <t>Coronavirus and diabetes management</t>
        </is>
      </c>
      <c r="C8907" t="inlineStr">
        <is>
          <t>In this time of the coronavirus pandemic, diabetic patients are at high risk in getting the virus. As a health professional, knowing the latest updates of the disease is prime so that we know how diabetic patients can be managed properly. I have come across some courses such as  COVID-19: Tackling the Novel Coronavirus (https://www.futurelearn.com/courses/covid19-novel-coronavirus ) Managing COVID-19 in General Practice (https://www.futurelearn.com/courses/management-of-covid-19-in-general-practice ) . Do you have any other recommendations on relevant courses to do? Thanks!</t>
        </is>
      </c>
      <c r="D8907" t="n">
        <v>1</v>
      </c>
      <c r="E8907" t="n">
        <v>8</v>
      </c>
      <c r="F8907">
        <f>HYPERLINK("https://www.reddit.com/r/diabetes/comments/fuuu1a/coronavirus_and_diabetes_management/")</f>
        <v/>
      </c>
      <c r="G8907" t="inlineStr">
        <is>
          <t>2020-04-04 07:43:53</t>
        </is>
      </c>
      <c r="H8907" t="inlineStr">
        <is>
          <t>Type 2</t>
        </is>
      </c>
    </row>
    <row r="8908">
      <c r="A8908" t="inlineStr">
        <is>
          <t>fuvfpm</t>
        </is>
      </c>
      <c r="B8908" t="inlineStr">
        <is>
          <t>Diabetes control</t>
        </is>
      </c>
      <c r="C8908" t="inlineStr">
        <is>
          <t>Hello everyone!
My dad is a type 2 diabetic and I was wondering if his blood glucose levels would be considered to be under control, wildly out of control, or somewhat controlled. The only information he gives me is that his fasting blood sugar is around 150 nowadays, but can spike to 160, but last year it was around 140 for the entire year?. I was wondering if this is uncontrolled? Also his Icd-10 code shows type 2 diabetes without complications, does this mean that his diabetes is relatively well controlled, or does this not mean anything at all?</t>
        </is>
      </c>
      <c r="D8908" t="n">
        <v>1</v>
      </c>
      <c r="E8908" t="n">
        <v>6</v>
      </c>
      <c r="F8908">
        <f>HYPERLINK("https://www.reddit.com/r/diabetes/comments/fuvfpm/diabetes_control/")</f>
        <v/>
      </c>
      <c r="G8908" t="inlineStr">
        <is>
          <t>2020-04-04 08:20:44</t>
        </is>
      </c>
      <c r="H8908" t="inlineStr">
        <is>
          <t>Type 2</t>
        </is>
      </c>
    </row>
    <row r="8909">
      <c r="A8909" t="inlineStr">
        <is>
          <t>fuvhgm</t>
        </is>
      </c>
      <c r="B8909" t="inlineStr">
        <is>
          <t>Accu-chek Mobile</t>
        </is>
      </c>
      <c r="C8909" t="inlineStr">
        <is>
          <t>How’s it goin?
I got the Accu-chek Mobile meter at the start of January. It seems to have slowed down a bit in the blood analysing stage. Before it used to take like 3-5 seconds, now it’s 10+ seconds before the result comes up on the screen after apply blood. Has this happened to anyone else? 
I check my blood 7 times a day so cassette lasts a week.</t>
        </is>
      </c>
      <c r="D8909" t="n">
        <v>1</v>
      </c>
      <c r="E8909" t="n">
        <v>1</v>
      </c>
      <c r="F8909">
        <f>HYPERLINK("https://www.reddit.com/r/diabetes/comments/fuvhgm/accuchek_mobile/")</f>
        <v/>
      </c>
      <c r="G8909" t="inlineStr">
        <is>
          <t>2020-04-04 08:23:33</t>
        </is>
      </c>
      <c r="H8909" t="inlineStr">
        <is>
          <t>Type 1</t>
        </is>
      </c>
    </row>
    <row r="8910">
      <c r="A8910" t="inlineStr">
        <is>
          <t>fuy3u6</t>
        </is>
      </c>
      <c r="B8910" t="inlineStr">
        <is>
          <t>Dexcom opinions</t>
        </is>
      </c>
      <c r="C8910" t="inlineStr">
        <is>
          <t>Does anyone have a Dexcom that they could share their opinions about?
How do you find it?   
Costs?  
Versus regular monitor?</t>
        </is>
      </c>
      <c r="D8910" t="n">
        <v>1</v>
      </c>
      <c r="E8910" t="n">
        <v>10</v>
      </c>
      <c r="F8910">
        <f>HYPERLINK("https://www.reddit.com/r/diabetes/comments/fuy3u6/dexcom_opinions/")</f>
        <v/>
      </c>
      <c r="G8910" t="inlineStr">
        <is>
          <t>2020-04-04 10:55:50</t>
        </is>
      </c>
      <c r="H8910" t="inlineStr">
        <is>
          <t>Type 1</t>
        </is>
      </c>
    </row>
    <row r="8911">
      <c r="A8911" t="inlineStr">
        <is>
          <t>fuzw48</t>
        </is>
      </c>
      <c r="B8911" t="inlineStr">
        <is>
          <t>glucose monitor</t>
        </is>
      </c>
      <c r="C8911" t="inlineStr">
        <is>
          <t>Are there any non-invasive glucose monitors that are like a watch? I really don't want a dexcom or libre</t>
        </is>
      </c>
      <c r="D8911" t="n">
        <v>1</v>
      </c>
      <c r="E8911" t="n">
        <v>10</v>
      </c>
      <c r="F8911">
        <f>HYPERLINK("https://www.reddit.com/r/diabetes/comments/fuzw48/glucose_monitor/")</f>
        <v/>
      </c>
      <c r="G8911" t="inlineStr">
        <is>
          <t>2020-04-04 12:39:55</t>
        </is>
      </c>
      <c r="H8911" t="inlineStr">
        <is>
          <t>Type 1</t>
        </is>
      </c>
    </row>
    <row r="8912">
      <c r="A8912" t="inlineStr">
        <is>
          <t>fv7wko</t>
        </is>
      </c>
      <c r="B8912" t="inlineStr">
        <is>
          <t>Interview with WIU GA Grant Baker on his journey with Type 1 diabetes</t>
        </is>
      </c>
      <c r="C8912" t="inlineStr">
        <is>
          <t xml:space="preserve"> Western Illinois Basketball Graduate Assistant Grant Baker joins The Party for some quality college basketball content. Andy and Grant discuss Garza vs. Toppin, Mid Majors that had potential in March Madness, Big Ten hoops, the transfer portal and even Cardinals baseball. Grant tells his story, and details how he ended up at Western, and his battle with Type 1 Diabetes. 
 [https://podcasts.apple.com/us/podcast/the-brew-party/id1500801230?ign-mpt=uo%3D4](https://podcasts.apple.com/us/podcast/the-brew-party/id1500801230?ign-mpt=uo%3D4) 
 [https://open.spotify.com/show/4FFCWMtKhNhvOzT7WRzVSp](https://open.spotify.com/show/4FFCWMtKhNhvOzT7WRzVSp) 
 [http://thebrewparty.buzzsprout.com/896539](http://thebrewparty.buzzsprout.com/896539)</t>
        </is>
      </c>
      <c r="D8912" t="n">
        <v>1</v>
      </c>
      <c r="E8912" t="n">
        <v>0</v>
      </c>
      <c r="F8912">
        <f>HYPERLINK("https://www.reddit.com/r/diabetes/comments/fv7wko/interview_with_wiu_ga_grant_baker_on_his_journey/")</f>
        <v/>
      </c>
      <c r="G8912" t="inlineStr">
        <is>
          <t>2020-04-04 21:31:24</t>
        </is>
      </c>
      <c r="H8912" t="inlineStr">
        <is>
          <t>Type 1</t>
        </is>
      </c>
    </row>
    <row r="8913">
      <c r="A8913" t="inlineStr">
        <is>
          <t>fvb6tu</t>
        </is>
      </c>
      <c r="B8913" t="inlineStr">
        <is>
          <t>Medium to high carb diet is obviously not working out. Diabetes is now seriously making my life miserable.</t>
        </is>
      </c>
      <c r="C8913" t="inlineStr">
        <is>
          <t>Hello everyone I apologize for the length of this post and also I know my english isn't perfect as I am finnish. I've been type 1 diabetic since I was 4 years old and without giving my exact age I'll say I've had it over 20 years now.
I admit my my lifestyle and how I eat are not something to brag about. I'm kind of chubby, I usually eat once or twice a day and I mostly sit during the day although I've been doing some cycling and basic excerise at home. Atleast I can say that I almost never have sugar but when I do eat I tend to have too much carbs. 100 to 150 carbs is something quite usual for me on my big meal of the day. I know it's alot and the thing is I was "fine" before but now it's gotten impossible to control.
I'm currently on 38 units of Tresiba a day and 1,5 units of novorapid/10g carbs. My current problem is that it feels like sometimes the fast acting insulin works just fine and sometimes it doesn't seem to do anything! Also just in the past year I stopped waking up to lows (I'm using a libre so I can see it). I usually eat my meal of the day couple of hours after I get home so around 6. Afterwards I need to keep checking my bg for hours and hours to make sure the insulin is actually doing anything and I'll try to inject more so my bg wouldn't get so high and so I could finally go to bed. Doing this resulted in me overcorrecting because I was tired and I just wanted to sleep and then I could see a few times the next day that I had been extremely low during sleep and I didn't wake up to it.
What happened yesterday/today is what made me make this post. I ate food yesterday around 7pm. My bg was 145, carbs were 140g and I used 25 units for it (more than what the doctors have told me because I knew it's just not enough). 9pm I was at 250, 10 pm I was at 290 and I took 10 units more, midnight i was 325 and I decided to go for a walk so maybe that would help. Nope no change and by 2 am I was at 360 and I took another 10 of insulin. Finally bg is going down but now I need to monitor it so I don't go low, but hey this is one of those even weirder days. 5am comes and now bg starts levelling out at 300 and I think surely after so much insulin it'll start going down again but no, after an hour I take another 5 and sure enough it starts going down again. It keeps going down untill 9am and then it levels out at a nice 125. So by now I had been awake all night watching my blood sugar and in total I had taken over double the dose of insulin than what my doctor said I should be taking. I guess I need to stay up all day now without sleep because I have places to be monday.
Just going to sleep while blood sugar is high is something I don't consider an option, it destroys the quality of sleep and you feel like shit the next day. I also seriously would rather not eat more often like so many tend to recommend, I just don't feel like eating most of the day untill I'm actually hungry. Has anyone here had similiar problems? I'm thinking I need to start cutting out most of the pasta, rice, potatoes and bread which are the most common sources of carbs for me. It would honestly also be great to hear if there are others like me and what they've done to fix the problem... Maybe even recipes or meal plans or something. Thanks if you read it all hehe.</t>
        </is>
      </c>
      <c r="D8913" t="n">
        <v>1</v>
      </c>
      <c r="E8913" t="n">
        <v>18</v>
      </c>
      <c r="F8913">
        <f>HYPERLINK("https://www.reddit.com/r/diabetes/comments/fvb6tu/medium_to_high_carb_diet_is_obviously_not_working/")</f>
        <v/>
      </c>
      <c r="G8913" t="inlineStr">
        <is>
          <t>2020-04-05 02:34:13</t>
        </is>
      </c>
      <c r="H8913" t="inlineStr">
        <is>
          <t>Type 1</t>
        </is>
      </c>
    </row>
    <row r="8914">
      <c r="A8914" t="inlineStr">
        <is>
          <t>fvbefv</t>
        </is>
      </c>
      <c r="B8914" t="inlineStr">
        <is>
          <t>Is it too late to rid myself of diabetic nerve pain?</t>
        </is>
      </c>
      <c r="C8914" t="inlineStr">
        <is>
          <t>So tonight’s been the worst I’ve ever had. I admittedly don’t watch my sugar the way I should but I feel like today is my worst day ever even though the last few days I’ve worked really hard in trying to limit sugar. Is it too late, will my toes now always hurt and ache or can it improve?</t>
        </is>
      </c>
      <c r="D8914" t="n">
        <v>1</v>
      </c>
      <c r="E8914" t="n">
        <v>5</v>
      </c>
      <c r="F8914">
        <f>HYPERLINK("https://www.reddit.com/r/diabetes/comments/fvbefv/is_it_too_late_to_rid_myself_of_diabetic_nerve/")</f>
        <v/>
      </c>
      <c r="G8914" t="inlineStr">
        <is>
          <t>2020-04-05 02:54:45</t>
        </is>
      </c>
      <c r="H8914" t="inlineStr">
        <is>
          <t>Type 2</t>
        </is>
      </c>
    </row>
    <row r="8915">
      <c r="A8915" t="inlineStr">
        <is>
          <t>fvblnq</t>
        </is>
      </c>
      <c r="B8915" t="inlineStr">
        <is>
          <t>Had a scary night last night and drank non-diet Sprite in over 5 years</t>
        </is>
      </c>
      <c r="C8915" t="inlineStr">
        <is>
          <t>So I am over at my parents house for the week to visit and help them round the house as my dad is recovering still from a heart attack back on new years.
One of the biggest jobs I gotta tackle is painting my new room at their house (switched old rooms with my sister - not relevant to the story). 
Ive really been busting my ass to get the room painted (2 walls left to 2nd coat and then just some touchups). Been getting it done pretty quick.
I havent been eating as much either as I have a bit of a gut so I’ve been trying to reduce that. So as a result, the painting rate I’m maintaining is turning into a decent exercise.
But this combo came to ahead last night:
We’d just eaten dinner (Greek style - Seasoned Chicken Kabobs, Rice and Salad) and I was going to show my parents Rise of Skywalker as they hadn’t seen it yet.
Bout 1/2 way through, I held my hand up randomly as I was readjusting my seating position, and I noticed my hands shaking very fast. So I thought to myself “I’ll go check my BG just to make sure”. Ran upstairs, grabbed my gluco and ran a test:
1.4 (normal is 4-7)
I couldnt fucking believe I was this low. Low for me is usually no lower than about 3.5 or so.
I knew I needed some sugar, and fast. So I went rooting through my parents store room to see if there was any sugary drinks I could have to get an insta boost to get out of the Danger Zone (**Kenny Loggins starts singing 😜)
Found an old friend in the form of a few cans of Sprite (which I was like a fiend for up until I was diagnosed with diabetes when I was 23)
Went and rechecked my sugars after about 10 minutes, and I was at about 3.4
I decided to call it an early night and get some sleep . Before that, basically chugged a whole bag of milk to make sure I wouldnt drop too low over the course of the night, and that was that.
Just woke up and I do feel a LOT better now, but fuck that was a fucking scary experience. I have NEVER been so low before.
Gonna take it a but easier with the painting now moving forward, and gonna eat more carbs at meals to compensate a bit better</t>
        </is>
      </c>
      <c r="D8915" t="n">
        <v>1</v>
      </c>
      <c r="E8915" t="n">
        <v>12</v>
      </c>
      <c r="F8915">
        <f>HYPERLINK("https://www.reddit.com/r/diabetes/comments/fvblnq/had_a_scary_night_last_night_and_drank_nondiet/")</f>
        <v/>
      </c>
      <c r="G8915" t="inlineStr">
        <is>
          <t>2020-04-05 03:14:10</t>
        </is>
      </c>
      <c r="H8915" t="inlineStr">
        <is>
          <t>Type 1.5/LADA</t>
        </is>
      </c>
    </row>
    <row r="8916">
      <c r="A8916" t="inlineStr">
        <is>
          <t>fvg7fb</t>
        </is>
      </c>
      <c r="B8916" t="inlineStr">
        <is>
          <t>I have a problem with my bs when I am on a bike. When I start I can go from 8-9 to 3 in 15 min, but this dose not happend when i work out in other ways, like playing soccer. And then when I stop biking my bs start to go up and stabilize at 4-5. Are there any other with this problem?</t>
        </is>
      </c>
      <c r="C8916" t="inlineStr">
        <is>
          <t>.</t>
        </is>
      </c>
      <c r="D8916" t="n">
        <v>1</v>
      </c>
      <c r="E8916" t="n">
        <v>6</v>
      </c>
      <c r="F8916">
        <f>HYPERLINK("https://www.reddit.com/r/diabetes/comments/fvg7fb/i_have_a_problem_with_my_bs_when_i_am_on_a_bike/")</f>
        <v/>
      </c>
      <c r="G8916" t="inlineStr">
        <is>
          <t>2020-04-05 09:10:11</t>
        </is>
      </c>
      <c r="H8916" t="inlineStr">
        <is>
          <t>Type 1</t>
        </is>
      </c>
    </row>
    <row r="8917">
      <c r="A8917" t="inlineStr">
        <is>
          <t>fview6</t>
        </is>
      </c>
      <c r="B8917" t="inlineStr">
        <is>
          <t>Seeking information on Type 1 Diabetes:</t>
        </is>
      </c>
      <c r="C8917" t="inlineStr">
        <is>
          <t>Hi Fellow Sugary Guys and Girls. Please, say warm welcome to the new Sugar Cane in you subreddit.  
Have been recently diagnosed with Diabetes Type 1. Male, 28 years. Feel great, no need to worry for my mental or physical state. But... It have been 5 days since the diagnose, I have started the Insulin therapy according to the prescription, but there is still so many questions. I am craving for an information. In Russian Sources (where I am from) there are not a lot of information. A little bit here, a little bit there. But it sometimes contradict to each other and mostly focus on Type 2. And doesn't answer to some specific questions Is there any good English source, where I could read more about type 1 Diabetes. 
So if you could share with me some sources, I would be more than grateful!  Videos, Articles, maybe even books, doesn't matter.
&amp;amp;#x200B;
I am mostly interested in the following topics:
1. **Bread Units and counting.** Do I need to count only Carbs? No bread units in Eggs?  Does it mean that I could eat 10 of them without the increase in Sugar? How the fucks it work? Unlimited meat?  1 Bread Unit in 3 KFC wings? Really? I could eat chicken wings? Maybe some good site with the bread units for all food... 
2. **Daily movement of Sugar.** I understand the concept of Bolus and Basis, but outside that I am well-read enough to interpret the movement of sugar on GLukometer. For example, I ate 4 hours ago, why the sugar is increasing? Is it My liver that release the saved amount, or is it delayed carbs from food... Or is it those 5 nuts I ate an hour ago? But there were not BU, who lied to me? Nuts
3. **Diet.** Some articles say I can eat all I want as long as I am compensating it with Bolus and count carbs, is it really  true? 
As You understand, I have a lot of question. I will soon be enlisted in the Diabetes School (mandatory  5 hour program in Russia), but I am not it it will be helpful. Don't expect the Xavier School for the gifted with Diabetes Children, this is just a group of 7 old ladies and typically 1 young guy, who goes twice to the hospital to listen for a Endocrinologist say very general staff about D1...
Thanks !</t>
        </is>
      </c>
      <c r="D8917" t="n">
        <v>2</v>
      </c>
      <c r="E8917" t="n">
        <v>15</v>
      </c>
      <c r="F8917">
        <f>HYPERLINK("https://www.reddit.com/r/diabetes/comments/fview6/seeking_information_on_type_1_diabetes/")</f>
        <v/>
      </c>
      <c r="G8917" t="inlineStr">
        <is>
          <t>2020-04-05 11:18:42</t>
        </is>
      </c>
      <c r="H8917" t="inlineStr">
        <is>
          <t>Type 1</t>
        </is>
      </c>
    </row>
    <row r="8918">
      <c r="A8918" t="inlineStr">
        <is>
          <t>fvkg1l</t>
        </is>
      </c>
      <c r="B8918" t="inlineStr">
        <is>
          <t>Not on insulin, about 1.5 hours after eating scrambled egg whites and a few chicken sausages, I’m shaky and cloudy... blood is at 121, which is somewhat low for me. What up? Am I hungry?</t>
        </is>
      </c>
      <c r="C8918" t="inlineStr">
        <is>
          <t>How can I get out of this shaky feeling? Should I eat something else? Also, may be relevant, I was puffing on a weed pen a few times this morning (to help with pain of course ;)</t>
        </is>
      </c>
      <c r="D8918" t="n">
        <v>1</v>
      </c>
      <c r="E8918" t="n">
        <v>14</v>
      </c>
      <c r="F8918">
        <f>HYPERLINK("https://www.reddit.com/r/diabetes/comments/fvkg1l/not_on_insulin_about_15_hours_after_eating/")</f>
        <v/>
      </c>
      <c r="G8918" t="inlineStr">
        <is>
          <t>2020-04-05 13:12:55</t>
        </is>
      </c>
      <c r="H8918" t="inlineStr">
        <is>
          <t>Type 2</t>
        </is>
      </c>
    </row>
    <row r="8919">
      <c r="A8919" t="inlineStr">
        <is>
          <t>fvmqaj</t>
        </is>
      </c>
      <c r="B8919" t="inlineStr">
        <is>
          <t>Symptoms with no official diagnosis?</t>
        </is>
      </c>
      <c r="C8919" t="inlineStr">
        <is>
          <t>Hi guys. 25/F. My whole life I’ve been a normal weight for my height. Around two years ago I gained about 70 pounds in less than a year. I know I was overeating from stress but I wasn’t really sure how I gained that much— I’ve never been as heavy as I am. 
Something I noticed was that towards the end of my weight gain (it just stopped at a certain point I guess) was that if I had anything sweet like iced tea or a dessert I would constantly have to pee and the urge would come on quite suddenly. 
I avoided anything sugary for a few months and the problem went away. I eventually started having more sugar here and there and I started leaking a  tiny amount of urine throughout the day if I ate or drank something  really sweet. 
I manage this problem by avoiding it for the most part but if I really want something I don’t really mind dealing with it. So obviously in quarantine we’ve all been stuffing our faces and yesterday I ate a full bag of Milanos and some Nutella (don’t judge me lmao) and I had blood in my urine. Today I got a really weird hot flash / very very warm and red face and abdominal pain. I’m going to urgent care tomorrow Bc I think I have a UTI or kidney issue. 
I was tested for diabetes when I was at the height of my weight gain to no avail. Is it possible I just have the very early signs of it?</t>
        </is>
      </c>
      <c r="D8919" t="n">
        <v>1</v>
      </c>
      <c r="E8919" t="n">
        <v>3</v>
      </c>
      <c r="F8919">
        <f>HYPERLINK("https://www.reddit.com/r/diabetes/comments/fvmqaj/symptoms_with_no_official_diagnosis/")</f>
        <v/>
      </c>
      <c r="G8919" t="inlineStr">
        <is>
          <t>2020-04-05 15:22:47</t>
        </is>
      </c>
      <c r="H8919" t="inlineStr">
        <is>
          <t>Type 2</t>
        </is>
      </c>
    </row>
    <row r="8920">
      <c r="A8920" t="inlineStr">
        <is>
          <t>fvomd6</t>
        </is>
      </c>
      <c r="B8920" t="inlineStr">
        <is>
          <t>Sugars have been running high for about 9 days. End of honeymoon or something else?</t>
        </is>
      </c>
      <c r="C8920" t="inlineStr">
        <is>
          <t>Diagnosed about 11 months ago. Never had to worry to much about my sugars, they always stayed nicely under 120 when I wasn’t eating and I could usually keep it to a peak of 150 post meal. 
The past 9 days, I’ve been very obviously insulin resistant. Upped my basaglar from 8 units to 10 units but I am still running at a 160 baseline now. Meals that I use to dose 3 units of humalog for are now requiring 4-5 units and I am still hanging out at 200 for hours after meals. 
With Covid going on, this obviously has been very stressful. I haven’t noticed any concerning symptoms, my girlfriend and I had a slight dry cough early in the week but that has subsided. I feel like my breathing has been a tad off, but it is also the kind of thing where breathing always feels weird when you’re being hyper vigilant of it. 
I have been a model quarantine patient. I’ve only left my house twice in the last 3 weeks and it was to go to the grocery store at 6am. 
Could this be the end of my honeymoon phase or could I have had an extremely mild case of covid? Any insight would be greatly appreciated! Thanks.</t>
        </is>
      </c>
      <c r="D8920" t="n">
        <v>2</v>
      </c>
      <c r="E8920" t="n">
        <v>8</v>
      </c>
      <c r="F8920">
        <f>HYPERLINK("https://www.reddit.com/r/diabetes/comments/fvomd6/sugars_have_been_running_high_for_about_9_days/")</f>
        <v/>
      </c>
      <c r="G8920" t="inlineStr">
        <is>
          <t>2020-04-05 17:22:46</t>
        </is>
      </c>
      <c r="H8920" t="inlineStr">
        <is>
          <t>Type 1</t>
        </is>
      </c>
    </row>
    <row r="8921">
      <c r="A8921" t="inlineStr">
        <is>
          <t>fvquz0</t>
        </is>
      </c>
      <c r="B8921" t="inlineStr">
        <is>
          <t>Looking for dexcom g4 g5 sensors</t>
        </is>
      </c>
      <c r="C8921" t="inlineStr">
        <is>
          <t>Please pm me if you have any</t>
        </is>
      </c>
      <c r="D8921" t="n">
        <v>1</v>
      </c>
      <c r="E8921" t="n">
        <v>0</v>
      </c>
      <c r="F8921">
        <f>HYPERLINK("https://www.reddit.com/r/diabetes/comments/fvquz0/looking_for_dexcom_g4_g5_sensors/")</f>
        <v/>
      </c>
      <c r="G8921" t="inlineStr">
        <is>
          <t>2020-04-05 19:54:16</t>
        </is>
      </c>
      <c r="H8921" t="inlineStr">
        <is>
          <t>Type 1</t>
        </is>
      </c>
    </row>
    <row r="8922">
      <c r="A8922" t="inlineStr">
        <is>
          <t>fvqy15</t>
        </is>
      </c>
      <c r="B8922" t="inlineStr">
        <is>
          <t>Test strips from Walmart</t>
        </is>
      </c>
      <c r="C8922" t="inlineStr">
        <is>
          <t>I use Relion Prime test strips from Walmart. I was trying to order some online and have them shipped to me but all their strips are listed "Pickup only".  
My question: Have you bought test strips online from Walmart before for delivery? Which would suggest the "Pickup Only" is temporary.</t>
        </is>
      </c>
      <c r="D8922" t="n">
        <v>1</v>
      </c>
      <c r="E8922" t="n">
        <v>6</v>
      </c>
      <c r="F8922">
        <f>HYPERLINK("https://www.reddit.com/r/diabetes/comments/fvqy15/test_strips_from_walmart/")</f>
        <v/>
      </c>
      <c r="G8922" t="inlineStr">
        <is>
          <t>2020-04-05 20:00:25</t>
        </is>
      </c>
      <c r="H8922" t="inlineStr">
        <is>
          <t>Type 2</t>
        </is>
      </c>
    </row>
    <row r="8923">
      <c r="A8923" t="inlineStr">
        <is>
          <t>fvrz0k</t>
        </is>
      </c>
      <c r="B8923" t="inlineStr">
        <is>
          <t>I might have a fever?</t>
        </is>
      </c>
      <c r="C8923" t="inlineStr">
        <is>
          <t>I don't want to say I have Corona, but I think I might have a fever. I was born with a temp around 98.5°-99° and that was my normal, but a couple years ago my normal temp wend down to ~96.5°. I've heard that diabetes lowers your average temp and I assumed that's what happened. Now I'm at 98.6° and I can't tell if it's a fever (and because of diabetes it's lower than the fever temp) or if it's just a freak thing. Does anyone know if a diabetic fever is lower than the average fever?</t>
        </is>
      </c>
      <c r="D8923" t="n">
        <v>1</v>
      </c>
      <c r="E8923" t="n">
        <v>3</v>
      </c>
      <c r="F8923">
        <f>HYPERLINK("https://www.reddit.com/r/diabetes/comments/fvrz0k/i_might_have_a_fever/")</f>
        <v/>
      </c>
      <c r="G8923" t="inlineStr">
        <is>
          <t>2020-04-05 21:15:29</t>
        </is>
      </c>
      <c r="H8923" t="inlineStr">
        <is>
          <t>Type 1</t>
        </is>
      </c>
    </row>
    <row r="8924">
      <c r="A8924" t="inlineStr">
        <is>
          <t>fvsdra</t>
        </is>
      </c>
      <c r="B8924" t="inlineStr">
        <is>
          <t>My Medtronic CGM sensors always think I’m low on the first day</t>
        </is>
      </c>
      <c r="C8924" t="inlineStr">
        <is>
          <t>I basically don’t use the sensors because I always have such a problem the first day I put them in. If I stop moving and sit down or lay down the sensor, which is in my thigh, will slowly decline until I’m getting all sorts of warnings that I’m below 40. The thing is I’m not below 40. I just checked and I’m 87. 
I basically never end up using these things because it rejects my calibrations and then I rip it out in frustration since it takes like 6 hours to warm up and calibrate to get to this point. 
What can I do differently so it doesn’t do this to me? If/when I make it to the second day the sensors usually work better and auto mode is great but it’s such a pain when half the sensors don’t seem to work correctly.</t>
        </is>
      </c>
      <c r="D8924" t="n">
        <v>1</v>
      </c>
      <c r="E8924" t="n">
        <v>10</v>
      </c>
      <c r="F8924">
        <f>HYPERLINK("https://www.reddit.com/r/diabetes/comments/fvsdra/my_medtronic_cgm_sensors_always_think_im_low_on/")</f>
        <v/>
      </c>
      <c r="G8924" t="inlineStr">
        <is>
          <t>2020-04-05 21:47:49</t>
        </is>
      </c>
      <c r="H8924" t="inlineStr">
        <is>
          <t>Type 1</t>
        </is>
      </c>
    </row>
    <row r="8925">
      <c r="A8925" t="inlineStr">
        <is>
          <t>fvslav</t>
        </is>
      </c>
      <c r="B8925" t="inlineStr">
        <is>
          <t>Transmitter issue or just bad sensors?</t>
        </is>
      </c>
      <c r="C8925" t="inlineStr">
        <is>
          <t>I had two bad sensor yesterday(and technically today as I write this at midnight) both resulted in two “change sensor” due to bad calibration. There was no way around it.. the ISIG was no where in range. 
I noticed that when I put my transmitter back on the charge it was a solid green light and has been for a while (more than 30 mins) It usually turns off when it is solid to show that it is fully charged. Also when it charges usually it flashes but it has not done that either. 
This is odd as this has never happened with my transmitter or my old one. 
I call Medtronic helpline and they told me it could be an issue but it is in fact charging. They told me to wait at least two hours and they can run the diagnostic. (I understand they need to make sure everything goes through the same steps)
Was wondering if anyone has this issue and if it is in fact charging? Or was I just unlikely with a few bad sensors.</t>
        </is>
      </c>
      <c r="D8925" t="n">
        <v>1</v>
      </c>
      <c r="E8925" t="n">
        <v>0</v>
      </c>
      <c r="F8925">
        <f>HYPERLINK("https://www.reddit.com/r/diabetes/comments/fvslav/transmitter_issue_or_just_bad_sensors/")</f>
        <v/>
      </c>
      <c r="G8925" t="inlineStr">
        <is>
          <t>2020-04-05 22:04:15</t>
        </is>
      </c>
      <c r="H8925" t="inlineStr">
        <is>
          <t>Type 1</t>
        </is>
      </c>
    </row>
    <row r="8926">
      <c r="A8926" t="inlineStr">
        <is>
          <t>fvtesp</t>
        </is>
      </c>
      <c r="B8926" t="inlineStr">
        <is>
          <t>Anyone else noticing BG/BS levels?</t>
        </is>
      </c>
      <c r="C8926" t="inlineStr">
        <is>
          <t>Hey there! So I was terrible at regulating my BG levels for awhile (see previous posts) but since I started working from home, and later furloughed, I noticed that I've had better control of it. Normally I would go to bed and be around 145-155 without exercise. These past few nights I've been 115 to 105ish. Tonight I was at 82 with some light snacking after dinner.
Has anybody else noticed a change?</t>
        </is>
      </c>
      <c r="D8926" t="n">
        <v>1</v>
      </c>
      <c r="E8926" t="n">
        <v>4</v>
      </c>
      <c r="F8926">
        <f>HYPERLINK("https://www.reddit.com/r/diabetes/comments/fvtesp/anyone_else_noticing_bgbs_levels/")</f>
        <v/>
      </c>
      <c r="G8926" t="inlineStr">
        <is>
          <t>2020-04-05 23:11:44</t>
        </is>
      </c>
      <c r="H8926" t="inlineStr">
        <is>
          <t>Type 2</t>
        </is>
      </c>
    </row>
    <row r="8927">
      <c r="A8927" t="inlineStr">
        <is>
          <t>fvzg8c</t>
        </is>
      </c>
      <c r="B8927" t="inlineStr">
        <is>
          <t>(UK) - Is Type 2 diabetes on the NHS high risk register or not? The advise is confusing.</t>
        </is>
      </c>
      <c r="C8927" t="inlineStr">
        <is>
          <t>(UK) - Is Type 2 diabetes on the NHS high risk register or not? The advise is confusing. 
I am unsure if Type 2 diabetics are due to receive the NHS 'at higher risk' letter or not? Has anyone received one? Are we at higher risk? Should we be refusing if told to go into work? HELP!</t>
        </is>
      </c>
      <c r="D8927" t="n">
        <v>1</v>
      </c>
      <c r="E8927" t="n">
        <v>3</v>
      </c>
      <c r="F8927">
        <f>HYPERLINK("https://www.reddit.com/r/diabetes/comments/fvzg8c/uk_is_type_2_diabetes_on_the_nhs_high_risk/")</f>
        <v/>
      </c>
      <c r="G8927" t="inlineStr">
        <is>
          <t>2020-04-06 07:13:10</t>
        </is>
      </c>
      <c r="H8927" t="inlineStr">
        <is>
          <t>Type 2</t>
        </is>
      </c>
    </row>
    <row r="8928">
      <c r="A8928" t="inlineStr">
        <is>
          <t>fw09d2</t>
        </is>
      </c>
      <c r="B8928" t="inlineStr">
        <is>
          <t>Vasectomies and diabetes</t>
        </is>
      </c>
      <c r="C8928" t="inlineStr">
        <is>
          <t>Has anyone had a vasectomy? What are the risks for diabetics?</t>
        </is>
      </c>
      <c r="D8928" t="n">
        <v>1</v>
      </c>
      <c r="E8928" t="n">
        <v>12</v>
      </c>
      <c r="F8928">
        <f>HYPERLINK("https://www.reddit.com/r/diabetes/comments/fw09d2/vasectomies_and_diabetes/")</f>
        <v/>
      </c>
      <c r="G8928" t="inlineStr">
        <is>
          <t>2020-04-06 08:02:50</t>
        </is>
      </c>
      <c r="H8928" t="inlineStr">
        <is>
          <t>Type 1</t>
        </is>
      </c>
    </row>
    <row r="8929">
      <c r="A8929" t="inlineStr">
        <is>
          <t>fw3qwz</t>
        </is>
      </c>
      <c r="B8929" t="inlineStr">
        <is>
          <t>Metformin side effects</t>
        </is>
      </c>
      <c r="C8929" t="inlineStr">
        <is>
          <t>Hey uh I was wondering how some of you guys deal with metformin side effects? The ones I'm really struggling with right now are diarrhea and vomiting. I can probably keep my nausea/vomiting low with weed (I live in Cali) but I'm having a lot of trouble with diarrhea, and my drs appt isnt until later this month. With all this COVID19 stuff going on my mental health is also taking a toll. Idk I'm just looking for advice. Thanks in advance.</t>
        </is>
      </c>
      <c r="D8929" t="n">
        <v>1</v>
      </c>
      <c r="E8929" t="n">
        <v>20</v>
      </c>
      <c r="F8929">
        <f>HYPERLINK("https://www.reddit.com/r/diabetes/comments/fw3qwz/metformin_side_effects/")</f>
        <v/>
      </c>
      <c r="G8929" t="inlineStr">
        <is>
          <t>2020-04-06 11:10:38</t>
        </is>
      </c>
      <c r="H8929" t="inlineStr">
        <is>
          <t>Type 2</t>
        </is>
      </c>
    </row>
    <row r="8930">
      <c r="A8930" t="inlineStr">
        <is>
          <t>fw3vkh</t>
        </is>
      </c>
      <c r="B8930" t="inlineStr">
        <is>
          <t>Hypoglycemic nightmares</t>
        </is>
      </c>
      <c r="C8930" t="inlineStr">
        <is>
          <t>Does anyone else get these? My recurring one is going low and feeling way too weak to get up and unable to call out for help. Luckily in my last one i summoned the willpower to crawl to my minifridge and break out the OJ, but then there was barely any in the bottle. It's so messed up having nightmares that are perfectly rational fears; i genuinely wish i could go back to anxiety dreams about decade-old math tests. im so exhausted and triggered fuck this disease</t>
        </is>
      </c>
      <c r="D8930" t="n">
        <v>3</v>
      </c>
      <c r="E8930" t="n">
        <v>12</v>
      </c>
      <c r="F8930">
        <f>HYPERLINK("https://www.reddit.com/r/diabetes/comments/fw3vkh/hypoglycemic_nightmares/")</f>
        <v/>
      </c>
      <c r="G8930" t="inlineStr">
        <is>
          <t>2020-04-06 11:17:42</t>
        </is>
      </c>
      <c r="H8930" t="inlineStr">
        <is>
          <t>Type 1.5/LADA</t>
        </is>
      </c>
    </row>
    <row r="8931">
      <c r="A8931" t="inlineStr">
        <is>
          <t>fw5hla</t>
        </is>
      </c>
      <c r="B8931" t="inlineStr">
        <is>
          <t>Am I still honeymooning?</t>
        </is>
      </c>
      <c r="C8931" t="inlineStr">
        <is>
          <t>Soo I had my second endo appointment today and this is the appointment that officially confirmed my type and I am for sure a type 1, woooh...... anyway i forgot to ask my endo because of new info and stuff plus being nervous I forgot to ask if I'm still honeymooning. My c-peptide test says 0.7. Also what is GAD-65 I know there antibodies but that's about it and mine were at 129.4</t>
        </is>
      </c>
      <c r="D8931" t="n">
        <v>1</v>
      </c>
      <c r="E8931" t="n">
        <v>7</v>
      </c>
      <c r="F8931">
        <f>HYPERLINK("https://www.reddit.com/r/diabetes/comments/fw5hla/am_i_still_honeymooning/")</f>
        <v/>
      </c>
      <c r="G8931" t="inlineStr">
        <is>
          <t>2020-04-06 12:43:27</t>
        </is>
      </c>
      <c r="H8931" t="inlineStr">
        <is>
          <t>Type 1</t>
        </is>
      </c>
    </row>
    <row r="8932">
      <c r="A8932" t="inlineStr">
        <is>
          <t>fw5sy8</t>
        </is>
      </c>
      <c r="B8932" t="inlineStr">
        <is>
          <t>Do you think we'll see an influx of new Type 1 Diabetics due to covid-19?</t>
        </is>
      </c>
      <c r="C8932" t="inlineStr">
        <is>
          <t>Can any experts/doctors weigh in? I wonder if cytokine storms will contribute to people's pancreases being attacked.</t>
        </is>
      </c>
      <c r="D8932" t="n">
        <v>1</v>
      </c>
      <c r="E8932" t="n">
        <v>10</v>
      </c>
      <c r="F8932">
        <f>HYPERLINK("https://www.reddit.com/r/diabetes/comments/fw5sy8/do_you_think_well_see_an_influx_of_new_type_1/")</f>
        <v/>
      </c>
      <c r="G8932" t="inlineStr">
        <is>
          <t>2020-04-06 12:59:42</t>
        </is>
      </c>
      <c r="H8932" t="inlineStr">
        <is>
          <t>Type 1</t>
        </is>
      </c>
    </row>
    <row r="8933">
      <c r="A8933" t="inlineStr">
        <is>
          <t>fw72ow</t>
        </is>
      </c>
      <c r="B8933" t="inlineStr">
        <is>
          <t>In search of expired dexcom g5 sensors</t>
        </is>
      </c>
      <c r="C8933" t="inlineStr">
        <is>
          <t>Many have moved on to the g6. Don’t throw away your expired sensors. I would be happy to use them. Send me a pm.</t>
        </is>
      </c>
      <c r="D8933" t="n">
        <v>0</v>
      </c>
      <c r="E8933" t="n">
        <v>3</v>
      </c>
      <c r="F8933">
        <f>HYPERLINK("https://www.reddit.com/r/diabetes/comments/fw72ow/in_search_of_expired_dexcom_g5_sensors/")</f>
        <v/>
      </c>
      <c r="G8933" t="inlineStr">
        <is>
          <t>2020-04-06 14:08:29</t>
        </is>
      </c>
      <c r="H8933" t="inlineStr">
        <is>
          <t>Type 1</t>
        </is>
      </c>
    </row>
    <row r="8934">
      <c r="A8934" t="inlineStr">
        <is>
          <t>fwaq8y</t>
        </is>
      </c>
      <c r="B8934" t="inlineStr">
        <is>
          <t>Kinda specific, but still makes sense</t>
        </is>
      </c>
      <c r="C8934" t="inlineStr">
        <is>
          <t>Chocolate ice cream hits different y’know?</t>
        </is>
      </c>
      <c r="D8934" t="n">
        <v>1</v>
      </c>
      <c r="E8934" t="n">
        <v>0</v>
      </c>
      <c r="F8934">
        <f>HYPERLINK("https://www.reddit.com/r/diabetes/comments/fwaq8y/kinda_specific_but_still_makes_sense/")</f>
        <v/>
      </c>
      <c r="G8934" t="inlineStr">
        <is>
          <t>2020-04-06 17:46:04</t>
        </is>
      </c>
      <c r="H8934" t="inlineStr">
        <is>
          <t>Type 1</t>
        </is>
      </c>
    </row>
    <row r="8935">
      <c r="A8935" t="inlineStr">
        <is>
          <t>fwb24j</t>
        </is>
      </c>
      <c r="B8935" t="inlineStr">
        <is>
          <t>Bloodsugar is high after taking insulin</t>
        </is>
      </c>
      <c r="C8935" t="inlineStr">
        <is>
          <t>When ever I take insulin its like it does not help. Lile today I woke up and it was really high so I took some insulin and its still high. Its like I have to take more to lower it.</t>
        </is>
      </c>
      <c r="D8935" t="n">
        <v>1</v>
      </c>
      <c r="E8935" t="n">
        <v>7</v>
      </c>
      <c r="F8935">
        <f>HYPERLINK("https://www.reddit.com/r/diabetes/comments/fwb24j/bloodsugar_is_high_after_taking_insulin/")</f>
        <v/>
      </c>
      <c r="G8935" t="inlineStr">
        <is>
          <t>2020-04-06 18:07:49</t>
        </is>
      </c>
      <c r="H8935" t="inlineStr">
        <is>
          <t>Type 1</t>
        </is>
      </c>
    </row>
    <row r="8936">
      <c r="A8936" t="inlineStr">
        <is>
          <t>fwcs7u</t>
        </is>
      </c>
      <c r="B8936" t="inlineStr">
        <is>
          <t>Looking for dexcom g4 g5 sensors</t>
        </is>
      </c>
      <c r="C8936" t="inlineStr">
        <is>
          <t>Please pm me if you have any</t>
        </is>
      </c>
      <c r="D8936" t="n">
        <v>1</v>
      </c>
      <c r="E8936" t="n">
        <v>1</v>
      </c>
      <c r="F8936">
        <f>HYPERLINK("https://www.reddit.com/r/diabetes/comments/fwcs7u/looking_for_dexcom_g4_g5_sensors/")</f>
        <v/>
      </c>
      <c r="G8936" t="inlineStr">
        <is>
          <t>2020-04-06 20:02:39</t>
        </is>
      </c>
      <c r="H8936" t="inlineStr">
        <is>
          <t>Type 1</t>
        </is>
      </c>
    </row>
    <row r="8937">
      <c r="A8937" t="inlineStr">
        <is>
          <t>fwe2nr</t>
        </is>
      </c>
      <c r="B8937" t="inlineStr">
        <is>
          <t>Freestyle libre readings vs finger pricking</t>
        </is>
      </c>
      <c r="C8937" t="inlineStr">
        <is>
          <t>I have my first freestyle monitor and I noticed it says it can give slightly different readings than finger pricking and when I've checked it, there's usually about 20 point difference, but is the freestyle or the finger pricking more accurate?</t>
        </is>
      </c>
      <c r="D8937" t="n">
        <v>1</v>
      </c>
      <c r="E8937" t="n">
        <v>17</v>
      </c>
      <c r="F8937">
        <f>HYPERLINK("https://www.reddit.com/r/diabetes/comments/fwe2nr/freestyle_libre_readings_vs_finger_pricking/")</f>
        <v/>
      </c>
      <c r="G8937" t="inlineStr">
        <is>
          <t>2020-04-06 21:33:13</t>
        </is>
      </c>
      <c r="H8937" t="inlineStr">
        <is>
          <t>Type 1</t>
        </is>
      </c>
    </row>
    <row r="8938">
      <c r="A8938" t="inlineStr">
        <is>
          <t>fwg568</t>
        </is>
      </c>
      <c r="B8938" t="inlineStr">
        <is>
          <t>Well that's new..</t>
        </is>
      </c>
      <c r="C8938" t="inlineStr">
        <is>
          <t>When you wake up at 3 am with a fistful of Nutter Butter cookies and an unplugged pump site. 🥺🤨🙄</t>
        </is>
      </c>
      <c r="D8938" t="n">
        <v>1</v>
      </c>
      <c r="E8938" t="n">
        <v>4</v>
      </c>
      <c r="F8938">
        <f>HYPERLINK("https://www.reddit.com/r/diabetes/comments/fwg568/well_thats_new/")</f>
        <v/>
      </c>
      <c r="G8938" t="inlineStr">
        <is>
          <t>2020-04-07 00:24:08</t>
        </is>
      </c>
      <c r="H8938" t="inlineStr">
        <is>
          <t>Type 1</t>
        </is>
      </c>
    </row>
    <row r="8939">
      <c r="A8939" t="inlineStr">
        <is>
          <t>fwo5u1</t>
        </is>
      </c>
      <c r="B8939" t="inlineStr">
        <is>
          <t>Premium versions for mySugr and Diabetes:M</t>
        </is>
      </c>
      <c r="C8939" t="inlineStr">
        <is>
          <t>Hello
Below you can find vouchers provided by the apps mentioned in the title for their PRO versions.
 **2019-2020-2021**
This is a voucher that gives you 12 months of the PRO version for free for the mySugr app.
This is where you redeem it:
[https://shop.mysugr.com/en/voucher](https://shop.mysugr.com/en/voucher)
The code below will unlock the premium version of Diabetes:M until 16th of June 2020.
 **STAYHOME** 
 [https://www.diabetes-m.com/diabetes-m-covid-19-response/?fbclid=IwAR2AD0QHRYIbjUvZDF-FWFzj1eAf8-pomlgAARbmQgV49G7J972BiMi9V2A](https://www.diabetes-m.com/diabetes-m-covid-19-response/?fbclid=IwAR2AD0QHRYIbjUvZDF-FWFzj1eAf8-pomlgAARbmQgV49G7J972BiMi9V2A) 
PS: If you use other apps for diabetes management check their sites. They may be offering vouchers like these nowadays.</t>
        </is>
      </c>
      <c r="D8939" t="n">
        <v>1</v>
      </c>
      <c r="E8939" t="n">
        <v>4</v>
      </c>
      <c r="F8939">
        <f>HYPERLINK("https://www.reddit.com/r/diabetes/comments/fwo5u1/premium_versions_for_mysugr_and_diabetesm/")</f>
        <v/>
      </c>
      <c r="G8939" t="inlineStr">
        <is>
          <t>2020-04-07 10:03:36</t>
        </is>
      </c>
      <c r="H8939" t="inlineStr">
        <is>
          <t>Type 1</t>
        </is>
      </c>
    </row>
    <row r="8940">
      <c r="A8940" t="inlineStr">
        <is>
          <t>fwwmrk</t>
        </is>
      </c>
      <c r="B8940" t="inlineStr">
        <is>
          <t>Confused</t>
        </is>
      </c>
      <c r="C8940" t="inlineStr">
        <is>
          <t>I was diagnosed with diabetes 3 years ago. I couldn't afford my insulin the past 6 months, so I've only been taking metformin (1000mg twice a day) and trying to eat well/exercise. I also have PCOS, so even though I made some changes (like never having sugar) and walking more, I didn't lose any weight (I didn't gain any either).
Well, thanks to covid19, my depression kicked in and I stopped eating as well and exercising. I didn't fall completely off the wagon, but I started having a few sugary snacks each day. Here is the crazy thing, since I stated my numbers have dropped about 59 points. Instead of being around 180 before a meal, I'm around 125, and my blood sugar is only rising about 25 points after eating. I decided to see how low I could get it if I stopped eating sugar again, and it went right back up to around 180 fasting. I got a brand new meter just to make sure I wasn't getting false readings (and used a friend's meter as well) and I got similar results on all of them.
Can anyone explain what the heck is happening?</t>
        </is>
      </c>
      <c r="D8940" t="n">
        <v>1</v>
      </c>
      <c r="E8940" t="n">
        <v>9</v>
      </c>
      <c r="F8940">
        <f>HYPERLINK("https://www.reddit.com/r/diabetes/comments/fwwmrk/confused/")</f>
        <v/>
      </c>
      <c r="G8940" t="inlineStr">
        <is>
          <t>2020-04-07 17:56:45</t>
        </is>
      </c>
      <c r="H8940" t="inlineStr">
        <is>
          <t>Type 2</t>
        </is>
      </c>
    </row>
    <row r="8941">
      <c r="A8941" t="inlineStr">
        <is>
          <t>fwwqqp</t>
        </is>
      </c>
      <c r="B8941" t="inlineStr">
        <is>
          <t>My mio infusion sets keep failing</t>
        </is>
      </c>
      <c r="C8941" t="inlineStr">
        <is>
          <t>Hi tonight has been a huge struggle for me to get my blood sugar down. I’m currently on my third mio infusion set of the night because the other two were not working. When I took them off the site started gushing blood, which I haven’t seen two in a row before like that. I’m just wondering if anyone has any insight for why this may be happening. 
Thanks!</t>
        </is>
      </c>
      <c r="D8941" t="n">
        <v>1</v>
      </c>
      <c r="E8941" t="n">
        <v>1</v>
      </c>
      <c r="F8941">
        <f>HYPERLINK("https://www.reddit.com/r/diabetes/comments/fwwqqp/my_mio_infusion_sets_keep_failing/")</f>
        <v/>
      </c>
      <c r="G8941" t="inlineStr">
        <is>
          <t>2020-04-07 18:04:18</t>
        </is>
      </c>
      <c r="H8941" t="inlineStr">
        <is>
          <t>Type 1</t>
        </is>
      </c>
    </row>
    <row r="8942">
      <c r="A8942" t="inlineStr">
        <is>
          <t>fwxbrv</t>
        </is>
      </c>
      <c r="B8942" t="inlineStr">
        <is>
          <t>Recently diagnosed. Metformin doesn't seem to be working?</t>
        </is>
      </c>
      <c r="C8942" t="inlineStr">
        <is>
          <t>I am a 30 YO guy who is recently diagnosed with T2 diabetes. I've been overweight most of my life so I've been monitoring my blood glucose and I knew I was prediabetic starting 3\~4 years ago. I was on keto diet for couple months at a time, on and off, as I was trying to reduce my insulin resistance but since December last year, I had some other issue personal issue that made me gain 20 lb or so since November and now I am finally diagnosed with T2 as my A1c was 7.2 and fasting glucose was in 140s. 
My physician prescribed 500 mg Metformin twice a day with a meal but it doesn't seem like it's working. I'm 3 weeks into taking it and I don't regularly check my blood glucose but I check every other day, 4\~5 after a meal and it doesn't seem like my blood glucose goes down. I've randomly checked my blood glucose several dozen times in the past  3 weeks and it was never below 100 except once. 
Just last month, when I wasn't taking Metformin, my fasting was in the average of 140\~150 and close to 200 after a meal (and stay up there 180\~190) for several hours. The reason why I went to see my doctor was that I saw a significant delay in blood glucose reduction; I'd have a meal at like 3 PM and check my glucose level at like 10 PM and it'd still be like 170 to 180ish and in the morning, it'd be like 140. So I got scared and went to see my doctor.
My primary concerns are, it seems like Metformin isn't effective even at double dosage (I've tried like 3 times by doubling up my dosage) AND my diabetes seems to be progressing fast. I just checked my blood glucose 3 hours after a meal and it was in 220 (which I've never seen previously). 
I know I'm rambling here, but I'm just scared.
I wonder if staying home all day and being sedentary is making my D2 progress very fast...</t>
        </is>
      </c>
      <c r="D8942" t="n">
        <v>1</v>
      </c>
      <c r="E8942" t="n">
        <v>9</v>
      </c>
      <c r="F8942">
        <f>HYPERLINK("https://www.reddit.com/r/diabetes/comments/fwxbrv/recently_diagnosed_metformin_doesnt_seem_to_be/")</f>
        <v/>
      </c>
      <c r="G8942" t="inlineStr">
        <is>
          <t>2020-04-07 18:42:12</t>
        </is>
      </c>
      <c r="H8942" t="inlineStr">
        <is>
          <t>Type 2</t>
        </is>
      </c>
    </row>
    <row r="8943">
      <c r="A8943" t="inlineStr">
        <is>
          <t>fwz3ar</t>
        </is>
      </c>
      <c r="B8943" t="inlineStr">
        <is>
          <t>When you told them Sprite Zero....</t>
        </is>
      </c>
      <c r="C8943" t="inlineStr">
        <is>
          <t>at the drive through window, and you realize three hours later is was the sugar kind. UGH! Fecking hell. :scowls:</t>
        </is>
      </c>
      <c r="D8943" t="n">
        <v>1</v>
      </c>
      <c r="E8943" t="n">
        <v>12</v>
      </c>
      <c r="F8943">
        <f>HYPERLINK("https://www.reddit.com/r/diabetes/comments/fwz3ar/when_you_told_them_sprite_zero/")</f>
        <v/>
      </c>
      <c r="G8943" t="inlineStr">
        <is>
          <t>2020-04-07 20:42:08</t>
        </is>
      </c>
      <c r="H8943" t="inlineStr">
        <is>
          <t>Type 1</t>
        </is>
      </c>
    </row>
    <row r="8944">
      <c r="A8944" t="inlineStr">
        <is>
          <t>fx0p16</t>
        </is>
      </c>
      <c r="B8944" t="inlineStr">
        <is>
          <t>Skinny and type 2 diabetes : is it possible or just not enough data</t>
        </is>
      </c>
      <c r="C8944" t="inlineStr">
        <is>
          <t>Hello, does skinny people with t2 diabetes are simply misdiagnosed? Some of them may just have T1 diabetes or anything else no?</t>
        </is>
      </c>
      <c r="D8944" t="n">
        <v>1</v>
      </c>
      <c r="E8944" t="n">
        <v>9</v>
      </c>
      <c r="F8944">
        <f>HYPERLINK("https://www.reddit.com/r/diabetes/comments/fx0p16/skinny_and_type_2_diabetes_is_it_possible_or_just/")</f>
        <v/>
      </c>
      <c r="G8944" t="inlineStr">
        <is>
          <t>2020-04-07 22:44:14</t>
        </is>
      </c>
      <c r="H8944" t="inlineStr">
        <is>
          <t>Type 2</t>
        </is>
      </c>
    </row>
    <row r="8945">
      <c r="A8945" t="inlineStr">
        <is>
          <t>fx13rj</t>
        </is>
      </c>
      <c r="B8945" t="inlineStr">
        <is>
          <t>Suddenly needing more insulin at random times, no end in sight</t>
        </is>
      </c>
      <c r="C8945" t="inlineStr">
        <is>
          <t>Hello! 
For most of my adult diabetic life (diagnosed at 8, 24 now) I have hovered around 28-33 units of Lantus/basal with my type 1 diabetes. However, since November of last year my body has been suddenly needing more insulin at random times. I am now all the way up to 52 units and I don’t see an end in sight with the changes.
I don’t think I have an infection, my weight hasn’t changed, neither has my activity level. I feel like I’m eating less now than I was before because I keep resting in the low 200s until I have to up my dosage again and feel too high to eat. Then, the new dosage works for a few days or even weeks, and I then I have to adjust again. I have tried contacting my doctor, but they aren’t much help. 
I feel so hopeless and defeated right now. I’m doing everything I should on my end and I’ve adjusted my correction and carb rates with my humalog too. 
One thing to note is that I was forced onto humalog from Novolog by my insurance this past August, but like I said, I didn’t have issues until November. 
Has anyone else experienced something like this or have ideas I could look into? Could it be insulin resistance? Is this normal?</t>
        </is>
      </c>
      <c r="D8945" t="n">
        <v>1</v>
      </c>
      <c r="E8945" t="n">
        <v>3</v>
      </c>
      <c r="F8945">
        <f>HYPERLINK("https://www.reddit.com/r/diabetes/comments/fx13rj/suddenly_needing_more_insulin_at_random_times_no/")</f>
        <v/>
      </c>
      <c r="G8945" t="inlineStr">
        <is>
          <t>2020-04-07 23:16:56</t>
        </is>
      </c>
      <c r="H8945" t="inlineStr">
        <is>
          <t>Type 1</t>
        </is>
      </c>
    </row>
    <row r="8946">
      <c r="A8946" t="inlineStr">
        <is>
          <t>fx31an</t>
        </is>
      </c>
      <c r="B8946" t="inlineStr">
        <is>
          <t>For the Diabetics That Feel Like Shit</t>
        </is>
      </c>
      <c r="C8946" t="inlineStr">
        <is>
          <t xml:space="preserve">  
FOR THE DIABETICS THAT FEEL LIKE SHIT
Everyday I wake up with toes I don’t know I can keep
Falling into bed wondering how well I can sleep
Waking up to shakes and asking for food
If I was alone, I don’t know what I’d do
I am awoken to juice and snacks
By a significant other telling me I’d be okay
As if this were how I felt, and they knew the facts
As if I didn’t understand, that every moment I wished it were true
Dear every girlfriend that got me food, thank you.
Dear every girlfriend that didn’t understand my emotional dips, fuck you.
Sometimes I look at my feet and wonder how long I will have them
Tattoos that the doctors tell me I will lose, or organs I wish I could hold on too.
Dear family, you don’t know what it is like, please stop asking how I am
I can’t afford the medicine to make me feel like you do everyday
Do you fear for my health? I really think that’s great, except you don’t understand
Shots aren’t the worst part of my day and I wish I could explain
The actual feeling of low blood sugar and what it does
The real-life roller coaster of highs and how it effects the ones you love
So please to all my diabetics that feel like shit, even when you do your best
Be proud of yourselves because you’ve made it this far, and for that you’re blessed.
&amp;amp;#x200B;
please know you are understood and loved. I love you all.</t>
        </is>
      </c>
      <c r="D8946" t="n">
        <v>1</v>
      </c>
      <c r="E8946" t="n">
        <v>22</v>
      </c>
      <c r="F8946">
        <f>HYPERLINK("https://www.reddit.com/r/diabetes/comments/fx31an/for_the_diabetics_that_feel_like_shit/")</f>
        <v/>
      </c>
      <c r="G8946" t="inlineStr">
        <is>
          <t>2020-04-08 01:56:37</t>
        </is>
      </c>
      <c r="H8946" t="inlineStr">
        <is>
          <t>Type 1</t>
        </is>
      </c>
    </row>
    <row r="8947">
      <c r="A8947" t="inlineStr">
        <is>
          <t>fx4aq8</t>
        </is>
      </c>
      <c r="B8947" t="inlineStr">
        <is>
          <t>Blood sugar going up despite not eating?</t>
        </is>
      </c>
      <c r="C8947" t="inlineStr">
        <is>
          <t>4 hours post meal, my blood was 175.
30oz of water, mild exercise, and an hour later, it's 200.
Checked 3 times on my machine, once on a relatives, and it's still high. What the heck is this?</t>
        </is>
      </c>
      <c r="D8947" t="n">
        <v>1</v>
      </c>
      <c r="E8947" t="n">
        <v>8</v>
      </c>
      <c r="F8947">
        <f>HYPERLINK("https://www.reddit.com/r/diabetes/comments/fx4aq8/blood_sugar_going_up_despite_not_eating/")</f>
        <v/>
      </c>
      <c r="G8947" t="inlineStr">
        <is>
          <t>2020-04-08 03:43:10</t>
        </is>
      </c>
      <c r="H8947" t="inlineStr">
        <is>
          <t>Type 2</t>
        </is>
      </c>
    </row>
    <row r="8948">
      <c r="A8948" t="inlineStr">
        <is>
          <t>fx4ejz</t>
        </is>
      </c>
      <c r="B8948" t="inlineStr">
        <is>
          <t>Protein highs</t>
        </is>
      </c>
      <c r="C8948" t="inlineStr">
        <is>
          <t>So recently dx’ed LADA back in Jan. On Humalog with meals and Lantus basal. MDI, no pump. My fellow MDI brethren, how do you deal with the protein highs hours after meals? And I am talking 6-8 hrs or more? One night this week, steak fillet for supper one night, plenty of carbs with meals, stuck landing at 131 at 11:15 @ bedtime,around 4.5 hrs after eating. 216 at 5:30 am following morning, with a double spike overnite to reach 216! Know it was double spike from my Freestyle Libre. No i typically do not have DP. Seems to be a pattern when I eat a significant amount of protein, especially beef. Not being a pumper, I have been doing correction shot. Any tricks or correction dose best plan?</t>
        </is>
      </c>
      <c r="D8948" t="n">
        <v>1</v>
      </c>
      <c r="E8948" t="n">
        <v>6</v>
      </c>
      <c r="F8948">
        <f>HYPERLINK("https://www.reddit.com/r/diabetes/comments/fx4ejz/protein_highs/")</f>
        <v/>
      </c>
      <c r="G8948" t="inlineStr">
        <is>
          <t>2020-04-08 03:52:14</t>
        </is>
      </c>
      <c r="H8948" t="inlineStr">
        <is>
          <t>Type 1.5/LADA</t>
        </is>
      </c>
    </row>
    <row r="8949">
      <c r="A8949" t="inlineStr">
        <is>
          <t>fx8sg6</t>
        </is>
      </c>
      <c r="B8949" t="inlineStr">
        <is>
          <t>swollen toe</t>
        </is>
      </c>
      <c r="C8949" t="inlineStr">
        <is>
          <t>so one of my toes is swolen, like its got fluid in it or something-whats the deal with that, what do i do? Is it going to go back to normal on its own?</t>
        </is>
      </c>
      <c r="D8949" t="n">
        <v>1</v>
      </c>
      <c r="E8949" t="n">
        <v>10</v>
      </c>
      <c r="F8949">
        <f>HYPERLINK("https://www.reddit.com/r/diabetes/comments/fx8sg6/swollen_toe/")</f>
        <v/>
      </c>
      <c r="G8949" t="inlineStr">
        <is>
          <t>2020-04-08 08:45:21</t>
        </is>
      </c>
      <c r="H8949" t="inlineStr">
        <is>
          <t>Type 2</t>
        </is>
      </c>
    </row>
    <row r="8950">
      <c r="A8950" t="inlineStr">
        <is>
          <t>fxaay9</t>
        </is>
      </c>
      <c r="B8950" t="inlineStr">
        <is>
          <t>Low blood sugars after taking antibiotic</t>
        </is>
      </c>
      <c r="C8950" t="inlineStr">
        <is>
          <t>I have a sinus infection and was given the antibiotic doxycycline which is working great for clearing up the sinus infection but ive noticed every time I take the medication my blood sugar crashes a few hours later. The last 4 nights I've woken up with low blood sugar around 2am. 
Has anyone experienced this? There's a definite possibility that the low blood sugar has nothing to do with the medication but thats the only thing that has really changed in my health recently.</t>
        </is>
      </c>
      <c r="D8950" t="n">
        <v>1</v>
      </c>
      <c r="E8950" t="n">
        <v>2</v>
      </c>
      <c r="F8950">
        <f>HYPERLINK("https://www.reddit.com/r/diabetes/comments/fxaay9/low_blood_sugars_after_taking_antibiotic/")</f>
        <v/>
      </c>
      <c r="G8950" t="inlineStr">
        <is>
          <t>2020-04-08 10:05:28</t>
        </is>
      </c>
      <c r="H8950" t="inlineStr">
        <is>
          <t>Type 1</t>
        </is>
      </c>
    </row>
    <row r="8951">
      <c r="A8951" t="inlineStr">
        <is>
          <t>fxep1u</t>
        </is>
      </c>
      <c r="B8951" t="inlineStr">
        <is>
          <t>Trouble with Mio Infusion Set Changes</t>
        </is>
      </c>
      <c r="C8951" t="inlineStr">
        <is>
          <t>I’m on a Medtronic 670G and have been using Mio infusion sets since Cozmo pumps were a thing.  I used to only have my sites on my stomach but after a bent cannula due to scar tissue and a trip to the ER with DKA I gave the stomach a break and moved to arms/legs.
However, after getting a sensor almost two years ago, I now use my arms solely for the sensors and have been using my legs as infusion sites. I have noticed the last couple weeks my sites hurting after only a couple days and my insulin absorption has lessened and am thinking my legs need a break, but yesterday I tried my stomach and the cannula wouldn’t go in all the way, even after pressing down on the infusion set before removing the apparatus. 
I tried my stomach twice, my lower back, and my top buttock, but none of them would go in all the way. I’ve had success in these places before (usually after a failed attempt or two), but the location change doesn’t usually last long because of subsequent failed attempts. 
Granted I have gained more body weight since regularly using my stomach as a youth but I am by no means overweight. I just feel too round in places for it to go in properly!! 
Has anyone else experienced this, and if so, were you able to find a way to ensure successful site changes? Should I consider changing my infusion set type? Any help is greatly appreciated!!</t>
        </is>
      </c>
      <c r="D8951" t="n">
        <v>1</v>
      </c>
      <c r="E8951" t="n">
        <v>1</v>
      </c>
      <c r="F8951">
        <f>HYPERLINK("https://www.reddit.com/r/diabetes/comments/fxep1u/trouble_with_mio_infusion_set_changes/")</f>
        <v/>
      </c>
      <c r="G8951" t="inlineStr">
        <is>
          <t>2020-04-08 13:56:01</t>
        </is>
      </c>
      <c r="H8951" t="inlineStr">
        <is>
          <t>Type 1</t>
        </is>
      </c>
    </row>
    <row r="8952">
      <c r="A8952" t="inlineStr">
        <is>
          <t>fxgkvv</t>
        </is>
      </c>
      <c r="B8952" t="inlineStr">
        <is>
          <t>Dexcom g6 updates??</t>
        </is>
      </c>
      <c r="C8952" t="inlineStr">
        <is>
          <t>2nd week on dexcom G6 Don’t have to use finger sticks.  Liars!!! I am on Ohio turnpike I get NEED UPDATED meter reading RIGHT NOW!!
Then every 5 minutes I need that updated meter reading RIGHT Now. So you want me to endanger my life to take a bleeding finger reading along side the road?? 
I feel I have been scammed and lied too. No more finger pricks my A$$ !!
The and my meter is saying the exact same reading as the F ing dexcom is telling my apple
Watch and Apple phone.  What is going on???</t>
        </is>
      </c>
      <c r="D8952" t="n">
        <v>0</v>
      </c>
      <c r="E8952" t="n">
        <v>6</v>
      </c>
      <c r="F8952">
        <f>HYPERLINK("https://www.reddit.com/r/diabetes/comments/fxgkvv/dexcom_g6_updates/")</f>
        <v/>
      </c>
      <c r="G8952" t="inlineStr">
        <is>
          <t>2020-04-08 15:41:49</t>
        </is>
      </c>
      <c r="H8952" t="inlineStr">
        <is>
          <t>Type 2</t>
        </is>
      </c>
    </row>
    <row r="8953">
      <c r="A8953" t="inlineStr">
        <is>
          <t>fxh9cl</t>
        </is>
      </c>
      <c r="B8953" t="inlineStr">
        <is>
          <t>Thoughts on going into work?</t>
        </is>
      </c>
      <c r="C8953" t="inlineStr">
        <is>
          <t>My work is considering themselves to be an essential business and are therefore staying open during the pandemic. Most of my co workers have been  working from home, but many people on my team that report to the same manager are going in. I continued to go in for quite awhile then decided i would be much safer working from home as the virus continued to spread. I have communicated that I am considered high risk and would feel more comfortable working from home. Work was understanding of it... until now. I was just called and was told that I should start thinking about coming back in to work. I am in shock right now and trying to figure out how I should navigate through the situation. I am very career oriented, but I think the Coronavirus needs to be taken seriously and I’m not sure my work fully understands how dangerous this virus can be to a diabetic. Are any of you in this same situation? How are all of you handling this?</t>
        </is>
      </c>
      <c r="D8953" t="n">
        <v>1</v>
      </c>
      <c r="E8953" t="n">
        <v>14</v>
      </c>
      <c r="F8953">
        <f>HYPERLINK("https://www.reddit.com/r/diabetes/comments/fxh9cl/thoughts_on_going_into_work/")</f>
        <v/>
      </c>
      <c r="G8953" t="inlineStr">
        <is>
          <t>2020-04-08 16:23:23</t>
        </is>
      </c>
      <c r="H8953" t="inlineStr">
        <is>
          <t>Type 1</t>
        </is>
      </c>
    </row>
    <row r="8954">
      <c r="A8954" t="inlineStr">
        <is>
          <t>fxkhlu</t>
        </is>
      </c>
      <c r="B8954" t="inlineStr">
        <is>
          <t>Glucagon question</t>
        </is>
      </c>
      <c r="C8954" t="inlineStr">
        <is>
          <t>If you’ve ever gone unconscious due to a low and had to use a glucagon did someone test your blood sugar first, and if so do you recall what it was?</t>
        </is>
      </c>
      <c r="D8954" t="n">
        <v>1</v>
      </c>
      <c r="E8954" t="n">
        <v>10</v>
      </c>
      <c r="F8954">
        <f>HYPERLINK("https://www.reddit.com/r/diabetes/comments/fxkhlu/glucagon_question/")</f>
        <v/>
      </c>
      <c r="G8954" t="inlineStr">
        <is>
          <t>2020-04-08 19:53:48</t>
        </is>
      </c>
      <c r="H8954" t="inlineStr">
        <is>
          <t>Type 1</t>
        </is>
      </c>
    </row>
    <row r="8955">
      <c r="A8955" t="inlineStr">
        <is>
          <t>fxr9e5</t>
        </is>
      </c>
      <c r="B8955" t="inlineStr">
        <is>
          <t>Transmitter Trouble</t>
        </is>
      </c>
      <c r="C8955" t="inlineStr">
        <is>
          <t>I put in a dexcom last night, but I accidentally put in a dead transmitter. Is there a way to take it out without taking out the whole sensor?</t>
        </is>
      </c>
      <c r="D8955" t="n">
        <v>1</v>
      </c>
      <c r="E8955" t="n">
        <v>7</v>
      </c>
      <c r="F8955">
        <f>HYPERLINK("https://www.reddit.com/r/diabetes/comments/fxr9e5/transmitter_trouble/")</f>
        <v/>
      </c>
      <c r="G8955" t="inlineStr">
        <is>
          <t>2020-04-09 05:06:40</t>
        </is>
      </c>
      <c r="H8955" t="inlineStr">
        <is>
          <t>Type 1</t>
        </is>
      </c>
    </row>
    <row r="8956">
      <c r="A8956" t="inlineStr">
        <is>
          <t>fxt2ji</t>
        </is>
      </c>
      <c r="B8956" t="inlineStr">
        <is>
          <t>Has anyone seen or tried this before ?</t>
        </is>
      </c>
      <c r="C8956" t="inlineStr">
        <is>
          <t>https://mobile.twitter.com/nino7943/status/1248234219316396032
Hi everyone , I have seen going this tweet so I wanted to know if someone has  tried something like this before .I have visited their website , it seems to be a very good and organized program , as it also offer  lots of  material compared to the price  , but before I just wanted to know f you guys have tried something  similar , and  what do you think about it .
Thanks</t>
        </is>
      </c>
      <c r="D8956" t="n">
        <v>1</v>
      </c>
      <c r="E8956" t="n">
        <v>2</v>
      </c>
      <c r="F8956">
        <f>HYPERLINK("https://www.reddit.com/r/diabetes/comments/fxt2ji/has_anyone_seen_or_tried_this_before/")</f>
        <v/>
      </c>
      <c r="G8956" t="inlineStr">
        <is>
          <t>2020-04-09 07:09:47</t>
        </is>
      </c>
      <c r="H8956" t="inlineStr">
        <is>
          <t>Type 2</t>
        </is>
      </c>
    </row>
    <row r="8957">
      <c r="A8957" t="inlineStr">
        <is>
          <t>fxtwhn</t>
        </is>
      </c>
      <c r="B8957" t="inlineStr">
        <is>
          <t>Don’t know much about diabetes</t>
        </is>
      </c>
      <c r="C8957" t="inlineStr">
        <is>
          <t>Hello all,
I am a 32 year old male. Overweight as heck. 290 5’9. Been worried I have diabetes with his corona virus going around. So I took my fasting glucose Monday. It was 90. I took my fasting glucose yesterday it was 133. I did have some ice cream before bed but I took the test ten hours after. My friend at work who is diabetic said I should go get an A1c so I went get one from CVS and it was 7.1.</t>
        </is>
      </c>
      <c r="D8957" t="n">
        <v>0</v>
      </c>
      <c r="E8957" t="n">
        <v>3</v>
      </c>
      <c r="F8957">
        <f>HYPERLINK("https://www.reddit.com/r/diabetes/comments/fxtwhn/dont_know_much_about_diabetes/")</f>
        <v/>
      </c>
      <c r="G8957" t="inlineStr">
        <is>
          <t>2020-04-09 07:59:46</t>
        </is>
      </c>
      <c r="H8957" t="inlineStr">
        <is>
          <t>Type 2</t>
        </is>
      </c>
    </row>
    <row r="8958">
      <c r="A8958" t="inlineStr">
        <is>
          <t>fxzq97</t>
        </is>
      </c>
      <c r="B8958" t="inlineStr">
        <is>
          <t>Still new to insulin:carb ratio (26/M)</t>
        </is>
      </c>
      <c r="C8958" t="inlineStr">
        <is>
          <t>I was diagnosed as type 2 and with an autoimmune disease (CIDP) at the same time and had to focus on the autoimmune one for the past year, but now I got help and can focus on diabetes again.
I was able to manage it since diagnosis and dropped from a 10+ HbA1c to a 5.1 with just metformin.
I went from 175lbs to 135lbs too (5"10 in height) so I thought I was doing great.  
The corticosteroids, which I only did for about 1.5 weeks, made me hit my first 300+ mg/dL. Doctor got me off the steroids onto a different immunosuppressant but my numbers never became the "normal" I had before.
Not even 2 weeks with steroids and my A1c went from 5.1 to a 5.7! I can shiver at what 3 months would be.
Went to my first endo over month ago and we just can't figure me out. Doctor had me on a 1:3 insulin to carb ratio and I still hovered 250+, then 1:2, then 1:1, then I decided to do 1:1 plus metformin (out of desperation) and still getting high numbers. 
I ate a usual meal I have for lunch that's around 10g carbs and did 20 units (2:1) with 500mg metformin and I finally went down to around 140mg/dL. But, with my control for almost a year now, anything above 110 was my standard of "too high" so now this change is insane to me...
I went through chemo and since I'm now immunosuppressed, its hard for me to see doctors during these times. May I ask anyone here for help and advice? I always had my self-control and discipline to tame diabetes but now I just can't without insulin, advice and help.
Please and thank you for your time!</t>
        </is>
      </c>
      <c r="D8958" t="n">
        <v>2</v>
      </c>
      <c r="E8958" t="n">
        <v>8</v>
      </c>
      <c r="F8958">
        <f>HYPERLINK("https://www.reddit.com/r/diabetes/comments/fxzq97/still_new_to_insulincarb_ratio_26m/")</f>
        <v/>
      </c>
      <c r="G8958" t="inlineStr">
        <is>
          <t>2020-04-09 13:12:58</t>
        </is>
      </c>
      <c r="H8958" t="inlineStr">
        <is>
          <t>Type 2</t>
        </is>
      </c>
    </row>
    <row r="8959">
      <c r="A8959" t="inlineStr">
        <is>
          <t>fy0c71</t>
        </is>
      </c>
      <c r="B8959" t="inlineStr">
        <is>
          <t>Is it possible to use a sulfonylurea (eg Glipizide) similar to a "bolus" only when you need it?</t>
        </is>
      </c>
      <c r="C8959" t="inlineStr">
        <is>
          <t>I am currently on Tresiba+Metformin 1000 mg. I am doing a pretty darn good job of controlling my sugar if with an eAG of 122 over the past 14 days as per my Libre.   
My question is, if I'm anticipating a large carb heavy meal, is it possible to use a Glipizide 10 mg 30 minutes before it? I hate needles and don't want to poke myself even more. Starting Tresiba itself took a lot of willpower. I know Afrezza is out there, but the lowest dose is 4 units, and I'm managing quite well without it. It's just for those fu\*k it, I wan't cake moments. Anyone?  
Note: I used to take Glipizide 10mg 2x a day before I started the Tresiba, so I have plenty of access to it.</t>
        </is>
      </c>
      <c r="D8959" t="n">
        <v>1</v>
      </c>
      <c r="E8959" t="n">
        <v>4</v>
      </c>
      <c r="F8959">
        <f>HYPERLINK("https://www.reddit.com/r/diabetes/comments/fy0c71/is_it_possible_to_use_a_sulfonylurea_eg_glipizide/")</f>
        <v/>
      </c>
      <c r="G8959" t="inlineStr">
        <is>
          <t>2020-04-09 13:46:57</t>
        </is>
      </c>
      <c r="H8959" t="inlineStr">
        <is>
          <t>Type 2</t>
        </is>
      </c>
    </row>
    <row r="8960">
      <c r="A8960" t="inlineStr">
        <is>
          <t>fy1h93</t>
        </is>
      </c>
      <c r="B8960" t="inlineStr">
        <is>
          <t>I was forced from dexcom g5 to g6</t>
        </is>
      </c>
      <c r="C8960" t="inlineStr">
        <is>
          <t>do you have to do any finger pricks at all? even when you first put the sensor in?  Also how can  you trust it to be accurate without calibration?  is it actually accurate?</t>
        </is>
      </c>
      <c r="D8960" t="n">
        <v>1</v>
      </c>
      <c r="E8960" t="n">
        <v>8</v>
      </c>
      <c r="F8960">
        <f>HYPERLINK("https://www.reddit.com/r/diabetes/comments/fy1h93/i_was_forced_from_dexcom_g5_to_g6/")</f>
        <v/>
      </c>
      <c r="G8960" t="inlineStr">
        <is>
          <t>2020-04-09 14:51:58</t>
        </is>
      </c>
      <c r="H8960" t="inlineStr">
        <is>
          <t>Type 1</t>
        </is>
      </c>
    </row>
    <row r="8961">
      <c r="A8961" t="inlineStr">
        <is>
          <t>fy61hj</t>
        </is>
      </c>
      <c r="B8961" t="inlineStr">
        <is>
          <t>Barnard (Plant-Based Diet) vs. Fung (LCHF)?</t>
        </is>
      </c>
      <c r="C8961" t="inlineStr">
        <is>
          <t>To begin, I'm sorry if this has already been posted and discussed in this subreddit but I couldn't find anything super recent, so here goes --
I was diagnosed with T2 about 9 months ago (coincidentally 3 days after my dad passed away after slipping into a diabetic coma). Since my diagnosis, I've tried to do lazy Keto and while Keto "works" for me (weight loss, more energy), I don't see a lot of movement in my blood sugar levels while on Keto. 
I recently moved to a new PCP and he recommended that I look into Dr. Barnard's book and diet which is basically low fat vegan with low GI carbs. Coming from someone with zero scientific knowledge, the science makes logical sense to me and when I looked into whether dietary fat contributes to insulin resistance at the cellular level, the research seems to back this up. The inclusion of traditionally off-limits carbs is what's giving me pause though. For example, Dr. Barnard recommends pasta as a "good" carb to consume as it's relatively low GI thanks to how compressed the carbs are, compared to bread. 
In my research, I also came across Dr. Fung's book and diet which seems to basically be Keto and advocates a low carb, high fat diet as a "cure" for diabetes. I haven't actually read his book yet so I don't know anything about the specifics/guidelines of the diet he recommends beyond that it's basic premise is LCHF. 
I know that everyone's bodies are different and what works for one person won't necessarily work well for me. BUT how can two such fundamentally different diets produce the same result of "curing" diabetes? Which is more sustainable? If fats (whether it's saturated, unsaturated, regardless of source) do cause insulin resistance, how is a high fat diet the answer for (some) diabetics? Are there any redditors out there who have managed either diet for a long period of time and if so, what has your experience been?
Dr. Barnard's book:  [https://www.amazon.com/dp/B075DNLCGB/ref=dp-kindle-redirect?\_encoding=UTF8&amp;amp;btkr=1](https://www.amazon.com/dp/B075DNLCGB/ref=dp-kindle-redirect?_encoding=UTF8&amp;amp;btkr=1) 
Dr. Fung's book:</t>
        </is>
      </c>
      <c r="D8961" t="n">
        <v>1</v>
      </c>
      <c r="E8961" t="n">
        <v>20</v>
      </c>
      <c r="F8961">
        <f>HYPERLINK("https://www.reddit.com/r/diabetes/comments/fy61hj/barnard_plantbased_diet_vs_fung_lchf/")</f>
        <v/>
      </c>
      <c r="G8961" t="inlineStr">
        <is>
          <t>2020-04-09 19:12:35</t>
        </is>
      </c>
      <c r="H8961" t="inlineStr">
        <is>
          <t>Type 2</t>
        </is>
      </c>
    </row>
    <row r="8962">
      <c r="A8962" t="inlineStr">
        <is>
          <t>fy8zko</t>
        </is>
      </c>
      <c r="B8962" t="inlineStr">
        <is>
          <t>What scares your Endo Team the most?</t>
        </is>
      </c>
      <c r="C8962" t="inlineStr">
        <is>
          <t>So I am 23 and I’ll be 24 in July. I was diagnosed with type 1 diabetes when I was 6 years old and I don’t have any comorbidities currently. The one thing that my endocrinologist is worried about is my hypoglycemic unawareness. I understand how this can be worrisome, because for one, it’s dangerous. I am currently at 57 and dropping, while I type this message (I have already eaten applejacks, so my dexcom may not be responding quickly enough). I don’t feel my lows until I am in the low 40’s, the reason why my endocrine team recommended that I have the device. In November, I drove my self to the ER and by the time I was placed in my room, about 25 minutes later, give or take, my blood sugar was 23, my only symptom was a blank stare and tachycardia. I have 5 different basal rates throughout the day, ranging from 0.9-1.35 and my diet is very consistent, as in I’m very picky and will probably eat 2-3 meals a day, that are about 50 grams of carbohydrates. So, I just wanted to know from other diabetics, what scares your endocrine team the most?</t>
        </is>
      </c>
      <c r="D8962" t="n">
        <v>1</v>
      </c>
      <c r="E8962" t="n">
        <v>16</v>
      </c>
      <c r="F8962">
        <f>HYPERLINK("https://www.reddit.com/r/diabetes/comments/fy8zko/what_scares_your_endo_team_the_most/")</f>
        <v/>
      </c>
      <c r="G8962" t="inlineStr">
        <is>
          <t>2020-04-09 22:11:11</t>
        </is>
      </c>
      <c r="H8962" t="inlineStr">
        <is>
          <t>Type 1</t>
        </is>
      </c>
    </row>
    <row r="8963">
      <c r="A8963" t="inlineStr">
        <is>
          <t>fy9ohm</t>
        </is>
      </c>
      <c r="B8963" t="inlineStr">
        <is>
          <t>Is 100% dark chocolate good/healthy for you?</t>
        </is>
      </c>
      <c r="C8963" t="inlineStr">
        <is>
          <t>Is it good for someone like myself with sugar issues (i.e. pre-diabetes)? How about for cholesterol?</t>
        </is>
      </c>
      <c r="D8963" t="n">
        <v>1</v>
      </c>
      <c r="E8963" t="n">
        <v>14</v>
      </c>
      <c r="F8963">
        <f>HYPERLINK("https://www.reddit.com/r/diabetes/comments/fy9ohm/is_100_dark_chocolate_goodhealthy_for_you/")</f>
        <v/>
      </c>
      <c r="G8963" t="inlineStr">
        <is>
          <t>2020-04-09 22:57:31</t>
        </is>
      </c>
      <c r="H8963" t="inlineStr">
        <is>
          <t>Type 2</t>
        </is>
      </c>
    </row>
    <row r="8964">
      <c r="A8964" t="inlineStr">
        <is>
          <t>fyaa85</t>
        </is>
      </c>
      <c r="B8964" t="inlineStr">
        <is>
          <t>Diagnosed as T2 in 2017; diagnosed as T1 yesterday.</t>
        </is>
      </c>
      <c r="C8964" t="inlineStr">
        <is>
          <t>Hello everybody,
&amp;amp;#x200B;
I am new to this subreddit (and reddit in general.) 
I wanted to share my feelings and my story with people who understand and might listen. 
All my life I've been skinny. Scrawny. Small. The body of a dang middle school kid. It's just how I've always been. No matter what I ate, I couldn't gain weight.  
"Oh, I feel sooooo bad for you. You can't gain weight. Boohoo."   
That's what I'd always hear. But trust me, not being able to gain weight, and being a 26 year old guy with the body of a pre-teen can be pretty humiliating. So, when I moved away from home I decided to take matters into my own hands. 
I ate pasta constantly. Lots of it. Oreos and soda for dessert, almost every night. I was an idiot. I wanted to gain weight, and I thought that was the way to do it. Well, I gained weight alright. But only about 10 pounds. Maybe only 8. 
Then the symptoms started. I would get incredibly tired throughout the day. I took hour long naps probably 2-3 times a day. Plus I'd sleep for probably 9+ hours. (This would happen on the days I didn't have a catering gig, of course.)
I would drink probably 4 bottles of water before bed, then get up at least 4 times in the middle of the night to pee. And each pee session would last at least 45 seconds. It was insane. 
&amp;amp;#x200B;
Finally...I knew I had to go to the doctor. I hadn't been to the doctor in quite a while. But I knew something was wrong. Sure enough, after bloodwork, my A1C came back.   
10.4
An average blood glucose of 250, basically. 
I was diagnosed as a Type 2 diabetic and put on 500mg of Metformin twice a day immediately. 
That was June 23rd, 2017. I quite drinking soda cold turkey.
I changed my other bad habits, but mostly found myself not eating as much because it seemed like no matter what I ate, no matter how many carbs, my blood sugar seemed unstable. I still felt tired. I started losing weight, which I can't afford to do. 
&amp;amp;#x200B;
It took me THREE YEARS to wise up and get a second opinion. I went to an endocrinologist who immediately looked at me and said "there's no way you're type 2." He tested me for MODY diabetes, which came back negative. Then he officially diagnosed me as Type 1. He ordered me to take one 7-unit long-acting insulin shot a day before bed. 
&amp;amp;#x200B;
My first shot was tonight. About 30 minutes ago to be exact. I was shaking. I was scared. I was nervous. I was...kind of a wimp. I started to get teary eyed a little bit. But then I took a deep breath and did it. 
&amp;amp;#x200B;
I didn't even feel it. It was incredibly easy. I'm so happy. I feel amazing. I feel strong. I feel confident. I feel like I can live with this. I feel like I can get better. I feel like I can live a long and healthy life. I'm glad I'm finally getting the treatment I need. 
&amp;amp;#x200B;
I just wanted to tell someone. I hope everybody is doing well and staying safe and healthy. 
&amp;amp;#x200B;
Thanks for reading, if you did.</t>
        </is>
      </c>
      <c r="D8964" t="n">
        <v>1</v>
      </c>
      <c r="E8964" t="n">
        <v>44</v>
      </c>
      <c r="F8964">
        <f>HYPERLINK("https://www.reddit.com/r/diabetes/comments/fyaa85/diagnosed_as_t2_in_2017_diagnosed_as_t1_yesterday/")</f>
        <v/>
      </c>
      <c r="G8964" t="inlineStr">
        <is>
          <t>2020-04-09 23:42:25</t>
        </is>
      </c>
      <c r="H8964" t="inlineStr">
        <is>
          <t>Type 1</t>
        </is>
      </c>
    </row>
    <row r="8965">
      <c r="A8965" t="inlineStr">
        <is>
          <t>fygsv3</t>
        </is>
      </c>
      <c r="B8965" t="inlineStr">
        <is>
          <t>Requesting insulin as newly diagnosed diabetic?</t>
        </is>
      </c>
      <c r="C8965" t="inlineStr">
        <is>
          <t>I am 35, male, south asian and was diagnosed with diabetes last August with an A1C of 6.4. I'm on metformin 500 twice a day which bought my A1C down to 6.2 after 3 months. I currently see only a PCP and have missed my 6mo followup due to the Covid-19 situation. 
I wanted to solicit some opinions from more experienced redditors on the topic of requesting insulin from my doctor. 
Now that I know more about blood glucose regulation, insulin resistance and diabetes. I believe I have been insulin resistance since my teen years. I gained a lot of weight pre-puberty, my parents tried to get my to lose weight by strictly restricting my diet. I remember extreme thirst and extreme hunger during this time. In my young adult years, I gained a ton of weight on moving to america - diet after diet failed and the only diet that seems to help me lose weight is a low cab diet. 
Second - I know my diet is not the best for an insulin resistant person, it is a classic indian vegetarian diet - high on carbs, low in protein and fat. I have never eaten meat and my attempts to start eating meat as part of a keto diet have not worked (tried several years) at the same time I don't have any obvious high carb foods to cut out of my diet - i don't eat dessert more than once a month, and don't consume alcohol more than once or twice a month. I can shift my diet to lower carbs by reducing wheat and sharply reducing rice but i don't think i can sustainably turn in to a life long low carb eater. 
I'm 35 - I hope to be around for my infant son and live another 40 years or more. My thoughts have been turning towards requesting insulin because 
1) I've already been insulin resistant for a long time &amp;amp;
2) I don't have a lot great levers to pull diet wise to bring my insulin resistance down
I figure what is the point of waiting another 5-10 years to go on insulin, all the while my natural blood sugar control keeps deteriorating and i am exposed to the high sugars. 
Any insight or advice is much appreciated. I'm willing to hear that I am just panicking if that is what it is. 
I don't relish the prospect of 40 years of injecting myself with insulin either but currently i think it will be best for my health. Thank you for reading and any advice you can offer.</t>
        </is>
      </c>
      <c r="D8965" t="n">
        <v>1</v>
      </c>
      <c r="E8965" t="n">
        <v>9</v>
      </c>
      <c r="F8965">
        <f>HYPERLINK("https://www.reddit.com/r/diabetes/comments/fygsv3/requesting_insulin_as_newly_diagnosed_diabetic/")</f>
        <v/>
      </c>
      <c r="G8965" t="inlineStr">
        <is>
          <t>2020-04-10 07:28:24</t>
        </is>
      </c>
      <c r="H8965" t="inlineStr">
        <is>
          <t>Type 2</t>
        </is>
      </c>
    </row>
    <row r="8966">
      <c r="A8966" t="inlineStr">
        <is>
          <t>fyiy7t</t>
        </is>
      </c>
      <c r="B8966" t="inlineStr">
        <is>
          <t>Sugar levels and Stress</t>
        </is>
      </c>
      <c r="C8966" t="inlineStr">
        <is>
          <t>Hey guys,
I'm fairly new (less than a year since diagnosed), and I'm used to my sugar readings (75-95 throughout the day while on keto, 90-110 while allowing carbs). But I've been under a lot of stress lately and have had some higher readings. Nothing too alarming: instead of having a 70-80 reading in the morning, it's gone up to 85-95. 
Have any of you perceived some sort of correlation? Yeah, it's very hard to measure stress, so just as an observation. 
Thanks!</t>
        </is>
      </c>
      <c r="D8966" t="n">
        <v>1</v>
      </c>
      <c r="E8966" t="n">
        <v>10</v>
      </c>
      <c r="F8966">
        <f>HYPERLINK("https://www.reddit.com/r/diabetes/comments/fyiy7t/sugar_levels_and_stress/")</f>
        <v/>
      </c>
      <c r="G8966" t="inlineStr">
        <is>
          <t>2020-04-10 09:21:05</t>
        </is>
      </c>
      <c r="H8966" t="inlineStr">
        <is>
          <t>Type 1.5/LADA</t>
        </is>
      </c>
    </row>
    <row r="8967">
      <c r="A8967" t="inlineStr">
        <is>
          <t>fykgqa</t>
        </is>
      </c>
      <c r="B8967" t="inlineStr">
        <is>
          <t>Keto-Mojo vs other brands</t>
        </is>
      </c>
      <c r="C8967" t="inlineStr">
        <is>
          <t>Does anyone primarily use Keto-Mojo for glucose monitoring? I have another meter, Accuchek Guide Me. The Keto-Mojo one gives me lower (better) readings, but there's hardly any reviews on its glucose accuracy. I want to keep using it since the test strips are significantly cheaper and Accuchek's seems like its been pretty inaccurate when I had compared it with my Contour Next meter when I had been using that (ran out of strips).</t>
        </is>
      </c>
      <c r="D8967" t="n">
        <v>1</v>
      </c>
      <c r="E8967" t="n">
        <v>0</v>
      </c>
      <c r="F8967">
        <f>HYPERLINK("https://www.reddit.com/r/diabetes/comments/fykgqa/ketomojo_vs_other_brands/")</f>
        <v/>
      </c>
      <c r="G8967" t="inlineStr">
        <is>
          <t>2020-04-10 10:37:05</t>
        </is>
      </c>
      <c r="H8967" t="inlineStr">
        <is>
          <t>Type 2</t>
        </is>
      </c>
    </row>
    <row r="8968">
      <c r="A8968" t="inlineStr">
        <is>
          <t>fym82k</t>
        </is>
      </c>
      <c r="B8968" t="inlineStr">
        <is>
          <t>Do you have an endocrinologist? T1</t>
        </is>
      </c>
      <c r="C8968" t="inlineStr">
        <is>
          <t>What are the potential pros and cons I should consider before I rebound from a large bill by dropping my endo? I've had an endo my entire diabetic T1 career (27F, dx at 11), and my A1c is 7's but improving w/o help from any providers. 
Pros to having an endo: I want to get pregnant eventually so I'm hesitant to drop them because I know an endo is essential for a healthy pregnancy. Thinking I could maintain the relationship I already have...
Cons to having an endo: Cost, cost, cost, I don't feel like I "need" one for anything other than ordering prescriptions. I have a great PCP who could take over that role...
Any thoughts? TIA</t>
        </is>
      </c>
      <c r="D8968" t="n">
        <v>1</v>
      </c>
      <c r="E8968" t="n">
        <v>12</v>
      </c>
      <c r="F8968">
        <f>HYPERLINK("https://www.reddit.com/r/diabetes/comments/fym82k/do_you_have_an_endocrinologist_t1/")</f>
        <v/>
      </c>
      <c r="G8968" t="inlineStr">
        <is>
          <t>2020-04-10 11:59:59</t>
        </is>
      </c>
      <c r="H8968" t="inlineStr">
        <is>
          <t>Type 1</t>
        </is>
      </c>
    </row>
    <row r="8969">
      <c r="A8969" t="inlineStr">
        <is>
          <t>fym9vg</t>
        </is>
      </c>
      <c r="B8969" t="inlineStr">
        <is>
          <t>Endocrinologist requiring me to wait to eat again until Insulin on Board is gone on my pump (3 hours), how to avoid going hungry?</t>
        </is>
      </c>
      <c r="C8969" t="inlineStr">
        <is>
          <t>I’ve had my pump for a year, and some things were never properly explained to me. For example, if my sugar was still high an hour after Bolus-ing, I would give myself more insulin to help bring it back down during the Bolus “insulin on board” of 4 hours. 
After seeing my new Endo, he told me I should not be bolusing during my IOB “window” of insulin delivery, and he changed it to 3 hours. If I try to add more insulin during this window (say I’m eating more and I need to cover it with insulin) the insulin amount delivered is so minuscule that it’s almost useless. Like if I want to eat something extra 2 hours after my initial Bolus, and I go to take more insulin, it’s maybe 5% of what it normally would be, until my insulin on board ends after 3 hours. 
Because of this it makes it extremely difficult to plan meals with family and I often go hungry for long stretches at a time. Is this just something I have to deal with? I’m using the Tandem T-Slim</t>
        </is>
      </c>
      <c r="D8969" t="n">
        <v>1</v>
      </c>
      <c r="E8969" t="n">
        <v>4</v>
      </c>
      <c r="F8969">
        <f>HYPERLINK("https://www.reddit.com/r/diabetes/comments/fym9vg/endocrinologist_requiring_me_to_wait_to_eat_again/")</f>
        <v/>
      </c>
      <c r="G8969" t="inlineStr">
        <is>
          <t>2020-04-10 12:02:24</t>
        </is>
      </c>
      <c r="H8969" t="inlineStr">
        <is>
          <t>Type 1</t>
        </is>
      </c>
    </row>
    <row r="8970">
      <c r="A8970" t="inlineStr">
        <is>
          <t>fymvr0</t>
        </is>
      </c>
      <c r="B8970" t="inlineStr">
        <is>
          <t>Need insulin and cant afford because I lost my job due to Covid</t>
        </is>
      </c>
      <c r="C8970" t="inlineStr">
        <is>
          <t>Hi so I use Lantus to treat my diabetes and I gave myself the last injection yesterday. Today I'm feeling like hell, my vision is getting worse and I have a headache. I called my pharmacy to plead with them anything that I could but it's $100 no matter what for a vial. I'm desperately seeking assistance with this matter. I am in St Petersburg Florida. I can send proof of having diabetes if I need to,  or if someone is local and can help me. Please and thank you</t>
        </is>
      </c>
      <c r="D8970" t="n">
        <v>1</v>
      </c>
      <c r="E8970" t="n">
        <v>27</v>
      </c>
      <c r="F8970">
        <f>HYPERLINK("https://www.reddit.com/r/diabetes/comments/fymvr0/need_insulin_and_cant_afford_because_i_lost_my/")</f>
        <v/>
      </c>
      <c r="G8970" t="inlineStr">
        <is>
          <t>2020-04-10 12:32:12</t>
        </is>
      </c>
      <c r="H8970" t="inlineStr">
        <is>
          <t>Type 1</t>
        </is>
      </c>
    </row>
    <row r="8971">
      <c r="A8971" t="inlineStr">
        <is>
          <t>fyop5b</t>
        </is>
      </c>
      <c r="B8971" t="inlineStr">
        <is>
          <t>Are people with diabetes actually immunocompromised?</t>
        </is>
      </c>
      <c r="C8971" t="inlineStr">
        <is>
          <t>I've always heard that since I have diabetes I'm considered immunocompromised, but with the increased visibility of this sort of thing lately I've been seeing conflicting things. Are people with diabetes actually immunnocompromised or is it only in situations where you have poor control of your blood sugar?</t>
        </is>
      </c>
      <c r="D8971" t="n">
        <v>1</v>
      </c>
      <c r="E8971" t="n">
        <v>9</v>
      </c>
      <c r="F8971">
        <f>HYPERLINK("https://www.reddit.com/r/diabetes/comments/fyop5b/are_people_with_diabetes_actually/")</f>
        <v/>
      </c>
      <c r="G8971" t="inlineStr">
        <is>
          <t>2020-04-10 14:01:23</t>
        </is>
      </c>
      <c r="H8971" t="inlineStr">
        <is>
          <t>Type 1</t>
        </is>
      </c>
    </row>
    <row r="8972">
      <c r="A8972" t="inlineStr">
        <is>
          <t>fyp17c</t>
        </is>
      </c>
      <c r="B8972" t="inlineStr">
        <is>
          <t>MiniMed 670G</t>
        </is>
      </c>
      <c r="C8972" t="inlineStr">
        <is>
          <t>Has anyone had any luck getting a replacement or refund for pump with broken retainer ring? It’s been a few months after I filled out the form online they claimed a rep would be in touch within 48 hours and that still hasn’t happened. I don’t have the time or money to go to my specialist to get a whole new set up of pens so I’ve just been taping mine in place and keeping an eye on it but this is getting ridiculous.</t>
        </is>
      </c>
      <c r="D8972" t="n">
        <v>1</v>
      </c>
      <c r="E8972" t="n">
        <v>5</v>
      </c>
      <c r="F8972">
        <f>HYPERLINK("https://www.reddit.com/r/diabetes/comments/fyp17c/minimed_670g/")</f>
        <v/>
      </c>
      <c r="G8972" t="inlineStr">
        <is>
          <t>2020-04-10 14:18:09</t>
        </is>
      </c>
      <c r="H8972" t="inlineStr">
        <is>
          <t>Type 1</t>
        </is>
      </c>
    </row>
    <row r="8973">
      <c r="A8973" t="inlineStr">
        <is>
          <t>fyp8a0</t>
        </is>
      </c>
      <c r="B8973" t="inlineStr">
        <is>
          <t>ControlIQ issues</t>
        </is>
      </c>
      <c r="C8973" t="inlineStr">
        <is>
          <t>I started on controlIQ very recently, but I am having some issues with it.
I had a dexcom down trending arrow with 58 blood sugar so I had a few jolly ranchers.
A little while later I go look at my BS and it is 159 with 2 up arrows.  I don't bolus for the correction.  I decide to just let the pump handle it.
So it does auto correct for me, but then I end up having a 70 blood sugar with down trending arrow.
I basically ended up in a similar spot I was in before.  I think the issue is that I ate straight sugar basically so it shot up my BS high, but really fast. I think the double up arrows sent the prediction to be much higher than it actually went, and so thus it gave too much insulin and I went low.
Is there any way I can tell the pump  that I ate to correct a low bg so it doesn't just try to give me insulin?
Maybe the solution is to put it in sleep mode so it can't give a correction, at least while I am waiting for my BG to go up  OR to switch to exercise mode so that my target is higher while I'm having a low.
&amp;amp;#x200B;
Thoughts?</t>
        </is>
      </c>
      <c r="D8973" t="n">
        <v>1</v>
      </c>
      <c r="E8973" t="n">
        <v>9</v>
      </c>
      <c r="F8973">
        <f>HYPERLINK("https://www.reddit.com/r/diabetes/comments/fyp8a0/controliq_issues/")</f>
        <v/>
      </c>
      <c r="G8973" t="inlineStr">
        <is>
          <t>2020-04-10 14:27:50</t>
        </is>
      </c>
      <c r="H8973" t="inlineStr">
        <is>
          <t>Type 1</t>
        </is>
      </c>
    </row>
    <row r="8974">
      <c r="A8974" t="inlineStr">
        <is>
          <t>fyq4db</t>
        </is>
      </c>
      <c r="B8974" t="inlineStr">
        <is>
          <t>How much of a risk is a 49 year old man with well managed type 2 diabetes for Coronavirus?</t>
        </is>
      </c>
      <c r="C8974" t="inlineStr">
        <is>
          <t>What I mean is if they catch the Coronavirus, do they have a higher chance of death.</t>
        </is>
      </c>
      <c r="D8974" t="n">
        <v>1</v>
      </c>
      <c r="E8974" t="n">
        <v>6</v>
      </c>
      <c r="F8974">
        <f>HYPERLINK("https://www.reddit.com/r/diabetes/comments/fyq4db/how_much_of_a_risk_is_a_49_year_old_man_with_well/")</f>
        <v/>
      </c>
      <c r="G8974" t="inlineStr">
        <is>
          <t>2020-04-10 15:12:49</t>
        </is>
      </c>
      <c r="H8974" t="inlineStr">
        <is>
          <t>Type 2</t>
        </is>
      </c>
    </row>
    <row r="8975">
      <c r="A8975" t="inlineStr">
        <is>
          <t>fyr4n0</t>
        </is>
      </c>
      <c r="B8975" t="inlineStr">
        <is>
          <t>What pharmacy doesn't suck?</t>
        </is>
      </c>
      <c r="C8975" t="inlineStr">
        <is>
          <t>US.
Doctor puts in a script for 12ml of insulin. I put in to fill 12ml of insulin. I get 3ml of insulin. I have not been consulted in this change at all. Doctor says its the pharmacy, and insurance fault. Pharmacy says it is insurance and the doctor's fault. Insurance says it is the doctor and pharmacy's fault.              
state limits on insulin is 45ml/30 days, all I am asking is for 12ml/90        
the pharmacy is walgreens. I tried a new walgreens with the same results. The only other options are CVS, Walmart, or pharmacies owned by McKesson, a company that the federal government sued because they took cancer meds out of vials and put them in syringes, and then sold the syringes as sterile.
I don't have a car, all I want is the 12ml of insulin that my doctor prescribed to me so I don't have to run to the pharmacy every 20 or so days.
how do I get the amount of meds my doctor prescribed? How do I get notified if there is a change in how much I get, regardless of what the doctor prescribed? What pharmacy would refuse to half fill scripts, and actually give me what my doctor prescribed?</t>
        </is>
      </c>
      <c r="D8975" t="n">
        <v>1</v>
      </c>
      <c r="E8975" t="n">
        <v>17</v>
      </c>
      <c r="F8975">
        <f>HYPERLINK("https://www.reddit.com/r/diabetes/comments/fyr4n0/what_pharmacy_doesnt_suck/")</f>
        <v/>
      </c>
      <c r="G8975" t="inlineStr">
        <is>
          <t>2020-04-10 16:05:23</t>
        </is>
      </c>
      <c r="H8975" t="inlineStr">
        <is>
          <t>Type 1</t>
        </is>
      </c>
    </row>
    <row r="8976">
      <c r="A8976" t="inlineStr">
        <is>
          <t>fysgrw</t>
        </is>
      </c>
      <c r="B8976" t="inlineStr">
        <is>
          <t>Diagnosed as in between type 1 &amp;amp; type 2 recently, super lost.</t>
        </is>
      </c>
      <c r="C8976" t="inlineStr">
        <is>
          <t>So I was recently diagnosed with diabetes just as this COVID-19 thing started causing issues. Great timing. 
I had been waking up every hour or two to pee for a few weeks, but I was incredibly thirsty. The final straw that pushed me to go to the doctors was being so tired at work (construction) that I could have laid down and slept anywhere without an issue. 
So I went in, they said there was sugar in my urine and they tested my blood and it came in at 28mmol/L (504 mg/dL). They sent me to the hospital where they lowered my blood sugar via time and then a shot of insulin. The hospital kicked me out with a prescription of Metformin (500mg 2x a day) and an appointment to talk with a dietitian a couple of weeks later. 
Talked with the dietitian over the phone; turns out I was already eating everything I should. Love plain Greek yogurt with some frozen blueberries, love oatmeal, eat chicken for lunch every single day. Figured I was in a good spot. 
Well, my blood sugar didn't really seem to stabilize and an internal medicine doctor talked with me (again, over the phone) and increased my Metformin to 1000mg 2x a day and added Trajenta 5mg + Linagliptin 5mg 1x a day. Been on that for about two weeks. Blood sugar still is all over the place. 
What are the chances that I'm not a type 2 diabetic? No doctor/dietitian that I've talked to since being diagnosed has actually seen what I look like and it seems like they're all operating under the assumption that I'm overweight. Problem is that I have an overweight BMI, but it's due to muscle. 
The only days my blood sugar dips into normal range is after work. I do rebar, which is very physical so I am exercising all day. The gyms being closed have really screwed me, but work days are probably okay for at least moderate exercise. 
Here is what I look like, so you know I'm not bullshiting  about my BMI:
https://imgur.com/a/hlIHmn6
Here's a bonus chart of my blood sugar over the last 30 days:
https://imgur.com/a/3XAIQ99</t>
        </is>
      </c>
      <c r="D8976" t="n">
        <v>1</v>
      </c>
      <c r="E8976" t="n">
        <v>14</v>
      </c>
      <c r="F8976">
        <f>HYPERLINK("https://www.reddit.com/r/diabetes/comments/fysgrw/diagnosed_as_in_between_type_1_type_2_recently/")</f>
        <v/>
      </c>
      <c r="G8976" t="inlineStr">
        <is>
          <t>2020-04-10 17:16:36</t>
        </is>
      </c>
      <c r="H8976" t="inlineStr">
        <is>
          <t>Type 2</t>
        </is>
      </c>
    </row>
    <row r="8977">
      <c r="A8977" t="inlineStr">
        <is>
          <t>fz3u4l</t>
        </is>
      </c>
      <c r="B8977" t="inlineStr">
        <is>
          <t>United Healthcare now covering CGMs for Type 2 Diabetics</t>
        </is>
      </c>
      <c r="C8977" t="inlineStr">
        <is>
          <t>There's been a few posts about people with Type 2 diabetes being unable to get CGM's covered by United Healthcare, including me ([the one I remember is here](https://www.reddit.com/r/diabetes_t2/comments/f3z4oe/getting_a_dexcom_for_t2/?utm_source=share&amp;amp;utm_medium=web2x)). 
Looks like as of April 1st (yes, I know...) they've changed their policy and now cover CGMs for people with Type 2 diabetes under the following conditions:
* \&amp;gt;= 3/day insulin injections or pump therapy
* \&amp;gt;= 3/day  blood glucose tests
* Adherent with current treatment plan
* Motivated and knowledgable about CGM
My endo submitted a prescription for me for a Dexcom G6 and I was approved in less than 3 days, whereas just a couple months ago I was denied for prescription, prior authorization, and appeal. My pharmacy is filling the prescription now.
For those with UHC who have been wanting a CGM, definitely worth trying again!</t>
        </is>
      </c>
      <c r="D8977" t="n">
        <v>1</v>
      </c>
      <c r="E8977" t="n">
        <v>10</v>
      </c>
      <c r="F8977">
        <f>HYPERLINK("https://www.reddit.com/r/diabetes/comments/fz3u4l/united_healthcare_now_covering_cgms_for_type_2/")</f>
        <v/>
      </c>
      <c r="G8977" t="inlineStr">
        <is>
          <t>2020-04-11 05:10:04</t>
        </is>
      </c>
      <c r="H8977" t="inlineStr">
        <is>
          <t>Type 2</t>
        </is>
      </c>
    </row>
    <row r="8978">
      <c r="A8978" t="inlineStr">
        <is>
          <t>fzo9wv</t>
        </is>
      </c>
      <c r="B8978" t="inlineStr">
        <is>
          <t>Today I had a new low, 98! Diagnosed about 2 mo. ago.</t>
        </is>
      </c>
      <c r="C8978" t="inlineStr">
        <is>
          <t>I’ve been doing low carb, no sugar in addition to intermittent fasting and I hit a new low today! It’s party due to metformin, but I’ve been maintaining a 120-170 level for several weeks so this means my diet must be helping! I’ve also lost 40lbs!</t>
        </is>
      </c>
      <c r="D8978" t="n">
        <v>6</v>
      </c>
      <c r="E8978" t="n">
        <v>1</v>
      </c>
      <c r="F8978">
        <f>HYPERLINK("https://www.reddit.com/r/diabetes/comments/fzo9wv/today_i_had_a_new_low_98_diagnosed_about_2_mo_ago/")</f>
        <v/>
      </c>
      <c r="G8978" t="inlineStr">
        <is>
          <t>2020-04-11 19:24:56</t>
        </is>
      </c>
      <c r="H8978" t="inlineStr">
        <is>
          <t>Type 2</t>
        </is>
      </c>
    </row>
    <row r="8979">
      <c r="A8979" t="inlineStr">
        <is>
          <t>fzogtr</t>
        </is>
      </c>
      <c r="B8979" t="inlineStr">
        <is>
          <t>Prednisone and T2</t>
        </is>
      </c>
      <c r="C8979" t="inlineStr">
        <is>
          <t>Anyone ever had to take prednisone I’m supposed to be taking it for 5 days and I hear it spikes your blood sugar?</t>
        </is>
      </c>
      <c r="D8979" t="n">
        <v>1</v>
      </c>
      <c r="E8979" t="n">
        <v>10</v>
      </c>
      <c r="F8979">
        <f>HYPERLINK("https://www.reddit.com/r/diabetes/comments/fzogtr/prednisone_and_t2/")</f>
        <v/>
      </c>
      <c r="G8979" t="inlineStr">
        <is>
          <t>2020-04-11 19:37:53</t>
        </is>
      </c>
      <c r="H8979" t="inlineStr">
        <is>
          <t>Type 2</t>
        </is>
      </c>
    </row>
    <row r="8980">
      <c r="A8980" t="inlineStr">
        <is>
          <t>fzp7ed</t>
        </is>
      </c>
      <c r="B8980" t="inlineStr">
        <is>
          <t>T1D Advocacy Limited Presence On Twitter</t>
        </is>
      </c>
      <c r="C8980" t="inlineStr">
        <is>
          <t>I'm surprised at the little to no presence on Twitter.   
Reddit is a great self contained community but this is the time to be heard.
I click on #T1D hash tags ... not much.   
Companies Eli Lilly get little RTs/Likes or replies on their tweets from their accounts.
The costs (yes insulin for all accounts are great) of insulin/needles/CGM and the lack of   
clinical trials towards a cure not being promoted should become a huge rallying point.  
Companies are making billions per year as diabetics are labeled immunocompromised and  
are the first groups to have to sit out virus pandemics now and in the future.  
The Twitter platform opportunity is wide open.    
We have great stories and MEMES.  
I'm starting to rev up my twitter account. 
Things that are helpful:
Share your real personal story (show the needles/insulin/the bills)  
tag in politicians and use trending hashtags to get other eyeballs plus #T1D  
Directly tweet at politicians / pharma companies  / high profile doctors  
/ famous T1D accounts but use a period first for example .@nickjonas  
The "." means others will see your tweet as opposed to just Nick.  
More Twitter impressions are created.
Tweeting is a free easy way to get some light shed.  
You don't have to be overbearing if you aren't that way just even hit the "like"  
or "RT" tab to amplify the tweets that do advocate for this community.   
(THIS IS MORE IMPORTANT THAN YOU THINK)  
Thanks for reading this far ..... Bless all of you going through this and let's  
get a damn cure f ing soon.</t>
        </is>
      </c>
      <c r="D8980" t="n">
        <v>1</v>
      </c>
      <c r="E8980" t="n">
        <v>0</v>
      </c>
      <c r="F8980">
        <f>HYPERLINK("https://www.reddit.com/r/diabetes/comments/fzp7ed/t1d_advocacy_limited_presence_on_twitter/")</f>
        <v/>
      </c>
      <c r="G8980" t="inlineStr">
        <is>
          <t>2020-04-11 20:28:47</t>
        </is>
      </c>
      <c r="H8980" t="inlineStr">
        <is>
          <t>Type 1</t>
        </is>
      </c>
    </row>
    <row r="8981">
      <c r="A8981" t="inlineStr">
        <is>
          <t>fzp8ag</t>
        </is>
      </c>
      <c r="B8981" t="inlineStr">
        <is>
          <t>Can I drink beer, at all?</t>
        </is>
      </c>
      <c r="C8981" t="inlineStr">
        <is>
          <t>New type 1 diabetic, can I drink beer? Ive looked it up, can't get a consistent answer, and I ask specifically because last time i drank a bottle of budweiser my bloodsugar crashed down from like 160 to 50, didn't give any insulin for it either.</t>
        </is>
      </c>
      <c r="D8981" t="n">
        <v>3</v>
      </c>
      <c r="E8981" t="n">
        <v>7</v>
      </c>
      <c r="F8981">
        <f>HYPERLINK("https://www.reddit.com/r/diabetes/comments/fzp8ag/can_i_drink_beer_at_all/")</f>
        <v/>
      </c>
      <c r="G8981" t="inlineStr">
        <is>
          <t>2020-04-11 20:30:32</t>
        </is>
      </c>
      <c r="H8981" t="inlineStr">
        <is>
          <t>Type 1</t>
        </is>
      </c>
    </row>
    <row r="8982">
      <c r="A8982" t="inlineStr">
        <is>
          <t>g03en6</t>
        </is>
      </c>
      <c r="B8982" t="inlineStr">
        <is>
          <t>Question about diabetes and exercise</t>
        </is>
      </c>
      <c r="C8982" t="inlineStr">
        <is>
          <t>I’m going to start walking on my treadmill to help my weight loss, and I know that increased activity like housework makes my glucose level drop faster than when I’m sedentary.
My blood sugar stays around 90 between meals, so it doesn’t take a lot for me to get too low. 
Should I eat a carb-heavy snack before I exercise to offset the drop?</t>
        </is>
      </c>
      <c r="D8982" t="n">
        <v>1</v>
      </c>
      <c r="E8982" t="n">
        <v>8</v>
      </c>
      <c r="F8982">
        <f>HYPERLINK("https://www.reddit.com/r/diabetes/comments/g03en6/question_about_diabetes_and_exercise/")</f>
        <v/>
      </c>
      <c r="G8982" t="inlineStr">
        <is>
          <t>2020-04-12 12:48:52</t>
        </is>
      </c>
      <c r="H8982" t="inlineStr">
        <is>
          <t>Type 2</t>
        </is>
      </c>
    </row>
    <row r="8983">
      <c r="A8983" t="inlineStr">
        <is>
          <t>g03iqe</t>
        </is>
      </c>
      <c r="B8983" t="inlineStr">
        <is>
          <t>Curious if alot of people experienced this.</t>
        </is>
      </c>
      <c r="C8983" t="inlineStr">
        <is>
          <t>When I first got diabetes at age 8 everything with sugar was took out the house so on my birthday I was givin a cake with no icing, that shit used to depress me so bad, just curious if it depressed other people like that.</t>
        </is>
      </c>
      <c r="D8983" t="n">
        <v>4</v>
      </c>
      <c r="E8983" t="n">
        <v>9</v>
      </c>
      <c r="F8983">
        <f>HYPERLINK("https://www.reddit.com/r/diabetes/comments/g03iqe/curious_if_alot_of_people_experienced_this/")</f>
        <v/>
      </c>
      <c r="G8983" t="inlineStr">
        <is>
          <t>2020-04-12 12:54:51</t>
        </is>
      </c>
      <c r="H8983" t="inlineStr">
        <is>
          <t>Type 1</t>
        </is>
      </c>
    </row>
    <row r="8984">
      <c r="A8984" t="inlineStr">
        <is>
          <t>g05m08</t>
        </is>
      </c>
      <c r="B8984" t="inlineStr">
        <is>
          <t>Anyone had an issue of high rating sugar spikes after drinking water its the weirdest thing?</t>
        </is>
      </c>
      <c r="C8984" t="inlineStr">
        <is>
          <t>I am a type one on insulin and have been diabetic for 12 years in the past on and off I have noticed that if I drink water at random times throughout the day I get huge blood sugar spikes I have also found this when using correction dosages for highs from foods. 
&amp;amp;#x200B;
Its a strange occurrence.</t>
        </is>
      </c>
      <c r="D8984" t="n">
        <v>1</v>
      </c>
      <c r="E8984" t="n">
        <v>2</v>
      </c>
      <c r="F8984">
        <f>HYPERLINK("https://www.reddit.com/r/diabetes/comments/g05m08/anyone_had_an_issue_of_high_rating_sugar_spikes/")</f>
        <v/>
      </c>
      <c r="G8984" t="inlineStr">
        <is>
          <t>2020-04-12 14:51:59</t>
        </is>
      </c>
      <c r="H8984" t="inlineStr">
        <is>
          <t>Type 1</t>
        </is>
      </c>
    </row>
    <row r="8985">
      <c r="A8985" t="inlineStr">
        <is>
          <t>g05phb</t>
        </is>
      </c>
      <c r="B8985" t="inlineStr">
        <is>
          <t>15 years since dx today</t>
        </is>
      </c>
      <c r="C8985" t="inlineStr">
        <is>
          <t>Today marks 15 YEARS since I was diagnosed with Type 1 Diabetes! Wow! 
After enough time, this date has stopped being about juxtaposing my "back then" to my "now". 
I'm the luckiest person! The tough stuff doesn't go away or even lessen, BUT it all stops hurting/scarring and you eventually remember how to live happily. THEN you build from happy to lucky as you get amazing parts of your life.</t>
        </is>
      </c>
      <c r="D8985" t="n">
        <v>5</v>
      </c>
      <c r="E8985" t="n">
        <v>0</v>
      </c>
      <c r="F8985">
        <f>HYPERLINK("https://www.reddit.com/r/diabetes/comments/g05phb/15_years_since_dx_today/")</f>
        <v/>
      </c>
      <c r="G8985" t="inlineStr">
        <is>
          <t>2020-04-12 14:57:17</t>
        </is>
      </c>
      <c r="H8985" t="inlineStr">
        <is>
          <t>Type 1</t>
        </is>
      </c>
    </row>
    <row r="8986">
      <c r="A8986" t="inlineStr">
        <is>
          <t>g0707r</t>
        </is>
      </c>
      <c r="B8986" t="inlineStr">
        <is>
          <t>Help: Blood glucose 22 -25 mmol/l for past month. I feel terrible!</t>
        </is>
      </c>
      <c r="C8986" t="inlineStr">
        <is>
          <t>Not sure what to do.  My doctor is off with no replacement, and I can't get my sugars down on my own anymore even with cutting carbs.  I admit, I've been in denial and haven't been checking sugars regularly because I'm scared to face reality.  I take only metformin 500mg bid.  For the past few months I haven't slept more than a couple hours at a time through the night because I am up to the bathroom peeing and drinking water non stop.  The last few weeks  my eyes are going blurry and I feel so tired.  I am irritable like crazy.  I broke down and checked my sugars and they are sitting at 23 right now - and was 25 yesterday.  I woke up this morning already at 18.  I don't think metformin is enough anymore.  Should I be on insulin?</t>
        </is>
      </c>
      <c r="D8986" t="n">
        <v>1</v>
      </c>
      <c r="E8986" t="n">
        <v>7</v>
      </c>
      <c r="F8986">
        <f>HYPERLINK("https://www.reddit.com/r/diabetes/comments/g0707r/help_blood_glucose_22_25_mmoll_for_past_month_i/")</f>
        <v/>
      </c>
      <c r="G8986" t="inlineStr">
        <is>
          <t>2020-04-12 16:15:36</t>
        </is>
      </c>
      <c r="H8986" t="inlineStr">
        <is>
          <t>Type 2</t>
        </is>
      </c>
    </row>
    <row r="8987">
      <c r="A8987" t="inlineStr">
        <is>
          <t>g08lcg</t>
        </is>
      </c>
      <c r="B8987" t="inlineStr">
        <is>
          <t>Dexcom or Libre?</t>
        </is>
      </c>
      <c r="C8987" t="inlineStr">
        <is>
          <t>Which one should I get? Libre seems cheaper but it looks like Dexcom is pretty popular</t>
        </is>
      </c>
      <c r="D8987" t="n">
        <v>2</v>
      </c>
      <c r="E8987" t="n">
        <v>8</v>
      </c>
      <c r="F8987">
        <f>HYPERLINK("https://www.reddit.com/r/diabetes/comments/g08lcg/dexcom_or_libre/")</f>
        <v/>
      </c>
      <c r="G8987" t="inlineStr">
        <is>
          <t>2020-04-12 17:56:38</t>
        </is>
      </c>
      <c r="H8987" t="inlineStr">
        <is>
          <t>Type 1</t>
        </is>
      </c>
    </row>
    <row r="8988">
      <c r="A8988" t="inlineStr">
        <is>
          <t>g0lhys</t>
        </is>
      </c>
      <c r="B8988" t="inlineStr">
        <is>
          <t>T1 or T2. What am I rooting for?</t>
        </is>
      </c>
      <c r="C8988" t="inlineStr">
        <is>
          <t>Diagnosis 9 months ago was T2 with an A1c if 9.9. I got that down to 5.6. Now my Endo says I may be T2 insulin resistant OR MAYBE T1 late onset. I said “oh no isn’t T1 more dangerous for complication?” And she said “No. it’s the other way around.” 
Now I am completely confused. I thought T2 if managed wasn’t too dangerous and T1 because of possible lows was scarier. Am I completely wrong?</t>
        </is>
      </c>
      <c r="D8988" t="n">
        <v>2</v>
      </c>
      <c r="E8988" t="n">
        <v>12</v>
      </c>
      <c r="F8988">
        <f>HYPERLINK("https://www.reddit.com/r/diabetes/comments/g0lhys/t1_or_t2_what_am_i_rooting_for/")</f>
        <v/>
      </c>
      <c r="G8988" t="inlineStr">
        <is>
          <t>2020-04-13 08:48:21</t>
        </is>
      </c>
      <c r="H8988" t="inlineStr">
        <is>
          <t>Type 1</t>
        </is>
      </c>
    </row>
    <row r="8989">
      <c r="A8989" t="inlineStr">
        <is>
          <t>g0llwk</t>
        </is>
      </c>
      <c r="B8989" t="inlineStr">
        <is>
          <t>Any creative use for diabetic trash?</t>
        </is>
      </c>
      <c r="C8989" t="inlineStr">
        <is>
          <t>Has anyone found a cool use for all the trash created by 1-time-use supplies ? (needle caps, pens, etc.)</t>
        </is>
      </c>
      <c r="D8989" t="n">
        <v>1</v>
      </c>
      <c r="E8989" t="n">
        <v>4</v>
      </c>
      <c r="F8989">
        <f>HYPERLINK("https://www.reddit.com/r/diabetes/comments/g0llwk/any_creative_use_for_diabetic_trash/")</f>
        <v/>
      </c>
      <c r="G8989" t="inlineStr">
        <is>
          <t>2020-04-13 08:54:10</t>
        </is>
      </c>
      <c r="H8989" t="inlineStr">
        <is>
          <t>Type 1.5/LADA</t>
        </is>
      </c>
    </row>
    <row r="8990">
      <c r="A8990" t="inlineStr">
        <is>
          <t>g0n4gd</t>
        </is>
      </c>
      <c r="B8990" t="inlineStr">
        <is>
          <t>Every time I take my insulin I feel like I'm having a hypo</t>
        </is>
      </c>
      <c r="C8990" t="inlineStr">
        <is>
          <t>I'm T1, 23F, I've had T1 for nearly four years. I get days or periods of a few days where every time I take my fast acting insulin injections I feel like I'm having a hypo when I'm not: my heart beats really hard, I get sweaty and I get that feeling in the pit of my stomach. 
My BS levels aren't perfect but I normally sit between 7 and 12. 
Should I be worried about this?</t>
        </is>
      </c>
      <c r="D8990" t="n">
        <v>1</v>
      </c>
      <c r="E8990" t="n">
        <v>8</v>
      </c>
      <c r="F8990">
        <f>HYPERLINK("https://www.reddit.com/r/diabetes/comments/g0n4gd/every_time_i_take_my_insulin_i_feel_like_im/")</f>
        <v/>
      </c>
      <c r="G8990" t="inlineStr">
        <is>
          <t>2020-04-13 10:11:22</t>
        </is>
      </c>
      <c r="H8990" t="inlineStr">
        <is>
          <t>Type 1</t>
        </is>
      </c>
    </row>
    <row r="8991">
      <c r="A8991" t="inlineStr">
        <is>
          <t>g0turm</t>
        </is>
      </c>
      <c r="B8991" t="inlineStr">
        <is>
          <t>6 Months Ago My A1C was 13.5. Today I'm 5.3</t>
        </is>
      </c>
      <c r="C8991" t="inlineStr">
        <is>
          <t>Last year I had poor control of my diabetes. My depression was spiraling with my diabetes and I was doing basically nothing. Through hard work and getting a pump plus a lot of support from diabetes team I've made it to "normal" ranges. 
There's such a level of excitement. My doctors have had me tested every month to see where I'm at and I have been trending down. But to know I'm having this tend and taking it to this point it's great. Now I just have to keep it this way</t>
        </is>
      </c>
      <c r="D8991" t="n">
        <v>182</v>
      </c>
      <c r="E8991" t="n">
        <v>36</v>
      </c>
      <c r="F8991">
        <f>HYPERLINK("https://www.reddit.com/r/diabetes/comments/g0turm/6_months_ago_my_a1c_was_135_today_im_53/")</f>
        <v/>
      </c>
      <c r="G8991" t="inlineStr">
        <is>
          <t>2020-04-13 16:07:23</t>
        </is>
      </c>
      <c r="H8991" t="inlineStr">
        <is>
          <t>Type 1</t>
        </is>
      </c>
    </row>
    <row r="8992">
      <c r="A8992" t="inlineStr">
        <is>
          <t>g0tzm0</t>
        </is>
      </c>
      <c r="B8992" t="inlineStr">
        <is>
          <t>I’m going crazy</t>
        </is>
      </c>
      <c r="C8992" t="inlineStr">
        <is>
          <t>I’ve had diabetes since 2 yrs old and now that i’m 16 my dad wants me to start ordering my own supplies. I have major panic attacks before calling dexcom or tandem too, I know he just wants me to get used to it but i keep having severe anxiety attacks because i don’t want to screw up my life and i overthink things. It gets hard to breath and i lose concentration. Has this ever happened to anyone else, cause i’ve never felt more alone and my dad won’t listen to me. I have to focus on school,getting a job, learning to drive, diabetes and setting up my life. I’m just overwhelmed! Many people in my life have missed opportunities and showed me how bad life can be if you aren’t willing to work hard, so i’m scared to grow up and screw things up. Am i being too dramatic?Does anyone have tips on growing up diabetic and staying on the right track, without being too stressed?</t>
        </is>
      </c>
      <c r="D8992" t="n">
        <v>1</v>
      </c>
      <c r="E8992" t="n">
        <v>10</v>
      </c>
      <c r="F8992">
        <f>HYPERLINK("https://www.reddit.com/r/diabetes/comments/g0tzm0/im_going_crazy/")</f>
        <v/>
      </c>
      <c r="G8992" t="inlineStr">
        <is>
          <t>2020-04-13 16:15:04</t>
        </is>
      </c>
      <c r="H8992" t="inlineStr">
        <is>
          <t>Type 1</t>
        </is>
      </c>
    </row>
    <row r="8993">
      <c r="A8993" t="inlineStr">
        <is>
          <t>g0vahs</t>
        </is>
      </c>
      <c r="B8993" t="inlineStr">
        <is>
          <t>Bruising</t>
        </is>
      </c>
      <c r="C8993" t="inlineStr">
        <is>
          <t>For a little background I'm type 2 16 weeks pregnant A1C of 5.6 was put on insulin for the duration of my pregnancy.. I take insulin with every meal and 1 shot at bed time.. I'm rotating shot sights, right and left thighs and left and right arms as the dr told me to.. well I bruise so easily.. my legs are just black and blue.. and it's not like I'm stabbing myself hard or improper. Iv always bruised super easy but idk if I can take 6 months of horrible bruises (currently using and ice pack to help the pain) anyone else have this problem?</t>
        </is>
      </c>
      <c r="D8993" t="n">
        <v>1</v>
      </c>
      <c r="E8993" t="n">
        <v>16</v>
      </c>
      <c r="F8993">
        <f>HYPERLINK("https://www.reddit.com/r/diabetes/comments/g0vahs/bruising/")</f>
        <v/>
      </c>
      <c r="G8993" t="inlineStr">
        <is>
          <t>2020-04-13 17:33:51</t>
        </is>
      </c>
      <c r="H8993" t="inlineStr">
        <is>
          <t>Type 2</t>
        </is>
      </c>
    </row>
    <row r="8994">
      <c r="A8994" t="inlineStr">
        <is>
          <t>g0vdmn</t>
        </is>
      </c>
      <c r="B8994" t="inlineStr">
        <is>
          <t>Prednisone experience</t>
        </is>
      </c>
      <c r="C8994" t="inlineStr">
        <is>
          <t>Anyone used prednisone that’s T2? How bad were the blood sugar spikes I have a 5 day supply 20mg</t>
        </is>
      </c>
      <c r="D8994" t="n">
        <v>1</v>
      </c>
      <c r="E8994" t="n">
        <v>5</v>
      </c>
      <c r="F8994">
        <f>HYPERLINK("https://www.reddit.com/r/diabetes/comments/g0vdmn/prednisone_experience/")</f>
        <v/>
      </c>
      <c r="G8994" t="inlineStr">
        <is>
          <t>2020-04-13 17:38:59</t>
        </is>
      </c>
      <c r="H8994" t="inlineStr">
        <is>
          <t>Type 2</t>
        </is>
      </c>
    </row>
    <row r="8995">
      <c r="A8995" t="inlineStr">
        <is>
          <t>g0w03r</t>
        </is>
      </c>
      <c r="B8995" t="inlineStr">
        <is>
          <t>Dogs ate it</t>
        </is>
      </c>
      <c r="C8995" t="inlineStr">
        <is>
          <t>My dogs literally chewed to pieces my glucometer that goes hand in hand with my pump &amp;amp; CGM while I was gone this evening! Luckily I have a CGM however, when I need to calibrate my CGM that glucometer is what I used. I called to get it replaced but was unable too because I don't have the serial number. Went to the store and bought a new one and I'll just have to manually enter everything in to my pump now 🥴</t>
        </is>
      </c>
      <c r="D8995" t="n">
        <v>1</v>
      </c>
      <c r="E8995" t="n">
        <v>2</v>
      </c>
      <c r="F8995">
        <f>HYPERLINK("https://www.reddit.com/r/diabetes/comments/g0w03r/dogs_ate_it/")</f>
        <v/>
      </c>
      <c r="G8995" t="inlineStr">
        <is>
          <t>2020-04-13 18:17:49</t>
        </is>
      </c>
      <c r="H8995" t="inlineStr">
        <is>
          <t>Type 1</t>
        </is>
      </c>
    </row>
    <row r="8996">
      <c r="A8996" t="inlineStr">
        <is>
          <t>g0zvzq</t>
        </is>
      </c>
      <c r="B8996" t="inlineStr">
        <is>
          <t>Question about Levemir insulin pen</t>
        </is>
      </c>
      <c r="C8996" t="inlineStr">
        <is>
          <t>Hey friends,
I posted on this subreddit for the first time the other day and y'all are freakin' amazing. Y'all made me feel a lot better about my Type 1 diagnosis. 
I just had a few questions about my insulin pen. First of all, I'm only taking one shot per day. My body is still making insulin. I'm in the "honeymoon phase" apparently. So I'm only taking one long-lasting Levemir shot at nighttime. 10 units. 
Because of coronavirus, I was diagnosed over the phone and haven't been able to go to anybody in-person to learn about all this stuff. 
&amp;amp;#x200B;
Question 1:  
When I prime the needle. I set it to 2 and push the button. Is insulin supposed to just dribble out? Or does it sometimes shoot out? Mine always flies out like crazy! Wasn't sure if that is supposed to happen or not. 
&amp;amp;#x200B;
Question 2:  
When I stick the needle in, I press down on the button and it releases the insulin in me. When I'm counting to 10, do I keep holding down that button? Or can I let go? Does that make a difference?  
Question 3:  
When I'm taking the needle out and starting the disposal process, there are a couple dribbles of insulin that come out. Is that normal? I've quickly learned that this sh\*\* is expensive, so when I see little dribbles come out at the end I just see money dribbling out. 
&amp;amp;#x200B;
Thanks for the help, everybody. Hope y'all are staying safe.</t>
        </is>
      </c>
      <c r="D8996" t="n">
        <v>1</v>
      </c>
      <c r="E8996" t="n">
        <v>11</v>
      </c>
      <c r="F8996">
        <f>HYPERLINK("https://www.reddit.com/r/diabetes/comments/g0zvzq/question_about_levemir_insulin_pen/")</f>
        <v/>
      </c>
      <c r="G8996" t="inlineStr">
        <is>
          <t>2020-04-13 22:49:27</t>
        </is>
      </c>
      <c r="H8996" t="inlineStr">
        <is>
          <t>Type 1</t>
        </is>
      </c>
    </row>
    <row r="8997">
      <c r="A8997" t="inlineStr">
        <is>
          <t>g102w7</t>
        </is>
      </c>
      <c r="B8997" t="inlineStr">
        <is>
          <t>Four months since diagnosis, three months since making major diet changes. No meds!</t>
        </is>
      </c>
      <c r="C8997" t="inlineStr">
        <is>
          <t>&amp;amp;#x200B;
https://preview.redd.it/rqn3fcn65qs41.jpg?width=2268&amp;amp;format=pjpg&amp;amp;auto=webp&amp;amp;s=f97168d0f50acd77a9560876c575014e07c2fe5c</t>
        </is>
      </c>
      <c r="D8997" t="n">
        <v>3</v>
      </c>
      <c r="E8997" t="n">
        <v>6</v>
      </c>
      <c r="F8997">
        <f>HYPERLINK("https://www.reddit.com/r/diabetes/comments/g102w7/four_months_since_diagnosis_three_months_since/")</f>
        <v/>
      </c>
      <c r="G8997" t="inlineStr">
        <is>
          <t>2020-04-13 23:05:04</t>
        </is>
      </c>
      <c r="H8997" t="inlineStr">
        <is>
          <t>Type 2</t>
        </is>
      </c>
    </row>
    <row r="8998">
      <c r="A8998" t="inlineStr">
        <is>
          <t>g1109p</t>
        </is>
      </c>
      <c r="B8998" t="inlineStr">
        <is>
          <t>Freestyle libre problems on just one arm?</t>
        </is>
      </c>
      <c r="C8998" t="inlineStr">
        <is>
          <t>Hi all
I have the freestyle libre, but for some reason I always have problems using the sensors on my left arm. It hurts continuously and/or the area becomes infected. Never had a single issue on my right arm.
Has anyone experienced a similar situation?
Where else do you put them but on your arms?</t>
        </is>
      </c>
      <c r="D8998" t="n">
        <v>1</v>
      </c>
      <c r="E8998" t="n">
        <v>1</v>
      </c>
      <c r="F8998">
        <f>HYPERLINK("https://www.reddit.com/r/diabetes/comments/g1109p/freestyle_libre_problems_on_just_one_arm/")</f>
        <v/>
      </c>
      <c r="G8998" t="inlineStr">
        <is>
          <t>2020-04-14 00:20:28</t>
        </is>
      </c>
      <c r="H8998" t="inlineStr">
        <is>
          <t>Type 1</t>
        </is>
      </c>
    </row>
    <row r="8999">
      <c r="A8999" t="inlineStr">
        <is>
          <t>g11wfo</t>
        </is>
      </c>
      <c r="B8999" t="inlineStr">
        <is>
          <t>Gaining weight due to constant hypos?</t>
        </is>
      </c>
      <c r="C8999" t="inlineStr">
        <is>
          <t>So, I've been a type 1 since like I was 4 yours old, I'm 21 now. Lately I have been getting 6 hypos a day easily and noticed that I'm gaining a lot of weight too. I don't understand why, I take 2h walks daily, don't drink anything with sugar if I don't have a hypo and neither do I eat a lot of junkfood because I'm vegetarian. I can't think of any other reason of gaining weight except for the 8 glasses of lemonade and biscuits I need to eat due to al my hypos.
Any insight?</t>
        </is>
      </c>
      <c r="D8999" t="n">
        <v>2</v>
      </c>
      <c r="E8999" t="n">
        <v>10</v>
      </c>
      <c r="F8999">
        <f>HYPERLINK("https://www.reddit.com/r/diabetes/comments/g11wfo/gaining_weight_due_to_constant_hypos/")</f>
        <v/>
      </c>
      <c r="G8999" t="inlineStr">
        <is>
          <t>2020-04-14 01:39:21</t>
        </is>
      </c>
      <c r="H8999" t="inlineStr">
        <is>
          <t>Type 1</t>
        </is>
      </c>
    </row>
    <row r="9000">
      <c r="A9000" t="inlineStr">
        <is>
          <t>g13qln</t>
        </is>
      </c>
      <c r="B9000" t="inlineStr">
        <is>
          <t>Vegetarianism/ veganism and type 1 D</t>
        </is>
      </c>
      <c r="C9000" t="inlineStr">
        <is>
          <t>Hey so I’m type 1 and at the start of this year I decided that I’d go vegan. I’ve started by going pescatarian but then plan to switch to vegetarianism in July and then veganism after a year of vegetarianism. I just wanted to hear from some other vegetarian/ vegan diabetics and the impact that the diet had on their management and some helpful tips I should know before going into this. 
Thanks a lot!</t>
        </is>
      </c>
      <c r="D9000" t="n">
        <v>1</v>
      </c>
      <c r="E9000" t="n">
        <v>6</v>
      </c>
      <c r="F9000">
        <f>HYPERLINK("https://www.reddit.com/r/diabetes/comments/g13qln/vegetarianism_veganism_and_type_1_d/")</f>
        <v/>
      </c>
      <c r="G9000" t="inlineStr">
        <is>
          <t>2020-04-14 04:20:29</t>
        </is>
      </c>
      <c r="H9000" t="inlineStr">
        <is>
          <t>Type 1</t>
        </is>
      </c>
    </row>
    <row r="9001">
      <c r="A9001" t="inlineStr">
        <is>
          <t>g1a6tf</t>
        </is>
      </c>
      <c r="B9001" t="inlineStr">
        <is>
          <t>This sounds totally backwards, but diabetes might be one of the best things that’s happened to me.</t>
        </is>
      </c>
      <c r="C9001" t="inlineStr">
        <is>
          <t>I spent my whole life just being super care-free with my diet, I never gained or lost any weight, and I was only sorta chubby and I never had any drive to change anything. I knew I had a bad lifestyle but there was absolutely nothing motivating me to be better. Fast forward to my diagnosis about 3 mo. ago, I changed everything. My diet, my exercise and even some of my friends. I lost 45 lbs, and I look and feel so great. And the cherry on top, the guy I’ve liked for two years finally asked me out. He’s pretty health conscious and he liked me as a person but of course my lack of health was a bit of a turn off understandably. Everything is just falling into place for me and I feel so much healthier and happier. My numbers are even staying low without meds or insulin! I actually didn’t know I could be this happy and it’s honestly thanks to my diagnosis.</t>
        </is>
      </c>
      <c r="D9001" t="n">
        <v>13</v>
      </c>
      <c r="E9001" t="n">
        <v>8</v>
      </c>
      <c r="F9001">
        <f>HYPERLINK("https://www.reddit.com/r/diabetes/comments/g1a6tf/this_sounds_totally_backwards_but_diabetes_might/")</f>
        <v/>
      </c>
      <c r="G9001" t="inlineStr">
        <is>
          <t>2020-04-14 10:46:43</t>
        </is>
      </c>
      <c r="H9001" t="inlineStr">
        <is>
          <t>Type 2</t>
        </is>
      </c>
    </row>
    <row r="9002">
      <c r="A9002" t="inlineStr">
        <is>
          <t>g1clao</t>
        </is>
      </c>
      <c r="B9002" t="inlineStr">
        <is>
          <t>Advice for Type 3C diabetes</t>
        </is>
      </c>
      <c r="C9002" t="inlineStr">
        <is>
          <t>Just posting for any advice if anybody here has gone through something similar. My mum has recently been diagnosed with type 3c diabetes due to chronic pancreatitis. She has been put on metformin, but due to the covid19 crisis she can’t meet her GP or Pancreas Specialist. She’s recently been having symptoms of hyperglycaemia - increased urination, dry mouth, tiredness etc and she managed to get a phone consult with her GP. He gave her a prescription for Gliclazide 80mg once a day alongside her metformin, but said if she doesn’t improve by Thursday she may have to go into hospital for IV fluids which I’m obviously terrified about. He also said she may need to go onto insulin if the issue isn’t rectified. There isn’t much info online about 3c and what to expect, and I don’t really know too much about diabetes anyway. My mum doesn’t seem to be taking this seriously and is still drinking sugar in her tea etc. She also had a blood glucose reading of 31.1 today. Any advice or anything that I could research/ do to help her would be much appreciated. Thanks.</t>
        </is>
      </c>
      <c r="D9002" t="n">
        <v>0</v>
      </c>
      <c r="E9002" t="n">
        <v>8</v>
      </c>
      <c r="F9002">
        <f>HYPERLINK("https://www.reddit.com/r/diabetes/comments/g1clao/advice_for_type_3c_diabetes/")</f>
        <v/>
      </c>
      <c r="G9002" t="inlineStr">
        <is>
          <t>2020-04-14 12:53:56</t>
        </is>
      </c>
      <c r="H9002" t="inlineStr">
        <is>
          <t>Type 3</t>
        </is>
      </c>
    </row>
    <row r="9003">
      <c r="A9003" t="inlineStr">
        <is>
          <t>g1k1vj</t>
        </is>
      </c>
      <c r="B9003" t="inlineStr">
        <is>
          <t>Daily Contact Lens or Bi-Weekly Contact Lens for Diabetes Patient</t>
        </is>
      </c>
      <c r="C9003" t="inlineStr">
        <is>
          <t>Hello,
Need some advice from any of you. I am diagnosed with Type 2 diabetes and have mild diabetes retinopathy. So far, my result has been great and my eye doctor has also discharged me from my retinopathy problem.
I have the intention to wear contact lenses. Currently I'm using daily disposable lenses. However, I'm thinking of buying the bi-weekly transition lens due to moderate eye sensitivity to light. (Please do note that there is no transition daily contact lenses in the market now).
Is it recommended? Or should I continue on wearing my daily disposable lens?
Thanks people!</t>
        </is>
      </c>
      <c r="D9003" t="n">
        <v>3</v>
      </c>
      <c r="E9003" t="n">
        <v>1</v>
      </c>
      <c r="F9003">
        <f>HYPERLINK("https://www.reddit.com/r/diabetes/comments/g1k1vj/daily_contact_lens_or_biweekly_contact_lens_for/")</f>
        <v/>
      </c>
      <c r="G9003" t="inlineStr">
        <is>
          <t>2020-04-14 20:22:14</t>
        </is>
      </c>
      <c r="H9003" t="inlineStr">
        <is>
          <t>Type 2</t>
        </is>
      </c>
    </row>
    <row r="9004">
      <c r="A9004" t="inlineStr">
        <is>
          <t>g1kyuj</t>
        </is>
      </c>
      <c r="B9004" t="inlineStr">
        <is>
          <t>Back to needles... and loving it!!</t>
        </is>
      </c>
      <c r="C9004" t="inlineStr">
        <is>
          <t>I’ve been using a Tandem T-Slim Pump for maybe 3-4 years now. Throughout the years, me and good ol buddy T have gone through a lot. All of middle school, tons of uncomfortable highs and lows, and most recently my first year of high school.
And I hated him.
It wasn’t like this at first. See, when I first went from needles to pump I was absolutely ecstatic. Suddenly I could eat all the yummy carbs without having to stab myself every time, and I never had to worry about Levemir again. Then it got caught and pulled out in a doorknob. Then my desk at school, where I was stuck for minutes. Then a tree. I’ve had multiple days where it got pulled out twice in 12 hours. Then it rubbed off while I was sleeping on two separate occasions, causing two VERY unpleasant DKAs.
After 4 years of this, I decided maybe it was time to go back to the basics. I’m waiting to try the Omnipod to fix the issues I’ve had with wires, but until the stupid insurance company accepts my appeals I’m stuck with a pump that is not only dysfunctional while working properly, but is now also both out of warranty and faulty in battery and software function. I decided one day to just not change my pump.
It’s been AMAZING!
I can garden without my pump falling off. I don’t have to have at least one pocket on all of my clothes to stuff it in. I don’t have obvious wires hanging out of my skin. It’s so freeing and I feel so light!
Of course, it hasn’t been all good. I’ve become a lot more sensitive to insulin since becoming a diabetic since I eat a pretty low carb unprocessed diet as opposed to the standard American diet I had 5 years prior, so my Levemir doses are all messed up. I’ve been conservative with the dosing thus far and slowing whittled my way up, so my glucose has been relatively high all day. However, I just feel generally much better.
If you’re not happy and can’t figure out what’s weighing you down, maybe try going off your pump! It sure has helped me.</t>
        </is>
      </c>
      <c r="D9004" t="n">
        <v>2</v>
      </c>
      <c r="E9004" t="n">
        <v>8</v>
      </c>
      <c r="F9004">
        <f>HYPERLINK("https://www.reddit.com/r/diabetes/comments/g1kyuj/back_to_needles_and_loving_it/")</f>
        <v/>
      </c>
      <c r="G9004" t="inlineStr">
        <is>
          <t>2020-04-14 21:28:31</t>
        </is>
      </c>
      <c r="H9004" t="inlineStr">
        <is>
          <t>Type 1</t>
        </is>
      </c>
    </row>
    <row r="9005">
      <c r="A9005" t="inlineStr">
        <is>
          <t>g1lb9d</t>
        </is>
      </c>
      <c r="B9005" t="inlineStr">
        <is>
          <t>I'm 18 and was diagnosed last week with type 1. What's something you know now that you wish you known when you were first diagnosed</t>
        </is>
      </c>
      <c r="C9005" t="inlineStr">
        <is>
          <t>I still have lots of questions to be answered. I'm hoping you guys can give me good advice that I can use for the rest of my life</t>
        </is>
      </c>
      <c r="D9005" t="n">
        <v>10</v>
      </c>
      <c r="E9005" t="n">
        <v>60</v>
      </c>
      <c r="F9005">
        <f>HYPERLINK("https://www.reddit.com/r/diabetes/comments/g1lb9d/im_18_and_was_diagnosed_last_week_with_type_1/")</f>
        <v/>
      </c>
      <c r="G9005" t="inlineStr">
        <is>
          <t>2020-04-14 21:54:51</t>
        </is>
      </c>
      <c r="H9005" t="inlineStr">
        <is>
          <t>Type 1</t>
        </is>
      </c>
    </row>
    <row r="9006">
      <c r="A9006" t="inlineStr">
        <is>
          <t>g1ngo1</t>
        </is>
      </c>
      <c r="B9006" t="inlineStr">
        <is>
          <t>I need your help</t>
        </is>
      </c>
      <c r="C9006" t="inlineStr">
        <is>
          <t>Well, I've been having type 1 diabetes for 3 years already (was diagnosed at 23). Everything was ok, I thought I was coping well, but then I decided to teach in China. And stuff went wrong. I've been here for a year, smth like a month ago I started to have a really bad pains in my feet and legs, it fells like I have a terrible sunburn. I went to the hospital, doctors did some tests and crushed me with their conclusion: you have neuropathy, there is nothing that can be done, it will only get worse, here is your vitamin B complex and mild painkillers, bye!
I feel desperate. Those painkillers don't help me. I cry almost every night. And what is most important I can't go back home, my country is on lockdown.
Please, if you have any idea what I can do to improve my state (get rid of this pain) share.</t>
        </is>
      </c>
      <c r="D9006" t="n">
        <v>5</v>
      </c>
      <c r="E9006" t="n">
        <v>11</v>
      </c>
      <c r="F9006">
        <f>HYPERLINK("https://www.reddit.com/r/diabetes/comments/g1ngo1/i_need_your_help/")</f>
        <v/>
      </c>
      <c r="G9006" t="inlineStr">
        <is>
          <t>2020-04-15 00:45:10</t>
        </is>
      </c>
      <c r="H9006" t="inlineStr">
        <is>
          <t>Type 1</t>
        </is>
      </c>
    </row>
    <row r="9007">
      <c r="A9007" t="inlineStr">
        <is>
          <t>g1qz7f</t>
        </is>
      </c>
      <c r="B9007" t="inlineStr">
        <is>
          <t>Freestyle Libre sensor stops working?</t>
        </is>
      </c>
      <c r="C9007" t="inlineStr">
        <is>
          <t>I just scanned my sensor and got a message saying the sensor is not working and that I need to replace it. I just put it on Friday night. I scanned again to make sure it wasn’t a fluke and got the same error message.
Is this common?</t>
        </is>
      </c>
      <c r="D9007" t="n">
        <v>1</v>
      </c>
      <c r="E9007" t="n">
        <v>4</v>
      </c>
      <c r="F9007">
        <f>HYPERLINK("https://www.reddit.com/r/diabetes/comments/g1qz7f/freestyle_libre_sensor_stops_working/")</f>
        <v/>
      </c>
      <c r="G9007" t="inlineStr">
        <is>
          <t>2020-04-15 05:28:21</t>
        </is>
      </c>
      <c r="H9007" t="inlineStr">
        <is>
          <t>Type 2</t>
        </is>
      </c>
    </row>
    <row r="9008">
      <c r="A9008" t="inlineStr">
        <is>
          <t>g1tgpl</t>
        </is>
      </c>
      <c r="B9008" t="inlineStr">
        <is>
          <t>Question about carb processing</t>
        </is>
      </c>
      <c r="C9008" t="inlineStr">
        <is>
          <t>To preface, I’m T1, and need to take insulin for any meal with 7g+ carbs. Does anyone know how fast the body processes carbs? Like, if I have something with 4g carbs, how long would I have to wait to have another and not go over that 7g line? Does it just depend on how fast my body digests said food or what?</t>
        </is>
      </c>
      <c r="D9008" t="n">
        <v>1</v>
      </c>
      <c r="E9008" t="n">
        <v>20</v>
      </c>
      <c r="F9008">
        <f>HYPERLINK("https://www.reddit.com/r/diabetes/comments/g1tgpl/question_about_carb_processing/")</f>
        <v/>
      </c>
      <c r="G9008" t="inlineStr">
        <is>
          <t>2020-04-15 07:55:35</t>
        </is>
      </c>
      <c r="H9008" t="inlineStr">
        <is>
          <t>Type 1</t>
        </is>
      </c>
    </row>
    <row r="9009">
      <c r="A9009" t="inlineStr">
        <is>
          <t>g1tyiq</t>
        </is>
      </c>
      <c r="B9009" t="inlineStr">
        <is>
          <t>Today's the day I gain better control</t>
        </is>
      </c>
      <c r="C9009" t="inlineStr">
        <is>
          <t>I finally did it, something that scares me - I got a prescription for a Freestyle Libre!</t>
        </is>
      </c>
      <c r="D9009" t="n">
        <v>92</v>
      </c>
      <c r="E9009" t="n">
        <v>29</v>
      </c>
      <c r="F9009">
        <f>HYPERLINK("https://www.reddit.com/r/diabetes/comments/g1tyiq/todays_the_day_i_gain_better_control/")</f>
        <v/>
      </c>
      <c r="G9009" t="inlineStr">
        <is>
          <t>2020-04-15 08:20:57</t>
        </is>
      </c>
      <c r="H9009" t="inlineStr">
        <is>
          <t>Type 1</t>
        </is>
      </c>
    </row>
    <row r="9010">
      <c r="A9010" t="inlineStr">
        <is>
          <t>g1zs25</t>
        </is>
      </c>
      <c r="B9010" t="inlineStr">
        <is>
          <t>Dexcom G6 Applicator Recycling</t>
        </is>
      </c>
      <c r="C9010" t="inlineStr">
        <is>
          <t>Finally back on a Dexcom CGM! I have the G6. The applicator is so bulky and I feel awful throwing it away! I know they don’t have a recycling program yet, very unfortunate. Any suggestions on what to do with the thing? Can I take it apart and recycle parts of it?</t>
        </is>
      </c>
      <c r="D9010" t="n">
        <v>3</v>
      </c>
      <c r="E9010" t="n">
        <v>9</v>
      </c>
      <c r="F9010">
        <f>HYPERLINK("https://www.reddit.com/r/diabetes/comments/g1zs25/dexcom_g6_applicator_recycling/")</f>
        <v/>
      </c>
      <c r="G9010" t="inlineStr">
        <is>
          <t>2020-04-15 13:14:29</t>
        </is>
      </c>
      <c r="H9010" t="inlineStr">
        <is>
          <t>Type 1</t>
        </is>
      </c>
    </row>
    <row r="9011">
      <c r="A9011" t="inlineStr">
        <is>
          <t>g22rms</t>
        </is>
      </c>
      <c r="B9011" t="inlineStr">
        <is>
          <t>HELP! T1 here, new to Dexcom G6 and already messed up my first try! Need advice!</t>
        </is>
      </c>
      <c r="C9011" t="inlineStr">
        <is>
          <t>So yesterday I placed my site on my tummy (which is recommended but I have very little fat there). It got stuck and I somehow wedged the applicator off. Then I could not get the meter or smart phone to connect. I figured the chip ether was in but a bad place for good blood flow or the chip never made it in my skin.
So I need help/advice. I have some fat on my arms and more on my legs. Should I try one of those locations and if so, what way to place the site (vertical or horizontal). 
Any advice would help. Thank you guys</t>
        </is>
      </c>
      <c r="D9011" t="n">
        <v>2</v>
      </c>
      <c r="E9011" t="n">
        <v>8</v>
      </c>
      <c r="F9011">
        <f>HYPERLINK("https://www.reddit.com/r/diabetes/comments/g22rms/help_t1_here_new_to_dexcom_g6_and_already_messed/")</f>
        <v/>
      </c>
      <c r="G9011" t="inlineStr">
        <is>
          <t>2020-04-15 15:54:27</t>
        </is>
      </c>
      <c r="H9011" t="inlineStr">
        <is>
          <t>Type 1</t>
        </is>
      </c>
    </row>
    <row r="9012">
      <c r="A9012" t="inlineStr">
        <is>
          <t>g22wci</t>
        </is>
      </c>
      <c r="B9012" t="inlineStr">
        <is>
          <t>Anyone else use a FreeStyle Precision Neo?</t>
        </is>
      </c>
      <c r="C9012" t="inlineStr">
        <is>
          <t>So, to preface this a bit - In the past I have used a Bayer Contour, Accu-chek Compact Plus, and most recently, the Walmart meter, a ReliOn Premier Compact.
My niece's fiance works for Abbott, and got me on a program that employees can use where they get a free supply of glucose monitoring supplies since they make such things. She got me a FreeStyle Precision Neo and some boxes of strips and I just need to let her know about a week before I need more strips and more will show up at my door. I feel very honored that her and her fiance would let me participate in such a thing.
Any way, I've had the meter and strips for about a week now but hadn't used them. I was waiting until I ran out of my ReliOn strips. I had used the Neo once when it first arrived just to do a comparison, and it was pretty close to what the ReliOn was giving me.
So last night, I ran out of ReliOn strips. My first "official" Neo test was this morning when I woke up. I was 157. It seemed appropriate for what I'm usually at when I wake up.
However, just now, I was testing before dinner. Usually, I start feeling the hypo signs at around 60. Sweating, nonsensical statements to my wife, shaking in my hands. I tested at 43. I felt perfectly normal. No hypo signs *at all*. I said...well...that's weird. I tested again, it was 35. Tested again, it was 31. All within five minutes. Still felt perfectly fine. 35 and 31 would be the lowest tests I've ever had in my 15 years of being a diabetic, and they happen to come in the 3rd and 4th tests I've ever done with this Neo. The only thing I did between testing this morning and testing before dinner is change some settings on the meter, the time was off, and I changed the HI and LO thresholds. I have checked to make sure I didn't change the unit of measure, that isn't the culprit.
I'm just trying to find out if there's been any kind of issues with this particular meter for people. I wish I had saved a strip or two for one of my previous meters to compare, or gotten a control solution, but I don't have any of those options. I've always had extremely tight control of my readings, so I haven't used a control solution in 14 years, and I've just been using my strips until they're all gone when moving to a new meter. I did some googling and all I found was that, if anything, this meter would say my reading was about 10 points *higher* than it actually is. I was worried my reading would be up near 200 after my lunch (which was all perfectly calculated, no guessing involved) and it says I'm in the 30's, without any warning signs from my body whatsoever.
Anyway...I guess...anyone ever have issues with the Precision Neo? Haha
Sorry for the long post. Figured more detail was better than not enough.</t>
        </is>
      </c>
      <c r="D9012" t="n">
        <v>2</v>
      </c>
      <c r="E9012" t="n">
        <v>2</v>
      </c>
      <c r="F9012">
        <f>HYPERLINK("https://www.reddit.com/r/diabetes/comments/g22wci/anyone_else_use_a_freestyle_precision_neo/")</f>
        <v/>
      </c>
      <c r="G9012" t="inlineStr">
        <is>
          <t>2020-04-15 16:01:28</t>
        </is>
      </c>
      <c r="H9012" t="inlineStr">
        <is>
          <t>Type 1</t>
        </is>
      </c>
    </row>
    <row r="9013">
      <c r="A9013" t="inlineStr">
        <is>
          <t>g25uj2</t>
        </is>
      </c>
      <c r="B9013" t="inlineStr">
        <is>
          <t>TIFU in your sub, apologies outward</t>
        </is>
      </c>
      <c r="C9013" t="inlineStr">
        <is>
          <t>Good evening/morning/day r/diabetes
Yesterday I posted my ignorance for you all to see, in a response in a 'healthcare' post, by showing how entirely misinformed I was on diabetes, and I am sorry to display my insensitivity, regardless of anything else I wrote. I was misdirected, misguided, and made a well-intentioned response the complete opposite. Sorry for my negative contribution (subtraction) from that gentleman's post, and to any and all else who had the displeasure of reading my blind responses. Please take care, all.
Thank you
B</t>
        </is>
      </c>
      <c r="D9013" t="n">
        <v>11</v>
      </c>
      <c r="E9013" t="n">
        <v>9</v>
      </c>
      <c r="F9013">
        <f>HYPERLINK("https://www.reddit.com/r/diabetes/comments/g25uj2/tifu_in_your_sub_apologies_outward/")</f>
        <v/>
      </c>
      <c r="G9013" t="inlineStr">
        <is>
          <t>2020-04-15 18:57:33</t>
        </is>
      </c>
      <c r="H9013" t="inlineStr">
        <is>
          <t>Type 1</t>
        </is>
      </c>
    </row>
    <row r="9014">
      <c r="A9014" t="inlineStr">
        <is>
          <t>g261xk</t>
        </is>
      </c>
      <c r="B9014" t="inlineStr">
        <is>
          <t>After Dinner Spikes</t>
        </is>
      </c>
      <c r="C9014" t="inlineStr">
        <is>
          <t>Hi all, I have some questions for you as theyve begun to panic me.
Just a little background: I was diagnosed with T1 back in 2017 at age 19. I was due for a 3 month checkup this month, but with COVID-19, it was ultimately cancelled and I haven't been able to get an appointment until JUNE. And who knows how that will be then, since I live in the US. I am quite a paranoid person and tend to worry about so much, so not seeing my doctor has panicked me foe a couple things.
I have been having some sugar spikes recently which has left be quite depressed and just not motivated at all with this. I have regular stomach aches, so these sugar spikes left me with a bit of panic and of course led me to the WEBMD for Gastroparesis. A lot of the symptoms I don't necessarily have, but it is worrying me.
The other night I had dinner at 8PM, and my blood sugar was okay, and then at 1AM my sugar spiked to 300. I hadnt eaten anything for so long, so WHAT was the issue? This of course panicked me for the dreaded gastroparesis. Is it possible to develop this in 4 years? (Sincerely hope its not possible)
I decided to try and experiment, and yesterday only ate a small sandwich with a certain amount of carbs, as my only meal. My BS was stable for most of the day thankfully until midnight where it got low so I ate a late night snack to adjust, when it spiked again (which may have been due to carlessness of the time, but I was so hungry from only eating one sandwich all day that I couldnt handle it)
Today I had dinner and covered for the whole meal. After my meal I noticed the two arrows going up for my auto mode telling me my blood sugar was going up quickly. It ended up going up to 250. Why did it go up so much if I have covered the meal and waited the 15 minutes? It was a pretty carb heavy meal, but I thought it would be okay since I carb counted the whole meal. My pump is now showing the two arrows going down and my blood sugar is getting better. But why am I having these random spikes?
I had a mental breakdown the other day because I just am so mad at myself for not getting this right. I want to do what I can, but it's so discoursging whenever you think you do everything right, yet your sugars still end up messed up. I practically have a breakdown every time I see my doctor. 
I don't know what I'm doing wrong, and if it turns out that I have caused myself to have Gastroparesis because of poorly managing my sugars, I am going to be devastated. Does anyone have any advice?
Are my spikes because of the food I eat? Should I wait till all of the insulin is injected and THEN start my 15 minute countdown? I don't know what to do right now and am at a loss since I can't see my doctor. 
Any tips would be appreciated. I may have had this disease for 4 years but I feel so ashamed with how inexperienced I still am with this. I'm 22 but probably come off as quite immature with how much I am struggling so I apologize with that. I would just like some tips on how to better handle these spikes and if I am doing anything wrong.... thank you</t>
        </is>
      </c>
      <c r="D9014" t="n">
        <v>2</v>
      </c>
      <c r="E9014" t="n">
        <v>3</v>
      </c>
      <c r="F9014">
        <f>HYPERLINK("https://www.reddit.com/r/diabetes/comments/g261xk/after_dinner_spikes/")</f>
        <v/>
      </c>
      <c r="G9014" t="inlineStr">
        <is>
          <t>2020-04-15 19:10:51</t>
        </is>
      </c>
      <c r="H9014" t="inlineStr">
        <is>
          <t>Type 1</t>
        </is>
      </c>
    </row>
    <row r="9015">
      <c r="A9015" t="inlineStr">
        <is>
          <t>g2fsxo</t>
        </is>
      </c>
      <c r="B9015" t="inlineStr">
        <is>
          <t>Worry about amputations</t>
        </is>
      </c>
      <c r="C9015" t="inlineStr">
        <is>
          <t>I'm 17 and just got diagnosed, my main fear is getting amputated. What can I do to stop this from happening ?</t>
        </is>
      </c>
      <c r="D9015" t="n">
        <v>6</v>
      </c>
      <c r="E9015" t="n">
        <v>17</v>
      </c>
      <c r="F9015">
        <f>HYPERLINK("https://www.reddit.com/r/diabetes/comments/g2fsxo/worry_about_amputations/")</f>
        <v/>
      </c>
      <c r="G9015" t="inlineStr">
        <is>
          <t>2020-04-16 07:21:48</t>
        </is>
      </c>
      <c r="H9015" t="inlineStr">
        <is>
          <t>Type 1</t>
        </is>
      </c>
    </row>
    <row r="9016">
      <c r="A9016" t="inlineStr">
        <is>
          <t>g2ll6k</t>
        </is>
      </c>
      <c r="B9016" t="inlineStr">
        <is>
          <t>Signal loss not going away</t>
        </is>
      </c>
      <c r="C9016" t="inlineStr">
        <is>
          <t>So last night my sensor lost signal and I thought it would reconnect, but when I woke up the next day it still said “signal loss” so I decided to change sensors, and so I did and a few minutes after I did, it said the same thing. Does anyone know how to fix this?</t>
        </is>
      </c>
      <c r="D9016" t="n">
        <v>1</v>
      </c>
      <c r="E9016" t="n">
        <v>3</v>
      </c>
      <c r="F9016">
        <f>HYPERLINK("https://www.reddit.com/r/diabetes/comments/g2ll6k/signal_loss_not_going_away/")</f>
        <v/>
      </c>
      <c r="G9016" t="inlineStr">
        <is>
          <t>2020-04-16 12:19:36</t>
        </is>
      </c>
      <c r="H9016" t="inlineStr">
        <is>
          <t>Type 1</t>
        </is>
      </c>
    </row>
    <row r="9017">
      <c r="A9017" t="inlineStr">
        <is>
          <t>g2mfjb</t>
        </is>
      </c>
      <c r="B9017" t="inlineStr">
        <is>
          <t>just got dexcom g6 today and.,,</t>
        </is>
      </c>
      <c r="C9017" t="inlineStr">
        <is>
          <t>15 minutes into the first sensor warmup I get a sensor error.  ahhhhh does this mean my very first sensor has already failed?</t>
        </is>
      </c>
      <c r="D9017" t="n">
        <v>0</v>
      </c>
      <c r="E9017" t="n">
        <v>5</v>
      </c>
      <c r="F9017">
        <f>HYPERLINK("https://www.reddit.com/r/diabetes/comments/g2mfjb/just_got_dexcom_g6_today_and/")</f>
        <v/>
      </c>
      <c r="G9017" t="inlineStr">
        <is>
          <t>2020-04-16 13:02:21</t>
        </is>
      </c>
      <c r="H9017" t="inlineStr">
        <is>
          <t>Type 1</t>
        </is>
      </c>
    </row>
    <row r="9018">
      <c r="A9018" t="inlineStr">
        <is>
          <t>g2mfvu</t>
        </is>
      </c>
      <c r="B9018" t="inlineStr">
        <is>
          <t>Need Your Advice</t>
        </is>
      </c>
      <c r="C9018" t="inlineStr">
        <is>
          <t>Hi Friends! I know your time is valuable so I'll get to the point. I am a Registered Dietitian Nutritionist and I am putting finishing touches on a new course called "The Basics of Dealing With Diabetes Naturally". I want to make sure I don't leave anything out, so will you let me know your #1 question on how to deal with diabetes naturally (i.e. foods, supplements, exercise -- it can be anything. The link below will send you to a form to submit your question. In exchange for your advice, I'll give you FREE access to the 5 week course -- it starts on Monday, April 27th. This course will sell for $297 in the near future, but you will get special access to experience the course free when you let me know your #1 question. I will only be accepting the first 30 applicants, so act fast! Here is the easy form: [https://rossellasfarmacy.com/courses/free-dealing-with-diabetes-course/](https://rossellasfarmacy.com/courses/free-dealing-with-diabetes-course/)</t>
        </is>
      </c>
      <c r="D9018" t="n">
        <v>0</v>
      </c>
      <c r="E9018" t="n">
        <v>0</v>
      </c>
      <c r="F9018">
        <f>HYPERLINK("https://www.reddit.com/r/diabetes/comments/g2mfvu/need_your_advice/")</f>
        <v/>
      </c>
      <c r="G9018" t="inlineStr">
        <is>
          <t>2020-04-16 13:02:53</t>
        </is>
      </c>
      <c r="H9018" t="inlineStr">
        <is>
          <t>Type 2</t>
        </is>
      </c>
    </row>
    <row r="9019">
      <c r="A9019" t="inlineStr">
        <is>
          <t>g2ngs0</t>
        </is>
      </c>
      <c r="B9019" t="inlineStr">
        <is>
          <t>Tslimx2 pump cost</t>
        </is>
      </c>
      <c r="C9019" t="inlineStr">
        <is>
          <t>Help! I'm trying to figure out the cost of the Tslimx2 insulin pump.
I have cigna insurance, I have already reached my deductible (shout out to high as hell insulin prices and all the other goods that keep us alive). Im waiting for insurance papers to go through and I know cigna will cover 80% of the cost. 
Does anyone with cigna or any other insurance, and know what the pump costs or even an estimate? I haven't been able to get either from insurance or tandem. Any info would be very helpful!</t>
        </is>
      </c>
      <c r="D9019" t="n">
        <v>1</v>
      </c>
      <c r="E9019" t="n">
        <v>4</v>
      </c>
      <c r="F9019">
        <f>HYPERLINK("https://www.reddit.com/r/diabetes/comments/g2ngs0/tslimx2_pump_cost/")</f>
        <v/>
      </c>
      <c r="G9019" t="inlineStr">
        <is>
          <t>2020-04-16 13:56:43</t>
        </is>
      </c>
      <c r="H9019" t="inlineStr">
        <is>
          <t>Type 1</t>
        </is>
      </c>
    </row>
    <row r="9020">
      <c r="A9020" t="inlineStr">
        <is>
          <t>g2oofc</t>
        </is>
      </c>
      <c r="B9020" t="inlineStr">
        <is>
          <t>Just got told by my doctor over the phone that I am a diabetic. Do I have to tell my employer?</t>
        </is>
      </c>
      <c r="C9020" t="inlineStr">
        <is>
          <t>**Background:** I was having diabetic symptoms for about two weeks. Having my father, sister and brother all having been diagnosed as diabetics I pretty much knew what it was quickly. I had an a1c yesterday and today they called and said that I’m a diabetic.
**Concern/Explanation:** My concern right now (there are others but this is the most important to me) is do I have to tell my job that I am now a diabetic? I’ve worked too hard to get to where I’m at right now in life and I can’t bring myself to put my job at risk like that by telling them and then them potentially terminating me. It’s essentially all I have in life. Since learning I had the disease (a few hours ago), I was tasked with accepting that my career plans B, C and D were all now never going to be able happen anymore due to the disease. This is really going to mess my life up. So basically the only basket I have left is my current employer. I’ve worked with them for about five years and they are footing the bill right now for me to attend college. That degree, as well as the experience I’m getting from my job while getting the degree are my only gateways to success and at this point. I no longer have a fall back plan. I don’t want to lose my job. I’m willing to drop to a strict diet and do whatever it is I have to do to be well maintained with this disease. I’m not trying to be dramatic but if I don’t have my job, I’m probably going to die. Is this diagnosis something I have to disclose my employer? It’s probably worth noting, I work in security. I might be overthinking but I’m freaking out. 
**TLDR;** my job is extremely important to me and essentially all I have. This illness has made it so that I no longer have career plans B, C or D. I don’t want to tell my employer and be considered unfit for work or be terminated because they think it could be considered a performance risk. Do I have to disclose the information to my employer? Is being fired even a real risk? How can I convince them that I won’t fail them and that I’m still strong enough to perform my function?</t>
        </is>
      </c>
      <c r="D9020" t="n">
        <v>2</v>
      </c>
      <c r="E9020" t="n">
        <v>21</v>
      </c>
      <c r="F9020">
        <f>HYPERLINK("https://www.reddit.com/r/diabetes/comments/g2oofc/just_got_told_by_my_doctor_over_the_phone_that_i/")</f>
        <v/>
      </c>
      <c r="G9020" t="inlineStr">
        <is>
          <t>2020-04-16 14:59:21</t>
        </is>
      </c>
      <c r="H9020" t="inlineStr">
        <is>
          <t>Type 1</t>
        </is>
      </c>
    </row>
    <row r="9021">
      <c r="A9021" t="inlineStr">
        <is>
          <t>g2p2ns</t>
        </is>
      </c>
      <c r="B9021" t="inlineStr">
        <is>
          <t>Do you count total carbs or net carbs?</t>
        </is>
      </c>
      <c r="C9021" t="inlineStr">
        <is>
          <t>I’m an insulin-dependent Type 2. For the purposes of counting carbs for insulin administration, do you count net carbs or the actual carb amount?</t>
        </is>
      </c>
      <c r="D9021" t="n">
        <v>1</v>
      </c>
      <c r="E9021" t="n">
        <v>4</v>
      </c>
      <c r="F9021">
        <f>HYPERLINK("https://www.reddit.com/r/diabetes/comments/g2p2ns/do_you_count_total_carbs_or_net_carbs/")</f>
        <v/>
      </c>
      <c r="G9021" t="inlineStr">
        <is>
          <t>2020-04-16 15:20:08</t>
        </is>
      </c>
      <c r="H9021" t="inlineStr">
        <is>
          <t>Type 2</t>
        </is>
      </c>
    </row>
    <row r="9022">
      <c r="A9022" t="inlineStr">
        <is>
          <t>g2p4hp</t>
        </is>
      </c>
      <c r="B9022" t="inlineStr">
        <is>
          <t>does drinking alcohol effect g6 accuracy?</t>
        </is>
      </c>
      <c r="C9022" t="inlineStr">
        <is>
          <t>especially if u are drinking during the 2  hour warmup?</t>
        </is>
      </c>
      <c r="D9022" t="n">
        <v>1</v>
      </c>
      <c r="E9022" t="n">
        <v>4</v>
      </c>
      <c r="F9022">
        <f>HYPERLINK("https://www.reddit.com/r/diabetes/comments/g2p4hp/does_drinking_alcohol_effect_g6_accuracy/")</f>
        <v/>
      </c>
      <c r="G9022" t="inlineStr">
        <is>
          <t>2020-04-16 15:22:46</t>
        </is>
      </c>
      <c r="H9022" t="inlineStr">
        <is>
          <t>Type 1</t>
        </is>
      </c>
    </row>
    <row r="9023">
      <c r="A9023" t="inlineStr">
        <is>
          <t>g2p5d4</t>
        </is>
      </c>
      <c r="B9023" t="inlineStr">
        <is>
          <t>I am freezing.</t>
        </is>
      </c>
      <c r="C9023" t="inlineStr">
        <is>
          <t>Before I had diabetes I was always a sweater, always hot and now it seems like in temps that I would normally be comfortable in i find myself cold all the time. I have only lost 20 pounds since finding out like 2 months ago but am still overweight so just wondering if anyone else has seen this as well?</t>
        </is>
      </c>
      <c r="D9023" t="n">
        <v>2</v>
      </c>
      <c r="E9023" t="n">
        <v>4</v>
      </c>
      <c r="F9023">
        <f>HYPERLINK("https://www.reddit.com/r/diabetes/comments/g2p5d4/i_am_freezing/")</f>
        <v/>
      </c>
      <c r="G9023" t="inlineStr">
        <is>
          <t>2020-04-16 15:24:06</t>
        </is>
      </c>
      <c r="H9023" t="inlineStr">
        <is>
          <t>Type 2</t>
        </is>
      </c>
    </row>
    <row r="9024">
      <c r="A9024" t="inlineStr">
        <is>
          <t>g2pa9i</t>
        </is>
      </c>
      <c r="B9024" t="inlineStr">
        <is>
          <t>I dont really know how to feel.</t>
        </is>
      </c>
      <c r="C9024" t="inlineStr">
        <is>
          <t>I've been pre-diabetic for awhile. But I went to a clinic to deal with my ear infection yesterday and they checked my blood too. My glucose was 400, they put me on metformin. So I guess that means I'm officially diabetic. I already threw it out most of what I shouldn't eat. Im just glad there's a subreddit for this. Anyone got some general advice?</t>
        </is>
      </c>
      <c r="D9024" t="n">
        <v>1</v>
      </c>
      <c r="E9024" t="n">
        <v>4</v>
      </c>
      <c r="F9024">
        <f>HYPERLINK("https://www.reddit.com/r/diabetes/comments/g2pa9i/i_dont_really_know_how_to_feel/")</f>
        <v/>
      </c>
      <c r="G9024" t="inlineStr">
        <is>
          <t>2020-04-16 15:31:24</t>
        </is>
      </c>
      <c r="H9024" t="inlineStr">
        <is>
          <t>Type 2</t>
        </is>
      </c>
    </row>
    <row r="9025">
      <c r="A9025" t="inlineStr">
        <is>
          <t>g2q6dg</t>
        </is>
      </c>
      <c r="B9025" t="inlineStr">
        <is>
          <t>G6</t>
        </is>
      </c>
      <c r="C9025" t="inlineStr">
        <is>
          <t>Hi I'm a t1 and I'm wondering if the g6 makes ur appetite go away. Maybe this is just covid that is making me a restless stress eater, but ever since ove gotten off of the g6 my appetite has gone through the roof. Anyone else?</t>
        </is>
      </c>
      <c r="D9025" t="n">
        <v>0</v>
      </c>
      <c r="E9025" t="n">
        <v>2</v>
      </c>
      <c r="F9025">
        <f>HYPERLINK("https://www.reddit.com/r/diabetes/comments/g2q6dg/g6/")</f>
        <v/>
      </c>
      <c r="G9025" t="inlineStr">
        <is>
          <t>2020-04-16 16:20:01</t>
        </is>
      </c>
      <c r="H9025" t="inlineStr">
        <is>
          <t>Type 1</t>
        </is>
      </c>
    </row>
    <row r="9026">
      <c r="A9026" t="inlineStr">
        <is>
          <t>g2q8lq</t>
        </is>
      </c>
      <c r="B9026" t="inlineStr">
        <is>
          <t>How to eat healthy despite intense exercise?</t>
        </is>
      </c>
      <c r="C9026" t="inlineStr">
        <is>
          <t>Tl;dr: how do you other athletes eat healthy given the natural propensity to go low that accompanies intense exercise?
I'm very fortunate to have a good metabolism and done lots of exercise which has allowed me to maintain a sub-7.0 a1c consistently (and I believe my last was around 6.5), but as a result I have been able to continue the horrible eating habits of my preteen years. By this I don't mean that I don't eat fruit or vegetables, nor that I am unhappy with my a1c, but rather that I eat too many carbs (or at least the wrong carbs). In high school, my eating routine was the following (now in college it's a bit better, but not much, and more irregular due to my schedule so I just went with my high school one):
\- 3-ish bowls of cereal for breakfast at 6:45 am
\-A pair of Pop Tarts + 2-3 granola bars + 1-2 packs Welch's fruit snacks and maybe some chips for snack at 10:30 am
\- 2 sandwiches + fruit for lunch at 11:30 am
\- Possibly a granola bar before practice at 2:45 pm
\- 3 bowls of cereal + a pair of Pop Tarts and maybe some other granola bars for tea time at 6:00 pm
\- Rice/Pasta/etc + meat/fish/chicken for dinner typically (but this varied quite a bit) + fruits and veggies at 9:00 pm
\- Midnight snack when I stayed up late studying sometimes
I've never calculated how many calories and carbs this is (though I probably should) but on one hand it feels excessive, while on the other it felt like necessary to satisfy my hunger and give me energy for 2 and a half hours of intensive exercise every day.  I would like to reduce/improve this diet, but when I've tried to absolutely cut off junk food it's been tough because I always have to come back for it when I go low, which compounds the usual temptation.
In essence, my question is how do you other athletes eat healthy given the natural propensity to go low that accompanies intense exercise?</t>
        </is>
      </c>
      <c r="D9026" t="n">
        <v>1</v>
      </c>
      <c r="E9026" t="n">
        <v>9</v>
      </c>
      <c r="F9026">
        <f>HYPERLINK("https://www.reddit.com/r/diabetes/comments/g2q8lq/how_to_eat_healthy_despite_intense_exercise/")</f>
        <v/>
      </c>
      <c r="G9026" t="inlineStr">
        <is>
          <t>2020-04-16 16:23:38</t>
        </is>
      </c>
      <c r="H9026" t="inlineStr">
        <is>
          <t>Type 1</t>
        </is>
      </c>
    </row>
    <row r="9027">
      <c r="A9027" t="inlineStr">
        <is>
          <t>g2rdvs</t>
        </is>
      </c>
      <c r="B9027" t="inlineStr">
        <is>
          <t>does the volume of your ipod effect the volume of dexcom alerts?</t>
        </is>
      </c>
      <c r="C9027" t="inlineStr">
        <is>
          <t>when i go to settings to test the sounds the volume changes the volume of the sounds, but will it do that for actual alerts when I go low?  I just got g6 today</t>
        </is>
      </c>
      <c r="D9027" t="n">
        <v>1</v>
      </c>
      <c r="E9027" t="n">
        <v>2</v>
      </c>
      <c r="F9027">
        <f>HYPERLINK("https://www.reddit.com/r/diabetes/comments/g2rdvs/does_the_volume_of_your_ipod_effect_the_volume_of/")</f>
        <v/>
      </c>
      <c r="G9027" t="inlineStr">
        <is>
          <t>2020-04-16 17:30:39</t>
        </is>
      </c>
      <c r="H9027" t="inlineStr">
        <is>
          <t>Type 1</t>
        </is>
      </c>
    </row>
    <row r="9028">
      <c r="A9028" t="inlineStr">
        <is>
          <t>g2w8a0</t>
        </is>
      </c>
      <c r="B9028" t="inlineStr">
        <is>
          <t>Alternative to rice</t>
        </is>
      </c>
      <c r="C9028" t="inlineStr">
        <is>
          <t>Hello everyone. I was diagnosed as a type 2 diabetic in February. I am Filipino, so many most of meals included rice... breakfast, lunch, dinner, etc. Since my diagnose, I’ve been trying to cutdown on rice. I’ve tried eating brown rice (which is fine) but it is still too high on sugar. I have tried konjac rice as well and is somewhat okay... Quinoa not a huge fan... since I’ve cut down on rice, I tend to be hungry more often and not having that satisfied feeling after food.
Any advice what other foods I can eat to substitute for rice or recipes? Looking for something that can keep me full throughout the day due to the demands of my job... TIA</t>
        </is>
      </c>
      <c r="D9028" t="n">
        <v>5</v>
      </c>
      <c r="E9028" t="n">
        <v>16</v>
      </c>
      <c r="F9028">
        <f>HYPERLINK("https://www.reddit.com/r/diabetes/comments/g2w8a0/alternative_to_rice/")</f>
        <v/>
      </c>
      <c r="G9028" t="inlineStr">
        <is>
          <t>2020-04-16 23:06:30</t>
        </is>
      </c>
      <c r="H9028" t="inlineStr">
        <is>
          <t>Type 2</t>
        </is>
      </c>
    </row>
    <row r="9029">
      <c r="A9029" t="inlineStr">
        <is>
          <t>g2zvjx</t>
        </is>
      </c>
      <c r="B9029" t="inlineStr">
        <is>
          <t>Dexcom 6 Alarms</t>
        </is>
      </c>
      <c r="C9029" t="inlineStr">
        <is>
          <t>I’m an totally new to this I’ve been diagnosed for just over a month and have had a Dexcom for not yet 1 week.  This morning my approaching low alarm woke me up. It said I will be at 55 in less than 20 minutes I treated for the low.  But the Dexcom app doesn’t show that reading at all it show 10 points higher in the graph history. Am I missing something here?</t>
        </is>
      </c>
      <c r="D9029" t="n">
        <v>1</v>
      </c>
      <c r="E9029" t="n">
        <v>2</v>
      </c>
      <c r="F9029">
        <f>HYPERLINK("https://www.reddit.com/r/diabetes/comments/g2zvjx/dexcom_6_alarms/")</f>
        <v/>
      </c>
      <c r="G9029" t="inlineStr">
        <is>
          <t>2020-04-17 04:03:28</t>
        </is>
      </c>
      <c r="H9029" t="inlineStr">
        <is>
          <t>Type 1.5/LADA</t>
        </is>
      </c>
    </row>
    <row r="9030">
      <c r="A9030" t="inlineStr">
        <is>
          <t>g31xvo</t>
        </is>
      </c>
      <c r="B9030" t="inlineStr">
        <is>
          <t>Volunteers needed to evaluate a diabetes app</t>
        </is>
      </c>
      <c r="C9030" t="inlineStr">
        <is>
          <t xml:space="preserve"> We are looking for volunteers to inform the design of an app for people living with Type 2 diabetes. As a token of appreciation, you will be compensated for your time and input with a $100 CAD payment. 
We'd like to learn how you manage daily behaviours, from glucose monitoring to nutrition and physical activity.  During the session, we would show you sketches of the app and ask you a series of questions about your likes and dislikes.
Minimal requirements include being English-speaking, comfortable using computers to access the internet, at least 18 years of age, and have been diagnosed as pre-diabetic or as having Type 2 diabetes. 
The study will take place online and will take up to 60 minutes to complete.
If you would like to participate in this research project, or have any questions, please contact us  at:
rbarbu@macadamian.com or
whassanein@macadamian.com
Sincerely,
Roxana and Walid</t>
        </is>
      </c>
      <c r="D9030" t="n">
        <v>1</v>
      </c>
      <c r="E9030" t="n">
        <v>2</v>
      </c>
      <c r="F9030">
        <f>HYPERLINK("https://www.reddit.com/r/diabetes/comments/g31xvo/volunteers_needed_to_evaluate_a_diabetes_app/")</f>
        <v/>
      </c>
      <c r="G9030" t="inlineStr">
        <is>
          <t>2020-04-17 06:24:46</t>
        </is>
      </c>
      <c r="H9030" t="inlineStr">
        <is>
          <t>Type 2</t>
        </is>
      </c>
    </row>
    <row r="9031">
      <c r="A9031" t="inlineStr">
        <is>
          <t>g366qh</t>
        </is>
      </c>
      <c r="B9031" t="inlineStr">
        <is>
          <t>My roommate/friend has type 1 diabetes and abuses alcohol. How can I help?</t>
        </is>
      </c>
      <c r="C9031" t="inlineStr">
        <is>
          <t>Hi guys. My friend has type 1 diabetes and can be quite careless about it. I recently realised the extent of his alcohol problem and it's extremely worrying. He gets drunk every day and quite often forgets to take snacks with him, sometimes takes insulin without testing just for his sugars to drop too low, and doesn't test before going to bed drunk. He nearly died on me last week and had dangerous hypos at least 3 other times (that I know of) since January and every day I worry I'll find him dead on the floor. As a friend and roommate I just want to know what to do to help him, but he feels ashamed and even now won't talk about it, so I was hoping you guys could offer some advice instead. He is a great person and it would be a loss to the world if this got him killed.
My questions are I guess: how do I tell the difference between a hypo and him just being drunk? When he almost died I could only tell something was up a couple minutes before it was too late. He went from "I think I need some sugars" and a stumble to being nearly unresponsive within 5 minutes. Do sugars really drop that quickly or should I have noticed earlier? What do you look for when he's drunk?
Sometimes he is so drunk and sluggish before going to bed that I motivate him to check his blood sugar, but since he's so drunk I'm not always sure he does anything with it. He does sometimes show me the number even though I have no clue what it means. I know that a hypo can occur hours after drinking, so is there anything I should watch for in the number when he shows me? If his blood sugar is in the normal range but on the lower end could that not be dangerous or is it okay?
If he has a dangerous hypo again, to the point where he is laying on the ground nearly unresponsive, how many grams of sugar would he need minimum to make it through until an ambulance comes? And what if we happen to have no sugar on hand, what will happen and what do I need to do? Last time before collapsing he said he should stop talking to save energy, but then what? Do I need to try to keep him awake after he has collapsed or does that drain his energy even quicker?
Since his last hypo I always make sure he has a snack on him before going outside now, is there anything else I can do?
I realise this might come across as nosy or strange and I hate having to come to Reddit for answers, but believe me I've tried to talk to him again and again. He feels so ashamed of his condition and his behaviour that he shuts down and gets quiet and after so many times trying I don't want to bother him with it anymore, but I also can't just sit by and have him die just because he feels ashamed. He is a great guy, so I would really appreciate your help and advice.</t>
        </is>
      </c>
      <c r="D9031" t="n">
        <v>2</v>
      </c>
      <c r="E9031" t="n">
        <v>10</v>
      </c>
      <c r="F9031">
        <f>HYPERLINK("https://www.reddit.com/r/diabetes/comments/g366qh/my_roommatefriend_has_type_1_diabetes_and_abuses/")</f>
        <v/>
      </c>
      <c r="G9031" t="inlineStr">
        <is>
          <t>2020-04-17 10:14:38</t>
        </is>
      </c>
      <c r="H9031" t="inlineStr">
        <is>
          <t>Type 1</t>
        </is>
      </c>
    </row>
    <row r="9032">
      <c r="A9032" t="inlineStr">
        <is>
          <t>g37a0n</t>
        </is>
      </c>
      <c r="B9032" t="inlineStr">
        <is>
          <t>Type 2 &amp;amp; coping with shaming</t>
        </is>
      </c>
      <c r="C9032" t="inlineStr">
        <is>
          <t>Anyone have some encouraging words or a recommended article to deal with societal stigma around being type 2?</t>
        </is>
      </c>
      <c r="D9032" t="n">
        <v>3</v>
      </c>
      <c r="E9032" t="n">
        <v>32</v>
      </c>
      <c r="F9032">
        <f>HYPERLINK("https://www.reddit.com/r/diabetes/comments/g37a0n/type_2_coping_with_shaming/")</f>
        <v/>
      </c>
      <c r="G9032" t="inlineStr">
        <is>
          <t>2020-04-17 11:11:13</t>
        </is>
      </c>
      <c r="H9032" t="inlineStr">
        <is>
          <t>Type 2</t>
        </is>
      </c>
    </row>
    <row r="9033">
      <c r="A9033" t="inlineStr">
        <is>
          <t>g3a9o9</t>
        </is>
      </c>
      <c r="B9033" t="inlineStr">
        <is>
          <t>LADA Improved control with no explanation</t>
        </is>
      </c>
      <c r="C9033" t="inlineStr">
        <is>
          <t>I (suspect to) have LADA, but am waiting on antibody test results. This past week, my doctor recommended I increase Levemir, and since doing so, I haven’t needed to use Humalog with meals because my blood sugar controls have been impeccable. While I’m not complaining, I can’t understand why this is happening. I had a lot of trouble with controlling my high blood sugars previously, but now it’s almost like I’m struggling to keep them stable without dropping.
Today I have eaten a protein pancake with sugar free syrup, chips and salsa, and 1/2 bag of popcorn and am still dropping. Currently at 130 or so. I haven’t worked out in a few days, either! Again, DEFINITELY not complaining, but I don’t understand what is happening. Could anyone provide some insight?
Thank you!</t>
        </is>
      </c>
      <c r="D9033" t="n">
        <v>2</v>
      </c>
      <c r="E9033" t="n">
        <v>10</v>
      </c>
      <c r="F9033">
        <f>HYPERLINK("https://www.reddit.com/r/diabetes/comments/g3a9o9/lada_improved_control_with_no_explanation/")</f>
        <v/>
      </c>
      <c r="G9033" t="inlineStr">
        <is>
          <t>2020-04-17 13:52:50</t>
        </is>
      </c>
      <c r="H9033" t="inlineStr">
        <is>
          <t>Type 1.5/LADA</t>
        </is>
      </c>
    </row>
    <row r="9034">
      <c r="A9034" t="inlineStr">
        <is>
          <t>g3ddf7</t>
        </is>
      </c>
      <c r="B9034" t="inlineStr">
        <is>
          <t>Carb limit connected to weight</t>
        </is>
      </c>
      <c r="C9034" t="inlineStr">
        <is>
          <t>I'm trying very hard to control my blood sugar levels without medication and I'm doing alright. Not outstanding but pretty well. I have found that to keep my numbers around 120, I have to eat a super low carb diet which I can do. I do have two questions about how my weight relates to this.
1. Will losing weight help me lower those numbers below 120 or is that potentially as low as I can get while not fasting?
2. Could losing weight allow me to add in some occasional healthy carbs like lentils or black beans or is weight not a factor in that way?
Thanks for any thoughts!</t>
        </is>
      </c>
      <c r="D9034" t="n">
        <v>1</v>
      </c>
      <c r="E9034" t="n">
        <v>4</v>
      </c>
      <c r="F9034">
        <f>HYPERLINK("https://www.reddit.com/r/diabetes/comments/g3ddf7/carb_limit_connected_to_weight/")</f>
        <v/>
      </c>
      <c r="G9034" t="inlineStr">
        <is>
          <t>2020-04-17 16:46:04</t>
        </is>
      </c>
      <c r="H9034" t="inlineStr">
        <is>
          <t>Type 2</t>
        </is>
      </c>
    </row>
    <row r="9035">
      <c r="A9035" t="inlineStr">
        <is>
          <t>g3dxo1</t>
        </is>
      </c>
      <c r="B9035" t="inlineStr">
        <is>
          <t>Able to dismiss tandem notifications through Apple Watch?</t>
        </is>
      </c>
      <c r="C9035" t="inlineStr">
        <is>
          <t>Hey, all - I'm tempted to get a watch to more easily view my numbers.  Right now I have a Tandem pump with Dexcom G6s.  However, I can't find any info on whether it's possible to dismiss notifications directly from the watch.  Are the pump and phone notifications completely separate? It would be nice to not have to dig the pump out of my pocket and click through the menus every time.
Could anyone who has this setup tell me if this is possible?  Thanks.</t>
        </is>
      </c>
      <c r="D9035" t="n">
        <v>1</v>
      </c>
      <c r="E9035" t="n">
        <v>5</v>
      </c>
      <c r="F9035">
        <f>HYPERLINK("https://www.reddit.com/r/diabetes/comments/g3dxo1/able_to_dismiss_tandem_notifications_through/")</f>
        <v/>
      </c>
      <c r="G9035" t="inlineStr">
        <is>
          <t>2020-04-17 17:21:28</t>
        </is>
      </c>
      <c r="H9035" t="inlineStr">
        <is>
          <t>Type 1</t>
        </is>
      </c>
    </row>
    <row r="9036">
      <c r="A9036" t="inlineStr">
        <is>
          <t>g3jgwt</t>
        </is>
      </c>
      <c r="B9036" t="inlineStr">
        <is>
          <t>I gave my kid a bolus (Omnipod) from downstairs while she was upstairs.</t>
        </is>
      </c>
      <c r="C9036" t="inlineStr">
        <is>
          <t>I didn't think it would work but the PDM was by me and she was asleep in her room. So I held the PDM up to the ceiling roughly in line with where she'd be. Shockingly it connected. That thing fails to connect from a couple feet away sometimes, never thought it would get through the ceiling and a bed at a few feet away.</t>
        </is>
      </c>
      <c r="D9036" t="n">
        <v>1</v>
      </c>
      <c r="E9036" t="n">
        <v>3</v>
      </c>
      <c r="F9036">
        <f>HYPERLINK("https://www.reddit.com/r/diabetes/comments/g3jgwt/i_gave_my_kid_a_bolus_omnipod_from_downstairs/")</f>
        <v/>
      </c>
      <c r="G9036" t="inlineStr">
        <is>
          <t>2020-04-18 00:17:14</t>
        </is>
      </c>
      <c r="H9036" t="inlineStr">
        <is>
          <t>Type 1</t>
        </is>
      </c>
    </row>
    <row r="9037">
      <c r="A9037" t="inlineStr">
        <is>
          <t>g3p8dx</t>
        </is>
      </c>
      <c r="B9037" t="inlineStr">
        <is>
          <t>Vegan and Lactose intolerance meal plan suggestion please</t>
        </is>
      </c>
      <c r="C9037" t="inlineStr">
        <is>
          <t>Hi all - my brother has recently been diagnosed with type 2.
He's lactose intolerant and vegan.
Can you please guide me to a meal plan for him or websites which can help with this strict diet. 
Many thanks in advance!</t>
        </is>
      </c>
      <c r="D9037" t="n">
        <v>1</v>
      </c>
      <c r="E9037" t="n">
        <v>5</v>
      </c>
      <c r="F9037">
        <f>HYPERLINK("https://www.reddit.com/r/diabetes/comments/g3p8dx/vegan_and_lactose_intolerance_meal_plan/")</f>
        <v/>
      </c>
      <c r="G9037" t="inlineStr">
        <is>
          <t>2020-04-18 08:23:58</t>
        </is>
      </c>
      <c r="H9037" t="inlineStr">
        <is>
          <t>Type 2</t>
        </is>
      </c>
    </row>
    <row r="9038">
      <c r="A9038" t="inlineStr">
        <is>
          <t>g3qka3</t>
        </is>
      </c>
      <c r="B9038" t="inlineStr">
        <is>
          <t>Novorapid having no effect</t>
        </is>
      </c>
      <c r="C9038" t="inlineStr">
        <is>
          <t>Hi, i’ve had diabetes for over 10 years and now I have a pump. 
Since last week it seems that my insulin is taking way too much time to lower my bg. It has no effects for like an hour and then it hits all in one time making it go too low. 
I always change the infusion sites, i tried changing the cartridge but to no avail. Insulin is always kept in the fridge and usually it start working after 10 minutes or so.
Just this morning I had breakfast at 10, I injected before eating like I always do and just now at 12:00 when my bg is at 18 mmol/l it starts to lower. With the same breakfast usually i would hit 10mmol/l max and then it would start to lower to a 6.
Any insight?</t>
        </is>
      </c>
      <c r="D9038" t="n">
        <v>1</v>
      </c>
      <c r="E9038" t="n">
        <v>4</v>
      </c>
      <c r="F9038">
        <f>HYPERLINK("https://www.reddit.com/r/diabetes/comments/g3qka3/novorapid_having_no_effect/")</f>
        <v/>
      </c>
      <c r="G9038" t="inlineStr">
        <is>
          <t>2020-04-18 09:43:27</t>
        </is>
      </c>
      <c r="H9038" t="inlineStr">
        <is>
          <t>Type 1</t>
        </is>
      </c>
    </row>
    <row r="9039">
      <c r="A9039" t="inlineStr">
        <is>
          <t>g3que5</t>
        </is>
      </c>
      <c r="B9039" t="inlineStr">
        <is>
          <t>This subreddit is amazing</t>
        </is>
      </c>
      <c r="C9039" t="inlineStr">
        <is>
          <t>Haha just wanted to say how I’ve never thought about checking for a diabetic subreddit and am so glad I did. I’ve been going through the memes and people telling stories and just thinking damn we really do be living the same lives😂 anyone got any crazy stories with their diabetes cause I got all day with this quarantine.</t>
        </is>
      </c>
      <c r="D9039" t="n">
        <v>4</v>
      </c>
      <c r="E9039" t="n">
        <v>1</v>
      </c>
      <c r="F9039">
        <f>HYPERLINK("https://www.reddit.com/r/diabetes/comments/g3que5/this_subreddit_is_amazing/")</f>
        <v/>
      </c>
      <c r="G9039" t="inlineStr">
        <is>
          <t>2020-04-18 09:59:54</t>
        </is>
      </c>
      <c r="H9039" t="inlineStr">
        <is>
          <t>Type 1</t>
        </is>
      </c>
    </row>
    <row r="9040">
      <c r="A9040" t="inlineStr">
        <is>
          <t>g3sklh</t>
        </is>
      </c>
      <c r="B9040" t="inlineStr">
        <is>
          <t>Medtronic's response to my concerns about price gouging</t>
        </is>
      </c>
      <c r="C9040" t="inlineStr">
        <is>
          <t>Here's a friend link to the story on medium so that anyone can read for free. Please feel free to join me in speaking up for affordable diabetes care. Happy to help anyone who runs into trouble, I also speak Spanish for anyone who needs translation help in navigating this system.  Cheers -Jason [https://medium.com/@jasonmhewett/medtronics-response-to-my-concerns-about-price-gouging-2ffed73431e4?sk=333a5c78184bbb86116425cf14179e79](https://medium.com/@jasonmhewett/medtronics-response-to-my-concerns-about-price-gouging-2ffed73431e4?sk=333a5c78184bbb86116425cf14179e79)</t>
        </is>
      </c>
      <c r="D9040" t="n">
        <v>2</v>
      </c>
      <c r="E9040" t="n">
        <v>2</v>
      </c>
      <c r="F9040">
        <f>HYPERLINK("https://www.reddit.com/r/diabetes/comments/g3sklh/medtronics_response_to_my_concerns_about_price/")</f>
        <v/>
      </c>
      <c r="G9040" t="inlineStr">
        <is>
          <t>2020-04-18 11:40:42</t>
        </is>
      </c>
      <c r="H9040" t="inlineStr">
        <is>
          <t>Type 1</t>
        </is>
      </c>
    </row>
    <row r="9041">
      <c r="A9041" t="inlineStr">
        <is>
          <t>g3sokj</t>
        </is>
      </c>
      <c r="B9041" t="inlineStr">
        <is>
          <t>Trouble with Toujeo</t>
        </is>
      </c>
      <c r="C9041" t="inlineStr">
        <is>
          <t>(Type 1 for 20 years- 37 year old female- first time having real insurance in my life for the past 2 years, finally getting some newer tech, my first CGM, etc.) The town I live in has 3 endo's- only 1 of which my insurance accepts. She is booked out 3 months- so my MD has been helping me manage. My A1C came back a little high (8.2) and I'm experiencing insulin resistance that is pretty high as well...my Dr started me on Toujeo. I'm on day 3 at 20 units a day. Running a consistent 400- and I feel like crap of course. I bumped it myself to 23 last night, woke up at 416. :( The last time I tried a different long acting insulin was Treceba (spelling?) and after 2 weeks running high a gave up on it and went back to NPH- an oldie I know but it gave me better control. The switch to Treceba was due to Lantus losing its effect. I've always seemed to have trouble with these. I know I need to up my exercise to combat the insulin resistance, but I'm curious to hear other's experiences who've had trouble with the long acting switch. (Humalog is my fast acting go to for 10+ years-still works like a charm- but the second it wears off...) 
Thanks!</t>
        </is>
      </c>
      <c r="D9041" t="n">
        <v>1</v>
      </c>
      <c r="E9041" t="n">
        <v>0</v>
      </c>
      <c r="F9041">
        <f>HYPERLINK("https://www.reddit.com/r/diabetes/comments/g3sokj/trouble_with_toujeo/")</f>
        <v/>
      </c>
      <c r="G9041" t="inlineStr">
        <is>
          <t>2020-04-18 11:47:03</t>
        </is>
      </c>
      <c r="H9041" t="inlineStr">
        <is>
          <t>Type 1</t>
        </is>
      </c>
    </row>
    <row r="9042">
      <c r="A9042" t="inlineStr">
        <is>
          <t>g3uuda</t>
        </is>
      </c>
      <c r="B9042" t="inlineStr">
        <is>
          <t>Type1's on Victoza</t>
        </is>
      </c>
      <c r="C9042" t="inlineStr">
        <is>
          <t>Hi there,
Are there any Type 1's on Victoza? If so what insurance do you use? My doctor thinks Victoza will help me quite a bit but insurance is denying it. She suggested getting a secondary insurance that might cover what the one I already have doesn't.</t>
        </is>
      </c>
      <c r="D9042" t="n">
        <v>2</v>
      </c>
      <c r="E9042" t="n">
        <v>1</v>
      </c>
      <c r="F9042">
        <f>HYPERLINK("https://www.reddit.com/r/diabetes/comments/g3uuda/type1s_on_victoza/")</f>
        <v/>
      </c>
      <c r="G9042" t="inlineStr">
        <is>
          <t>2020-04-18 13:52:58</t>
        </is>
      </c>
      <c r="H9042" t="inlineStr">
        <is>
          <t>Type 1</t>
        </is>
      </c>
    </row>
    <row r="9043">
      <c r="A9043" t="inlineStr">
        <is>
          <t>g3w6gr</t>
        </is>
      </c>
      <c r="B9043" t="inlineStr">
        <is>
          <t>Officially got diagnosed with T1diabetes. Treatment plan seems odd and Cigna won’t cover Lantus. Please help.</t>
        </is>
      </c>
      <c r="C9043" t="inlineStr">
        <is>
          <t>On Wednesday, I had an appointment in which I had my a1c tested. Thursday I was confirmed diabetic and was told they were placing an order for me to pick up at the pharmacy. I was supposed to have the medication on Friday for my follow up appointment. All the pharmacy gave me was the Verio blood glucose meter. At my appointment, the nurse said my treatment plan was to take 6 units of Lantus every day. Which, after speaking to my diabetic siblings seemed like a low amount. My A1C was a 9.6 reading which seems to be pretty high. They’re not having me take insulin around meals either right now. But, they said they’d call the pharmacy and get it squared away so I could pick it up by Monday. That’s fine. Today, Saturday, I receive an automated call from my insurance that says they’re not covering the Lantus. They also told me I could call and try to appeal it but it’s Saturday and their offices are closed. So I can’t do that. What am I supposed to do about this?
======================================
Side question: When I told my dad about my diagnosis, he lectured me and told me that had I been eating better and healthier, this wouldn’t have happened. Essentially, I should have taken heed from when my siblings were diagnosed and changed my entire diet so that way there wouldn’t be a chance I could get it. It’s weird to m because he’s a T1 diabetic too. And also, he’s a medical professional and has been for years. My understanding is that T1 is genetic and either you get it or you don’t. What causes it still isn’t known. It seems like a genetic lottery thing to me. Is he right?</t>
        </is>
      </c>
      <c r="D9043" t="n">
        <v>2</v>
      </c>
      <c r="E9043" t="n">
        <v>10</v>
      </c>
      <c r="F9043">
        <f>HYPERLINK("https://www.reddit.com/r/diabetes/comments/g3w6gr/officially_got_diagnosed_with_t1diabetes/")</f>
        <v/>
      </c>
      <c r="G9043" t="inlineStr">
        <is>
          <t>2020-04-18 15:13:48</t>
        </is>
      </c>
      <c r="H9043" t="inlineStr">
        <is>
          <t>Type 1</t>
        </is>
      </c>
    </row>
    <row r="9044">
      <c r="A9044" t="inlineStr">
        <is>
          <t>g4101o</t>
        </is>
      </c>
      <c r="B9044" t="inlineStr">
        <is>
          <t>Help! Newbie OGTT test results!</t>
        </is>
      </c>
      <c r="C9044" t="inlineStr">
        <is>
          <t>Hello!
I was diagnosed with PCOS almost 10 years ago and only just got tested for insulin resistance (OGTT) because I insisted (they didn’t believe me because I’m normal-thin). My hairloss has been terrible and I just had to know if it was being exacerbated by IR.
Just got my results back...
*75mg glucose drink*
Fasting : 4.5 mmol (or 81 mg/dl)
2 hrs after: 8.5 mmol (or 154 mg/dl)
I could really use some guidance or advice! Cant speak to my Dr right now due to extenuating circumstances, but I have an endo appointment coming up and I want to be mentally prepared. From what I understand this confirms IR or diabetes? How bad are we talking here? I’m not sure how severe of an “imbalance” this is, or more specifically if this would point to IR or full on diabetes...and how intense I need to go with treatment :/ I already ordered Inositol, and I plan to lay off carbs as much as I can. 
Thanks and I appreciate any wisdom or suggestions! Being stuck at home with this information is making me crazy.</t>
        </is>
      </c>
      <c r="D9044" t="n">
        <v>1</v>
      </c>
      <c r="E9044" t="n">
        <v>3</v>
      </c>
      <c r="F9044">
        <f>HYPERLINK("https://www.reddit.com/r/diabetes/comments/g4101o/help_newbie_ogtt_test_results/")</f>
        <v/>
      </c>
      <c r="G9044" t="inlineStr">
        <is>
          <t>2020-04-18 20:47:09</t>
        </is>
      </c>
      <c r="H9044" t="inlineStr">
        <is>
          <t>Type 2</t>
        </is>
      </c>
    </row>
    <row r="9045">
      <c r="A9045" t="inlineStr">
        <is>
          <t>g43zpk</t>
        </is>
      </c>
      <c r="B9045" t="inlineStr">
        <is>
          <t>Pretty Sure I have Diabetes</t>
        </is>
      </c>
      <c r="C9045" t="inlineStr">
        <is>
          <t>Hey all. I wanted to post here because I’m fairly certain I have diabetes. A little background: I’m 25, 5’1 and weigh around 155lbs. I wanted to see if anyone experienced these symptoms before they were diagnosed... 
1. Peeing 3-4 times once laying down BEFORE falling asleep. I’ll lay in bed and get up to pee 3-4 times in 1 hour. ALWAYS have to pee right when I wake up and pee is always highly concentrated.
2. Whenever I drink alcohol I get sick (vomit) doesn’t matter if it’s 1 drink or 5. After vomiting I’ll shake for 10-20 mins almost like my blood sugar is low.
3. Random dizzy spells that feel so strong that I feel like I’m about to pass out.
4. Heart palpitations when I’m not feeling anxious. 
5. Easily dehydrated. I’ve gone to the hospital before because I felt so dehydrated and had to get an IV. There was no real reason for me to be dehydrated.
6. Fatigue. I’ll get 8+ hours of sleep at night and ALWAYS wake up tired.
I’ve had my blood sugar tested over the years for checkups/etc and it’s always been on the higher side. I went to urgent care a few weeks ago for my acid reflux and they did some blood tests- my glucose was 136 and I thought this was odd because I was eating basically nothing due to the reflux... I chalked if up to being hungover but now I’m starting to think more about it. 
I also had elevated liver enzymes the last time I had my blood work done. There’s really no reason I should have elevated enzymes. Don’t have liver disease, not a frequent drinker, no gallstone problems. Anyways if you’ve read this much thank you. Let me know if you’ve had any similar experiences.
Also I’m going to my Dr. next week. What test should I ask for in order for it to be the most accurate?</t>
        </is>
      </c>
      <c r="D9045" t="n">
        <v>1</v>
      </c>
      <c r="E9045" t="n">
        <v>20</v>
      </c>
      <c r="F9045">
        <f>HYPERLINK("https://www.reddit.com/r/diabetes/comments/g43zpk/pretty_sure_i_have_diabetes/")</f>
        <v/>
      </c>
      <c r="G9045" t="inlineStr">
        <is>
          <t>2020-04-19 01:06:57</t>
        </is>
      </c>
      <c r="H9045" t="inlineStr">
        <is>
          <t>Type 1</t>
        </is>
      </c>
    </row>
    <row r="9046">
      <c r="A9046" t="inlineStr">
        <is>
          <t>g4azzm</t>
        </is>
      </c>
      <c r="B9046" t="inlineStr">
        <is>
          <t>Schedule A notice</t>
        </is>
      </c>
      <c r="C9046" t="inlineStr">
        <is>
          <t>Does anyone have advice on how to get a schedule A letter for employment opportunities with disabilities?
I am a diabetic for 10+years and my endocrinologist does not want to provide me with a schedule A letter. Diabetes is considered a disability by law, I have read that some doctors will do so and some will not provide the notice for diabetics. I just need help finding a medical professional to provide me with one. 
Any advice or experiences please</t>
        </is>
      </c>
      <c r="D9046" t="n">
        <v>1</v>
      </c>
      <c r="E9046" t="n">
        <v>4</v>
      </c>
      <c r="F9046">
        <f>HYPERLINK("https://www.reddit.com/r/diabetes/comments/g4azzm/schedule_a_notice/")</f>
        <v/>
      </c>
      <c r="G9046" t="inlineStr">
        <is>
          <t>2020-04-19 09:55:14</t>
        </is>
      </c>
      <c r="H9046" t="inlineStr">
        <is>
          <t>Type 1</t>
        </is>
      </c>
    </row>
    <row r="9047">
      <c r="A9047" t="inlineStr">
        <is>
          <t>g4b2ub</t>
        </is>
      </c>
      <c r="B9047" t="inlineStr">
        <is>
          <t>Therapy?</t>
        </is>
      </c>
      <c r="C9047" t="inlineStr">
        <is>
          <t>Does anyone go to therapy for diabetes? My parents are thinking about taking me ever since I got diagnosed.</t>
        </is>
      </c>
      <c r="D9047" t="n">
        <v>1</v>
      </c>
      <c r="E9047" t="n">
        <v>2</v>
      </c>
      <c r="F9047">
        <f>HYPERLINK("https://www.reddit.com/r/diabetes/comments/g4b2ub/therapy/")</f>
        <v/>
      </c>
      <c r="G9047" t="inlineStr">
        <is>
          <t>2020-04-19 09:59:37</t>
        </is>
      </c>
      <c r="H9047" t="inlineStr">
        <is>
          <t>Type 1</t>
        </is>
      </c>
    </row>
    <row r="9048">
      <c r="A9048" t="inlineStr">
        <is>
          <t>g4eh1p</t>
        </is>
      </c>
      <c r="B9048" t="inlineStr">
        <is>
          <t>OGTT Test Opinions</t>
        </is>
      </c>
      <c r="C9048" t="inlineStr">
        <is>
          <t xml:space="preserve"> 
Hello
Completed an OGTT Test and simply looking for opinions. See attached chart.
Fasting and Post-2 Hours are fine. Concerned about the Spike at 30 min / 45 min. Is it normal to go that high? Also, 2.5 hours went down to 4.2.
Not looking for doctor advice, just opinions.
&amp;amp;#x200B;
https://preview.redd.it/aw97s3jh0ut41.png?width=1420&amp;amp;format=png&amp;amp;auto=webp&amp;amp;s=902db2217306c08e651576876cb914960005f5a2</t>
        </is>
      </c>
      <c r="D9048" t="n">
        <v>1</v>
      </c>
      <c r="E9048" t="n">
        <v>1</v>
      </c>
      <c r="F9048">
        <f>HYPERLINK("https://www.reddit.com/r/diabetes/comments/g4eh1p/ogtt_test_opinions/")</f>
        <v/>
      </c>
      <c r="G9048" t="inlineStr">
        <is>
          <t>2020-04-19 13:09:50</t>
        </is>
      </c>
      <c r="H9048" t="inlineStr">
        <is>
          <t>Type 2</t>
        </is>
      </c>
    </row>
    <row r="9049">
      <c r="A9049" t="inlineStr">
        <is>
          <t>g4ge1u</t>
        </is>
      </c>
      <c r="B9049" t="inlineStr">
        <is>
          <t>I feel like a failure...</t>
        </is>
      </c>
      <c r="C9049" t="inlineStr">
        <is>
          <t>The past couple days I've been so f***ing frustrated... before now my blood sugars where mostly ok, I would get a lot of lows and if not I was normally within my rang of 100-180. I thought I was doing ok for being a newbie. 3 weeks ago when I saw my endo and it was confirmed I'm type 1, I talked to her about wanting to go off metformin. I was put on metformin when I got diagnosed almost a year ago and it was a misdiagnosis of type 2. A couple months before this appointment my primary dr ran a c-peptide test and said it was type 1 so I already knew that before I ever saw my endo, but my endo wanted labs of her own to confirm. After my endo confirmed it was t1 she said I can stop the metformin if I wanted too because it wasn't needed. I did want to stop it because while I was taking it I was constantly up and down. If I didn't eat something every 2 hours I would fall low, it happen so much that I don't feel my lows anymore. So I was happy to finally get the ok to stop taking it. My endo also lowered my daily insulin and I started birth control. My blood sugar were about the same except I wouldn't drop as much, and my bg levels would come down more slowly. But as of a few days ago I don't know what I'm doing wrong and I feel so frustrated...
A few days ago when I checked my blood sugar before dinner I was at 112, ok. So I counted the carbs and injected correctly. When I checked my blood 2 hours after dinner it was 145. I thought ok not too bad. I checked my blood sugar several hours later before bed and it was 141. I was a little confused because normally I've started to come down a lot more by now, and what I ate I've had before and it doesn't normally hang on that long. But I thought I'd be ok and went to bed before I normally drop quite a bit in my sleep. 
When I checked my blood sugar in the morning it was 148! This was upsetting to me and I didn't understand why it won't leave the 140's. I remember the strips I was using I got off Amazon for extra. So I opened a fresh thing of strips I just picked up from the pharmacy to test again. I squeezed more blood out of the same spot and it test 128. Still not what I normally am in the morning (which is normally 70-100, I'm sometimes low when I wake up because I drop in my sleep). I thought well that's better I guess but still not normal... so again I gave myself enough to lower it a little bit and for my breakfast. I was feeling a bit paranoid so I did some exercise later and I over did it a little and made my self low. So I correct for that and got myself to 93. I had a snack and check 2 hours later and I was at 110, yay. When I checked before eating dinner I was suddenly at 190! I'm feeling confused and defeated so I took insulin to bring myself down and didn't eat. I checked 2 hours later and it was only 158 and took some more insulin... an hour later I when I checked again to eat it was 129. So I inject for my food and felt so defeated that I took half a metformin and ended up going low an hour after I ate. So I corrected that and got myself to 97. I went to bed and when I checked today when I got up it was 122??
It's suddenly been like this the past couple days. I don't know what I'm doing wrong and I'm so frustrated... I feel like a bad diabetic. Ever since the day I got diagnosed almost 8 months ago I've been trying so hard to get my blood sugars right. I try to eat good most of the time and exercise when I can. I drink water with every meal except breakfast, I have coffee.
Is this because I'm a female and all the hormones? The birth control? Is my meter bad? Was I on the metformin so long my body got dependent on it now I have to take it?
I feel like a failure..😔 I know you're not suppose to compare yourself to other diabetics but its hard...  it feels like everyone else has A's on the board and you have an F. I'm the first and only type 1 in my family so I don't have any since of direction or anything but I'm trying so so hard even if my blood sugars don't look like it all the time...</t>
        </is>
      </c>
      <c r="D9049" t="n">
        <v>1</v>
      </c>
      <c r="E9049" t="n">
        <v>24</v>
      </c>
      <c r="F9049">
        <f>HYPERLINK("https://www.reddit.com/r/diabetes/comments/g4ge1u/i_feel_like_a_failure/")</f>
        <v/>
      </c>
      <c r="G9049" t="inlineStr">
        <is>
          <t>2020-04-19 15:02:14</t>
        </is>
      </c>
      <c r="H9049" t="inlineStr">
        <is>
          <t>Type 1</t>
        </is>
      </c>
    </row>
    <row r="9050">
      <c r="A9050" t="inlineStr">
        <is>
          <t>g4k4gf</t>
        </is>
      </c>
      <c r="B9050" t="inlineStr">
        <is>
          <t>Tele-Medecine</t>
        </is>
      </c>
      <c r="C9050" t="inlineStr">
        <is>
          <t>With the shelter-in-place orders, I had no desire to expose myself to the lab or even the doctor office during my usual quarterly endocrinology visit.  It was a real delight when the appointment was changed to a video-con.  I uploaded my CGM data and that was good enough for an A1c estimate.  We had a lovely chat.  This was my first appointment since I went onto the T-Slim Control IQ software.  She was amazed how wonderful the software is at achieving and maintaining target BGs overnight.  I’m now up to about 85% time-in-range and highs and lows are distinctly blunted.  Still some fine-tuning but nothing like before.
My main problem these days is keeping my new rescue kitten from chewing on my pump cord!</t>
        </is>
      </c>
      <c r="D9050" t="n">
        <v>1</v>
      </c>
      <c r="E9050" t="n">
        <v>0</v>
      </c>
      <c r="F9050">
        <f>HYPERLINK("https://www.reddit.com/r/diabetes/comments/g4k4gf/telemedecine/")</f>
        <v/>
      </c>
      <c r="G9050" t="inlineStr">
        <is>
          <t>2020-04-19 18:59:04</t>
        </is>
      </c>
      <c r="H9050" t="inlineStr">
        <is>
          <t>Type 1</t>
        </is>
      </c>
    </row>
    <row r="9051">
      <c r="A9051" t="inlineStr">
        <is>
          <t>g4pl9f</t>
        </is>
      </c>
      <c r="B9051" t="inlineStr">
        <is>
          <t>High Ketones. Question.</t>
        </is>
      </c>
      <c r="C9051" t="inlineStr">
        <is>
          <t>Hello everyone, I'm new to the community but was diagnosed Type 2 in 2010. My sugars are constantly up and down, kind of erratic. My A1C a year ago was 6.5, and 3 months ago it was 10.2. I've been trying to work on it, but this quarantine has me kind of depressed. I've been trying to walk my dog every day for some activity. I know, I know, no excuses. I struggle with food addiction and I know it.
However, my sugars are still high. I feel the effects. I have to wake up every 2 hours to pee and I'm thirsty as a desert. My ketone urine strip just tested high (160). I don't want to go to the hospital as I don't have any symptoms of ketoacidosis besides the thirst (nausea, confusion, abdominal pain, etc.) I take vitamins daily and I was wondering if there are any vitamins that can make ketones high because I don't want to make it worse. Also, what should I be doing to make them go down? I've been just drinking water, and I'm at 50oz so far today. Would it be best to fast for a couple of days? I appreciate any help or advice.</t>
        </is>
      </c>
      <c r="D9051" t="n">
        <v>1</v>
      </c>
      <c r="E9051" t="n">
        <v>16</v>
      </c>
      <c r="F9051">
        <f>HYPERLINK("https://www.reddit.com/r/diabetes/comments/g4pl9f/high_ketones_question/")</f>
        <v/>
      </c>
      <c r="G9051" t="inlineStr">
        <is>
          <t>2020-04-20 02:18:45</t>
        </is>
      </c>
      <c r="H9051" t="inlineStr">
        <is>
          <t>Type 2</t>
        </is>
      </c>
    </row>
    <row r="9052">
      <c r="A9052" t="inlineStr">
        <is>
          <t>g4teqj</t>
        </is>
      </c>
      <c r="B9052" t="inlineStr">
        <is>
          <t>Sugar allergy</t>
        </is>
      </c>
      <c r="C9052" t="inlineStr">
        <is>
          <t>When I am hungover I tend to binge eat rubbish. Cookies, cakes and sweets etc. I started to notice this flared up what I have assumed to be arthritis in both shoulders and one hip. This had been going on for years before I worked out the cause. The flares lasted for weeks and sometimes months at a time and were really awful.
A couple of years ago I stopped eating gluten and my life changed dramatically for the better. No flare ups. I lost weight. It cured mental health problems and stomach problems that I had somehow accepted for years.
Since this gradually I've noticed that when I eat sugar at all. I mean to the point where I have a little bit of honey in a yoghurt, the linph node in my hip gets massive and the pain is there for at least a day. To the point I have to limp and sometimes scream out in pain if I stand up to fast. Its also caused by anything with high carb content.
The only things I can eat. And I'm not complaining, I can live like this happily forever. Are meat, nuts and seeds. Vegetables and sometimes fruit are OK in small doses.
Am I intolerant/allergic to sugar, or even insulin? Is this a complication of type 1 diabetes? I'm clueless. Anyone experiencing or has experienced this?</t>
        </is>
      </c>
      <c r="D9052" t="n">
        <v>1</v>
      </c>
      <c r="E9052" t="n">
        <v>2</v>
      </c>
      <c r="F9052">
        <f>HYPERLINK("https://www.reddit.com/r/diabetes/comments/g4teqj/sugar_allergy/")</f>
        <v/>
      </c>
      <c r="G9052" t="inlineStr">
        <is>
          <t>2020-04-20 07:07:14</t>
        </is>
      </c>
      <c r="H9052" t="inlineStr">
        <is>
          <t>Type 1</t>
        </is>
      </c>
    </row>
    <row r="9053">
      <c r="A9053" t="inlineStr">
        <is>
          <t>g4tr46</t>
        </is>
      </c>
      <c r="B9053" t="inlineStr">
        <is>
          <t>I just accidentally ate moldy bread, I have type 1, what's the worst that will happen?</t>
        </is>
      </c>
      <c r="C9053" t="inlineStr">
        <is>
          <t>Will something bad happen?</t>
        </is>
      </c>
      <c r="D9053" t="n">
        <v>1</v>
      </c>
      <c r="E9053" t="n">
        <v>1</v>
      </c>
      <c r="F9053">
        <f>HYPERLINK("https://www.reddit.com/r/diabetes/comments/g4tr46/i_just_accidentally_ate_moldy_bread_i_have_type_1/")</f>
        <v/>
      </c>
      <c r="G9053" t="inlineStr">
        <is>
          <t>2020-04-20 07:27:06</t>
        </is>
      </c>
      <c r="H9053" t="inlineStr">
        <is>
          <t>Type 1</t>
        </is>
      </c>
    </row>
    <row r="9054">
      <c r="A9054" t="inlineStr">
        <is>
          <t>g4xsue</t>
        </is>
      </c>
      <c r="B9054" t="inlineStr">
        <is>
          <t>What were your first symptoms of T2 diagnoses?</t>
        </is>
      </c>
      <c r="C9054" t="inlineStr">
        <is>
          <t>Hi guys I’m back asking for more symptom related questions. And if anyone knows if T2 is as well can be genetic? 
To all of my T2 people; what was it that you first started experiencing?</t>
        </is>
      </c>
      <c r="D9054" t="n">
        <v>1</v>
      </c>
      <c r="E9054" t="n">
        <v>6</v>
      </c>
      <c r="F9054">
        <f>HYPERLINK("https://www.reddit.com/r/diabetes/comments/g4xsue/what_were_your_first_symptoms_of_t2_diagnoses/")</f>
        <v/>
      </c>
      <c r="G9054" t="inlineStr">
        <is>
          <t>2020-04-20 11:01:29</t>
        </is>
      </c>
      <c r="H9054" t="inlineStr">
        <is>
          <t>Type 2</t>
        </is>
      </c>
    </row>
    <row r="9055">
      <c r="A9055" t="inlineStr">
        <is>
          <t>g4zbpj</t>
        </is>
      </c>
      <c r="B9055" t="inlineStr">
        <is>
          <t>High blood sugar</t>
        </is>
      </c>
      <c r="C9055" t="inlineStr">
        <is>
          <t>Every morning I wake up with a high blood sugar like +350mg/dL even though I sleep having a normal blood sugar before I sleep any reason for this ??btw i'm 19 and had been diagnosed at 14 👍</t>
        </is>
      </c>
      <c r="D9055" t="n">
        <v>1</v>
      </c>
      <c r="E9055" t="n">
        <v>6</v>
      </c>
      <c r="F9055">
        <f>HYPERLINK("https://www.reddit.com/r/diabetes/comments/g4zbpj/high_blood_sugar/")</f>
        <v/>
      </c>
      <c r="G9055" t="inlineStr">
        <is>
          <t>2020-04-20 12:24:17</t>
        </is>
      </c>
      <c r="H9055" t="inlineStr">
        <is>
          <t>Type 1</t>
        </is>
      </c>
    </row>
    <row r="9056">
      <c r="A9056" t="inlineStr">
        <is>
          <t>g4zj2t</t>
        </is>
      </c>
      <c r="B9056" t="inlineStr">
        <is>
          <t>Control-I, increased exercise, and persistent lows</t>
        </is>
      </c>
      <c r="C9056" t="inlineStr">
        <is>
          <t>Type 1, using Tandem T-Slim X2 with Control-IQ and Dexcom G6
I don't know about the rest of you, but with social distancing and sheltering at home, the best part of my day is going for a walk. Prior to COVID, I would walk 3 miles every morning. Now that I'm working from home and have more time, I upped that to 5 miles.
Something about the change from 3 to 5 miles has drastically effected my insulin sensitivity. How did I know? Here's where it gets interesting.
I love my T-Slim X2 and Control-IQ. When I first got Control-IQ my A1C dropped by about a point and I was feeling great! Almost no hypoglycemia! Over the past two weeks I've been fighting lows like crazy. Doesn't matter what I do, I end up low. Eat dinner? Low in 2 hours. Treat a low? Low again in 60 minutes. Go to bed with perfect blood sugar? Wake up to alarms. Super frustrating and almost made me want to throw the pump away. 
 The great folks at Tandem are still going over my data, but it appears that changing my insulin sensitivity from 1:35 to 1:45 has fixed it.
Prior to Control-IQ, I feel that I would have noticed the change in sensitivity when I did a correction bolus and then experienced hypoglycemia. Because Control-IQ reduces the number of correction boluses I do, I wasn't aware of what was happening.
I'm not slamming Control-IQ. I think it's amazing. But if you're starting to have persistent low blood sugars.. double check your ISF.</t>
        </is>
      </c>
      <c r="D9056" t="n">
        <v>1</v>
      </c>
      <c r="E9056" t="n">
        <v>4</v>
      </c>
      <c r="F9056">
        <f>HYPERLINK("https://www.reddit.com/r/diabetes/comments/g4zj2t/controli_increased_exercise_and_persistent_lows/")</f>
        <v/>
      </c>
      <c r="G9056" t="inlineStr">
        <is>
          <t>2020-04-20 12:37:13</t>
        </is>
      </c>
      <c r="H9056" t="inlineStr">
        <is>
          <t>Type 1</t>
        </is>
      </c>
    </row>
    <row r="9057">
      <c r="A9057" t="inlineStr">
        <is>
          <t>g51bjg</t>
        </is>
      </c>
      <c r="B9057" t="inlineStr">
        <is>
          <t>Dexcom G6 help</t>
        </is>
      </c>
      <c r="C9057" t="inlineStr">
        <is>
          <t>I just got a brand new dexcom today (super super excited!!!!) I was on the Libre  for three months before this hit am totally new to this device. I have it set up, applied, and connected and it’s been running for about an hour reading accurately. My app has been giving me push notifications that the app stopped working. When I open the app it shows that it isn’t connected to my sensor. Has anyone had trouble staying connected? Any tips/advice for the dexcom? Fav spot?</t>
        </is>
      </c>
      <c r="D9057" t="n">
        <v>1</v>
      </c>
      <c r="E9057" t="n">
        <v>3</v>
      </c>
      <c r="F9057">
        <f>HYPERLINK("https://www.reddit.com/r/diabetes/comments/g51bjg/dexcom_g6_help/")</f>
        <v/>
      </c>
      <c r="G9057" t="inlineStr">
        <is>
          <t>2020-04-20 14:07:40</t>
        </is>
      </c>
      <c r="H9057" t="inlineStr">
        <is>
          <t>Type 1</t>
        </is>
      </c>
    </row>
    <row r="9058">
      <c r="A9058" t="inlineStr">
        <is>
          <t>g55lgg</t>
        </is>
      </c>
      <c r="B9058" t="inlineStr">
        <is>
          <t>Insulin pump arm bands???</t>
        </is>
      </c>
      <c r="C9058" t="inlineStr">
        <is>
          <t>I used to buy arm bands for my husband from a place called Pumpwear Inc. it was a women that would sew these bands that were spandex and had a pocket for an insulin pump. They have since disappeared. Does anyone know where I can get something similar?  I don’t want the compression kind that just hold the pump against the skin. What I’m looking for is a spandex like band with a pouch for a pump. Help!!!</t>
        </is>
      </c>
      <c r="D9058" t="n">
        <v>1</v>
      </c>
      <c r="E9058" t="n">
        <v>1</v>
      </c>
      <c r="F9058">
        <f>HYPERLINK("https://www.reddit.com/r/diabetes/comments/g55lgg/insulin_pump_arm_bands/")</f>
        <v/>
      </c>
      <c r="G9058" t="inlineStr">
        <is>
          <t>2020-04-20 18:12:15</t>
        </is>
      </c>
      <c r="H9058" t="inlineStr">
        <is>
          <t>Type 1</t>
        </is>
      </c>
    </row>
    <row r="9059">
      <c r="A9059" t="inlineStr">
        <is>
          <t>g59087</t>
        </is>
      </c>
      <c r="B9059" t="inlineStr">
        <is>
          <t>Januvia and Eyesight problems</t>
        </is>
      </c>
      <c r="C9059" t="inlineStr">
        <is>
          <t>Hi Everybody,
My Doctor had recently put me on Januvia and within a month I started having trouble with my eyesight.
Has this happened to anyone else?</t>
        </is>
      </c>
      <c r="D9059" t="n">
        <v>1</v>
      </c>
      <c r="E9059" t="n">
        <v>8</v>
      </c>
      <c r="F9059">
        <f>HYPERLINK("https://www.reddit.com/r/diabetes/comments/g59087/januvia_and_eyesight_problems/")</f>
        <v/>
      </c>
      <c r="G9059" t="inlineStr">
        <is>
          <t>2020-04-20 21:59:08</t>
        </is>
      </c>
      <c r="H9059" t="inlineStr">
        <is>
          <t>Type 2</t>
        </is>
      </c>
    </row>
    <row r="9060">
      <c r="A9060" t="inlineStr">
        <is>
          <t>g5bifu</t>
        </is>
      </c>
      <c r="B9060" t="inlineStr">
        <is>
          <t>I’m trying to figure out how to help my dad (early 50s) who has diabetes ( I think type 2) he basically is addicted to sugar and has lost tons of weight I’m not sure how to help. Please give me advice! I’m really worried.</t>
        </is>
      </c>
      <c r="C9060" t="inlineStr">
        <is>
          <t>As I said above, my dad doesn’t have a good healthy lifestyle. He loves sweets and has lost A LOT of weight in the past 4ish years. I feel like if he keeps on this path things will only get worse. He has constant foot pain and I think it’s because of nerve problems caused by diabetes (I really don’t know a lot about this). My mom has tried to get him to eat healthier but I feel like she hasn’t been able to help him and has given up. I want him to be happy and healthy and I really want info about the disease and if anyone else has gone through this, or knows how to help. Please help me help my dad, I love him so much and some of the things I’ve read about the disease and his symptoms have kept me up at night worried. I would appreciate ANY help. I’m desperate to help him, I don’t care what it takes. I don’t know how serious this is but I’m only 21 and I just want him around for as long as I can. I would be devastated if something happened and I never tried to help. I don’t know if I’m being dramatic, I just want him to not be in pain and feeling sick.</t>
        </is>
      </c>
      <c r="D9060" t="n">
        <v>1</v>
      </c>
      <c r="E9060" t="n">
        <v>4</v>
      </c>
      <c r="F9060">
        <f>HYPERLINK("https://www.reddit.com/r/diabetes/comments/g5bifu/im_trying_to_figure_out_how_to_help_my_dad_early/")</f>
        <v/>
      </c>
      <c r="G9060" t="inlineStr">
        <is>
          <t>2020-04-21 01:33:09</t>
        </is>
      </c>
      <c r="H9060" t="inlineStr">
        <is>
          <t>Type 2</t>
        </is>
      </c>
    </row>
    <row r="9061">
      <c r="A9061" t="inlineStr">
        <is>
          <t>g5boww</t>
        </is>
      </c>
      <c r="B9061" t="inlineStr">
        <is>
          <t>Hi all. My son (17m old) got diagnosed with T1 diabetes. I just joined and looking forward learning stuff!</t>
        </is>
      </c>
      <c r="C9061" t="inlineStr">
        <is>
          <t>Hi!
5 days ago my son was brought into the hospital after a video call with a doctor. My sons symptoms were as follows: very pale, had trouble breathing, blue lips and cold hands. He could barely stand or walk and was very weak in general. He then also started to rolling his eyes in the back of his skull. It was very scary for his mom and me.
The doctors told us later that he had a blood sugar level of 30 and his pH-value was similar to a dead person. He now recovers and we have to learn to live with the new situation. Thanks to the internet I already know a lot of new things on how to deal with all this. I think joining this subreddit will help me and my family to get through all this. Thanks for reading! 
P.S.: Not a native english speaker, please excuse potential mistakes. If anything was unclear, just ask.
Cheers</t>
        </is>
      </c>
      <c r="D9061" t="n">
        <v>1</v>
      </c>
      <c r="E9061" t="n">
        <v>6</v>
      </c>
      <c r="F9061">
        <f>HYPERLINK("https://www.reddit.com/r/diabetes/comments/g5boww/hi_all_my_son_17m_old_got_diagnosed_with_t1/")</f>
        <v/>
      </c>
      <c r="G9061" t="inlineStr">
        <is>
          <t>2020-04-21 01:49:41</t>
        </is>
      </c>
      <c r="H9061" t="inlineStr">
        <is>
          <t>Type 1</t>
        </is>
      </c>
    </row>
    <row r="9062">
      <c r="A9062" t="inlineStr">
        <is>
          <t>g5fs4o</t>
        </is>
      </c>
      <c r="B9062" t="inlineStr">
        <is>
          <t>Anyone get what I call "The Sickness" if they don't eat?</t>
        </is>
      </c>
      <c r="C9062" t="inlineStr">
        <is>
          <t>In the mornings if I don't eat something I feel nauseous. I was talking to my sister also a type 2 diabetic, and she gets this too.</t>
        </is>
      </c>
      <c r="D9062" t="n">
        <v>1</v>
      </c>
      <c r="E9062" t="n">
        <v>7</v>
      </c>
      <c r="F9062">
        <f>HYPERLINK("https://www.reddit.com/r/diabetes/comments/g5fs4o/anyone_get_what_i_call_the_sickness_if_they_dont/")</f>
        <v/>
      </c>
      <c r="G9062" t="inlineStr">
        <is>
          <t>2020-04-21 07:03:31</t>
        </is>
      </c>
      <c r="H9062" t="inlineStr">
        <is>
          <t>Type 2</t>
        </is>
      </c>
    </row>
    <row r="9063">
      <c r="A9063" t="inlineStr">
        <is>
          <t>g5itpu</t>
        </is>
      </c>
      <c r="B9063" t="inlineStr">
        <is>
          <t>Any supplements to improve focus and concentration for attention deficit disorder?</t>
        </is>
      </c>
      <c r="C9063" t="inlineStr">
        <is>
          <t>Any supplements to improve focus and concentration for attention deficit disorder?</t>
        </is>
      </c>
      <c r="D9063" t="n">
        <v>1</v>
      </c>
      <c r="E9063" t="n">
        <v>1</v>
      </c>
      <c r="F9063">
        <f>HYPERLINK("https://www.reddit.com/r/diabetes/comments/g5itpu/any_supplements_to_improve_focus_and/")</f>
        <v/>
      </c>
      <c r="G9063" t="inlineStr">
        <is>
          <t>2020-04-21 09:50:42</t>
        </is>
      </c>
      <c r="H9063" t="inlineStr">
        <is>
          <t>Type 1</t>
        </is>
      </c>
    </row>
    <row r="9064">
      <c r="A9064" t="inlineStr">
        <is>
          <t>g5nqzk</t>
        </is>
      </c>
      <c r="B9064" t="inlineStr">
        <is>
          <t>Freestyle libre: sensor coming off of sticker</t>
        </is>
      </c>
      <c r="C9064" t="inlineStr">
        <is>
          <t>Hi everyone, i finally got an FGM in the form of a Freestyle Libre last week but whilst changing clothes i noticed the sensor bit had come off of the sticker bit. Not fully, just a bit.
Do any of you have had this happen? I cant get it into my head this is how it is supposed to be like.
I have not hit anything really hard with it or went for a swim orso so i cant really think how this could have happened.
Any suggestions on how to patch it up? (I mean, im not fixing this one with duct tape, super glue or epoxy) Should i just ignore it? Or should i swap it? Which would be a bit of a waste of the sensor imo.</t>
        </is>
      </c>
      <c r="D9064" t="n">
        <v>1</v>
      </c>
      <c r="E9064" t="n">
        <v>7</v>
      </c>
      <c r="F9064">
        <f>HYPERLINK("https://www.reddit.com/r/diabetes/comments/g5nqzk/freestyle_libre_sensor_coming_off_of_sticker/")</f>
        <v/>
      </c>
      <c r="G9064" t="inlineStr">
        <is>
          <t>2020-04-21 14:08:28</t>
        </is>
      </c>
      <c r="H9064" t="inlineStr">
        <is>
          <t>Type 1</t>
        </is>
      </c>
    </row>
    <row r="9065">
      <c r="A9065" t="inlineStr">
        <is>
          <t>g5p2af</t>
        </is>
      </c>
      <c r="B9065" t="inlineStr">
        <is>
          <t>Exercise &amp;amp; Diet/Zero Coke vs. Eating Habits</t>
        </is>
      </c>
      <c r="C9065" t="inlineStr">
        <is>
          <t xml:space="preserve">  Hi all,
New to this sub reddit. 
My brother (turning 34 this year) currently has type 2 diabetes. He had been diagnosed with T2 about 5-6 years ago and takes medications every day. On top of his diabetes medication, he also takes supplemental vitamins along with lithium (has psychological issues). Families from both sides has strong history of diabetes. For instance, all uncles from my mom’s side has diabetes and my grandma from dad’s side died of diabetes.
So with this COVID pandemic my brother has been eating delivery/ fast foods almost 1-2 meals every day (for instance, pad thai takeout for 4-5 times a week, subway subs, fried pork, fried chicken, lot of rice, waffles, hamburgers for about 3-4 times a week combined with occasional chocolates/ whipped cream cakes etc.). He's also been drinking 1-2 cans of diet or zero Coke 6 days out of a week. He eats until he feels full and does not use portion control boxes or any other visible method of portion control. On top of his various medications, he also exercises, which include walking for about 1-2 hours every day (or sometimes even longer). There’s no intense running/weight lifting or any muscle exercise. 
I've told him that he needs to stop his eating habits or else he'll end up in a life support in a hospital soon but he argues back that because he does all things I mentioned above, (for example, diabetes medication, exercise for long hours and diet/zero Coke has no sugar and hamburgers are fine as long as there are no potato fries) he’s and will be completely ok and healthy. On the other hand, he says I am being too cynical and nagging.
So am I really being so cynical and nagging about his diabetes situation?</t>
        </is>
      </c>
      <c r="D9065" t="n">
        <v>1</v>
      </c>
      <c r="E9065" t="n">
        <v>5</v>
      </c>
      <c r="F9065">
        <f>HYPERLINK("https://www.reddit.com/r/diabetes/comments/g5p2af/exercise_dietzero_coke_vs_eating_habits/")</f>
        <v/>
      </c>
      <c r="G9065" t="inlineStr">
        <is>
          <t>2020-04-21 15:20:45</t>
        </is>
      </c>
      <c r="H9065" t="inlineStr">
        <is>
          <t>Type 2</t>
        </is>
      </c>
    </row>
    <row r="9066">
      <c r="A9066" t="inlineStr">
        <is>
          <t>g5q82t</t>
        </is>
      </c>
      <c r="B9066" t="inlineStr">
        <is>
          <t>Control IQ and sleep mode</t>
        </is>
      </c>
      <c r="C9066" t="inlineStr">
        <is>
          <t>I've been using control iq with my new tandem pump for about two months now and I love it.  I just wish I could adjust the range to be tighter, especially since I'm pretty much at home all the time.  Had any one experimented with running sleep mode during the day?  I'm not worried about lows since I still feel them and am always at home.</t>
        </is>
      </c>
      <c r="D9066" t="n">
        <v>1</v>
      </c>
      <c r="E9066" t="n">
        <v>5</v>
      </c>
      <c r="F9066">
        <f>HYPERLINK("https://www.reddit.com/r/diabetes/comments/g5q82t/control_iq_and_sleep_mode/")</f>
        <v/>
      </c>
      <c r="G9066" t="inlineStr">
        <is>
          <t>2020-04-21 16:28:39</t>
        </is>
      </c>
      <c r="H9066" t="inlineStr">
        <is>
          <t>Type 1</t>
        </is>
      </c>
    </row>
    <row r="9067">
      <c r="A9067" t="inlineStr">
        <is>
          <t>g5r9yb</t>
        </is>
      </c>
      <c r="B9067" t="inlineStr">
        <is>
          <t>Stressed about going back to work</t>
        </is>
      </c>
      <c r="C9067" t="inlineStr">
        <is>
          <t>My part time job is working in a clothing retail store in downtown Denver, they are planning to reopen the store at the beginning of next month but I’m not sure if I should go back since it would increase my chances of contracting covid. Any suggestions as to what I should do? I’m doing okay financially with the support of my family but the extra money would be really helpful I’m just not sure if it’s safe yet to go back.</t>
        </is>
      </c>
      <c r="D9067" t="n">
        <v>1</v>
      </c>
      <c r="E9067" t="n">
        <v>3</v>
      </c>
      <c r="F9067">
        <f>HYPERLINK("https://www.reddit.com/r/diabetes/comments/g5r9yb/stressed_about_going_back_to_work/")</f>
        <v/>
      </c>
      <c r="G9067" t="inlineStr">
        <is>
          <t>2020-04-21 17:33:47</t>
        </is>
      </c>
      <c r="H9067" t="inlineStr">
        <is>
          <t>Type 1</t>
        </is>
      </c>
    </row>
    <row r="9068">
      <c r="A9068" t="inlineStr">
        <is>
          <t>g5rsro</t>
        </is>
      </c>
      <c r="B9068" t="inlineStr">
        <is>
          <t>Dexcom G6 Breakout??</t>
        </is>
      </c>
      <c r="C9068" t="inlineStr">
        <is>
          <t>So I've been using Dexcom for YEARS now, and never had an issue with skin irritation until recently when I started using a pump \*dunno if that's a factor\*. I have no rashes with the pump but with the CGM I have like a red, itchy rash from the past three CGM's I've inserted: one on my thigh, one on my stomach, and one on my arm. The worst have been my stomach and legs, and I'm scared I'm going to scar from this break out. It looks like a bunch of small abrasions. I'm thinking about trying tagaderm for the time being, but I was wondering if anyone else had this issue and could guide me in the right direction towards preventing it / finding itch relief / healing scars it may leave.  It itches like an MFer.  
&amp;amp;#x200B;
Thank you guys &amp;lt;3</t>
        </is>
      </c>
      <c r="D9068" t="n">
        <v>1</v>
      </c>
      <c r="E9068" t="n">
        <v>0</v>
      </c>
      <c r="F9068">
        <f>HYPERLINK("https://www.reddit.com/r/diabetes/comments/g5rsro/dexcom_g6_breakout/")</f>
        <v/>
      </c>
      <c r="G9068" t="inlineStr">
        <is>
          <t>2020-04-21 18:08:28</t>
        </is>
      </c>
      <c r="H9068" t="inlineStr">
        <is>
          <t>Type 1</t>
        </is>
      </c>
    </row>
    <row r="9069">
      <c r="A9069" t="inlineStr">
        <is>
          <t>g5ruf2</t>
        </is>
      </c>
      <c r="B9069" t="inlineStr">
        <is>
          <t>I’m just making this post to see if I’m not alone in this</t>
        </is>
      </c>
      <c r="C9069" t="inlineStr">
        <is>
          <t>So I am on the  Dexcom. And last night I was low for 3.5 hours. And it was in the middle of the night and I lost it after a while. I was bawling crying , I had so much carbs ( I counted it was over 200 ). And to top it off I’m 18 and still living with my parents. And my dad was constantly texting me about my bg. And I was being polite saying I had it under control. Then he constantly was saying I didn’t because my bg wasn’t coming up. But in reality I did have it under control. Anyway, so he came in to I don’t even know why and he said something that just hit a trigger and I screamed and threw my phone. And after me hyperventilating and him sitting there for a few minutes. He said he would be right back. ( never came back ) I finally called my boyfriend so I wasn’t crying to myself and keeping it to myself. He understood and stayed awake with me. Now fast forward to today I’m 2 hours in to my low and I feel it starting to creep up again. I guess I just wanted to know if this happens to anyone else ? I’ve had it happen here and there and I lose hope over it ( not to sound dramatic ). I’m just so done with eating and drinking so much. I’m nauseas at the thought of it haha. 
And I wanna say when I say low I mean 50-low 40s. So the worst of the worst. 
Sorry this post was all over the place.</t>
        </is>
      </c>
      <c r="D9069" t="n">
        <v>2</v>
      </c>
      <c r="E9069" t="n">
        <v>38</v>
      </c>
      <c r="F9069">
        <f>HYPERLINK("https://www.reddit.com/r/diabetes/comments/g5ruf2/im_just_making_this_post_to_see_if_im_not_alone/")</f>
        <v/>
      </c>
      <c r="G9069" t="inlineStr">
        <is>
          <t>2020-04-21 18:11:36</t>
        </is>
      </c>
      <c r="H9069" t="inlineStr">
        <is>
          <t>Type 1</t>
        </is>
      </c>
    </row>
    <row r="9070">
      <c r="A9070" t="inlineStr">
        <is>
          <t>g5tldn</t>
        </is>
      </c>
      <c r="B9070" t="inlineStr">
        <is>
          <t>Best foot massager?</t>
        </is>
      </c>
      <c r="C9070" t="inlineStr">
        <is>
          <t>Looking for something that I can just stick my feet in that massages then.
Any recommendations?</t>
        </is>
      </c>
      <c r="D9070" t="n">
        <v>1</v>
      </c>
      <c r="E9070" t="n">
        <v>0</v>
      </c>
      <c r="F9070">
        <f>HYPERLINK("https://www.reddit.com/r/diabetes/comments/g5tldn/best_foot_massager/")</f>
        <v/>
      </c>
      <c r="G9070" t="inlineStr">
        <is>
          <t>2020-04-21 20:12:28</t>
        </is>
      </c>
      <c r="H9070" t="inlineStr">
        <is>
          <t>Type 1.5/LADA</t>
        </is>
      </c>
    </row>
    <row r="9071">
      <c r="A9071" t="inlineStr">
        <is>
          <t>g5totk</t>
        </is>
      </c>
      <c r="B9071" t="inlineStr">
        <is>
          <t>INPEN OR NAH</t>
        </is>
      </c>
      <c r="C9071" t="inlineStr">
        <is>
          <t>Hello all!! 
I have been on a pump for about half of my diagnosed life (about 4 years total). When first diagnosed, I used regular old pens. Then I used a tslim, then pens...CGMs came out and I could finally get a closed loop system (Medtronic 670G w guardian CGM). My interest now lies with the INPEN system. I love having CGM options, so that’s perfect. But I’m getting weary of tubing as of late, and the risk of sites being ripped out/pump drops/general entanglements with my two small kids.
Can anyone give me insight or advice on which therapy worked for them? I know that no matter what I choose there are pros and cons!!!
Thanks so much for any help!!! :)</t>
        </is>
      </c>
      <c r="D9071" t="n">
        <v>1</v>
      </c>
      <c r="E9071" t="n">
        <v>4</v>
      </c>
      <c r="F9071">
        <f>HYPERLINK("https://www.reddit.com/r/diabetes/comments/g5totk/inpen_or_nah/")</f>
        <v/>
      </c>
      <c r="G9071" t="inlineStr">
        <is>
          <t>2020-04-21 20:19:30</t>
        </is>
      </c>
      <c r="H9071" t="inlineStr">
        <is>
          <t>Type 1</t>
        </is>
      </c>
    </row>
    <row r="9072">
      <c r="A9072" t="inlineStr">
        <is>
          <t>g5upi7</t>
        </is>
      </c>
      <c r="B9072" t="inlineStr">
        <is>
          <t>Glucose testing kit that has Bluetooth connectivity. Need advice please ( that works in Australia )</t>
        </is>
      </c>
      <c r="C9072" t="inlineStr">
        <is>
          <t>I stress that works in Australia because the new Onetouch Vario Flex device that i just got for that reason, is region blocked on the playstore and therefore doesnt allow Bluetooth connectivity to my phone.
&amp;amp;#x200B;
Thanks</t>
        </is>
      </c>
      <c r="D9072" t="n">
        <v>1</v>
      </c>
      <c r="E9072" t="n">
        <v>5</v>
      </c>
      <c r="F9072">
        <f>HYPERLINK("https://www.reddit.com/r/diabetes/comments/g5upi7/glucose_testing_kit_that_has_bluetooth/")</f>
        <v/>
      </c>
      <c r="G9072" t="inlineStr">
        <is>
          <t>2020-04-21 21:34:52</t>
        </is>
      </c>
      <c r="H9072" t="inlineStr">
        <is>
          <t>Type 2</t>
        </is>
      </c>
    </row>
    <row r="9073">
      <c r="A9073" t="inlineStr">
        <is>
          <t>g5uy0u</t>
        </is>
      </c>
      <c r="B9073" t="inlineStr">
        <is>
          <t>Does it ever get better?</t>
        </is>
      </c>
      <c r="C9073" t="inlineStr">
        <is>
          <t>So I was diagnosed when I was 15 and I’m 23 now. Honestly since I was diagnosed I’ve had at least one breakdown a month about living this way and just, does it ever stop?</t>
        </is>
      </c>
      <c r="D9073" t="n">
        <v>1</v>
      </c>
      <c r="E9073" t="n">
        <v>11</v>
      </c>
      <c r="F9073">
        <f>HYPERLINK("https://www.reddit.com/r/diabetes/comments/g5uy0u/does_it_ever_get_better/")</f>
        <v/>
      </c>
      <c r="G9073" t="inlineStr">
        <is>
          <t>2020-04-21 21:53:45</t>
        </is>
      </c>
      <c r="H9073" t="inlineStr">
        <is>
          <t>Type 1</t>
        </is>
      </c>
    </row>
    <row r="9074">
      <c r="A9074" t="inlineStr">
        <is>
          <t>g5uysr</t>
        </is>
      </c>
      <c r="B9074" t="inlineStr">
        <is>
          <t>overdose</t>
        </is>
      </c>
      <c r="C9074" t="inlineStr">
        <is>
          <t>If I were to inject 70 units or fast acting insulin would I be conscious enough to even understand what’s happening? Or would I just go into a coma and that would be that.</t>
        </is>
      </c>
      <c r="D9074" t="n">
        <v>1</v>
      </c>
      <c r="E9074" t="n">
        <v>5</v>
      </c>
      <c r="F9074">
        <f>HYPERLINK("https://www.reddit.com/r/diabetes/comments/g5uysr/overdose/")</f>
        <v/>
      </c>
      <c r="G9074" t="inlineStr">
        <is>
          <t>2020-04-21 21:55:31</t>
        </is>
      </c>
      <c r="H9074" t="inlineStr">
        <is>
          <t>Type 1</t>
        </is>
      </c>
    </row>
    <row r="9075">
      <c r="A9075" t="inlineStr">
        <is>
          <t>g61mkt</t>
        </is>
      </c>
      <c r="B9075" t="inlineStr">
        <is>
          <t>Hi! New Type 1 member!</t>
        </is>
      </c>
      <c r="C9075" t="inlineStr">
        <is>
          <t>Hello everyone! Hope everyone's okay today. I just joined today. I've been type 1 insulin dependent since I was 10 so I've had it for 16 years now.. wow it's crazy when you type it out. I never realized how long it has been. I take admelog and lantus. I'm running out of lantus and am in between doctors right now so it's been hard keeping up with my prescriptions. Also I take care of my left and all this covid19 stuff is really taking a toll on me. Well anyways. Anyone feel free to message me if anyone would wanna talk. I love all you guys. We are truly warriors for our disease, and having to do this everyday.. ❤❤❤</t>
        </is>
      </c>
      <c r="D9075" t="n">
        <v>1</v>
      </c>
      <c r="E9075" t="n">
        <v>28</v>
      </c>
      <c r="F9075">
        <f>HYPERLINK("https://www.reddit.com/r/diabetes/comments/g61mkt/hi_new_type_1_member/")</f>
        <v/>
      </c>
      <c r="G9075" t="inlineStr">
        <is>
          <t>2020-04-22 07:01:30</t>
        </is>
      </c>
      <c r="H9075" t="inlineStr">
        <is>
          <t>Type 1</t>
        </is>
      </c>
    </row>
    <row r="9076">
      <c r="A9076" t="inlineStr">
        <is>
          <t>g62g92</t>
        </is>
      </c>
      <c r="B9076" t="inlineStr">
        <is>
          <t>9 month old had DKA and diagnosed with Type 1</t>
        </is>
      </c>
      <c r="C9076" t="inlineStr">
        <is>
          <t>Hi everyone, I am the father of a Type 1 infant. Mamma took him in to the ER on the 7th and was diagnosed with DKA. The doctors were all shocked that a child this young has this condition. He is but nine months old. We are a healthy family. He is a healthy baby. He had a ear infection that could’ve triggered this. He was so dehydrated they could not find a vein and so they had to drill a hole in his right shin so they can place the IV. We are using the Accu Chek that syncs to our iPhones over Bluetooth using the Accu Chek app so we are happy with that. The endocrinologist said we should get a Dexcom and we initiated the process until I noticed one of their videos said they are approved for two years and older. I sent them an email asking them if the Dexcom was approved by the FDA for infants nine months old and they never responded. We have been pricking him in the fingertips and the toes. His injections go either in his thighs or his butt. We have been counting his carbohydrates and limiting him to 15 g per meal but he still nurses so we don’t know how much breastmilk he is getting. If you have any tips or tricks on managing diabetes for young children and how to help them have a semi-normal life I am all ears.</t>
        </is>
      </c>
      <c r="D9076" t="n">
        <v>16</v>
      </c>
      <c r="E9076" t="n">
        <v>69</v>
      </c>
      <c r="F9076">
        <f>HYPERLINK("https://www.reddit.com/r/diabetes/comments/g62g92/9_month_old_had_dka_and_diagnosed_with_type_1/")</f>
        <v/>
      </c>
      <c r="G9076" t="inlineStr">
        <is>
          <t>2020-04-22 07:50:05</t>
        </is>
      </c>
      <c r="H9076" t="inlineStr">
        <is>
          <t>Type 1</t>
        </is>
      </c>
    </row>
    <row r="9077">
      <c r="A9077" t="inlineStr">
        <is>
          <t>g6c7qo</t>
        </is>
      </c>
      <c r="B9077" t="inlineStr">
        <is>
          <t>Any other T1 Diabetic’s here with Addison’s Disease?</t>
        </is>
      </c>
      <c r="C9077" t="inlineStr">
        <is>
          <t>Hey all, 
I’m just wondering how many other Diabetic’s out their have adrenal insufficiencies?</t>
        </is>
      </c>
      <c r="D9077" t="n">
        <v>1</v>
      </c>
      <c r="E9077" t="n">
        <v>2</v>
      </c>
      <c r="F9077">
        <f>HYPERLINK("https://www.reddit.com/r/diabetes/comments/g6c7qo/any_other_t1_diabetics_here_with_addisons_disease/")</f>
        <v/>
      </c>
      <c r="G9077" t="inlineStr">
        <is>
          <t>2020-04-22 16:47:04</t>
        </is>
      </c>
      <c r="H9077" t="inlineStr">
        <is>
          <t>Type 1</t>
        </is>
      </c>
    </row>
    <row r="9078">
      <c r="A9078" t="inlineStr">
        <is>
          <t>g6cboo</t>
        </is>
      </c>
      <c r="B9078" t="inlineStr">
        <is>
          <t>Freestyle Libre users - I have an unusual question...</t>
        </is>
      </c>
      <c r="C9078" t="inlineStr">
        <is>
          <t>So I've been using this for about 2 years and its only just occurred to me that I could ask other people on Reddit about this.
Does anyones skin or hair get bleached where the sensor is?
If you're light skinned you probably wouldn't have/wont notice it unless you have darker hair there.
As a brown person I noticed it after about the third sensor I had. 
Wherever the sensor is - on either arm (as I rotate) I get a white patch in the shape of the sensor adhesive and along with that the hairs that were under the sensor turn blonde.
I reached out to Abbots about it sometime last year - as they're fantastic at replacing things if they don't work properly (probably because they could get in a LOT of trouble otherwise), but they'd never heard of the issue before and were slightly perplexed by it.
The suggested I stop using it, but as its just cosmetic and its much better than pricking your finger 10 times a day, every day for the rest of your life I decided against that.
My Diabetic consultant and Diabetic nurse have never heard of it either.
The bleaching is a double edged sword though... on the one hand there are patches of skin on my arms where I'm whiter than a Scottish person who has been in COVID lockdown for 2 months, but on the other hand it lets me (very vividly) see where previous sensors have been placed so that I can avoid putting the new one in exactly the same spot.
I'm assuming it has something to do with the type of adhesive they use on the sensors - as it covers the whole spot.
I'd like to know if it affects anyone else this way though.</t>
        </is>
      </c>
      <c r="D9078" t="n">
        <v>1</v>
      </c>
      <c r="E9078" t="n">
        <v>13</v>
      </c>
      <c r="F9078">
        <f>HYPERLINK("https://www.reddit.com/r/diabetes/comments/g6cboo/freestyle_libre_users_i_have_an_unusual_question/")</f>
        <v/>
      </c>
      <c r="G9078" t="inlineStr">
        <is>
          <t>2020-04-22 16:53:29</t>
        </is>
      </c>
      <c r="H9078" t="inlineStr">
        <is>
          <t>Type 1</t>
        </is>
      </c>
    </row>
    <row r="9079">
      <c r="A9079" t="inlineStr">
        <is>
          <t>g6dqfo</t>
        </is>
      </c>
      <c r="B9079" t="inlineStr">
        <is>
          <t>Questions About Novolin N</t>
        </is>
      </c>
      <c r="C9079" t="inlineStr">
        <is>
          <t>Hey there, hope you all are staying safe. 
I have a question regarding Novolin N, I have been using Novolin R for about a year now however when I went to go buy some today at Walmart they had said they didn’t have any more and offered me Novolin N instead which I bought instead. I’d love if you guys could offer any advice or recommendations to using this different type. Thanks!</t>
        </is>
      </c>
      <c r="D9079" t="n">
        <v>1</v>
      </c>
      <c r="E9079" t="n">
        <v>3</v>
      </c>
      <c r="F9079">
        <f>HYPERLINK("https://www.reddit.com/r/diabetes/comments/g6dqfo/questions_about_novolin_n/")</f>
        <v/>
      </c>
      <c r="G9079" t="inlineStr">
        <is>
          <t>2020-04-22 18:25:27</t>
        </is>
      </c>
      <c r="H9079" t="inlineStr">
        <is>
          <t>Type 1</t>
        </is>
      </c>
    </row>
    <row r="9080">
      <c r="A9080" t="inlineStr">
        <is>
          <t>g6gwas</t>
        </is>
      </c>
      <c r="B9080" t="inlineStr">
        <is>
          <t>LADA Newcomer</t>
        </is>
      </c>
      <c r="C9080" t="inlineStr">
        <is>
          <t>Hi everyone,
23-year-old female just diagnosed with type 1.5 in January. Was “honeymooning” in the diabetic sense for the past few months as my levels were okay enough without the insulin, but this week my sugars started spiking. Just put the Dexcom G6 on tonight and had a good cry. It’s hard getting used to it being a part of my body now, and I start some insulin in the next two weeks. Scared for the huge responsibility that comes with complete insulin dependence and I’m very thankful for this community, because I honestly have no idea what to expect. Very helpful especially in setting up my Dexcom tonight. Definitely feeling some body insecurity and overall sadness with this change. Thankful I’ve had 23 years of life without T1, and at the same time, change is difficult.</t>
        </is>
      </c>
      <c r="D9080" t="n">
        <v>1</v>
      </c>
      <c r="E9080" t="n">
        <v>2</v>
      </c>
      <c r="F9080">
        <f>HYPERLINK("https://www.reddit.com/r/diabetes/comments/g6gwas/lada_newcomer/")</f>
        <v/>
      </c>
      <c r="G9080" t="inlineStr">
        <is>
          <t>2020-04-22 22:20:38</t>
        </is>
      </c>
      <c r="H9080" t="inlineStr">
        <is>
          <t>Type 1.5/LADA</t>
        </is>
      </c>
    </row>
    <row r="9081">
      <c r="A9081" t="inlineStr">
        <is>
          <t>g6hqd8</t>
        </is>
      </c>
      <c r="B9081" t="inlineStr">
        <is>
          <t>My soon to be wife just got diagnosed with type 2</t>
        </is>
      </c>
      <c r="C9081" t="inlineStr">
        <is>
          <t>She's pretty devastated, and understandably so. We are going through what needs to change in our lives and the like.  Diet, starting to set aside time in the day for exercise. 
She goes to see a specialist in a couple weeks and she has plenty of questions for them.
We are a little lost in the area of monitoring devices, does anyone have some tips on any good products or review sites? She is after something she can link to her phone and monitor herself via app.</t>
        </is>
      </c>
      <c r="D9081" t="n">
        <v>1</v>
      </c>
      <c r="E9081" t="n">
        <v>4</v>
      </c>
      <c r="F9081">
        <f>HYPERLINK("https://www.reddit.com/r/diabetes/comments/g6hqd8/my_soon_to_be_wife_just_got_diagnosed_with_type_2/")</f>
        <v/>
      </c>
      <c r="G9081" t="inlineStr">
        <is>
          <t>2020-04-22 23:34:20</t>
        </is>
      </c>
      <c r="H9081" t="inlineStr">
        <is>
          <t>Type 2</t>
        </is>
      </c>
    </row>
    <row r="9082">
      <c r="A9082" t="inlineStr">
        <is>
          <t>g6j9se</t>
        </is>
      </c>
      <c r="B9082" t="inlineStr">
        <is>
          <t>Today I had a diabetes related seizure</t>
        </is>
      </c>
      <c r="C9082" t="inlineStr">
        <is>
          <t>I’m laying in bed scared to go to sleep right now. Today I had my first low blood sugar seizure and it was the scariest thing I’ve experienced. I was conscious the entire time, but it’s all so blurry. Moments leading up to the seizure I kept jumping. Like when someone walks in your room and says BOO! And your whole body jumps? I kept checking behind me thinking someone had like my aunt or cousin had walked in. I knew my sugar was low, but I was leisurely drinking my soda and didn’t think much of it, I was low often and this has never happened to me. I stood up and somehow made it across the room and sat on the bend before I fell back and started shaking. Lows have never scared me until now. I was diagnosed when I was 10 and am now 18. I feel so shaken up right now. I don’t know what to think. I guess lesson learned..</t>
        </is>
      </c>
      <c r="D9082" t="n">
        <v>1</v>
      </c>
      <c r="E9082" t="n">
        <v>4</v>
      </c>
      <c r="F9082">
        <f>HYPERLINK("https://www.reddit.com/r/diabetes/comments/g6j9se/today_i_had_a_diabetes_related_seizure/")</f>
        <v/>
      </c>
      <c r="G9082" t="inlineStr">
        <is>
          <t>2020-04-23 01:56:23</t>
        </is>
      </c>
      <c r="H9082" t="inlineStr">
        <is>
          <t>Type 1</t>
        </is>
      </c>
    </row>
    <row r="9083">
      <c r="A9083" t="inlineStr">
        <is>
          <t>g6kgcw</t>
        </is>
      </c>
      <c r="B9083" t="inlineStr">
        <is>
          <t>Tandem X2 &amp;amp; Dexcom, or Medtronic 670G?</t>
        </is>
      </c>
      <c r="C9083" t="inlineStr">
        <is>
          <t>A little over a year ago, I switched from the T:Slim to the Medtronic 670G, and since then, I have come to loathe the damn thing and all the notifications and alarms (and notifications that turn into alarms 🤬). 
I loved my T:Slim, and I only went with the 670G (instead of the X2), because of the closed loop system. I really don't give a crap about the CLS since it doesn't work for me very well.
Because the Dexcom doesn't require calibration, I'm inclined to think that it at least has that many fewer notifications. Am I wrong?
I realize that having a CGM integrated pump is going to have a lot more alarms than one without, but I would REALLY love to just be able to have 8-10 hours of sleep in peace. Not to mention, this damn thing wakes up everyone else in the house. Would I experience the same thing with the X2/DC6?
I would love to hear from anyone who has used both systems; what do you think, which one are/were you less tempted to violently throw through the nearest wall?
[View Poll](https://www.reddit.com/poll/g6kgcw)</t>
        </is>
      </c>
      <c r="D9083" t="n">
        <v>1</v>
      </c>
      <c r="E9083" t="n">
        <v>6</v>
      </c>
      <c r="F9083">
        <f>HYPERLINK("https://www.reddit.com/r/diabetes/comments/g6kgcw/tandem_x2_dexcom_or_medtronic_670g/")</f>
        <v/>
      </c>
      <c r="G9083" t="inlineStr">
        <is>
          <t>2020-04-23 03:44:15</t>
        </is>
      </c>
      <c r="H9083" t="inlineStr">
        <is>
          <t>Type 1</t>
        </is>
      </c>
    </row>
    <row r="9084">
      <c r="A9084" t="inlineStr">
        <is>
          <t>g6mmyd</t>
        </is>
      </c>
      <c r="B9084" t="inlineStr">
        <is>
          <t>A1C down! Wanted to share my excitement</t>
        </is>
      </c>
      <c r="C9084" t="inlineStr">
        <is>
          <t>Hi all,
I was diagnosed with diabetes back in January with an A1C of 11.5 and a fasting glucose measurement of 13.3. I was put on metformin and immediately took steps to reduce my sugar intake; I quit soda and juice cold turkey and reduced the amount of processed foods I was eating. In the last three months, I’ve lost almost 25 pounds, and I’ve been feeling a lot better (I didn’t realize until after the fact how sick I was feeling before my diagnosis).
Last week I went in for my 3 month blood work. My A1C is down to 6.0! And my fasting glucose was 6.2. I’ve worked really hard to get here and I’m happy it has paid off. Now is a matter of maintaining! 
I am still waiting on the results of an anti-GAD antibodies test to 100% confirm type 2; I have a family history of autoimmune disease, and my biological grandfather died at 24 of complications due to undiagnosed diabetes, likely type 1. But so far, I am responding to metformin and lifestyle changes so all I can do is take things one day at a time.</t>
        </is>
      </c>
      <c r="D9084" t="n">
        <v>1</v>
      </c>
      <c r="E9084" t="n">
        <v>21</v>
      </c>
      <c r="F9084">
        <f>HYPERLINK("https://www.reddit.com/r/diabetes/comments/g6mmyd/a1c_down_wanted_to_share_my_excitement/")</f>
        <v/>
      </c>
      <c r="G9084" t="inlineStr">
        <is>
          <t>2020-04-23 06:28:59</t>
        </is>
      </c>
      <c r="H9084" t="inlineStr">
        <is>
          <t>Type 2</t>
        </is>
      </c>
    </row>
    <row r="9085">
      <c r="A9085" t="inlineStr">
        <is>
          <t>g6pxn1</t>
        </is>
      </c>
      <c r="B9085" t="inlineStr">
        <is>
          <t>Apps</t>
        </is>
      </c>
      <c r="C9085" t="inlineStr">
        <is>
          <t>Hi kids.  I need/want an app that will count calories (like myfitnesspal) but also allow me to input my blood sugar levels with time stamps.  I've been researching a couple of hours and I've found a ton of garbage apps.  What are you using to count calories AND monitor your blood sugar?</t>
        </is>
      </c>
      <c r="D9085" t="n">
        <v>1</v>
      </c>
      <c r="E9085" t="n">
        <v>3</v>
      </c>
      <c r="F9085">
        <f>HYPERLINK("https://www.reddit.com/r/diabetes/comments/g6pxn1/apps/")</f>
        <v/>
      </c>
      <c r="G9085" t="inlineStr">
        <is>
          <t>2020-04-23 09:36:55</t>
        </is>
      </c>
      <c r="H9085" t="inlineStr">
        <is>
          <t>Type 2</t>
        </is>
      </c>
    </row>
    <row r="9086">
      <c r="A9086" t="inlineStr">
        <is>
          <t>g6qsqe</t>
        </is>
      </c>
      <c r="B9086" t="inlineStr">
        <is>
          <t>Newly Wed to Type 1 - Need Advice</t>
        </is>
      </c>
      <c r="C9086" t="inlineStr">
        <is>
          <t>My husband was diagnosed Type 1 as a teenager, nearly 20 years. Since then he's been through the ringer with poverty, a previous failed marriage, and single parenthood to 3 great kids. Needless to say, he's always put himself and his health last. His A1C came back at 11.7 and a urine sample indicated early signs of kidney failure. His doctor said he has polyneurapothy (sp?).  I've always seen him take his insulin and check bloodsugars but he's obviously not managing it well. He is getting on the pump and a continuous glucose monitor which I'm hoping will help. 
He's only 35 and he's so used to not having anything that he's pretty much survived to this point, and now that he has the means I think he feels guilty spending money on the things he needs.  So tell me what type of things I can get him or do to help! I know he needs good shoes (brands?) and socks and better snacks and to measure portions when he eats but I have no idea where to start. I would appreciate any suggestions or resources that might be helpful. Dude doesn't get to marry me then not take care of himself 😂😭</t>
        </is>
      </c>
      <c r="D9086" t="n">
        <v>1</v>
      </c>
      <c r="E9086" t="n">
        <v>4</v>
      </c>
      <c r="F9086">
        <f>HYPERLINK("https://www.reddit.com/r/diabetes/comments/g6qsqe/newly_wed_to_type_1_need_advice/")</f>
        <v/>
      </c>
      <c r="G9086" t="inlineStr">
        <is>
          <t>2020-04-23 10:23:39</t>
        </is>
      </c>
      <c r="H9086" t="inlineStr">
        <is>
          <t>Type 1</t>
        </is>
      </c>
    </row>
    <row r="9087">
      <c r="A9087" t="inlineStr">
        <is>
          <t>g6s4ma</t>
        </is>
      </c>
      <c r="B9087" t="inlineStr">
        <is>
          <t>Glucose levels drop after eating</t>
        </is>
      </c>
      <c r="C9087" t="inlineStr">
        <is>
          <t>So yesterday was an odd one, I had a meal of philly cheese steak stuffed peppers for dinner. It was olive oil, salt, pepper, rib eye meat, cheese, onions, garlic, mushrooms, and bell peppers. Before eating I checked myself and I was at 118 mg/dL. 2 hours later I checked myself and my glucose level was at 87, I thought maybe it was wrong so I checked again. This time it was 80 mg/dL. So just to make sure I wasn’t seeing things, I checked on my second meter, which i use just for these situations, and it read 85 mg/dL.
Has anyone else ever had a situation like this?
I take .5 mgs of Ozempic every Monday morning and all my previous readings were about the same as usual.</t>
        </is>
      </c>
      <c r="D9087" t="n">
        <v>1</v>
      </c>
      <c r="E9087" t="n">
        <v>2</v>
      </c>
      <c r="F9087">
        <f>HYPERLINK("https://www.reddit.com/r/diabetes/comments/g6s4ma/glucose_levels_drop_after_eating/")</f>
        <v/>
      </c>
      <c r="G9087" t="inlineStr">
        <is>
          <t>2020-04-23 11:35:53</t>
        </is>
      </c>
      <c r="H9087" t="inlineStr">
        <is>
          <t>Type 2</t>
        </is>
      </c>
    </row>
    <row r="9088">
      <c r="A9088" t="inlineStr">
        <is>
          <t>g6suq1</t>
        </is>
      </c>
      <c r="B9088" t="inlineStr">
        <is>
          <t>Going low while sleeping</t>
        </is>
      </c>
      <c r="C9088" t="inlineStr">
        <is>
          <t>I’ve been T1 for about 6 months, and since I’ve been diagnosed I’ve consistently had the problem of going low while sleeping. 
I’m currently using Tresiba (give in the morning) which has been better than Lantus, but usually around 1-3 in the morning I’ll go low for about half an hour (I’m using Libre so I don’t get any alarms and just sleep through it). 
I know the solution to this would be to decrease basal, but I’m only on 5 units and based off my blood sugars during the day, I think I need more, but I can’t go that cause I’ll go even lower at night. 
Any tips? I try to eat snacks before bed (10-15g carbs with almond butter or nuts) but I HATE eating right before I sleep. When I eat snacks I usually stay steady in the high 4mmol/L, but sometimes I still go low 🤷🏻‍♀️🤷🏻‍♀️. 
It’s really annoying because I KNOW I need more basal during the day but I can’t do anything about it!!!!!!!</t>
        </is>
      </c>
      <c r="D9088" t="n">
        <v>1</v>
      </c>
      <c r="E9088" t="n">
        <v>11</v>
      </c>
      <c r="F9088">
        <f>HYPERLINK("https://www.reddit.com/r/diabetes/comments/g6suq1/going_low_while_sleeping/")</f>
        <v/>
      </c>
      <c r="G9088" t="inlineStr">
        <is>
          <t>2020-04-23 12:14:10</t>
        </is>
      </c>
      <c r="H9088" t="inlineStr">
        <is>
          <t>Type 1</t>
        </is>
      </c>
    </row>
    <row r="9089">
      <c r="A9089" t="inlineStr">
        <is>
          <t>g6t6e6</t>
        </is>
      </c>
      <c r="B9089" t="inlineStr">
        <is>
          <t>Question about getting winded really fast</t>
        </is>
      </c>
      <c r="C9089" t="inlineStr">
        <is>
          <t>Ok so as the title says Im worried about how fast I get winded or tired during physical activities.  Im 
34 years old 
Male
138lbs
5’ 9”
Im no athlete by any means but also not a couch potato.  Any physical tasks I perform I get tired like instantly it’s been going on for about a year but one example is I carried a ten pound box about 60 yards yesterday and had to sit down before coming back, Im concerned it could be something with my heart Ive been type 1 since I was 7 but all my blood work always comes back good the only thing I take is 5mg lipitore because my blood pressure used to always be border line.  Any information or ideas would be very appreciated thank you</t>
        </is>
      </c>
      <c r="D9089" t="n">
        <v>1</v>
      </c>
      <c r="E9089" t="n">
        <v>4</v>
      </c>
      <c r="F9089">
        <f>HYPERLINK("https://www.reddit.com/r/diabetes/comments/g6t6e6/question_about_getting_winded_really_fast/")</f>
        <v/>
      </c>
      <c r="G9089" t="inlineStr">
        <is>
          <t>2020-04-23 12:31:16</t>
        </is>
      </c>
      <c r="H9089" t="inlineStr">
        <is>
          <t>Type 1</t>
        </is>
      </c>
    </row>
    <row r="9090">
      <c r="A9090" t="inlineStr">
        <is>
          <t>g6wikw</t>
        </is>
      </c>
      <c r="B9090" t="inlineStr">
        <is>
          <t>Basal Rate Settings Over Time</t>
        </is>
      </c>
      <c r="C9090" t="inlineStr">
        <is>
          <t>Hey Guys,
I have pretty much run on the same basal rate for the past 10 years. I deviate from it slightly in the mornings by increasing it slightly from 4am to 8am during workdays. But, I have to say that since working from home more with Covid, I have been exercising each day and lost a modest 5-6 pounds. (25 more to go lol)
Here's the thing. I am going low fairly frequently in the afternoons and mostly at night. Last night I set a temp rate of 70% of my normal rate and I  slept through the night with no alarms and had a good number in the morning.
I am thinking of lowering my basal rate for good to around 75% of what it was.
Do you guys monkey around with your rates?
Have you had times in your life where you either had to increase or decrease it?
I feel like a dinosaur by mostly keeping to the same rate with tweaks being setting temp rates for a period of time or stopping delivery.
Take Care</t>
        </is>
      </c>
      <c r="D9090" t="n">
        <v>1</v>
      </c>
      <c r="E9090" t="n">
        <v>2</v>
      </c>
      <c r="F9090">
        <f>HYPERLINK("https://www.reddit.com/r/diabetes/comments/g6wikw/basal_rate_settings_over_time/")</f>
        <v/>
      </c>
      <c r="G9090" t="inlineStr">
        <is>
          <t>2020-04-23 15:33:41</t>
        </is>
      </c>
      <c r="H9090" t="inlineStr">
        <is>
          <t>Type 1</t>
        </is>
      </c>
    </row>
    <row r="9091">
      <c r="A9091" t="inlineStr">
        <is>
          <t>g6wl33</t>
        </is>
      </c>
      <c r="B9091" t="inlineStr">
        <is>
          <t>Thank you to this community</t>
        </is>
      </c>
      <c r="C9091" t="inlineStr">
        <is>
          <t>Just wanted to express my thanks to all of you. I posted here about a year ago after I started dating my girlfriend, who has type 1, looking for ways to better support her. I again posted here a month ago after I witnessed my first hypoglycemic seizure. 
With information and support from some of you here, I was able to have an informed conversation with her regarding getting a CGM. It was a tough conversation as she was very resistant, but I was persistent and offered support in whatever way possible to get her to agree. 
She was approved by her insurer and as of today, is now sporting a Dexcom. I’ve downloaded the app and will receive alerts. 
I screamed in excitement when I received the video of her showing me her Dexcom (in her own perfect way, she sent me a text asking me if i wanted to see something sexy, then sent me a video teasing that she was going to flash me but it panned down to her CGM instead 😂)
Here’s the original post: https://reddit.app.link/6pHTkq3IV5
Thank you all again, for the support and kindness you’ve shown me, and to others. Now my girlfriend will be safer because you gave me the motivation to be incessantly persistent with her about getting a CGM. I will also have more peace of mind. This is a wonderful community. Thank you, thank you, thank you.</t>
        </is>
      </c>
      <c r="D9091" t="n">
        <v>1</v>
      </c>
      <c r="E9091" t="n">
        <v>4</v>
      </c>
      <c r="F9091">
        <f>HYPERLINK("https://www.reddit.com/r/diabetes/comments/g6wl33/thank_you_to_this_community/")</f>
        <v/>
      </c>
      <c r="G9091" t="inlineStr">
        <is>
          <t>2020-04-23 15:37:47</t>
        </is>
      </c>
      <c r="H9091" t="inlineStr">
        <is>
          <t>Type 1</t>
        </is>
      </c>
    </row>
    <row r="9092">
      <c r="A9092" t="inlineStr">
        <is>
          <t>g6wtmx</t>
        </is>
      </c>
      <c r="B9092" t="inlineStr">
        <is>
          <t>Glucose shots to 190 with Coke Zero</t>
        </is>
      </c>
      <c r="C9092" t="inlineStr">
        <is>
          <t>I drank an 8oz Come Zero and.glucose shot up to 190. It was 120 before hand.  
Is this a thing??</t>
        </is>
      </c>
      <c r="D9092" t="n">
        <v>1</v>
      </c>
      <c r="E9092" t="n">
        <v>9</v>
      </c>
      <c r="F9092">
        <f>HYPERLINK("https://www.reddit.com/r/diabetes/comments/g6wtmx/glucose_shots_to_190_with_coke_zero/")</f>
        <v/>
      </c>
      <c r="G9092" t="inlineStr">
        <is>
          <t>2020-04-23 15:51:52</t>
        </is>
      </c>
      <c r="H9092" t="inlineStr">
        <is>
          <t>Type 2</t>
        </is>
      </c>
    </row>
    <row r="9093">
      <c r="A9093" t="inlineStr">
        <is>
          <t>g6xztd</t>
        </is>
      </c>
      <c r="B9093" t="inlineStr">
        <is>
          <t>Advice for me</t>
        </is>
      </c>
      <c r="C9093" t="inlineStr">
        <is>
          <t>I just got diagnosed with T1D in March and I am think of get a insulin pump because I play sports. I was going to get the omnipod (probably spelt it wrong) and wanted to know if I should. I am on 2 insulin’s 4 types a day (Toronto and NPH ) when I was diagnosed. I was in hospital for a week. When they checked my sugars they were 40. My sugars are terrible and always going up and down any tips.</t>
        </is>
      </c>
      <c r="D9093" t="n">
        <v>1</v>
      </c>
      <c r="E9093" t="n">
        <v>11</v>
      </c>
      <c r="F9093">
        <f>HYPERLINK("https://www.reddit.com/r/diabetes/comments/g6xztd/advice_for_me/")</f>
        <v/>
      </c>
      <c r="G9093" t="inlineStr">
        <is>
          <t>2020-04-23 17:01:14</t>
        </is>
      </c>
      <c r="H9093" t="inlineStr">
        <is>
          <t>Type 1</t>
        </is>
      </c>
    </row>
    <row r="9094">
      <c r="A9094" t="inlineStr">
        <is>
          <t>g6y5tl</t>
        </is>
      </c>
      <c r="B9094" t="inlineStr">
        <is>
          <t>Working out with diabetes</t>
        </is>
      </c>
      <c r="C9094" t="inlineStr">
        <is>
          <t>Hello Guys
I am diabetic type 1 for about 10 years now. I am also sporting enthusiastic. I always loved to test and experiment on myself until I managed to find out what works for me to keep my blood sugars within good ranges.
I have created a video on my youtube channel about how to control blood sugars levels within normal ranges when exercising as diabetic type 1.
I thought some of you guys may find it useful.
Good luck!</t>
        </is>
      </c>
      <c r="D9094" t="n">
        <v>1</v>
      </c>
      <c r="E9094" t="n">
        <v>18</v>
      </c>
      <c r="F9094">
        <f>HYPERLINK("https://www.reddit.com/r/diabetes/comments/g6y5tl/working_out_with_diabetes/")</f>
        <v/>
      </c>
      <c r="G9094" t="inlineStr">
        <is>
          <t>2020-04-23 17:11:16</t>
        </is>
      </c>
      <c r="H9094" t="inlineStr">
        <is>
          <t>Type 1</t>
        </is>
      </c>
    </row>
    <row r="9095">
      <c r="A9095" t="inlineStr">
        <is>
          <t>g6ylhs</t>
        </is>
      </c>
      <c r="B9095" t="inlineStr">
        <is>
          <t>Blood sugar of 600 plus</t>
        </is>
      </c>
      <c r="C9095" t="inlineStr">
        <is>
          <t>I’m exhausted. I’m tired of “fighting” diabetes, I’m tired of “working” with diabetes. Just spent three days in the hospital. Sent me home with NO insulin because who knows? Right now if you are not covid they don’t really seem to care. The system I mean. I know the health care workers care. I had some very sweet ones. 
I had to call my endo for help. Currently I have TWO V-Go 40 units on my arm. 
Yes....this post seems to be a total whine and I’m sorry. But I need to vent. And my family puts up with enough of my health issues as it is. Toast, roast, rant, rave, yell or ignore. I just needed to write this down.</t>
        </is>
      </c>
      <c r="D9095" t="n">
        <v>1</v>
      </c>
      <c r="E9095" t="n">
        <v>20</v>
      </c>
      <c r="F9095">
        <f>HYPERLINK("https://www.reddit.com/r/diabetes/comments/g6ylhs/blood_sugar_of_600_plus/")</f>
        <v/>
      </c>
      <c r="G9095" t="inlineStr">
        <is>
          <t>2020-04-23 17:38:44</t>
        </is>
      </c>
      <c r="H9095" t="inlineStr">
        <is>
          <t>Type 2</t>
        </is>
      </c>
    </row>
    <row r="9096">
      <c r="A9096" t="inlineStr">
        <is>
          <t>g6z6t1</t>
        </is>
      </c>
      <c r="B9096" t="inlineStr">
        <is>
          <t>Does the heart race go away when your blood sugar is low?</t>
        </is>
      </c>
      <c r="C9096" t="inlineStr">
        <is>
          <t>Newly type 1 from back a couple years.    My pancreas just said "nope, no more"
anyway, what symptoms do you guys have when blood sugar is low.   Mine seems weakness and a racing heart.
the struggle is real.   I'm mid 30s and just got diagnosed as type 1.</t>
        </is>
      </c>
      <c r="D9096" t="n">
        <v>1</v>
      </c>
      <c r="E9096" t="n">
        <v>8</v>
      </c>
      <c r="F9096">
        <f>HYPERLINK("https://www.reddit.com/r/diabetes/comments/g6z6t1/does_the_heart_race_go_away_when_your_blood_sugar/")</f>
        <v/>
      </c>
      <c r="G9096" t="inlineStr">
        <is>
          <t>2020-04-23 18:16:49</t>
        </is>
      </c>
      <c r="H9096" t="inlineStr">
        <is>
          <t>Type 1</t>
        </is>
      </c>
    </row>
    <row r="9097">
      <c r="A9097" t="inlineStr">
        <is>
          <t>g711kg</t>
        </is>
      </c>
      <c r="B9097" t="inlineStr">
        <is>
          <t>Lantus to Basaglar?</t>
        </is>
      </c>
      <c r="C9097" t="inlineStr">
        <is>
          <t>Hey, y’all!  I’m a type 1 diabetic and my health insurance recently switched so my endo switched me to Basaglar.  I had previously been using Lantus.  
I was told the dosing is the same, so I haven’t changed my dose, and I dose at 8:45pm every night.  Since the switch, my blood sugar has been dropping around 10:30/11, often going into low territory.  I treat with a juice box or something similar (I don’t overtreat), but then wake up high and typically remain above 200 during the day.
I’m wondering if any of y’all have experienced this?  I’m going to call my endo, and I have an appointment coming up, but wanted to see if the community had any insight. 
Thanks!</t>
        </is>
      </c>
      <c r="D9097" t="n">
        <v>1</v>
      </c>
      <c r="E9097" t="n">
        <v>7</v>
      </c>
      <c r="F9097">
        <f>HYPERLINK("https://www.reddit.com/r/diabetes/comments/g711kg/lantus_to_basaglar/")</f>
        <v/>
      </c>
      <c r="G9097" t="inlineStr">
        <is>
          <t>2020-04-23 20:25:40</t>
        </is>
      </c>
      <c r="H9097" t="inlineStr">
        <is>
          <t>Type 1</t>
        </is>
      </c>
    </row>
    <row r="9098">
      <c r="A9098" t="inlineStr">
        <is>
          <t>g7163k</t>
        </is>
      </c>
      <c r="B9098" t="inlineStr">
        <is>
          <t>I've had type 1 for almost a year now. Do you give yourself more insulin as time goes on?</t>
        </is>
      </c>
      <c r="C9098" t="inlineStr">
        <is>
          <t>I feel like my honeymoon period went by a ways back so I doubled my intake of insulin for meals. Now I find myself a bit higher as of late, and add two more units on top of that. It evened me out to a steady glucose in the 100s, but is it normal to have to adjust your units over a longer period of time? I'd rather use less insulin than more, so is there a way for me physically to lower the amount needed?</t>
        </is>
      </c>
      <c r="D9098" t="n">
        <v>1</v>
      </c>
      <c r="E9098" t="n">
        <v>7</v>
      </c>
      <c r="F9098">
        <f>HYPERLINK("https://www.reddit.com/r/diabetes/comments/g7163k/ive_had_type_1_for_almost_a_year_now_do_you_give/")</f>
        <v/>
      </c>
      <c r="G9098" t="inlineStr">
        <is>
          <t>2020-04-23 20:34:57</t>
        </is>
      </c>
      <c r="H9098" t="inlineStr">
        <is>
          <t>Type 1</t>
        </is>
      </c>
    </row>
    <row r="9099">
      <c r="A9099" t="inlineStr">
        <is>
          <t>g73cyn</t>
        </is>
      </c>
      <c r="B9099" t="inlineStr">
        <is>
          <t>Has anyone experienced what seems to be your body not absorbing carbs properly</t>
        </is>
      </c>
      <c r="C9099" t="inlineStr">
        <is>
          <t>Two nights in a row, normal basal with dinner and rapid for carbs, massive fight with forces trying to make me go low as if the carbs (rice and oats) were zero and/or my basal was rapid.
A few hours after I stabilised I spiked massively.
Took precautions tonight- undershot and its acting as if I havent eaten a thing and pushing low but easier to keep it level.
What the hell?!?</t>
        </is>
      </c>
      <c r="D9099" t="n">
        <v>1</v>
      </c>
      <c r="E9099" t="n">
        <v>12</v>
      </c>
      <c r="F9099">
        <f>HYPERLINK("https://www.reddit.com/r/diabetes/comments/g73cyn/has_anyone_experienced_what_seems_to_be_your_body/")</f>
        <v/>
      </c>
      <c r="G9099" t="inlineStr">
        <is>
          <t>2020-04-23 23:28:52</t>
        </is>
      </c>
      <c r="H9099" t="inlineStr">
        <is>
          <t>Type 1.5/LADA</t>
        </is>
      </c>
    </row>
    <row r="9100">
      <c r="A9100" t="inlineStr">
        <is>
          <t>g77966</t>
        </is>
      </c>
      <c r="B9100" t="inlineStr">
        <is>
          <t>Might be in DKA</t>
        </is>
      </c>
      <c r="C9100" t="inlineStr">
        <is>
          <t>DKA- diabetic ketoacidosis for anyone who doesn't know
For months I haven't been good at looking after my diabetes because of my depression. My diabetic team were aware. Most recently I've been forgetting my basal. (I've missed it for probably about a week now which has led me to running very high when I wake up). The past couple of days I've woken up after having dreams about needing the toilet/ wetting myself and I've been desperate for the loo. And often feel nauseous and incredibly thirsty.
Today I felt nauseous but ate breakfast anyway, had an injection and then threw up multiple times. Went and told my parents and they told me to test my sugars and ketones (surprise I hadn't tested my sugars yet today and also haven't tested ketones in about a month). Turns out my sugars were 29 mmol/L and ketones were 5.1 which is insane. My mum made me down 2 glasses of water (which makes 4 glasses of water so far today) and I'm waiting for a call back from my nurse.
It's really bad I know but I'm not entirely surprised. This was kind of a long time coming and hopefully it will help kick me back into the cycle of actually caring for my diabetes.</t>
        </is>
      </c>
      <c r="D9100" t="n">
        <v>1</v>
      </c>
      <c r="E9100" t="n">
        <v>19</v>
      </c>
      <c r="F9100">
        <f>HYPERLINK("https://www.reddit.com/r/diabetes/comments/g77966/might_be_in_dka/")</f>
        <v/>
      </c>
      <c r="G9100" t="inlineStr">
        <is>
          <t>2020-04-24 05:09:19</t>
        </is>
      </c>
      <c r="H9100" t="inlineStr">
        <is>
          <t>Type 1</t>
        </is>
      </c>
    </row>
    <row r="9101">
      <c r="A9101" t="inlineStr">
        <is>
          <t>g79ej9</t>
        </is>
      </c>
      <c r="B9101" t="inlineStr">
        <is>
          <t>MiniMed 670 G Help.</t>
        </is>
      </c>
      <c r="C9101" t="inlineStr">
        <is>
          <t xml:space="preserve"> Hi.. I am new to reddit and my doctor told me to go on reddit and ask around about this insulin pump.  
This is my first reddit account and I will be using this for diabetes related questions and stuff.  
Again.. very new here. But, I just started this new insulin pump, Minimed 670g.  
And While I know it's supposed to be amazing.. it's the opposite for me. {Excuse the typo's}  
Automode has been heck for me. I was diagnosed with type 1 when I was 12 years old and I am now 26 May 2nd. I have never had so many issues with my diabetes because of this. It's refusing to give me insulin. It's refusing me to help me when I am running / working out. Which isn't long because I am weirdly going high (260 to 300). I guess I am looking for advice. Does medtronic allow exchanges?  
Is anyone here having issues with this pump? What are your thoughts on this pump? I feel alone. All i see are comments online about how amazing it is. I am quite the opposite. Please help and explain your side if you can to me. Thank you so much.</t>
        </is>
      </c>
      <c r="D9101" t="n">
        <v>1</v>
      </c>
      <c r="E9101" t="n">
        <v>5</v>
      </c>
      <c r="F9101">
        <f>HYPERLINK("https://www.reddit.com/r/diabetes/comments/g79ej9/minimed_670_g_help/")</f>
        <v/>
      </c>
      <c r="G9101" t="inlineStr">
        <is>
          <t>2020-04-24 07:32:39</t>
        </is>
      </c>
      <c r="H9101" t="inlineStr">
        <is>
          <t>Type 1</t>
        </is>
      </c>
    </row>
    <row r="9102">
      <c r="A9102" t="inlineStr">
        <is>
          <t>g7aime</t>
        </is>
      </c>
      <c r="B9102" t="inlineStr">
        <is>
          <t>First time checking..</t>
        </is>
      </c>
      <c r="C9102" t="inlineStr">
        <is>
          <t>Hello so my doctor told me to start checking  my glucose levels yesterday  i got my little machine thing ..i did a practice checking after dinner last night and it was at 321 idk if thats bad ...well i woke up like 30 min ago cause my fingers where hurting alot and tingling so i checked it again before eating anything and it was down  to 152 ...so thats good right?   lol</t>
        </is>
      </c>
      <c r="D9102" t="n">
        <v>1</v>
      </c>
      <c r="E9102" t="n">
        <v>5</v>
      </c>
      <c r="F9102">
        <f>HYPERLINK("https://www.reddit.com/r/diabetes/comments/g7aime/first_time_checking/")</f>
        <v/>
      </c>
      <c r="G9102" t="inlineStr">
        <is>
          <t>2020-04-24 08:36:33</t>
        </is>
      </c>
      <c r="H9102" t="inlineStr">
        <is>
          <t>Type 2</t>
        </is>
      </c>
    </row>
    <row r="9103">
      <c r="A9103" t="inlineStr">
        <is>
          <t>g7bmdi</t>
        </is>
      </c>
      <c r="B9103" t="inlineStr">
        <is>
          <t>Type 1.5 needing help with highs and lows.</t>
        </is>
      </c>
      <c r="C9103" t="inlineStr">
        <is>
          <t>Hello all you cool cats and kittens,
I have been lurking at posts for a while and now i could use some advice myself.
I've been diagnosed with type 1.5 diabetes for the past two years. During a physical I had a blood sugar of 200 and then i was tested and had antibodies. I was started on long acting insulin which shot me down everyday when I worked out so I stopped taking that. I can’t deal with the lows everyday. My morning blood sugar is always around 90-120 without insulin. I wear a freestyle libra which seems to be 50 higher then my finger prick but I still use it to gauge a range. I’ve trusted that cgm and ended up bottoming myself out to many times to which now I live in constant fear and developed a panic disorder. I’m a very active person and I probs burn 400 calories at minimum a day. Anytime I give my body the slightest bit of insulin I feel my body change, it literally feels to such I’m on a rollercoaster with a physical up and down motion. Because of this I’ve stopped taking my insulin and just using it for correction dosage. So with that being said, what is a normal high spike for you all? Text book says below 180 after two hours I keep reading. Well today i woke up no insulin blood was 100 and Libra 144. I had two cups of plain greek yogurt a cup of blueberries, raspberries and blackberries and a cup of tea with small splash of milk. my Libra post 2 hours is 234 and blood is 154. If I gave myself even one unit now I know I will bottom out. This is even before I work out. You all are amazing and helped me so much this year without even knowing it. You truly never know how much life can change in a split second. The sleepless nights and tears I’ve had after a low and coming back has destroyed my confidence due to the inconsistency of it all. Hopefully one day it will get better.
Has anyone experienced these highs and lows without insulin?
or anxiety attacks once giving insulin?
Thank you for any advice.</t>
        </is>
      </c>
      <c r="D9103" t="n">
        <v>1</v>
      </c>
      <c r="E9103" t="n">
        <v>3</v>
      </c>
      <c r="F9103">
        <f>HYPERLINK("https://www.reddit.com/r/diabetes/comments/g7bmdi/type_15_needing_help_with_highs_and_lows/")</f>
        <v/>
      </c>
      <c r="G9103" t="inlineStr">
        <is>
          <t>2020-04-24 09:37:30</t>
        </is>
      </c>
      <c r="H9103" t="inlineStr">
        <is>
          <t>Type 1.5/LADA</t>
        </is>
      </c>
    </row>
    <row r="9104">
      <c r="A9104" t="inlineStr">
        <is>
          <t>g7caq2</t>
        </is>
      </c>
      <c r="B9104" t="inlineStr">
        <is>
          <t>Dexcom or Medtronic CGM?</t>
        </is>
      </c>
      <c r="C9104" t="inlineStr">
        <is>
          <t>Hey, I'm mostly new here. I'm finally taking the plunge and going into a CGM full time, I want to travel internationally and do strenuous exercise without fear. My doctors have recommended Medtronic or Dexcom CGM  and idk which to pick? I had a pump for awhile and hated every year of it (maybe I will go back one day) but I had the integrated Medtronic CGM and didn't like it. It seemed to fail to insert ALL the time and never seemed super accurate. Everyone I know has been raving about the Dexcom line but the G6 is disposable??? Idk if I want to be anymore dependent on prescriptions and insurance than I already am to constantly have to fight for a fresh transmitter (the Medtronic one had a rechargeable battery with a dock using a AAA battery) but frankly, despite being a diabetic for 9 years I still feel entirely new to it. What should I do? Any major details I'm missing? Thanks in advance</t>
        </is>
      </c>
      <c r="D9104" t="n">
        <v>1</v>
      </c>
      <c r="E9104" t="n">
        <v>6</v>
      </c>
      <c r="F9104">
        <f>HYPERLINK("https://www.reddit.com/r/diabetes/comments/g7caq2/dexcom_or_medtronic_cgm/")</f>
        <v/>
      </c>
      <c r="G9104" t="inlineStr">
        <is>
          <t>2020-04-24 10:13:48</t>
        </is>
      </c>
      <c r="H9104" t="inlineStr">
        <is>
          <t>Type 1</t>
        </is>
      </c>
    </row>
    <row r="9105">
      <c r="A9105" t="inlineStr">
        <is>
          <t>g7gayd</t>
        </is>
      </c>
      <c r="B9105" t="inlineStr">
        <is>
          <t>My sister just died, she had type 1 and so far we think it was a hypo, need help</t>
        </is>
      </c>
      <c r="C9105" t="inlineStr">
        <is>
          <t>I need to get this out.
&amp;amp;#x200B;
I've never been on this forum but my sister (42) passed away yesterday morning. Her neighbor found her unresponsive in her lounge chair, it looked like she died the previous night and has been there on here own all night till she was found.
Me and my family are all totally cut up over this, she's had problems balancing her levels for years, and five years ago even tried to commit suicide. But lately she's been getting better and turning things around. She had a hypo and called the hospital a week ago, but they sent her home, but then this has happened. Her husband is away living his Dad during the lockdown as his Dad has stage 4 cancer. It's horrible thinking she died alone. But my biggest worry is that she might have been in pain. I'm praying she wasn't. my wife (nurse) says she wouldn't have felt anything and just passed out.  IT won't leave my head though, what does a hypo feel like? Would she have known it was going to happen? would she have been scared? could someone have helped? I have horrible images of her gasping and reaching but no one being there.
&amp;amp;#x200B;
Please, does anyone know what she would have felt? I need to know</t>
        </is>
      </c>
      <c r="D9105" t="n">
        <v>1</v>
      </c>
      <c r="E9105" t="n">
        <v>6</v>
      </c>
      <c r="F9105">
        <f>HYPERLINK("https://www.reddit.com/r/diabetes/comments/g7gayd/my_sister_just_died_she_had_type_1_and_so_far_we/")</f>
        <v/>
      </c>
      <c r="G9105" t="inlineStr">
        <is>
          <t>2020-04-24 13:47:58</t>
        </is>
      </c>
      <c r="H9105" t="inlineStr">
        <is>
          <t>Type 1</t>
        </is>
      </c>
    </row>
    <row r="9106">
      <c r="A9106" t="inlineStr">
        <is>
          <t>g7gog4</t>
        </is>
      </c>
      <c r="B9106" t="inlineStr">
        <is>
          <t>xDrip G6 State Error</t>
        </is>
      </c>
      <c r="C9106" t="inlineStr">
        <is>
          <t>Hi there, my xDrip+ has stopped working. I constantly get the "G6 State isn't currently known. Next connection will update this." I try resetting the sensor and it's always the same. What can I do? Please help the official Dexcom app is awful.</t>
        </is>
      </c>
      <c r="D9106" t="n">
        <v>1</v>
      </c>
      <c r="E9106" t="n">
        <v>3</v>
      </c>
      <c r="F9106">
        <f>HYPERLINK("https://www.reddit.com/r/diabetes/comments/g7gog4/xdrip_g6_state_error/")</f>
        <v/>
      </c>
      <c r="G9106" t="inlineStr">
        <is>
          <t>2020-04-24 14:08:45</t>
        </is>
      </c>
      <c r="H9106" t="inlineStr">
        <is>
          <t>Type 1</t>
        </is>
      </c>
    </row>
    <row r="9107">
      <c r="A9107" t="inlineStr">
        <is>
          <t>g7hdig</t>
        </is>
      </c>
      <c r="B9107" t="inlineStr">
        <is>
          <t>When can you start correcting post meal?</t>
        </is>
      </c>
      <c r="C9107" t="inlineStr">
        <is>
          <t>I was diagnosed in January 2020. My doc’s advice so far is not to eat more than 60g of carbs per meal and not to correct after eating even if my blood goes high because of the risk of “insulin stacking.” But from my social media sleuthing in the diabetic community online, it seems like people who have had diabetes for awhile are comfortable giving themselves a correction dose when things go high and awry. 
So... what do you do? Do you just live with the high BS and try to exercise it out or can you safely fix it with insulin? And at what point did you determine that was safe to do? 
Thank you, I love this community and all the discussions. The people here have been so much more helpful than any medical professional.</t>
        </is>
      </c>
      <c r="D9107" t="n">
        <v>1</v>
      </c>
      <c r="E9107" t="n">
        <v>12</v>
      </c>
      <c r="F9107">
        <f>HYPERLINK("https://www.reddit.com/r/diabetes/comments/g7hdig/when_can_you_start_correcting_post_meal/")</f>
        <v/>
      </c>
      <c r="G9107" t="inlineStr">
        <is>
          <t>2020-04-24 14:47:25</t>
        </is>
      </c>
      <c r="H9107" t="inlineStr">
        <is>
          <t>Type 1</t>
        </is>
      </c>
    </row>
    <row r="9108">
      <c r="A9108" t="inlineStr">
        <is>
          <t>g7i39p</t>
        </is>
      </c>
      <c r="B9108" t="inlineStr">
        <is>
          <t>Can’t be active without my blood sugar dropping immediately.</t>
        </is>
      </c>
      <c r="C9108" t="inlineStr">
        <is>
          <t>Does anyone have suggestions on how to keep to keep this from happening. Even slight activity drops my blood sugar and I’ve never had this happen before. Due to coronavirus my doctor isn’t returning calls or emails. I’m getting alittle annoyed because when I say any activity drops my blood sugar I mean any and all activity. I’m on a tandem pump and have adjusted my Basel rate. But it doesn’t seem to help. Any suggestions mucho appreciated!</t>
        </is>
      </c>
      <c r="D9108" t="n">
        <v>1</v>
      </c>
      <c r="E9108" t="n">
        <v>8</v>
      </c>
      <c r="F9108">
        <f>HYPERLINK("https://www.reddit.com/r/diabetes/comments/g7i39p/cant_be_active_without_my_blood_sugar_dropping/")</f>
        <v/>
      </c>
      <c r="G9108" t="inlineStr">
        <is>
          <t>2020-04-24 15:29:02</t>
        </is>
      </c>
      <c r="H9108" t="inlineStr">
        <is>
          <t>Type 1</t>
        </is>
      </c>
    </row>
    <row r="9109">
      <c r="A9109" t="inlineStr">
        <is>
          <t>g7jtxe</t>
        </is>
      </c>
      <c r="B9109" t="inlineStr">
        <is>
          <t>34M worried about diabetes</t>
        </is>
      </c>
      <c r="C9109" t="inlineStr">
        <is>
          <t>I've been waking up every night with an urge to pee and dry mouth and lately I've noticed tingling in my hands and both legs from knee to foot.
I can't go to get tested because my doctor and most clinics are closed due to covid.
Can anyone suggest a good testing kit on Amazon that I can buy and check my own sugar levels?</t>
        </is>
      </c>
      <c r="D9109" t="n">
        <v>1</v>
      </c>
      <c r="E9109" t="n">
        <v>10</v>
      </c>
      <c r="F9109">
        <f>HYPERLINK("https://www.reddit.com/r/diabetes/comments/g7jtxe/34m_worried_about_diabetes/")</f>
        <v/>
      </c>
      <c r="G9109" t="inlineStr">
        <is>
          <t>2020-04-24 17:16:02</t>
        </is>
      </c>
      <c r="H9109" t="inlineStr">
        <is>
          <t>Type 2</t>
        </is>
      </c>
    </row>
    <row r="9110">
      <c r="A9110" t="inlineStr">
        <is>
          <t>g7jvlf</t>
        </is>
      </c>
      <c r="B9110" t="inlineStr">
        <is>
          <t>Is it true that people with Type 1 diabetes can eat as much sugar as they want as long as they are regulating it by taking insulin and monitoring it actively?</t>
        </is>
      </c>
      <c r="C9110" t="inlineStr">
        <is>
          <t>My friend is 22 and he has Type 1 diabetes. He eats a lot of cookies and junk food which is high in sugar. However he takes insulin after every meal and also makes sure that his blood sugar levels are normal. Is this okay or this is affecting his long term life? He also works out and has a bulky body (if that has to do anything with diet).</t>
        </is>
      </c>
      <c r="D9110" t="n">
        <v>1</v>
      </c>
      <c r="E9110" t="n">
        <v>11</v>
      </c>
      <c r="F9110">
        <f>HYPERLINK("https://www.reddit.com/r/diabetes/comments/g7jvlf/is_it_true_that_people_with_type_1_diabetes_can/")</f>
        <v/>
      </c>
      <c r="G9110" t="inlineStr">
        <is>
          <t>2020-04-24 17:18:58</t>
        </is>
      </c>
      <c r="H9110" t="inlineStr">
        <is>
          <t>Type 1</t>
        </is>
      </c>
    </row>
    <row r="9111">
      <c r="A9111" t="inlineStr">
        <is>
          <t>g7jw0y</t>
        </is>
      </c>
      <c r="B9111" t="inlineStr">
        <is>
          <t>Building Muscle (Insulin Resistant Type 1)</t>
        </is>
      </c>
      <c r="C9111" t="inlineStr">
        <is>
          <t>How difficult is it to build muscle with *Double Diabetes*. I plan to buy a home gym and start doing heavy workouts to try and rebuild the muscle I lost during my massive weight loss episode. Lost 73lbs... I’m sure you know what that means for someone who wasn’t extremely obese, most lost was muscle unfortunately. I’m on insulin shots now and I’m gaining weight again which I’m thankful for but wanna get fit. I know controlled blood sugar is the only real answer but how difficult is it to build muscle with diabetes if my blood is under control? I’ve also heard body builders use insulin shots to build muscle and that made me curious on if that meant if I worked out like a body builder I’d get yoked quick.</t>
        </is>
      </c>
      <c r="D9111" t="n">
        <v>1</v>
      </c>
      <c r="E9111" t="n">
        <v>2</v>
      </c>
      <c r="F9111">
        <f>HYPERLINK("https://www.reddit.com/r/diabetes/comments/g7jw0y/building_muscle_insulin_resistant_type_1/")</f>
        <v/>
      </c>
      <c r="G9111" t="inlineStr">
        <is>
          <t>2020-04-24 17:19:40</t>
        </is>
      </c>
      <c r="H9111" t="inlineStr">
        <is>
          <t>Type 1.5/LADA</t>
        </is>
      </c>
    </row>
    <row r="9112">
      <c r="A9112" t="inlineStr">
        <is>
          <t>g7kxt9</t>
        </is>
      </c>
      <c r="B9112" t="inlineStr">
        <is>
          <t>Abdomen Scar tissue</t>
        </is>
      </c>
      <c r="C9112" t="inlineStr">
        <is>
          <t>The scar tissue on my abdomen isn’t healing fast enough, so I’m running out of spots to stick myself where it’s still effective, any advice or alternate sites are appreciated</t>
        </is>
      </c>
      <c r="D9112" t="n">
        <v>1</v>
      </c>
      <c r="E9112" t="n">
        <v>4</v>
      </c>
      <c r="F9112">
        <f>HYPERLINK("https://www.reddit.com/r/diabetes/comments/g7kxt9/abdomen_scar_tissue/")</f>
        <v/>
      </c>
      <c r="G9112" t="inlineStr">
        <is>
          <t>2020-04-24 18:28:46</t>
        </is>
      </c>
      <c r="H9112" t="inlineStr">
        <is>
          <t>Type 1</t>
        </is>
      </c>
    </row>
    <row r="9113">
      <c r="A9113" t="inlineStr">
        <is>
          <t>g7lcu0</t>
        </is>
      </c>
      <c r="B9113" t="inlineStr">
        <is>
          <t>T2 Diabetic, can’t gain weight even tho I use insulin shots</t>
        </is>
      </c>
      <c r="C9113" t="inlineStr">
        <is>
          <t>I got diagnosed with an A1C of 12, fasting BG was in the 400’s if I remember. I lost 73lbs and managed to gain back 14lbs over the course of 5 months but with massive insulin usage. I only need around 5-10 units per meal usually but I’m concerned as to why I can’t gain weight. I’ve actually lost 2lbs recently which is also very odd. Any other T2’s on here who can’t gain weight? Doctor took me off metformin a while ago and replaced it with insulin. Told me I would gain weight very quickly as I was also eating plenty of carbs. Just a little worried but haven’t felt weird!</t>
        </is>
      </c>
      <c r="D9113" t="n">
        <v>1</v>
      </c>
      <c r="E9113" t="n">
        <v>11</v>
      </c>
      <c r="F9113">
        <f>HYPERLINK("https://www.reddit.com/r/diabetes/comments/g7lcu0/t2_diabetic_cant_gain_weight_even_tho_i_use/")</f>
        <v/>
      </c>
      <c r="G9113" t="inlineStr">
        <is>
          <t>2020-04-24 18:56:55</t>
        </is>
      </c>
      <c r="H9113" t="inlineStr">
        <is>
          <t>Type 2</t>
        </is>
      </c>
    </row>
    <row r="9114">
      <c r="A9114" t="inlineStr">
        <is>
          <t>g7lyco</t>
        </is>
      </c>
      <c r="B9114" t="inlineStr">
        <is>
          <t>Lantus/Novolog Issue</t>
        </is>
      </c>
      <c r="C9114" t="inlineStr">
        <is>
          <t>So recently I've been having an issue where my sugar has been spiking beyond my corrections. Sometimes I will eat my normal amount of carbs, take 2-3 units more of Novolog, and wind up in the 300s. Over the last week, I've upped my Lantus by 10 units with no success in stabilizing my sugars during the day. 
Important notes: My weight has not changed at all recently, my activity hasn't changed either since I still go to work, and I don't feel sick.
Any ideas?</t>
        </is>
      </c>
      <c r="D9114" t="n">
        <v>1</v>
      </c>
      <c r="E9114" t="n">
        <v>2</v>
      </c>
      <c r="F9114">
        <f>HYPERLINK("https://www.reddit.com/r/diabetes/comments/g7lyco/lantusnovolog_issue/")</f>
        <v/>
      </c>
      <c r="G9114" t="inlineStr">
        <is>
          <t>2020-04-24 19:38:23</t>
        </is>
      </c>
      <c r="H9114" t="inlineStr">
        <is>
          <t>Type 1</t>
        </is>
      </c>
    </row>
    <row r="9115">
      <c r="A9115" t="inlineStr">
        <is>
          <t>g7oyg5</t>
        </is>
      </c>
      <c r="B9115" t="inlineStr">
        <is>
          <t>Information Needed for Graduate Research Analysis</t>
        </is>
      </c>
      <c r="C9115" t="inlineStr">
        <is>
          <t>Send information to diabeticwhorave on instagram, Thank you all so much!</t>
        </is>
      </c>
      <c r="D9115" t="n">
        <v>1</v>
      </c>
      <c r="E9115" t="n">
        <v>0</v>
      </c>
      <c r="F9115">
        <f>HYPERLINK("https://www.reddit.com/r/diabetes/comments/g7oyg5/information_needed_for_graduate_research_analysis/")</f>
        <v/>
      </c>
      <c r="G9115" t="inlineStr">
        <is>
          <t>2020-04-24 23:36:35</t>
        </is>
      </c>
      <c r="H9115" t="inlineStr">
        <is>
          <t>Type 1</t>
        </is>
      </c>
    </row>
    <row r="9116">
      <c r="A9116" t="inlineStr">
        <is>
          <t>g7peob</t>
        </is>
      </c>
      <c r="B9116" t="inlineStr">
        <is>
          <t>Needing G5 Sensors for my son</t>
        </is>
      </c>
      <c r="C9116" t="inlineStr">
        <is>
          <t>Hi everyone I’m in tough spot right now and I could use some G5 sensors for my little boy CGM I’m currently out so if you have any extras or have upgraded and will not be using G5 sensors I could really use them . I can cover shipping cost . It would mean a lot because he has had seizures at night in the past prior to getting G5 so Im not sleeping very well these days . With no insurance I just can’t afford them.   
Thanks everyone</t>
        </is>
      </c>
      <c r="D9116" t="n">
        <v>1</v>
      </c>
      <c r="E9116" t="n">
        <v>10</v>
      </c>
      <c r="F9116">
        <f>HYPERLINK("https://www.reddit.com/r/diabetes/comments/g7peob/needing_g5_sensors_for_my_son/")</f>
        <v/>
      </c>
      <c r="G9116" t="inlineStr">
        <is>
          <t>2020-04-25 00:17:53</t>
        </is>
      </c>
      <c r="H9116" t="inlineStr">
        <is>
          <t>Type 1</t>
        </is>
      </c>
    </row>
    <row r="9117">
      <c r="A9117" t="inlineStr">
        <is>
          <t>g7rm41</t>
        </is>
      </c>
      <c r="B9117" t="inlineStr">
        <is>
          <t>Can you gain weight from treating hypos?</t>
        </is>
      </c>
      <c r="C9117" t="inlineStr">
        <is>
          <t>I've been always wondering if treating hypos with fast-acting carbs (I use table sugar since glucose tabs are just too expensive) makes you gain weight.
Although my weight is fine and I'm actually even too thin, I'm always wondering if treating severe hypos that requiere a great amount of carbs (e.g. 30g) are unhealthy.
Thank y'all for your answers!</t>
        </is>
      </c>
      <c r="D9117" t="n">
        <v>1</v>
      </c>
      <c r="E9117" t="n">
        <v>6</v>
      </c>
      <c r="F9117">
        <f>HYPERLINK("https://www.reddit.com/r/diabetes/comments/g7rm41/can_you_gain_weight_from_treating_hypos/")</f>
        <v/>
      </c>
      <c r="G9117" t="inlineStr">
        <is>
          <t>2020-04-25 03:50:29</t>
        </is>
      </c>
      <c r="H9117" t="inlineStr">
        <is>
          <t>Type 1</t>
        </is>
      </c>
    </row>
    <row r="9118">
      <c r="A9118" t="inlineStr">
        <is>
          <t>g7rqpd</t>
        </is>
      </c>
      <c r="B9118" t="inlineStr">
        <is>
          <t>I've been thinking about getting a CGM (or maybe even a pump) but I have some concerns.</t>
        </is>
      </c>
      <c r="C9118" t="inlineStr">
        <is>
          <t>I'm honestly frustrated with checking my blood sugar a dozen times a day. I wish I knew what my blood sugar in between finger sticks. So I would like a CGM.
However, I'm really nervous about something being stuck to me all day. I had to wear one for 10 days to let my doctor see what happens to my blood sugar. It kept bumping into doors and was annoying when going to sleep or trying to do stuff. It also started to slip off after just a couple days. 
Also, what are all the differences between the available cgms (dexcom, libre, etc)
I'm currently taking injections with insulin pens. I don't get the benefit of using pumps because I really don't mind needles. However, I think I may need less basal during the night than the day. So that might help with that. But again, I don't want something weird attached to me.
I feel like having pens and glucometers separate from my body makes it easier to deal with diabetic. It makes it feel more distant. If that makes sense. 
However, I think a cgm and pump may improve my glucose control.
My a1c is 6.9. But my blood sugar isn't very stable. 
I'm asking for advice regarding my concerns and any insights or experiences you're willing to share.
Pumps and CGMs will be a significant (but not impossible) financial cost for me so I want to be sure of what I'm getting into.
Will it really help that much more with controlling my blood glucose? Right now, doing that is incredibly difficult.</t>
        </is>
      </c>
      <c r="D9118" t="n">
        <v>1</v>
      </c>
      <c r="E9118" t="n">
        <v>5</v>
      </c>
      <c r="F9118">
        <f>HYPERLINK("https://www.reddit.com/r/diabetes/comments/g7rqpd/ive_been_thinking_about_getting_a_cgm_or_maybe/")</f>
        <v/>
      </c>
      <c r="G9118" t="inlineStr">
        <is>
          <t>2020-04-25 04:02:42</t>
        </is>
      </c>
      <c r="H9118" t="inlineStr">
        <is>
          <t>Type 1</t>
        </is>
      </c>
    </row>
    <row r="9119">
      <c r="A9119" t="inlineStr">
        <is>
          <t>g7sg8o</t>
        </is>
      </c>
      <c r="B9119" t="inlineStr">
        <is>
          <t>Type 1 Brittle Diabetic: I think I have contracted the Coronavirus, and I wanted to keep an up to date "log" here for those that would like to see how it progresses.</t>
        </is>
      </c>
      <c r="C9119" t="inlineStr">
        <is>
          <t>*I know we, as diabetics, are all worried about the virus. It's ok not to be ok. I'm hoping this helps all of you to see how it plays out, or just to let you know you aren't alone. I will present updates of how I'm doing through edits, and I'm going to take them directly out of the virtual journal I decided to keep in order to keep track of the days and symptoms as well as how they progress over time. My A1C has been high all my life (lowest being 10, highest being 16), and my endocrinologists have had little success to bring it down, so I have just adjusted to it. Health insurance refused to pay for a pump because it was so high, so no luck there. Just strait vials of Novolin R &amp;amp; 70/30. I don't eat a high carb diet, but I don't have complete control of my blood sugar either. I'm not saying I'm perfect, and we all know it's hard being diabetic. I have no other health problems than the diabetes, no nerve damage or loss of feeling. I have not gotten a test, but the symptoms seem fairly different from any sickness I have ever gotten. I may as well be a mild case. I sure hope I am, but we will see.*
As a diabetic, I have been taking ridiculous precautions in order to prevent any contraction of the virus. I had some N95 masks stashed in our old house garage years ago that I had forgot about, and my sister found them, but only 15 in the box. Some I have given out to those I feel needed them, and my fiance and I have used a few as well. When I go out to shop, I wear a raincoat I found luckily at a Goodwill for about $20. I cover my mouth with the mask and a pair of safety glasses with elastic glued to the sides. They hug my eyes pretty well, and I feel its all better than nothing. With the hood up and tightened, I take gloves and rubberband them to the sleeves. I get weird looks, but honestly, I'd rather look ridiculous than contract this thing. I own a repair shop for electronic devices, so I had isopropyl alcohol on hand as well as gloves by the hundreds (it's just my fiance and I that run the entire shop, as we are more like contract laborers), and bought some spray bottles to disinfect everything like I had extreme OCD.
We've been working at home for about a month and a half now and shortening our hours as well, both due to low traffic and smaller exposure. We get devices, spray them down with the alcohol, wear gloves and wash our hands after every repair, but at the least we wear our gloves and take them off anytime we need to touch a surface we shouldn't contaminate. If we do slip up, we spray it down as well as wash our hands. Maybe this isn't extensive enough, I'm not sure. This virus is highly contagious.
With all of my precautions and constant spray downs, as well as the aggressive hand washing we perform, I live with a few others. We only have to pay $600 in rent covering all expenses except food and gas, so I feel pretty privileged to be able to live in a nice house for so cheap, especially in these trying times.  Under the same roof lives my fiance, aunt, and mother, and since this started my nephew has come to stay as well, since school is shutdown. My mother and aunt travel to and from the capital of the state I live in to take care of my grandparents. They are both high risk, and I have TRIED to get them to stay home, but to no avail sadly. I love them, but I can't control their actions and it breaks my heart. My aunt thinks this is all some conspiracy, and when this started to get bad in January said she wasn't taking this seriously at all. My mother wasn't having any of the mask thing, even with the evidence I tried to present to her. I used to get my daughter every 48 hours, and as soon as I noticed this behavior I've kept her at her mothers where they seem to be taking this much more seriously. Anyways, they travel about once a week, staying there for about 3 or 4 days at a time.
My mother is convinced my grandparents have gotten sick with the virus, as they have exhibited symptoms like pneumonia, pink eye, rashes, exhaustion (at least that's what my mother says, but I haven't seen pinkeye as a symptom yet); but have not have any severe complications. I think this is where my infection came from, as I have said I have taken extreme precaution any time I work on my devices or go to shop for essentials. Also the county I live in, currently, only has a total of 11 confirmed cases. They (grandparents) haven't gotten tested, but as I've been keeping updated on, tests are apparently almost impossible to come by. So I can only go with how I feel. The following is from my virtual journal with a few edits to prevent doxxing or stalking or whatever. Time is in military time, sorry, it make's memory for me easier:
&amp;amp;#x200B;
*04/20/2020 - First assumed signs of symptoms, but still unsure if it was actually related. Approx 1:30, moderate shivering began, but was not cold. I began isolation from my beloved daughter, hopefully to avoid transmission. Blood sugar was higher than usual, insulin dosage was increased. Days up to the 23rd were uneventful aside from a few low bloodsugar episodes.*
*04/22/2020 - First start of (assumed) Coronavirus symptoms. The time was approximately 1:30 in the morning of the 23rd. Date is listed as the 22nd because my day did not end until 3 AM the next morning. Symptoms started as a mild dry feeling in the bottom of my lungs, no coughing however. Was worried, but the feeling was extremely mild. Bloodsugar stayed the same. I went to sleep feeling fine otherwise.*
*04/23/2020 - The day went by uneventful. Dry feeling was in the lungs, but it did not become worse. Coughing began in the morning, maybe once every two hours or so. Some fluid came out, not much. Coloring was white. Sometime throughout the day I felt something enter my sinuses, but was even more faint than the feeling in my lungs. Bloodsugar slightly increased, mid 200s. Higher monitoring but no insulin as to prevent lower BS episodes. Day ended uneventful.*
*04/24/2020 - Day started out like the 23rd and uneventful. Coughing increased, but not by much. Little to no phlegm was present. Fiance developed a rash on the right side of her body in two areas. Bottom rash became itchy throughout the day. At approx 18:00 I was hit with extreme fatigue almost out of nowhere. I wanted to take a nap, however I needed to get some essentials from the store. Bloodsugar was about 200, small dose of insulin. Walking around I became more fatigued and irritable, coughing increased and breathing felt slightly difficult. Over time I felt my sinuses become dry. After arriving home my sinuses felt fine, and my lungs felt dryer, but not by much. Coughing has increased to a few every hour, no phlegm seems to be present. Breathing seems slightly difficult, but the lack of oxygen (or decrease thereof) feels present. The whole time I felt kind of out of it, and knew I needed to get home as soon as I could. Mother gave me some type of breathing treatment. After 18:00 I noticed I could feel my heartbeat in my head and body, as well as feeling like it increased. Fiance started the day with a stomach ache in her lower belly, upon coming home from the store, the pregnancy test resulted in being negative. At approx 20:00 fiance found she has diarrhea, bottom rash became more itchy. No other symptoms. During my breathing treatment, I felt more exhausted, and upon standing became worse. After sitting down and relaxing, most of the symptoms disappeared. about 21:00 I could feel parts of my body become achy, and small amounts of nerves were giving me a mild pokey feeling. 22:00 I was getting heartburn as if I had high keytones, checked bloodsugar, but was approx 140. Legs felt tired, and right arm, almost like it was being layed on or falling asleep without the static feeling. A tiredness in the muscles. 2:30 I had to use the bathroom, and while I was there I tested my keytones because the heartburn persisted. Results were negative. I will get in contact with a medical professional tomorrow to seek a test for the Coronavirus.*
&amp;amp;#x200B;
If you guys have any questions let me know. I don't expect this post to become popular, but I hope it helps *someone.* I will update again tonight with an edit.</t>
        </is>
      </c>
      <c r="D9119" t="n">
        <v>1</v>
      </c>
      <c r="E9119" t="n">
        <v>29</v>
      </c>
      <c r="F9119">
        <f>HYPERLINK("https://www.reddit.com/r/diabetes/comments/g7sg8o/type_1_brittle_diabetic_i_think_i_have_contracted/")</f>
        <v/>
      </c>
      <c r="G9119" t="inlineStr">
        <is>
          <t>2020-04-25 05:06:48</t>
        </is>
      </c>
      <c r="H9119" t="inlineStr">
        <is>
          <t>Type 1</t>
        </is>
      </c>
    </row>
    <row r="9120">
      <c r="A9120" t="inlineStr">
        <is>
          <t>g7vx1c</t>
        </is>
      </c>
      <c r="B9120" t="inlineStr">
        <is>
          <t>How many units do you use per day?</t>
        </is>
      </c>
      <c r="C9120" t="inlineStr">
        <is>
          <t>I use Humalog Kwikpen fast acting and Levemir long acting. Just curious to see your guys numbers. Also I hear long term T2’s end up using more insulin than T1’s? Is this true or was it just not backed up nonsense?
Humalog = 20-25 units a day
Levemir = 10 units every morning</t>
        </is>
      </c>
      <c r="D9120" t="n">
        <v>1</v>
      </c>
      <c r="E9120" t="n">
        <v>1</v>
      </c>
      <c r="F9120">
        <f>HYPERLINK("https://www.reddit.com/r/diabetes/comments/g7vx1c/how_many_units_do_you_use_per_day/")</f>
        <v/>
      </c>
      <c r="G9120" t="inlineStr">
        <is>
          <t>2020-04-25 09:04:00</t>
        </is>
      </c>
      <c r="H9120" t="inlineStr">
        <is>
          <t>Type 1.5/LADA</t>
        </is>
      </c>
    </row>
    <row r="9121">
      <c r="A9121" t="inlineStr">
        <is>
          <t>g7wbf4</t>
        </is>
      </c>
      <c r="B9121" t="inlineStr">
        <is>
          <t>How high does your BG get without insulin?</t>
        </is>
      </c>
      <c r="C9121" t="inlineStr">
        <is>
          <t>Before I could eat 15 carbs and be fine. Now if I do that I’ll shoot to 170+. I use insulin with every meal. A meal without insulin is a quick trip to 300 that stays elevated for hours on end and I’ll sometimes need to put extra insulin in just to drop my BG. It’s getting really annoying because I miss the days where I could eat a 30 carb sandwich and be fine, now I hover at 250 all day if I eat it without an insulin shot first. Not to mention I’m not very heavy anymore either, I used to be 225 but I’m now 166 and haven’t gained any more weight. Lightest I got to was 152 but managed to gain 14lbs over the course of 5 months</t>
        </is>
      </c>
      <c r="D9121" t="n">
        <v>1</v>
      </c>
      <c r="E9121" t="n">
        <v>2</v>
      </c>
      <c r="F9121">
        <f>HYPERLINK("https://www.reddit.com/r/diabetes/comments/g7wbf4/how_high_does_your_bg_get_without_insulin/")</f>
        <v/>
      </c>
      <c r="G9121" t="inlineStr">
        <is>
          <t>2020-04-25 09:26:04</t>
        </is>
      </c>
      <c r="H9121" t="inlineStr">
        <is>
          <t>Type 2</t>
        </is>
      </c>
    </row>
    <row r="9122">
      <c r="A9122" t="inlineStr">
        <is>
          <t>g7wmfp</t>
        </is>
      </c>
      <c r="B9122" t="inlineStr">
        <is>
          <t>Type 1 Diabetes vs Type 2 Diabetes, my honest opinion</t>
        </is>
      </c>
      <c r="C9122" t="inlineStr">
        <is>
          <t>I’ve lived both sides, was misdiagnosed for over 2 years before my doctor realized it wasn’t normal to eat a 30 carb sandwich and blast off to 350 every time. Here’s my honest opinion on both Types of diabetes. Also this isn’t an attack on either type! It’s my own experience and opinion. No disrespect to either type, diabetes is absolute hell no matter what kind you have.
Type 1: It’s annoyingly painful, having to poke my belly or arm for every single meal/snack I wanna eat. I wake up with high BG randomly for no reason at all lol. I’m able to eat freely which I very much missed, but at a cost. I don’t feel sick from high BG or lows anymore. I can’t feel either one. I’m more motivated and less depressed with T1 than with T2. Type 1 is so much harder to manage, simply because diet and exercise doesn’t have much to do with it, it’s my insulin counting and correct dosages. I take 5-6 shots a day, 7 days a week. I cannot gain weight at all and look pretty skinny and creepy in the dark haha. Type 1 diabetes is annoying, but not to bad. There are days my BG annoys me more than anything but I wouldn’t trade my T1 for T2 again ever... T2 was hell
Type 2: Hell on earth, I remember having to turn down EVERY sweet. No juice, no milk, no bread, no pasta, no 90% of what is in the grocery store. I had to eat Keto just to avoid monster blood sugars. It was all willpower, the want and craving to eat sugar never went away. I’d dream about it at night, think of it all day. Eating plants and meat got so boring. The stigma around T2 is disgusting as well, just because obesity can bring it on doesn’t mean it’s their fault. Genetics are the biggest reason for this disease. Not being able to eat 90% of foods on the market, turn down every sweet, anything with carbs I couldn’t touch. It was hell. I personally believe T2 diabetes is 10000000000x worse than having T1. T1 is bad don’t get me wrong... but T2 is next level. Sure it’s easier to manage physically.. but mentally it was HELL ON EARTH. I don’t have a eating disorder, I just got really sick and tired of having to eat like I was a cow... just greens. I wouldn’t trade my T1 for T2 ever... my lifespan might be shorter... but I’ll sure as hell take that over having to go keto forever haha. What’s your guys opinions on which is worse/draining? I’d love to hear about it</t>
        </is>
      </c>
      <c r="D9122" t="n">
        <v>0</v>
      </c>
      <c r="E9122" t="n">
        <v>1</v>
      </c>
      <c r="F9122">
        <f>HYPERLINK("https://www.reddit.com/r/diabetes/comments/g7wmfp/type_1_diabetes_vs_type_2_diabetes_my_honest/")</f>
        <v/>
      </c>
      <c r="G9122" t="inlineStr">
        <is>
          <t>2020-04-25 09:43:22</t>
        </is>
      </c>
      <c r="H9122" t="inlineStr">
        <is>
          <t>Type 1.5/LADA</t>
        </is>
      </c>
    </row>
    <row r="9123">
      <c r="A9123" t="inlineStr">
        <is>
          <t>g7xkqc</t>
        </is>
      </c>
      <c r="B9123" t="inlineStr">
        <is>
          <t>Trying to determine if I have diabetes</t>
        </is>
      </c>
      <c r="C9123" t="inlineStr">
        <is>
          <t>Thought I would have diabetes but my HB-a1c is 5.4. Is it possible to still have diabetes with that low hb-a1c? I dont usually eat refined sugar because a few minutes after eating it I can feel it either in my right calf muscles or on my face. I feel sometimes feel tired after eating refined sugar. However after eating pasta or bread I dont feel any of the symptoms that I described. *I'm very lactose intolerance also. Any advice is appreciated.</t>
        </is>
      </c>
      <c r="D9123" t="n">
        <v>0</v>
      </c>
      <c r="E9123" t="n">
        <v>4</v>
      </c>
      <c r="F9123">
        <f>HYPERLINK("https://www.reddit.com/r/diabetes/comments/g7xkqc/trying_to_determine_if_i_have_diabetes/")</f>
        <v/>
      </c>
      <c r="G9123" t="inlineStr">
        <is>
          <t>2020-04-25 10:35:03</t>
        </is>
      </c>
      <c r="H9123" t="inlineStr">
        <is>
          <t>Type 2</t>
        </is>
      </c>
    </row>
    <row r="9124">
      <c r="A9124" t="inlineStr">
        <is>
          <t>g7xqou</t>
        </is>
      </c>
      <c r="B9124" t="inlineStr">
        <is>
          <t>Blood sugar throughout the night</t>
        </is>
      </c>
      <c r="C9124" t="inlineStr">
        <is>
          <t>Hi,
I’m wondering if any of you have gotten up throughout the night to check your blood sugar. Are there any consistent patterns you have noticed throughout the time you would usually be asleep other than the dawn phenomenon?</t>
        </is>
      </c>
      <c r="D9124" t="n">
        <v>1</v>
      </c>
      <c r="E9124" t="n">
        <v>2</v>
      </c>
      <c r="F9124">
        <f>HYPERLINK("https://www.reddit.com/r/diabetes/comments/g7xqou/blood_sugar_throughout_the_night/")</f>
        <v/>
      </c>
      <c r="G9124" t="inlineStr">
        <is>
          <t>2020-04-25 10:44:06</t>
        </is>
      </c>
      <c r="H9124" t="inlineStr">
        <is>
          <t>Type 2</t>
        </is>
      </c>
    </row>
    <row r="9125">
      <c r="A9125" t="inlineStr">
        <is>
          <t>g7y98s</t>
        </is>
      </c>
      <c r="B9125" t="inlineStr">
        <is>
          <t>How to get my insurance to cover a new pump (omnipod)? I hate my t:slim and I want to start looping.</t>
        </is>
      </c>
      <c r="C9125" t="inlineStr">
        <is>
          <t>I have a lot of problems with my t:slim x2. I hate the tubing that is constantly being ripped out of my body leaving ugly marks and bruises, I hate the infusion sets, and I've tried them all. I hate the fact that control-iq doesn't work very well. Half the time it has a signal loss and can't connect to my dexcom. 
&amp;amp;#x200B;
The problem is that I've only had it for about a year and a half. I was able to get it approved when I first got diagnosed despite the insurance company having a rule that you needed to be on injections for 6 months before you could get a pump, so I'm thinking I might be able to get them to approve it if I call everyday and bother them enough like I did last time. 
&amp;amp;#x200B;
But basically what I'm asking is, is there anything I should avoid saying? Any arguments for a new pump that have worked for you? Anything in particular I should ask my doctor to include in the letter/appeal?
&amp;amp;#x200B;
Thanks!</t>
        </is>
      </c>
      <c r="D9125" t="n">
        <v>1</v>
      </c>
      <c r="E9125" t="n">
        <v>0</v>
      </c>
      <c r="F9125">
        <f>HYPERLINK("https://www.reddit.com/r/diabetes/comments/g7y98s/how_to_get_my_insurance_to_cover_a_new_pump/")</f>
        <v/>
      </c>
      <c r="G9125" t="inlineStr">
        <is>
          <t>2020-04-25 11:11:40</t>
        </is>
      </c>
      <c r="H9125" t="inlineStr">
        <is>
          <t>Type 1</t>
        </is>
      </c>
    </row>
    <row r="9126">
      <c r="A9126" t="inlineStr">
        <is>
          <t>g7zr3b</t>
        </is>
      </c>
      <c r="B9126" t="inlineStr">
        <is>
          <t>Transition from 670G to Tandem and Dex G6?</t>
        </is>
      </c>
      <c r="C9126" t="inlineStr">
        <is>
          <t>I am not too happy with my 670G pump ESPECIALLY with the sensor since I just bleed every time I try to use it.. I’ve been thinking to switch to the Tandem Slim with the Dex G6 and if that’s a good plan or not..
Is there actually less finger pricking and is it actually accurate? Could you guys tell me if you have had any problems with it too? Like shipping problems and stuff..</t>
        </is>
      </c>
      <c r="D9126" t="n">
        <v>1</v>
      </c>
      <c r="E9126" t="n">
        <v>4</v>
      </c>
      <c r="F9126">
        <f>HYPERLINK("https://www.reddit.com/r/diabetes/comments/g7zr3b/transition_from_670g_to_tandem_and_dex_g6/")</f>
        <v/>
      </c>
      <c r="G9126" t="inlineStr">
        <is>
          <t>2020-04-25 12:32:51</t>
        </is>
      </c>
      <c r="H9126" t="inlineStr">
        <is>
          <t>Type 1</t>
        </is>
      </c>
    </row>
    <row r="9127">
      <c r="A9127" t="inlineStr">
        <is>
          <t>g8384c</t>
        </is>
      </c>
      <c r="B9127" t="inlineStr">
        <is>
          <t>Dexcom G6 is it waterproof?</t>
        </is>
      </c>
      <c r="C9127" t="inlineStr">
        <is>
          <t>Hi all,
I just got my dexcom G6 as a type 2. My question is can you take a bath with it?</t>
        </is>
      </c>
      <c r="D9127" t="n">
        <v>1</v>
      </c>
      <c r="E9127" t="n">
        <v>3</v>
      </c>
      <c r="F9127">
        <f>HYPERLINK("https://www.reddit.com/r/diabetes/comments/g8384c/dexcom_g6_is_it_waterproof/")</f>
        <v/>
      </c>
      <c r="G9127" t="inlineStr">
        <is>
          <t>2020-04-25 15:59:12</t>
        </is>
      </c>
      <c r="H9127" t="inlineStr">
        <is>
          <t>Type 2</t>
        </is>
      </c>
    </row>
    <row r="9128">
      <c r="A9128" t="inlineStr">
        <is>
          <t>g84wft</t>
        </is>
      </c>
      <c r="B9128" t="inlineStr">
        <is>
          <t>Que: My glucometer showed two diff results within 1 minute gap.. how to know right level ?</t>
        </is>
      </c>
      <c r="C9128" t="inlineStr">
        <is>
          <t>Que: I am T2 since 7-8 years .. I am using “Freestyle Precision Neo” for my regular sugar check.. today I checked my sugar twice after 2 hours of meal both time diff results.. it showed 131 and then 156 within 1 minute gap.. how can be this possible? Also as far as I know if the sugar is less then 200 then it’s good.. for heads up.. I didn’t took my diabetic meds.. is it a good news or my meter is not correct... I am confused</t>
        </is>
      </c>
      <c r="D9128" t="n">
        <v>1</v>
      </c>
      <c r="E9128" t="n">
        <v>10</v>
      </c>
      <c r="F9128">
        <f>HYPERLINK("https://www.reddit.com/r/diabetes/comments/g84wft/que_my_glucometer_showed_two_diff_results_within/")</f>
        <v/>
      </c>
      <c r="G9128" t="inlineStr">
        <is>
          <t>2020-04-25 17:44:34</t>
        </is>
      </c>
      <c r="H9128" t="inlineStr">
        <is>
          <t>Type 2</t>
        </is>
      </c>
    </row>
    <row r="9129">
      <c r="A9129" t="inlineStr">
        <is>
          <t>g85hq0</t>
        </is>
      </c>
      <c r="B9129" t="inlineStr">
        <is>
          <t>Trigger warning - Topic Regarding ED</t>
        </is>
      </c>
      <c r="C9129" t="inlineStr">
        <is>
          <t>So, I’m making some gradual steps to my recovery from a rough month long spout of “Diabulimia” that progressed from anorexic tendencies. I was never hospitalized, fortunately, as I wasn’t nearly as DKA ridden as I could’ve been. However, getting on insulin therapy I’ve noticed some abdominal swelling/pressure/bloating/etc. I’m worried it’s something chronic, but if there are any recommendations on how to just relieve this swelling and pressure I’ll take them. 
I’m not going to let this kill me. My life has so much value.</t>
        </is>
      </c>
      <c r="D9129" t="n">
        <v>1</v>
      </c>
      <c r="E9129" t="n">
        <v>0</v>
      </c>
      <c r="F9129">
        <f>HYPERLINK("https://www.reddit.com/r/diabetes/comments/g85hq0/trigger_warning_topic_regarding_ed/")</f>
        <v/>
      </c>
      <c r="G9129" t="inlineStr">
        <is>
          <t>2020-04-25 18:24:20</t>
        </is>
      </c>
      <c r="H9129" t="inlineStr">
        <is>
          <t>Type 1</t>
        </is>
      </c>
    </row>
    <row r="9130">
      <c r="A9130" t="inlineStr">
        <is>
          <t>g86aqi</t>
        </is>
      </c>
      <c r="B9130" t="inlineStr">
        <is>
          <t>Aggravated!!!</t>
        </is>
      </c>
      <c r="C9130" t="inlineStr">
        <is>
          <t>I just wanted to talk about how some people will absolutely get under my skin assuming that we cannot have anything to drink but water. Like yes I understand you thinking that diabetics shouldn't have sugar. But it kills me some people actually assume we don't have some good pop to drink every once in a while. I mean why else make diet, or drinks like mountain dew zero? I love mountain dew, but if I ask someone for one, and they know I'm a diabetic, I get a blank stare like "are you allowed that?" lol idk.. just a thought.. Venting done*</t>
        </is>
      </c>
      <c r="D9130" t="n">
        <v>1</v>
      </c>
      <c r="E9130" t="n">
        <v>10</v>
      </c>
      <c r="F9130">
        <f>HYPERLINK("https://www.reddit.com/r/diabetes/comments/g86aqi/aggravated/")</f>
        <v/>
      </c>
      <c r="G9130" t="inlineStr">
        <is>
          <t>2020-04-25 19:19:18</t>
        </is>
      </c>
      <c r="H9130" t="inlineStr">
        <is>
          <t>Type 1</t>
        </is>
      </c>
    </row>
    <row r="9131">
      <c r="A9131" t="inlineStr">
        <is>
          <t>g86fez</t>
        </is>
      </c>
      <c r="B9131" t="inlineStr">
        <is>
          <t>Why hasn’t the ADA updated a1c goals to reflect new research and better diabetic management solutions (cgm)?</t>
        </is>
      </c>
      <c r="C9131" t="inlineStr">
        <is>
          <t>Why does the American Diabetes Association say that non-diabetics have a1cs below 5.7? And  above 5.7 is pre diabetes and then diabetes territory? There is research showing that an a1c above 5% is linked to an increased risk in cardiovascular disease.... 
CGMs allow us to have better glucose control, knowledge about our basal and bolus rates, as well as low alerts. Shouldn’t we be encouraged to use this new technology to be the healthiest we possibly can be? I understand that before CGMs, the risk of constant lows probably drove up the a1c recommendation. But now that we can see and predict lows, what gives? Obviously no one is perfect... but even a goal of below 5.3 rather than below 6.0 for a diabetic a1c would dramatically decrease the risk of CVD. Don’t you think if your a1c goal was lower, you might push harder for better results? Particularly for new diabetics who don’t know any different? 
This is just something that has been bothering me and I’d love some of your opinions... also, does anyone else find it frustrating that widely available diabetic information, particularly for type 1s, is SO OUTDATED - and this is from official resources!!! I’ve learned so much more from this community, scientific research papers, and friends than the ADA ever taught me!
Here are some links related to the a1c stuff, but there’s plenty more info out there if you go digging. 
[link 1](https://www.ncbi.nlm.nih.gov/pmc/articles/PMC2911064/)
[link 2](https://kresserinstitute.com/normal-blood-sugar-isnt-normal-part-2/)
[link 3](https://www.amjmed.com/article/S0002-9343(08)00231-3/fulltext)</t>
        </is>
      </c>
      <c r="D9131" t="n">
        <v>1</v>
      </c>
      <c r="E9131" t="n">
        <v>13</v>
      </c>
      <c r="F9131">
        <f>HYPERLINK("https://www.reddit.com/r/diabetes/comments/g86fez/why_hasnt_the_ada_updated_a1c_goals_to_reflect/")</f>
        <v/>
      </c>
      <c r="G9131" t="inlineStr">
        <is>
          <t>2020-04-25 19:28:47</t>
        </is>
      </c>
      <c r="H9131" t="inlineStr">
        <is>
          <t>Type 1</t>
        </is>
      </c>
    </row>
    <row r="9132">
      <c r="A9132" t="inlineStr">
        <is>
          <t>g86ggh</t>
        </is>
      </c>
      <c r="B9132" t="inlineStr">
        <is>
          <t>Trigger Waring - Coping with an ED</t>
        </is>
      </c>
      <c r="C9132" t="inlineStr">
        <is>
          <t>Hey everyone,
So I’m in the very first stages of recovery from a month of some acute “diabulimia”. For those unaware, I found this video to describe it effectively, as well as warn of its destructive nature - https://youtu.be/DZqSMNnyDpI
I’ve just started insulin therapy willingly. Sort of like being diagnosed all over again. Went from the sleek tandem pump (which I can’t wait to get back on), to short and long acting insulin. I won’t lie, I was omitting even the pens for a while, but the other day I bit the bullet and took my dosages. 
The sensation of returning to a *normal* state after being poisoned by ketones for so long I can only describe as... a brutal return to homeostasis. Like the glucose to my cells, I felt my body almost immediately begin to rejuvenate. 
I feel strength to my legs, my arms, and to my mind. It’s all overwhelming right now. It’s like the emotions I’ve not felt for so long cane RUSHING back to me. Like a floodgate opening. Sadness, happiness, anger, regret, all of it. Thank god my moms been home off work. Between my intense fits of sobbing and sudden burst of energy, I don’t know how I’d balance this out without her. Yet, while there are moments the anxiety wants thrust my heart out my chest, all I can think is I never, ever want to be in that dark place again. 
I play a trick on myself and use my obsessive, numbers-oriented mindset to beat down the bad voice. For every injection, I’m making an investment. Into my health, my mind, my family, and my life. For every pound I aim to lose, who knows which one of those I’ll lose first. 
I look in the mirror and for the first time I see the degradation; the destructive path my body has been on. I don’t want it anymore. I want to feel again, even the hardships and heartbreak, because the human condition is beautiful; not a number on a scale.
I’m not goin anywhere.</t>
        </is>
      </c>
      <c r="D9132" t="n">
        <v>1</v>
      </c>
      <c r="E9132" t="n">
        <v>0</v>
      </c>
      <c r="F9132">
        <f>HYPERLINK("https://www.reddit.com/r/diabetes/comments/g86ggh/trigger_waring_coping_with_an_ed/")</f>
        <v/>
      </c>
      <c r="G9132" t="inlineStr">
        <is>
          <t>2020-04-25 19:30:54</t>
        </is>
      </c>
      <c r="H9132" t="inlineStr">
        <is>
          <t>Type 1</t>
        </is>
      </c>
    </row>
    <row r="9133">
      <c r="A9133" t="inlineStr">
        <is>
          <t>g8753w</t>
        </is>
      </c>
      <c r="B9133" t="inlineStr">
        <is>
          <t>I’ve been feeling alienated from the diabetic community but reading on here helps.</t>
        </is>
      </c>
      <c r="C9133" t="inlineStr">
        <is>
          <t>Honestly I was scared to post for fear of negative comments. I have only met two other diabetics and I’ve always felt like an outsider of the diabetic community because of little differences and not much interaction with the community. However reading your stories and comments have made me feel less alone. I hope no one else here feels alone. I don’t really understand reddit so I hope this post is okay. :)</t>
        </is>
      </c>
      <c r="D9133" t="n">
        <v>1</v>
      </c>
      <c r="E9133" t="n">
        <v>10</v>
      </c>
      <c r="F9133">
        <f>HYPERLINK("https://www.reddit.com/r/diabetes/comments/g8753w/ive_been_feeling_alienated_from_the_diabetic/")</f>
        <v/>
      </c>
      <c r="G9133" t="inlineStr">
        <is>
          <t>2020-04-25 20:20:03</t>
        </is>
      </c>
      <c r="H9133" t="inlineStr">
        <is>
          <t>Type 1</t>
        </is>
      </c>
    </row>
    <row r="9134">
      <c r="A9134" t="inlineStr">
        <is>
          <t>g87gqe</t>
        </is>
      </c>
      <c r="B9134" t="inlineStr">
        <is>
          <t>Control iq tandem x2slim</t>
        </is>
      </c>
      <c r="C9134" t="inlineStr">
        <is>
          <t>Every group im in ill ask what the downside is to this up grade and every reply is its great. Nothing is perfect lol.
So im here asking ,if youve made the switch  from which there is no return ;) , what do you wish you knew? What do you wish was different? 
My current a1c was 6.8 for me a proud moment because i didnt do anything different it was just a new pump :) Ive been authorized already to up grade and have been since release day.</t>
        </is>
      </c>
      <c r="D9134" t="n">
        <v>1</v>
      </c>
      <c r="E9134" t="n">
        <v>0</v>
      </c>
      <c r="F9134">
        <f>HYPERLINK("https://www.reddit.com/r/diabetes/comments/g87gqe/control_iq_tandem_x2slim/")</f>
        <v/>
      </c>
      <c r="G9134" t="inlineStr">
        <is>
          <t>2020-04-25 20:43:24</t>
        </is>
      </c>
      <c r="H9134" t="inlineStr">
        <is>
          <t>Type 1</t>
        </is>
      </c>
    </row>
    <row r="9135">
      <c r="A9135" t="inlineStr">
        <is>
          <t>g89ar7</t>
        </is>
      </c>
      <c r="B9135" t="inlineStr">
        <is>
          <t>Type 2 Diabetic - is there some middle low carb ground between normal diet and keto?</t>
        </is>
      </c>
      <c r="C9135" t="inlineStr">
        <is>
          <t>So, I’m obese and it is causing problems. I’m turning 40 this year. I’ve been diabetic for a few years now, but it is only within the past year that my A1C, even on medicines, has been higher than 7. My last reading was 7.4, and three months earlier it was 8.3. 
In the past, I was very successful with the keto diet. I’ve actually used it a couple of different times, and the weight just falls off me at the rate of about a pound every other day. I lost about 80 pounds once, regained some, and lost at least 50 again. 
The trouble for me is that keto is very hard to maintain for longer than about six months. 
I’m currently taking Metformin and Jardiance. My doctor says that Jardiance helps my body to excrete some amount of excess sugar. It has helped my A1C come down and I’ve lost about 25 pounds since late January.
I’m thinking maybe the Jardiance might allow me to consume more than the 20 net carbs allowed with keto and still lose weight and control my blood sugar. 
It is extremely hard emotionally to go through losing weight and regaining it. Its harder than being fat to begin with. It’s embarrassing. It’s also probably bad for my body. I do not want to do that again. I could just bite the bullet and go keto tomorrow, drop 50 pounds in three months, and then fall of the wagon because after awhile, I just can’t maintain it. I really, really don’t want to have to do that again.
**TL;DR: Has anyone found success losing weight and maintaining healthy blood sugars with a moderately low carb diet that isn’t ketogenic?**</t>
        </is>
      </c>
      <c r="D9135" t="n">
        <v>1</v>
      </c>
      <c r="E9135" t="n">
        <v>3</v>
      </c>
      <c r="F9135">
        <f>HYPERLINK("https://www.reddit.com/r/diabetes/comments/g89ar7/type_2_diabetic_is_there_some_middle_low_carb/")</f>
        <v/>
      </c>
      <c r="G9135" t="inlineStr">
        <is>
          <t>2020-04-25 23:05:37</t>
        </is>
      </c>
      <c r="H9135" t="inlineStr">
        <is>
          <t>Type 2</t>
        </is>
      </c>
    </row>
    <row r="9136">
      <c r="A9136" t="inlineStr">
        <is>
          <t>g8bwrr</t>
        </is>
      </c>
      <c r="B9136" t="inlineStr">
        <is>
          <t>Lonely diabeto</t>
        </is>
      </c>
      <c r="C9136" t="inlineStr">
        <is>
          <t>I’m new here and was diagnosed with type 1 diabetes when I was a preteen, it really effected me then. I went from living a normal life to taking multiple shots and pills a day and I just felt kinda isolated from other kids. I’ve never in my life had a conversation with another diabetic. Or befriended any for that matter. That’s kinda why I joined this sub, if anyone would like to chat or share. I’m more than open to talk and meet people like me.</t>
        </is>
      </c>
      <c r="D9136" t="n">
        <v>1</v>
      </c>
      <c r="E9136" t="n">
        <v>47</v>
      </c>
      <c r="F9136">
        <f>HYPERLINK("https://www.reddit.com/r/diabetes/comments/g8bwrr/lonely_diabeto/")</f>
        <v/>
      </c>
      <c r="G9136" t="inlineStr">
        <is>
          <t>2020-04-26 03:08:36</t>
        </is>
      </c>
      <c r="H9136" t="inlineStr">
        <is>
          <t>Type 1</t>
        </is>
      </c>
    </row>
    <row r="9137">
      <c r="A9137" t="inlineStr">
        <is>
          <t>g8c3lh</t>
        </is>
      </c>
      <c r="B9137" t="inlineStr">
        <is>
          <t>Late Night Thought.</t>
        </is>
      </c>
      <c r="C9137" t="inlineStr">
        <is>
          <t>I really think about this disease alot at night especially when I can't sleep. I really get down sometimes, and think I was a bad little kid, or didn't have any manors. Or fought with my mom to much. Or just something bad that made me deserve this disease. Think about it, Diabetes made me the most responsible person I know. I believe all diabetes are very responsible just because of the fact that if we don't monitor our sugar and inject insulin Daily.. we'll basically die. Idk.. just something I think about when I'm beating myself up. 😒🤦‍♂️</t>
        </is>
      </c>
      <c r="D9137" t="n">
        <v>1</v>
      </c>
      <c r="E9137" t="n">
        <v>2</v>
      </c>
      <c r="F9137">
        <f>HYPERLINK("https://www.reddit.com/r/diabetes/comments/g8c3lh/late_night_thought/")</f>
        <v/>
      </c>
      <c r="G9137" t="inlineStr">
        <is>
          <t>2020-04-26 03:26:11</t>
        </is>
      </c>
      <c r="H9137" t="inlineStr">
        <is>
          <t>Type 1</t>
        </is>
      </c>
    </row>
    <row r="9138">
      <c r="A9138" t="inlineStr">
        <is>
          <t>g8dxky</t>
        </is>
      </c>
      <c r="B9138" t="inlineStr">
        <is>
          <t>Type 1 &amp;amp; CBD oil</t>
        </is>
      </c>
      <c r="C9138" t="inlineStr">
        <is>
          <t>Anyone here use CBD oil? I’ve been recommended it but never used it before and would like a bit more info. Thanks!</t>
        </is>
      </c>
      <c r="D9138" t="n">
        <v>1</v>
      </c>
      <c r="E9138" t="n">
        <v>12</v>
      </c>
      <c r="F9138">
        <f>HYPERLINK("https://www.reddit.com/r/diabetes/comments/g8dxky/type_1_cbd_oil/")</f>
        <v/>
      </c>
      <c r="G9138" t="inlineStr">
        <is>
          <t>2020-04-26 05:59:47</t>
        </is>
      </c>
      <c r="H9138" t="inlineStr">
        <is>
          <t>Type 1</t>
        </is>
      </c>
    </row>
    <row r="9139">
      <c r="A9139" t="inlineStr">
        <is>
          <t>g8fuh5</t>
        </is>
      </c>
      <c r="B9139" t="inlineStr">
        <is>
          <t>Anyone else here allergic to insulin?</t>
        </is>
      </c>
      <c r="C9139" t="inlineStr">
        <is>
          <t>Hello! 
I'm a type 1 diabetic that got diagnosed when I was 12. When I got my first got insulin, my skin got irritated, I broke out in hives and almost fainted because my blood pressure plummeted. 
Doctors did some more tests and I came back positive for insulin allergy. I can't survive without insulin, but constantly injecting myself with the stuff might end up killing me one day too. I've tried finding other people in the same situation, but apparently insulin allergy in diabetics is quite rare. 
Someone pointed me to this subreddit, so here I am!</t>
        </is>
      </c>
      <c r="D9139" t="n">
        <v>1</v>
      </c>
      <c r="E9139" t="n">
        <v>22</v>
      </c>
      <c r="F9139">
        <f>HYPERLINK("https://www.reddit.com/r/diabetes/comments/g8fuh5/anyone_else_here_allergic_to_insulin/")</f>
        <v/>
      </c>
      <c r="G9139" t="inlineStr">
        <is>
          <t>2020-04-26 08:05:28</t>
        </is>
      </c>
      <c r="H9139" t="inlineStr">
        <is>
          <t>Type 1</t>
        </is>
      </c>
    </row>
    <row r="9140">
      <c r="A9140" t="inlineStr">
        <is>
          <t>g8hkh6</t>
        </is>
      </c>
      <c r="B9140" t="inlineStr">
        <is>
          <t>Super bad insulin resistance?</t>
        </is>
      </c>
      <c r="C9140" t="inlineStr">
        <is>
          <t>So lately my insulin resistance has been horrible. I’ve noticed it get worse over the last couple months. This morning my blood was at 108, I had a cookie that had 8g of carbs and my BG shot to 159. Lately even if I eat a tiny amount of carbs my blood skyrockets. It’s been really annoying. A 30gcarb sandwich is a quick trip to 200-250</t>
        </is>
      </c>
      <c r="D9140" t="n">
        <v>1</v>
      </c>
      <c r="E9140" t="n">
        <v>23</v>
      </c>
      <c r="F9140">
        <f>HYPERLINK("https://www.reddit.com/r/diabetes/comments/g8hkh6/super_bad_insulin_resistance/")</f>
        <v/>
      </c>
      <c r="G9140" t="inlineStr">
        <is>
          <t>2020-04-26 09:42:31</t>
        </is>
      </c>
      <c r="H9140" t="inlineStr">
        <is>
          <t>Type 2</t>
        </is>
      </c>
    </row>
    <row r="9141">
      <c r="A9141" t="inlineStr">
        <is>
          <t>g8jtgy</t>
        </is>
      </c>
      <c r="B9141" t="inlineStr">
        <is>
          <t>How life threatening is ketoacidosis?</t>
        </is>
      </c>
      <c r="C9141" t="inlineStr">
        <is>
          <t>My younger brother has had T1 for 15+ years and he’s managed it alright and has never had any major scares like this before. For the last couple weeks or so, he thought he had strep or maybe COVID. Then over the last few days he was vomiting a lot and felt weak and just overall getting worse, so my mom took him to the ER. He was diagnosed with diabetes ketoacidosis and transferred to another hospital. Visitors are not allowed at the hospital he’s at right now and he’s over an hour away now, so we don’t really know what’s going on with him and what the doctors are saying. How life threatening is diabetes ketoacidosis? I’ve never heard of DKA before today and I’m trying to do my research on it.</t>
        </is>
      </c>
      <c r="D9141" t="n">
        <v>1</v>
      </c>
      <c r="E9141" t="n">
        <v>1</v>
      </c>
      <c r="F9141">
        <f>HYPERLINK("https://www.reddit.com/r/diabetes/comments/g8jtgy/how_life_threatening_is_ketoacidosis/")</f>
        <v/>
      </c>
      <c r="G9141" t="inlineStr">
        <is>
          <t>2020-04-26 11:42:20</t>
        </is>
      </c>
      <c r="H9141" t="inlineStr">
        <is>
          <t>Type 1</t>
        </is>
      </c>
    </row>
    <row r="9142">
      <c r="A9142" t="inlineStr">
        <is>
          <t>g8kdgn</t>
        </is>
      </c>
      <c r="B9142" t="inlineStr">
        <is>
          <t>HEAT and Blood sugar</t>
        </is>
      </c>
      <c r="C9142" t="inlineStr">
        <is>
          <t>I live in southern Arizona. We have reached 100 degree heat. It’s also very dry. My blood sugar is trending super low. Having trouble getting it up. Also my CGM (libre) seems less accurate.
Was diagnosed a couple months ago, so this will be my first Diabetic Summer. I’m sure the heat will continue marching up. 
Tips?</t>
        </is>
      </c>
      <c r="D9142" t="n">
        <v>1</v>
      </c>
      <c r="E9142" t="n">
        <v>7</v>
      </c>
      <c r="F9142">
        <f>HYPERLINK("https://www.reddit.com/r/diabetes/comments/g8kdgn/heat_and_blood_sugar/")</f>
        <v/>
      </c>
      <c r="G9142" t="inlineStr">
        <is>
          <t>2020-04-26 12:10:59</t>
        </is>
      </c>
      <c r="H9142" t="inlineStr">
        <is>
          <t>Type 1</t>
        </is>
      </c>
    </row>
    <row r="9143">
      <c r="A9143" t="inlineStr">
        <is>
          <t>g8ljrg</t>
        </is>
      </c>
      <c r="B9143" t="inlineStr">
        <is>
          <t>Sometimes when I think I am having an anxiety attack it is a drastically low glucose level, other times I think I am having low glucose and it is an anxiety attack.</t>
        </is>
      </c>
      <c r="C9143" t="inlineStr">
        <is>
          <t>I hate it.</t>
        </is>
      </c>
      <c r="D9143" t="n">
        <v>1</v>
      </c>
      <c r="E9143" t="n">
        <v>58</v>
      </c>
      <c r="F9143">
        <f>HYPERLINK("https://www.reddit.com/r/diabetes/comments/g8ljrg/sometimes_when_i_think_i_am_having_an_anxiety/")</f>
        <v/>
      </c>
      <c r="G9143" t="inlineStr">
        <is>
          <t>2020-04-26 13:15:15</t>
        </is>
      </c>
      <c r="H9143" t="inlineStr">
        <is>
          <t>Type 2</t>
        </is>
      </c>
    </row>
    <row r="9144">
      <c r="A9144" t="inlineStr">
        <is>
          <t>g8mghj</t>
        </is>
      </c>
      <c r="B9144" t="inlineStr">
        <is>
          <t>New pump user, what’s the real deal with changing supplies?</t>
        </is>
      </c>
      <c r="C9144" t="inlineStr">
        <is>
          <t>I just got the T-Slim, this is the first pump I’ve used. Everything official tells me to change the tubing/infusion/reservoir every three days, which I understand. I noticed that while there is a reminder, there is no hard stop like the dexcom.  Could I just wait until the insulin runs out? Can you keep it going another day or two? Can the tanks be reused? 
I’m not asking for medical advice, obviously that would be to follow the directions - I’m just trying to figure out how stressed I should be about changing stuff out.</t>
        </is>
      </c>
      <c r="D9144" t="n">
        <v>1</v>
      </c>
      <c r="E9144" t="n">
        <v>6</v>
      </c>
      <c r="F9144">
        <f>HYPERLINK("https://www.reddit.com/r/diabetes/comments/g8mghj/new_pump_user_whats_the_real_deal_with_changing/")</f>
        <v/>
      </c>
      <c r="G9144" t="inlineStr">
        <is>
          <t>2020-04-26 14:05:31</t>
        </is>
      </c>
      <c r="H9144" t="inlineStr">
        <is>
          <t>Type 1</t>
        </is>
      </c>
    </row>
    <row r="9145">
      <c r="A9145" t="inlineStr">
        <is>
          <t>g8mlcz</t>
        </is>
      </c>
      <c r="B9145" t="inlineStr">
        <is>
          <t>My pre workout (NitroFlex) seems to make my BG drop.</t>
        </is>
      </c>
      <c r="C9145" t="inlineStr">
        <is>
          <t>This may sound ridiculous but I’ve been experimenting with this for a few weeks now and without and outside factors (exercise, food, insulin) this pre workout lowers my blood sugar every time I use it on its own.
Anyone ever experience this with anything else they eat or drink?</t>
        </is>
      </c>
      <c r="D9145" t="n">
        <v>1</v>
      </c>
      <c r="E9145" t="n">
        <v>0</v>
      </c>
      <c r="F9145">
        <f>HYPERLINK("https://www.reddit.com/r/diabetes/comments/g8mlcz/my_pre_workout_nitroflex_seems_to_make_my_bg_drop/")</f>
        <v/>
      </c>
      <c r="G9145" t="inlineStr">
        <is>
          <t>2020-04-26 14:12:48</t>
        </is>
      </c>
      <c r="H9145" t="inlineStr">
        <is>
          <t>Type 1</t>
        </is>
      </c>
    </row>
    <row r="9146">
      <c r="A9146" t="inlineStr">
        <is>
          <t>g8ouhn</t>
        </is>
      </c>
      <c r="B9146" t="inlineStr">
        <is>
          <t>I Was recently diagnosed with type 2 diabetes and I have this issue with muscle spasms</t>
        </is>
      </c>
      <c r="C9146" t="inlineStr">
        <is>
          <t>Currently diagnosed with type 2 diabetes. I was in the hospital for 3 days due to DKA and my electrolyte levels were imbalanced. 
I was sent home and one if the things I'm having trouble with right now is my muscle spasm. When I turn my neck or pump my fist, it's like my muscles are working against me and I have trouble turning my neck the other way or spreading our my fingers from the fist. 
My sugar levels are high but I sometimes experience it when I haven't even eaten.
Anybody find luck with this situation?</t>
        </is>
      </c>
      <c r="D9146" t="n">
        <v>1</v>
      </c>
      <c r="E9146" t="n">
        <v>7</v>
      </c>
      <c r="F9146">
        <f>HYPERLINK("https://www.reddit.com/r/diabetes/comments/g8ouhn/i_was_recently_diagnosed_with_type_2_diabetes_and/")</f>
        <v/>
      </c>
      <c r="G9146" t="inlineStr">
        <is>
          <t>2020-04-26 16:19:34</t>
        </is>
      </c>
      <c r="H9146" t="inlineStr">
        <is>
          <t>Type 2</t>
        </is>
      </c>
    </row>
    <row r="9147">
      <c r="A9147" t="inlineStr">
        <is>
          <t>g8pvvp</t>
        </is>
      </c>
      <c r="B9147" t="inlineStr">
        <is>
          <t>Emergency tips: 25 units of insulin by accident</t>
        </is>
      </c>
      <c r="C9147" t="inlineStr">
        <is>
          <t>An hour ago my girlfriend accidentally took 25 units of her short acting insulin instead of her long acting insulin. 
We've figured out she needs to consume about 300 carbs to counteract it. She's basing this on her knowledge of how her body reacts. 
We're keeping track of her blood sugar (when she tests it every 15 minutes) and all the Gatorades and honey she is consuming. But since she just ate dinner a little over an hour ago, just before she did her insulin, she's insanely full. Any tips for how to keep her from getting stupid low while making sure she doesn't throw it all up? She doesn't like soda or anything unhealthy... but feel free to toss in whatever suggestions you can. 
I do have glucagon, but we really do NOT want to use it because it's not the greatest solution and also, we don't want her exposed to an ambulance or a hospital or anyone outside of our home due to COVID-19. 
TIA!</t>
        </is>
      </c>
      <c r="D9147" t="n">
        <v>1</v>
      </c>
      <c r="E9147" t="n">
        <v>18</v>
      </c>
      <c r="F9147">
        <f>HYPERLINK("https://www.reddit.com/r/diabetes/comments/g8pvvp/emergency_tips_25_units_of_insulin_by_accident/")</f>
        <v/>
      </c>
      <c r="G9147" t="inlineStr">
        <is>
          <t>2020-04-26 17:19:48</t>
        </is>
      </c>
      <c r="H9147" t="inlineStr">
        <is>
          <t>Type 1</t>
        </is>
      </c>
    </row>
    <row r="9148">
      <c r="A9148" t="inlineStr">
        <is>
          <t>g8qgtk</t>
        </is>
      </c>
      <c r="B9148" t="inlineStr">
        <is>
          <t>What a weekend</t>
        </is>
      </c>
      <c r="C9148" t="inlineStr">
        <is>
          <t>So for about a month or so, I was dealing with constant thirst.  Then going to the bathroom all the time.  I went to get checked out and the nurse sent me to the hospital.  Found out my blood sugar was at 812. So now I've been diagnosed as a type 2 diabetic.  Spent a total of 3 days in the hospital because of it.
I am out and feeling better, but this is something that is quite unexpected to say the least. Are there any resources that anyone can suggest for food and weight management?  I have arthritis in both my knees so some things are kind of hard for me tob do.</t>
        </is>
      </c>
      <c r="D9148" t="n">
        <v>1</v>
      </c>
      <c r="E9148" t="n">
        <v>2</v>
      </c>
      <c r="F9148">
        <f>HYPERLINK("https://www.reddit.com/r/diabetes/comments/g8qgtk/what_a_weekend/")</f>
        <v/>
      </c>
      <c r="G9148" t="inlineStr">
        <is>
          <t>2020-04-26 17:56:01</t>
        </is>
      </c>
      <c r="H9148" t="inlineStr">
        <is>
          <t>Type 2</t>
        </is>
      </c>
    </row>
    <row r="9149">
      <c r="A9149" t="inlineStr">
        <is>
          <t>g8suh2</t>
        </is>
      </c>
      <c r="B9149" t="inlineStr">
        <is>
          <t>This is EXHAUSTING</t>
        </is>
      </c>
      <c r="C9149" t="inlineStr">
        <is>
          <t>I have been avoiding my humalog shots for a couple weeks now because it seems like every time I take it, my blood sugars drop too much. I was at about 300 before dinner tonight, so I decided to take my normal 4u...got scared as I was injecting it and only did about 2.5-3u. Now, here I am **an hour** later at 112, eating oatmeal and drinking soda to prevent from dropping further. This is exhausting and frustrating..wondering if I will *ever* get the hang of this.</t>
        </is>
      </c>
      <c r="D9149" t="n">
        <v>1</v>
      </c>
      <c r="E9149" t="n">
        <v>2</v>
      </c>
      <c r="F9149">
        <f>HYPERLINK("https://www.reddit.com/r/diabetes/comments/g8suh2/this_is_exhausting/")</f>
        <v/>
      </c>
      <c r="G9149" t="inlineStr">
        <is>
          <t>2020-04-26 20:34:41</t>
        </is>
      </c>
      <c r="H9149" t="inlineStr">
        <is>
          <t>Type 1.5/LADA</t>
        </is>
      </c>
    </row>
    <row r="9150">
      <c r="A9150" t="inlineStr">
        <is>
          <t>g8va2n</t>
        </is>
      </c>
      <c r="B9150" t="inlineStr">
        <is>
          <t>Can anyone help me (from Canada) and tell me which the best blood monitor to get?</t>
        </is>
      </c>
      <c r="C9150" t="inlineStr">
        <is>
          <t>I realized today my blood monitor is nearly 5 years old. My Diabetic specialist told me apparently I have to replace it every 2 years. I'm totally lost as which is the best to get. 
My last one was One Touch Verio and its been playing up (totally high readings when all my blood tests have come back way lower) so if anyone could advise/point me in the right direction, I'd be grateful. Thanks in advance!</t>
        </is>
      </c>
      <c r="D9150" t="n">
        <v>1</v>
      </c>
      <c r="E9150" t="n">
        <v>5</v>
      </c>
      <c r="F9150">
        <f>HYPERLINK("https://www.reddit.com/r/diabetes/comments/g8va2n/can_anyone_help_me_from_canada_and_tell_me_which/")</f>
        <v/>
      </c>
      <c r="G9150" t="inlineStr">
        <is>
          <t>2020-04-26 23:34:04</t>
        </is>
      </c>
      <c r="H9150" t="inlineStr">
        <is>
          <t>Type 2</t>
        </is>
      </c>
    </row>
    <row r="9151">
      <c r="A9151" t="inlineStr">
        <is>
          <t>g92yl2</t>
        </is>
      </c>
      <c r="B9151" t="inlineStr">
        <is>
          <t>Tuna Salad for diabetics - Low carbs salad</t>
        </is>
      </c>
      <c r="C9151" t="inlineStr">
        <is>
          <t>Hello Guys
I am a diabetic type 1 for 10 years now. I just started a new youtube channel where I post various things about my diabetes management.
Here is a video about a very healthy and easy meal that I use. Also, I talk about the amount of insulin I take and what is the impact on my BS. I attach the Dexcom trends.
Here is the video:
[https://youtu.be/fH99Y-SDeus](https://youtu.be/fH99Y-SDeus)
Please leave some feedback below.
Thanks</t>
        </is>
      </c>
      <c r="D9151" t="n">
        <v>2</v>
      </c>
      <c r="E9151" t="n">
        <v>2</v>
      </c>
      <c r="F9151">
        <f>HYPERLINK("https://www.reddit.com/r/diabetes/comments/g92yl2/tuna_salad_for_diabetics_low_carbs_salad/")</f>
        <v/>
      </c>
      <c r="G9151" t="inlineStr">
        <is>
          <t>2020-04-27 08:35:37</t>
        </is>
      </c>
      <c r="H9151" t="inlineStr">
        <is>
          <t>Type 1</t>
        </is>
      </c>
    </row>
    <row r="9152">
      <c r="A9152" t="inlineStr">
        <is>
          <t>g9966j</t>
        </is>
      </c>
      <c r="B9152" t="inlineStr">
        <is>
          <t>Losing hypo awareness</t>
        </is>
      </c>
      <c r="C9152" t="inlineStr">
        <is>
          <t>I'm worried I've lost/ am losing my hypo awareness. When I was in hospital recovering from DKA I had several hypos that I didn't feel. Maybe that's because my body was all messed up still but they were only noticed because the nurses were regularly checking my levels.
I also had a hypo earlier today that I didn't feel (3.7mmol/L). Usually I'm pretty good at feeling them but I felt nothing, I only caught it because I was going to get a snack.
Maybe I'm still recovering from DKA and that's why? Last night and this morning I had some nausea, stomach pain and headaches. Honestly I'm quite scared if I've lost my awareness and I don't know what to do if I have.</t>
        </is>
      </c>
      <c r="D9152" t="n">
        <v>1</v>
      </c>
      <c r="E9152" t="n">
        <v>4</v>
      </c>
      <c r="F9152">
        <f>HYPERLINK("https://www.reddit.com/r/diabetes/comments/g9966j/losing_hypo_awareness/")</f>
        <v/>
      </c>
      <c r="G9152" t="inlineStr">
        <is>
          <t>2020-04-27 13:52:21</t>
        </is>
      </c>
      <c r="H9152" t="inlineStr">
        <is>
          <t>Type 1</t>
        </is>
      </c>
    </row>
    <row r="9153">
      <c r="A9153" t="inlineStr">
        <is>
          <t>g99ls3</t>
        </is>
      </c>
      <c r="B9153" t="inlineStr">
        <is>
          <t>Need ideas. Drug recommendation?</t>
        </is>
      </c>
      <c r="C9153" t="inlineStr">
        <is>
          <t>I’ve been t2 for 25 years, I’m not overweight, (4’10”, 108lbs,) during pregnancy I had to be on insulin, but after I was put on glucophage in the mid 90s and it made me very sick so I was put on glipizides and learned to manage by diet/exercise for a while, but it didn’t work long term and a new Dr prescribed metformin in 2002, which made me very sick. I thInk he called it galactic acid or something like that. I went back to glipizide, diet, and exercise, then found bydureon. I had great success with Bydureon but my insurance stopped covering it and I can’t afford it. 
Is there another affordable drug like metformin/glucophage that doesn’t cause the horrible side effects? I’m ranging between 40 and 400 every day on the glipizide, when I was very stable on the Bydureon. 
Advice on drugs much appreciated!</t>
        </is>
      </c>
      <c r="D9153" t="n">
        <v>2</v>
      </c>
      <c r="E9153" t="n">
        <v>2</v>
      </c>
      <c r="F9153">
        <f>HYPERLINK("https://www.reddit.com/r/diabetes/comments/g99ls3/need_ideas_drug_recommendation/")</f>
        <v/>
      </c>
      <c r="G9153" t="inlineStr">
        <is>
          <t>2020-04-27 14:14:46</t>
        </is>
      </c>
      <c r="H9153" t="inlineStr">
        <is>
          <t>Type 2</t>
        </is>
      </c>
    </row>
    <row r="9154">
      <c r="A9154" t="inlineStr">
        <is>
          <t>g9adpr</t>
        </is>
      </c>
      <c r="B9154" t="inlineStr">
        <is>
          <t>True story...more about anxiety and blood sugar if you all might indulge me.</t>
        </is>
      </c>
      <c r="C9154" t="inlineStr">
        <is>
          <t>Hi All,
  So grateful for the feedback from you all on my last thread, this community is a treasure.
 ([https://www.reddit.com/r/diabetes/comments/g8ljrg/sometimes\_when\_i\_think\_i\_am\_having\_an\_anxiety/?utm\_source=share&amp;amp;utm\_medium=web2x](https://www.reddit.com/r/diabetes/comments/g8ljrg/sometimes_when_i_think_i_am_having_an_anxiety/?utm_source=share&amp;amp;utm_medium=web2x) )
So, I developed a deep fear of low glucose about 8 years ago. The following is the story of why.
   I had just started on glipizide at the time and did not realize that I was perhaps sensitive to it. One night that started out quite normally, I was on the laptop watching Netflix. Then flash to this not sure how long after:
"Woke up" collapsed in my tiny shower stall with ice cold water running over me. I couldn't see anything but horrifying hallucinations, much worse than any nightmare. I thought I had crossed over into another reality and couldn't move or think, just react to the horror of it in my mind. Then flash to this:
On the phone with my father, no memory of crawling from the shower to my cel phone. No memory of calling his number. No inkling that I should have called 911. "Came to" speaking gibberish, hysterically crying and telling him that I think I snapped, don't know what to do. So glad he had the presence of mind to ask me if I had checked my blood sugar. Hadn't even dawned on me that it could be related, my current state being complete helplessness. 
Sure enough, blood glucose of 30. I made my way to the kitchen, barely able to walk and grabbed bread and peanut butter. He stayed on the phone with me while I slowly chewed on it and slowly got more lucid. Eventually got into normal range and the relief that my mind had not just failed to function from then on or worse was palpable. 
Ever since, I overcorrect when I do go low. Also when I lived in a tent in the woods, I had something similar happen and no one to turn to. At least I knew what to do.
tl:dr  Low glucose is the scariest thing I can ever imagine.</t>
        </is>
      </c>
      <c r="D9154" t="n">
        <v>2</v>
      </c>
      <c r="E9154" t="n">
        <v>5</v>
      </c>
      <c r="F9154">
        <f>HYPERLINK("https://www.reddit.com/r/diabetes/comments/g9adpr/true_storymore_about_anxiety_and_blood_sugar_if/")</f>
        <v/>
      </c>
      <c r="G9154" t="inlineStr">
        <is>
          <t>2020-04-27 14:55:53</t>
        </is>
      </c>
      <c r="H9154" t="inlineStr">
        <is>
          <t>Type 2</t>
        </is>
      </c>
    </row>
    <row r="9155">
      <c r="A9155" t="inlineStr">
        <is>
          <t>g9alba</t>
        </is>
      </c>
      <c r="B9155" t="inlineStr">
        <is>
          <t>Help?</t>
        </is>
      </c>
      <c r="C9155" t="inlineStr">
        <is>
          <t>Bolus for 107 carbs and I can’t finish the meal what should I do? I ate about half of it...</t>
        </is>
      </c>
      <c r="D9155" t="n">
        <v>0</v>
      </c>
      <c r="E9155" t="n">
        <v>4</v>
      </c>
      <c r="F9155">
        <f>HYPERLINK("https://www.reddit.com/r/diabetes/comments/g9alba/help/")</f>
        <v/>
      </c>
      <c r="G9155" t="inlineStr">
        <is>
          <t>2020-04-27 15:07:16</t>
        </is>
      </c>
      <c r="H9155" t="inlineStr">
        <is>
          <t>Type 2</t>
        </is>
      </c>
    </row>
    <row r="9156">
      <c r="A9156" t="inlineStr">
        <is>
          <t>g9oud8</t>
        </is>
      </c>
      <c r="B9156" t="inlineStr">
        <is>
          <t>Which glucometer is better ?</t>
        </is>
      </c>
      <c r="C9156" t="inlineStr">
        <is>
          <t xml:space="preserve">
[View Poll](https://www.reddit.com/poll/g9oud8)</t>
        </is>
      </c>
      <c r="D9156" t="n">
        <v>0</v>
      </c>
      <c r="E9156" t="n">
        <v>9</v>
      </c>
      <c r="F9156">
        <f>HYPERLINK("https://www.reddit.com/r/diabetes/comments/g9oud8/which_glucometer_is_better/")</f>
        <v/>
      </c>
      <c r="G9156" t="inlineStr">
        <is>
          <t>2020-04-28 08:05:07</t>
        </is>
      </c>
      <c r="H9156" t="inlineStr">
        <is>
          <t>Type 2</t>
        </is>
      </c>
    </row>
    <row r="9157">
      <c r="A9157" t="inlineStr">
        <is>
          <t>g9qmzx</t>
        </is>
      </c>
      <c r="B9157" t="inlineStr">
        <is>
          <t>Blood sugar spiking after drinking water?</t>
        </is>
      </c>
      <c r="C9157" t="inlineStr">
        <is>
          <t>I am a type one on insulin and have been diabetic for 12 years in the past on and off I have noticed that if I drink water at random times throughout the day I get huge blood sugar spikes I have also found this when using correction dosages for highs from foods.
&amp;amp;#x200B;
Its a strange occurrence.</t>
        </is>
      </c>
      <c r="D9157" t="n">
        <v>1</v>
      </c>
      <c r="E9157" t="n">
        <v>5</v>
      </c>
      <c r="F9157">
        <f>HYPERLINK("https://www.reddit.com/r/diabetes/comments/g9qmzx/blood_sugar_spiking_after_drinking_water/")</f>
        <v/>
      </c>
      <c r="G9157" t="inlineStr">
        <is>
          <t>2020-04-28 09:41:46</t>
        </is>
      </c>
      <c r="H9157" t="inlineStr">
        <is>
          <t>Type 1</t>
        </is>
      </c>
    </row>
    <row r="9158">
      <c r="A9158" t="inlineStr">
        <is>
          <t>g9rlz0</t>
        </is>
      </c>
      <c r="B9158" t="inlineStr">
        <is>
          <t>Starting to use the DIY Omnipod loop soon! Is anyone willing to share or go half on an apple developer account?</t>
        </is>
      </c>
      <c r="C9158" t="inlineStr">
        <is>
          <t>Its 99$ a year, which is prettys steep for just one use!
&amp;amp;#x200B;
let me know if you're interested!</t>
        </is>
      </c>
      <c r="D9158" t="n">
        <v>1</v>
      </c>
      <c r="E9158" t="n">
        <v>0</v>
      </c>
      <c r="F9158">
        <f>HYPERLINK("https://www.reddit.com/r/diabetes/comments/g9rlz0/starting_to_use_the_diy_omnipod_loop_soon_is/")</f>
        <v/>
      </c>
      <c r="G9158" t="inlineStr">
        <is>
          <t>2020-04-28 10:33:52</t>
        </is>
      </c>
      <c r="H9158" t="inlineStr">
        <is>
          <t>Type 1</t>
        </is>
      </c>
    </row>
    <row r="9159">
      <c r="A9159" t="inlineStr">
        <is>
          <t>g9rriq</t>
        </is>
      </c>
      <c r="B9159" t="inlineStr">
        <is>
          <t>What is the "when" treatment in xdrip+?</t>
        </is>
      </c>
      <c r="C9159" t="inlineStr">
        <is>
          <t>Can't seem to find the answer anywhere. In my xdrip+ I can enter bG, carbs, insulin and "when". What is "when"?</t>
        </is>
      </c>
      <c r="D9159" t="n">
        <v>1</v>
      </c>
      <c r="E9159" t="n">
        <v>7</v>
      </c>
      <c r="F9159">
        <f>HYPERLINK("https://www.reddit.com/r/diabetes/comments/g9rriq/what_is_the_when_treatment_in_xdrip/")</f>
        <v/>
      </c>
      <c r="G9159" t="inlineStr">
        <is>
          <t>2020-04-28 10:42:12</t>
        </is>
      </c>
      <c r="H9159" t="inlineStr">
        <is>
          <t>Type 1</t>
        </is>
      </c>
    </row>
    <row r="9160">
      <c r="A9160" t="inlineStr">
        <is>
          <t>g9rv1s</t>
        </is>
      </c>
      <c r="B9160" t="inlineStr">
        <is>
          <t>Drinking alcohol with diabetes</t>
        </is>
      </c>
      <c r="C9160" t="inlineStr">
        <is>
          <t>Hi Guys
How do you handle alcohol with diabetes type 1?
I was wondering what are your experiences with it?
Here is a recent video I made about how I handle beer with my diabetes.
[https://youtu.be/dzlWsJcRn80](https://youtu.be/dzlWsJcRn80)
Thanks</t>
        </is>
      </c>
      <c r="D9160" t="n">
        <v>1</v>
      </c>
      <c r="E9160" t="n">
        <v>0</v>
      </c>
      <c r="F9160">
        <f>HYPERLINK("https://www.reddit.com/r/diabetes/comments/g9rv1s/drinking_alcohol_with_diabetes/")</f>
        <v/>
      </c>
      <c r="G9160" t="inlineStr">
        <is>
          <t>2020-04-28 10:47:23</t>
        </is>
      </c>
      <c r="H9160" t="inlineStr">
        <is>
          <t>Type 1</t>
        </is>
      </c>
    </row>
    <row r="9161">
      <c r="A9161" t="inlineStr">
        <is>
          <t>g9rvc9</t>
        </is>
      </c>
      <c r="B9161" t="inlineStr">
        <is>
          <t>Drinking alcohol with diabetes</t>
        </is>
      </c>
      <c r="C9161" t="inlineStr">
        <is>
          <t>Hi Guys
How do you handle alcohol with diabetes type 1?
I was wondering what are your experiences with it?
Here is a recent video I made about how I handle beer with my diabetes.
[https://youtu.be/dzlWsJcRn80](https://youtu.be/dzlWsJcRn80)
Thanks</t>
        </is>
      </c>
      <c r="D9161" t="n">
        <v>3</v>
      </c>
      <c r="E9161" t="n">
        <v>49</v>
      </c>
      <c r="F9161">
        <f>HYPERLINK("https://www.reddit.com/r/diabetes/comments/g9rvc9/drinking_alcohol_with_diabetes/")</f>
        <v/>
      </c>
      <c r="G9161" t="inlineStr">
        <is>
          <t>2020-04-28 10:47:52</t>
        </is>
      </c>
      <c r="H9161" t="inlineStr">
        <is>
          <t>Type 1</t>
        </is>
      </c>
    </row>
    <row r="9162">
      <c r="A9162" t="inlineStr">
        <is>
          <t>g9ufog</t>
        </is>
      </c>
      <c r="B9162" t="inlineStr">
        <is>
          <t>Anyone else hopelessly sensitive to carbs?</t>
        </is>
      </c>
      <c r="C9162" t="inlineStr">
        <is>
          <t>Type 1, on pump and CGM. I eat fairly low carb most of the time. Sometimes I want to eat a normal meal. I count my carbs. Pre-bolus, you name it, I've tried it. Seems like no matter what I do, if I eat a meal with over 45g of carbs, I spike up to like 250. It eventually comes down but still! It's so so frustrating. 
Today I ate a medium baked sweet potato. Counted carbs, pre bolused half an hour early. Starting blood sugar 95. Now I'm 255. God damnit I just wanted a simple sweet potato.
Any one else get huge spikes despite an average carb meal?</t>
        </is>
      </c>
      <c r="D9162" t="n">
        <v>1</v>
      </c>
      <c r="E9162" t="n">
        <v>13</v>
      </c>
      <c r="F9162">
        <f>HYPERLINK("https://www.reddit.com/r/diabetes/comments/g9ufog/anyone_else_hopelessly_sensitive_to_carbs/")</f>
        <v/>
      </c>
      <c r="G9162" t="inlineStr">
        <is>
          <t>2020-04-28 13:03:55</t>
        </is>
      </c>
      <c r="H9162" t="inlineStr">
        <is>
          <t>Type 1</t>
        </is>
      </c>
    </row>
    <row r="9163">
      <c r="A9163" t="inlineStr">
        <is>
          <t>g9v6dl</t>
        </is>
      </c>
      <c r="B9163" t="inlineStr">
        <is>
          <t>First A1C test after initial diagnosis....Great number!</t>
        </is>
      </c>
      <c r="C9163" t="inlineStr">
        <is>
          <t>When I was first diagnosed back Type-1 on January 13'th I was around 12.5% A1C, and now just over 3 months later I'm at a 5.5%!   This has certainly made my day to see all the hard work paying off.
It has been such a learning experience.  At first I was dealing with some lows and my dosage was too high.  Never just accept a dosage that you think is too high...call the Dr. and explain this and have it changed.  I had to do that 3 times and each time saw great improvement.  The lows went away.
Every effort no matter how small pays off in the end.  The Dexcom G6 was a game-changer for me on managing my Diabetes.
&amp;amp;#x200B;
Figure I'll mention just a few things I learned the hard way:
I use Lantus and Humalog.  Don't inject both in the same area on the same day.  Think I did this once or twice.
Always write down when you inject, how much, time, short or long acting insulin.  I also mark Rise(Slow, Medium, Sharp) and Peak Blood Sugar(For each meal). 
Do NOT inject insulin cold.  
As far as priming Quickpens, I only do 1 unit instead of 2.  The point is to see if insulin will flow through the needle...as long as a few droplets form on the other end.
Your supposed to wait 1.5 hours after a bolus before taking a shower to avoid lows.
Reading the Dexcom arrows.  Sometimes if your going up or down diagonally or straight concerning the arrow...you can level out with just a few point difference and the arrow will remain the same sometimes for the next measurement or 2.  
There is definite lag time on the Dexcom b/c interstitial fluid readings dont react as fast as blood readings.  This lead to a few overcorrections in the beginning.</t>
        </is>
      </c>
      <c r="D9163" t="n">
        <v>1</v>
      </c>
      <c r="E9163" t="n">
        <v>16</v>
      </c>
      <c r="F9163">
        <f>HYPERLINK("https://www.reddit.com/r/diabetes/comments/g9v6dl/first_a1c_test_after_initial_diagnosisgreat_number/")</f>
        <v/>
      </c>
      <c r="G9163" t="inlineStr">
        <is>
          <t>2020-04-28 13:42:37</t>
        </is>
      </c>
      <c r="H9163" t="inlineStr">
        <is>
          <t>Type 1</t>
        </is>
      </c>
    </row>
    <row r="9164">
      <c r="A9164" t="inlineStr">
        <is>
          <t>g9x48s</t>
        </is>
      </c>
      <c r="B9164" t="inlineStr">
        <is>
          <t>Type 1 and impotence</t>
        </is>
      </c>
      <c r="C9164" t="inlineStr">
        <is>
          <t>I’m 24 years old and have will have had type 1 for 15 years this May. I’m not the best when it comes to manage my diabetes, but I’m trying very hard to get back on track. Recently, I’ve been noticing a lot of changes to my body: mainly in my ability to achieve and maintain an erection. Recently I can barely even get an erection. It only gets 1/2 way there and then nada. It usually only last for a few minutes and then it shrivels up and is super soft. Even when masturbating, I can’t get an erection. This is having a huge effect on my confidence and mental health. I barely masturbate at all now because it just isn’t worth the hassle. I’m really worried I have permanent nerve damage down there or irreparable damage to my arteries. I don’t know any other 24 year old that struggles with ED and I’m terrified I’ll be impotent for the rest of my life. Do any other young type 1 diabetics experience this? I really could use and all advice/support right now.</t>
        </is>
      </c>
      <c r="D9164" t="n">
        <v>1</v>
      </c>
      <c r="E9164" t="n">
        <v>23</v>
      </c>
      <c r="F9164">
        <f>HYPERLINK("https://www.reddit.com/r/diabetes/comments/g9x48s/type_1_and_impotence/")</f>
        <v/>
      </c>
      <c r="G9164" t="inlineStr">
        <is>
          <t>2020-04-28 15:26:08</t>
        </is>
      </c>
      <c r="H9164" t="inlineStr">
        <is>
          <t>Type 1</t>
        </is>
      </c>
    </row>
    <row r="9165">
      <c r="A9165" t="inlineStr">
        <is>
          <t>g9xwr8</t>
        </is>
      </c>
      <c r="B9165" t="inlineStr">
        <is>
          <t>Cold feet and hands</t>
        </is>
      </c>
      <c r="C9165" t="inlineStr">
        <is>
          <t>I am a 27yo type 2 And I have lost around 70 lbs I have been noticing my feet and hands get colder than before. Just wanted to see if anyone else experienced this or something like this.</t>
        </is>
      </c>
      <c r="D9165" t="n">
        <v>1</v>
      </c>
      <c r="E9165" t="n">
        <v>8</v>
      </c>
      <c r="F9165">
        <f>HYPERLINK("https://www.reddit.com/r/diabetes/comments/g9xwr8/cold_feet_and_hands/")</f>
        <v/>
      </c>
      <c r="G9165" t="inlineStr">
        <is>
          <t>2020-04-28 16:09:50</t>
        </is>
      </c>
      <c r="H9165" t="inlineStr">
        <is>
          <t>Type 2</t>
        </is>
      </c>
    </row>
    <row r="9166">
      <c r="A9166" t="inlineStr">
        <is>
          <t>g9zs0x</t>
        </is>
      </c>
      <c r="B9166" t="inlineStr">
        <is>
          <t>Anyone ever mainline insulin?</t>
        </is>
      </c>
      <c r="C9166" t="inlineStr">
        <is>
          <t>So I'm recently diagnosed type 1 diabetic. I'm honeymooning and don't need much insulin about 4u of humalog for a meal. That being said I'm in a hotel for work and the most terrifying low yet by far. I took my insulin as usual before eating, noticed I hit some sort of vein in doing so, bleeds some so what, happens all the time. This one was different though, half way into eating I get a low soon alert on my dexcom so I get up to grab a juice and felt drunk and a kinda faint so I checked with the meter and it said 30 so I panic grab my bacsimi &amp;amp; run to the lobby in my socks. (I was alone at the hotel) I figured at least make it to the hall so someone finds me. Anyway I get down there drink 5 glasses of juice and checking the whole time its saying 30 (as low as it goes).  This all happened within 20 min. Scariest diabetes moment yet by far. Now I'm 266 and climbing. What a time to be alive. Lol</t>
        </is>
      </c>
      <c r="D9166" t="n">
        <v>1</v>
      </c>
      <c r="E9166" t="n">
        <v>5</v>
      </c>
      <c r="F9166">
        <f>HYPERLINK("https://www.reddit.com/r/diabetes/comments/g9zs0x/anyone_ever_mainline_insulin/")</f>
        <v/>
      </c>
      <c r="G9166" t="inlineStr">
        <is>
          <t>2020-04-28 18:01:37</t>
        </is>
      </c>
      <c r="H9166" t="inlineStr">
        <is>
          <t>Type 1</t>
        </is>
      </c>
    </row>
    <row r="9167">
      <c r="A9167" t="inlineStr">
        <is>
          <t>ga00hm</t>
        </is>
      </c>
      <c r="B9167" t="inlineStr">
        <is>
          <t>I don't know where else to go</t>
        </is>
      </c>
      <c r="C9167" t="inlineStr">
        <is>
          <t>Sorry if this breaks any rules, but I don't know if there are any other subreddits I can go to for advice
My brother is a type 1 diabetic, and he cannot take care of himself anymore. 
He got diagnosed at 15, and had a hard time adjusting, eventually he was able to get it under control.
Around two years ago, (he's 23 now) while in DKA he suffered a seizure. Ever since then he just isn't the same anymore. In the beginning it was mild, but slowly became worse. I noticed something was wrong when he almost freaked out because I was playing a video game. He was extremely afraid for no reason and he wanted me to stop or else something bad was going to happen.
He's had delusions as well, and hallucinations. He believed he was friends with many famous people and they were talking to him in secret codes through the TV and social media. 
At first he was super aggressive and broke our TV. When he drinks he basically gets even worse than usual. My sister fought him, my mom tried to stop it, and he called the cops because he believed they assaulted him. He got arrested and was Baker acted 
At the psych hospital they couldn't take care of his diabetes. My mom got a lawyer and tried to sue and they let him out. 
Slowly he calmed down, but he still isn't the same. He cannot take care himself and stopped going to the diabetic doctor (I forget the name.) His disability cut him off because of this, and now he has to ration out his insulin. 
That is, if he even takes it in the first place. 
I'm afraid my mom is neglecting him and not doing the right thing here. He looks like a skeleton. The last time he was in DKA, my mom decided not to take him to the hospital because of the Corona virus. My brother is paranoid he's going to catch it and refuses to go. He's an adult so my mom can't force him to go
He was in DKA again today, refused to go, vomited all day and my mom did nothing yet again. His blood sugar lowered to 200 and I don't know if those are safe levels or not 
I don't know what to do here. My brother is going to die if this keeps happening and I'm worried for him. He doesn't have health insurance, he doesn't work, we cannot afford a caretaker to manage his diabetes for him. 
The only option I can see is to declare him mentally incapable of taking care of himself, and to put him in a different psych ward. But my mom doesn't want to do that 
Does anyone have any advice? Or like resources we can contact or anything?</t>
        </is>
      </c>
      <c r="D9167" t="n">
        <v>1</v>
      </c>
      <c r="E9167" t="n">
        <v>5</v>
      </c>
      <c r="F9167">
        <f>HYPERLINK("https://www.reddit.com/r/diabetes/comments/ga00hm/i_dont_know_where_else_to_go/")</f>
        <v/>
      </c>
      <c r="G9167" t="inlineStr">
        <is>
          <t>2020-04-28 18:17:15</t>
        </is>
      </c>
      <c r="H9167" t="inlineStr">
        <is>
          <t>Type 1</t>
        </is>
      </c>
    </row>
    <row r="9168">
      <c r="A9168" t="inlineStr">
        <is>
          <t>ga1mql</t>
        </is>
      </c>
      <c r="B9168" t="inlineStr">
        <is>
          <t>Here if anyone needs a diabuddy!</t>
        </is>
      </c>
      <c r="C9168" t="inlineStr">
        <is>
          <t>Hey guys! I’m 22 and have had diabetes for 19 years. I’m bored in quarantine (stay safe everyone!) and love to talk to/meet new people. If anyone ever wants to talk diabetes, ask questions, or talk about something completely unrelated to diabetes, feel free to reach out! I would love to get to know you guys better.</t>
        </is>
      </c>
      <c r="D9168" t="n">
        <v>1</v>
      </c>
      <c r="E9168" t="n">
        <v>13</v>
      </c>
      <c r="F9168">
        <f>HYPERLINK("https://www.reddit.com/r/diabetes/comments/ga1mql/here_if_anyone_needs_a_diabuddy/")</f>
        <v/>
      </c>
      <c r="G9168" t="inlineStr">
        <is>
          <t>2020-04-28 20:04:46</t>
        </is>
      </c>
      <c r="H9168" t="inlineStr">
        <is>
          <t>Type 1</t>
        </is>
      </c>
    </row>
    <row r="9169">
      <c r="A9169" t="inlineStr">
        <is>
          <t>ga1rky</t>
        </is>
      </c>
      <c r="B9169" t="inlineStr">
        <is>
          <t>My Diabetes Anniversary!</t>
        </is>
      </c>
      <c r="C9169" t="inlineStr">
        <is>
          <t>On this day in 2008, I fot diagnosed as a diabetic. There've been a lot of ups and downs, and it's pretty incredible to see how much I've changed because of it. Here's to many more years!</t>
        </is>
      </c>
      <c r="D9169" t="n">
        <v>1</v>
      </c>
      <c r="E9169" t="n">
        <v>1</v>
      </c>
      <c r="F9169">
        <f>HYPERLINK("https://www.reddit.com/r/diabetes/comments/ga1rky/my_diabetes_anniversary/")</f>
        <v/>
      </c>
      <c r="G9169" t="inlineStr">
        <is>
          <t>2020-04-28 20:14:18</t>
        </is>
      </c>
      <c r="H9169" t="inlineStr">
        <is>
          <t>Type 1.5/LADA</t>
        </is>
      </c>
    </row>
    <row r="9170">
      <c r="A9170" t="inlineStr">
        <is>
          <t>ga2b08</t>
        </is>
      </c>
      <c r="B9170" t="inlineStr">
        <is>
          <t>What did I do wrong?</t>
        </is>
      </c>
      <c r="C9170" t="inlineStr">
        <is>
          <t>Decided to splurge and make myself a PB&amp;amp;J for the first time in a while, and I counted out:
2 slices of white bread (30g Carbs),
about 3 tbsp grape jelly (24g Carbs, 8/tbsp)
2tbsp Natural peanut butter (8g Carbs)
I have a 1:10 unit to carb ratio, so I bolused about 7U to prevent a high, and now I'm sitting here an hour later at 280 and still rising. Did I do something wrong or are PB&amp;amp;J's just a no-go?</t>
        </is>
      </c>
      <c r="D9170" t="n">
        <v>1</v>
      </c>
      <c r="E9170" t="n">
        <v>12</v>
      </c>
      <c r="F9170">
        <f>HYPERLINK("https://www.reddit.com/r/diabetes/comments/ga2b08/what_did_i_do_wrong/")</f>
        <v/>
      </c>
      <c r="G9170" t="inlineStr">
        <is>
          <t>2020-04-28 20:52:39</t>
        </is>
      </c>
      <c r="H9170" t="inlineStr">
        <is>
          <t>Type 1</t>
        </is>
      </c>
    </row>
    <row r="9171">
      <c r="A9171" t="inlineStr">
        <is>
          <t>ga2nfe</t>
        </is>
      </c>
      <c r="B9171" t="inlineStr">
        <is>
          <t>I feel judged by my dad and stepmom for my blood sugars</t>
        </is>
      </c>
      <c r="C9171" t="inlineStr">
        <is>
          <t>Having diabetes alone is already stressful, but when I'm low or high and my dad and stepmom make me feel like it's always my fault for those readings make it even worse. Sometimes it feels like if I'm not always in the middle I'm in trouble or I'm not doing something right to them. I would love to see them in my situations and how they would feel. I already talked to my dad about how i feel judged and he just laughs thinking I'm joking because i joke a lot. I honestly don't know what to do anymore, what's the point. The only person who doesn't judge me is my mom (the one who I actually got type 1 from)</t>
        </is>
      </c>
      <c r="D9171" t="n">
        <v>1</v>
      </c>
      <c r="E9171" t="n">
        <v>3</v>
      </c>
      <c r="F9171">
        <f>HYPERLINK("https://www.reddit.com/r/diabetes/comments/ga2nfe/i_feel_judged_by_my_dad_and_stepmom_for_my_blood/")</f>
        <v/>
      </c>
      <c r="G9171" t="inlineStr">
        <is>
          <t>2020-04-28 21:18:40</t>
        </is>
      </c>
      <c r="H9171" t="inlineStr">
        <is>
          <t>Type 1</t>
        </is>
      </c>
    </row>
    <row r="9172">
      <c r="A9172" t="inlineStr">
        <is>
          <t>ga3vw1</t>
        </is>
      </c>
      <c r="B9172" t="inlineStr">
        <is>
          <t>Honestly at this point don’t rlly care that much</t>
        </is>
      </c>
      <c r="C9172" t="inlineStr">
        <is>
          <t>I’m mega under wait now so I thought I’d go ahead for a bowl of mint chocolate chip ice cream.</t>
        </is>
      </c>
      <c r="D9172" t="n">
        <v>1</v>
      </c>
      <c r="E9172" t="n">
        <v>4</v>
      </c>
      <c r="F9172">
        <f>HYPERLINK("https://www.reddit.com/r/diabetes/comments/ga3vw1/honestly_at_this_point_dont_rlly_care_that_much/")</f>
        <v/>
      </c>
      <c r="G9172" t="inlineStr">
        <is>
          <t>2020-04-28 22:53:57</t>
        </is>
      </c>
      <c r="H9172" t="inlineStr">
        <is>
          <t>Type 2</t>
        </is>
      </c>
    </row>
    <row r="9173">
      <c r="A9173" t="inlineStr">
        <is>
          <t>ga4v1y</t>
        </is>
      </c>
      <c r="B9173" t="inlineStr">
        <is>
          <t>Protein shakes giving me high bloods?</t>
        </is>
      </c>
      <c r="C9173" t="inlineStr">
        <is>
          <t>Is there any who works out training muscular strength trying to build muscle mass and weight?
I’m also trying to do the same but since I’ve been taking protein shakes to help to my calorie intake my bloods about 4am forwards go up to 15 mmol. 
Today I’m testing if it stops and I’ll I will eat my daily routine but with no shakes. Could anyone let me know if they have experienced this and if there is a solution? Thanks!</t>
        </is>
      </c>
      <c r="D9173" t="n">
        <v>1</v>
      </c>
      <c r="E9173" t="n">
        <v>10</v>
      </c>
      <c r="F9173">
        <f>HYPERLINK("https://www.reddit.com/r/diabetes/comments/ga4v1y/protein_shakes_giving_me_high_bloods/")</f>
        <v/>
      </c>
      <c r="G9173" t="inlineStr">
        <is>
          <t>2020-04-29 00:17:40</t>
        </is>
      </c>
      <c r="H9173" t="inlineStr">
        <is>
          <t>Type 1</t>
        </is>
      </c>
    </row>
    <row r="9174">
      <c r="A9174" t="inlineStr">
        <is>
          <t>gaa094</t>
        </is>
      </c>
      <c r="B9174" t="inlineStr">
        <is>
          <t>Question for Apple Watch Users</t>
        </is>
      </c>
      <c r="C9174" t="inlineStr">
        <is>
          <t>Do you find your watches are really that much of an improvement to your pump / cgm experience? I'm vaguely aware of the programs that allow for a closed-loop system, but I'm really uninformed about what all I'd need to make that happen. I was working in a job where I couldn't have a smartwatch for a long time- but now that I'm working from home I can't be stopped (evil laugh). I guess I'm just looking for some guidance here. Is it worth taking the dive?</t>
        </is>
      </c>
      <c r="D9174" t="n">
        <v>1</v>
      </c>
      <c r="E9174" t="n">
        <v>4</v>
      </c>
      <c r="F9174">
        <f>HYPERLINK("https://www.reddit.com/r/diabetes/comments/gaa094/question_for_apple_watch_users/")</f>
        <v/>
      </c>
      <c r="G9174" t="inlineStr">
        <is>
          <t>2020-04-29 07:02:08</t>
        </is>
      </c>
      <c r="H9174" t="inlineStr">
        <is>
          <t>Type 1</t>
        </is>
      </c>
    </row>
    <row r="9175">
      <c r="A9175" t="inlineStr">
        <is>
          <t>gacjhr</t>
        </is>
      </c>
      <c r="B9175" t="inlineStr">
        <is>
          <t>New to diabetes...kinda mad and depressed..</t>
        </is>
      </c>
      <c r="C9175" t="inlineStr">
        <is>
          <t>Have a family history of diabetes, both parents got YE in their mid 30s.
I have been trying to avoid it for this long but it can with a BANG at age 45. 
A1C was 14.7 (!!) . Last yearly checkup it was 6.7. So it detoriated this quick in a year. The doctor looked at my diet and lifestyle and couldn't really find anything, as in cut this thing out immediately. 
All this happened first week of March this year. So she started metformin right away with 2am 2pm 500mg dosage and asked me to lay off of alcohol.
This whole thing has hit me really hard mentally and am still trying to get my head around it. I knew I was prone to it but being diagnosed and put on medication hit me hard.
I bought the generic glucose meter and am measuring around 140-150 in the morning before breakfast and 110-120 in the evening before dinner.
Questions:
1. What do the numbers above translate in terms on A1C? My next checkup is in first week of June. I just want to be mentally prepared and not be hit with it. Honestly, I have given up pretty much all food and alcohol...Eat bare min healthy stuff and don't know what more can I do.
2. What is the relationship of alcohol and diabetes? Wife says that's the reason my numbers detoriated this quick. I don't want to believe it but am open to real life experience from others. And no I'm not talking drunk, just 1-2 drinks in the evening to wind down..
3. I have asked my doctor to prescribe me a CGM. any advice on which one to get and what to keep in Mind when using it would be appreciated.
I have more questions but will stop for now. Still trying to come to terms, it's been over a month and i don't think my mind has still accepted this. 
Also ordered Dr Neel Bernard's book from Amazon in hopes that something would come out of it. Basically grasping at straws here... Anything that would help.
The question I keep in asking is, why the hell did my cells become insulin resistance so bad and so quick? Did I do something or just bad genes? Could I have done something to avoid it?</t>
        </is>
      </c>
      <c r="D9175" t="n">
        <v>1</v>
      </c>
      <c r="E9175" t="n">
        <v>62</v>
      </c>
      <c r="F9175">
        <f>HYPERLINK("https://www.reddit.com/r/diabetes/comments/gacjhr/new_to_diabeteskinda_mad_and_depressed/")</f>
        <v/>
      </c>
      <c r="G9175" t="inlineStr">
        <is>
          <t>2020-04-29 09:25:16</t>
        </is>
      </c>
      <c r="H9175" t="inlineStr">
        <is>
          <t>Type 2</t>
        </is>
      </c>
    </row>
    <row r="9176">
      <c r="A9176" t="inlineStr">
        <is>
          <t>gad3vp</t>
        </is>
      </c>
      <c r="B9176" t="inlineStr">
        <is>
          <t>Frequent stomach ache, related to T1D?</t>
        </is>
      </c>
      <c r="C9176" t="inlineStr">
        <is>
          <t>My son (M15) was diagnosed with Type 1 diabetes 2 years ago. A few months prior to his diagnosis, he started complaining of frequent stomach ache, with nausea and sometimes vomiting when he forces himself to eat.
When he had his diagnosis, I thought that those issues were related to his untreated diabetes because it got better for a while. But those issues still come back from time to time. Once a month, lasting between 1 and 5 days. 
Is it something that is commonly occuring when you have T1D? Do you think it is related?
Additionnal info: his AC1 are within normal range when he tests every 3 months, but on his CGM, I see that his blood sugar are high quite often. We try to keep a regular eating schedule, but him beeing a teen, and being often not hungry, I can't push him a much as I would if he was younger.  He also have frequent headaches and insomnia.</t>
        </is>
      </c>
      <c r="D9176" t="n">
        <v>1</v>
      </c>
      <c r="E9176" t="n">
        <v>2</v>
      </c>
      <c r="F9176">
        <f>HYPERLINK("https://www.reddit.com/r/diabetes/comments/gad3vp/frequent_stomach_ache_related_to_t1d/")</f>
        <v/>
      </c>
      <c r="G9176" t="inlineStr">
        <is>
          <t>2020-04-29 09:59:29</t>
        </is>
      </c>
      <c r="H9176" t="inlineStr">
        <is>
          <t>Type 1</t>
        </is>
      </c>
    </row>
    <row r="9177">
      <c r="A9177" t="inlineStr">
        <is>
          <t>gaf0k5</t>
        </is>
      </c>
      <c r="B9177" t="inlineStr">
        <is>
          <t>Healthcare Concerns</t>
        </is>
      </c>
      <c r="C9177" t="inlineStr">
        <is>
          <t>Hey everyone, I’ve been type one for nearly 16 years. I’ve had my ups and downs with insurance coverage over the years (I’m 30), and have come to something of a crossroads. I have insurance at my current job that allows me access to humalog, pump supplies, test strips, and everything I need at low cost, but at a high monthly premium. 
I’ve been offered a new job, and the potential employer is willing to pay about $360 a month into a marketplace plan. My only concern is finding a plan that covers everything I need for my pump (minimed 670G), endo visits, and insulin of course, while not breaking the bank. 
Does anyone have experience with the marketplace, specifically pump users. What do you pay monthly, and is it worth it to pursue this endeavor based on potential costs of a plan?
Thank you for your help!</t>
        </is>
      </c>
      <c r="D9177" t="n">
        <v>1</v>
      </c>
      <c r="E9177" t="n">
        <v>1</v>
      </c>
      <c r="F9177">
        <f>HYPERLINK("https://www.reddit.com/r/diabetes/comments/gaf0k5/healthcare_concerns/")</f>
        <v/>
      </c>
      <c r="G9177" t="inlineStr">
        <is>
          <t>2020-04-29 11:45:43</t>
        </is>
      </c>
      <c r="H9177" t="inlineStr">
        <is>
          <t>Type 1</t>
        </is>
      </c>
    </row>
    <row r="9178">
      <c r="A9178" t="inlineStr">
        <is>
          <t>gaf3zx</t>
        </is>
      </c>
      <c r="B9178" t="inlineStr">
        <is>
          <t>What's the best bread for diabetics?</t>
        </is>
      </c>
      <c r="C9178" t="inlineStr">
        <is>
          <t>I've been eating 1 meal a day at lunch and drinking boost glucose control for breakfast. At dinner I just drink fenugreek drowned in water. Feel good good sugar is still high, I was told metformin takes awhile to kick in so I was given an insulin pen. 
I'm starting to get tired of salads with eggs. 
I'm trying to make some grilled chicken panini but I don't know which bread to buy that good for diabetics. Also is cheese a no-no?
Tips?</t>
        </is>
      </c>
      <c r="D9178" t="n">
        <v>1</v>
      </c>
      <c r="E9178" t="n">
        <v>14</v>
      </c>
      <c r="F9178">
        <f>HYPERLINK("https://www.reddit.com/r/diabetes/comments/gaf3zx/whats_the_best_bread_for_diabetics/")</f>
        <v/>
      </c>
      <c r="G9178" t="inlineStr">
        <is>
          <t>2020-04-29 11:50:34</t>
        </is>
      </c>
      <c r="H9178" t="inlineStr">
        <is>
          <t>Type 2</t>
        </is>
      </c>
    </row>
    <row r="9179">
      <c r="A9179" t="inlineStr">
        <is>
          <t>gafe8e</t>
        </is>
      </c>
      <c r="B9179" t="inlineStr">
        <is>
          <t>Which pump would you choose and why?</t>
        </is>
      </c>
      <c r="C9179" t="inlineStr">
        <is>
          <t xml:space="preserve"> Hi,
 I am currently using Omnipod to bolus. The warranty is running out by the end of the year and I'm getting a new pump. I use FreeStyle Libre to measure blood sugar. I've been given two pump choices, although there are possibly other pumps available. (AFAIK t:slim X2 isn't available) The two pumps are Medtronic Minimed 670G and mylife YpsoPump.
Note: The value/cost of these systems doesn't matter since I will be getting it for free
I have a few questions about the pumps:
* Can you connect the Guardian Sensor 3 to a smartphone? I found some conflicting info about this, but I'd like to make sure.
* Do you think bolusing from a phone becomes available for these pumps in the future? 
* Should I just continue using the omnipod and wait for better options (and possibly for the  t:slim X2 if that ever becomes available in my country)
I'd also like to hear some pros and cons as well as people's opinions on the pumps.</t>
        </is>
      </c>
      <c r="D9179" t="n">
        <v>1</v>
      </c>
      <c r="E9179" t="n">
        <v>8</v>
      </c>
      <c r="F9179">
        <f>HYPERLINK("https://www.reddit.com/r/diabetes/comments/gafe8e/which_pump_would_you_choose_and_why/")</f>
        <v/>
      </c>
      <c r="G9179" t="inlineStr">
        <is>
          <t>2020-04-29 12:04:41</t>
        </is>
      </c>
      <c r="H9179" t="inlineStr">
        <is>
          <t>Type 1</t>
        </is>
      </c>
    </row>
    <row r="9180">
      <c r="A9180" t="inlineStr">
        <is>
          <t>gakqkr</t>
        </is>
      </c>
      <c r="B9180" t="inlineStr">
        <is>
          <t>Just a little thought dialogue.</t>
        </is>
      </c>
      <c r="C9180" t="inlineStr">
        <is>
          <t>I posted this to my fb to maybe help some friends understand what it's like to be us.  Thought you all might enjoy it too.  I'd love to hear about similar experiences.
--
Today, I sat on my ATV.  To most people, that wouldn't warrant recognition.  I'm not most people.
I actually prefer to stand; it's more comfortable and easier to balance in my opinion.  Today I chose to sit because I am diabetic and my coworker casually mentioned yesterday that she burns twice as many calories on days she stands rather than sits.  
Today I started my day by getting hungry earlier than my normal morning snack.  I have a limited supply of food for lunch, and although there are two corner stores on my route, I would prefer to not be forced to go to them.  I knew that if I kept standing, I would run out of food early because I was hungry early.  I was also learning a new-to-me task that required more brain power, again burning more calories.  
I remembered my coworker's experience, and I knew that if I stayed standing, an emergency trip to the corner store for chocolate would be happening some time around mid afternoon.   So I sat, for nearly the whole day, to save energy and avoid a low blood sugar.
Today I thought I would share with you how completely my life is affected by having diabetes - enough that it dictates the simplest of choices, such as whether to sit or to stand.  I'm not saying this to complain, but rather to maybe illustrate how things can easily be very different depending on the person experiencing them.  In the same breath, I hope this understanding inspires you to be kind to all you meet, for you never know the battles they may face.</t>
        </is>
      </c>
      <c r="D9180" t="n">
        <v>1</v>
      </c>
      <c r="E9180" t="n">
        <v>9</v>
      </c>
      <c r="F9180">
        <f>HYPERLINK("https://www.reddit.com/r/diabetes/comments/gakqkr/just_a_little_thought_dialogue/")</f>
        <v/>
      </c>
      <c r="G9180" t="inlineStr">
        <is>
          <t>2020-04-29 16:51:33</t>
        </is>
      </c>
      <c r="H9180" t="inlineStr">
        <is>
          <t>Type 1</t>
        </is>
      </c>
    </row>
    <row r="9181">
      <c r="A9181" t="inlineStr">
        <is>
          <t>gamosd</t>
        </is>
      </c>
      <c r="B9181" t="inlineStr">
        <is>
          <t>Needle anxiety.</t>
        </is>
      </c>
      <c r="C9181" t="inlineStr">
        <is>
          <t>Years after being diagnosed my injects are constantly accompanied with an internal battle of anxiousness. Sometimes it even prevents me from giving the injection. Any tips people use to overcome?</t>
        </is>
      </c>
      <c r="D9181" t="n">
        <v>1</v>
      </c>
      <c r="E9181" t="n">
        <v>1</v>
      </c>
      <c r="F9181">
        <f>HYPERLINK("https://www.reddit.com/r/diabetes/comments/gamosd/needle_anxiety/")</f>
        <v/>
      </c>
      <c r="G9181" t="inlineStr">
        <is>
          <t>2020-04-29 18:53:10</t>
        </is>
      </c>
      <c r="H9181" t="inlineStr">
        <is>
          <t>Type 1</t>
        </is>
      </c>
    </row>
    <row r="9182">
      <c r="A9182" t="inlineStr">
        <is>
          <t>ganffs</t>
        </is>
      </c>
      <c r="B9182" t="inlineStr">
        <is>
          <t>Holy fucking shit. I can't get my stupid fucking pump insertion to stay on, and it's pissing me off.</t>
        </is>
      </c>
      <c r="C9182" t="inlineStr">
        <is>
          <t>I have the Medtronic mini med 670g, and i love it. When it's on, which is about 20 percent of the time. I've been diabetic for about 1 year now. But man, I can't do this pump. My mom won't get me adhesive, and I'm just tried of it. What do I do? I don't even know anymore</t>
        </is>
      </c>
      <c r="D9182" t="n">
        <v>1</v>
      </c>
      <c r="E9182" t="n">
        <v>32</v>
      </c>
      <c r="F9182">
        <f>HYPERLINK("https://www.reddit.com/r/diabetes/comments/ganffs/holy_fucking_shit_i_cant_get_my_stupid_fucking/")</f>
        <v/>
      </c>
      <c r="G9182" t="inlineStr">
        <is>
          <t>2020-04-29 19:42:35</t>
        </is>
      </c>
      <c r="H9182" t="inlineStr">
        <is>
          <t>Type 1</t>
        </is>
      </c>
    </row>
    <row r="9183">
      <c r="A9183" t="inlineStr">
        <is>
          <t>gapfw8</t>
        </is>
      </c>
      <c r="B9183" t="inlineStr">
        <is>
          <t>Dexcom G6 Error Mode</t>
        </is>
      </c>
      <c r="C9183" t="inlineStr">
        <is>
          <t>Dexcom's newest CGM is prone to suddenly becoming persistently inaccurate, often about halfway through the sensor session
Users don't realize the CGM has suddenly gone persistently inaccurate because they stop using their glucometer. Once the patient sees the CGM match their glucometer for a few days, the patient trusts the two devices will stay consistent
The CGM measures interstitial glucose and has some kind of Kalman or particle filter to integrate measurements to yield an estimate of blood glucose
Measuring interstitial glucose doesn't work as well as measuring blood glucose direcctly, so the CGM goes wrong. The Kalman (?) filter has a consistency prior that causes the CGM to stay wrong after it has gone wrong
This error mode is different than you see in a glucometer, and very, very bad. A glucometer samples blood glucose and produces readings with Gaussian error: successive readings are normally distributed around the true blood glucose
The CGM gets stuck (without warning) at an offset from true blood glucose. For example, the patient wakes up and the CGM says 85, but the glucometer says 54 (and the patient is aware of the hypoglycemia, it's obvious)</t>
        </is>
      </c>
      <c r="D9183" t="n">
        <v>1</v>
      </c>
      <c r="E9183" t="n">
        <v>2</v>
      </c>
      <c r="F9183">
        <f>HYPERLINK("https://www.reddit.com/r/diabetes/comments/gapfw8/dexcom_g6_error_mode/")</f>
        <v/>
      </c>
      <c r="G9183" t="inlineStr">
        <is>
          <t>2020-04-29 22:06:03</t>
        </is>
      </c>
      <c r="H9183" t="inlineStr">
        <is>
          <t>Type 1</t>
        </is>
      </c>
    </row>
    <row r="9184">
      <c r="A9184" t="inlineStr">
        <is>
          <t>gari1c</t>
        </is>
      </c>
      <c r="B9184" t="inlineStr">
        <is>
          <t>Stupid f*cking problem to have</t>
        </is>
      </c>
      <c r="C9184" t="inlineStr">
        <is>
          <t>I have a stupid problem. Or, rather, my son has. He´s 13, and was diagnosed T1D three years ago. Living in Norway we get all the equipment we need absolutely free, and he´s got the Tandem t:slim x2 pump and the Dexcom G6.  So far, so good. At the same time, living in Norway, we have som stupid f\*cking problems caused by over eager regulatory bodies. In this case this results in the IQ patches not being available, due to them not being properly approved. 
Is there any way to download these patches, and "open up" the pump for the use it´s meant for? Obviously, this would be on my own risk, but the promise of sleeping through entire nights without alerts and needing to bolus, add sugar and change basal settings is quite alluring...
Anyone...?</t>
        </is>
      </c>
      <c r="D9184" t="n">
        <v>1</v>
      </c>
      <c r="E9184" t="n">
        <v>1</v>
      </c>
      <c r="F9184">
        <f>HYPERLINK("https://www.reddit.com/r/diabetes/comments/gari1c/stupid_fcking_problem_to_have/")</f>
        <v/>
      </c>
      <c r="G9184" t="inlineStr">
        <is>
          <t>2020-04-30 00:59:27</t>
        </is>
      </c>
      <c r="H9184" t="inlineStr">
        <is>
          <t>Type 1</t>
        </is>
      </c>
    </row>
    <row r="9185">
      <c r="A9185" t="inlineStr">
        <is>
          <t>gaxcta</t>
        </is>
      </c>
      <c r="B9185" t="inlineStr">
        <is>
          <t>Living alone + contingency plans?</t>
        </is>
      </c>
      <c r="C9185" t="inlineStr">
        <is>
          <t>Wife and I will be separating soon and I will be living alone.  I'm concerned about hypos during the night as I take (prescribed) sleeping meds.
What (if any) safeguards do you use in place so that someone is aware that you're not okay? 
I have a Medtronic 670G + Guardian CGM if that helps.</t>
        </is>
      </c>
      <c r="D9185" t="n">
        <v>1</v>
      </c>
      <c r="E9185" t="n">
        <v>12</v>
      </c>
      <c r="F9185">
        <f>HYPERLINK("https://www.reddit.com/r/diabetes/comments/gaxcta/living_alone_contingency_plans/")</f>
        <v/>
      </c>
      <c r="G9185" t="inlineStr">
        <is>
          <t>2020-04-30 08:06:18</t>
        </is>
      </c>
      <c r="H9185" t="inlineStr">
        <is>
          <t>Type 1</t>
        </is>
      </c>
    </row>
    <row r="9186">
      <c r="A9186" t="inlineStr">
        <is>
          <t>gaygzy</t>
        </is>
      </c>
      <c r="B9186" t="inlineStr">
        <is>
          <t>Why am I gaining weight?</t>
        </is>
      </c>
      <c r="C9186" t="inlineStr">
        <is>
          <t>So I was on a strict meal plan when I was first diagnosed. I would eat breakfast, lunch and dinner with 60/60/80 for the carbs. I lost almost fifty pounds in four months.
I have since moved onto an insulin ratio of 1 unit of insulin for every 8 grams of carbs and I've gained a lot of weight since then. Last time I checked I weighed almost 180 pounds! What can I do to manage my weight?</t>
        </is>
      </c>
      <c r="D9186" t="n">
        <v>1</v>
      </c>
      <c r="E9186" t="n">
        <v>12</v>
      </c>
      <c r="F9186">
        <f>HYPERLINK("https://www.reddit.com/r/diabetes/comments/gaygzy/why_am_i_gaining_weight/")</f>
        <v/>
      </c>
      <c r="G9186" t="inlineStr">
        <is>
          <t>2020-04-30 09:03:57</t>
        </is>
      </c>
      <c r="H9186" t="inlineStr">
        <is>
          <t>Type 1</t>
        </is>
      </c>
    </row>
    <row r="9187">
      <c r="A9187" t="inlineStr">
        <is>
          <t>gb17o9</t>
        </is>
      </c>
      <c r="B9187" t="inlineStr">
        <is>
          <t>Not to sure how? Fasting vs aftermeal glucose</t>
        </is>
      </c>
      <c r="C9187" t="inlineStr">
        <is>
          <t>My fasting glucose lvl is higher then 2 hours aftermeal lvl. 5.1(11:30am) vs4.7 (2pm) and 6.5(10am) vs 5.8(2pm)</t>
        </is>
      </c>
      <c r="D9187" t="n">
        <v>1</v>
      </c>
      <c r="E9187" t="n">
        <v>7</v>
      </c>
      <c r="F9187">
        <f>HYPERLINK("https://www.reddit.com/r/diabetes/comments/gb17o9/not_to_sure_how_fasting_vs_aftermeal_glucose/")</f>
        <v/>
      </c>
      <c r="G9187" t="inlineStr">
        <is>
          <t>2020-04-30 11:24:45</t>
        </is>
      </c>
      <c r="H9187" t="inlineStr">
        <is>
          <t>Type 2</t>
        </is>
      </c>
    </row>
    <row r="9188">
      <c r="A9188" t="inlineStr">
        <is>
          <t>gb3jaj</t>
        </is>
      </c>
      <c r="B9188" t="inlineStr">
        <is>
          <t>Literally just got diagnosed ten minutes ago.. Terrified</t>
        </is>
      </c>
      <c r="C9188" t="inlineStr">
        <is>
          <t>I’m scared. I was prediabetic in my teens but am now (23F) and have been officially diagnosed. I’m just looking for some advice, any advice, you guys might have on what works for you and what doesn’t.</t>
        </is>
      </c>
      <c r="D9188" t="n">
        <v>1</v>
      </c>
      <c r="E9188" t="n">
        <v>25</v>
      </c>
      <c r="F9188">
        <f>HYPERLINK("https://www.reddit.com/r/diabetes/comments/gb3jaj/literally_just_got_diagnosed_ten_minutes_ago/")</f>
        <v/>
      </c>
      <c r="G9188" t="inlineStr">
        <is>
          <t>2020-04-30 13:26:33</t>
        </is>
      </c>
      <c r="H9188" t="inlineStr">
        <is>
          <t>Type 2</t>
        </is>
      </c>
    </row>
    <row r="9189">
      <c r="A9189" t="inlineStr">
        <is>
          <t>gb659z</t>
        </is>
      </c>
      <c r="B9189" t="inlineStr">
        <is>
          <t>Forgot your basal insulin</t>
        </is>
      </c>
      <c r="C9189" t="inlineStr">
        <is>
          <t>Guys, did you ever forget to take your slow-acting insulin? How do you handle it when it happens?
I made a short video in which I explain how I do it.
[https://youtu.be/2JumtxOx5DY](https://youtu.be/2JumtxOx5DY)
I was wondering how you do it?
Thanks</t>
        </is>
      </c>
      <c r="D9189" t="n">
        <v>1</v>
      </c>
      <c r="E9189" t="n">
        <v>5</v>
      </c>
      <c r="F9189">
        <f>HYPERLINK("https://www.reddit.com/r/diabetes/comments/gb659z/forgot_your_basal_insulin/")</f>
        <v/>
      </c>
      <c r="G9189" t="inlineStr">
        <is>
          <t>2020-04-30 15:45:58</t>
        </is>
      </c>
      <c r="H9189" t="inlineStr">
        <is>
          <t>Type 1</t>
        </is>
      </c>
    </row>
    <row r="9190">
      <c r="A9190" t="inlineStr">
        <is>
          <t>gb6t1z</t>
        </is>
      </c>
      <c r="B9190" t="inlineStr">
        <is>
          <t>Odd issues with body</t>
        </is>
      </c>
      <c r="C9190" t="inlineStr">
        <is>
          <t>Hello all,
Happy Thursday. As some may know, I started my journey with this unwanted monster (diabetes) in January. I had been losing weight since 2017 and that along with peeing every half hour, blurry vision and being extremely thirsty ( not for attention, for liquids) sent me to the doctors for a checkup. I thought I may be diabetic because I had gestational 6 years ago with my son , plus my mom and dad ,2 aunts,2 grandparents , a great grandparent and an uncle all have or had it. Still when she called with the news I was crushed. I shouldn’t be surprised as I was not very active, ate a very very carb filled diet and was pretty sedentary. I drank at least 2 beers a day and a lot of times more , weekends were beer and cocktails. I was not healthy and at 5ft tall and 135 I was overweight. Cut to now, I cut the carbs down dramatically from the beginning, no pasta, no rice, no bread, no cereal, hardly any fruits, no sweets unless they are diabetic friendly. I slowly started exercising, weights because I’m scared of losing more weight. Cutting all the carbs and sugars made me lose more and I’m now at 100lbs. My numbers are in range for the most part 80-140 , I drink once in awhile. Wine , champagne, white claws or rarely a low carb beer. I have maybe 1-3 a week. I feel I’m doing good, my problem is, my body is fighting me on it. Since about the second week taking metformin and lowering numbers, my body has become foreign to me. Nerve issues seem to be the problem. Every week a different nerve issue. From pins and needles, to tingling, to hot needle pokes and now the most recent, twitches ,pulse or spasms.  You know how a muscle will twitch,pulse or spasm , sometimes your eye will do that also? Well it’s happening on the whole right side of my body. It started on my right butt cheek, I thought it was because of squats, but now it even on my foot, on my side, my thigh, my stomach. It’s weird. I can’t understand why it’s happening. It doesn’t hurt, but it is annoying.  I’m on 1500 mg of metformin er and other than cutting out a ton of foods, I can’t think of any other changes that could cause this. Has anyone had this issue? I’ve talked to my doctors and they have no clue, I’ve started taking B12 and D3 vitamins . I’m at a loss, I just want to be feeling better like everyone says they do when they get their diabetes under control.but I feel worse. I was supposed to get bloodwork done this month to see my progress but it’s been canceled, so I won’t know what’s going on . I have a phone appointment with my dr in a bit , I doubt she will offer any new suggestions. Anyone have anything similar happen?</t>
        </is>
      </c>
      <c r="D9190" t="n">
        <v>1</v>
      </c>
      <c r="E9190" t="n">
        <v>7</v>
      </c>
      <c r="F9190">
        <f>HYPERLINK("https://www.reddit.com/r/diabetes/comments/gb6t1z/odd_issues_with_body/")</f>
        <v/>
      </c>
      <c r="G9190" t="inlineStr">
        <is>
          <t>2020-04-30 16:22:23</t>
        </is>
      </c>
      <c r="H9190" t="inlineStr">
        <is>
          <t>Type 2</t>
        </is>
      </c>
    </row>
    <row r="9191">
      <c r="A9191" t="inlineStr">
        <is>
          <t>gb7d9z</t>
        </is>
      </c>
      <c r="B9191" t="inlineStr">
        <is>
          <t>Arm still aches an hour after I gave insulin injection</t>
        </is>
      </c>
      <c r="C9191" t="inlineStr">
        <is>
          <t xml:space="preserve"> The injection itself was far more painful than normal and an hour after injection, my arm still aches quite a bit, especially when I use it. I don't normally give arm injections, but I did just take my freestyle libre out of that arm a couple days ago. 
I'm thinking I accidentally got the muscle or something? If so is there any way to make it feel better or just wait it out?</t>
        </is>
      </c>
      <c r="D9191" t="n">
        <v>1</v>
      </c>
      <c r="E9191" t="n">
        <v>1</v>
      </c>
      <c r="F9191">
        <f>HYPERLINK("https://www.reddit.com/r/diabetes/comments/gb7d9z/arm_still_aches_an_hour_after_i_gave_insulin/")</f>
        <v/>
      </c>
      <c r="G9191" t="inlineStr">
        <is>
          <t>2020-04-30 16:53:50</t>
        </is>
      </c>
      <c r="H9191" t="inlineStr">
        <is>
          <t>Type 1</t>
        </is>
      </c>
    </row>
    <row r="9192">
      <c r="A9192" t="inlineStr">
        <is>
          <t>gb9qtp</t>
        </is>
      </c>
      <c r="B9192" t="inlineStr">
        <is>
          <t>Showering and drops in Blood Sugar Type1</t>
        </is>
      </c>
      <c r="C9192" t="inlineStr">
        <is>
          <t>I take a shower 2 hours after blousing for breakfast and usually always drop 10-20 pts on the Dexcom.  I have confirmed this with the Contour as well.
It's not overly hot either.  Used to take showers first in the morning and then 15 min later eat breakfast.  I was thinking of trying this  as blousing 15 min after a shower might not cause a drop?  Did it once for an early meeting and noticed no drop at all.
Wondering if anyone else does this:  Shower, then bolus about 15 min or so later for a meal?</t>
        </is>
      </c>
      <c r="D9192" t="n">
        <v>1</v>
      </c>
      <c r="E9192" t="n">
        <v>3</v>
      </c>
      <c r="F9192">
        <f>HYPERLINK("https://www.reddit.com/r/diabetes/comments/gb9qtp/showering_and_drops_in_blood_sugar_type1/")</f>
        <v/>
      </c>
      <c r="G9192" t="inlineStr">
        <is>
          <t>2020-04-30 19:23:46</t>
        </is>
      </c>
      <c r="H9192" t="inlineStr">
        <is>
          <t>Type 1</t>
        </is>
      </c>
    </row>
    <row r="9193">
      <c r="A9193" t="inlineStr">
        <is>
          <t>gbayxh</t>
        </is>
      </c>
      <c r="B9193" t="inlineStr">
        <is>
          <t>Need advice regarding carb intake</t>
        </is>
      </c>
      <c r="C9193" t="inlineStr">
        <is>
          <t>I am 15, male and eat an average of 400g of carbs daily, today eating 600g of carbs, and proportionally add insulin with an average of 130 bloodsugar, however as I was talking recently to some people they said it can stunt my growth, lower testosterone, and I should stop. My doctor never brought this up, so what do I do? I am not fat, and relatively thin; im around 160 pounds and almost 5'8. Advice would be appreciated.</t>
        </is>
      </c>
      <c r="D9193" t="n">
        <v>1</v>
      </c>
      <c r="E9193" t="n">
        <v>4</v>
      </c>
      <c r="F9193">
        <f>HYPERLINK("https://www.reddit.com/r/diabetes/comments/gbayxh/need_advice_regarding_carb_intake/")</f>
        <v/>
      </c>
      <c r="G9193" t="inlineStr">
        <is>
          <t>2020-04-30 20:48:21</t>
        </is>
      </c>
      <c r="H9193" t="inlineStr">
        <is>
          <t>Type 1</t>
        </is>
      </c>
    </row>
    <row r="9194">
      <c r="A9194" t="inlineStr">
        <is>
          <t>gbdb3x</t>
        </is>
      </c>
      <c r="B9194" t="inlineStr">
        <is>
          <t>How do I get over my fear of quick inserts?</t>
        </is>
      </c>
      <c r="C9194" t="inlineStr">
        <is>
          <t>Pens I can handle. Needles I can handle. Slowly inserting my infusion set and taking time to do it I can handle.
Pulling the spring back and getting the infusion set in me the way it was designed? Can't do it. Lancing device? I use the lancet itself and take the slow painful route.
I'm currently standing here typing this out with a dexcom g6 stuck to my side ready to fire, but I can't build the nerve to push the button.</t>
        </is>
      </c>
      <c r="D9194" t="n">
        <v>1</v>
      </c>
      <c r="E9194" t="n">
        <v>6</v>
      </c>
      <c r="F9194">
        <f>HYPERLINK("https://www.reddit.com/r/diabetes/comments/gbdb3x/how_do_i_get_over_my_fear_of_quick_inserts/")</f>
        <v/>
      </c>
      <c r="G9194" t="inlineStr">
        <is>
          <t>2020-04-30 23:52:10</t>
        </is>
      </c>
      <c r="H9194" t="inlineStr">
        <is>
          <t>Type 1</t>
        </is>
      </c>
    </row>
    <row r="9195">
      <c r="A9195" t="inlineStr">
        <is>
          <t>gbdcvs</t>
        </is>
      </c>
      <c r="B9195" t="inlineStr">
        <is>
          <t>Low readings on arm readers</t>
        </is>
      </c>
      <c r="C9195" t="inlineStr">
        <is>
          <t>Hi everyone,
My mom is diabetic and often wakes up around midnight (after injecting around 930pm) getting super low readings on her arm sensor... apologies I'm not sure the formal name of it, but it's a circular disc mounted to her in her bicep area. She scans it with her phone. Her BS was 2.9 on the reader. 
She does the blood test/prick right after and its showing as 6.2 twice in a row. 
These are significantly different readings..! We go with the blood test results. 
Does anyone know what's happening? Which is more reliable? Has anybody else had this experience? Is there a better way/place to mount the arm reader? 
TYIA! xx</t>
        </is>
      </c>
      <c r="D9195" t="n">
        <v>1</v>
      </c>
      <c r="E9195" t="n">
        <v>4</v>
      </c>
      <c r="F9195">
        <f>HYPERLINK("https://www.reddit.com/r/diabetes/comments/gbdcvs/low_readings_on_arm_readers/")</f>
        <v/>
      </c>
      <c r="G9195" t="inlineStr">
        <is>
          <t>2020-04-30 23:56:28</t>
        </is>
      </c>
      <c r="H9195" t="inlineStr">
        <is>
          <t>Type 2</t>
        </is>
      </c>
    </row>
    <row r="9196">
      <c r="A9196" t="inlineStr">
        <is>
          <t>gbe78y</t>
        </is>
      </c>
      <c r="B9196" t="inlineStr">
        <is>
          <t>Anyone else anxious about injecting insulin even after the 100th time?</t>
        </is>
      </c>
      <c r="C9196" t="inlineStr">
        <is>
          <t>I've been sitting here with the pen in my hand for the past half hour. I just can't do it. There's something about injecting yourself that never feels right. Sometimes I wonder if I'll ever get used to it. I hope I can get a pump soon because I can't handle this.</t>
        </is>
      </c>
      <c r="D9196" t="n">
        <v>1</v>
      </c>
      <c r="E9196" t="n">
        <v>14</v>
      </c>
      <c r="F9196">
        <f>HYPERLINK("https://www.reddit.com/r/diabetes/comments/gbe78y/anyone_else_anxious_about_injecting_insulin_even/")</f>
        <v/>
      </c>
      <c r="G9196" t="inlineStr">
        <is>
          <t>2020-05-01 01:13:24</t>
        </is>
      </c>
      <c r="H9196" t="inlineStr">
        <is>
          <t>Type 1</t>
        </is>
      </c>
    </row>
    <row r="9197">
      <c r="A9197" t="inlineStr">
        <is>
          <t>gbpj73</t>
        </is>
      </c>
      <c r="B9197" t="inlineStr">
        <is>
          <t>Is it okay eat/drink grapefruit while on metformin and/or insulin?</t>
        </is>
      </c>
      <c r="C9197" t="inlineStr">
        <is>
          <t>I read an article saying it increases lactic acid and could cause lactic acidosis for people taking it with metformin. 
What's your experience with grapefruit?</t>
        </is>
      </c>
      <c r="D9197" t="n">
        <v>1</v>
      </c>
      <c r="E9197" t="n">
        <v>2</v>
      </c>
      <c r="F9197">
        <f>HYPERLINK("https://www.reddit.com/r/diabetes/comments/gbpj73/is_it_okay_eatdrink_grapefruit_while_on_metformin/")</f>
        <v/>
      </c>
      <c r="G9197" t="inlineStr">
        <is>
          <t>2020-05-01 13:18:44</t>
        </is>
      </c>
      <c r="H9197" t="inlineStr">
        <is>
          <t>Type 2</t>
        </is>
      </c>
    </row>
    <row r="9198">
      <c r="A9198" t="inlineStr">
        <is>
          <t>gbqfts</t>
        </is>
      </c>
      <c r="B9198" t="inlineStr">
        <is>
          <t>Hey there, my wife was recently diagnosed with type 2 diabetes. She's concerned about her fasting numbers.</t>
        </is>
      </c>
      <c r="C9198" t="inlineStr">
        <is>
          <t>She works nights sometimes so she adjusts her sleep schedule. Last night she ate at 9 PM and didn't eat again until 1:30 PM. She's worried about her numbers being high. Each fasting blood check she's done has been around 150-160. She's concerned that its too high and she's stressing over the worry of having to do insulin soon if it doesn't get better (she takes 1000 MG of Metformin in the morning and night)  is her numbers average for her? Does she have cause to be worried?</t>
        </is>
      </c>
      <c r="D9198" t="n">
        <v>1</v>
      </c>
      <c r="E9198" t="n">
        <v>12</v>
      </c>
      <c r="F9198">
        <f>HYPERLINK("https://www.reddit.com/r/diabetes/comments/gbqfts/hey_there_my_wife_was_recently_diagnosed_with/")</f>
        <v/>
      </c>
      <c r="G9198" t="inlineStr">
        <is>
          <t>2020-05-01 14:07:18</t>
        </is>
      </c>
      <c r="H9198" t="inlineStr">
        <is>
          <t>Type 2</t>
        </is>
      </c>
    </row>
    <row r="9199">
      <c r="A9199" t="inlineStr">
        <is>
          <t>gbqhm4</t>
        </is>
      </c>
      <c r="B9199" t="inlineStr">
        <is>
          <t>Lowering blood sugar after surgery</t>
        </is>
      </c>
      <c r="C9199" t="inlineStr">
        <is>
          <t>I had my wisdom tooth extracted yesterday under local and IV sedation. I’m taking antibiotics and painkillers. Today I’ve eaten scrambled eggs, jello, mashed potatoes, cheese sticks, Mac and cheese, and water. 
I just took my blood sugar and it’s 264 when it’s usually in my normal range of below 170. I don’t take insulin, but I take metformin and trulicity once a week. I am type 2 and was diagnosed 3 months ago. 
What should I do to lower my numbers??</t>
        </is>
      </c>
      <c r="D9199" t="n">
        <v>1</v>
      </c>
      <c r="E9199" t="n">
        <v>3</v>
      </c>
      <c r="F9199">
        <f>HYPERLINK("https://www.reddit.com/r/diabetes/comments/gbqhm4/lowering_blood_sugar_after_surgery/")</f>
        <v/>
      </c>
      <c r="G9199" t="inlineStr">
        <is>
          <t>2020-05-01 14:10:03</t>
        </is>
      </c>
      <c r="H9199" t="inlineStr">
        <is>
          <t>Type 2</t>
        </is>
      </c>
    </row>
    <row r="9200">
      <c r="A9200" t="inlineStr">
        <is>
          <t>gbqjue</t>
        </is>
      </c>
      <c r="B9200" t="inlineStr">
        <is>
          <t>Xdrip question with libre sensor</t>
        </is>
      </c>
      <c r="C9200" t="inlineStr">
        <is>
          <t>I ordered a miaomiao but wanted to get familiar with xdrip by using it to scan my libre and see the results, but it didn't work? I use the abbott app and glimp, both scan with ease but do i need a transmitter to make xdrip work? Can i just scan and get result? 
If so, what do settings need to be?
That's for any help</t>
        </is>
      </c>
      <c r="D9200" t="n">
        <v>1</v>
      </c>
      <c r="E9200" t="n">
        <v>6</v>
      </c>
      <c r="F9200">
        <f>HYPERLINK("https://www.reddit.com/r/diabetes/comments/gbqjue/xdrip_question_with_libre_sensor/")</f>
        <v/>
      </c>
      <c r="G9200" t="inlineStr">
        <is>
          <t>2020-05-01 14:13:27</t>
        </is>
      </c>
      <c r="H9200" t="inlineStr">
        <is>
          <t>Type 1</t>
        </is>
      </c>
    </row>
    <row r="9201">
      <c r="A9201" t="inlineStr">
        <is>
          <t>gbroi2</t>
        </is>
      </c>
      <c r="B9201" t="inlineStr">
        <is>
          <t>Any tips?</t>
        </is>
      </c>
      <c r="C9201" t="inlineStr">
        <is>
          <t>I recently got type 1 diabetes on my birthday in April and it’s been hard especially during this lockdown any tips?</t>
        </is>
      </c>
      <c r="D9201" t="n">
        <v>1</v>
      </c>
      <c r="E9201" t="n">
        <v>5</v>
      </c>
      <c r="F9201">
        <f>HYPERLINK("https://www.reddit.com/r/diabetes/comments/gbroi2/any_tips/")</f>
        <v/>
      </c>
      <c r="G9201" t="inlineStr">
        <is>
          <t>2020-05-01 15:16:26</t>
        </is>
      </c>
      <c r="H9201" t="inlineStr">
        <is>
          <t>Type 1</t>
        </is>
      </c>
    </row>
    <row r="9202">
      <c r="A9202" t="inlineStr">
        <is>
          <t>gbyptg</t>
        </is>
      </c>
      <c r="B9202" t="inlineStr">
        <is>
          <t>Need some advice on losing body fat</t>
        </is>
      </c>
      <c r="C9202" t="inlineStr">
        <is>
          <t>I am 19 male,180cm long and my weight is 76kg.I have diabetes for 8 years and most of my life i have been skinny.Last year i put some unwanted weight because i was an idiot and didn't eat what i was supposed to and i had a few diabetic unrelated minor surgeries that made my daily activity pretty low for a few months.Anyway last 3 months i started doing home exercises(push ups,sit ups and so on) and i got some muscle but for some reason i couldn't lose my belly fat so i started doing 3km runs 4 times a week for about a month now.I don't eat junk food(obviously),rarely eat dark bread,most of the time i don't have any to avoid carbs.I calculate my calorie intake to be always around 1500 or lower.I had issues with lows sometimes but otherwise none.So could it be diabetes related or i am i just being impatient.Its not that bad bad it is definitely noticable when i take my shirt off.Thanks</t>
        </is>
      </c>
      <c r="D9202" t="n">
        <v>1</v>
      </c>
      <c r="E9202" t="n">
        <v>5</v>
      </c>
      <c r="F9202">
        <f>HYPERLINK("https://www.reddit.com/r/diabetes/comments/gbyptg/need_some_advice_on_losing_body_fat/")</f>
        <v/>
      </c>
      <c r="G9202" t="inlineStr">
        <is>
          <t>2020-05-01 19:43:27</t>
        </is>
      </c>
      <c r="H9202" t="inlineStr">
        <is>
          <t>Type 1</t>
        </is>
      </c>
    </row>
    <row r="9203">
      <c r="A9203" t="inlineStr">
        <is>
          <t>gbznhy</t>
        </is>
      </c>
      <c r="B9203" t="inlineStr">
        <is>
          <t>Drinking red wine as a type 1 diabetic</t>
        </is>
      </c>
      <c r="C9203" t="inlineStr">
        <is>
          <t>What are peoples' experiences with wine or other alcohol? I know it's best to avoid it for overall health but a man's cortisol levels can only go so high before there's problems</t>
        </is>
      </c>
      <c r="D9203" t="n">
        <v>1</v>
      </c>
      <c r="E9203" t="n">
        <v>10</v>
      </c>
      <c r="F9203">
        <f>HYPERLINK("https://www.reddit.com/r/diabetes/comments/gbznhy/drinking_red_wine_as_a_type_1_diabetic/")</f>
        <v/>
      </c>
      <c r="G9203" t="inlineStr">
        <is>
          <t>2020-05-01 20:34:14</t>
        </is>
      </c>
      <c r="H9203" t="inlineStr">
        <is>
          <t>Type 1.5/LADA</t>
        </is>
      </c>
    </row>
    <row r="9204">
      <c r="A9204" t="inlineStr">
        <is>
          <t>gc0575</t>
        </is>
      </c>
      <c r="B9204" t="inlineStr">
        <is>
          <t>My Journey Over The Last Three Years</t>
        </is>
      </c>
      <c r="C9204" t="inlineStr">
        <is>
          <t>I recently wrote an article for the **#HumansOfIT** on my journey with Type 1 Diabetes over the last three years. I hope you enjoy it :)
https://techcommunity.microsoft.com/t5/humans-of-it-blog/guest-blog-savings-lives-globally-with-power-platform/ba-p/1337260
**#TechforGood**
**#tech4good**</t>
        </is>
      </c>
      <c r="D9204" t="n">
        <v>1</v>
      </c>
      <c r="E9204" t="n">
        <v>0</v>
      </c>
      <c r="F9204">
        <f>HYPERLINK("https://www.reddit.com/r/diabetes/comments/gc0575/my_journey_over_the_last_three_years/")</f>
        <v/>
      </c>
      <c r="G9204" t="inlineStr">
        <is>
          <t>2020-05-01 21:11:51</t>
        </is>
      </c>
      <c r="H9204" t="inlineStr">
        <is>
          <t>Type 1.5/LADA</t>
        </is>
      </c>
    </row>
    <row r="9205">
      <c r="A9205" t="inlineStr">
        <is>
          <t>gc3566</t>
        </is>
      </c>
      <c r="B9205" t="inlineStr">
        <is>
          <t>Does anyone else as frustrated by Minimed's CGM system as I am?</t>
        </is>
      </c>
      <c r="C9205" t="inlineStr">
        <is>
          <t>I have to be on a CGM right now for other health related issues, and I've just about had it with these spring loaded sensors hitting blood and refusing to calibrate, or popping off when I'm taking them out of the box. Plus, I woke up in the 40's this morning and it didn't catch it. Constant recalibrations, shutting off after 2 1/2 hours because my sugars were too good (it second guesses itself?), three unresponsive episodes in the past 6 weeks even though it's set to shut off on low... What is the point?
I'm about ready to pay out of pocket for something new, but I need a loop rn. Tell me what you like, or tell me how to work around this bs.</t>
        </is>
      </c>
      <c r="D9205" t="n">
        <v>1</v>
      </c>
      <c r="E9205" t="n">
        <v>0</v>
      </c>
      <c r="F9205">
        <f>HYPERLINK("https://www.reddit.com/r/diabetes/comments/gc3566/does_anyone_else_as_frustrated_by_minimeds_cgm/")</f>
        <v/>
      </c>
      <c r="G9205" t="inlineStr">
        <is>
          <t>2020-05-02 01:36:51</t>
        </is>
      </c>
      <c r="H9205" t="inlineStr">
        <is>
          <t>Type 1</t>
        </is>
      </c>
    </row>
    <row r="9206">
      <c r="A9206" t="inlineStr">
        <is>
          <t>gc7086</t>
        </is>
      </c>
      <c r="B9206" t="inlineStr">
        <is>
          <t>Making the switch</t>
        </is>
      </c>
      <c r="C9206" t="inlineStr">
        <is>
          <t>I’m 23 and have been T1 for 13 years now.  Ive stuck to the same method of test strips for testing and epipens for injecting this whole time; and although my hba1c is pretty decent, I’d still like it to be lower. I’ve been heavily contemplating switching to the freestyle libre for testing because the 24/7 readings that are accessible through your phone with the libre seems like it’d really benefit my bg stability. Not having to carry around a blood meter all the time too.. it sounds like a no brainer. 
But, I’ve not been able to psychologically get round the idea of having a permanent implant yet. I guess that’s why I’ve put it off for so long. Idk, it just seems weird to me still to have a scanner attached to me for life for the whole world to see. 
I guess what I’m asking is: to anyone who has made the switch to the more autonomous system, how beneficial has it been to your control and is it worth having something like that attached to you? Also, what sort of physical complications does it cause? I’ve seen people on here get it caught on door handles etc and it tears the skin ...that kind of puts me off too</t>
        </is>
      </c>
      <c r="D9206" t="n">
        <v>1</v>
      </c>
      <c r="E9206" t="n">
        <v>14</v>
      </c>
      <c r="F9206">
        <f>HYPERLINK("https://www.reddit.com/r/diabetes/comments/gc7086/making_the_switch/")</f>
        <v/>
      </c>
      <c r="G9206" t="inlineStr">
        <is>
          <t>2020-05-02 07:05:30</t>
        </is>
      </c>
      <c r="H9206" t="inlineStr">
        <is>
          <t>Type 1</t>
        </is>
      </c>
    </row>
    <row r="9207">
      <c r="A9207" t="inlineStr">
        <is>
          <t>gcb0s4</t>
        </is>
      </c>
      <c r="B9207" t="inlineStr">
        <is>
          <t>Diabetic birthday cake recipe</t>
        </is>
      </c>
      <c r="C9207" t="inlineStr">
        <is>
          <t>Hey people 
My grandpa’s birthday is coming up soon and he had diabetes :,) and I know he loves eating cake but he can’t eat that much. Do you guys have any recipes to recommend so that I can bake for him? 
Thank you in advance ☺️</t>
        </is>
      </c>
      <c r="D9207" t="n">
        <v>2</v>
      </c>
      <c r="E9207" t="n">
        <v>3</v>
      </c>
      <c r="F9207">
        <f>HYPERLINK("https://www.reddit.com/r/diabetes/comments/gcb0s4/diabetic_birthday_cake_recipe/")</f>
        <v/>
      </c>
      <c r="G9207" t="inlineStr">
        <is>
          <t>2020-05-02 11:12:47</t>
        </is>
      </c>
      <c r="H9207" t="inlineStr">
        <is>
          <t>Type 2</t>
        </is>
      </c>
    </row>
    <row r="9208">
      <c r="A9208" t="inlineStr">
        <is>
          <t>gcdma8</t>
        </is>
      </c>
      <c r="B9208" t="inlineStr">
        <is>
          <t>Pump sites on a hairy stomach</t>
        </is>
      </c>
      <c r="C9208" t="inlineStr">
        <is>
          <t>Husband and I are starting a pump for the first time tomorrow. He is concerned because he has a hairy stomach and is wondering if he should shave the area he plans to attach the infusion set. I would appreciate insight from a real life user over an educator without diabetes.</t>
        </is>
      </c>
      <c r="D9208" t="n">
        <v>1</v>
      </c>
      <c r="E9208" t="n">
        <v>7</v>
      </c>
      <c r="F9208">
        <f>HYPERLINK("https://www.reddit.com/r/diabetes/comments/gcdma8/pump_sites_on_a_hairy_stomach/")</f>
        <v/>
      </c>
      <c r="G9208" t="inlineStr">
        <is>
          <t>2020-05-02 13:46:17</t>
        </is>
      </c>
      <c r="H9208" t="inlineStr">
        <is>
          <t>Type 1</t>
        </is>
      </c>
    </row>
    <row r="9209">
      <c r="A9209" t="inlineStr">
        <is>
          <t>gchb86</t>
        </is>
      </c>
      <c r="B9209" t="inlineStr">
        <is>
          <t>an expected yet unexpected diagnosis</t>
        </is>
      </c>
      <c r="C9209" t="inlineStr">
        <is>
          <t>TL;DR After being worried about diabetes my entire adult life, this past year I made positive lifestyle changes, and NOW I get the diagnosis.
So nearly all of the older women on one side of my family have Type 2, and I've kind of felt like it was a ticking time bomb. (I'm 38F.)  I've been very overweight my whole life, and a couple of years ago I decided for lots of reasons to make positive lifestyle changes, and though I've yo-yo-ed a bit, I've lost weight such that I'm at my lowest since college. (NOT to suggest I'm at a healthy weight yet - I'm currently about 20 pounds away from being "overweight" rather than "obese.")
Last year around this time I had my annual bloodwork and was in pre-diabetes range, 6.5. Well, I thought, I'm doing the right things so this will be okay!
Anyway, a couple of weeks ago I start noticing some suspicious symptoms. I thought I might just be being paranoid, but those are symptoms I've always been on the lookout for,  so I bought a blood glucose meter...  260. :(
Anyway, got bloodwork and now I'm at 8.5.  My doctor was so confused, since I'm healthier than I was last year.   That  said, my  diet  was  NOT low  carb, just generally healthy. I am a bit fan of oatmeal and  rice, for example, and hadn't cut out sugar if it was within my calorie range.
I find myself... disappointed and a little scared, but optimistic. Just started on metformin and am on day 3 of a low carb diet. Which I am finding very challenging, but  I've noticed a small drop (hovering today around 215 as opposed to 260).  I'm just crossing my fingers that between that and the metformin I can get it under control.
My grandmother, who (and I'm barely exaggerating about this) ate nothing but ice cream and cornbread, lived to be 86 though had very bad neuropathy.  I have decided I'm NOT going to be her.
Mostly I just wanted to tell this story to someone who would understand!</t>
        </is>
      </c>
      <c r="D9209" t="n">
        <v>1</v>
      </c>
      <c r="E9209" t="n">
        <v>6</v>
      </c>
      <c r="F9209">
        <f>HYPERLINK("https://www.reddit.com/r/diabetes/comments/gchb86/an_expected_yet_unexpected_diagnosis/")</f>
        <v/>
      </c>
      <c r="G9209" t="inlineStr">
        <is>
          <t>2020-05-02 17:37:37</t>
        </is>
      </c>
      <c r="H9209" t="inlineStr">
        <is>
          <t>Type 2</t>
        </is>
      </c>
    </row>
    <row r="9210">
      <c r="A9210" t="inlineStr">
        <is>
          <t>gciip0</t>
        </is>
      </c>
      <c r="B9210" t="inlineStr">
        <is>
          <t>I’m interest in helping out diabetics with learning what is CARBOHYDRATES. Aka sugar.</t>
        </is>
      </c>
      <c r="C9210" t="inlineStr">
        <is>
          <t>How I’m learning to be a diabetic and how it pushed me towards working on my career :)</t>
        </is>
      </c>
      <c r="D9210" t="n">
        <v>1</v>
      </c>
      <c r="E9210" t="n">
        <v>13</v>
      </c>
      <c r="F9210">
        <f>HYPERLINK("https://www.reddit.com/r/diabetes/comments/gciip0/im_interest_in_helping_out_diabetics_with/")</f>
        <v/>
      </c>
      <c r="G9210" t="inlineStr">
        <is>
          <t>2020-05-02 18:59:59</t>
        </is>
      </c>
      <c r="H9210" t="inlineStr">
        <is>
          <t>Type 1</t>
        </is>
      </c>
    </row>
    <row r="9211">
      <c r="A9211" t="inlineStr">
        <is>
          <t>gcjnus</t>
        </is>
      </c>
      <c r="B9211" t="inlineStr">
        <is>
          <t>I know I'm such an idiot, just venting</t>
        </is>
      </c>
      <c r="C9211" t="inlineStr">
        <is>
          <t>My mom made cookies, chocolate chip, not low sugar in any way. I have a terrible time controlling myself and she knows this, still made them and kept them out in the open. I've had...too many. and I know it's my fault and I should have more control...I just don't. Of course my blood sugar is high and exercising didn't really help at all. I'm thinking of taking some insulin (I have some left from when I first got diagnosed, I don't use it anymore), it's long acting, so I don't really know if it's gonna help. Maybe I should just...wait and hope I'll be fine tomorrow...just why am I so stupid...</t>
        </is>
      </c>
      <c r="D9211" t="n">
        <v>1</v>
      </c>
      <c r="E9211" t="n">
        <v>5</v>
      </c>
      <c r="F9211">
        <f>HYPERLINK("https://www.reddit.com/r/diabetes/comments/gcjnus/i_know_im_such_an_idiot_just_venting/")</f>
        <v/>
      </c>
      <c r="G9211" t="inlineStr">
        <is>
          <t>2020-05-02 20:21:26</t>
        </is>
      </c>
      <c r="H9211" t="inlineStr">
        <is>
          <t>Type 2</t>
        </is>
      </c>
    </row>
    <row r="9212">
      <c r="A9212" t="inlineStr">
        <is>
          <t>gclmrk</t>
        </is>
      </c>
      <c r="B9212" t="inlineStr">
        <is>
          <t>Should i take an extra shot of mealtime insulin (novolog) if i see an unexpected high in the middle of the night?</t>
        </is>
      </c>
      <c r="C9212" t="inlineStr">
        <is>
          <t>Without any food at that time.</t>
        </is>
      </c>
      <c r="D9212" t="n">
        <v>1</v>
      </c>
      <c r="E9212" t="n">
        <v>12</v>
      </c>
      <c r="F9212">
        <f>HYPERLINK("https://www.reddit.com/r/diabetes/comments/gclmrk/should_i_take_an_extra_shot_of_mealtime_insulin/")</f>
        <v/>
      </c>
      <c r="G9212" t="inlineStr">
        <is>
          <t>2020-05-02 23:00:52</t>
        </is>
      </c>
      <c r="H9212" t="inlineStr">
        <is>
          <t>Type 1</t>
        </is>
      </c>
    </row>
    <row r="9213">
      <c r="A9213" t="inlineStr">
        <is>
          <t>gcpk0z</t>
        </is>
      </c>
      <c r="B9213" t="inlineStr">
        <is>
          <t>Muscle/joint pain</t>
        </is>
      </c>
      <c r="C9213" t="inlineStr">
        <is>
          <t>I (27 F) was diagnosed in February. I lost 30 lbs before diagnosis and am just 100 lbs at 5’3”. 
I’m in so much constant pain. My back and legs never seem to be comfortable. I can’t stand, sit or lay in any position for more than a couple minutes. I try and be as (low impact) active as possible going on multiple walks, stretching, drinking lots of water and have been really good about keeping a normal sugar level. 
Is this common? I’ve asked all my nurses and doctors and no one seems to take it seriously. Did I just get too thin? Is this part of recovery/gaining weight back? 
Please let me know I’m not alone in this..</t>
        </is>
      </c>
      <c r="D9213" t="n">
        <v>1</v>
      </c>
      <c r="E9213" t="n">
        <v>18</v>
      </c>
      <c r="F9213">
        <f>HYPERLINK("https://www.reddit.com/r/diabetes/comments/gcpk0z/musclejoint_pain/")</f>
        <v/>
      </c>
      <c r="G9213" t="inlineStr">
        <is>
          <t>2020-05-03 05:09:43</t>
        </is>
      </c>
      <c r="H9213" t="inlineStr">
        <is>
          <t>Type 1</t>
        </is>
      </c>
    </row>
    <row r="9214">
      <c r="A9214" t="inlineStr">
        <is>
          <t>gcpmfw</t>
        </is>
      </c>
      <c r="B9214" t="inlineStr">
        <is>
          <t>Newly Diagnosed T2</t>
        </is>
      </c>
      <c r="C9214" t="inlineStr">
        <is>
          <t>I’m not a frequent Reddit poster, but I just was diagnosed with T2. I had to have an ER visit to get this under control, primarily due to sudden blurred vision.
I am quite scared going forward because I hade not been a beacon of healthy eating or drinking in my life. I am looking for any feedback on meal options that are successful for people, tips on how to manage this, and overall lifestyle recommendations.
I have a follow-up with my primary care doctor this week to discuss medications as well as the vision issue, but I’m desperate for help from people who live this and know what foods/meals work for you!</t>
        </is>
      </c>
      <c r="D9214" t="n">
        <v>1</v>
      </c>
      <c r="E9214" t="n">
        <v>7</v>
      </c>
      <c r="F9214">
        <f>HYPERLINK("https://www.reddit.com/r/diabetes/comments/gcpmfw/newly_diagnosed_t2/")</f>
        <v/>
      </c>
      <c r="G9214" t="inlineStr">
        <is>
          <t>2020-05-03 05:15:09</t>
        </is>
      </c>
      <c r="H9214" t="inlineStr">
        <is>
          <t>Type 2</t>
        </is>
      </c>
    </row>
    <row r="9215">
      <c r="A9215" t="inlineStr">
        <is>
          <t>gcs9dh</t>
        </is>
      </c>
      <c r="B9215" t="inlineStr">
        <is>
          <t>Why do T2’s have skinny arms and legs with big bellies?</t>
        </is>
      </c>
      <c r="C9215" t="inlineStr">
        <is>
          <t>So I’m curious as to why most T2 Diabetics have a “frog body” shape with very skinny arms and legs but a big gut. I’ve never seen this body type in a T1 so I assume it’s T2 specific. Not bashing weird bodies but it has my curious</t>
        </is>
      </c>
      <c r="D9215" t="n">
        <v>1</v>
      </c>
      <c r="E9215" t="n">
        <v>22</v>
      </c>
      <c r="F9215">
        <f>HYPERLINK("https://www.reddit.com/r/diabetes/comments/gcs9dh/why_do_t2s_have_skinny_arms_and_legs_with_big/")</f>
        <v/>
      </c>
      <c r="G9215" t="inlineStr">
        <is>
          <t>2020-05-03 08:16:24</t>
        </is>
      </c>
      <c r="H9215" t="inlineStr">
        <is>
          <t>Type 1.5/LADA</t>
        </is>
      </c>
    </row>
    <row r="9216">
      <c r="A9216" t="inlineStr">
        <is>
          <t>gd3o75</t>
        </is>
      </c>
      <c r="B9216" t="inlineStr">
        <is>
          <t>How often should I be eating?</t>
        </is>
      </c>
      <c r="C9216" t="inlineStr">
        <is>
          <t>I literally didn't get hungry before I was diabetic. Like... At all. So now that I'm diabetic I get hungry probably every 7 hours. I've noticed that when I don't eat I get really bad sugar spikes. Are these related? How often should I be eating?</t>
        </is>
      </c>
      <c r="D9216" t="n">
        <v>1</v>
      </c>
      <c r="E9216" t="n">
        <v>8</v>
      </c>
      <c r="F9216">
        <f>HYPERLINK("https://www.reddit.com/r/diabetes/comments/gd3o75/how_often_should_i_be_eating/")</f>
        <v/>
      </c>
      <c r="G9216" t="inlineStr">
        <is>
          <t>2020-05-03 19:59:36</t>
        </is>
      </c>
      <c r="H9216" t="inlineStr">
        <is>
          <t>Type 1</t>
        </is>
      </c>
    </row>
    <row r="9217">
      <c r="A9217" t="inlineStr">
        <is>
          <t>gd4ea6</t>
        </is>
      </c>
      <c r="B9217" t="inlineStr">
        <is>
          <t>Question about diabetic shock.</t>
        </is>
      </c>
      <c r="C9217" t="inlineStr">
        <is>
          <t>Today, while I was taking a nap, my mother found me unresponsive and seizing from a low blood sugar which I believe was around ~10 mg/dl. I woke up to several police officers, EMT’s and an IV in my arm while also very obviously being confused and sick. After a few hours I was (seemingly) back to normal physically but emotionally scarred. What i’m nervous about was the seizure I experienced while unconscious. I’ve never had a seizure before and read that once you have your first seizure you’re prone to more. Additionally, I read that seizures cause brain damage. Are these statements true and is there any more information anyone could give me? Thanks.</t>
        </is>
      </c>
      <c r="D9217" t="n">
        <v>1</v>
      </c>
      <c r="E9217" t="n">
        <v>8</v>
      </c>
      <c r="F9217">
        <f>HYPERLINK("https://www.reddit.com/r/diabetes/comments/gd4ea6/question_about_diabetic_shock/")</f>
        <v/>
      </c>
      <c r="G9217" t="inlineStr">
        <is>
          <t>2020-05-03 20:51:28</t>
        </is>
      </c>
      <c r="H9217" t="inlineStr">
        <is>
          <t>Type 1</t>
        </is>
      </c>
    </row>
    <row r="9218">
      <c r="A9218" t="inlineStr">
        <is>
          <t>gd74lo</t>
        </is>
      </c>
      <c r="B9218" t="inlineStr">
        <is>
          <t>How to put the infusion site in</t>
        </is>
      </c>
      <c r="C9218" t="inlineStr">
        <is>
          <t>Put it in half way
Hit a nerve
Grit your teeth and wait for pain to stop
Keep going
Stop immediately from pain
Cry 
Panic attack
Pull it out 
Die</t>
        </is>
      </c>
      <c r="D9218" t="n">
        <v>1</v>
      </c>
      <c r="E9218" t="n">
        <v>5</v>
      </c>
      <c r="F9218">
        <f>HYPERLINK("https://www.reddit.com/r/diabetes/comments/gd74lo/how_to_put_the_infusion_site_in/")</f>
        <v/>
      </c>
      <c r="G9218" t="inlineStr">
        <is>
          <t>2020-05-04 00:35:37</t>
        </is>
      </c>
      <c r="H9218" t="inlineStr">
        <is>
          <t>Type 1</t>
        </is>
      </c>
    </row>
    <row r="9219">
      <c r="A9219" t="inlineStr">
        <is>
          <t>gdd6qi</t>
        </is>
      </c>
      <c r="B9219" t="inlineStr">
        <is>
          <t>Diabetes, Covid &amp;amp; agoraphobia?</t>
        </is>
      </c>
      <c r="C9219" t="inlineStr">
        <is>
          <t>Hi all!
New to Reddit and new to the beetus!
Turned 28, then diagnosed type 2 in Jan on my birthday, rediagnosed type 1 in feb after a month of buffering about, started to get to the point where my insulin wasn’t nearly killing me daily with insane drops then coronavirus hits in March. I already had quite a bit of anxiety before diabetes, then more after diabetes and now with coronavirus and everyone saying “vulnerable people shouldn’t leave the house” and everyone shaming people who do it’s getting to the point where I am too anxious to leave the house. I left once for a run (over and over again around my block to avoid humans, I live next to a major store so still passed like 20 in 2 miles) then got a cold and thought I’d got covid so haven’t left since. 
I have to get my hba1c blood test this week and it’s a 2 hour walk to the nearest open clinic through the most highly affected area in the UK and I straight up don’t want to go. It’s my first hba1c but my projected is down from 12 to 6.3 so surely not a massive concern? 🤷‍♀️ 
Despite the fact that I know my sugars are more well controlled than they were, I think I’m developing agoraphobia and whenever I think about being made to go back to work (I’m a teacher so I think it will be a while but in the media they’re always talking about when the schools are going back) I get nervous and emotional. I think I’m developing agoraphobia and idk how im going to get back to normal after covid lock downs ease up. We’re also meant to be getting married abroad in December and tbh I just want to postpone it. Everyone’s saying it might get better but I don’t want to feel this worried about me or my family catching covid my wedding day.
TLDR: anyone else feeling terrified to leave the house?
X</t>
        </is>
      </c>
      <c r="D9219" t="n">
        <v>1</v>
      </c>
      <c r="E9219" t="n">
        <v>1</v>
      </c>
      <c r="F9219">
        <f>HYPERLINK("https://www.reddit.com/r/diabetes/comments/gdd6qi/diabetes_covid_agoraphobia/")</f>
        <v/>
      </c>
      <c r="G9219" t="inlineStr">
        <is>
          <t>2020-05-04 08:03:28</t>
        </is>
      </c>
      <c r="H9219" t="inlineStr">
        <is>
          <t>Type 1</t>
        </is>
      </c>
    </row>
    <row r="9220">
      <c r="A9220" t="inlineStr">
        <is>
          <t>gddm4u</t>
        </is>
      </c>
      <c r="B9220" t="inlineStr">
        <is>
          <t>Experience with necrobiosis lipoidica</t>
        </is>
      </c>
      <c r="C9220" t="inlineStr">
        <is>
          <t>Hey! I’m 21, T1 diabets have been tagging along with me for 17 years. Short time ago I was diagnosed with necrobiosis lipoidica and my question is that do any of you have any experience with it? In my case, things have gone quite bad, had red spot near my ankle for like 2 years, went to dermatologist (who really screwed things up), she took biopsy from there which is really risky thing to do and now I have also a quite big wound on that red spot, I was hospitalised with it also but it’s still recovering very slowly. I’m just interested if any of you have had similar experience and how it turned out or any tips with that? ✌️</t>
        </is>
      </c>
      <c r="D9220" t="n">
        <v>1</v>
      </c>
      <c r="E9220" t="n">
        <v>2</v>
      </c>
      <c r="F9220">
        <f>HYPERLINK("https://www.reddit.com/r/diabetes/comments/gddm4u/experience_with_necrobiosis_lipoidica/")</f>
        <v/>
      </c>
      <c r="G9220" t="inlineStr">
        <is>
          <t>2020-05-04 08:27:21</t>
        </is>
      </c>
      <c r="H9220" t="inlineStr">
        <is>
          <t>Type 1</t>
        </is>
      </c>
    </row>
    <row r="9221">
      <c r="A9221" t="inlineStr">
        <is>
          <t>gddrdy</t>
        </is>
      </c>
      <c r="B9221" t="inlineStr">
        <is>
          <t>My omnipod pdm failed and I have to switch to injections until I get my replacement tomorrow ... some help on a half day lantus dosage?</t>
        </is>
      </c>
      <c r="C9221" t="inlineStr">
        <is>
          <t>Luckily it happened right before I was going for a run, and I always turn off my insulin for about 2 hours when I exercise. So I shouldn’t have any short acting on board when I inject the lantus. 
When I was on Lantus before my Omnipod’s, I took 10 units every 12 hours or so.... should I take 10 when I’m back from my run and a half dosage at about midnight? They said the pdm would be overnighted. So that should cover me until about noon/1pm tomorrow with less long acting insulin on board for when I set up my new pdm? Or should I do a half dose, like 4-5 units now, and then a fuller dose late tonight?
I wear a CGM so I can monitor my blood sugar well during this.</t>
        </is>
      </c>
      <c r="D9221" t="n">
        <v>1</v>
      </c>
      <c r="E9221" t="n">
        <v>4</v>
      </c>
      <c r="F9221">
        <f>HYPERLINK("https://www.reddit.com/r/diabetes/comments/gddrdy/my_omnipod_pdm_failed_and_i_have_to_switch_to/")</f>
        <v/>
      </c>
      <c r="G9221" t="inlineStr">
        <is>
          <t>2020-05-04 08:35:11</t>
        </is>
      </c>
      <c r="H9221" t="inlineStr">
        <is>
          <t>Type 1</t>
        </is>
      </c>
    </row>
    <row r="9222">
      <c r="A9222" t="inlineStr">
        <is>
          <t>gde63l</t>
        </is>
      </c>
      <c r="B9222" t="inlineStr">
        <is>
          <t>Morning Blood Sugar</t>
        </is>
      </c>
      <c r="C9222" t="inlineStr">
        <is>
          <t>Hi everyone! 
I hope you’re all doing well today!! I have been struggling with controlling my morning blood sugar. I typically average about 90-110 during the day but by morning blood sugar averages 120-140 sometimes. What can I do to lower my morning blood sugar? 
Last night it was 100 when I went to bed but 134 when I woke up this morning. I don’t take medication and am trying to control it via diet and exercise before switching over to medication.</t>
        </is>
      </c>
      <c r="D9222" t="n">
        <v>1</v>
      </c>
      <c r="E9222" t="n">
        <v>5</v>
      </c>
      <c r="F9222">
        <f>HYPERLINK("https://www.reddit.com/r/diabetes/comments/gde63l/morning_blood_sugar/")</f>
        <v/>
      </c>
      <c r="G9222" t="inlineStr">
        <is>
          <t>2020-05-04 08:57:42</t>
        </is>
      </c>
      <c r="H9222" t="inlineStr">
        <is>
          <t>Type 2</t>
        </is>
      </c>
    </row>
    <row r="9223">
      <c r="A9223" t="inlineStr">
        <is>
          <t>gdhi9z</t>
        </is>
      </c>
      <c r="B9223" t="inlineStr">
        <is>
          <t>Horrible insulin resistance suddenly?</t>
        </is>
      </c>
      <c r="C9223" t="inlineStr">
        <is>
          <t>Recently my BG went out of control. Went from needing 7 units for 70 grams of carbs to 15 units just to keep my blood under 200 2 hours after meal. I’ve been waiting 15 min before eating after injections, eating low carb and upped my long acting dose but nothing. My sugars are spilling above 200 all day long and this is really getting to me</t>
        </is>
      </c>
      <c r="D9223" t="n">
        <v>1</v>
      </c>
      <c r="E9223" t="n">
        <v>7</v>
      </c>
      <c r="F9223">
        <f>HYPERLINK("https://www.reddit.com/r/diabetes/comments/gdhi9z/horrible_insulin_resistance_suddenly/")</f>
        <v/>
      </c>
      <c r="G9223" t="inlineStr">
        <is>
          <t>2020-05-04 11:48:33</t>
        </is>
      </c>
      <c r="H9223" t="inlineStr">
        <is>
          <t>Type 1</t>
        </is>
      </c>
    </row>
    <row r="9224">
      <c r="A9224" t="inlineStr">
        <is>
          <t>gdlxlw</t>
        </is>
      </c>
      <c r="B9224" t="inlineStr">
        <is>
          <t>If you could take anything</t>
        </is>
      </c>
      <c r="C9224" t="inlineStr">
        <is>
          <t>And make it 0g of carbs what would you choose to take w you for the rest of your diabetic life to make it a little easier?</t>
        </is>
      </c>
      <c r="D9224" t="n">
        <v>1</v>
      </c>
      <c r="E9224" t="n">
        <v>14</v>
      </c>
      <c r="F9224">
        <f>HYPERLINK("https://www.reddit.com/r/diabetes/comments/gdlxlw/if_you_could_take_anything/")</f>
        <v/>
      </c>
      <c r="G9224" t="inlineStr">
        <is>
          <t>2020-05-04 15:46:26</t>
        </is>
      </c>
      <c r="H9224" t="inlineStr">
        <is>
          <t>Type 1</t>
        </is>
      </c>
    </row>
    <row r="9225">
      <c r="A9225" t="inlineStr">
        <is>
          <t>gdma42</t>
        </is>
      </c>
      <c r="B9225" t="inlineStr">
        <is>
          <t>Just diagnosed with T1.5, looking for advice</t>
        </is>
      </c>
      <c r="C9225" t="inlineStr">
        <is>
          <t>Hey all. Being stuck at home I've been paranoid about my health. For weeks, my weight was dropping no matter what I ate and I was thirsty and peeing all the time. I recognized that as a sign of diabetes so I ordered a glucose testing kit. 
My fasting glucose was 260 and my heart sank. I spent a ton of time on this subreddit going between "it could be worse" and extreme sadness, to the point I think I had processed it by the time I went to the hospital and had an A1C of 11. The doctor believes I'm presently type 1.5 but told me I'll eventually need insulin. 
My main question I guess is regarding food. I'm a healthy guy but I have a serious sweet tooth, and I've seen mixed statements on here about diets with T1. How do you all manage your food? Some have said eat what you like but control your blood sugar, others have said they basically stay keto. I've been eating low carb for just days to see if my pancreas has any enthusiasm left, and I'm already miserable. 
Thanks in advance!</t>
        </is>
      </c>
      <c r="D9225" t="n">
        <v>1</v>
      </c>
      <c r="E9225" t="n">
        <v>17</v>
      </c>
      <c r="F9225">
        <f>HYPERLINK("https://www.reddit.com/r/diabetes/comments/gdma42/just_diagnosed_with_t15_looking_for_advice/")</f>
        <v/>
      </c>
      <c r="G9225" t="inlineStr">
        <is>
          <t>2020-05-04 16:06:46</t>
        </is>
      </c>
      <c r="H9225" t="inlineStr">
        <is>
          <t>Type 1.5/LADA</t>
        </is>
      </c>
    </row>
    <row r="9226">
      <c r="A9226" t="inlineStr">
        <is>
          <t>gdohyv</t>
        </is>
      </c>
      <c r="B9226" t="inlineStr">
        <is>
          <t>Hey. Posting a question for family.</t>
        </is>
      </c>
      <c r="C9226" t="inlineStr">
        <is>
          <t>My grandmother is currently on home hospice for unrelated conditions such as heart failure. She’s been ranging around 90-200, but has been dropping to 50 due to her reduced intake and swallowing. We’re hoping to talk to the team about reducing her insulin pens more or something. She tends to snack on sugar free soft packaged foods my mom picked up (jello, pudding, apple sauce), drinks like coffee and regular soda, ice cream or sometimes bits and pieces of solid foods like bologne or whatever’s for dinner. Anyway, does anyone have any advice to keep it from dipping so low if the insulin reduction doesn’t help? I was thinking maybe nutrition shakes.</t>
        </is>
      </c>
      <c r="D9226" t="n">
        <v>1</v>
      </c>
      <c r="E9226" t="n">
        <v>4</v>
      </c>
      <c r="F9226">
        <f>HYPERLINK("https://www.reddit.com/r/diabetes/comments/gdohyv/hey_posting_a_question_for_family/")</f>
        <v/>
      </c>
      <c r="G9226" t="inlineStr">
        <is>
          <t>2020-05-04 18:25:25</t>
        </is>
      </c>
      <c r="H9226" t="inlineStr">
        <is>
          <t>Type 2</t>
        </is>
      </c>
    </row>
    <row r="9227">
      <c r="A9227" t="inlineStr">
        <is>
          <t>gdokiq</t>
        </is>
      </c>
      <c r="B9227" t="inlineStr">
        <is>
          <t>Mystery glucose spike out of literally nowhere. Also, general question about blood.</t>
        </is>
      </c>
      <c r="C9227" t="inlineStr">
        <is>
          <t>Could somebody help me understand why I had a mysterious glucose spike?
I haven't eaten anything since last night's dinner of a potato-rich stew. Not for any particular reason other than I just didn't feel hungry, and when I did think about eating something I just couldn't think of anything that sounded appealing. Today's intake was some diet soda a couple of times and 2 or three pieces of Orbit (sugarfree) peppermint gum.
T2, Lantus 21 once every 24 hours, I take my shot in the morning.
Normally I check sugars once, maybe twice a day - usually right before my Lantus shot, but today I took several readings partly because I was curious and partly because I knew that not eating could send my levels too low. I figured that if I got into the 60s I would force myself to eat *something* even if I didn't want to.
Measurements were as follows (time, glucose):
    0136 142
    0721 104
    1028 090
    1246 079
    1704 083
    1853 079
    1920 075
    **2005 091**
    2112 072
Between 1920 and 2005 I was driving in my car, thinking that even if I didn't feel like eating I should eat *something*. Ended up not eating anything because all of the fast food joints had lines around the buildings and spilling back onto the street, were closed for weeks, and one that just didn't have anything that looked appealing.
So what caused the almost 20 point spike in those 40 minutes? I wasn't eating anything, just sitting in my car driving down the road.
And the general question about blood: when I stick myself why is the blood sometimes very watery and sometimes very thick? I've tried to correlate it with my input of food or fluid, and have paid attention to see if higher/lower numbers make it thicker/thinner, or if recent activity or temperatures have anything to do with it but can't come up with anything that seems to relate.</t>
        </is>
      </c>
      <c r="D9227" t="n">
        <v>1</v>
      </c>
      <c r="E9227" t="n">
        <v>4</v>
      </c>
      <c r="F9227">
        <f>HYPERLINK("https://www.reddit.com/r/diabetes/comments/gdokiq/mystery_glucose_spike_out_of_literally_nowhere/")</f>
        <v/>
      </c>
      <c r="G9227" t="inlineStr">
        <is>
          <t>2020-05-04 18:29:58</t>
        </is>
      </c>
      <c r="H9227" t="inlineStr">
        <is>
          <t>Type 2</t>
        </is>
      </c>
    </row>
    <row r="9228">
      <c r="A9228" t="inlineStr">
        <is>
          <t>gdpy3p</t>
        </is>
      </c>
      <c r="B9228" t="inlineStr">
        <is>
          <t>Bread..for those of us whose pancreas is dead..</t>
        </is>
      </c>
      <c r="C9228" t="inlineStr">
        <is>
          <t>What’s the best type of bread for us diabetics? I would like something that doesn’t taste like cardboard please. Also if it’s available at like Walmart, that would be great as well.
Thank you!!</t>
        </is>
      </c>
      <c r="D9228" t="n">
        <v>1</v>
      </c>
      <c r="E9228" t="n">
        <v>16</v>
      </c>
      <c r="F9228">
        <f>HYPERLINK("https://www.reddit.com/r/diabetes/comments/gdpy3p/breadfor_those_of_us_whose_pancreas_is_dead/")</f>
        <v/>
      </c>
      <c r="G9228" t="inlineStr">
        <is>
          <t>2020-05-04 20:03:12</t>
        </is>
      </c>
      <c r="H9228" t="inlineStr">
        <is>
          <t>Type 1</t>
        </is>
      </c>
    </row>
    <row r="9229">
      <c r="A9229" t="inlineStr">
        <is>
          <t>gdskzh</t>
        </is>
      </c>
      <c r="B9229" t="inlineStr">
        <is>
          <t>peripheral neuropathy?</t>
        </is>
      </c>
      <c r="C9229" t="inlineStr">
        <is>
          <t>I have been diabetic for most of my life but have had a very hard time controlling my sugars on and off of a pump. my fingers on my right hand ahve statted feeling like they're asleep all the time and I'm worried it may be signs of early peripheral neuropathy? it started in my thumb pointer and middle ginger but has spread to all 5 of my fingers. does anyone have any experience with this?</t>
        </is>
      </c>
      <c r="D9229" t="n">
        <v>1</v>
      </c>
      <c r="E9229" t="n">
        <v>7</v>
      </c>
      <c r="F9229">
        <f>HYPERLINK("https://www.reddit.com/r/diabetes/comments/gdskzh/peripheral_neuropathy/")</f>
        <v/>
      </c>
      <c r="G9229" t="inlineStr">
        <is>
          <t>2020-05-04 23:31:13</t>
        </is>
      </c>
      <c r="H9229" t="inlineStr">
        <is>
          <t>Type 1</t>
        </is>
      </c>
    </row>
    <row r="9230">
      <c r="A9230" t="inlineStr">
        <is>
          <t>gdtiux</t>
        </is>
      </c>
      <c r="B9230" t="inlineStr">
        <is>
          <t>DIABETES FATIGUE</t>
        </is>
      </c>
      <c r="C9230" t="inlineStr">
        <is>
          <t>Hi everyone. I have Type 2 diabetes. I get tired very easily. I try to nap daily which helps. When I find I'm too tired to enjoy myself I'll go for a nap to refresh. Do you suffer from diabetes fatigue? How do you feel? Do you find after a few hours awake you feel exhausted again?</t>
        </is>
      </c>
      <c r="D9230" t="n">
        <v>1</v>
      </c>
      <c r="E9230" t="n">
        <v>8</v>
      </c>
      <c r="F9230">
        <f>HYPERLINK("https://www.reddit.com/r/diabetes/comments/gdtiux/diabetes_fatigue/")</f>
        <v/>
      </c>
      <c r="G9230" t="inlineStr">
        <is>
          <t>2020-05-05 00:55:29</t>
        </is>
      </c>
      <c r="H9230" t="inlineStr">
        <is>
          <t>Type 2</t>
        </is>
      </c>
    </row>
    <row r="9231">
      <c r="A9231" t="inlineStr">
        <is>
          <t>gduh4s</t>
        </is>
      </c>
      <c r="B9231" t="inlineStr">
        <is>
          <t>which pump?</t>
        </is>
      </c>
      <c r="C9231" t="inlineStr">
        <is>
          <t>Hi everyone, my son has the opportunity to get a pump (13 year old, type 1 diagnosed 3 years ago), we have the choice between the tslim -x2 and the medtronic 640g.
These are the only two options.
What would be the pros and cons of each for your average 13 year old boy?
Currently dosing manually with a dexcom g5 (when it works) and eating low carb, if we switch to a pump we will not have a cgm.
any and all opinions appreciated.</t>
        </is>
      </c>
      <c r="D9231" t="n">
        <v>1</v>
      </c>
      <c r="E9231" t="n">
        <v>8</v>
      </c>
      <c r="F9231">
        <f>HYPERLINK("https://www.reddit.com/r/diabetes/comments/gduh4s/which_pump/")</f>
        <v/>
      </c>
      <c r="G9231" t="inlineStr">
        <is>
          <t>2020-05-05 02:19:04</t>
        </is>
      </c>
      <c r="H9231" t="inlineStr">
        <is>
          <t>Type 1</t>
        </is>
      </c>
    </row>
    <row r="9232">
      <c r="A9232" t="inlineStr">
        <is>
          <t>ge5xmb</t>
        </is>
      </c>
      <c r="B9232" t="inlineStr">
        <is>
          <t>Forbidden time?</t>
        </is>
      </c>
      <c r="C9232" t="inlineStr">
        <is>
          <t>I wonder if you too, have a time interval every day where no matter how much insulin you use, it just doesn't work?
Is it normal or am I doing something wrong?
Mine is from 3 pm to 6 pm. I can't eat around this time unless I'm low because its like the insulin just doesn't work, no matter how much I take (well it works but if I really want to eat, I have to take 3 or 4 times the amount I normally take for the same amount of carbs so I'm trying to avoid eating during this time) 
Some advice?</t>
        </is>
      </c>
      <c r="D9232" t="n">
        <v>1</v>
      </c>
      <c r="E9232" t="n">
        <v>6</v>
      </c>
      <c r="F9232">
        <f>HYPERLINK("https://www.reddit.com/r/diabetes/comments/ge5xmb/forbidden_time/")</f>
        <v/>
      </c>
      <c r="G9232" t="inlineStr">
        <is>
          <t>2020-05-05 13:53:39</t>
        </is>
      </c>
      <c r="H9232" t="inlineStr">
        <is>
          <t>Type 1</t>
        </is>
      </c>
    </row>
    <row r="9233">
      <c r="A9233" t="inlineStr">
        <is>
          <t>geak68</t>
        </is>
      </c>
      <c r="B9233" t="inlineStr">
        <is>
          <t>I need your guys help</t>
        </is>
      </c>
      <c r="C9233" t="inlineStr">
        <is>
          <t>Ok so I’m a newly diabetic(was Diagnosed Feb 1st) and I want to know if for example I wanted to eat something for supper a bit out of my carb/sugar range could I just take more insulin, I was wondering because that’s how people without diabetes work the more they eat the more insulin there body makes so you tell me</t>
        </is>
      </c>
      <c r="D9233" t="n">
        <v>1</v>
      </c>
      <c r="E9233" t="n">
        <v>9</v>
      </c>
      <c r="F9233">
        <f>HYPERLINK("https://www.reddit.com/r/diabetes/comments/geak68/i_need_your_guys_help/")</f>
        <v/>
      </c>
      <c r="G9233" t="inlineStr">
        <is>
          <t>2020-05-05 18:22:00</t>
        </is>
      </c>
      <c r="H9233" t="inlineStr">
        <is>
          <t>Type 1</t>
        </is>
      </c>
    </row>
    <row r="9234">
      <c r="A9234" t="inlineStr">
        <is>
          <t>ged61v</t>
        </is>
      </c>
      <c r="B9234" t="inlineStr">
        <is>
          <t>G4 and G6 sensors at the same time!</t>
        </is>
      </c>
      <c r="C9234" t="inlineStr">
        <is>
          <t>https://imgur.com/a/qmWhZit
Got the controlIQ tandem pump and G6 CGM today.  I still have a few days left on my G4 session that I used with my older tandem pump that had G4 integration.  I'm going to compare the numbers after the g6 warms up.  This could be fun.  Wish me luck!</t>
        </is>
      </c>
      <c r="D9234" t="n">
        <v>1</v>
      </c>
      <c r="E9234" t="n">
        <v>3</v>
      </c>
      <c r="F9234">
        <f>HYPERLINK("https://www.reddit.com/r/diabetes/comments/ged61v/g4_and_g6_sensors_at_the_same_time/")</f>
        <v/>
      </c>
      <c r="G9234" t="inlineStr">
        <is>
          <t>2020-05-05 21:21:08</t>
        </is>
      </c>
      <c r="H9234" t="inlineStr">
        <is>
          <t>Type 1</t>
        </is>
      </c>
    </row>
    <row r="9235">
      <c r="A9235" t="inlineStr">
        <is>
          <t>geg3lz</t>
        </is>
      </c>
      <c r="B9235" t="inlineStr">
        <is>
          <t>Way to manage sugar without insulin?</t>
        </is>
      </c>
      <c r="C9235" t="inlineStr">
        <is>
          <t>Long story short I'm out of supplies until tomorrow when my friend is giving me a ride to Walgreens. The only problem is I ate some food without realizing I was out of needles. Is there any way to lower my sugar a bit until I can get some needles? I would work out but my roommate is asleep next to me. I'm currently drinking lots of water hoping that helps a little.</t>
        </is>
      </c>
      <c r="D9235" t="n">
        <v>1</v>
      </c>
      <c r="E9235" t="n">
        <v>14</v>
      </c>
      <c r="F9235">
        <f>HYPERLINK("https://www.reddit.com/r/diabetes/comments/geg3lz/way_to_manage_sugar_without_insulin/")</f>
        <v/>
      </c>
      <c r="G9235" t="inlineStr">
        <is>
          <t>2020-05-06 01:30:33</t>
        </is>
      </c>
      <c r="H9235" t="inlineStr">
        <is>
          <t>Type 1</t>
        </is>
      </c>
    </row>
    <row r="9236">
      <c r="A9236" t="inlineStr">
        <is>
          <t>geir60</t>
        </is>
      </c>
      <c r="B9236" t="inlineStr">
        <is>
          <t>What units are used to measure ketone levels?</t>
        </is>
      </c>
      <c r="C9236" t="inlineStr">
        <is>
          <t>The [NHS](https://www.nhs.uk/conditions/diabetic-ketoacidosis/) writes that, for instance, "3 mmol/L or over means you have a very high risk of DKA and should get medical help immediately".
Are ketone levels always given in  mmol/L? Is it like blood sugar levels where some countries used mg/dL?</t>
        </is>
      </c>
      <c r="D9236" t="n">
        <v>1</v>
      </c>
      <c r="E9236" t="n">
        <v>2</v>
      </c>
      <c r="F9236">
        <f>HYPERLINK("https://www.reddit.com/r/diabetes/comments/geir60/what_units_are_used_to_measure_ketone_levels/")</f>
        <v/>
      </c>
      <c r="G9236" t="inlineStr">
        <is>
          <t>2020-05-06 05:06:24</t>
        </is>
      </c>
      <c r="H9236" t="inlineStr">
        <is>
          <t>Type 1</t>
        </is>
      </c>
    </row>
    <row r="9237">
      <c r="A9237" t="inlineStr">
        <is>
          <t>gej3wo</t>
        </is>
      </c>
      <c r="B9237" t="inlineStr">
        <is>
          <t>A Tale Of Two Carbs - A Diabetic Odyessey</t>
        </is>
      </c>
      <c r="C9237" t="inlineStr">
        <is>
          <t>A few weeks ago, I posed the question to r/diabetes, total carbs vs. net carbs, science or marketing gimmick?
&amp;amp;#x200B;
General consensus, though there is science behind how your body reacts to different types of carbs, "net carbs" used on food packaging is essentially a marketing gimic, and should be ignored.
&amp;amp;#x200B;
So, I decided to put it to the test. While doing my shopping, I noticed some ice cream, Rebel Triple Chocolate Ice Cream, 5 grams of net carbs per pint. 56g of total carbs - 18 g of fiber - 33 g of sugar alcohol, 5 net carbs.
&amp;amp;#x200B;
So, let's put it to the test.
&amp;amp;#x200B;
4:30 am, first testing of the day, BGL of 149.  Not bad for first thing in the AM.  
&amp;amp;#x200B;
Lunch, about 1:20 pm, an acceptable 117.
&amp;amp;#x200B;
Dinner, roughly 6:40 pm, a darn fine 105...
&amp;amp;#x200B;
Dinner had 24 total carbs, 13 if we are counting net.
&amp;amp;#x200B;
So, 4:40 am, and the result of this very unscientific experiment, 183.
&amp;amp;#x200B;
183, not good, but, certainly not what I would have feared going to bed after eating a pint of ice cream.
&amp;amp;#x200B;
Some notes:  My doctor has me take 4 units of insulin if my blood sugar is between 100 and 150, so all three doses yesterday were 4 units.
&amp;amp;#x200B;
The ice cream didn't taste bad at all, surprisingly, I expected it to be awful.  The texture was all wrong, kinda chalky, but, acceptable.  Considering it cost $5.99 for the pint, not an experiment I'd ever repeat.
&amp;amp;#x200B;
Final conclusion, at least in this experiment, the carbs that are subtracted when calculating "net" may not impact your glucose level to the same degree as the rest of the carbs, but, it appears they do certainly show up in that reading.  
&amp;amp;#x200B;
And, on a personal note, don't try this at home.  I've felt crappy all  night, had to run to the bathroom a number of times, overall just a yucky experience.</t>
        </is>
      </c>
      <c r="D9237" t="n">
        <v>1</v>
      </c>
      <c r="E9237" t="n">
        <v>6</v>
      </c>
      <c r="F9237">
        <f>HYPERLINK("https://www.reddit.com/r/diabetes/comments/gej3wo/a_tale_of_two_carbs_a_diabetic_odyessey/")</f>
        <v/>
      </c>
      <c r="G9237" t="inlineStr">
        <is>
          <t>2020-05-06 05:31:00</t>
        </is>
      </c>
      <c r="H9237" t="inlineStr">
        <is>
          <t>Type 2</t>
        </is>
      </c>
    </row>
    <row r="9238">
      <c r="A9238" t="inlineStr">
        <is>
          <t>gek9sc</t>
        </is>
      </c>
      <c r="B9238" t="inlineStr">
        <is>
          <t>Carb Restriction (“keto”) and meat shortage fears</t>
        </is>
      </c>
      <c r="C9238" t="inlineStr">
        <is>
          <t>Husband has type II diabetes. He takes a low dose of Glipizide every morning plus 2000mg Metformin with dinner. He is strictly watches his carb intakes. He’s being following the regimen for a year now and his numbers are very good. Last checkup A1C was 5.1
I’ve been buying a good deal of all types of meat but not hoarding it... I don’t have a big freezer, so I’m only able to buy so much. Right now I probably have maybe 6-7 weeks worth for the two of us. My big fear is the possible meat shortages being talked about. 
Is anyone else nervous about this? Is it worth buying a freezer and getting more?
What other low carb high protein foods are good to stock up on. I figure tuna is okay. Maybe canned chicken. Shrimp and other seafood. 
Anyone else nervous about it? How does a vegetarian diabetic eat?</t>
        </is>
      </c>
      <c r="D9238" t="n">
        <v>1</v>
      </c>
      <c r="E9238" t="n">
        <v>25</v>
      </c>
      <c r="F9238">
        <f>HYPERLINK("https://www.reddit.com/r/diabetes/comments/gek9sc/carb_restriction_keto_and_meat_shortage_fears/")</f>
        <v/>
      </c>
      <c r="G9238" t="inlineStr">
        <is>
          <t>2020-05-06 06:44:38</t>
        </is>
      </c>
      <c r="H9238" t="inlineStr">
        <is>
          <t>Type 2</t>
        </is>
      </c>
    </row>
    <row r="9239">
      <c r="A9239" t="inlineStr">
        <is>
          <t>gekt9x</t>
        </is>
      </c>
      <c r="B9239" t="inlineStr">
        <is>
          <t>Do you guys get convulsions, when your blood sugar is low?</t>
        </is>
      </c>
      <c r="C9239" t="inlineStr">
        <is>
          <t>Hello
So i was just asking. Most of the time, i get a low blood sugar atleast 3 times a day. Sometimes it is so low, that i get convulsions. 
Do you also get them? Is convulsions a sign of brain damage?</t>
        </is>
      </c>
      <c r="D9239" t="n">
        <v>1</v>
      </c>
      <c r="E9239" t="n">
        <v>7</v>
      </c>
      <c r="F9239">
        <f>HYPERLINK("https://www.reddit.com/r/diabetes/comments/gekt9x/do_you_guys_get_convulsions_when_your_blood_sugar/")</f>
        <v/>
      </c>
      <c r="G9239" t="inlineStr">
        <is>
          <t>2020-05-06 07:16:10</t>
        </is>
      </c>
      <c r="H9239" t="inlineStr">
        <is>
          <t>Type 1</t>
        </is>
      </c>
    </row>
    <row r="9240">
      <c r="A9240" t="inlineStr">
        <is>
          <t>geq0rh</t>
        </is>
      </c>
      <c r="B9240" t="inlineStr">
        <is>
          <t>Might get a CGM</t>
        </is>
      </c>
      <c r="C9240" t="inlineStr">
        <is>
          <t>Hey guys recently I’ve been thinking about getting a cgm. I know the dexcom is really popular. What do you guys recommend? Also I’m worried about using it at school. (Obviously we don’t have school in person rn but) Does it beep and stuff? Idk I just feel like I’d be awkward having one.</t>
        </is>
      </c>
      <c r="D9240" t="n">
        <v>1</v>
      </c>
      <c r="E9240" t="n">
        <v>8</v>
      </c>
      <c r="F9240">
        <f>HYPERLINK("https://www.reddit.com/r/diabetes/comments/geq0rh/might_get_a_cgm/")</f>
        <v/>
      </c>
      <c r="G9240" t="inlineStr">
        <is>
          <t>2020-05-06 11:53:12</t>
        </is>
      </c>
      <c r="H9240" t="inlineStr">
        <is>
          <t>Type 1</t>
        </is>
      </c>
    </row>
    <row r="9241">
      <c r="A9241" t="inlineStr">
        <is>
          <t>geq4r6</t>
        </is>
      </c>
      <c r="B9241" t="inlineStr">
        <is>
          <t>I need some help with my diabetes.</t>
        </is>
      </c>
      <c r="C9241" t="inlineStr">
        <is>
          <t>I'm type 2 diabetic, and I need your help and/or suggestions. 
&amp;amp;#x200B;
I was diagnosed and put on metformin, but metformin kept crashing me while I was working - I am now taking onglyza (sp?) and it is making me feel nauseous but not really bringing down my numbers, they stay around 180-250. 
&amp;amp;#x200B;
Also, after summer, I will be having weightloss surgery but I wanna bring down my numbers before I get the surgery.</t>
        </is>
      </c>
      <c r="D9241" t="n">
        <v>1</v>
      </c>
      <c r="E9241" t="n">
        <v>5</v>
      </c>
      <c r="F9241">
        <f>HYPERLINK("https://www.reddit.com/r/diabetes/comments/geq4r6/i_need_some_help_with_my_diabetes/")</f>
        <v/>
      </c>
      <c r="G9241" t="inlineStr">
        <is>
          <t>2020-05-06 11:58:55</t>
        </is>
      </c>
      <c r="H9241" t="inlineStr">
        <is>
          <t>Type 2</t>
        </is>
      </c>
    </row>
    <row r="9242">
      <c r="A9242" t="inlineStr">
        <is>
          <t>getf30</t>
        </is>
      </c>
      <c r="B9242" t="inlineStr">
        <is>
          <t>Hysteric Low blood sugar episodes</t>
        </is>
      </c>
      <c r="C9242" t="inlineStr">
        <is>
          <t>I was diagnosed around 13 years old, now I’m almost 20 and the for the past 2 years I’ve been having hysterical episodes with uncontrollable crying every time my blood sugar levels drop. I also can’t be calm unless my mother is around, which makes me feel too dependent on her and it makes her worry too much. I don’t remember it being this severe the first 4 years of being diagnosed. I also started driving 2 years ago and I never leave the house without drinking at least one juice box even if my blood sugar levels are perfect or even a little high, I can’t help but get anxious that I’ll be stranded with a bad episode. I don’t understand why it keeps getting worse every year. Any suggestions on what I should do?</t>
        </is>
      </c>
      <c r="D9242" t="n">
        <v>1</v>
      </c>
      <c r="E9242" t="n">
        <v>13</v>
      </c>
      <c r="F9242">
        <f>HYPERLINK("https://www.reddit.com/r/diabetes/comments/getf30/hysteric_low_blood_sugar_episodes/")</f>
        <v/>
      </c>
      <c r="G9242" t="inlineStr">
        <is>
          <t>2020-05-06 14:50:42</t>
        </is>
      </c>
      <c r="H9242" t="inlineStr">
        <is>
          <t>Type 1</t>
        </is>
      </c>
    </row>
    <row r="9243">
      <c r="A9243" t="inlineStr">
        <is>
          <t>geugna</t>
        </is>
      </c>
      <c r="B9243" t="inlineStr">
        <is>
          <t>Having wildly different readings from three different meters. What could possibly be happening?</t>
        </is>
      </c>
      <c r="C9243" t="inlineStr">
        <is>
          <t>T2/3+ years, and for some reason, today, I have been getting very different BG readings from all three of my different testing devices.  I have a Freestyle Libre with the arm sensor that can also test with strips and a OneTouch Very IQ.  I just had a reading of 70 on my Libre, so I ate an orange and just to be sure double checked with a test strip on my OneTouch which came out at 152 and that was only 5 minutes after eating the orange, so I immediately tested again omg OneTouch and it came out at 112, so I tested AGAIN on the OneTouch and it came out at 123.  I've never had such wild variations in such a short period of time.  Has anyone else experienced this?</t>
        </is>
      </c>
      <c r="D9243" t="n">
        <v>1</v>
      </c>
      <c r="E9243" t="n">
        <v>3</v>
      </c>
      <c r="F9243">
        <f>HYPERLINK("https://www.reddit.com/r/diabetes/comments/geugna/having_wildly_different_readings_from_three/")</f>
        <v/>
      </c>
      <c r="G9243" t="inlineStr">
        <is>
          <t>2020-05-06 15:48:19</t>
        </is>
      </c>
      <c r="H9243" t="inlineStr">
        <is>
          <t>Type 2</t>
        </is>
      </c>
    </row>
    <row r="9244">
      <c r="A9244" t="inlineStr">
        <is>
          <t>gexhh4</t>
        </is>
      </c>
      <c r="B9244" t="inlineStr">
        <is>
          <t>Exercise and BG (new T2)</t>
        </is>
      </c>
      <c r="C9244" t="inlineStr">
        <is>
          <t>I'm newly diagnosed and tested my BG after I got home from a run (mostly relaxed jogging, but I also included some intense hill sprints) and I was surprised to see my BG was 136--I had expected it to be much lower. However, thirty minutes later, it dropped to 69. Is this normal? I'm worried my BG was even higher during the middle of my workout--possibly to unsafe levels--and I didn't know it. (I don't have a CGM so I couldn't be sure.) 
Any tips on controlling BG during exercise? Thanks in advance!</t>
        </is>
      </c>
      <c r="D9244" t="n">
        <v>1</v>
      </c>
      <c r="E9244" t="n">
        <v>3</v>
      </c>
      <c r="F9244">
        <f>HYPERLINK("https://www.reddit.com/r/diabetes/comments/gexhh4/exercise_and_bg_new_t2/")</f>
        <v/>
      </c>
      <c r="G9244" t="inlineStr">
        <is>
          <t>2020-05-06 18:48:25</t>
        </is>
      </c>
      <c r="H9244" t="inlineStr">
        <is>
          <t>Type 2</t>
        </is>
      </c>
    </row>
    <row r="9245">
      <c r="A9245" t="inlineStr">
        <is>
          <t>gez37k</t>
        </is>
      </c>
      <c r="B9245" t="inlineStr">
        <is>
          <t>Alcohol and Blood Sugar in Quarantine</t>
        </is>
      </c>
      <c r="C9245" t="inlineStr">
        <is>
          <t>Has anyone else noticed a change in how alcohol affects your numbers lately?
My levels never really used to get affected by alcohol, but  recently I’ve been absolutely plummeting (to 29 once) after drinking anything, sugary drinks too.
Would this have to do with changes in diet or activity or mood? Never really been affected by it before so I could definitely use some input.
Thanks!</t>
        </is>
      </c>
      <c r="D9245" t="n">
        <v>1</v>
      </c>
      <c r="E9245" t="n">
        <v>9</v>
      </c>
      <c r="F9245">
        <f>HYPERLINK("https://www.reddit.com/r/diabetes/comments/gez37k/alcohol_and_blood_sugar_in_quarantine/")</f>
        <v/>
      </c>
      <c r="G9245" t="inlineStr">
        <is>
          <t>2020-05-06 20:35:11</t>
        </is>
      </c>
      <c r="H9245" t="inlineStr">
        <is>
          <t>Type 1</t>
        </is>
      </c>
    </row>
    <row r="9246">
      <c r="A9246" t="inlineStr">
        <is>
          <t>gf08uv</t>
        </is>
      </c>
      <c r="B9246" t="inlineStr">
        <is>
          <t>Is my body overreacting to a calorie deficit while losing weight?</t>
        </is>
      </c>
      <c r="C9246" t="inlineStr">
        <is>
          <t>I've been on a diet for the month and lost 10 lbs. 
My blood sugar is at 125 but I ate 6 hours ago. I only ate 500 calories the entire day. 
 Is my body overreacting to a calorie deficit while losing weight?</t>
        </is>
      </c>
      <c r="D9246" t="n">
        <v>1</v>
      </c>
      <c r="E9246" t="n">
        <v>3</v>
      </c>
      <c r="F9246">
        <f>HYPERLINK("https://www.reddit.com/r/diabetes/comments/gf08uv/is_my_body_overreacting_to_a_calorie_deficit/")</f>
        <v/>
      </c>
      <c r="G9246" t="inlineStr">
        <is>
          <t>2020-05-06 22:02:16</t>
        </is>
      </c>
      <c r="H9246" t="inlineStr">
        <is>
          <t>Type 2</t>
        </is>
      </c>
    </row>
    <row r="9247">
      <c r="A9247" t="inlineStr">
        <is>
          <t>gf4w7f</t>
        </is>
      </c>
      <c r="B9247" t="inlineStr">
        <is>
          <t>Dropping hard after eating. Is my food ratio set to high?</t>
        </is>
      </c>
      <c r="C9247" t="inlineStr">
        <is>
          <t>I ate two hot pockets about an hour ago. It was roughly 80g of carbs. I'm fighting a mild low right now by eating twizzlers. It's not bad right now. Only a 68. However, this has been happening a lot. I didn't wait at all to eat. I just dialed in for the carbs and started eating.
Is my ratio just set too high? I was at 110 before eating.</t>
        </is>
      </c>
      <c r="D9247" t="n">
        <v>1</v>
      </c>
      <c r="E9247" t="n">
        <v>6</v>
      </c>
      <c r="F9247">
        <f>HYPERLINK("https://www.reddit.com/r/diabetes/comments/gf4w7f/dropping_hard_after_eating_is_my_food_ratio_set/")</f>
        <v/>
      </c>
      <c r="G9247" t="inlineStr">
        <is>
          <t>2020-05-07 04:37:42</t>
        </is>
      </c>
      <c r="H9247" t="inlineStr">
        <is>
          <t>Type 1</t>
        </is>
      </c>
    </row>
    <row r="9248">
      <c r="A9248" t="inlineStr">
        <is>
          <t>gf7vdu</t>
        </is>
      </c>
      <c r="B9248" t="inlineStr">
        <is>
          <t>Bent Cannula</t>
        </is>
      </c>
      <c r="C9248" t="inlineStr">
        <is>
          <t>I’m new to the pump and keep getting bent cannulas. Is there something I can do that could prevent this? I’ve now wasted 4 of these sets in less then a week. I’ve been inserting in my stomach. Maybe a better place to try?  Thanks</t>
        </is>
      </c>
      <c r="D9248" t="n">
        <v>1</v>
      </c>
      <c r="E9248" t="n">
        <v>8</v>
      </c>
      <c r="F9248">
        <f>HYPERLINK("https://www.reddit.com/r/diabetes/comments/gf7vdu/bent_cannula/")</f>
        <v/>
      </c>
      <c r="G9248" t="inlineStr">
        <is>
          <t>2020-05-07 07:46:44</t>
        </is>
      </c>
      <c r="H9248" t="inlineStr">
        <is>
          <t>Type 1</t>
        </is>
      </c>
    </row>
    <row r="9249">
      <c r="A9249" t="inlineStr">
        <is>
          <t>gfbrwb</t>
        </is>
      </c>
      <c r="B9249" t="inlineStr">
        <is>
          <t>Switching back to MDI from Pump During COVID to Rest Injection Sites</t>
        </is>
      </c>
      <c r="C9249" t="inlineStr">
        <is>
          <t>Hi everyone, first and foremost I hope you're all healthy and staying safe.
I've been on the Omnipod for about 2 years and the only injection site I've found that works well consistently is my upper thigh. I play lots of football (soccer) and I'm pretty lean (at the moment anyway!), so I don't like it on my belly or arms. In any event, during the COVID shut down, I've been trying to give my legs a rest and switched back to MDI with Lantus (basal) and Humalog (boluses). 
I was just curious if anyone else has done this and whether there is any data or anecdotes out there of how long injection sites take to heal/improve. Cheers.</t>
        </is>
      </c>
      <c r="D9249" t="n">
        <v>1</v>
      </c>
      <c r="E9249" t="n">
        <v>0</v>
      </c>
      <c r="F9249">
        <f>HYPERLINK("https://www.reddit.com/r/diabetes/comments/gfbrwb/switching_back_to_mdi_from_pump_during_covid_to/")</f>
        <v/>
      </c>
      <c r="G9249" t="inlineStr">
        <is>
          <t>2020-05-07 11:06:55</t>
        </is>
      </c>
      <c r="H9249" t="inlineStr">
        <is>
          <t>Type 1</t>
        </is>
      </c>
    </row>
    <row r="9250">
      <c r="A9250" t="inlineStr">
        <is>
          <t>gfbxvm</t>
        </is>
      </c>
      <c r="B9250" t="inlineStr">
        <is>
          <t>*Sigh*</t>
        </is>
      </c>
      <c r="C9250" t="inlineStr">
        <is>
          <t>So, with lockdown and everything going on and myself staying at home because f*** am I risking my health for my s*** job, I've decided to try and sort myself out and get my bloods back under better control. I got into a real bad habit of not testing for days at a time, so I want to spend this time sorting myself out and getting back into good habits and practising, but over the past week 13 of my tests have been low, 13 in range and 7 above 8 (but not too high, like 12 at the highest). But it's the constant low bloods that are being the real problem, I can't seem to work out why they keep dipping into the 2's and 3's... sorry needed to vent. Frustration over.</t>
        </is>
      </c>
      <c r="D9250" t="n">
        <v>2</v>
      </c>
      <c r="E9250" t="n">
        <v>10</v>
      </c>
      <c r="F9250">
        <f>HYPERLINK("https://www.reddit.com/r/diabetes/comments/gfbxvm/sigh/")</f>
        <v/>
      </c>
      <c r="G9250" t="inlineStr">
        <is>
          <t>2020-05-07 11:15:35</t>
        </is>
      </c>
      <c r="H9250" t="inlineStr">
        <is>
          <t>Type 1</t>
        </is>
      </c>
    </row>
    <row r="9251">
      <c r="A9251" t="inlineStr">
        <is>
          <t>gfby85</t>
        </is>
      </c>
      <c r="B9251" t="inlineStr">
        <is>
          <t>(low carb) smoothies are back on the menu!</t>
        </is>
      </c>
      <c r="C9251" t="inlineStr">
        <is>
          <t>Before diagnosis, I was a big fan of smoothies. A little yogurt, frozen fruit, and juice made for a nutritious breakfast. After diagnosis, I realized that they were spiking my blood sugar something fierce. Too high in sugar, and since it's liquid the impact hit right away. I know you've all had to cut out favorite foods, and for me this was a big one.
Cut to present day, where I've been working ways to get smoothies back in the rotation. I've subbed out several typical ingredients for low-carb versions, but the biggest breakthrough was using **flax/chia seed**. Both types of seeds pack a massive punch of soluble fiber, slowing the digestion WAY down, even in liquid form. I use a blend of the two, since it's what my local store had, but either one probably works.
&amp;amp;#x200B;
Recipe:
* 1/2 frozen banana (freezing them helps with texture and portioning)
* 1/2 cup frozen berries
* 1/2 cup cottage cheese
* 1 cup unsweetened almond milk
* 2 tbsp flax/chia blend
* Handful of ice (if desired)
Blend that bitch up and enjoy.
This clocks in at 285 calories and 35 carbs (8 of which are fiber), and the glucose impact is niiiice and slow. Yes, it's a lot of carbs for breakfast, but I haven't experienced a spike, even without pre-bolusing. If you're like me, it's nice to work an old favorite treat back into the menu.</t>
        </is>
      </c>
      <c r="D9251" t="n">
        <v>1</v>
      </c>
      <c r="E9251" t="n">
        <v>6</v>
      </c>
      <c r="F9251">
        <f>HYPERLINK("https://www.reddit.com/r/diabetes/comments/gfby85/low_carb_smoothies_are_back_on_the_menu/")</f>
        <v/>
      </c>
      <c r="G9251" t="inlineStr">
        <is>
          <t>2020-05-07 11:16:06</t>
        </is>
      </c>
      <c r="H9251" t="inlineStr">
        <is>
          <t>Type 1</t>
        </is>
      </c>
    </row>
    <row r="9252">
      <c r="A9252" t="inlineStr">
        <is>
          <t>gfcs1y</t>
        </is>
      </c>
      <c r="B9252" t="inlineStr">
        <is>
          <t>Do Type 2 Diabetics also have sudden weight loss?</t>
        </is>
      </c>
      <c r="C9252" t="inlineStr">
        <is>
          <t>I was misdiagnosed as a T2 because I used to be fat and lost 73lbs and discovered I was diabetic. Eventually discovered I was T1, just curious if T2’s also drop massive weight suddenly the way T1’s do?</t>
        </is>
      </c>
      <c r="D9252" t="n">
        <v>1</v>
      </c>
      <c r="E9252" t="n">
        <v>9</v>
      </c>
      <c r="F9252">
        <f>HYPERLINK("https://www.reddit.com/r/diabetes/comments/gfcs1y/do_type_2_diabetics_also_have_sudden_weight_loss/")</f>
        <v/>
      </c>
      <c r="G9252" t="inlineStr">
        <is>
          <t>2020-05-07 11:59:38</t>
        </is>
      </c>
      <c r="H9252" t="inlineStr">
        <is>
          <t>Type 1</t>
        </is>
      </c>
    </row>
    <row r="9253">
      <c r="A9253" t="inlineStr">
        <is>
          <t>gfelo0</t>
        </is>
      </c>
      <c r="B9253" t="inlineStr">
        <is>
          <t>Can I bake using stevia for my mom with type 2?</t>
        </is>
      </c>
      <c r="C9253" t="inlineStr">
        <is>
          <t>My mom was recently diagnosed with type 2 diabetes, but she wants some homemade cupcakes for Mother’s Day. Could I use a scratch recipe and substitute stevia for sugar? I’m very new to this, so I’m really not sure how to go about it. Just want to make some cupcakes that my mom will be able to eat!</t>
        </is>
      </c>
      <c r="D9253" t="n">
        <v>1</v>
      </c>
      <c r="E9253" t="n">
        <v>8</v>
      </c>
      <c r="F9253">
        <f>HYPERLINK("https://www.reddit.com/r/diabetes/comments/gfelo0/can_i_bake_using_stevia_for_my_mom_with_type_2/")</f>
        <v/>
      </c>
      <c r="G9253" t="inlineStr">
        <is>
          <t>2020-05-07 13:33:40</t>
        </is>
      </c>
      <c r="H9253" t="inlineStr">
        <is>
          <t>Type 2</t>
        </is>
      </c>
    </row>
    <row r="9254">
      <c r="A9254" t="inlineStr">
        <is>
          <t>gfg365</t>
        </is>
      </c>
      <c r="B9254" t="inlineStr">
        <is>
          <t>I have an A1c test coming up next month, if my average bgl is 138, will my A1c be better than my last (12, and average bgl of 250)?</t>
        </is>
      </c>
      <c r="C9254" t="inlineStr">
        <is>
          <t>I’m type 2, diagnosed in February</t>
        </is>
      </c>
      <c r="D9254" t="n">
        <v>1</v>
      </c>
      <c r="E9254" t="n">
        <v>7</v>
      </c>
      <c r="F9254">
        <f>HYPERLINK("https://www.reddit.com/r/diabetes/comments/gfg365/i_have_an_a1c_test_coming_up_next_month_if_my/")</f>
        <v/>
      </c>
      <c r="G9254" t="inlineStr">
        <is>
          <t>2020-05-07 14:52:53</t>
        </is>
      </c>
      <c r="H9254" t="inlineStr">
        <is>
          <t>Type 2</t>
        </is>
      </c>
    </row>
    <row r="9255">
      <c r="A9255" t="inlineStr">
        <is>
          <t>gfhs2a</t>
        </is>
      </c>
      <c r="B9255" t="inlineStr">
        <is>
          <t>3 months in from diagnosis with type 2 and had a GREAT blood test. :)</t>
        </is>
      </c>
      <c r="C9255" t="inlineStr">
        <is>
          <t>I have been on the cusp of diagnosis for years, and I knew it would happen eventually since it runs in my family. I was officially diagnosed the end of January with diabetes with an HbA1c test result of 6.8% ( 6.5 per cent (48 mmol/mol) or higher is diagnostic of diabetes in Australia).   
I was so bummed, but dived in and made changes. Started taking Metformin, switched to low carb, less than 15 grams per meal, and in the last 3+ months I have lost a ton of weight and just went in to get my latest blood test to see how I am doing. I was a little concerned about my cholesterol and blood pressure, since I have been eating more fat and less carbs, but all was great!!!  
My cholesterol was down. My liver and kidneys were better. And my HbA1c was down to 6.2%, which is still obviously high but is in the pre-diabetes range rather than the diabetes range. Feeling very happy and good about where I have landed, especially since I am settling in with my new diet. :)   
Just had to share.</t>
        </is>
      </c>
      <c r="D9255" t="n">
        <v>2</v>
      </c>
      <c r="E9255" t="n">
        <v>10</v>
      </c>
      <c r="F9255">
        <f>HYPERLINK("https://www.reddit.com/r/diabetes/comments/gfhs2a/3_months_in_from_diagnosis_with_type_2_and_had_a/")</f>
        <v/>
      </c>
      <c r="G9255" t="inlineStr">
        <is>
          <t>2020-05-07 16:29:44</t>
        </is>
      </c>
      <c r="H9255" t="inlineStr">
        <is>
          <t>Type 2</t>
        </is>
      </c>
    </row>
    <row r="9256">
      <c r="A9256" t="inlineStr">
        <is>
          <t>gfih29</t>
        </is>
      </c>
      <c r="B9256" t="inlineStr">
        <is>
          <t>Has anyone tried this low carb brand? Any feedback or thoughts appreciated</t>
        </is>
      </c>
      <c r="C9256" t="inlineStr">
        <is>
          <t>It looks too good to be true, so I am wondering if it is?!
https://lizza.net/products/lizza-low-carb-kennenlernpaket?variant=29409694220348</t>
        </is>
      </c>
      <c r="D9256" t="n">
        <v>1</v>
      </c>
      <c r="E9256" t="n">
        <v>1</v>
      </c>
      <c r="F9256">
        <f>HYPERLINK("https://www.reddit.com/r/diabetes/comments/gfih29/has_anyone_tried_this_low_carb_brand_any_feedback/")</f>
        <v/>
      </c>
      <c r="G9256" t="inlineStr">
        <is>
          <t>2020-05-07 17:10:41</t>
        </is>
      </c>
      <c r="H9256" t="inlineStr">
        <is>
          <t>Type 2</t>
        </is>
      </c>
    </row>
    <row r="9257">
      <c r="A9257" t="inlineStr">
        <is>
          <t>gfjiwi</t>
        </is>
      </c>
      <c r="B9257" t="inlineStr">
        <is>
          <t>Test Strips</t>
        </is>
      </c>
      <c r="C9257" t="inlineStr">
        <is>
          <t>Hello everyone! So due to COVID-19 I was laid off from work which means I lost my income and health insurance. 
Does anyone have any tips or can reference somewhere I can purchase OneTouch Verio Test Strips for a low price? I will be running out soon and I would very much appreciate the help. 
Thanks!</t>
        </is>
      </c>
      <c r="D9257" t="n">
        <v>1</v>
      </c>
      <c r="E9257" t="n">
        <v>6</v>
      </c>
      <c r="F9257">
        <f>HYPERLINK("https://www.reddit.com/r/diabetes/comments/gfjiwi/test_strips/")</f>
        <v/>
      </c>
      <c r="G9257" t="inlineStr">
        <is>
          <t>2020-05-07 18:15:33</t>
        </is>
      </c>
      <c r="H9257" t="inlineStr">
        <is>
          <t>Type 1</t>
        </is>
      </c>
    </row>
    <row r="9258">
      <c r="A9258" t="inlineStr">
        <is>
          <t>gfkqox</t>
        </is>
      </c>
      <c r="B9258" t="inlineStr">
        <is>
          <t>Suggestions for BGL app</t>
        </is>
      </c>
      <c r="C9258" t="inlineStr">
        <is>
          <t>I have a Samsung S10, and am taking a break from my pump so am back on Pen injections. I'm looking for an app that I can record  Bgls and insulin doses. 
Suggestions?</t>
        </is>
      </c>
      <c r="D9258" t="n">
        <v>1</v>
      </c>
      <c r="E9258" t="n">
        <v>3</v>
      </c>
      <c r="F9258">
        <f>HYPERLINK("https://www.reddit.com/r/diabetes/comments/gfkqox/suggestions_for_bgl_app/")</f>
        <v/>
      </c>
      <c r="G9258" t="inlineStr">
        <is>
          <t>2020-05-07 19:35:17</t>
        </is>
      </c>
      <c r="H9258" t="inlineStr">
        <is>
          <t>Type 1</t>
        </is>
      </c>
    </row>
    <row r="9259">
      <c r="A9259" t="inlineStr">
        <is>
          <t>gflbhe</t>
        </is>
      </c>
      <c r="B9259" t="inlineStr">
        <is>
          <t>Blood sugar has been way higher for no reason over the past week, if I went to a doctor would it be possible for them to see if I had some kind of infection?</t>
        </is>
      </c>
      <c r="C9259" t="inlineStr">
        <is>
          <t>I don’t have any specific COVID-19 suspicions but I feel like my body is undergoing something. I’ve been running high for a week for no reason. I’ve given myself more insulin and insulin in different locations and even earlier before meals and nothing is keeping it down.</t>
        </is>
      </c>
      <c r="D9259" t="n">
        <v>1</v>
      </c>
      <c r="E9259" t="n">
        <v>3</v>
      </c>
      <c r="F9259">
        <f>HYPERLINK("https://www.reddit.com/r/diabetes/comments/gflbhe/blood_sugar_has_been_way_higher_for_no_reason/")</f>
        <v/>
      </c>
      <c r="G9259" t="inlineStr">
        <is>
          <t>2020-05-07 20:14:05</t>
        </is>
      </c>
      <c r="H9259" t="inlineStr">
        <is>
          <t>Type 1</t>
        </is>
      </c>
    </row>
    <row r="9260">
      <c r="A9260" t="inlineStr">
        <is>
          <t>gflp0l</t>
        </is>
      </c>
      <c r="B9260" t="inlineStr">
        <is>
          <t>Looking for advice before my 4 month appointment tomorrow.</t>
        </is>
      </c>
      <c r="C9260" t="inlineStr">
        <is>
          <t>In December, I started a pretty heavy workout routine and took my 6'1, 260lbs down to about 240 by January.
I was diagnosed as T2 towards the end of January.  Had gone in for the normal checkup, and random sampling was 205.  A1C was 10.3. 
Immediately was started on .25 Ozempic, which after a month was supposed to go to .5 after my followup appointment.  
During that first month, it was hell.  The whole experience freaked me out so bad, I ate basically no carbs.  I never ate much sugar before, but if it had added sugar, it was gone from my diet.  
Was almost on a starvation diet and I can't imagine I was eating much more than 1200-1500 calories, which for a big dude, isn't much.  I was also working out for 45 minutes to an hour every day.  My first big mistake was also here.  During this first month, I wasn't monitoring random sugars.
Fast forward I ended up being down to about 225lbs at my first followup appointment.  At this point, I had only been monitoring sugars for a few days, so the doctor told me to proceed with doubling my Ozempic dose.  My next dose was 6 days out so I proceeded to sample blood sugar religiously.
That whole week I never saw a random sugar number that would be considered high for a non-diabetic, and was having a few episodes of low numbers (&amp;lt;70).  I called the doctor back, and confirmed to just leave the dose alone.
***
So here comes my need for advice.  For the last three months, I've been monitoring sugars religiously.  I've slowly been getting braver, eating pizza, Subway, and even a big Mac/french fries/and probably a damned half a cup of ketchup (my kryptonite).  Due to covid, my workouts have died off a bit, but the Ozempic is still suppressing my appetite.
Out of 300+ readings, the number of readings that a doctor would even bat an eye are less than maybe six readings.  I finally took a CVS A1C test today (which I appreciate may not be fully accurate), and it was 4.8%, which matches up from the random reading averages.  I go back to my doctor tomorrow and am not sure what to tell him. 
If I eat something low carbish, a few hours later I feel like hell.  If I eat carbs, I feel okay, but still short of like shit because of Ozempic side effects.
Other than filling him in all this information, I guess I'm just looking for advice.  My momz, who is a long time nurse, thinks it's just crazy that medication was the doctor's first response.  At the same time, obviously my A1C was pretty high.
Sorry that this got long, but I've honestly not talked to anybody about it.
tl;dr:
* 10.2 A1C in Jan
* Started on Ozempic.  Declined increasing the dose after 1 month.
* Took OTC A1C test 3 months later, 4.8%. Random blood samplings match this number.
* What should I tell/ask doctor tomorrow???</t>
        </is>
      </c>
      <c r="D9260" t="n">
        <v>1</v>
      </c>
      <c r="E9260" t="n">
        <v>7</v>
      </c>
      <c r="F9260">
        <f>HYPERLINK("https://www.reddit.com/r/diabetes/comments/gflp0l/looking_for_advice_before_my_4_month_appointment/")</f>
        <v/>
      </c>
      <c r="G9260" t="inlineStr">
        <is>
          <t>2020-05-07 20:40:43</t>
        </is>
      </c>
      <c r="H9260" t="inlineStr">
        <is>
          <t>Type 2</t>
        </is>
      </c>
    </row>
    <row r="9261">
      <c r="A9261" t="inlineStr">
        <is>
          <t>gft1yx</t>
        </is>
      </c>
      <c r="B9261" t="inlineStr">
        <is>
          <t>So stoked right now.</t>
        </is>
      </c>
      <c r="C9261" t="inlineStr">
        <is>
          <t>I need to get this out to people who actually understand what this means to me.
After twenty f\*\*\*\*\*\* years I finally kicked Diabete's ass. I was diagnosed with a Microalbuminuria last year and decided that I'm not going to let my kidneys be further damaged by this shitshow of a disease and do what it takes to get good readings. I was granted a Dexcom by my insurance company. Now three months after this decision I had my first appointment with my endo and guess what: Hba1c of 5,5 and 85% time in range (65 mg/dl-155mg/dl) with only 3% lows. Never in my wildest dreams would I have believed that I'm capable of such numbers. 
&amp;amp;#x200B;
I hope that this can motivate someone and bring a little positivity into a sub which, by its nature, contain's mostly negativity. Stay strong (until they make bioengineered super cinnamon) you got this !</t>
        </is>
      </c>
      <c r="D9261" t="n">
        <v>1</v>
      </c>
      <c r="E9261" t="n">
        <v>41</v>
      </c>
      <c r="F9261">
        <f>HYPERLINK("https://www.reddit.com/r/diabetes/comments/gft1yx/so_stoked_right_now/")</f>
        <v/>
      </c>
      <c r="G9261" t="inlineStr">
        <is>
          <t>2020-05-08 06:17:39</t>
        </is>
      </c>
      <c r="H9261" t="inlineStr">
        <is>
          <t>Type 1</t>
        </is>
      </c>
    </row>
    <row r="9262">
      <c r="A9262" t="inlineStr">
        <is>
          <t>gftqwq</t>
        </is>
      </c>
      <c r="B9262" t="inlineStr">
        <is>
          <t>I need to vent a little, does anyone else have frequent problems with their freestyle sensors?!</t>
        </is>
      </c>
      <c r="C9262" t="inlineStr">
        <is>
          <t>This is the second time in a month that it has given me the sensor not working and to try again later message, which would be fine if it was just a few minutes but each time it is for 9 HOURS! Like do they expect me to not test for that long? 
I’m pregnant and have been testing every hour on the hour and now I have to wait half a day?! I’m so frustrated and stressed. Does this happen to anyone else?</t>
        </is>
      </c>
      <c r="D9262" t="n">
        <v>1</v>
      </c>
      <c r="E9262" t="n">
        <v>5</v>
      </c>
      <c r="F9262">
        <f>HYPERLINK("https://www.reddit.com/r/diabetes/comments/gftqwq/i_need_to_vent_a_little_does_anyone_else_have/")</f>
        <v/>
      </c>
      <c r="G9262" t="inlineStr">
        <is>
          <t>2020-05-08 07:00:12</t>
        </is>
      </c>
      <c r="H9262" t="inlineStr">
        <is>
          <t>Type 1</t>
        </is>
      </c>
    </row>
    <row r="9263">
      <c r="A9263" t="inlineStr">
        <is>
          <t>gfw2a0</t>
        </is>
      </c>
      <c r="B9263" t="inlineStr">
        <is>
          <t>Hi everyone! Nice to meet you all &amp;lt;3</t>
        </is>
      </c>
      <c r="C9263" t="inlineStr">
        <is>
          <t>I just joined this sub, I’ve had diabetes since I was 13. I’m from a small town and I’ve never really befriended any  people with diabetes, some older type 2s but never an insulin dependent. 
I’ve had a lot of ups and downs over time, 
I struggle a lot to be fair. 
I’m hoping being here will help me in some way, maybe make some diabetic friends or find inspiration from others. 
For a long time I felt ashamed of this disease and felt like it was my fault, so I’ve never talked about it openly and usually don’t tell people I have it until it naturally comes about.
Idk if that’s like a normal thing or not. 
But I’m ready to fully embrace this and hopefully work hard enough to obtain the best a1c I can possibly obtain.</t>
        </is>
      </c>
      <c r="D9263" t="n">
        <v>1</v>
      </c>
      <c r="E9263" t="n">
        <v>15</v>
      </c>
      <c r="F9263">
        <f>HYPERLINK("https://www.reddit.com/r/diabetes/comments/gfw2a0/hi_everyone_nice_to_meet_you_all_3/")</f>
        <v/>
      </c>
      <c r="G9263" t="inlineStr">
        <is>
          <t>2020-05-08 09:14:08</t>
        </is>
      </c>
      <c r="H9263" t="inlineStr">
        <is>
          <t>Type 1</t>
        </is>
      </c>
    </row>
    <row r="9264">
      <c r="A9264" t="inlineStr">
        <is>
          <t>gfwmr7</t>
        </is>
      </c>
      <c r="B9264" t="inlineStr">
        <is>
          <t>We want to learn from you and your child!</t>
        </is>
      </c>
      <c r="C9264" t="inlineStr">
        <is>
          <t>Researchers at Bowling Green State University are conducting a survey about adolescents’ experiences related to having a chronic or severe medical illness. The benefit of this research is that your responses will help us to better understand how to treat and prevent conditions such as Post-Traumatic Stress Disorder in youth who have experienced traumatic medical stress. 
Parents/guardians and youth can each complete the survey. This survey will take about 45 minutes to complete.  
Upon completion of the survey, each parent and teen will be provided with a link to enter into a drawing to win one of 150 15$ gift cards to amazon.com. There is a 1 in 4 chance (or 25%) of receiving a gift card. 
To participate adolescents must be at least 12 years old. To participate, parents or guardians go to the link below. When you are finished, you will be provided with a link to enter this drawing, and with the option to provide a link to your adolescent for them to complete the same survey.
https://bgsu.az1.qualtrics.com/jfe/form/SV_cCJbJUWsmn75grP
For questions or concerns you can contact the lead researcher, Tabitha Waite, by dm or at waitet@bgsu.edu or the university IRB at orc@bgsu.edu or 419 372 7716.</t>
        </is>
      </c>
      <c r="D9264" t="n">
        <v>1</v>
      </c>
      <c r="E9264" t="n">
        <v>4</v>
      </c>
      <c r="F9264">
        <f>HYPERLINK("https://www.reddit.com/r/diabetes/comments/gfwmr7/we_want_to_learn_from_you_and_your_child/")</f>
        <v/>
      </c>
      <c r="G9264" t="inlineStr">
        <is>
          <t>2020-05-08 09:45:01</t>
        </is>
      </c>
      <c r="H9264" t="inlineStr">
        <is>
          <t>Type 1</t>
        </is>
      </c>
    </row>
    <row r="9265">
      <c r="A9265" t="inlineStr">
        <is>
          <t>gfz0xd</t>
        </is>
      </c>
      <c r="B9265" t="inlineStr">
        <is>
          <t>Infusion site it red and inflammed?</t>
        </is>
      </c>
      <c r="C9265" t="inlineStr">
        <is>
          <t>So today I noticed my infusion site is hot to the touch and red and a little inflammed. I already switched out sites and stuff, and there is a hard lump under the skin. I'm really not trying to go to the hospital, any ideas on how to fix this? I contacted my doctor but she has not replied. I'm not sure what to do.....any help?</t>
        </is>
      </c>
      <c r="D9265" t="n">
        <v>1</v>
      </c>
      <c r="E9265" t="n">
        <v>5</v>
      </c>
      <c r="F9265">
        <f>HYPERLINK("https://www.reddit.com/r/diabetes/comments/gfz0xd/infusion_site_it_red_and_inflammed/")</f>
        <v/>
      </c>
      <c r="G9265" t="inlineStr">
        <is>
          <t>2020-05-08 11:49:32</t>
        </is>
      </c>
      <c r="H9265" t="inlineStr">
        <is>
          <t>Type 1</t>
        </is>
      </c>
    </row>
    <row r="9266">
      <c r="A9266" t="inlineStr">
        <is>
          <t>gg1tgh</t>
        </is>
      </c>
      <c r="B9266" t="inlineStr">
        <is>
          <t>Type 1 Diabetic - Social Distancing and the risks associated with flat sharing</t>
        </is>
      </c>
      <c r="C9266" t="inlineStr">
        <is>
          <t>Hi everyone, I've tried searching this information but it is really hard to  figure out the best course of action for myself. I'm a 31 year old type 1 diabetic, but I fllatshare with 3 other people. I've been practicing good hand washing hygiene and the usual precuation but I need help understanding the risks. Should I as a diabetic shield myself from my flatmates  as much as possible, I've been trying to do that, but as everyone is now working from home, it is very hard to do that. I do try to limit the intereactions as much as possible, I'm just concerned they don't practice social distancing/good hand washing habits the same as me. What is the risk of me catching something if I happen to just walk pass my flatmates  (Who are in the living room) whilst I'm on the way to the kitchen for example? I also need help understanding cleaning, am I be over cautious by bleaching everything before I use it? For example before I take a shower I bleach everything down, and go around the house and wipe down door handles etc. I'm just finding it tough at the moment, I feel like I'm overwhelmed and can't control my household situation. Any advice or thoughts? Thanks guys.</t>
        </is>
      </c>
      <c r="D9266" t="n">
        <v>1</v>
      </c>
      <c r="E9266" t="n">
        <v>1</v>
      </c>
      <c r="F9266">
        <f>HYPERLINK("https://www.reddit.com/r/diabetes/comments/gg1tgh/type_1_diabetic_social_distancing_and_the_risks/")</f>
        <v/>
      </c>
      <c r="G9266" t="inlineStr">
        <is>
          <t>2020-05-08 14:13:40</t>
        </is>
      </c>
      <c r="H9266" t="inlineStr">
        <is>
          <t>Type 1</t>
        </is>
      </c>
    </row>
    <row r="9267">
      <c r="A9267" t="inlineStr">
        <is>
          <t>gg4uex</t>
        </is>
      </c>
      <c r="B9267" t="inlineStr">
        <is>
          <t>Fruits?</t>
        </is>
      </c>
      <c r="C9267" t="inlineStr">
        <is>
          <t>Any kind of fruits I can chow down on that isn't gonna blast my blood sugar up to 300?</t>
        </is>
      </c>
      <c r="D9267" t="n">
        <v>1</v>
      </c>
      <c r="E9267" t="n">
        <v>8</v>
      </c>
      <c r="F9267">
        <f>HYPERLINK("https://www.reddit.com/r/diabetes/comments/gg4uex/fruits/")</f>
        <v/>
      </c>
      <c r="G9267" t="inlineStr">
        <is>
          <t>2020-05-08 17:06:11</t>
        </is>
      </c>
      <c r="H9267" t="inlineStr">
        <is>
          <t>Type 2</t>
        </is>
      </c>
    </row>
    <row r="9268">
      <c r="A9268" t="inlineStr">
        <is>
          <t>gg4wc3</t>
        </is>
      </c>
      <c r="B9268" t="inlineStr">
        <is>
          <t>WHERE ARE THE MEMES</t>
        </is>
      </c>
      <c r="C9268" t="inlineStr">
        <is>
          <t>Hi I was diagnosed with type one when I was four and I am now 22, can anyone recommend a forum that’s not so serious? I’ve been through the ups and downs and I just want MEMES ty kindly</t>
        </is>
      </c>
      <c r="D9268" t="n">
        <v>1</v>
      </c>
      <c r="E9268" t="n">
        <v>4</v>
      </c>
      <c r="F9268">
        <f>HYPERLINK("https://www.reddit.com/r/diabetes/comments/gg4wc3/where_are_the_memes/")</f>
        <v/>
      </c>
      <c r="G9268" t="inlineStr">
        <is>
          <t>2020-05-08 17:09:37</t>
        </is>
      </c>
      <c r="H9268" t="inlineStr">
        <is>
          <t>Type 1</t>
        </is>
      </c>
    </row>
    <row r="9269">
      <c r="A9269" t="inlineStr">
        <is>
          <t>gg53lv</t>
        </is>
      </c>
      <c r="B9269" t="inlineStr">
        <is>
          <t>Well- today sucked</t>
        </is>
      </c>
      <c r="C9269" t="inlineStr">
        <is>
          <t>Evening chaps,
I went back and forth for a while whether to make a post about this, because I didn't want to spread negativity. But holy sweet mother of God today was awful.
I know the lot of you are the only group that understands when "one of those days" are ramped up by a factor of ten by the foolishness that is this damned disease. 
Not only would my sugars not come down at all for the better part of the day, but that brought about a nice dose of the big sad, and meddled with my work today. Ensuring I bungled several deliveries, making my life harder as well as my managers. At its worst I found time to cry between deliveries because I was so frustrated. 
The weather was also abysmal, and I was unprepared for the rain which was incessant and never let up the entirety of my shift. 
I don't want to get too ranty, but none of my friends understand the slow corrosion of ones mental state that comes along with dealing with everything diabetes does. And you guys are the only ones who know that song and dance. 
Here's to hoping your day was a damn sight better then mine, and here's to all of you staying within range you beautiful bastards you. 
Thanks for reading!</t>
        </is>
      </c>
      <c r="D9269" t="n">
        <v>1</v>
      </c>
      <c r="E9269" t="n">
        <v>15</v>
      </c>
      <c r="F9269">
        <f>HYPERLINK("https://www.reddit.com/r/diabetes/comments/gg53lv/well_today_sucked/")</f>
        <v/>
      </c>
      <c r="G9269" t="inlineStr">
        <is>
          <t>2020-05-08 17:22:15</t>
        </is>
      </c>
      <c r="H9269" t="inlineStr">
        <is>
          <t>Type 1</t>
        </is>
      </c>
    </row>
    <row r="9270">
      <c r="A9270" t="inlineStr">
        <is>
          <t>gg6y8m</t>
        </is>
      </c>
      <c r="B9270" t="inlineStr">
        <is>
          <t>Endo Appointment</t>
        </is>
      </c>
      <c r="C9270" t="inlineStr">
        <is>
          <t>I had an endocrinology appointment today and it went really well. I’m going to get a dexcom. My A1C was 5.8. I’m excited to try the cgm.</t>
        </is>
      </c>
      <c r="D9270" t="n">
        <v>1</v>
      </c>
      <c r="E9270" t="n">
        <v>7</v>
      </c>
      <c r="F9270">
        <f>HYPERLINK("https://www.reddit.com/r/diabetes/comments/gg6y8m/endo_appointment/")</f>
        <v/>
      </c>
      <c r="G9270" t="inlineStr">
        <is>
          <t>2020-05-08 19:21:56</t>
        </is>
      </c>
      <c r="H9270" t="inlineStr">
        <is>
          <t>Type 1</t>
        </is>
      </c>
    </row>
    <row r="9271">
      <c r="A9271" t="inlineStr">
        <is>
          <t>gg8o6j</t>
        </is>
      </c>
      <c r="B9271" t="inlineStr">
        <is>
          <t>Tandem Tslim just arrived! Full of questions before I get started.....</t>
        </is>
      </c>
      <c r="C9271" t="inlineStr">
        <is>
          <t>So! I'm 35m, dxed 2013. Ever since diagnosis, I've been MDI, finger pricks, you know. January 1, I got on my wife's (good) health insurance and got a dexcom g6 2 months back. I love it. I decided to order the tSlim, and it arrived today. I've got a vile of insulin ready to go, but I have questions, and you are my people.... (not YouTube).
\-I'm 7 days into my current dex sensor. I do NOT have the code ... I've given up trying to restart sensors.... but should I wait til I start a new sensor to start the pump??
\-What about the Lantus I have on board? Should I wait to start the pump at night (when I don't have any on board)? Does it even matter?
Once it's on-
\-I'm real active. And busy as shit all the time. Please give me all the hacks. How do you sleep with it? Run with it? What's the best injection site? Generally, I'm a little wary of having something attached. How do y'all make the pump work for you?
Thanks in advance. I love this community so much, it has been a massive, massive help and blessing to me. Looking forward to using this pump!</t>
        </is>
      </c>
      <c r="D9271" t="n">
        <v>1</v>
      </c>
      <c r="E9271" t="n">
        <v>3</v>
      </c>
      <c r="F9271">
        <f>HYPERLINK("https://www.reddit.com/r/diabetes/comments/gg8o6j/tandem_tslim_just_arrived_full_of_questions/")</f>
        <v/>
      </c>
      <c r="G9271" t="inlineStr">
        <is>
          <t>2020-05-08 21:21:19</t>
        </is>
      </c>
      <c r="H9271" t="inlineStr">
        <is>
          <t>Type 1</t>
        </is>
      </c>
    </row>
    <row r="9272">
      <c r="A9272" t="inlineStr">
        <is>
          <t>ggdrkh</t>
        </is>
      </c>
      <c r="B9272" t="inlineStr">
        <is>
          <t>Injection site difference - tell me your experiences!</t>
        </is>
      </c>
      <c r="C9272" t="inlineStr">
        <is>
          <t>I read and was told that injecting insulin via the abdomen is the fastest way to get the novorapid insulin to take effect while the thigh is slower. I'm on the skinny side and don't have enough fat on the stomach so it always hurt when I inject there, also I used to weigh quite a bit so I'm full of scars which makes it worse.
Do anyone here rotate stomach and thighs like me? How is the difference for insulin speed in comparison to these two areas? 
Sometimes it takes 15mins for insulin to work on stomach, sometimes 30, sometimes more while on thighs it always takes 1-2 hours but lasts longer. I'd love to read everyone's experience :)</t>
        </is>
      </c>
      <c r="D9272" t="n">
        <v>1</v>
      </c>
      <c r="E9272" t="n">
        <v>3</v>
      </c>
      <c r="F9272">
        <f>HYPERLINK("https://www.reddit.com/r/diabetes/comments/ggdrkh/injection_site_difference_tell_me_your_experiences/")</f>
        <v/>
      </c>
      <c r="G9272" t="inlineStr">
        <is>
          <t>2020-05-09 04:19:30</t>
        </is>
      </c>
      <c r="H9272" t="inlineStr">
        <is>
          <t>Type 1.5/LADA</t>
        </is>
      </c>
    </row>
    <row r="9273">
      <c r="A9273" t="inlineStr">
        <is>
          <t>ggejml</t>
        </is>
      </c>
      <c r="B9273" t="inlineStr">
        <is>
          <t>Dawn phenomenon woes</t>
        </is>
      </c>
      <c r="C9273" t="inlineStr">
        <is>
          <t>Hey everyone! I recently got my new dexcom in the mail and have been wearing it about a week and loving it! Now that I can see my trends though, I'm noticing that my dawn phenomenon is consistent and vicious. Go to bed to end a flawless day at 100? 279 when you wake up!
I can see now that it just starts at 4am and plateaus when I awaken at 8am. I'm here asking because my endocrinologist has not really been helpful about it when I've asked, just "yeah it does that" 
What, as a diabetic, am I expected to do about dawn phenomenon?</t>
        </is>
      </c>
      <c r="D9273" t="n">
        <v>1</v>
      </c>
      <c r="E9273" t="n">
        <v>16</v>
      </c>
      <c r="F9273">
        <f>HYPERLINK("https://www.reddit.com/r/diabetes/comments/ggejml/dawn_phenomenon_woes/")</f>
        <v/>
      </c>
      <c r="G9273" t="inlineStr">
        <is>
          <t>2020-05-09 05:22:46</t>
        </is>
      </c>
      <c r="H9273" t="inlineStr">
        <is>
          <t>Type 1</t>
        </is>
      </c>
    </row>
    <row r="9274">
      <c r="A9274" t="inlineStr">
        <is>
          <t>ggeyb7</t>
        </is>
      </c>
      <c r="B9274" t="inlineStr">
        <is>
          <t>Can I use insulin from a pen in a pump?</t>
        </is>
      </c>
      <c r="C9274" t="inlineStr">
        <is>
          <t>Just started with a pump for the first time, I have a ton of novalog pens, looks to be the same insulin that I was given for the pump. Is it the same? Be nice to know I can use it if I ran out of vials.</t>
        </is>
      </c>
      <c r="D9274" t="n">
        <v>1</v>
      </c>
      <c r="E9274" t="n">
        <v>5</v>
      </c>
      <c r="F9274">
        <f>HYPERLINK("https://www.reddit.com/r/diabetes/comments/ggeyb7/can_i_use_insulin_from_a_pen_in_a_pump/")</f>
        <v/>
      </c>
      <c r="G9274" t="inlineStr">
        <is>
          <t>2020-05-09 05:54:31</t>
        </is>
      </c>
      <c r="H9274" t="inlineStr">
        <is>
          <t>Type 1</t>
        </is>
      </c>
    </row>
    <row r="9275">
      <c r="A9275" t="inlineStr">
        <is>
          <t>gggkzm</t>
        </is>
      </c>
      <c r="B9275" t="inlineStr">
        <is>
          <t>What is the proper response to a high/low?</t>
        </is>
      </c>
      <c r="C9275" t="inlineStr">
        <is>
          <t>So when I go low is usually when I cheat my diet. I'll eat a Swiss Roll or maybe a Fudge Round but I've always noticed I feel super crumby after eating one of those. I usually don't eat just one either, resulting in this period of guilt and lethargy after treating a low blood sugar. A lot of the time I get the symptoms of a low in the mid-nineties which puts me in a bad spot since that's much to high to deserve treatment but I still feel crappy.
On the flip side my diabetic educator (who quit without telling me) told me that when I'm eating a meal and my sugar is high I only take the insulin for my ratio, meaning I don't correct. If I'm at 240 and my meal calls for 8 units then I take the 8 units but leave the 240 untreated, which often leads to me jumping up to 300+ several days in a row. What do I do when A) my ratio seems a little bit ineffective and B) I keep doing this?
Sorry to trouble you guys. I had a very bad series of doctors who gave me a bunch of faulty information so I would keep coming in for appointments and they would make more money. This is why I'm three years a diabetic and I know almost nothing. On that subject is there any place I can get more education regarding this stuff?</t>
        </is>
      </c>
      <c r="D9275" t="n">
        <v>1</v>
      </c>
      <c r="E9275" t="n">
        <v>6</v>
      </c>
      <c r="F9275">
        <f>HYPERLINK("https://www.reddit.com/r/diabetes/comments/gggkzm/what_is_the_proper_response_to_a_highlow/")</f>
        <v/>
      </c>
      <c r="G9275" t="inlineStr">
        <is>
          <t>2020-05-09 07:43:49</t>
        </is>
      </c>
      <c r="H9275" t="inlineStr">
        <is>
          <t>Type 1</t>
        </is>
      </c>
    </row>
    <row r="9276">
      <c r="A9276" t="inlineStr">
        <is>
          <t>gggm4q</t>
        </is>
      </c>
      <c r="B9276" t="inlineStr">
        <is>
          <t>Problems with sex?</t>
        </is>
      </c>
      <c r="C9276" t="inlineStr">
        <is>
          <t>Sorry if this is weird but I've noticed something weird whenever I'm in a sexual situation. Now I'm still a virgin but I still have this issue. Whenever I'm aroused for extended periods of time I get low blood sugars. My friend told me that it might have something to do with how sexual stuff isn't "normal" to me yet because I'm not regularly having sex so it is more like running a marathon than something you do each night. Is this correct? Is there anything I should know about this and how do I fix it?</t>
        </is>
      </c>
      <c r="D9276" t="n">
        <v>1</v>
      </c>
      <c r="E9276" t="n">
        <v>11</v>
      </c>
      <c r="F9276">
        <f>HYPERLINK("https://www.reddit.com/r/diabetes/comments/gggm4q/problems_with_sex/")</f>
        <v/>
      </c>
      <c r="G9276" t="inlineStr">
        <is>
          <t>2020-05-09 07:45:57</t>
        </is>
      </c>
      <c r="H9276" t="inlineStr">
        <is>
          <t>Type 1</t>
        </is>
      </c>
    </row>
    <row r="9277">
      <c r="A9277" t="inlineStr">
        <is>
          <t>gghh7z</t>
        </is>
      </c>
      <c r="B9277" t="inlineStr">
        <is>
          <t>I know the meters have a margin of error of up to 20 points compared to lab tests, but can y’all give me your experiences with your meter vs. your actual A1c?</t>
        </is>
      </c>
      <c r="C9277" t="inlineStr">
        <is>
          <t>I’m coming up on 3 months since my diagnosis and will have my A1c tested again at the end of May. It was 8.5 on Feb 27th, which was when I received my diagnosis. I have since gone very low carb, cut out all added sugars, increased my exercise significantly, and take 750 mg of metformin daily. My One Drop apps gives me a predicted A1c of 5.1 based on my readings. I’m cautiously optimistic as I don’t want to get my hopes up and then have an A1c that is significantly higher. What has been you all’s experience with A1c predictions vs. A1c reality in lab tests? Were the numbers close or way off?</t>
        </is>
      </c>
      <c r="D9277" t="n">
        <v>1</v>
      </c>
      <c r="E9277" t="n">
        <v>16</v>
      </c>
      <c r="F9277">
        <f>HYPERLINK("https://www.reddit.com/r/diabetes/comments/gghh7z/i_know_the_meters_have_a_margin_of_error_of_up_to/")</f>
        <v/>
      </c>
      <c r="G9277" t="inlineStr">
        <is>
          <t>2020-05-09 08:35:58</t>
        </is>
      </c>
      <c r="H9277" t="inlineStr">
        <is>
          <t>Type 2</t>
        </is>
      </c>
    </row>
    <row r="9278">
      <c r="A9278" t="inlineStr">
        <is>
          <t>ggn79t</t>
        </is>
      </c>
      <c r="B9278" t="inlineStr">
        <is>
          <t>Hereditary factor</t>
        </is>
      </c>
      <c r="C9278" t="inlineStr">
        <is>
          <t>I’m sorry if this violates any rules, but I cannot seem to find just how exactly diabetes is carried through families. I’m currently trying to get pregnant with my husband and his brother (full blood) is a type 1 diabetic and was diagnosed at 13 (not sure if that matters). Diabetes does not run in my family and they do not have any other family members that they know of that had diabetes. 
I am just trying to figure out that chances of my own child developing diabetes with a direct uncle that has it. Any idea?</t>
        </is>
      </c>
      <c r="D9278" t="n">
        <v>1</v>
      </c>
      <c r="E9278" t="n">
        <v>5</v>
      </c>
      <c r="F9278">
        <f>HYPERLINK("https://www.reddit.com/r/diabetes/comments/ggn79t/hereditary_factor/")</f>
        <v/>
      </c>
      <c r="G9278" t="inlineStr">
        <is>
          <t>2020-05-09 13:39:04</t>
        </is>
      </c>
      <c r="H9278" t="inlineStr">
        <is>
          <t>Type 1</t>
        </is>
      </c>
    </row>
    <row r="9279">
      <c r="A9279" t="inlineStr">
        <is>
          <t>ggp5ao</t>
        </is>
      </c>
      <c r="B9279" t="inlineStr">
        <is>
          <t>Ketones</t>
        </is>
      </c>
      <c r="C9279" t="inlineStr">
        <is>
          <t>Hi Reddit, it has been around 4 years since I was diagnosed with type 1 diabetes. I am 19 now and for the first time since I was diagnosed I have ketones. I am scared because it feels a little similar from how I was feeling 4 years before I knew I had type 1. I am using my insulin pump (670G Medtronic) and sensor to keep track of my levels. How long do Ketones last and what are some things to do so that these things happen less often?</t>
        </is>
      </c>
      <c r="D9279" t="n">
        <v>1</v>
      </c>
      <c r="E9279" t="n">
        <v>6</v>
      </c>
      <c r="F9279">
        <f>HYPERLINK("https://www.reddit.com/r/diabetes/comments/ggp5ao/ketones/")</f>
        <v/>
      </c>
      <c r="G9279" t="inlineStr">
        <is>
          <t>2020-05-09 15:26:29</t>
        </is>
      </c>
      <c r="H9279" t="inlineStr">
        <is>
          <t>Type 1</t>
        </is>
      </c>
    </row>
    <row r="9280">
      <c r="A9280" t="inlineStr">
        <is>
          <t>ggq8gv</t>
        </is>
      </c>
      <c r="B9280" t="inlineStr">
        <is>
          <t>Manual stabbing</t>
        </is>
      </c>
      <c r="C9280" t="inlineStr">
        <is>
          <t>3:00 in the morning, I woke up downstairs on the couch, feeling sweaty, hands tingling.  Seems like a too time to check blood glucose. I looked around and I couldn't find my ... lancet? Lancer? Lancing device, whatever they're called.
I'd never thought about this happening before. Looked around for it a bit and didn't see it anywhere.  I considered poking my finger with a knife but that seemed likely to get out of control.
Finally I figured iut I could take a new lancet and stab myself with it! Surprisingly this was actually was an improvement over the usual loaded spring/medieval catapult style thing. I didn't even feel it. Even better I scored  100 mg/dl 🕶️</t>
        </is>
      </c>
      <c r="D9280" t="n">
        <v>1</v>
      </c>
      <c r="E9280" t="n">
        <v>3</v>
      </c>
      <c r="F9280">
        <f>HYPERLINK("https://www.reddit.com/r/diabetes/comments/ggq8gv/manual_stabbing/")</f>
        <v/>
      </c>
      <c r="G9280" t="inlineStr">
        <is>
          <t>2020-05-09 16:29:47</t>
        </is>
      </c>
      <c r="H9280" t="inlineStr">
        <is>
          <t>Type 1.5/LADA</t>
        </is>
      </c>
    </row>
    <row r="9281">
      <c r="A9281" t="inlineStr">
        <is>
          <t>ggs5bi</t>
        </is>
      </c>
      <c r="B9281" t="inlineStr">
        <is>
          <t>Freestyle Libre Random BG Spikes</t>
        </is>
      </c>
      <c r="C9281" t="inlineStr">
        <is>
          <t>Hello everybody,
Recently diagnosed Type 1. I got the Freestyle Libre and it's my second day wearing it. So far I love it. I'm very skinny so it's kind of uncomfortable sometimes, but for the most part I love it. I'm checking my BG every 15 minutes. 
I'm starting to notice something really weird (and very frustrating...)  
My BG will spike 50+ mg/dL in a matter of 30 minutes FOR NO REASON. And when I say no reason, I mean SERIOUSLY no reason. I haven't eaten anything, haven't had anything other than water. I was sitting in my car at the stoplight when I thought to check. I was driving around with my gf and dog. That's it. 
Does anybody else experience this? Why did it spike? What on earth did I do?! This has happened a few times since I started using this thing. I was laying in bed this morning at 8:19am and it was 74mg/dL. An hour and 15 minutes later I was still laying in bed, scrolling on my phone and it was 115mg/dL.
So frustrating. Is this just something that all of us have to deal with? The mysterious spikes that make no sense? 
Thank y'all. Hope all is well.</t>
        </is>
      </c>
      <c r="D9281" t="n">
        <v>1</v>
      </c>
      <c r="E9281" t="n">
        <v>5</v>
      </c>
      <c r="F9281">
        <f>HYPERLINK("https://www.reddit.com/r/diabetes/comments/ggs5bi/freestyle_libre_random_bg_spikes/")</f>
        <v/>
      </c>
      <c r="G9281" t="inlineStr">
        <is>
          <t>2020-05-09 18:25:52</t>
        </is>
      </c>
      <c r="H9281" t="inlineStr">
        <is>
          <t>Type 1</t>
        </is>
      </c>
    </row>
    <row r="9282">
      <c r="A9282" t="inlineStr">
        <is>
          <t>ggvcnh</t>
        </is>
      </c>
      <c r="B9282" t="inlineStr">
        <is>
          <t>Question about fasting.</t>
        </is>
      </c>
      <c r="C9282" t="inlineStr">
        <is>
          <t>has anyone here with Diabetes 2 had a primary care doctor, or any one in the medical field, tell you not to do intermittent fasting? specifically 16/8. Curious not so much about the diet itself, but about what people’s doctors are telling them... 
ty</t>
        </is>
      </c>
      <c r="D9282" t="n">
        <v>1</v>
      </c>
      <c r="E9282" t="n">
        <v>1</v>
      </c>
      <c r="F9282">
        <f>HYPERLINK("https://www.reddit.com/r/diabetes/comments/ggvcnh/question_about_fasting/")</f>
        <v/>
      </c>
      <c r="G9282" t="inlineStr">
        <is>
          <t>2020-05-09 22:08:19</t>
        </is>
      </c>
      <c r="H9282" t="inlineStr">
        <is>
          <t>Type 2</t>
        </is>
      </c>
    </row>
    <row r="9283">
      <c r="A9283" t="inlineStr">
        <is>
          <t>ggw856</t>
        </is>
      </c>
      <c r="B9283" t="inlineStr">
        <is>
          <t>Recommendation for Dexcom G6 sensor spot?</t>
        </is>
      </c>
      <c r="C9283" t="inlineStr">
        <is>
          <t>Note: i am very new to this, have used 2 sensors yet, on left and right abdomen, today is change date and I am thinking of best location for it? Please note that I live alone and have to do everything myself. Thanks</t>
        </is>
      </c>
      <c r="D9283" t="n">
        <v>1</v>
      </c>
      <c r="E9283" t="n">
        <v>30</v>
      </c>
      <c r="F9283">
        <f>HYPERLINK("https://www.reddit.com/r/diabetes/comments/ggw856/recommendation_for_dexcom_g6_sensor_spot/")</f>
        <v/>
      </c>
      <c r="G9283" t="inlineStr">
        <is>
          <t>2020-05-09 23:19:11</t>
        </is>
      </c>
      <c r="H9283" t="inlineStr">
        <is>
          <t>Type 1</t>
        </is>
      </c>
    </row>
    <row r="9284">
      <c r="A9284" t="inlineStr">
        <is>
          <t>ggy3kj</t>
        </is>
      </c>
      <c r="B9284" t="inlineStr">
        <is>
          <t>Question about blood glucose monitor.</t>
        </is>
      </c>
      <c r="C9284" t="inlineStr">
        <is>
          <t>Just wanted to know if glucose monitors come with test strips in the box or you have to buy it separately.</t>
        </is>
      </c>
      <c r="D9284" t="n">
        <v>1</v>
      </c>
      <c r="E9284" t="n">
        <v>12</v>
      </c>
      <c r="F9284">
        <f>HYPERLINK("https://www.reddit.com/r/diabetes/comments/ggy3kj/question_about_blood_glucose_monitor/")</f>
        <v/>
      </c>
      <c r="G9284" t="inlineStr">
        <is>
          <t>2020-05-10 02:01:49</t>
        </is>
      </c>
      <c r="H9284" t="inlineStr">
        <is>
          <t>Type 2</t>
        </is>
      </c>
    </row>
    <row r="9285">
      <c r="A9285" t="inlineStr">
        <is>
          <t>ggykzz</t>
        </is>
      </c>
      <c r="B9285" t="inlineStr">
        <is>
          <t>realy need help to undrstand :)</t>
        </is>
      </c>
      <c r="C9285" t="inlineStr">
        <is>
          <t>hey evryone ...my name is Ghali i am 31 years...my english not perfect....
last year they told me that i have diabetes type 2...my A1c was 6.9...but the poin it my weight was 142 kilo. and my life was bad feeling bad eating sugar all the day not sleep and have life problem ..
so when they told me i start doing fasting i fast 23 hours and then eat for 1 hour ..eatevrything i want no more sweet for sure but i eat carbs ...after 3 month i made another test it was 6.0... and i was 126 kilo ...after another 3 month it was 5.3 and weight was 109...now its 5.0 and i am 91 kilo  ... but still doing fasting its like lifestyle now ..i want to undrstand is that mean i am cured or what...after i eat in 2 hours my max reading is 135 this is the highest  number i see if i eat alot of carb ...fasting always 82 ... thx you for reading evryone i hope you all be healthier</t>
        </is>
      </c>
      <c r="D9285" t="n">
        <v>1</v>
      </c>
      <c r="E9285" t="n">
        <v>1</v>
      </c>
      <c r="F9285">
        <f>HYPERLINK("https://www.reddit.com/r/diabetes/comments/ggykzz/realy_need_help_to_undrstand/")</f>
        <v/>
      </c>
      <c r="G9285" t="inlineStr">
        <is>
          <t>2020-05-10 02:43:53</t>
        </is>
      </c>
      <c r="H9285" t="inlineStr">
        <is>
          <t>Type 2</t>
        </is>
      </c>
    </row>
    <row r="9286">
      <c r="A9286" t="inlineStr">
        <is>
          <t>ggzwrh</t>
        </is>
      </c>
      <c r="B9286" t="inlineStr">
        <is>
          <t>Best sweetener without any bitter aftertaste.</t>
        </is>
      </c>
      <c r="C9286" t="inlineStr">
        <is>
          <t>I have been recently diagnosed and I was wondering about the above question for general use like in coffee or in deserts. Anyone know how good monk fruit sweetener is?</t>
        </is>
      </c>
      <c r="D9286" t="n">
        <v>1</v>
      </c>
      <c r="E9286" t="n">
        <v>9</v>
      </c>
      <c r="F9286">
        <f>HYPERLINK("https://www.reddit.com/r/diabetes/comments/ggzwrh/best_sweetener_without_any_bitter_aftertaste/")</f>
        <v/>
      </c>
      <c r="G9286" t="inlineStr">
        <is>
          <t>2020-05-10 04:33:45</t>
        </is>
      </c>
      <c r="H9286" t="inlineStr">
        <is>
          <t>Type 2</t>
        </is>
      </c>
    </row>
    <row r="9287">
      <c r="A9287" t="inlineStr">
        <is>
          <t>gh08r6</t>
        </is>
      </c>
      <c r="B9287" t="inlineStr">
        <is>
          <t>please help me undrstand.</t>
        </is>
      </c>
      <c r="C9287" t="inlineStr">
        <is>
          <t>hey evryone ...my name is Ghali i am 31 years...my english not perfect....
last year they told me that i have diabetes type 2...my A1c was 6.9...but the poin it my weight was 142 kilo. and my life was bad feeling bad eating sugar all the day not sleep and have life problem ..
so when they told me i start doing fasting i fast 23 hours and then eat for 1 hour ..eatevrything i want no more sweet for sure but i eat carbs ...after 3 month i made another test it was 6.0... and i was 126 kilo ...after another 3 month it was 5.3 and weight was 109...now its 5.0 and i am 91 kilo  ... but still doing fasting its like lifestyle now ..i want to undrstand is that mean i am cured or what...after i eat in 2 hours my max reading is 135 this is the highest  number i see if i eat alot of carb ...fasting always 82 ..btw guys i start with metformin 500 ones a day they stop it after 3 month so i dont take any medications... one last thing yastrday i made test  ..i eat 2 larg slices of pizza ..after 1 hour was 125 after 2 hour 135 after 3 hour was 103..so what do you think guys ..i am sorry again for bad English</t>
        </is>
      </c>
      <c r="D9287" t="n">
        <v>1</v>
      </c>
      <c r="E9287" t="n">
        <v>5</v>
      </c>
      <c r="F9287">
        <f>HYPERLINK("https://www.reddit.com/r/diabetes/comments/gh08r6/please_help_me_undrstand/")</f>
        <v/>
      </c>
      <c r="G9287" t="inlineStr">
        <is>
          <t>2020-05-10 04:59:26</t>
        </is>
      </c>
      <c r="H9287" t="inlineStr">
        <is>
          <t>Type 2</t>
        </is>
      </c>
    </row>
    <row r="9288">
      <c r="A9288" t="inlineStr">
        <is>
          <t>gh0hc8</t>
        </is>
      </c>
      <c r="B9288" t="inlineStr">
        <is>
          <t>Need help Knowing what newer cheap Metro Pcs phones work with the Dexcom G6 app.</t>
        </is>
      </c>
      <c r="C9288" t="inlineStr">
        <is>
          <t>Hello i'm trying to find out if anyone is using the newer cheaper Metro Pcs model phones with Dexcom G6 that are not on the Dexcom phone list? Want to see if anyone is using the Samsung A10, A20, A20s, A50 or any variant model phone that's not on Dexcoms G6 phone list.</t>
        </is>
      </c>
      <c r="D9288" t="n">
        <v>1</v>
      </c>
      <c r="E9288" t="n">
        <v>3</v>
      </c>
      <c r="F9288">
        <f>HYPERLINK("https://www.reddit.com/r/diabetes/comments/gh0hc8/need_help_knowing_what_newer_cheap_metro_pcs/")</f>
        <v/>
      </c>
      <c r="G9288" t="inlineStr">
        <is>
          <t>2020-05-10 05:16:57</t>
        </is>
      </c>
      <c r="H9288" t="inlineStr">
        <is>
          <t>Type 2</t>
        </is>
      </c>
    </row>
    <row r="9289">
      <c r="A9289" t="inlineStr">
        <is>
          <t>gh3zng</t>
        </is>
      </c>
      <c r="B9289" t="inlineStr">
        <is>
          <t>The time my mum almost put me in a coma with an ice cream.</t>
        </is>
      </c>
      <c r="C9289" t="inlineStr">
        <is>
          <t>Ok, so a few years ago me and my family were at the wildlife park in our area and I wanted to go on the bouncy pillow (basically a giant bouncy oval) so I got an ice cream. Normally I don’t give medicine for the ice cream because my bloods drop a lot when I go on the bouncy pillow BUT NO my mum said to give medicine and she knows best, not the one who’s had diabetes since she was two. So, I go on the bouncy pillow anyway and my bloods drop to 1.6 in minutes and I am left immobile in a pram barley able to see or speak. Thankfully my older brother ran to the shop to get something sugary to eat since I had ran out of lucozade. I was ok after about ten minutes and that’s the story of how my mum almost put me in a coma because of an ice cream!</t>
        </is>
      </c>
      <c r="D9289" t="n">
        <v>1</v>
      </c>
      <c r="E9289" t="n">
        <v>2</v>
      </c>
      <c r="F9289">
        <f>HYPERLINK("https://www.reddit.com/r/diabetes/comments/gh3zng/the_time_my_mum_almost_put_me_in_a_coma_with_an/")</f>
        <v/>
      </c>
      <c r="G9289" t="inlineStr">
        <is>
          <t>2020-05-10 08:57:21</t>
        </is>
      </c>
      <c r="H9289" t="inlineStr">
        <is>
          <t>Type 1</t>
        </is>
      </c>
    </row>
    <row r="9290">
      <c r="A9290" t="inlineStr">
        <is>
          <t>gh7vea</t>
        </is>
      </c>
      <c r="B9290" t="inlineStr">
        <is>
          <t>Why is it every time I look up symptoms, diabetes is always a result. Also I’m having an usual symptom if someone can let me know they’ve experienced the same thing.</t>
        </is>
      </c>
      <c r="C9290" t="inlineStr">
        <is>
          <t>I have a family history of t2 diabetes. For the past 4 years I routinely get my blood checked. The second year of testing I was close to “prediabetes” changed my diet and exercised. Since then I’ve been a little above average but not high enough to be classified as prediabetic.
I just can’t shake the feeling of these results being wrong. Like I’ve experienced symptoms like dehydration, frequent urination (esp if I eat sweets), night sweats, pins and needles etc.... 
Is it possible that at some point BEFORE starting my routine bloodwork that I did in fact have diabetes then it went away? Idk.
—————————————
**LAST THING**
The past week I’ve been experiencing a numbness in my stomach. I’ve noticed this mostly after eating. I googled it and, you guessed it, diabetes was a result.
Has anyone experience this specific symptom? I feel no pain but it feels so odd. Like I should go to a doctor ASAP.</t>
        </is>
      </c>
      <c r="D9290" t="n">
        <v>0</v>
      </c>
      <c r="E9290" t="n">
        <v>9</v>
      </c>
      <c r="F9290">
        <f>HYPERLINK("https://www.reddit.com/r/diabetes/comments/gh7vea/why_is_it_every_time_i_look_up_symptoms_diabetes/")</f>
        <v/>
      </c>
      <c r="G9290" t="inlineStr">
        <is>
          <t>2020-05-10 12:33:45</t>
        </is>
      </c>
      <c r="H9290" t="inlineStr">
        <is>
          <t>Type 2</t>
        </is>
      </c>
    </row>
    <row r="9291">
      <c r="A9291" t="inlineStr">
        <is>
          <t>gh8s0t</t>
        </is>
      </c>
      <c r="B9291" t="inlineStr">
        <is>
          <t>I always wanted to take my bags and wander, travel all over Europe or US, but Type 1 makes that impossible. Or does it?</t>
        </is>
      </c>
      <c r="C9291" t="inlineStr">
        <is>
          <t>Now I know wandering an entire continent like that is already pretty hard and not without its own hazards and problems, diabetes isn't just an additional problem, it also amplifies some of the already existing problems.
But I really want to do this for a couple months at one point before my 30s and I am curious if any of you ever did something like this or heard of someone who did it, if so how did you/they manage the insulin, their health, possible emergencies like low blood sugar etc.</t>
        </is>
      </c>
      <c r="D9291" t="n">
        <v>1</v>
      </c>
      <c r="E9291" t="n">
        <v>6</v>
      </c>
      <c r="F9291">
        <f>HYPERLINK("https://www.reddit.com/r/diabetes/comments/gh8s0t/i_always_wanted_to_take_my_bags_and_wander_travel/")</f>
        <v/>
      </c>
      <c r="G9291" t="inlineStr">
        <is>
          <t>2020-05-10 13:22:26</t>
        </is>
      </c>
      <c r="H9291" t="inlineStr">
        <is>
          <t>Type 1</t>
        </is>
      </c>
    </row>
    <row r="9292">
      <c r="A9292" t="inlineStr">
        <is>
          <t>gh9912</t>
        </is>
      </c>
      <c r="B9292" t="inlineStr">
        <is>
          <t>Training for half marathon</t>
        </is>
      </c>
      <c r="C9292" t="inlineStr">
        <is>
          <t>As the title says, im training for a half marathon and was curious if people had any advice in regards of foods/sugary stuff for pre/during/post run or advice in general about avoiding hypos/hypers on long runs and what people carry with them in case of such an event? I already have a vague system i use but not the happiest with it ( banana and 1/2 snickers 15min pre-run) so thought id ask here if people had any better solutions they use?
Any advice appreciated, thanks!</t>
        </is>
      </c>
      <c r="D9292" t="n">
        <v>1</v>
      </c>
      <c r="E9292" t="n">
        <v>9</v>
      </c>
      <c r="F9292">
        <f>HYPERLINK("https://www.reddit.com/r/diabetes/comments/gh9912/training_for_half_marathon/")</f>
        <v/>
      </c>
      <c r="G9292" t="inlineStr">
        <is>
          <t>2020-05-10 13:47:31</t>
        </is>
      </c>
      <c r="H9292" t="inlineStr">
        <is>
          <t>Type 1</t>
        </is>
      </c>
    </row>
    <row r="9293">
      <c r="A9293" t="inlineStr">
        <is>
          <t>gh9q6y</t>
        </is>
      </c>
      <c r="B9293" t="inlineStr">
        <is>
          <t>Does anybody have guesses?</t>
        </is>
      </c>
      <c r="C9293" t="inlineStr">
        <is>
          <t>I'm an 18-year-old type one diabetic and recently I've been having strangely high sugars during the day. I've corrected my Lantus up by 5 units, to which I'm at 30 units at night. However, now that it is bumped up, I wake up in the '50s when I check my sugar. I'm stuck between low sugars at night, and high sugars during the day, and my corrections seem to work very little.
&amp;amp;#x200B;
Does anybody know what could be going on?</t>
        </is>
      </c>
      <c r="D9293" t="n">
        <v>1</v>
      </c>
      <c r="E9293" t="n">
        <v>5</v>
      </c>
      <c r="F9293">
        <f>HYPERLINK("https://www.reddit.com/r/diabetes/comments/gh9q6y/does_anybody_have_guesses/")</f>
        <v/>
      </c>
      <c r="G9293" t="inlineStr">
        <is>
          <t>2020-05-10 14:12:52</t>
        </is>
      </c>
      <c r="H9293" t="inlineStr">
        <is>
          <t>Type 1</t>
        </is>
      </c>
    </row>
    <row r="9294">
      <c r="A9294" t="inlineStr">
        <is>
          <t>gha4mz</t>
        </is>
      </c>
      <c r="B9294" t="inlineStr">
        <is>
          <t>Does anyone else hate the anticipation of a.new sensor's warm up time?</t>
        </is>
      </c>
      <c r="C9294" t="inlineStr">
        <is>
          <t>Not so much because of the reading it's going to give me, but just the feeling of "Well, my two hours of not being tied to a number are gone."</t>
        </is>
      </c>
      <c r="D9294" t="n">
        <v>2</v>
      </c>
      <c r="E9294" t="n">
        <v>1</v>
      </c>
      <c r="F9294">
        <f>HYPERLINK("https://www.reddit.com/r/diabetes/comments/gha4mz/does_anyone_else_hate_the_anticipation_of_anew/")</f>
        <v/>
      </c>
      <c r="G9294" t="inlineStr">
        <is>
          <t>2020-05-10 14:35:14</t>
        </is>
      </c>
      <c r="H9294" t="inlineStr">
        <is>
          <t>Type 1</t>
        </is>
      </c>
    </row>
    <row r="9295">
      <c r="A9295" t="inlineStr">
        <is>
          <t>ghbq7w</t>
        </is>
      </c>
      <c r="B9295" t="inlineStr">
        <is>
          <t>I've heard of occasional insulin resistance, but does your body ever have carbohydrate resistance?</t>
        </is>
      </c>
      <c r="C9295" t="inlineStr">
        <is>
          <t>I'm a T1. I have had constant stomach issues for the past few years, so this may be more related to that, but I want to see if this affects any other diabetics. Lately, I've been having more nausea than normal, which makes my diabetes harder to control. There are times where my body takes a long time to absorb carbohydrates to send my sugar up. Like I'll eat something relatively fast acting and my body will lag. But sure enough, 1-3 hours later, my sugar will rise. This is usually when I feel nauseous or fatigued. It feels like my body can't absorb the carbs as well or something or it's a delayed absorption.
It is NOT due to large amounts of active insulin or anything like that. I've been frustrated going to GI doctors in the past because they all say it's a diabetes thing, but I can honestly say, having this disease for years and years, it's not extra insulin in my body that's causing this (like high amounts of active insulin).
It makes my diabetes even harder to control because if I'm low, it makes it a challenge to bring up sugars and wait nervously. As a result, I try to keep myself higher, which isn't a good strategy, especially with Covid-19 going around.
I've also had two instances in the past year where I've thrown up food randomly and had to wait outside the ER because I was low and I couldn't keep food down. Luckily never had to go inside and get a giant bill, but we sat outside waiting if my sugar went below 50.
Does anyone also face this problem occasionally?</t>
        </is>
      </c>
      <c r="D9295" t="n">
        <v>2</v>
      </c>
      <c r="E9295" t="n">
        <v>7</v>
      </c>
      <c r="F9295">
        <f>HYPERLINK("https://www.reddit.com/r/diabetes/comments/ghbq7w/ive_heard_of_occasional_insulin_resistance_but/")</f>
        <v/>
      </c>
      <c r="G9295" t="inlineStr">
        <is>
          <t>2020-05-10 16:06:23</t>
        </is>
      </c>
      <c r="H9295" t="inlineStr">
        <is>
          <t>Type 1</t>
        </is>
      </c>
    </row>
    <row r="9296">
      <c r="A9296" t="inlineStr">
        <is>
          <t>ghcs0q</t>
        </is>
      </c>
      <c r="B9296" t="inlineStr">
        <is>
          <t>A Question about Urine Testing</t>
        </is>
      </c>
      <c r="C9296" t="inlineStr">
        <is>
          <t>I have an upcoming check up with my endocrinologist and have a question regarding the urine test they do at the beginning of the appointments. Do they test for nicotine or anything of that sort and if so will they notify your guardian if any is present ?</t>
        </is>
      </c>
      <c r="D9296" t="n">
        <v>1</v>
      </c>
      <c r="E9296" t="n">
        <v>20</v>
      </c>
      <c r="F9296">
        <f>HYPERLINK("https://www.reddit.com/r/diabetes/comments/ghcs0q/a_question_about_urine_testing/")</f>
        <v/>
      </c>
      <c r="G9296" t="inlineStr">
        <is>
          <t>2020-05-10 17:07:29</t>
        </is>
      </c>
      <c r="H9296" t="inlineStr">
        <is>
          <t>Type 1</t>
        </is>
      </c>
    </row>
    <row r="9297">
      <c r="A9297" t="inlineStr">
        <is>
          <t>ghd782</t>
        </is>
      </c>
      <c r="B9297" t="inlineStr">
        <is>
          <t>Dry and cracked lips</t>
        </is>
      </c>
      <c r="C9297" t="inlineStr">
        <is>
          <t>Has anyone else experienced dry lips? I’m not sure if it’s a side effect from my meds (Metformin and insulin) or the diabetes itself. If anyone else has gone through this, what helped?</t>
        </is>
      </c>
      <c r="D9297" t="n">
        <v>1</v>
      </c>
      <c r="E9297" t="n">
        <v>4</v>
      </c>
      <c r="F9297">
        <f>HYPERLINK("https://www.reddit.com/r/diabetes/comments/ghd782/dry_and_cracked_lips/")</f>
        <v/>
      </c>
      <c r="G9297" t="inlineStr">
        <is>
          <t>2020-05-10 17:32:59</t>
        </is>
      </c>
      <c r="H9297" t="inlineStr">
        <is>
          <t>Type 2</t>
        </is>
      </c>
    </row>
    <row r="9298">
      <c r="A9298" t="inlineStr">
        <is>
          <t>ghekin</t>
        </is>
      </c>
      <c r="B9298" t="inlineStr">
        <is>
          <t>What even is high blood sugar anymore?</t>
        </is>
      </c>
      <c r="C9298" t="inlineStr">
        <is>
          <t>Hi all. Newly pump-assisted type 1 here! I have no idea what I'm doing, and that scares the hell out of me.
What would you consider "Acceptable" levels? I know the healthy range is 80-140, but I'm waking up at 150, and I can jump up to 180 when eating. When I'm working, I tend to keep myself around 160 due to a few lows I experienced. (Manual labor)
Are these numbers okay? Should I fight harder to get down to the 140's?</t>
        </is>
      </c>
      <c r="D9298" t="n">
        <v>1</v>
      </c>
      <c r="E9298" t="n">
        <v>2</v>
      </c>
      <c r="F9298">
        <f>HYPERLINK("https://www.reddit.com/r/diabetes/comments/ghekin/what_even_is_high_blood_sugar_anymore/")</f>
        <v/>
      </c>
      <c r="G9298" t="inlineStr">
        <is>
          <t>2020-05-10 18:59:41</t>
        </is>
      </c>
      <c r="H9298" t="inlineStr">
        <is>
          <t>Type 1</t>
        </is>
      </c>
    </row>
    <row r="9299">
      <c r="A9299" t="inlineStr">
        <is>
          <t>ghgeit</t>
        </is>
      </c>
      <c r="B9299" t="inlineStr">
        <is>
          <t>I can't sleep because of leg pain,is it neuropathy? 24m</t>
        </is>
      </c>
      <c r="C9299" t="inlineStr">
        <is>
          <t>Hello fellow diabetics, I was diagnosed almost 2 years ago and my doctor says my control is pretty good I attached a screenshot.I had some blurry vision lately and tingling, but right now I have severe leg pain below the knee and it feels kinda hot and cold in the same time. Could it be possible that I have neuropathy? I do live a sedentary lifestyle because of work.
https://imgur.com/a/Jb84NNg</t>
        </is>
      </c>
      <c r="D9299" t="n">
        <v>1</v>
      </c>
      <c r="E9299" t="n">
        <v>10</v>
      </c>
      <c r="F9299">
        <f>HYPERLINK("https://www.reddit.com/r/diabetes/comments/ghgeit/i_cant_sleep_because_of_leg_painis_it_neuropathy/")</f>
        <v/>
      </c>
      <c r="G9299" t="inlineStr">
        <is>
          <t>2020-05-10 21:04:06</t>
        </is>
      </c>
      <c r="H9299" t="inlineStr">
        <is>
          <t>Type 1</t>
        </is>
      </c>
    </row>
    <row r="9300">
      <c r="A9300" t="inlineStr">
        <is>
          <t>ghgl8p</t>
        </is>
      </c>
      <c r="B9300" t="inlineStr">
        <is>
          <t>Is It just me or does Dexcom need to add a vibrate mode for high glucose alerts</t>
        </is>
      </c>
      <c r="C9300" t="inlineStr">
        <is>
          <t>If I go slightly above my range and I’m listening to music with earbuds I get my eardrums blown out by B E E P B E E P.</t>
        </is>
      </c>
      <c r="D9300" t="n">
        <v>1</v>
      </c>
      <c r="E9300" t="n">
        <v>4</v>
      </c>
      <c r="F9300">
        <f>HYPERLINK("https://www.reddit.com/r/diabetes/comments/ghgl8p/is_it_just_me_or_does_dexcom_need_to_add_a/")</f>
        <v/>
      </c>
      <c r="G9300" t="inlineStr">
        <is>
          <t>2020-05-10 21:16:43</t>
        </is>
      </c>
      <c r="H9300" t="inlineStr">
        <is>
          <t>Type 1</t>
        </is>
      </c>
    </row>
    <row r="9301">
      <c r="A9301" t="inlineStr">
        <is>
          <t>ghihxb</t>
        </is>
      </c>
      <c r="B9301" t="inlineStr">
        <is>
          <t>Anyone on a weird 3rd shift schedule?</t>
        </is>
      </c>
      <c r="C9301" t="inlineStr">
        <is>
          <t>Hi.  Ill be talking to my doctor ofcourse but I'd love advice from others who actually deal with this.
I'm type 2 and not doing well. I was just put on metformin and insulin this week. My BS has been in the mid 200s fasting and through the day. 
I'm having a bit of an issue wrapping my head around it all with my schedule. Like when to take meds, insulin, and test BS.
I work overnight, 12am-8am. I generally do not eat at work. I could... But not after 4am. 
I go to sleep between 1pm-3pm most days.</t>
        </is>
      </c>
      <c r="D9301" t="n">
        <v>1</v>
      </c>
      <c r="E9301" t="n">
        <v>2</v>
      </c>
      <c r="F9301">
        <f>HYPERLINK("https://www.reddit.com/r/diabetes/comments/ghihxb/anyone_on_a_weird_3rd_shift_schedule/")</f>
        <v/>
      </c>
      <c r="G9301" t="inlineStr">
        <is>
          <t>2020-05-10 23:45:11</t>
        </is>
      </c>
      <c r="H9301" t="inlineStr">
        <is>
          <t>Type 2</t>
        </is>
      </c>
    </row>
    <row r="9302">
      <c r="A9302" t="inlineStr">
        <is>
          <t>ghngto</t>
        </is>
      </c>
      <c r="B9302" t="inlineStr">
        <is>
          <t>Obtaining data from a 640G: alternative software for privacy?</t>
        </is>
      </c>
      <c r="C9302" t="inlineStr">
        <is>
          <t>I haven't been able to find anything, so I was wondering if perhaps anyone here knows: is there alternative software to CareLink? The trouble is that with CareLink, the data is sent to Medtronic. I don't want Medtronic to be a intermediary. They have no business having my medical data. (I fully realise there are a lot of people that don't mind or even enjoy it, and I respect your choice. :) I just don't want to do it and am bothered that I don't get that choice.) 
So I was wondering if there's alternate, preferably opensource, software that can also download the data from a Medtronic pump to generate local reports? Or is CareLink seriously the only option and thus there's essentially an obligation to upload your medical data to their cloud? (In which case, I will absolutely not get a Medtronic pump.)</t>
        </is>
      </c>
      <c r="D9302" t="n">
        <v>1</v>
      </c>
      <c r="E9302" t="n">
        <v>6</v>
      </c>
      <c r="F9302">
        <f>HYPERLINK("https://www.reddit.com/r/diabetes/comments/ghngto/obtaining_data_from_a_640g_alternative_software/")</f>
        <v/>
      </c>
      <c r="G9302" t="inlineStr">
        <is>
          <t>2020-05-11 06:24:19</t>
        </is>
      </c>
      <c r="H9302" t="inlineStr">
        <is>
          <t>Type 1</t>
        </is>
      </c>
    </row>
    <row r="9303">
      <c r="A9303" t="inlineStr">
        <is>
          <t>ghoano</t>
        </is>
      </c>
      <c r="B9303" t="inlineStr">
        <is>
          <t>Scared to have laser surgery for early retinopathy</t>
        </is>
      </c>
      <c r="C9303" t="inlineStr">
        <is>
          <t>I am having laser surgery to help stop early retinopathy. I am having the spot specific treatment done this week but I am really scared about some of the potential side effects. I have read online that you can have loss of night vision, blind spots and loss of peripheral vision and I am terrified of having vision changes but I know I need it done because I guess it better to lose parts of my vision than end up entirely blind. 
has anyone else had this treatment done? What were your experiences? How did it effect your vision? Did you have any vision changes? Any advice?
For clarity sake, I have been diabetic for almost 30 years with good control, my eye doctor basically told me no matter how well controlled you are, it gets you eventually. Good control only puts it off longer.</t>
        </is>
      </c>
      <c r="D9303" t="n">
        <v>1</v>
      </c>
      <c r="E9303" t="n">
        <v>3</v>
      </c>
      <c r="F9303">
        <f>HYPERLINK("https://www.reddit.com/r/diabetes/comments/ghoano/scared_to_have_laser_surgery_for_early_retinopathy/")</f>
        <v/>
      </c>
      <c r="G9303" t="inlineStr">
        <is>
          <t>2020-05-11 07:13:59</t>
        </is>
      </c>
      <c r="H9303" t="inlineStr">
        <is>
          <t>Type 1</t>
        </is>
      </c>
    </row>
    <row r="9304">
      <c r="A9304" t="inlineStr">
        <is>
          <t>ghofyc</t>
        </is>
      </c>
      <c r="B9304" t="inlineStr">
        <is>
          <t>I think I destroyed my circulation</t>
        </is>
      </c>
      <c r="C9304" t="inlineStr">
        <is>
          <t>I knew there would be consequences to poor management but I had hoped I would last longer or have control just in time. It seems as though I was wrong.
This is what happens when you constantly run high (20mmol/L +) for 6 months. I wish I had reached out for help to the right people who would listen to my concerns and sign post or help me. The blame is not on the GP but on me and my mental illness. My mental illness stopped me reaching out for help again and from actually caring for my diabetes but I should have fought harder.
Now I can't stand or sit up without shaking, without my feet turning purple and feeling nauseous, headachy and my joints hurt. I'm only 20.</t>
        </is>
      </c>
      <c r="D9304" t="n">
        <v>1</v>
      </c>
      <c r="E9304" t="n">
        <v>4</v>
      </c>
      <c r="F9304">
        <f>HYPERLINK("https://www.reddit.com/r/diabetes/comments/ghofyc/i_think_i_destroyed_my_circulation/")</f>
        <v/>
      </c>
      <c r="G9304" t="inlineStr">
        <is>
          <t>2020-05-11 07:22:07</t>
        </is>
      </c>
      <c r="H9304" t="inlineStr">
        <is>
          <t>Type 1</t>
        </is>
      </c>
    </row>
    <row r="9305">
      <c r="A9305" t="inlineStr">
        <is>
          <t>ghpkmh</t>
        </is>
      </c>
      <c r="B9305" t="inlineStr">
        <is>
          <t>Turning red after eating</t>
        </is>
      </c>
      <c r="C9305" t="inlineStr">
        <is>
          <t>Hello all. I am coming to see if anyone else has had this experience. I've talked to my doctors, and they try to blame everything under the sun except my diabetes but the correlation just seems so strong its hard to take them seriously.  If I eat a carb-heavy meal (example: spaghetti), or something sweet (ice cream), my face turns red/flushed. Bright red and hot like I have a sunburn. It doesn't hurt but it is uncomfortable. It goes away after about 45 minutes to an hour. My doctors try to blame medications or high hemoglobin levels, but I've since stopped medicine and mitigated the hemoglobin issue and it continues to happen. Am I crazy for thinking there's some connection? Should I be concerned? My doctor doesn't seem to be, but I don't want to be doing some damage I could've prevented. Thanks for your input.</t>
        </is>
      </c>
      <c r="D9305" t="n">
        <v>1</v>
      </c>
      <c r="E9305" t="n">
        <v>7</v>
      </c>
      <c r="F9305">
        <f>HYPERLINK("https://www.reddit.com/r/diabetes/comments/ghpkmh/turning_red_after_eating/")</f>
        <v/>
      </c>
      <c r="G9305" t="inlineStr">
        <is>
          <t>2020-05-11 08:22:54</t>
        </is>
      </c>
      <c r="H9305" t="inlineStr">
        <is>
          <t>Type 2</t>
        </is>
      </c>
    </row>
    <row r="9306">
      <c r="A9306" t="inlineStr">
        <is>
          <t>ghpy63</t>
        </is>
      </c>
      <c r="B9306" t="inlineStr">
        <is>
          <t>Why don't I get to decide anything?</t>
        </is>
      </c>
      <c r="C9306" t="inlineStr">
        <is>
          <t>I just wanted to preface this by saying that this is the first time I've looked at this sub, so I'm sorry if this doesn't fit.
I'm a 17 year old teen with type one diabetes. I have been using the Freestyle Libre to keep track of my blood sugar and have been taking insulin via syringes. I already disagree with using the Freestyle Libre because I don't like having a piece of plastic sticking out of my arm for people to gawk at and think I'm a freak for having. Now, my mom is forcing me to get a pump. We just had a doctor's appointment over the phone and the doctor suggested that I get an insulin pump and my mom mom asked me what I thought, and then before I could answer she just said "ya know what, pull the trigger!" So now I'm getting an insulin pump I guess. She did the same thing with the glucose sensor. I really hate how I'm the one who has to live with all this but I don't get to consent to any of it. I don't want to walk around with tubes sticking out of my side, but that's gonna be my future. I won't get to go swimming anymore or take my shirt off in general anymore. It's very frustrating. I hate how no one respects what I want to do with my body. 
Sorry for this rambly rant. Again, if this doesn't fit the sub, I'm sorry. I just figured that because this sub is focused on diabetes that other people around here would understand what I'm feeling.</t>
        </is>
      </c>
      <c r="D9306" t="n">
        <v>2</v>
      </c>
      <c r="E9306" t="n">
        <v>20</v>
      </c>
      <c r="F9306">
        <f>HYPERLINK("https://www.reddit.com/r/diabetes/comments/ghpy63/why_dont_i_get_to_decide_anything/")</f>
        <v/>
      </c>
      <c r="G9306" t="inlineStr">
        <is>
          <t>2020-05-11 08:42:36</t>
        </is>
      </c>
      <c r="H9306" t="inlineStr">
        <is>
          <t>Type 1</t>
        </is>
      </c>
    </row>
    <row r="9307">
      <c r="A9307" t="inlineStr">
        <is>
          <t>ghpyd9</t>
        </is>
      </c>
      <c r="B9307" t="inlineStr">
        <is>
          <t>T2D and menstrual cycle?</t>
        </is>
      </c>
      <c r="C9307" t="inlineStr">
        <is>
          <t>Have any people who menstruate noticed an increase in insulin resistance/BG right before your period is supposed to start? I was recently diagnosed with T2D and I have been strictly limiting my carb intake (&amp;lt;20 total carbs/day)  and testing my BG regularly. Last week, my fasting sugars were in the 75-85 range and PPG numbers were between 90-110.
However, I noticed last night that my BG was much higher than usual before bed, and I even saw a reading in the 130s (I finished eating dinner at 6 and tested at 10:30, like I normally do, and was expecting a number in the 80s or 90s). This morning, I'm finishing up my usual 18:6 fast and I just tested to again see a number in the 120s. My morning BG was 97, which is higher than it has been. I'm supposed to start my period either today or tomorrow, so could this be affecting it? Is this going to cause my A1C to go up? :( Thank you!</t>
        </is>
      </c>
      <c r="D9307" t="n">
        <v>1</v>
      </c>
      <c r="E9307" t="n">
        <v>5</v>
      </c>
      <c r="F9307">
        <f>HYPERLINK("https://www.reddit.com/r/diabetes/comments/ghpyd9/t2d_and_menstrual_cycle/")</f>
        <v/>
      </c>
      <c r="G9307" t="inlineStr">
        <is>
          <t>2020-05-11 08:42:55</t>
        </is>
      </c>
      <c r="H9307" t="inlineStr">
        <is>
          <t>Type 2</t>
        </is>
      </c>
    </row>
    <row r="9308">
      <c r="A9308" t="inlineStr">
        <is>
          <t>ghr37w</t>
        </is>
      </c>
      <c r="B9308" t="inlineStr">
        <is>
          <t>My meter just fell into the toilet.</t>
        </is>
      </c>
      <c r="C9308" t="inlineStr">
        <is>
          <t>When I got home from work, I noticed I left my meter at work. So I went back up there to get it. When I came home again, I set the meter (in its pouch with the poker, strips and lancets) on the counter in my bathroom. I’m assuming it wasn’t on the counter far enough because it fell in the toilet. I grabbed it as quickly as I could and tried to dry it. It turned onto the normal screen once but not again. The meter had all of my readings, all of my info. I had to pay like $50 for it even with my insurance and now I’m stuck with the meter telling me “Error 1 Contact Support.” I’m frustrated. My averages were somewhere like 103 and now I don’t have the proof of it. I’ve tried plugging in the meter to my laptop to see if I could pull the info off like the dr had done during my last visit, it didn’t work. So now I’m playing the waiting game, hoping it comes back to life. God, I hate this. I hate everything. Life sucks.</t>
        </is>
      </c>
      <c r="D9308" t="n">
        <v>4</v>
      </c>
      <c r="E9308" t="n">
        <v>8</v>
      </c>
      <c r="F9308">
        <f>HYPERLINK("https://www.reddit.com/r/diabetes/comments/ghr37w/my_meter_just_fell_into_the_toilet/")</f>
        <v/>
      </c>
      <c r="G9308" t="inlineStr">
        <is>
          <t>2020-05-11 09:40:12</t>
        </is>
      </c>
      <c r="H9308" t="inlineStr">
        <is>
          <t>Type 1</t>
        </is>
      </c>
    </row>
    <row r="9309">
      <c r="A9309" t="inlineStr">
        <is>
          <t>ghr9xa</t>
        </is>
      </c>
      <c r="B9309" t="inlineStr">
        <is>
          <t>I just need to rant about this(TD1)</t>
        </is>
      </c>
      <c r="C9309" t="inlineStr">
        <is>
          <t>My NP always seems to suggest a plan for my insulin or suggest new medicine based of of her other patients. It never seems like she actually listens to or solves a lot of other problems that I have. She seems to hyper focus on one thing and thinks that if we fix that it will solve everything and it hasn't. When I suggested trying an insulin pump she just told me no. Didn't give me a reason just said no. 
She recently started me on Trulicity (I still take novalog and tresiba along with it). I've never been on to eat much but have always had fluctuating weight/weight struggles through my life. Now since I started the trulicity I haven't been hungry at all and when I do eat I only can eat a few bites. Me personally I have no problem with wanting to lose more weight but I don't really think it is a good thing especially when I have had troubles in the past with calorie counting. I have stated these concerns about it in a letter to her and told the nutritionist(who is also a diabetic) about it but they still only seem to think about how I won't need much insulin if I take it. Of course I won't when I am not eating anything!
&amp;amp;#x200B;
I just had to type this out because it has just been on my mind, Hope everyone is doing well and please stay safe : )</t>
        </is>
      </c>
      <c r="D9309" t="n">
        <v>2</v>
      </c>
      <c r="E9309" t="n">
        <v>8</v>
      </c>
      <c r="F9309">
        <f>HYPERLINK("https://www.reddit.com/r/diabetes/comments/ghr9xa/i_just_need_to_rant_about_thistd1/")</f>
        <v/>
      </c>
      <c r="G9309" t="inlineStr">
        <is>
          <t>2020-05-11 09:49:25</t>
        </is>
      </c>
      <c r="H9309" t="inlineStr">
        <is>
          <t>Type 1</t>
        </is>
      </c>
    </row>
    <row r="9310">
      <c r="A9310" t="inlineStr">
        <is>
          <t>ghrsaq</t>
        </is>
      </c>
      <c r="B9310" t="inlineStr">
        <is>
          <t>Switching to Humalog from Novolog. Anything I should know?</t>
        </is>
      </c>
      <c r="C9310" t="inlineStr">
        <is>
          <t>Does it behave differently in any way?</t>
        </is>
      </c>
      <c r="D9310" t="n">
        <v>1</v>
      </c>
      <c r="E9310" t="n">
        <v>4</v>
      </c>
      <c r="F9310">
        <f>HYPERLINK("https://www.reddit.com/r/diabetes/comments/ghrsaq/switching_to_humalog_from_novolog_anything_i/")</f>
        <v/>
      </c>
      <c r="G9310" t="inlineStr">
        <is>
          <t>2020-05-11 10:14:10</t>
        </is>
      </c>
      <c r="H9310" t="inlineStr">
        <is>
          <t>Type 1</t>
        </is>
      </c>
    </row>
    <row r="9311">
      <c r="A9311" t="inlineStr">
        <is>
          <t>ghwajt</t>
        </is>
      </c>
      <c r="B9311" t="inlineStr">
        <is>
          <t>Ever have consistent finger patterns when testing your glucose?</t>
        </is>
      </c>
      <c r="C9311" t="inlineStr">
        <is>
          <t>I have been using the G6 for the last month and a half. I’ve been checking the accuracy a lot between the G6 and my one touch ultra blood kit. It turns out that of my three test fingers, my index finger is always the lowest test result, while my middle and ring finger can sometimes vary upwards of 25 point difference. 
EG, right now I have been steadily dropping 8-9 pts every 5 minutes (170 at 4pm EST to now 115 at 4:55 EST). I ate a banana close to 25 minutes ago and started to drink some Gatorade due to continuous drop. I checked my blood with my index finger and got a reading of 99. I checked my middle finger 3 seconds later and got 123. My middle finger was just 115 5 minutes later.
Anyone experience the same thing? Fingers consistently are different and can produce imo significant gaps in bg.</t>
        </is>
      </c>
      <c r="D9311" t="n">
        <v>2</v>
      </c>
      <c r="E9311" t="n">
        <v>1</v>
      </c>
      <c r="F9311">
        <f>HYPERLINK("https://www.reddit.com/r/diabetes/comments/ghwajt/ever_have_consistent_finger_patterns_when_testing/")</f>
        <v/>
      </c>
      <c r="G9311" t="inlineStr">
        <is>
          <t>2020-05-11 13:56:19</t>
        </is>
      </c>
      <c r="H9311" t="inlineStr">
        <is>
          <t>Type 1</t>
        </is>
      </c>
    </row>
    <row r="9312">
      <c r="A9312" t="inlineStr">
        <is>
          <t>ghx15q</t>
        </is>
      </c>
      <c r="B9312" t="inlineStr">
        <is>
          <t>How do you lose weight as a type 1 diabetic</t>
        </is>
      </c>
      <c r="C9312" t="inlineStr">
        <is>
          <t>Hi I don't have much going on right now I mean who really does during these times but I was wondering what are some good ways to lose weight as a type 1 diabetic im a 22f and my goal is 130 I weigh a little over 150 now please share your advice!</t>
        </is>
      </c>
      <c r="D9312" t="n">
        <v>2</v>
      </c>
      <c r="E9312" t="n">
        <v>29</v>
      </c>
      <c r="F9312">
        <f>HYPERLINK("https://www.reddit.com/r/diabetes/comments/ghx15q/how_do_you_lose_weight_as_a_type_1_diabetic/")</f>
        <v/>
      </c>
      <c r="G9312" t="inlineStr">
        <is>
          <t>2020-05-11 14:37:11</t>
        </is>
      </c>
      <c r="H9312" t="inlineStr">
        <is>
          <t>Type 1</t>
        </is>
      </c>
    </row>
    <row r="9313">
      <c r="A9313" t="inlineStr">
        <is>
          <t>ghxh7o</t>
        </is>
      </c>
      <c r="B9313" t="inlineStr">
        <is>
          <t>Hypos</t>
        </is>
      </c>
      <c r="C9313" t="inlineStr">
        <is>
          <t>So Im a newly diagnosed Type 2 diabetic. A bit over 2 months now. I've been eating better than ever si ce the start of year and even more so since being diagnosed. I've lost 4kgs since the week of diagnosis. My body is reacting well to the insulin and I've dropped my rapid acting imsulin intake from 14 units to 4 units in this 2 months as well.
But with all the good news outta the way, and like many other diabetics haven't been without hypos.
I had my most recent yesterday (Monday 11th). I hadn't been feeling right all day, but my blood sugar levels were in the normal range 5.4mmo/l at breakfast after waking up. Because I didnt feel right I tested again at work and they were 6.3mmo/l. 3 or so hours later at lunch time they had dropped to 3.9mmo/l.
However when I do have a hypo, the effects usually last up to 24 hours. So my question is, How can I stop the effects lasting so long?
Thankyou in advance for any advice given.</t>
        </is>
      </c>
      <c r="D9313" t="n">
        <v>2</v>
      </c>
      <c r="E9313" t="n">
        <v>10</v>
      </c>
      <c r="F9313">
        <f>HYPERLINK("https://www.reddit.com/r/diabetes/comments/ghxh7o/hypos/")</f>
        <v/>
      </c>
      <c r="G9313" t="inlineStr">
        <is>
          <t>2020-05-11 15:00:37</t>
        </is>
      </c>
      <c r="H9313" t="inlineStr">
        <is>
          <t>Type 2</t>
        </is>
      </c>
    </row>
    <row r="9314">
      <c r="A9314" t="inlineStr">
        <is>
          <t>ghz7to</t>
        </is>
      </c>
      <c r="B9314" t="inlineStr">
        <is>
          <t>Jiu Jitsu with Diabetes</t>
        </is>
      </c>
      <c r="C9314" t="inlineStr">
        <is>
          <t>Hey all, so I’ve been thinking about getting into Jiu Jitsu at a local gym nearby. But I do wear a pump and a CGM and I just know there’s a high risk of either site getting ripped out during rolling. Has anyone had any experience taking martial arts with a pump/CGM. I’d love to hear how you handle it with your pump sites.</t>
        </is>
      </c>
      <c r="D9314" t="n">
        <v>2</v>
      </c>
      <c r="E9314" t="n">
        <v>6</v>
      </c>
      <c r="F9314">
        <f>HYPERLINK("https://www.reddit.com/r/diabetes/comments/ghz7to/jiu_jitsu_with_diabetes/")</f>
        <v/>
      </c>
      <c r="G9314" t="inlineStr">
        <is>
          <t>2020-05-11 16:33:45</t>
        </is>
      </c>
      <c r="H9314" t="inlineStr">
        <is>
          <t>Type 1</t>
        </is>
      </c>
    </row>
    <row r="9315">
      <c r="A9315" t="inlineStr">
        <is>
          <t>ghzdv1</t>
        </is>
      </c>
      <c r="B9315" t="inlineStr">
        <is>
          <t>Trying to Understand Background Insulin</t>
        </is>
      </c>
      <c r="C9315" t="inlineStr">
        <is>
          <t>Hello,
Newly Type 1 diabetic...
I've been posting a lot in this subreddit because my doctor sucks. Firstly, I was misdiagnosed as Type II in 2017 by my PCP. He didn't refer me to an endo despite my 125lbs weight. And I was too stupid to realize I should have gotten a second opinion. 
I was diagnosed by an endo in April of this year with Type 1. And due to coronavirus, he seems to have checked out. It's hard to get a hold of him and I'm supposed to be getting a diabetes educator to call me and help me with the basics. 
Type 1 treatment is a lot different than my Type 2 treatment. Before, I used to just take metformin and call it a day. Now, I'm wearing a Libre CGM, taking Levemir (long acting insulin 14 units at night) and Afrezza (inhalant short acting insulin before meals.)   
Well, the Afrezza brings my BG down when I'm eating and that's great, but two hours after my meal it's up in the low 200s (sometimes not that high, but still...)
&amp;amp;#x200B;
Isn't this where my Levemir should be working to bring that down? It stays there for quite awhile. 
&amp;amp;#x200B;
I also heard from a diabetic friend that I should know my insulin to carb ratio. I have no idea how to calculate that. But it sounds like that would make my life a lot easier. If I'm eating a 50g carb meal, doing some quick math to determine how much Afrezza I need would be amazing. 
Any help/advice is appreciated. Thank you very much. Hope all of y'all are staying safe during the lockdown and staying healthy!</t>
        </is>
      </c>
      <c r="D9315" t="n">
        <v>2</v>
      </c>
      <c r="E9315" t="n">
        <v>23</v>
      </c>
      <c r="F9315">
        <f>HYPERLINK("https://www.reddit.com/r/diabetes/comments/ghzdv1/trying_to_understand_background_insulin/")</f>
        <v/>
      </c>
      <c r="G9315" t="inlineStr">
        <is>
          <t>2020-05-11 16:43:11</t>
        </is>
      </c>
      <c r="H9315" t="inlineStr">
        <is>
          <t>Type 1</t>
        </is>
      </c>
    </row>
    <row r="9316">
      <c r="A9316" t="inlineStr">
        <is>
          <t>gi0ers</t>
        </is>
      </c>
      <c r="B9316" t="inlineStr">
        <is>
          <t>Issues with tslim downloading data</t>
        </is>
      </c>
      <c r="C9316" t="inlineStr">
        <is>
          <t>I went to my endocrine appointment not too long ago and my doctor said he was having trouble downloading my pump data. He thinks it could be related to the control iq update and also mentioned problems with other patients since they also updated. I also tried downloading at home and it only gave me data from 2017. I called tandem and they said they didn’t know what to do. Has this happened to anyone else?</t>
        </is>
      </c>
      <c r="D9316" t="n">
        <v>1</v>
      </c>
      <c r="E9316" t="n">
        <v>6</v>
      </c>
      <c r="F9316">
        <f>HYPERLINK("https://www.reddit.com/r/diabetes/comments/gi0ers/issues_with_tslim_downloading_data/")</f>
        <v/>
      </c>
      <c r="G9316" t="inlineStr">
        <is>
          <t>2020-05-11 17:42:14</t>
        </is>
      </c>
      <c r="H9316" t="inlineStr">
        <is>
          <t>Type 1</t>
        </is>
      </c>
    </row>
    <row r="9317">
      <c r="A9317" t="inlineStr">
        <is>
          <t>gi0i3u</t>
        </is>
      </c>
      <c r="B9317" t="inlineStr">
        <is>
          <t>Difference between Minimed and Tandem loops?</t>
        </is>
      </c>
      <c r="C9317" t="inlineStr">
        <is>
          <t>I feel like this post might be breaking some rule about patient satisfaction/non-medical opinion, but I am so incredibly fed up with the Minimed Insulin Pump's Auto Mode. I get bumped every 2.5 hours if my sugars are too good and don't require pump intervention, and their sensors--yesterday I had two in a row not accept an initial calibration. So now I'm trying to insert a THIRD one in two days. This seems more and more frequent.
I'd have to pay out of pocket to switch but I think I may be at my wit's end. So, who likes what better, Minimed or Tandem (with Dexcom CGM) and why?</t>
        </is>
      </c>
      <c r="D9317" t="n">
        <v>1</v>
      </c>
      <c r="E9317" t="n">
        <v>1</v>
      </c>
      <c r="F9317">
        <f>HYPERLINK("https://www.reddit.com/r/diabetes/comments/gi0i3u/difference_between_minimed_and_tandem_loops/")</f>
        <v/>
      </c>
      <c r="G9317" t="inlineStr">
        <is>
          <t>2020-05-11 17:47:48</t>
        </is>
      </c>
      <c r="H9317" t="inlineStr">
        <is>
          <t>Type 1</t>
        </is>
      </c>
    </row>
    <row r="9318">
      <c r="A9318" t="inlineStr">
        <is>
          <t>gi200a</t>
        </is>
      </c>
      <c r="B9318" t="inlineStr">
        <is>
          <t>medications that don't work</t>
        </is>
      </c>
      <c r="C9318" t="inlineStr">
        <is>
          <t>hay i have been a diabetic for a few years now as has my partner, We live in Australia.
Why is it that doctors will put us on medications and then keep us on them when they are not effective. My partner is on trulicity metformin and now insulin, Trulicity did nothing. all it has done is made him get sick when he eats.
His doctor has put him on insulin but is keeping him on a medication that is proven not to work
Im not on trulicity because i said to my doctor that i don't want to be taking that injection as i may as well be on insulin if i am taking injections and at least that way i know it will work.
so are doctors under pressure to sell ineffective treatments? that's the only thing i can think of that explains why the doctor would keep my partner on a trulicity, and why my doctor is trying to force trulicity on me.</t>
        </is>
      </c>
      <c r="D9318" t="n">
        <v>1</v>
      </c>
      <c r="E9318" t="n">
        <v>4</v>
      </c>
      <c r="F9318">
        <f>HYPERLINK("https://www.reddit.com/r/diabetes/comments/gi200a/medications_that_dont_work/")</f>
        <v/>
      </c>
      <c r="G9318" t="inlineStr">
        <is>
          <t>2020-05-11 19:16:23</t>
        </is>
      </c>
      <c r="H9318" t="inlineStr">
        <is>
          <t>Type 2</t>
        </is>
      </c>
    </row>
    <row r="9319">
      <c r="A9319" t="inlineStr">
        <is>
          <t>gi4ggk</t>
        </is>
      </c>
      <c r="B9319" t="inlineStr">
        <is>
          <t>If anyone could help Los Angeles area</t>
        </is>
      </c>
      <c r="C9319" t="inlineStr">
        <is>
          <t>Insulin https://imgur.com/gallery/vNJB7uG
Hey reddit just wanted to reach out here to see if anyone could help me out. Due to the current situation a close friend and I were laid off and lost our insurance. His wife has type 2 diabetes and is running low on this type of insulin. This man has done so much for me this is the least I could do for him and his wife. If there is anyone in the LA area that maybe has a bit extra or knows someone who does and is willing to help I would love you for ever. I can pick it up wherever you want and I know insulin isn't cheap either so if you want to sell it to me I completely understand too just let me know how to make you whole for your help. Thank you guys very much!!!</t>
        </is>
      </c>
      <c r="D9319" t="n">
        <v>1</v>
      </c>
      <c r="E9319" t="n">
        <v>7</v>
      </c>
      <c r="F9319">
        <f>HYPERLINK("https://www.reddit.com/r/diabetes/comments/gi4ggk/if_anyone_could_help_los_angeles_area/")</f>
        <v/>
      </c>
      <c r="G9319" t="inlineStr">
        <is>
          <t>2020-05-11 21:57:54</t>
        </is>
      </c>
      <c r="H9319" t="inlineStr">
        <is>
          <t>Type 2</t>
        </is>
      </c>
    </row>
    <row r="9320">
      <c r="A9320" t="inlineStr">
        <is>
          <t>gi5l94</t>
        </is>
      </c>
      <c r="B9320" t="inlineStr">
        <is>
          <t>Medtronic 670G with Dexcom G6</t>
        </is>
      </c>
      <c r="C9320" t="inlineStr">
        <is>
          <t>Hey all,
I know a few of you rock this setup because the Guardian Sensors aren't great. I was curious if there was anything special you had to do to get the Dexcom sensors to work with your pump? Do you lose any compatibility because they aren't Medtronic? Do you have to carry a Receiver around or can you just use your phone?</t>
        </is>
      </c>
      <c r="D9320" t="n">
        <v>1</v>
      </c>
      <c r="E9320" t="n">
        <v>2</v>
      </c>
      <c r="F9320">
        <f>HYPERLINK("https://www.reddit.com/r/diabetes/comments/gi5l94/medtronic_670g_with_dexcom_g6/")</f>
        <v/>
      </c>
      <c r="G9320" t="inlineStr">
        <is>
          <t>2020-05-11 23:22:28</t>
        </is>
      </c>
      <c r="H9320" t="inlineStr">
        <is>
          <t>Type 1</t>
        </is>
      </c>
    </row>
    <row r="9321">
      <c r="A9321" t="inlineStr">
        <is>
          <t>gi5p35</t>
        </is>
      </c>
      <c r="B9321" t="inlineStr">
        <is>
          <t>Does anyone else get annoyed or even offended sometimes when people make diabetic jokes ?</t>
        </is>
      </c>
      <c r="C9321" t="inlineStr">
        <is>
          <t>I’m used to it at this point but sometimes it irritates me but then I feel like I’m being sensitive. Like I always want to tell them that just because you eat sugar doesn’t mean diabetes ( 1 or 2 ) it’s more than that. And I just want them to shut the hell up.
Anyone else? lmao</t>
        </is>
      </c>
      <c r="D9321" t="n">
        <v>1</v>
      </c>
      <c r="E9321" t="n">
        <v>14</v>
      </c>
      <c r="F9321">
        <f>HYPERLINK("https://www.reddit.com/r/diabetes/comments/gi5p35/does_anyone_else_get_annoyed_or_even_offended/")</f>
        <v/>
      </c>
      <c r="G9321" t="inlineStr">
        <is>
          <t>2020-05-11 23:30:41</t>
        </is>
      </c>
      <c r="H9321" t="inlineStr">
        <is>
          <t>Type 1</t>
        </is>
      </c>
    </row>
    <row r="9322">
      <c r="A9322" t="inlineStr">
        <is>
          <t>gi8tuj</t>
        </is>
      </c>
      <c r="B9322" t="inlineStr">
        <is>
          <t>Basal Dose</t>
        </is>
      </c>
      <c r="C9322" t="inlineStr">
        <is>
          <t>So I am curious what my basal dose should be? On Lantus and Humalog, endo has me doing 18 units of Lantus once a day (the same dose since DX in January when I started on Humalog 4 units each meal). Been on sliding scale on Humalog since March and taking anywhere from 20-30 units Humalog daily. Is 18 for Lantus where I should be? Have had a few morning highs with no explanation over last 6 weeks or so and just this past week dealt with a new Lantus pen that turns out was bad (morning highs 230+ 5 of 6 days with this pen). I have read that basal should be close to 50-50 with bolus. Thanks</t>
        </is>
      </c>
      <c r="D9322" t="n">
        <v>1</v>
      </c>
      <c r="E9322" t="n">
        <v>3</v>
      </c>
      <c r="F9322">
        <f>HYPERLINK("https://www.reddit.com/r/diabetes/comments/gi8tuj/basal_dose/")</f>
        <v/>
      </c>
      <c r="G9322" t="inlineStr">
        <is>
          <t>2020-05-12 03:41:50</t>
        </is>
      </c>
      <c r="H9322" t="inlineStr">
        <is>
          <t>Type 1.5/LADA</t>
        </is>
      </c>
    </row>
    <row r="9323">
      <c r="A9323" t="inlineStr">
        <is>
          <t>gibmk3</t>
        </is>
      </c>
      <c r="B9323" t="inlineStr">
        <is>
          <t>Questions about Type 1 Diabetes...</t>
        </is>
      </c>
      <c r="C9323" t="inlineStr">
        <is>
          <t>Hello, I'm a screenwriter writing a screenplay and one of my characters is a diabetic. -- I hope it's okay if I post this question here. If not please just ignore but if you have some insight that you could lend, it would be much appreciated.
My character is a 17-year-old boy with type 1 diabetes. He's reckless and self-destructive, doing things like taking drugs (pot, MDMA) and drinking alcohol, and sometimes he even forgets to take a dose of insulin.
My question is, would skipping a dose even be possible? What kind of side effects could this have (immediate and long term)? What about the drugs - especially drugs that suppress appetite? What kind of problems could this cause?
Again, if I'm intruding here, I do apologize.
Kind Regards</t>
        </is>
      </c>
      <c r="D9323" t="n">
        <v>1</v>
      </c>
      <c r="E9323" t="n">
        <v>14</v>
      </c>
      <c r="F9323">
        <f>HYPERLINK("https://www.reddit.com/r/diabetes/comments/gibmk3/questions_about_type_1_diabetes/")</f>
        <v/>
      </c>
      <c r="G9323" t="inlineStr">
        <is>
          <t>2020-05-12 06:52:52</t>
        </is>
      </c>
      <c r="H9323" t="inlineStr">
        <is>
          <t>Type 1</t>
        </is>
      </c>
    </row>
    <row r="9324">
      <c r="A9324" t="inlineStr">
        <is>
          <t>gidc75</t>
        </is>
      </c>
      <c r="B9324" t="inlineStr">
        <is>
          <t>Anybody else stuck at an essential employer?</t>
        </is>
      </c>
      <c r="C9324" t="inlineStr">
        <is>
          <t>A little background: I work at a small business with right under 15 employees. My doctor wrote me a note to try and get work from home put in place, but of course they don't allow working from home. I am not covered by ADA or any of the corona virus legislation. Of course we have one guy out because he got a call yesterday that he was in contact with a positive case. To top it off, the wife of another employee here is a repository therapist in a hospital on the covid floor. I"m so jealous of people who work for company that care about their employees well being. Anyone else stuck right now?</t>
        </is>
      </c>
      <c r="D9324" t="n">
        <v>1</v>
      </c>
      <c r="E9324" t="n">
        <v>12</v>
      </c>
      <c r="F9324">
        <f>HYPERLINK("https://www.reddit.com/r/diabetes/comments/gidc75/anybody_else_stuck_at_an_essential_employer/")</f>
        <v/>
      </c>
      <c r="G9324" t="inlineStr">
        <is>
          <t>2020-05-12 08:27:37</t>
        </is>
      </c>
      <c r="H9324" t="inlineStr">
        <is>
          <t>Type 1</t>
        </is>
      </c>
    </row>
    <row r="9325">
      <c r="A9325" t="inlineStr">
        <is>
          <t>gigjb5</t>
        </is>
      </c>
      <c r="B9325" t="inlineStr">
        <is>
          <t>Any help as to why its saying no sensor inserted</t>
        </is>
      </c>
      <c r="C9325" t="inlineStr">
        <is>
          <t>Dexcom g6 no sensor inserted https://imgur.com/gallery/pcARy8G</t>
        </is>
      </c>
      <c r="D9325" t="n">
        <v>1</v>
      </c>
      <c r="E9325" t="n">
        <v>0</v>
      </c>
      <c r="F9325">
        <f>HYPERLINK("https://www.reddit.com/r/diabetes/comments/gigjb5/any_help_as_to_why_its_saying_no_sensor_inserted/")</f>
        <v/>
      </c>
      <c r="G9325" t="inlineStr">
        <is>
          <t>2020-05-12 11:00:26</t>
        </is>
      </c>
      <c r="H9325" t="inlineStr">
        <is>
          <t>Type 1</t>
        </is>
      </c>
    </row>
    <row r="9326">
      <c r="A9326" t="inlineStr">
        <is>
          <t>gigomy</t>
        </is>
      </c>
      <c r="B9326" t="inlineStr">
        <is>
          <t>HELP - T2 with BS on the rise after a couple of years</t>
        </is>
      </c>
      <c r="C9326" t="inlineStr">
        <is>
          <t>About to turn 38, Was diagnosed...probably 2 years ago now.  Maxed on Metformin, Glipizide.  Taking Lisinopril, and Atorvastatin, mostly for kidney help than BP or Cholesterol. Was started 2 months ago on one of the insulin pins at night when my blood glucose started to rise again.
Working from home/COVID isn't helping...I have 2 kids and a lot of junk in the house.  Wife is trying to shove vegetables down my throat... I FUCKING HATE VEGETABLES.  Beans make me gag....literally.  I can't stand them.  At least my office was enormous, but now I'm stuck on my butt in my basement.  How are you all doing this?  What can I do to get back to stable...lower sugars?  Admittedly, I've never been great at handling this.  Things got better when I dropped off full-blown pop (still drink diet/zero sugar).  Can't seem to switch to coffee.
Fish is ok on occasion, Pork and chicken are.... bleh...meh? I really can't say I like either. (BBQ - the only thing that makes them better is FULL of sugar)  I can only eat so much beef.  VEGGIES CAN SUCK MY SALTY BA... nevermind. Can't eat bread...so WTF?
Please help.....</t>
        </is>
      </c>
      <c r="D9326" t="n">
        <v>1</v>
      </c>
      <c r="E9326" t="n">
        <v>5</v>
      </c>
      <c r="F9326">
        <f>HYPERLINK("https://www.reddit.com/r/diabetes/comments/gigomy/help_t2_with_bs_on_the_rise_after_a_couple_of/")</f>
        <v/>
      </c>
      <c r="G9326" t="inlineStr">
        <is>
          <t>2020-05-12 11:06:56</t>
        </is>
      </c>
      <c r="H9326" t="inlineStr">
        <is>
          <t>Type 2</t>
        </is>
      </c>
    </row>
    <row r="9327">
      <c r="A9327" t="inlineStr">
        <is>
          <t>gigqek</t>
        </is>
      </c>
      <c r="B9327" t="inlineStr">
        <is>
          <t>Favorite low treatment?</t>
        </is>
      </c>
      <c r="C9327" t="inlineStr">
        <is>
          <t>I’m burned out on fruit snacks right now and am curious what everyone’s favorites are. What’s your go-to low treatment?</t>
        </is>
      </c>
      <c r="D9327" t="n">
        <v>1</v>
      </c>
      <c r="E9327" t="n">
        <v>32</v>
      </c>
      <c r="F9327">
        <f>HYPERLINK("https://www.reddit.com/r/diabetes/comments/gigqek/favorite_low_treatment/")</f>
        <v/>
      </c>
      <c r="G9327" t="inlineStr">
        <is>
          <t>2020-05-12 11:09:09</t>
        </is>
      </c>
      <c r="H9327" t="inlineStr">
        <is>
          <t>Type 1</t>
        </is>
      </c>
    </row>
    <row r="9328">
      <c r="A9328" t="inlineStr">
        <is>
          <t>gihd27</t>
        </is>
      </c>
      <c r="B9328" t="inlineStr">
        <is>
          <t>What does it mean when your jaw hangs and your eyes roll around?</t>
        </is>
      </c>
      <c r="C9328" t="inlineStr">
        <is>
          <t>So before I was diagnosed I’d have these episodes where my jaw would hang and my eyes would roll around in my head. My friends would call it out and I’d usually come back and it simply felt like I was asleep and waking up. Diabetic seizures?</t>
        </is>
      </c>
      <c r="D9328" t="n">
        <v>1</v>
      </c>
      <c r="E9328" t="n">
        <v>5</v>
      </c>
      <c r="F9328">
        <f>HYPERLINK("https://www.reddit.com/r/diabetes/comments/gihd27/what_does_it_mean_when_your_jaw_hangs_and_your/")</f>
        <v/>
      </c>
      <c r="G9328" t="inlineStr">
        <is>
          <t>2020-05-12 11:37:07</t>
        </is>
      </c>
      <c r="H9328" t="inlineStr">
        <is>
          <t>Type 1.5/LADA</t>
        </is>
      </c>
    </row>
    <row r="9329">
      <c r="A9329" t="inlineStr">
        <is>
          <t>giihjy</t>
        </is>
      </c>
      <c r="B9329" t="inlineStr">
        <is>
          <t>Smoothie King and Diabetes</t>
        </is>
      </c>
      <c r="C9329" t="inlineStr">
        <is>
          <t>Hi Everyone! New to the diabetes club and having a tough time with it. I feel my doctors weren't really able to answer my questions and I'm having a tough time finding the right diet for me. I've already quit all soda and fast food and have lost about 10 pounds in 2 weeks. I generally know what I need to stay away from but one of my favorite drinks was the Island Impact at Smoothie King. I looked at the nutrition facts and the sugar was outrageous. However, the sugar is from  Pineapples, Mangoes, Papaya Juice Blend, Apple Pineapple Juice Blend. Am I hurting myself by drinking this?</t>
        </is>
      </c>
      <c r="D9329" t="n">
        <v>1</v>
      </c>
      <c r="E9329" t="n">
        <v>13</v>
      </c>
      <c r="F9329">
        <f>HYPERLINK("https://www.reddit.com/r/diabetes/comments/giihjy/smoothie_king_and_diabetes/")</f>
        <v/>
      </c>
      <c r="G9329" t="inlineStr">
        <is>
          <t>2020-05-12 12:30:50</t>
        </is>
      </c>
      <c r="H9329" t="inlineStr">
        <is>
          <t>Type 2</t>
        </is>
      </c>
    </row>
    <row r="9330">
      <c r="A9330" t="inlineStr">
        <is>
          <t>giixen</t>
        </is>
      </c>
      <c r="B9330" t="inlineStr">
        <is>
          <t>This a bit of a read, I just want to share some of my experience and the thoughts that went through my mind during this time.</t>
        </is>
      </c>
      <c r="C9330" t="inlineStr">
        <is>
          <t>I'm 22 yo and due to severe obesity and sedentary lifestyle, I was diagnosed with Type 2 on Dec 2019.  My A1c percentage was 11.9 with a estimated average glucose of 295 mg.  I was given insulin and prescribed Metformin and Lisinopril.
Since then with the support of my family, I have started eating smaller portions and healthier foods, watching my carbs and exercising more.  I took my insulin and meds as instructed, continued to monitor and go in every 2 weeks for my check ups to report my progress.  In the first month, My blood sugars lowered to safe levels, my healthcare provider took me off the insulin to see how my body reacted.  I happy to say I haven't needed it since then.  I went to 1on1 diabetes education &amp;amp; Dietitian sessions and got my eyes checked.  Last week, I went in for my diabetic check up and A1c test.  I got it down to 5.7% with an average 117 mg.
I'm happy I was able to lower it down so much, but I understand that this is only the beginning for me and it will only get harder.  Getting diagnosed was a hard blow to take, but it wasn't a surprising one.  I guess a part of me hoped that I would get one more chance.   I'm constantly reminded that I am different now, but the result of my latest A1c test give me hope that I can live with this and become better than who I was before.
After reading the mega thread about "It's okay to not be okay", I recently found myself going through posts of people's experience.  I been having a hard time with being positive.  Both for not wanting to upset the people that have been supporting me, but also from the fact that I put myself in this situation.  I found solace in knowing I'm not alone and people that genuinely understand how it is gives me a sense of comfort that I didn't know I needed.
Thank you for taking your time reading this, Have a great day and I hope you stay safe now and forever.</t>
        </is>
      </c>
      <c r="D9330" t="n">
        <v>1</v>
      </c>
      <c r="E9330" t="n">
        <v>6</v>
      </c>
      <c r="F9330">
        <f>HYPERLINK("https://www.reddit.com/r/diabetes/comments/giixen/this_a_bit_of_a_read_i_just_want_to_share_some_of/")</f>
        <v/>
      </c>
      <c r="G9330" t="inlineStr">
        <is>
          <t>2020-05-12 12:52:15</t>
        </is>
      </c>
      <c r="H9330" t="inlineStr">
        <is>
          <t>Type 2</t>
        </is>
      </c>
    </row>
    <row r="9331">
      <c r="A9331" t="inlineStr">
        <is>
          <t>gijgpd</t>
        </is>
      </c>
      <c r="B9331" t="inlineStr">
        <is>
          <t>A1C related hair loss?</t>
        </is>
      </c>
      <c r="C9331" t="inlineStr">
        <is>
          <t>Has anyone suffered from high A1C and noticed a declining in hair health such as hair loss? My A1C is unfortunately higher, which I’m working on fixing, and hair all Over my head including sides and back are thinning out. If it is A1C related, can it be fixed?</t>
        </is>
      </c>
      <c r="D9331" t="n">
        <v>1</v>
      </c>
      <c r="E9331" t="n">
        <v>5</v>
      </c>
      <c r="F9331">
        <f>HYPERLINK("https://www.reddit.com/r/diabetes/comments/gijgpd/a1c_related_hair_loss/")</f>
        <v/>
      </c>
      <c r="G9331" t="inlineStr">
        <is>
          <t>2020-05-12 13:18:40</t>
        </is>
      </c>
      <c r="H9331" t="inlineStr">
        <is>
          <t>Type 1</t>
        </is>
      </c>
    </row>
    <row r="9332">
      <c r="A9332" t="inlineStr">
        <is>
          <t>gion8s</t>
        </is>
      </c>
      <c r="B9332" t="inlineStr">
        <is>
          <t>Spouse recently diagnosed with type 2 diabetes and is in denial</t>
        </is>
      </c>
      <c r="C9332" t="inlineStr">
        <is>
          <t>I am writing for my mother who’s husband was diagnosed with type 2 diabetes just a day ago.  
My mother is scared and frustrated and at this point I do not know what to do to make either of them feel better.  I need recommendations on how she can get the severity of the situation through to someone in denial and also in the case that he remains uncooperative, tips on what preparations need to be made so my mother can have the least amount of burden when his conditions worsen.
Her husband thinks that he is fine despite the blood works saying otherwise( high blood cholesterol and plasma glucose). He refused the doctor’s advice of taking medications claiming that he does not want to become reliant on them and does not see the need of making lifestyle changes as he currently feels fine. 
He does not care about his condition at all and refuses to hear anything about it. My mom tried implementing lifestyle changes back when they first noticed his rise in blood sugar and cholesterol but to no avail. 
I do not know how I can comfort my mom, or what measures can be taken to ensure that she will be ready for what’s to come. Preferably it would be best for her husband to acknowledge his condition but judging from our conversation and his reaction, I fear that nothing will change until he experiences some severe symptoms. I need help on the next few steps to take, both in regards to my mother and her worries and different approaches to tackle her husband’s condition
Sorry for the long post, thank you for the read and any tips would be greatly appreciated.</t>
        </is>
      </c>
      <c r="D9332" t="n">
        <v>1</v>
      </c>
      <c r="E9332" t="n">
        <v>14</v>
      </c>
      <c r="F9332">
        <f>HYPERLINK("https://www.reddit.com/r/diabetes/comments/gion8s/spouse_recently_diagnosed_with_type_2_diabetes/")</f>
        <v/>
      </c>
      <c r="G9332" t="inlineStr">
        <is>
          <t>2020-05-12 18:01:08</t>
        </is>
      </c>
      <c r="H9332" t="inlineStr">
        <is>
          <t>Type 2</t>
        </is>
      </c>
    </row>
    <row r="9333">
      <c r="A9333" t="inlineStr">
        <is>
          <t>giqt0d</t>
        </is>
      </c>
      <c r="B9333" t="inlineStr">
        <is>
          <t>Hi All... Hey guys what are you doing to improve your immunity for covid19 as now I think that’s the main and best prep we could do...</t>
        </is>
      </c>
      <c r="C9333" t="inlineStr">
        <is>
          <t xml:space="preserve">
So states will anyways will open and people will not follow many safety procedures we all know that... what are your preps for boost your immunity to fight this virus ?</t>
        </is>
      </c>
      <c r="D9333" t="n">
        <v>1</v>
      </c>
      <c r="E9333" t="n">
        <v>9</v>
      </c>
      <c r="F9333">
        <f>HYPERLINK("https://www.reddit.com/r/diabetes/comments/giqt0d/hi_all_hey_guys_what_are_you_doing_to_improve/")</f>
        <v/>
      </c>
      <c r="G9333" t="inlineStr">
        <is>
          <t>2020-05-12 20:15:38</t>
        </is>
      </c>
      <c r="H9333" t="inlineStr">
        <is>
          <t>Type 2</t>
        </is>
      </c>
    </row>
    <row r="9334">
      <c r="A9334" t="inlineStr">
        <is>
          <t>girfi1</t>
        </is>
      </c>
      <c r="B9334" t="inlineStr">
        <is>
          <t>Young adults with type 1 diabetes</t>
        </is>
      </c>
      <c r="C9334" t="inlineStr">
        <is>
          <t xml:space="preserve"> 
**Greetings All,**
**My name is Kunal and I am a post graduate design student at Emily Carr University of Art and Design, Vancouver. I am working towards supporting young adults with type 1 diabetes transition to an independent living.**
**Please help me in filling this survey for my master thesis. Please click on the link to know more about the survey.**
**Survey Link : https://forms.gle/CVzDrbFfvNX54cL78**
**I really appreciate your help.**</t>
        </is>
      </c>
      <c r="D9334" t="n">
        <v>1</v>
      </c>
      <c r="E9334" t="n">
        <v>5</v>
      </c>
      <c r="F9334">
        <f>HYPERLINK("https://www.reddit.com/r/diabetes/comments/girfi1/young_adults_with_type_1_diabetes/")</f>
        <v/>
      </c>
      <c r="G9334" t="inlineStr">
        <is>
          <t>2020-05-12 20:57:21</t>
        </is>
      </c>
      <c r="H9334" t="inlineStr">
        <is>
          <t>Type 1</t>
        </is>
      </c>
    </row>
    <row r="9335">
      <c r="A9335" t="inlineStr">
        <is>
          <t>girvkt</t>
        </is>
      </c>
      <c r="B9335" t="inlineStr">
        <is>
          <t>New to this</t>
        </is>
      </c>
      <c r="C9335" t="inlineStr">
        <is>
          <t>Ok I was just diagnosed with type 2 diabetes today what are some tips you would give me .</t>
        </is>
      </c>
      <c r="D9335" t="n">
        <v>1</v>
      </c>
      <c r="E9335" t="n">
        <v>7</v>
      </c>
      <c r="F9335">
        <f>HYPERLINK("https://www.reddit.com/r/diabetes/comments/girvkt/new_to_this/")</f>
        <v/>
      </c>
      <c r="G9335" t="inlineStr">
        <is>
          <t>2020-05-12 21:27:19</t>
        </is>
      </c>
      <c r="H9335" t="inlineStr">
        <is>
          <t>Type 2</t>
        </is>
      </c>
    </row>
    <row r="9336">
      <c r="A9336" t="inlineStr">
        <is>
          <t>givc1t</t>
        </is>
      </c>
      <c r="B9336" t="inlineStr">
        <is>
          <t>How do you guys exercise?</t>
        </is>
      </c>
      <c r="C9336" t="inlineStr">
        <is>
          <t>Hello! I’m trying to start being more active. Go on runs, etc... but I feel like I always am scared to go low. And if I eat a lot before it, I feel like it cancels the exercise. Like I ate the same amount I burned, so what’s the point? I’m on a pump (omnipod) and tried to stop my basal rate 1 hour and ever 1  1/2 hours beforehand, but that just makes me run high. Right now, I just do easy exercises like sit ups and push ups etc. etc., because it doesn’t bring my sugar down, but feel like that’s not enough to do me any good.  Any advice how to exercise ‘properly’  would be much appreciated!</t>
        </is>
      </c>
      <c r="D9336" t="n">
        <v>1</v>
      </c>
      <c r="E9336" t="n">
        <v>9</v>
      </c>
      <c r="F9336">
        <f>HYPERLINK("https://www.reddit.com/r/diabetes/comments/givc1t/how_do_you_guys_exercise/")</f>
        <v/>
      </c>
      <c r="G9336" t="inlineStr">
        <is>
          <t>2020-05-13 01:56:30</t>
        </is>
      </c>
      <c r="H9336" t="inlineStr">
        <is>
          <t>Type 1</t>
        </is>
      </c>
    </row>
    <row r="9337">
      <c r="A9337" t="inlineStr">
        <is>
          <t>gj033n</t>
        </is>
      </c>
      <c r="B9337" t="inlineStr">
        <is>
          <t>Anyone else become a Type 1 in a non-traditional way?</t>
        </is>
      </c>
      <c r="C9337" t="inlineStr">
        <is>
          <t>I became a Type 1 a few years ago at 22 years old.  Zero health problems before, started to have back pain that got so severe I couldn't eat.  Turned out to be a mass the size of a softball that had wrapped itself around my pancreas and spleen.  Ended up having to have my spleen and most of my pancreas removed.  We tried to get the small part left to produce insulin but it was a no go and I've been on a pump ever since.  Endocrinologist says it is still considered Type 1 since I my body can't produce the insulin I need.
I'd be interested to hear some other stories.</t>
        </is>
      </c>
      <c r="D9337" t="n">
        <v>1</v>
      </c>
      <c r="E9337" t="n">
        <v>3</v>
      </c>
      <c r="F9337">
        <f>HYPERLINK("https://www.reddit.com/r/diabetes/comments/gj033n/anyone_else_become_a_type_1_in_a_nontraditional/")</f>
        <v/>
      </c>
      <c r="G9337" t="inlineStr">
        <is>
          <t>2020-05-13 07:28:31</t>
        </is>
      </c>
      <c r="H9337" t="inlineStr">
        <is>
          <t>Type 1</t>
        </is>
      </c>
    </row>
    <row r="9338">
      <c r="A9338" t="inlineStr">
        <is>
          <t>gj0s7e</t>
        </is>
      </c>
      <c r="B9338" t="inlineStr">
        <is>
          <t>Need Bedroom advice. NSFW</t>
        </is>
      </c>
      <c r="C9338" t="inlineStr">
        <is>
          <t>My wife is type 1 diabetic. We used to have a very active, very enjoyable sex life. But then things changed. Her endocrinologist kept cycling her through all these different types of meds and insulins to find the right combination to help her balance her levels. And they seem to have succeeded. Unfortunately a side effect being, it's become seemingly impossible for her to experience an orgasm. Regardless how much she is enjoying the sex, she just can't peak. Her doctor did say it's a known side effect. 
While she still enjoys the sex, I find I'm less and less enthusiastic about it, knowing I can't bring her to orgasm anymore. Has anyone else experienced this problem and if so what did you do to fix it?</t>
        </is>
      </c>
      <c r="D9338" t="n">
        <v>1</v>
      </c>
      <c r="E9338" t="n">
        <v>65</v>
      </c>
      <c r="F9338">
        <f>HYPERLINK("https://www.reddit.com/r/diabetes/comments/gj0s7e/need_bedroom_advice_nsfw/")</f>
        <v/>
      </c>
      <c r="G9338" t="inlineStr">
        <is>
          <t>2020-05-13 08:05:33</t>
        </is>
      </c>
      <c r="H9338" t="inlineStr">
        <is>
          <t>Type 1</t>
        </is>
      </c>
    </row>
    <row r="9339">
      <c r="A9339" t="inlineStr">
        <is>
          <t>gj31ap</t>
        </is>
      </c>
      <c r="B9339" t="inlineStr">
        <is>
          <t>Teenager showing type 1 symptoms - quite concerned.</t>
        </is>
      </c>
      <c r="C9339" t="inlineStr">
        <is>
          <t>Hi guys, I'm 17 years old and over the past 2 weeks have been noticing I have been drinking lots more water. Only these past few days have I been starting to worry as I have been drinking what seems like absurd amounts of water, with still this lingering sense of thirst in my mouth whilst frequently urinating. With research, and how strong this thirst seems to be, it leads me to be quite certain I may have type 1. Of course I can't self diagnose myself like that, but its left me concerned. Does anyone have any advice, or am I perhaps overreacting? Thanks a lot.</t>
        </is>
      </c>
      <c r="D9339" t="n">
        <v>1</v>
      </c>
      <c r="E9339" t="n">
        <v>6</v>
      </c>
      <c r="F9339">
        <f>HYPERLINK("https://www.reddit.com/r/diabetes/comments/gj31ap/teenager_showing_type_1_symptoms_quite_concerned/")</f>
        <v/>
      </c>
      <c r="G9339" t="inlineStr">
        <is>
          <t>2020-05-13 10:04:39</t>
        </is>
      </c>
      <c r="H9339" t="inlineStr">
        <is>
          <t>Type 1</t>
        </is>
      </c>
    </row>
    <row r="9340">
      <c r="A9340" t="inlineStr">
        <is>
          <t>gj45s8</t>
        </is>
      </c>
      <c r="B9340" t="inlineStr">
        <is>
          <t>How can I manage my t1 diabetes while working a fast food job?</t>
        </is>
      </c>
      <c r="C9340" t="inlineStr">
        <is>
          <t>I'm getting a second job because my current job hasn't been giving out enough houes, I am a hostess at a fine dining establishment. Right now the only place that gave me an interview was McDonalds. 
My question is: How did you work in fast food and manage your t1d? I'm quite scared. I had a job that didn't respect and prioritize my diabetes management. I got in trouble whenever my blood sugar dropped. And yes, my boss did know that I had t1d, the whole staff knew. Will I get in trouble for having diabetes related issues? I'm so scared.</t>
        </is>
      </c>
      <c r="D9340" t="n">
        <v>1</v>
      </c>
      <c r="E9340" t="n">
        <v>9</v>
      </c>
      <c r="F9340">
        <f>HYPERLINK("https://www.reddit.com/r/diabetes/comments/gj45s8/how_can_i_manage_my_t1_diabetes_while_working_a/")</f>
        <v/>
      </c>
      <c r="G9340" t="inlineStr">
        <is>
          <t>2020-05-13 11:05:33</t>
        </is>
      </c>
      <c r="H9340" t="inlineStr">
        <is>
          <t>Type 1</t>
        </is>
      </c>
    </row>
    <row r="9341">
      <c r="A9341" t="inlineStr">
        <is>
          <t>gj6gpj</t>
        </is>
      </c>
      <c r="B9341" t="inlineStr">
        <is>
          <t>Diabetes in no control</t>
        </is>
      </c>
      <c r="C9341" t="inlineStr">
        <is>
          <t>My bloodglucose doesn't react to insulin at all anymore it seems, every time I eat my bloodglucose spikes and stays high even though I take 4times the insulin I used to. Worth mentioning is that I've began eating less and less because of this. I've also gone through many infusion sets on different places on my stomach but to no avail, the insulin just doesn't seem to do anything anymore. I'm 100% I've lost weight. My mental state is deteriorating. My core feels very hot as I'm writing this at 13mmol. I'm loosing hope.
I've been a type 1 since 2012.</t>
        </is>
      </c>
      <c r="D9341" t="n">
        <v>1</v>
      </c>
      <c r="E9341" t="n">
        <v>7</v>
      </c>
      <c r="F9341">
        <f>HYPERLINK("https://www.reddit.com/r/diabetes/comments/gj6gpj/diabetes_in_no_control/")</f>
        <v/>
      </c>
      <c r="G9341" t="inlineStr">
        <is>
          <t>2020-05-13 12:59:46</t>
        </is>
      </c>
      <c r="H9341" t="inlineStr">
        <is>
          <t>Type 1</t>
        </is>
      </c>
    </row>
    <row r="9342">
      <c r="A9342" t="inlineStr">
        <is>
          <t>gj7jow</t>
        </is>
      </c>
      <c r="B9342" t="inlineStr">
        <is>
          <t>INFORMING THE DVLA OF TYPE 1 DIABETES</t>
        </is>
      </c>
      <c r="C9342" t="inlineStr">
        <is>
          <t>Hi all!
During this time being inside i have forgotten if I have told the dvla of my diabetes. I have been diabetic since 6 years old and I passed my driving last year, ive been in 2 accidents and nothing has come up about my diabetes so I think I have told them. Can anyone back me up and help me to know if I have? 
I have tried calling, sending letters and they have ignored me. 
My driving license is valid for 3 years, since the date I passed. This is correct for having a medical condition isn’t it? As I have no others. Thanks all.</t>
        </is>
      </c>
      <c r="D9342" t="n">
        <v>1</v>
      </c>
      <c r="E9342" t="n">
        <v>5</v>
      </c>
      <c r="F9342">
        <f>HYPERLINK("https://www.reddit.com/r/diabetes/comments/gj7jow/informing_the_dvla_of_type_1_diabetes/")</f>
        <v/>
      </c>
      <c r="G9342" t="inlineStr">
        <is>
          <t>2020-05-13 13:53:57</t>
        </is>
      </c>
      <c r="H9342" t="inlineStr">
        <is>
          <t>Type 1</t>
        </is>
      </c>
    </row>
    <row r="9343">
      <c r="A9343" t="inlineStr">
        <is>
          <t>gj8in4</t>
        </is>
      </c>
      <c r="B9343" t="inlineStr">
        <is>
          <t>Free new G6 transmitter (no box) - GTA</t>
        </is>
      </c>
      <c r="C9343" t="inlineStr">
        <is>
          <t>Hi all, free G6 transmitter up for grabs for someone with no insurance. Unused but no box, i'll explain more to those interested.</t>
        </is>
      </c>
      <c r="D9343" t="n">
        <v>1</v>
      </c>
      <c r="E9343" t="n">
        <v>4</v>
      </c>
      <c r="F9343">
        <f>HYPERLINK("https://www.reddit.com/r/diabetes/comments/gj8in4/free_new_g6_transmitter_no_box_gta/")</f>
        <v/>
      </c>
      <c r="G9343" t="inlineStr">
        <is>
          <t>2020-05-13 14:43:59</t>
        </is>
      </c>
      <c r="H9343" t="inlineStr">
        <is>
          <t>Type 1</t>
        </is>
      </c>
    </row>
    <row r="9344">
      <c r="A9344" t="inlineStr">
        <is>
          <t>gj98kt</t>
        </is>
      </c>
      <c r="B9344" t="inlineStr">
        <is>
          <t>Ayurveda and Yoga for Diabetes</t>
        </is>
      </c>
      <c r="C9344" t="inlineStr">
        <is>
          <t>I am thinking of going to a webinar over the weekend for Ayurveda + Yoga to manage Diabetes.
https://www.facebook.com/events/677457099732323/
Has anyone ever tried combination of two therapies?</t>
        </is>
      </c>
      <c r="D9344" t="n">
        <v>1</v>
      </c>
      <c r="E9344" t="n">
        <v>2</v>
      </c>
      <c r="F9344">
        <f>HYPERLINK("https://www.reddit.com/r/diabetes/comments/gj98kt/ayurveda_and_yoga_for_diabetes/")</f>
        <v/>
      </c>
      <c r="G9344" t="inlineStr">
        <is>
          <t>2020-05-13 15:21:25</t>
        </is>
      </c>
      <c r="H9344" t="inlineStr">
        <is>
          <t>Type 2</t>
        </is>
      </c>
    </row>
    <row r="9345">
      <c r="A9345" t="inlineStr">
        <is>
          <t>gja2js</t>
        </is>
      </c>
      <c r="B9345" t="inlineStr">
        <is>
          <t>Confused about ketones and DKA. Is it common?</t>
        </is>
      </c>
      <c r="C9345" t="inlineStr">
        <is>
          <t>I've had T1 diabetes for 13-14 years or so. I still don't understand ketones except being told by the doctor to check urine if above 250. I don't check every time I pass that level, but if I'm prolonged at that level, I do check and they always come up negative. I used to have A1Cs in the high 7s to high 8s consistently, but never tested positive. 
I also remember being told you're at risk of ketones with the absence of insulin. For example, if you spent a day at a water park and had your pump off, you can still get ketones even if your sugars are normal.
So I guess I'm confused about the whole thing. I'm curious why I never have tested positive for them, even when I've had many times with very high sugars and prolonged highs. And I'm curious why/how you can get them in other instances when your sugar is not that high, but just without insulin. I concede that I've probably had them before and just not tested for them, but I am just confused on the whole concept then. Also, can they be treated at home by correcting with insulin? For example, I've been annoyingly high for the past 24 hours but I finally normalized. Just wondering why being 250+ for so long didn't lead to anything.
Thanks for the help! I know this is a lot of text, but I just don't quite understand it all.</t>
        </is>
      </c>
      <c r="D9345" t="n">
        <v>1</v>
      </c>
      <c r="E9345" t="n">
        <v>4</v>
      </c>
      <c r="F9345">
        <f>HYPERLINK("https://www.reddit.com/r/diabetes/comments/gja2js/confused_about_ketones_and_dka_is_it_common/")</f>
        <v/>
      </c>
      <c r="G9345" t="inlineStr">
        <is>
          <t>2020-05-13 16:06:12</t>
        </is>
      </c>
      <c r="H9345" t="inlineStr">
        <is>
          <t>Type 1</t>
        </is>
      </c>
    </row>
    <row r="9346">
      <c r="A9346" t="inlineStr">
        <is>
          <t>gjbeiy</t>
        </is>
      </c>
      <c r="B9346" t="inlineStr">
        <is>
          <t>Is 6.1 a good HBA1C?</t>
        </is>
      </c>
      <c r="C9346" t="inlineStr">
        <is>
          <t>Just wondering I have had this horrible disease for around 8 months, and my doctors are saying I’m no longer in the honey moon phase.</t>
        </is>
      </c>
      <c r="D9346" t="n">
        <v>1</v>
      </c>
      <c r="E9346" t="n">
        <v>11</v>
      </c>
      <c r="F9346">
        <f>HYPERLINK("https://www.reddit.com/r/diabetes/comments/gjbeiy/is_61_a_good_hba1c/")</f>
        <v/>
      </c>
      <c r="G9346" t="inlineStr">
        <is>
          <t>2020-05-13 17:21:03</t>
        </is>
      </c>
      <c r="H9346" t="inlineStr">
        <is>
          <t>Type 1</t>
        </is>
      </c>
    </row>
    <row r="9347">
      <c r="A9347" t="inlineStr">
        <is>
          <t>gje0hc</t>
        </is>
      </c>
      <c r="B9347" t="inlineStr">
        <is>
          <t>Fairly new diabetic looking for awesome no/low-carb diabetic deserts &amp;amp; snacks</t>
        </is>
      </c>
      <c r="C9347" t="inlineStr">
        <is>
          <t>m/22 and was diagnosed with type 1 the week of my birthday in august of late last year. Ever since i have been looking for and finding some good stuff to snack on that wont completely destroy my bgs (really generic stuff such as lunchmeat and cheese), but i have found it very difficult to find anything else. Im really looking for something that will hit the spot or a super bangin low-carb desert. If ya’ll could help me out and post some recipes or snacks you guys like it would be much appriciated. Im not too picky, just dont like fish. Thanks!
TL;DR Post some no/low-carb recipes or snacks pls!</t>
        </is>
      </c>
      <c r="D9347" t="n">
        <v>1</v>
      </c>
      <c r="E9347" t="n">
        <v>13</v>
      </c>
      <c r="F9347">
        <f>HYPERLINK("https://www.reddit.com/r/diabetes/comments/gje0hc/fairly_new_diabetic_looking_for_awesome_nolowcarb/")</f>
        <v/>
      </c>
      <c r="G9347" t="inlineStr">
        <is>
          <t>2020-05-13 20:02:14</t>
        </is>
      </c>
      <c r="H9347" t="inlineStr">
        <is>
          <t>Type 1</t>
        </is>
      </c>
    </row>
    <row r="9348">
      <c r="A9348" t="inlineStr">
        <is>
          <t>gjet1b</t>
        </is>
      </c>
      <c r="B9348" t="inlineStr">
        <is>
          <t>I don’t fear my blood sugars. I know I should. But I just don’t.</t>
        </is>
      </c>
      <c r="C9348" t="inlineStr">
        <is>
          <t>Misdiagnosed as a Type 2 diabetic at age 17. I was devastated, I was a chunky fella so I see why they thought that. I went from 225lbs to 148lbs over the course of 9 months. Fasting glucose was in the 500’s when it was caught. Was on metformin for almost a year. Eating even a sandwich would raise my sugars to the unspeakable. My doctor just said it was really bad insulin resistance. Endo diagnosed me on the spot with T1 when I met with him. I’ve had a very hard life. I raised my sibling from age 10-16 when we had NOTHING. I lived in an abusive household. Mother suffers from mental illness. Diabetes rocked my world, I was in thought loops non stop daily about it for months on end. Recently I’ve realized I cannot feel low blood sugars. Don’t know how long it’s been since I couldn’t feel them (didn’t check blood often) so I got a Dexcom. I can be down in the 30’s and feel nothing. I don’t fear these numbers. I can’t help it but I find comfort in letting my numbers be dangerous. I let my blood sugars run high, I leave them low and don’t eat until I literally pass out and wake up. I don’t know why but I don’t feel bothered when my numbers are bad. I haven’t seen a good number in months. I only see 200+ or &amp;lt;60. I just feel better if I don’t correct. I know I’m rotting away. But I can’t help it</t>
        </is>
      </c>
      <c r="D9348" t="n">
        <v>1</v>
      </c>
      <c r="E9348" t="n">
        <v>2</v>
      </c>
      <c r="F9348">
        <f>HYPERLINK("https://www.reddit.com/r/diabetes/comments/gjet1b/i_dont_fear_my_blood_sugars_i_know_i_should_but_i/")</f>
        <v/>
      </c>
      <c r="G9348" t="inlineStr">
        <is>
          <t>2020-05-13 20:55:30</t>
        </is>
      </c>
      <c r="H9348" t="inlineStr">
        <is>
          <t>Type 1</t>
        </is>
      </c>
    </row>
    <row r="9349">
      <c r="A9349" t="inlineStr">
        <is>
          <t>gjgw9g</t>
        </is>
      </c>
      <c r="B9349" t="inlineStr">
        <is>
          <t>3D printed coupler to attach Omnipod syringes to insulin vials</t>
        </is>
      </c>
      <c r="C9349" t="inlineStr">
        <is>
          <t>Sharing a thing I made to attach Omnipod syringes to insulin vials -- Metronic reservoir style -- in case anyone else is looking to fix this grievous first world problem: [https://www.thingiverse.com/thing:4362416](https://www.thingiverse.com/thing:4362416) 
&amp;amp;#x200B;
https://preview.redd.it/0rwardvgdoy41.jpg?width=340&amp;amp;format=pjpg&amp;amp;auto=webp&amp;amp;s=32a607621937ea88999098527ed13df2b6dd3a3c</t>
        </is>
      </c>
      <c r="D9349" t="n">
        <v>1</v>
      </c>
      <c r="E9349" t="n">
        <v>15</v>
      </c>
      <c r="F9349">
        <f>HYPERLINK("https://www.reddit.com/r/diabetes/comments/gjgw9g/3d_printed_coupler_to_attach_omnipod_syringes_to/")</f>
        <v/>
      </c>
      <c r="G9349" t="inlineStr">
        <is>
          <t>2020-05-13 23:33:48</t>
        </is>
      </c>
      <c r="H9349" t="inlineStr">
        <is>
          <t>Type 1</t>
        </is>
      </c>
    </row>
    <row r="9350">
      <c r="A9350" t="inlineStr">
        <is>
          <t>gjkcvq</t>
        </is>
      </c>
      <c r="B9350" t="inlineStr">
        <is>
          <t>A1C down!!</t>
        </is>
      </c>
      <c r="C9350" t="inlineStr">
        <is>
          <t>Just got my results back and my A1C is 6.6 :) I was just diagnosed in November (via a hospital visit with DKA) and it was 13 then so I'm really happy with this.</t>
        </is>
      </c>
      <c r="D9350" t="n">
        <v>1</v>
      </c>
      <c r="E9350" t="n">
        <v>15</v>
      </c>
      <c r="F9350">
        <f>HYPERLINK("https://www.reddit.com/r/diabetes/comments/gjkcvq/a1c_down/")</f>
        <v/>
      </c>
      <c r="G9350" t="inlineStr">
        <is>
          <t>2020-05-14 04:13:34</t>
        </is>
      </c>
      <c r="H9350" t="inlineStr">
        <is>
          <t>Type 1</t>
        </is>
      </c>
    </row>
    <row r="9351">
      <c r="A9351" t="inlineStr">
        <is>
          <t>gjl5xm</t>
        </is>
      </c>
      <c r="B9351" t="inlineStr">
        <is>
          <t>Dexcom lowers A1C?</t>
        </is>
      </c>
      <c r="C9351" t="inlineStr">
        <is>
          <t>I'm kinda at a loss at how to lower my A1C at this point. I'm not able to stick to diets or exercise routines, and I'm suffering for it. I see, however, claims that Dexcom systems help lower the A1C? How exactly do they help? I'm not expecting miracles or anything, but if it'll help me in any way, I'd try it. I just wanna be sure it's worth the price.</t>
        </is>
      </c>
      <c r="D9351" t="n">
        <v>1</v>
      </c>
      <c r="E9351" t="n">
        <v>14</v>
      </c>
      <c r="F9351">
        <f>HYPERLINK("https://www.reddit.com/r/diabetes/comments/gjl5xm/dexcom_lowers_a1c/")</f>
        <v/>
      </c>
      <c r="G9351" t="inlineStr">
        <is>
          <t>2020-05-14 05:12:28</t>
        </is>
      </c>
      <c r="H9351" t="inlineStr">
        <is>
          <t>Type 2</t>
        </is>
      </c>
    </row>
    <row r="9352">
      <c r="A9352" t="inlineStr">
        <is>
          <t>gjpbd5</t>
        </is>
      </c>
      <c r="B9352" t="inlineStr">
        <is>
          <t>First HBa1c after diagnosis - 6.5</t>
        </is>
      </c>
      <c r="C9352" t="inlineStr">
        <is>
          <t>Hey there! 
I was diagnosed in March, and got my first appointment today. As said, my HBa1c was 6.5, and according to my CGM I had a mean value of 136 with a standard derivativion of 40, and 80% in range (70 - 180 mg/dl).
Just wanted to share that with you. Stay healthy (at least as healthy as you can be), and stay as amazing as you are!</t>
        </is>
      </c>
      <c r="D9352" t="n">
        <v>1</v>
      </c>
      <c r="E9352" t="n">
        <v>2</v>
      </c>
      <c r="F9352">
        <f>HYPERLINK("https://www.reddit.com/r/diabetes/comments/gjpbd5/first_hba1c_after_diagnosis_65/")</f>
        <v/>
      </c>
      <c r="G9352" t="inlineStr">
        <is>
          <t>2020-05-14 09:10:28</t>
        </is>
      </c>
      <c r="H9352" t="inlineStr">
        <is>
          <t>Type 1</t>
        </is>
      </c>
    </row>
    <row r="9353">
      <c r="A9353" t="inlineStr">
        <is>
          <t>gjq429</t>
        </is>
      </c>
      <c r="B9353" t="inlineStr">
        <is>
          <t>Plan of Action for being Hyper</t>
        </is>
      </c>
      <c r="C9353" t="inlineStr">
        <is>
          <t>Hello internet friends. I am a recently diagnosed Type 2 and currently experiencing my first Hyper that I caught with the meter. Apparently 203 makes me feel like utter hell. 
So what are the tips and tricks for bringing this bad boy down so I can stop feeling like roadkill and get back to work? 
I know drinking a ton of water helps, and I'm already doing that. I am currently only "medicating" with diet and exercise.
Any advice appreciated. Thanks!</t>
        </is>
      </c>
      <c r="D9353" t="n">
        <v>1</v>
      </c>
      <c r="E9353" t="n">
        <v>12</v>
      </c>
      <c r="F9353">
        <f>HYPERLINK("https://www.reddit.com/r/diabetes/comments/gjq429/plan_of_action_for_being_hyper/")</f>
        <v/>
      </c>
      <c r="G9353" t="inlineStr">
        <is>
          <t>2020-05-14 09:52:11</t>
        </is>
      </c>
      <c r="H9353" t="inlineStr">
        <is>
          <t>Type 2</t>
        </is>
      </c>
    </row>
    <row r="9354">
      <c r="A9354" t="inlineStr">
        <is>
          <t>gjv4mw</t>
        </is>
      </c>
      <c r="B9354" t="inlineStr">
        <is>
          <t>New T:slim user here--just a couple questions!</t>
        </is>
      </c>
      <c r="C9354" t="inlineStr">
        <is>
          <t>I'm loving the x2 with controlIQ so far. It's my first pump, and I just got a g6 2 months ago. What a wild new world it is. Anyhow, I'm new at it, and only done one site change so far. Here are my questions.
How long does your tubing last? I changed my first site after three days, but I just changed out the site, hooked up the old tube (Did not need to refill the reservoir), and filled the cannula. I know this isn't totally recommended, but here in the real world how long are you using the same tubing?
&amp;amp;#x200B;
Activity mode. I've taken 3 runs between 3-7 miles with the pump so far. I'm starting activity mode further and further in advance, but still going low halfway into the run. Do all you frequent runners just disconnect or 'stop insulin' during endurance training?  
&amp;amp;#x200B;
Any other helpful hints for a new user would be greatly appreciated.</t>
        </is>
      </c>
      <c r="D9354" t="n">
        <v>1</v>
      </c>
      <c r="E9354" t="n">
        <v>1</v>
      </c>
      <c r="F9354">
        <f>HYPERLINK("https://www.reddit.com/r/diabetes/comments/gjv4mw/new_tslim_user_herejust_a_couple_questions/")</f>
        <v/>
      </c>
      <c r="G9354" t="inlineStr">
        <is>
          <t>2020-05-14 14:08:36</t>
        </is>
      </c>
      <c r="H9354" t="inlineStr">
        <is>
          <t>Type 1</t>
        </is>
      </c>
    </row>
    <row r="9355">
      <c r="A9355" t="inlineStr">
        <is>
          <t>gjw2ha</t>
        </is>
      </c>
      <c r="B9355" t="inlineStr">
        <is>
          <t>About symptoms</t>
        </is>
      </c>
      <c r="C9355" t="inlineStr">
        <is>
          <t>I have been testing for years and there's one really discouraging thing about seeing the numbers and comparing to how I feel.
I feel good, normal, energetic, ready to exercise, in a good mood etc... - above 250.
Less than that and I feel the way people describe being low.  Irritable, lightheaded, nauseous everything.  I don't really notice being high ever.
So I am faced with the choice it seems - live feeling perpetually pathetic and weak at a healthy number, or feel like myself and be told I'm going to die.
Honestly the first options not much of a life, more like "continued existence".
No matter how many times I describe this to doctors, I just get the boilerplate "You'll feel much better when we get this down." - I've had it down, for long stretches and can say that that is factually untrue.
Is there anyone who will take this seriously and actually communicate as if they can hear the words I'm saying?</t>
        </is>
      </c>
      <c r="D9355" t="n">
        <v>1</v>
      </c>
      <c r="E9355" t="n">
        <v>9</v>
      </c>
      <c r="F9355">
        <f>HYPERLINK("https://www.reddit.com/r/diabetes/comments/gjw2ha/about_symptoms/")</f>
        <v/>
      </c>
      <c r="G9355" t="inlineStr">
        <is>
          <t>2020-05-14 14:58:38</t>
        </is>
      </c>
      <c r="H9355" t="inlineStr">
        <is>
          <t>Type 2</t>
        </is>
      </c>
    </row>
    <row r="9356">
      <c r="A9356" t="inlineStr">
        <is>
          <t>gjxii3</t>
        </is>
      </c>
      <c r="B9356" t="inlineStr">
        <is>
          <t>Silent Retinopathy?</t>
        </is>
      </c>
      <c r="C9356" t="inlineStr">
        <is>
          <t>T2 for 11+ yrs, was put on insulin immediately after diagnosis.
Checked for retinopathy every 6-12 months.  Results are always perfect.  A1c avg 6.4 for last 3yrs, only eat once per day.
Daily freestyle Libre graph shows short spike up to 200 for up to 90 minutes with rest of day in the 60-120 range.
Rapid vision loss over the last year.  Doctors have no idea why.  One is suggesting silent retinapthy...e.g. Healthy eye photo but retinopathy dmg inside undetected.
I'm skeptical, but what do I know?</t>
        </is>
      </c>
      <c r="D9356" t="n">
        <v>1</v>
      </c>
      <c r="E9356" t="n">
        <v>10</v>
      </c>
      <c r="F9356">
        <f>HYPERLINK("https://www.reddit.com/r/diabetes/comments/gjxii3/silent_retinopathy/")</f>
        <v/>
      </c>
      <c r="G9356" t="inlineStr">
        <is>
          <t>2020-05-14 16:17:42</t>
        </is>
      </c>
      <c r="H9356" t="inlineStr">
        <is>
          <t>Type 2</t>
        </is>
      </c>
    </row>
    <row r="9357">
      <c r="A9357" t="inlineStr">
        <is>
          <t>gjxokn</t>
        </is>
      </c>
      <c r="B9357" t="inlineStr">
        <is>
          <t>Humalog doesn’t seem to be working.</t>
        </is>
      </c>
      <c r="C9357" t="inlineStr">
        <is>
          <t>I dosed for lunch. Ended up at 519. I dosed again after checking my blood and it was at 379, but that was 2 hours later. I’m starting to wonder if humalog even works on me anymore.</t>
        </is>
      </c>
      <c r="D9357" t="n">
        <v>1</v>
      </c>
      <c r="E9357" t="n">
        <v>3</v>
      </c>
      <c r="F9357">
        <f>HYPERLINK("https://www.reddit.com/r/diabetes/comments/gjxokn/humalog_doesnt_seem_to_be_working/")</f>
        <v/>
      </c>
      <c r="G9357" t="inlineStr">
        <is>
          <t>2020-05-14 16:27:02</t>
        </is>
      </c>
      <c r="H9357" t="inlineStr">
        <is>
          <t>Type 1.5/LADA</t>
        </is>
      </c>
    </row>
    <row r="9358">
      <c r="A9358" t="inlineStr">
        <is>
          <t>gjysy4</t>
        </is>
      </c>
      <c r="B9358" t="inlineStr">
        <is>
          <t>I have only just found out about the omnipod and I really want it now</t>
        </is>
      </c>
      <c r="C9358" t="inlineStr">
        <is>
          <t>Despite having a CGM and already managing this disease pretty darn well, there is still one thing I always hate. Giving injections in public, I can’t stand it in school I would always go to the toilets and do it. 
When lockdown is over my friends are going to be going out a lot and there will probably be a few party’s, the thought of having to inject myself in front of everyone was horrible but here’s the thing, I would rather that then have a fucking needle in me constantly. I just hated the look off a insulin pump and thought that would look even stranger on me. 
I have only just found out the omnipod is a tubeless pump and you bet you’re ass I’m getting it. I will bring it up with the doctors next time I’m at the hospital I live in the UK (thank fuck) so I should be able to get it free on the nhs. They have mentioned the word omnipod to me before I believe I just assumed it was one of them pumps with tubes so I always refused. Live is actually looking positive now. Anyone who has one is it good?</t>
        </is>
      </c>
      <c r="D9358" t="n">
        <v>1</v>
      </c>
      <c r="E9358" t="n">
        <v>0</v>
      </c>
      <c r="F9358">
        <f>HYPERLINK("https://www.reddit.com/r/diabetes/comments/gjysy4/i_have_only_just_found_out_about_the_omnipod_and/")</f>
        <v/>
      </c>
      <c r="G9358" t="inlineStr">
        <is>
          <t>2020-05-14 17:30:03</t>
        </is>
      </c>
      <c r="H9358" t="inlineStr">
        <is>
          <t>Type 1</t>
        </is>
      </c>
    </row>
    <row r="9359">
      <c r="A9359" t="inlineStr">
        <is>
          <t>gjzfaw</t>
        </is>
      </c>
      <c r="B9359" t="inlineStr">
        <is>
          <t>Can you dose from an app with omnipod?</t>
        </is>
      </c>
      <c r="C9359" t="inlineStr">
        <is>
          <t>That is my question.</t>
        </is>
      </c>
      <c r="D9359" t="n">
        <v>1</v>
      </c>
      <c r="E9359" t="n">
        <v>0</v>
      </c>
      <c r="F9359">
        <f>HYPERLINK("https://www.reddit.com/r/diabetes/comments/gjzfaw/can_you_dose_from_an_app_with_omnipod/")</f>
        <v/>
      </c>
      <c r="G9359" t="inlineStr">
        <is>
          <t>2020-05-14 18:07:17</t>
        </is>
      </c>
      <c r="H9359" t="inlineStr">
        <is>
          <t>Type 1</t>
        </is>
      </c>
    </row>
    <row r="9360">
      <c r="A9360" t="inlineStr">
        <is>
          <t>gjzicq</t>
        </is>
      </c>
      <c r="B9360" t="inlineStr">
        <is>
          <t>Are there any pumps where you can bolus from a app?</t>
        </is>
      </c>
      <c r="C9360" t="inlineStr">
        <is>
          <t>That is my question</t>
        </is>
      </c>
      <c r="D9360" t="n">
        <v>1</v>
      </c>
      <c r="E9360" t="n">
        <v>5</v>
      </c>
      <c r="F9360">
        <f>HYPERLINK("https://www.reddit.com/r/diabetes/comments/gjzicq/are_there_any_pumps_where_you_can_bolus_from_a_app/")</f>
        <v/>
      </c>
      <c r="G9360" t="inlineStr">
        <is>
          <t>2020-05-14 18:12:28</t>
        </is>
      </c>
      <c r="H9360" t="inlineStr">
        <is>
          <t>Type 1</t>
        </is>
      </c>
    </row>
    <row r="9361">
      <c r="A9361" t="inlineStr">
        <is>
          <t>gk1ixm</t>
        </is>
      </c>
      <c r="B9361" t="inlineStr">
        <is>
          <t>Recently diagnosed 40-year old type 1, skin burns at most times.</t>
        </is>
      </c>
      <c r="C9361" t="inlineStr">
        <is>
          <t>Hi all, been lurking on here for a few months and I've gotten a ton of knowledge from everyone sharing.  Being recently diagnosed I've been drinking from the firehose trying to learn about the disease.
When diagnosed I had a blood sugar of 400 with an a1c of 14.something.  I felt quite bad.  I was put on basaglar and within two weeks I was within normal range and have been since with a couple of hiccups.  I haven't gotten a new a1c test because pandemics are neat, but the doctor estimates in the 5's or 6's when she looked at my readings from my glucose monitor.
A couple of weeks after I was diagnosed and got my blood sugar under control began a problem that is affecting my quality of life to an extent.  At all times but to a varying degree either completely at random or to a pattern that I can't figure out yet, my skin all over my body with exception of my head and genitals either feels like it is burning or is just very sensitive.  The closest that I can describe it is a sunburn.  Sometimes it's a more fresh sunburn that burns, or a sunburn when it is closer to being healed, and is just very sensitive.  Clothing that moves across the skin is painful.  When nothing is touching the skin it usually at least hurts a bit but sometimes is very painful.
I am up to taking about 3000mg of gabapentin.  I tried duluxetine but it turned me into a zombie so I'm off of it.  I just started Amitriptyline tonight.  The only thing that offers any relief is Aveeno skin lotion.  I don't know why but it helps with the burning for a few hours when I slather it on.
 This is neuropathy I'm thinking, but why did it start only after I got my blood sugar down?  Has anyone heard of this before?  It hurts all over my body almost all of the time.  I'm to the point where I'm trained to expect pain whenever I move and I have to will myself to do things.  I think about it constantly.
Thanks for any kind of advice that anyone can give.</t>
        </is>
      </c>
      <c r="D9361" t="n">
        <v>1</v>
      </c>
      <c r="E9361" t="n">
        <v>0</v>
      </c>
      <c r="F9361">
        <f>HYPERLINK("https://www.reddit.com/r/diabetes/comments/gk1ixm/recently_diagnosed_40year_old_type_1_skin_burns/")</f>
        <v/>
      </c>
      <c r="G9361" t="inlineStr">
        <is>
          <t>2020-05-14 20:25:17</t>
        </is>
      </c>
      <c r="H9361" t="inlineStr">
        <is>
          <t>Type 1.5/LADA</t>
        </is>
      </c>
    </row>
    <row r="9362">
      <c r="A9362" t="inlineStr">
        <is>
          <t>gk1jmt</t>
        </is>
      </c>
      <c r="B9362" t="inlineStr">
        <is>
          <t>Newly diagnosed. Type 1.5. Insanely scared.</t>
        </is>
      </c>
      <c r="C9362" t="inlineStr">
        <is>
          <t>I feel so lost. I went in because I was having sudden reoccurring yeast infections after never having them before. After the seventh one this year I got called in for a blood test and it came back that I was diabetic. The doctor said I’m type 1.5. It’s all very confusing to me. The first day of testing my blood was an absolute mess. I’m so tired, I’m so scared. I feel so blindsided and I’m not sure what to do or where to start. I’m on Metformin and it makes me feel terrible. I don’t even know what I need. I guess just tips and support. I feel so sad.</t>
        </is>
      </c>
      <c r="D9362" t="n">
        <v>1</v>
      </c>
      <c r="E9362" t="n">
        <v>13</v>
      </c>
      <c r="F9362">
        <f>HYPERLINK("https://www.reddit.com/r/diabetes/comments/gk1jmt/newly_diagnosed_type_15_insanely_scared/")</f>
        <v/>
      </c>
      <c r="G9362" t="inlineStr">
        <is>
          <t>2020-05-14 20:26:38</t>
        </is>
      </c>
      <c r="H9362" t="inlineStr">
        <is>
          <t>Type 1.5/LADA</t>
        </is>
      </c>
    </row>
    <row r="9363">
      <c r="A9363" t="inlineStr">
        <is>
          <t>gk1zyb</t>
        </is>
      </c>
      <c r="B9363" t="inlineStr">
        <is>
          <t>Bad batch of Omnipods?</t>
        </is>
      </c>
      <c r="C9363" t="inlineStr">
        <is>
          <t>I know these things happen sometimes but I’ve used 3 separate boxes of Omnipods now where each expire a little after a day of use with just a pod error message. Another pod I had after filling it with insulin did not end up beeping and could not be started. Lately sugars have been running A LOT higher (&amp;gt;100) than normal in which I will give up to 30 units to bring it back down in which a normal bolus of 3 units give or take would correct my sugar. I change pod sites every time and I’ve had no dietary or physical activity changes and my last a1c was a 6.8. 
I’m not sure if I’m going crazy, if I got super unlucky with my pods, or if anyone else is having problems like me right now.</t>
        </is>
      </c>
      <c r="D9363" t="n">
        <v>1</v>
      </c>
      <c r="E9363" t="n">
        <v>1</v>
      </c>
      <c r="F9363">
        <f>HYPERLINK("https://www.reddit.com/r/diabetes/comments/gk1zyb/bad_batch_of_omnipods/")</f>
        <v/>
      </c>
      <c r="G9363" t="inlineStr">
        <is>
          <t>2020-05-14 20:59:09</t>
        </is>
      </c>
      <c r="H9363" t="inlineStr">
        <is>
          <t>Type 1</t>
        </is>
      </c>
    </row>
    <row r="9364">
      <c r="A9364" t="inlineStr">
        <is>
          <t>gk3dpk</t>
        </is>
      </c>
      <c r="B9364" t="inlineStr">
        <is>
          <t>Freestyle Libre Help!</t>
        </is>
      </c>
      <c r="C9364" t="inlineStr">
        <is>
          <t>How do I change the range of glucose range because the high range is only 180. I want to change it, please help</t>
        </is>
      </c>
      <c r="D9364" t="n">
        <v>1</v>
      </c>
      <c r="E9364" t="n">
        <v>11</v>
      </c>
      <c r="F9364">
        <f>HYPERLINK("https://www.reddit.com/r/diabetes/comments/gk3dpk/freestyle_libre_help/")</f>
        <v/>
      </c>
      <c r="G9364" t="inlineStr">
        <is>
          <t>2020-05-14 22:46:16</t>
        </is>
      </c>
      <c r="H9364" t="inlineStr">
        <is>
          <t>Type 2</t>
        </is>
      </c>
    </row>
    <row r="9365">
      <c r="A9365" t="inlineStr">
        <is>
          <t>gk43b3</t>
        </is>
      </c>
      <c r="B9365" t="inlineStr">
        <is>
          <t>Diabetes and Living Alone</t>
        </is>
      </c>
      <c r="C9365" t="inlineStr">
        <is>
          <t>My boyfriend (B) is type 1. He has the dexcom constant glucose monitor which relays his number to my phone, his mom, dad, etc. B luckily still lived at his parents as he struggles with night time lows (he just dropped low, which prompted me writing this). Even though he has the monitor which sets out an alarm when he’s low he sleeps through it more often than not. Luckily I’m usually awake late to see the notification on my phone to try to call him to wake him to drink juice. But sometimes, like tonight, he doesn’t hear his phone ring either and this doesn’t wake up. 
Often times I have to call his mother or father to wake up and give home juice if I am unable to do so, like I did tonight. There has also been instances where If his mom or dad are not at their houses (they are separated) and B is low and I can’t wake him up. I need to drive over super late at night and get into the house to give him juice. Luckily I only live 5 minutes away from his dad and 10 away from his mom.
I worry about him living on his own, as he wants to move out within the next year or so. If he moves to far away (I’m still in college, and won’t be able to go with him until I finish), I worry that he won’t be able to live alone as he doesn’t wake up to low alarms and such on his own and I won’t be close enough to drive to him like I am now. 
Do you guys have any tips, comments, or words of advice for this? I’d really appreciate it</t>
        </is>
      </c>
      <c r="D9365" t="n">
        <v>1</v>
      </c>
      <c r="E9365" t="n">
        <v>8</v>
      </c>
      <c r="F9365">
        <f>HYPERLINK("https://www.reddit.com/r/diabetes/comments/gk43b3/diabetes_and_living_alone/")</f>
        <v/>
      </c>
      <c r="G9365" t="inlineStr">
        <is>
          <t>2020-05-14 23:45:25</t>
        </is>
      </c>
      <c r="H9365" t="inlineStr">
        <is>
          <t>Type 1</t>
        </is>
      </c>
    </row>
    <row r="9366">
      <c r="A9366" t="inlineStr">
        <is>
          <t>gk4tqv</t>
        </is>
      </c>
      <c r="B9366" t="inlineStr">
        <is>
          <t>Good resources for diabetes-friendly recipes?</t>
        </is>
      </c>
      <c r="C9366" t="inlineStr">
        <is>
          <t>Hi guys, my sister (32) was just recently diagnosed with diabetes Type 2. She was healthy and not showing any symptoms but during a health check up last year, the doctors were concerned with the amount of protein in her urine and after some checks she was diagnosed with metabolic syndrome. She now exercises a couple times a week and focuses on eating healthy - no processed foods, mostly a lot of vegetables, some lean proteins and very little carbs, mostly from vegetables.
We've always been a family that enjoys food. I know how hard this diagnosis has been on my sister but she's dealing with it like a champ. This weekend I baked a brownie cake for my dad's bday without even thinking about it and I felt terrible when I realized that she couldn't have any. I'm used to cooking healthy, low calories, or low fat things for myself but thinking about GI or low carb stuff/stevia doesn't come naturally to me.
Can someone recommend me some good and delicious diabetes-friendly websites/cookbooks you guys use? I'd love to be able to cook food for her that she enjoys and I'm sure my whole family would benefit from eating healthier.</t>
        </is>
      </c>
      <c r="D9366" t="n">
        <v>1</v>
      </c>
      <c r="E9366" t="n">
        <v>4</v>
      </c>
      <c r="F9366">
        <f>HYPERLINK("https://www.reddit.com/r/diabetes/comments/gk4tqv/good_resources_for_diabetesfriendly_recipes/")</f>
        <v/>
      </c>
      <c r="G9366" t="inlineStr">
        <is>
          <t>2020-05-15 00:48:35</t>
        </is>
      </c>
      <c r="H9366" t="inlineStr">
        <is>
          <t>Type 2</t>
        </is>
      </c>
    </row>
    <row r="9367">
      <c r="A9367" t="inlineStr">
        <is>
          <t>gk97r1</t>
        </is>
      </c>
      <c r="B9367" t="inlineStr">
        <is>
          <t>Is high blood sugar somewhat related to periods?</t>
        </is>
      </c>
      <c r="C9367" t="inlineStr">
        <is>
          <t>Hi, English is not my first language, go easy on me please.
I’ve been diagnosed with Type 1 Diabetes almost year ago (end of May) and I was 13 at the time. My blood sugar was about 22 mmol before eating anything. When I somehow got it under control, in November, I had my first period and I was fine from then on. But when lockdown was issued, I lost my period. I had higher blood sugar for two months, and through this time, I didn’t get my period. Now I talked to my doctor to help me get my blood sugar back under control, luckily we were succesful. And my period is back again. My mum thinks, and insists, that my period was somehow "blocked" by high sugar, then and now. Do you know something like this could happen?
God, was it embarassing to write this.</t>
        </is>
      </c>
      <c r="D9367" t="n">
        <v>1</v>
      </c>
      <c r="E9367" t="n">
        <v>5</v>
      </c>
      <c r="F9367">
        <f>HYPERLINK("https://www.reddit.com/r/diabetes/comments/gk97r1/is_high_blood_sugar_somewhat_related_to_periods/")</f>
        <v/>
      </c>
      <c r="G9367" t="inlineStr">
        <is>
          <t>2020-05-15 06:35:00</t>
        </is>
      </c>
      <c r="H9367" t="inlineStr">
        <is>
          <t>Type 1</t>
        </is>
      </c>
    </row>
    <row r="9368">
      <c r="A9368" t="inlineStr">
        <is>
          <t>gk9a2u</t>
        </is>
      </c>
      <c r="B9368" t="inlineStr">
        <is>
          <t>University Research - Diabetes Management</t>
        </is>
      </c>
      <c r="C9368" t="inlineStr">
        <is>
          <t>Hi All!
I'm Jake - I'm from Falmouth, Cornwall, UK, and I am currently studying for my degree at the University here. With my classmate, George, we're looking into how Type 1 diabetes is managed - and specifically apps that are used. On top of our personal experience of having T1D, we've been chatting to as many Type 1 diabetics as possible, to gain as much real-life perspective as we can.
I’ve made a Google Form survey that I’m hoping we could get some of you to fill in: 
[https://forms.gle/4WJESKMxTJWVgSw4A](https://forms.gle/4WJESKMxTJWVgSw4A)
If you are interested, you can drop me a dm, reply to this post or join our Facebook page here -&amp;gt;
**As per the rules, a brief summary:** 
Info - we're looking at how diabetes is currently managed so that hopefully, we can work on improving these ways! 
Time - it's super short and sweet - it will take no longer than 5 minutes, it's about 14 questions, almost all of which are Yes / No. 
Remuneration - none, unfortunately, we don't get any funding or anything - we're just university students! 
Main focus - T1D 
Contact - listed on the survey, but you can also DM me directly :-) 
&amp;amp;#x200B;
(I hope this is okay to post admins, let me know if it isn't :-) )</t>
        </is>
      </c>
      <c r="D9368" t="n">
        <v>1</v>
      </c>
      <c r="E9368" t="n">
        <v>3</v>
      </c>
      <c r="F9368">
        <f>HYPERLINK("https://www.reddit.com/r/diabetes/comments/gk9a2u/university_research_diabetes_management/")</f>
        <v/>
      </c>
      <c r="G9368" t="inlineStr">
        <is>
          <t>2020-05-15 06:39:07</t>
        </is>
      </c>
      <c r="H9368" t="inlineStr">
        <is>
          <t>Type 1</t>
        </is>
      </c>
    </row>
    <row r="9369">
      <c r="A9369" t="inlineStr">
        <is>
          <t>gk9q99</t>
        </is>
      </c>
      <c r="B9369" t="inlineStr">
        <is>
          <t>For those type 1s who have Kaiser insurance</t>
        </is>
      </c>
      <c r="C9369" t="inlineStr">
        <is>
          <t>Fellow Type 1s, My insurance with Kaiser kicked in officially today and I just got off the phone with a pharmacist at Kaiser and wow, I’m extremely disappointed to say the least. I guess I really didn’t realize how great my last plan was with my last job was. 
First I was told they don’t cover any Pens but only Vials- is this true?
Secondly, she said they only cover one meter and it’s the one touch verio(idk if I spelled that correctly) 
And lastly They only cover Humalog and Lantus at the moment. 
I’ve been MDI for ten years straight so this is frustrating to switch every single medicine/meter/strips to something else. I’m not looking forward to using vials at all. I can deal with a new meter no big deal
So has anyone covered by Kaiser had any luck getting them to cover pens or different meters? 
Thanks</t>
        </is>
      </c>
      <c r="D9369" t="n">
        <v>1</v>
      </c>
      <c r="E9369" t="n">
        <v>7</v>
      </c>
      <c r="F9369">
        <f>HYPERLINK("https://www.reddit.com/r/diabetes/comments/gk9q99/for_those_type_1s_who_have_kaiser_insurance/")</f>
        <v/>
      </c>
      <c r="G9369" t="inlineStr">
        <is>
          <t>2020-05-15 07:06:11</t>
        </is>
      </c>
      <c r="H9369" t="inlineStr">
        <is>
          <t>Type 1</t>
        </is>
      </c>
    </row>
    <row r="9370">
      <c r="A9370" t="inlineStr">
        <is>
          <t>gkadtv</t>
        </is>
      </c>
      <c r="B9370" t="inlineStr">
        <is>
          <t>First A1C with Dexcom G6</t>
        </is>
      </c>
      <c r="C9370" t="inlineStr">
        <is>
          <t>I'm T2, but pushed super hard to get a CGM for myself. I started with the Eversense back in August - and it took 8 months of pushing through insurance and the doctor and Senseonics in order to get it. I had 3 sensors, but then decided to try something else after extreme difficulty getting the last sensor, and the fact that Senseonics seems to biting the dust. So I went with the G6, and I'm actually really liking it. I thought it would be an issue not being able to remove the transmitter, but it really hasn't been. 
One year ago at this time my A1C was 9.1. 
My new result today is 5.7 (last A1C was in February, at 5.9). 
And THAT is why I always talk up CGM to people, even if you're type 2. There is nothing wrong with using available technology to help yourself improve - and I wish insurance wouldn't make things so difficult. In the long run, helping cover a CGM that keeps me in compliance is going to be a lot cheaper then paying for the things that would have occurred if I had stayed on the path I was on. Makes no sense to me.</t>
        </is>
      </c>
      <c r="D9370" t="n">
        <v>4</v>
      </c>
      <c r="E9370" t="n">
        <v>8</v>
      </c>
      <c r="F9370">
        <f>HYPERLINK("https://www.reddit.com/r/diabetes/comments/gkadtv/first_a1c_with_dexcom_g6/")</f>
        <v/>
      </c>
      <c r="G9370" t="inlineStr">
        <is>
          <t>2020-05-15 07:43:56</t>
        </is>
      </c>
      <c r="H9370" t="inlineStr">
        <is>
          <t>Type 2</t>
        </is>
      </c>
    </row>
    <row r="9371">
      <c r="A9371" t="inlineStr">
        <is>
          <t>gkeehb</t>
        </is>
      </c>
      <c r="B9371" t="inlineStr">
        <is>
          <t>C-peptide and antibody testing</t>
        </is>
      </c>
      <c r="C9371" t="inlineStr">
        <is>
          <t>Hello fellow sufferers. I was diagnosed a year and a half ago with type 1 (I’m young, healthy/normal BMI, no family history of either T1 or T2, experienced large amounts of weight loss prior to diagnosis along with the polydipsia, polyuria, exhaustion, etc —&amp;gt; so type 2 was ruled out pretty quickly). 
I’ve been on 3U of long lasting insulin/day since then, with no fast acting (although I only end up taking it about twice a week). A1C at diagnosis was 18, since then it's ranged from 5.5 - 7. About a year ago, I had two GAD65 antibody tests, both came back with elevated levels (second was done for confirmation). I just had a c-peptide done - 1.96nmol/L, with provided reference ranges for non-diabetic patients being between 0.5 - 0.9nmol/L for nondiabetic patients. Does anyone know what to make of this? My doctor's said to enjoy it, but I was wondering if anyone has had similar surprising labs.</t>
        </is>
      </c>
      <c r="D9371" t="n">
        <v>1</v>
      </c>
      <c r="E9371" t="n">
        <v>2</v>
      </c>
      <c r="F9371">
        <f>HYPERLINK("https://www.reddit.com/r/diabetes/comments/gkeehb/cpeptide_and_antibody_testing/")</f>
        <v/>
      </c>
      <c r="G9371" t="inlineStr">
        <is>
          <t>2020-05-15 11:17:08</t>
        </is>
      </c>
      <c r="H9371" t="inlineStr">
        <is>
          <t>Type 1</t>
        </is>
      </c>
    </row>
    <row r="9372">
      <c r="A9372" t="inlineStr">
        <is>
          <t>gkhx5q</t>
        </is>
      </c>
      <c r="B9372" t="inlineStr">
        <is>
          <t>Last week I had a seizure due to a severe low blood sugar.</t>
        </is>
      </c>
      <c r="C9372" t="inlineStr">
        <is>
          <t>Last Friday started off normally enough. I've gotten used to working from home, and my fiancee and I have managed to stay out of each other's way and off of each other's nerves despite each having about 10 meetings a day each. One of our dogs, Murphy, had his surgery to get fixed on Wednesday, so rather than trusting the other dog, Moose, to leave him alone, we took Moose out to my parents' to spend the week. They have about an acre of land, and enough time in the day to play fetch endlessly, so I don't think Moose was complaining too much.
Friday evening rolls around and we decided to pick up some Mexican food near my parents, have an impromptu "picnic" in the back yard with adequate social distance, and head home with Moose. Half a veggie quesadilla and a subpar margarita later, we headed home. We dropped Moose off at home, drove over to Target to grab some essentials (banana pudding ingredients), and then went back home for the evening. We put the dogs in their kennels and got in bed at about 11:30, and that's the last thing I remember until about 3:30 am, Saturday morning.
Apparently I woke my fiancee up at about 12:45 with full blown, eyes in the back of the head, hands and feet curled up, unresponsive seizure. She called 911 and paramedics and the fire department showed up about 8 minutes later. She said it felt like they took about 2 hours to get there. I had a blood sugar of 28 mg/dL and was quickly given dextrose intravenously to stabilize. I couldn't answer simple questions like the year, who the president is, or even my own name. I was taken to the local ER, where my blood sugar dipped again to 48 mg/dL, before remaining stable around 3:30 am. Because my blood sugar was staying stable and my heart rate had gone back to normal, I was discharged.
The rest of the night I felt like a newly diagnosed kid again. I woke up every hour to check my blood sugar. I had a whole pack of juicy juice on the nightstand just in case. It was a rough night for the both of us, but fortunately the worst had passed.
It's been about a week, and nothing really crazy has happened since. My blood sugars are all back to normal and the only lasting effect is still some muscle soreness from the seizure. My fiancee was pretty shaken, but she handled it like a pro. I've been diabetic for about 20 years and we've been together about 3 years, so she's no stranger to diabetes, but this was completely new for both of us. I've never had a severe low blood sugar, and with the exception of an influenza-induced bout of DKA, I've never been to the hospital for diabetes. 
The whole night is hazy, so despite my best efforts, I can't come up with an explanation that makes sense. I ate supper around 5:30, calculated and bolused for a meal that I've eaten hundreds of times before, and took my basal insulin at about 9:00 pm, same as the previous day, month, year...
Diabetes sucks, y'all.</t>
        </is>
      </c>
      <c r="D9372" t="n">
        <v>1</v>
      </c>
      <c r="E9372" t="n">
        <v>5</v>
      </c>
      <c r="F9372">
        <f>HYPERLINK("https://www.reddit.com/r/diabetes/comments/gkhx5q/last_week_i_had_a_seizure_due_to_a_severe_low/")</f>
        <v/>
      </c>
      <c r="G9372" t="inlineStr">
        <is>
          <t>2020-05-15 14:28:30</t>
        </is>
      </c>
      <c r="H9372" t="inlineStr">
        <is>
          <t>Type 1</t>
        </is>
      </c>
    </row>
    <row r="9373">
      <c r="A9373" t="inlineStr">
        <is>
          <t>gkia4p</t>
        </is>
      </c>
      <c r="B9373" t="inlineStr">
        <is>
          <t>Weight loss with Type 1? Any tips from personal experience?</t>
        </is>
      </c>
      <c r="C9373" t="inlineStr">
        <is>
          <t>Hello - I was wondering if anyone has any tips for weight loss with Type 1 Diabetes. I have been struggling a bit to lose weight (I'm about 20 lbs from where I would like to be - I'm 5'8"/175cm at 170lbs/77kg - male). I had a meeting with a diabetes-certified nutritionist and I ended up coming out a bit more frustrated than I did going into the meeting in regards to how to lose weight (the topic itself was not exactly addressed).
In short, I was told was I was under-dosing my insulin... which I agree with and acknowledge. However, from all my years with diabetes (now 25, diagnosed at 4), the understanding I had was that less insulin will usually keep you thinner - however, if not done properly it is obviously not healthy.
What asking is what are other Type 1's experience with weight loss? How do you lose weight with Type 1 while still keeping your numbers in range, and without withholding insulin? How low carb do I need to go?  If anyone is open to chatting about that, that would be super helpful! Thanks! Or if you could refer me to any other forums/blogs/sites that would be helpful too.</t>
        </is>
      </c>
      <c r="D9373" t="n">
        <v>1</v>
      </c>
      <c r="E9373" t="n">
        <v>8</v>
      </c>
      <c r="F9373">
        <f>HYPERLINK("https://www.reddit.com/r/diabetes/comments/gkia4p/weight_loss_with_type_1_any_tips_from_personal/")</f>
        <v/>
      </c>
      <c r="G9373" t="inlineStr">
        <is>
          <t>2020-05-15 14:48:50</t>
        </is>
      </c>
      <c r="H9373" t="inlineStr">
        <is>
          <t>Type 1</t>
        </is>
      </c>
    </row>
    <row r="9374">
      <c r="A9374" t="inlineStr">
        <is>
          <t>gkkaz3</t>
        </is>
      </c>
      <c r="B9374" t="inlineStr">
        <is>
          <t>May be an dumb question but... I am type2 and what should be my glucose level fasting, after meal? Also, should I check 2 hours after meal ? Or 90 minutes ?</t>
        </is>
      </c>
      <c r="C9374" t="inlineStr">
        <is>
          <t>Online search shows different results and I forgot what my doctor told me... I am type 2 diabetic and on meds to control it... Can you please help me what are the standard guidelines for making sure diabetes is under control for both diabetic and non diabetic for fasting and after meal ? Also I didn’t remembered so I need to check glucose after 90 minutes or 2 hours ? I agree it’s very basic but I got confused the more I google...
Edit: my HBA1C is 7.1</t>
        </is>
      </c>
      <c r="D9374" t="n">
        <v>1</v>
      </c>
      <c r="E9374" t="n">
        <v>8</v>
      </c>
      <c r="F9374">
        <f>HYPERLINK("https://www.reddit.com/r/diabetes/comments/gkkaz3/may_be_an_dumb_question_but_i_am_type2_and_what/")</f>
        <v/>
      </c>
      <c r="G9374" t="inlineStr">
        <is>
          <t>2020-05-15 16:46:00</t>
        </is>
      </c>
      <c r="H9374" t="inlineStr">
        <is>
          <t>Type 2</t>
        </is>
      </c>
    </row>
    <row r="9375">
      <c r="A9375" t="inlineStr">
        <is>
          <t>gkkqf6</t>
        </is>
      </c>
      <c r="B9375" t="inlineStr">
        <is>
          <t>White rice and diabetes...</t>
        </is>
      </c>
      <c r="C9375" t="inlineStr">
        <is>
          <t>I am a rice lover... but due to type2 I can’t have it more... how do you guys control your hunger ?</t>
        </is>
      </c>
      <c r="D9375" t="n">
        <v>1</v>
      </c>
      <c r="E9375" t="n">
        <v>27</v>
      </c>
      <c r="F9375">
        <f>HYPERLINK("https://www.reddit.com/r/diabetes/comments/gkkqf6/white_rice_and_diabetes/")</f>
        <v/>
      </c>
      <c r="G9375" t="inlineStr">
        <is>
          <t>2020-05-15 17:11:57</t>
        </is>
      </c>
      <c r="H9375" t="inlineStr">
        <is>
          <t>Type 3</t>
        </is>
      </c>
    </row>
    <row r="9376">
      <c r="A9376" t="inlineStr">
        <is>
          <t>gkks6w</t>
        </is>
      </c>
      <c r="B9376" t="inlineStr">
        <is>
          <t>Freestyle Libre adhesive</t>
        </is>
      </c>
      <c r="C9376" t="inlineStr">
        <is>
          <t>Has anyone had an an allergic reaction to the adhesive from the sensor?</t>
        </is>
      </c>
      <c r="D9376" t="n">
        <v>1</v>
      </c>
      <c r="E9376" t="n">
        <v>8</v>
      </c>
      <c r="F9376">
        <f>HYPERLINK("https://www.reddit.com/r/diabetes/comments/gkks6w/freestyle_libre_adhesive/")</f>
        <v/>
      </c>
      <c r="G9376" t="inlineStr">
        <is>
          <t>2020-05-15 17:15:05</t>
        </is>
      </c>
      <c r="H9376" t="inlineStr">
        <is>
          <t>Type 2</t>
        </is>
      </c>
    </row>
    <row r="9377">
      <c r="A9377" t="inlineStr">
        <is>
          <t>gkl8ry</t>
        </is>
      </c>
      <c r="B9377" t="inlineStr">
        <is>
          <t>If a cure was found, wouldn't we also need a transplant?</t>
        </is>
      </c>
      <c r="C9377" t="inlineStr">
        <is>
          <t>We can't grow those insulin production cells back, right?</t>
        </is>
      </c>
      <c r="D9377" t="n">
        <v>1</v>
      </c>
      <c r="E9377" t="n">
        <v>5</v>
      </c>
      <c r="F9377">
        <f>HYPERLINK("https://www.reddit.com/r/diabetes/comments/gkl8ry/if_a_cure_was_found_wouldnt_we_also_need_a/")</f>
        <v/>
      </c>
      <c r="G9377" t="inlineStr">
        <is>
          <t>2020-05-15 17:43:03</t>
        </is>
      </c>
      <c r="H9377" t="inlineStr">
        <is>
          <t>Type 1</t>
        </is>
      </c>
    </row>
    <row r="9378">
      <c r="A9378" t="inlineStr">
        <is>
          <t>gknwfz</t>
        </is>
      </c>
      <c r="B9378" t="inlineStr">
        <is>
          <t>Diabetics with Covid?</t>
        </is>
      </c>
      <c r="C9378" t="inlineStr">
        <is>
          <t>I'm sure everyone is just as scared as me when it comes to this topic. I'm having a hard time finding information about individual cases of type one diabetics with corona as I search on the internet. It would be comforting to hear from somebody that actually had or has the sickness with diabetes. Has anyone found information about this?</t>
        </is>
      </c>
      <c r="D9378" t="n">
        <v>1</v>
      </c>
      <c r="E9378" t="n">
        <v>3</v>
      </c>
      <c r="F9378">
        <f>HYPERLINK("https://www.reddit.com/r/diabetes/comments/gknwfz/diabetics_with_covid/")</f>
        <v/>
      </c>
      <c r="G9378" t="inlineStr">
        <is>
          <t>2020-05-15 20:40:43</t>
        </is>
      </c>
      <c r="H9378" t="inlineStr">
        <is>
          <t>Type 1</t>
        </is>
      </c>
    </row>
    <row r="9379">
      <c r="A9379" t="inlineStr">
        <is>
          <t>gkot0e</t>
        </is>
      </c>
      <c r="B9379" t="inlineStr">
        <is>
          <t>New here - My Diabetes story (not too long)</t>
        </is>
      </c>
      <c r="C9379" t="inlineStr">
        <is>
          <t>Hey Everyone!
Type 2 diagnosed in 2013. Had a history of it in my family but never knew until I was diagnosed. I am 50 (going on 51 in August) - overweight and was eating all the wrong crap - sugar, sugar, sugar!
When I was diagnosed, my sugar was over 600 and my A1C was 15! - I was admitted and put into the ICU. I had no idea how bad I was even after hearing the word "septic"
I was able to get my sugar down, with insulin and metformin, in one month to around 220 and the A1C was 11. After a second month, I was down to 101-104 and A1C was 5.7 - I got off ALL meds and shots. Have not taken anything since, just changed my eating habits.
I initially lost the big toe on my right foot. I was fighting it \[diabetes\] over the next several years. I lost the left pinkie toe and part of the that side of my foot, in a second surgery in 2016.
In Nov 2017 I went back in because of how bad I was feeling. My sugars were back up and my right foot was killing me. I ended up with a right foot amputation (RBK) on Dec 6, 2017. I was in the hospital till 12/14 and went right to a live-in rehab facility until Dec 28th. Then came home.
Forgot to mention, my kidneys were down to 10% functional by this point but I didn't feel bad. Went on dialysis 3 times and my kidneys turned around and I was done with it.
Got a prosthetic leg on March 1, 2018 and walked on it the same day, for 6 hours (had to attend a funeral service) - I don't recommend that at all Wow was I tired.
July 2018, I had to stop using the leg because the left foot was having issues and Dr didn't want me walking on it at all. I was gaining weight and now my prosthetic didn't fit and I lost my insurance so the leg company would do nothing for me. Been wheelchair bound ever since.
Never had any pain as far as the amputation goes. Diabetes still under control to this day with just food and no meds or shots.
Today, I feel "normal" as I can - I am used to getting around in the chair and the missing foot...I don't even notice. Sure, I have to transfer in/out of the chair, but it doesn't hurt or keep me from doing things around the house.
Any questions? ;-)</t>
        </is>
      </c>
      <c r="D9379" t="n">
        <v>1</v>
      </c>
      <c r="E9379" t="n">
        <v>8</v>
      </c>
      <c r="F9379">
        <f>HYPERLINK("https://www.reddit.com/r/diabetes/comments/gkot0e/new_here_my_diabetes_story_not_too_long/")</f>
        <v/>
      </c>
      <c r="G9379" t="inlineStr">
        <is>
          <t>2020-05-15 21:47:57</t>
        </is>
      </c>
      <c r="H9379" t="inlineStr">
        <is>
          <t>Type 2</t>
        </is>
      </c>
    </row>
    <row r="9380">
      <c r="A9380" t="inlineStr">
        <is>
          <t>gkr8ni</t>
        </is>
      </c>
      <c r="B9380" t="inlineStr">
        <is>
          <t>Needles and blood</t>
        </is>
      </c>
      <c r="C9380" t="inlineStr">
        <is>
          <t>It's been a year and half or so since I found out I was diabetic. Since I was a kid I have been sacred of needles and blood and still am till this day. So far I've only been taking pills, but to check my blood sugar is the hardest it's something I know I should do and feel ridiculous to be scared of a poke and bit of blood but I can't overcome it till the 10th try or more. If I get worse through out the year's I have to take the shot of insulin and need to over come my fears. Wanted to ask for advice from other diabetics about how can I over come this silly fear!</t>
        </is>
      </c>
      <c r="D9380" t="n">
        <v>1</v>
      </c>
      <c r="E9380" t="n">
        <v>21</v>
      </c>
      <c r="F9380">
        <f>HYPERLINK("https://www.reddit.com/r/diabetes/comments/gkr8ni/needles_and_blood/")</f>
        <v/>
      </c>
      <c r="G9380" t="inlineStr">
        <is>
          <t>2020-05-16 01:25:53</t>
        </is>
      </c>
      <c r="H9380" t="inlineStr">
        <is>
          <t>Type 2</t>
        </is>
      </c>
    </row>
    <row r="9381">
      <c r="A9381" t="inlineStr">
        <is>
          <t>gkwo03</t>
        </is>
      </c>
      <c r="B9381" t="inlineStr">
        <is>
          <t>libre sensor concerns</t>
        </is>
      </c>
      <c r="C9381" t="inlineStr">
        <is>
          <t>hi i’m 17 t1 and yesterday i tried the libre continuous blood glucose sensor for the first time. When i inserted it my arm bled everywhere through the hole in the middle of the sensor, but the representative (on zoom call) said it’s nothing to worry about. However it’s been stinging/burning whenever it gets pushed or touched, and it seems to still be bleeding underneath the sticker part. It also is a bit painful up the rest of my arm. 
Is this something to be worried about? Should i take out the sensor and try another one on my other arm or just leave this one in? My arms are very skinny (to the point of almost no fat) and i’m starting to think maybe they’re too thin for the sensor? idk but if anyone uses the libre sensor and knows about this what are your thoughts? thanks!</t>
        </is>
      </c>
      <c r="D9381" t="n">
        <v>1</v>
      </c>
      <c r="E9381" t="n">
        <v>5</v>
      </c>
      <c r="F9381">
        <f>HYPERLINK("https://www.reddit.com/r/diabetes/comments/gkwo03/libre_sensor_concerns/")</f>
        <v/>
      </c>
      <c r="G9381" t="inlineStr">
        <is>
          <t>2020-05-16 08:39:51</t>
        </is>
      </c>
      <c r="H9381" t="inlineStr">
        <is>
          <t>Type 1</t>
        </is>
      </c>
    </row>
    <row r="9382">
      <c r="A9382" t="inlineStr">
        <is>
          <t>gkx88t</t>
        </is>
      </c>
      <c r="B9382" t="inlineStr">
        <is>
          <t>Advice for a new G6 user for a 20 year T1</t>
        </is>
      </c>
      <c r="C9382" t="inlineStr">
        <is>
          <t>Been type 1 since 2001. Last A1C check was 6.3 about 8 months ago . My wife noticed that I’d have drastic drops in blood glucose randomly over the last 2 years and lobbied for me to get a CGM to solve this problem. I agreed and have been using it since April 1st. I’ve learned a lot, and majority of it is bad. I do have random drops in glucose at times of the day to the point where I’m dropping 10-15 pts every 5 minutes. It’s scares the hell out of me. I feel as if it’s a ticking time bomb. I’m overloaded with information. Talked to my Endo this past Thursday and she feels I’m a little to obsessed with trying to keep my numbers in range constantly. Because I’m working at home, i can check my numbers every 5-10 minutes. Any slight increase or decrease has me wondering and preparing for the rises and falls. The anxiety and fear of the random drops has me questioning all my established and trusted behaviors. I’m frustrated. Endo said I may need to remove my G6 for a week to rest myself and come back to it with a different attitude. 
Any advice? Different way of thinking? I don’t want to remove my G6 because it can save me if I’m in a bad spot. But it’s a double edged sword right now. I’m allot more anxious then I was. I think it may Also be affecting my glucose levels and management as well.
TL:DR - type 1 for a while. Finally got a G6. Found out my numbers drastically fall and has caused me major turmoil in management. The influx of numbers has me questioning everything. Any advice?</t>
        </is>
      </c>
      <c r="D9382" t="n">
        <v>1</v>
      </c>
      <c r="E9382" t="n">
        <v>2</v>
      </c>
      <c r="F9382">
        <f>HYPERLINK("https://www.reddit.com/r/diabetes/comments/gkx88t/advice_for_a_new_g6_user_for_a_20_year_t1/")</f>
        <v/>
      </c>
      <c r="G9382" t="inlineStr">
        <is>
          <t>2020-05-16 09:13:00</t>
        </is>
      </c>
      <c r="H9382" t="inlineStr">
        <is>
          <t>Type 1</t>
        </is>
      </c>
    </row>
    <row r="9383">
      <c r="A9383" t="inlineStr">
        <is>
          <t>gkyifl</t>
        </is>
      </c>
      <c r="B9383" t="inlineStr">
        <is>
          <t>Which blood tests should I get to rule out LADA?</t>
        </is>
      </c>
      <c r="C9383" t="inlineStr">
        <is>
          <t>A few months ago I had an A1c of 6.0. I don't fit the profile of type 2: extremely thin, exercise daily, ate very little sugar, no family history of diabetes. I understand it's still very possible for me to be developing type 2 but I want to rule out LADA. 
I went on a keto diet and my A1c dropped to 5.5 after about 4 months but my fasting blood sugar is still usually in the 110-120 range. My doctor now will not order tests to rule out LADA because my A1c has dropped out of prediabetic range. 
So, I am considering paying out of pocket and doing it myself at Walk-In Lab. But I am not sure which tests to order specifically. Does anyone know? Thank you.</t>
        </is>
      </c>
      <c r="D9383" t="n">
        <v>2</v>
      </c>
      <c r="E9383" t="n">
        <v>6</v>
      </c>
      <c r="F9383">
        <f>HYPERLINK("https://www.reddit.com/r/diabetes/comments/gkyifl/which_blood_tests_should_i_get_to_rule_out_lada/")</f>
        <v/>
      </c>
      <c r="G9383" t="inlineStr">
        <is>
          <t>2020-05-16 10:26:38</t>
        </is>
      </c>
      <c r="H9383" t="inlineStr">
        <is>
          <t>Type 1.5/LADA</t>
        </is>
      </c>
    </row>
    <row r="9384">
      <c r="A9384" t="inlineStr">
        <is>
          <t>gkzeq0</t>
        </is>
      </c>
      <c r="B9384" t="inlineStr">
        <is>
          <t>Resources to catch up on latest and greatest technology related to diabetes management?</t>
        </is>
      </c>
      <c r="C9384" t="inlineStr">
        <is>
          <t>Hey everyone,
T1D here (although that's not particularly relevant to the post :P). I was wondering what resources (websites, etc) do you guys use to stay informed of the latest products and technology for diabetes management (ie. if a new CGM is going to hit the market or if there are apps that monitor and log data better or with nicer UIs or if there is a new type of insulin I can ask my doctor about)?
I'm very much of the mindset that it's better to be proactive and an early adopter than waiting years for your endocrinologist to finally recommend a new CGM that's been around for awhile.  For example, when Freestyle Libre first came out, I had a family member buy and ship me European sensors to Canada (it took years for the Libre to expand to the North American market). Despite not being covered by insurance and paying extra, it was still worth it for me. I would never have know about this if I hadn't randomly stumbled upon a thread in this subreddit. Anyways, I digress...</t>
        </is>
      </c>
      <c r="D9384" t="n">
        <v>1</v>
      </c>
      <c r="E9384" t="n">
        <v>4</v>
      </c>
      <c r="F9384">
        <f>HYPERLINK("https://www.reddit.com/r/diabetes/comments/gkzeq0/resources_to_catch_up_on_latest_and_greatest/")</f>
        <v/>
      </c>
      <c r="G9384" t="inlineStr">
        <is>
          <t>2020-05-16 11:17:01</t>
        </is>
      </c>
      <c r="H9384" t="inlineStr">
        <is>
          <t>Type 1</t>
        </is>
      </c>
    </row>
    <row r="9385">
      <c r="A9385" t="inlineStr">
        <is>
          <t>gl00jh</t>
        </is>
      </c>
      <c r="B9385" t="inlineStr">
        <is>
          <t>Freestyle libre</t>
        </is>
      </c>
      <c r="C9385" t="inlineStr">
        <is>
          <t>Hello everyone! I want to hear your opinions, stories and advice that can be given to me to me about the freestyle libre. My dietitian said I should look into it as I poke my fingers 4x a day. I'm on insulin but also pregant.. I'm afraid of getting the monitor and it hurting me.. I toss and turn and afraid I might rip it out somehow. As I have sensitive skin I'm afraid it will cause irritation. My endocrinologists said I would only be on insulin for the remainder of my pregant which is 20 weeks.. which is still alot of finger pokes.. but I want honest pros and cons!!!</t>
        </is>
      </c>
      <c r="D9385" t="n">
        <v>1</v>
      </c>
      <c r="E9385" t="n">
        <v>58</v>
      </c>
      <c r="F9385">
        <f>HYPERLINK("https://www.reddit.com/r/diabetes/comments/gl00jh/freestyle_libre/")</f>
        <v/>
      </c>
      <c r="G9385" t="inlineStr">
        <is>
          <t>2020-05-16 11:50:30</t>
        </is>
      </c>
      <c r="H9385" t="inlineStr">
        <is>
          <t>Type 2</t>
        </is>
      </c>
    </row>
    <row r="9386">
      <c r="A9386" t="inlineStr">
        <is>
          <t>gl0wei</t>
        </is>
      </c>
      <c r="B9386" t="inlineStr">
        <is>
          <t>How do you drink with diabetes</t>
        </is>
      </c>
      <c r="C9386" t="inlineStr">
        <is>
          <t>I am a some what new type 1 diabetic. I was diagnosed in November and still seem to be in my honeymoon phase, and my body seem to almost be over producing insulin. My endocrinologist has me taking now insulin short or fast acting and I still experience lows through the day. I haven’t drank since my diagnosis. I have done some research online and there is some information on drinking but none really pertain to my situation. What are some tips to drinking with T1D anyone might have for me, what can I expect. Please help</t>
        </is>
      </c>
      <c r="D9386" t="n">
        <v>2</v>
      </c>
      <c r="E9386" t="n">
        <v>20</v>
      </c>
      <c r="F9386">
        <f>HYPERLINK("https://www.reddit.com/r/diabetes/comments/gl0wei/how_do_you_drink_with_diabetes/")</f>
        <v/>
      </c>
      <c r="G9386" t="inlineStr">
        <is>
          <t>2020-05-16 12:38:45</t>
        </is>
      </c>
      <c r="H9386" t="inlineStr">
        <is>
          <t>Type 1</t>
        </is>
      </c>
    </row>
    <row r="9387">
      <c r="A9387" t="inlineStr">
        <is>
          <t>gl26ra</t>
        </is>
      </c>
      <c r="B9387" t="inlineStr">
        <is>
          <t>Does the CGM just not work for me?</t>
        </is>
      </c>
      <c r="C9387" t="inlineStr">
        <is>
          <t>I tried the Enlite \~6 years ago, with predictably disastrous results. Since then, though, I have tried getting on the Dexcom four different times, and each time I stop using it after 6-12 months because it consistently has results that are comically off- like saying I'm 400 and rising rapidly, when I'm really 160. I've tried bringing this up to my endo and to my Diabetes Educator, but they're so into  Dexcom and want me to try it again. I just haven't had good results, even with the G6. Is it just me, or is it possible that, for whatever reason, a CGM just doesn't work with me?</t>
        </is>
      </c>
      <c r="D9387" t="n">
        <v>0</v>
      </c>
      <c r="E9387" t="n">
        <v>7</v>
      </c>
      <c r="F9387">
        <f>HYPERLINK("https://www.reddit.com/r/diabetes/comments/gl26ra/does_the_cgm_just_not_work_for_me/")</f>
        <v/>
      </c>
      <c r="G9387" t="inlineStr">
        <is>
          <t>2020-05-16 13:54:50</t>
        </is>
      </c>
      <c r="H9387" t="inlineStr">
        <is>
          <t>Type 1</t>
        </is>
      </c>
    </row>
    <row r="9388">
      <c r="A9388" t="inlineStr">
        <is>
          <t>gl34fv</t>
        </is>
      </c>
      <c r="B9388" t="inlineStr">
        <is>
          <t>Long shot but here goes....</t>
        </is>
      </c>
      <c r="C9388" t="inlineStr">
        <is>
          <t>T2 Diabetic with and I ran out of Metformin and Glipizide, usually take 1000mg ER and 10mg Daily. My city is doing terrible with Covid-19 and I don’t want to risk going to the doctor right now. Doctor refused my refill and wants me to go in first, earliest appointment isn’t available until June.
Anybody out there have some pills they don’t need and want to donate? I can pay for shipping. 
Thanks in advance.</t>
        </is>
      </c>
      <c r="D9388" t="n">
        <v>3</v>
      </c>
      <c r="E9388" t="n">
        <v>7</v>
      </c>
      <c r="F9388">
        <f>HYPERLINK("https://www.reddit.com/r/diabetes/comments/gl34fv/long_shot_but_here_goes/")</f>
        <v/>
      </c>
      <c r="G9388" t="inlineStr">
        <is>
          <t>2020-05-16 14:50:54</t>
        </is>
      </c>
      <c r="H9388" t="inlineStr">
        <is>
          <t>Type 2</t>
        </is>
      </c>
    </row>
    <row r="9389">
      <c r="A9389" t="inlineStr">
        <is>
          <t>gl37qo</t>
        </is>
      </c>
      <c r="B9389" t="inlineStr">
        <is>
          <t>Running out of novolog with no insurance</t>
        </is>
      </c>
      <c r="C9389" t="inlineStr">
        <is>
          <t>So, I got my insurance cut in August due to an income change that caused my eligibility to change, and this caused me to lose insurance. I haven’t had insurance since and was rejected for public assistance. I’m a college student, so I have no income at the moment either. 
I have like 100 units of novolog left. I looked at Novo Nordisk’s assistance thing, but they wanted me to send information from a doctor. I have no doctor because I have no insurance. Is there anything I can do to get more novolog? I’m scared to use the Novolin mix because I’ve read that the peak is different from novolog and that it can be dangerous to randomly switch. But, I’m starting to run out of options. I’ve been eating less and avoiding carbs as much as possible, but I don’t know how long I can only eat once a day to avoid using insulin.</t>
        </is>
      </c>
      <c r="D9389" t="n">
        <v>2</v>
      </c>
      <c r="E9389" t="n">
        <v>21</v>
      </c>
      <c r="F9389">
        <f>HYPERLINK("https://www.reddit.com/r/diabetes/comments/gl37qo/running_out_of_novolog_with_no_insurance/")</f>
        <v/>
      </c>
      <c r="G9389" t="inlineStr">
        <is>
          <t>2020-05-16 14:56:45</t>
        </is>
      </c>
      <c r="H9389" t="inlineStr">
        <is>
          <t>Type 1</t>
        </is>
      </c>
    </row>
    <row r="9390">
      <c r="A9390" t="inlineStr">
        <is>
          <t>gl3lnr</t>
        </is>
      </c>
      <c r="B9390" t="inlineStr">
        <is>
          <t>First time going on a pump!</t>
        </is>
      </c>
      <c r="C9390" t="inlineStr">
        <is>
          <t>Hi guys!  
I'm in the process of moving from MDI (Tresiba &amp;amp; Apidra) to an insulin pump.  For years I resisted the idea- the tubing and carbon counting sounded so unappealing. I've finally gotten over that and have prioritized tighter control over "hiding" my medical condition. For years I did whatever I could to hide it,  no more.  
I've selected the Tandem T-slim X2 as my preferred pump,  and plan to use it in conjunction with the Dexcom G6 system for optimal results.  
I'd like to hear from you my fellow T1D warriors,  do you use a pump? If you do,  which one?  Does anyone have experience or opinions about the T-slim product?  
I'd appreciate any and all feedback,  looking forward to being an active member of this forum!!</t>
        </is>
      </c>
      <c r="D9390" t="n">
        <v>1</v>
      </c>
      <c r="E9390" t="n">
        <v>12</v>
      </c>
      <c r="F9390">
        <f>HYPERLINK("https://www.reddit.com/r/diabetes/comments/gl3lnr/first_time_going_on_a_pump/")</f>
        <v/>
      </c>
      <c r="G9390" t="inlineStr">
        <is>
          <t>2020-05-16 15:20:43</t>
        </is>
      </c>
      <c r="H9390" t="inlineStr">
        <is>
          <t>Type 1</t>
        </is>
      </c>
    </row>
    <row r="9391">
      <c r="A9391" t="inlineStr">
        <is>
          <t>gl6syn</t>
        </is>
      </c>
      <c r="B9391" t="inlineStr">
        <is>
          <t>How to get rid of scarring from pump sites?</t>
        </is>
      </c>
      <c r="C9391" t="inlineStr">
        <is>
          <t>Now that I've been using an insulin pump for over a year, my back/stomach is riddled with little dots from the sites. Does anybody have any recommendations for some kind of cream, maybe for scars/discoloration? Thanks!</t>
        </is>
      </c>
      <c r="D9391" t="n">
        <v>4</v>
      </c>
      <c r="E9391" t="n">
        <v>13</v>
      </c>
      <c r="F9391">
        <f>HYPERLINK("https://www.reddit.com/r/diabetes/comments/gl6syn/how_to_get_rid_of_scarring_from_pump_sites/")</f>
        <v/>
      </c>
      <c r="G9391" t="inlineStr">
        <is>
          <t>2020-05-16 18:40:33</t>
        </is>
      </c>
      <c r="H9391" t="inlineStr">
        <is>
          <t>Type 1</t>
        </is>
      </c>
    </row>
    <row r="9392">
      <c r="A9392" t="inlineStr">
        <is>
          <t>gl8kyg</t>
        </is>
      </c>
      <c r="B9392" t="inlineStr">
        <is>
          <t>Questions</t>
        </is>
      </c>
      <c r="C9392" t="inlineStr">
        <is>
          <t>I've been diagnosed with Type 1 for a couple of months.  First, my doctor prescribed Metformin, but it caused bad stomach issues.  Then, she prescribed Farxiga and it caused me to have a yeast infection (which made me have mad respect for women).  Now, I'm taking Trulicity, but it's not helping much.  I'm getting aggravated and don't know what to do now.  Anyone have a bit of advice?</t>
        </is>
      </c>
      <c r="D9392" t="n">
        <v>2</v>
      </c>
      <c r="E9392" t="n">
        <v>23</v>
      </c>
      <c r="F9392">
        <f>HYPERLINK("https://www.reddit.com/r/diabetes/comments/gl8kyg/questions/")</f>
        <v/>
      </c>
      <c r="G9392" t="inlineStr">
        <is>
          <t>2020-05-16 20:42:21</t>
        </is>
      </c>
      <c r="H9392" t="inlineStr">
        <is>
          <t>Type 1</t>
        </is>
      </c>
    </row>
    <row r="9393">
      <c r="A9393" t="inlineStr">
        <is>
          <t>gl8wwu</t>
        </is>
      </c>
      <c r="B9393" t="inlineStr">
        <is>
          <t>I can’t feel lows... like really can’t feel lows</t>
        </is>
      </c>
      <c r="C9393" t="inlineStr">
        <is>
          <t>Haven’t been able to feel low blood sugar in 6 months. I had to get a Dexcom just to keep me alive. My BG goes down into the 40’s-30’s and I feel nothing aside from difficulty speaking. No anxiety, no sweats, no shakes. Just nothing. Today I felt a low and I was shook, I got nervous and shaky when I was at 49 and it promptly went away. Am I going to be unable to feel lows for life?</t>
        </is>
      </c>
      <c r="D9393" t="n">
        <v>1</v>
      </c>
      <c r="E9393" t="n">
        <v>8</v>
      </c>
      <c r="F9393">
        <f>HYPERLINK("https://www.reddit.com/r/diabetes/comments/gl8wwu/i_cant_feel_lows_like_really_cant_feel_lows/")</f>
        <v/>
      </c>
      <c r="G9393" t="inlineStr">
        <is>
          <t>2020-05-16 21:07:06</t>
        </is>
      </c>
      <c r="H9393" t="inlineStr">
        <is>
          <t>Type 1</t>
        </is>
      </c>
    </row>
    <row r="9394">
      <c r="A9394" t="inlineStr">
        <is>
          <t>glafy8</t>
        </is>
      </c>
      <c r="B9394" t="inlineStr">
        <is>
          <t>Frequent urination - blood sugar numbers</t>
        </is>
      </c>
      <c r="C9394" t="inlineStr">
        <is>
          <t>How high does your blood sugar get before you experience frequent urination?</t>
        </is>
      </c>
      <c r="D9394" t="n">
        <v>1</v>
      </c>
      <c r="E9394" t="n">
        <v>4</v>
      </c>
      <c r="F9394">
        <f>HYPERLINK("https://www.reddit.com/r/diabetes/comments/glafy8/frequent_urination_blood_sugar_numbers/")</f>
        <v/>
      </c>
      <c r="G9394" t="inlineStr">
        <is>
          <t>2020-05-16 23:11:21</t>
        </is>
      </c>
      <c r="H9394" t="inlineStr">
        <is>
          <t>Type 2</t>
        </is>
      </c>
    </row>
    <row r="9395">
      <c r="A9395" t="inlineStr">
        <is>
          <t>glfj15</t>
        </is>
      </c>
      <c r="B9395" t="inlineStr">
        <is>
          <t>So this is weird... After 2 hours post dinner it shows 159, after 9 hours 97 and after 17 hours 119... I didn’t understand how can glucose increase even after 17 hours of fasting ?</t>
        </is>
      </c>
      <c r="C9395" t="inlineStr">
        <is>
          <t>So I took meal at 5 PM EST, I checked my sugar using countour next EZ and it was 159... after woke for pee in middle of night after approx 9-10 hours it was 97... and right now after I woke up when I checked around 9:30 AM it’s says 119... so almost after 17 hours I have more sugar ? And yes I did took my meds...</t>
        </is>
      </c>
      <c r="D9395" t="n">
        <v>1</v>
      </c>
      <c r="E9395" t="n">
        <v>16</v>
      </c>
      <c r="F9395">
        <f>HYPERLINK("https://www.reddit.com/r/diabetes/comments/glfj15/so_this_is_weird_after_2_hours_post_dinner_it/")</f>
        <v/>
      </c>
      <c r="G9395" t="inlineStr">
        <is>
          <t>2020-05-17 06:36:49</t>
        </is>
      </c>
      <c r="H9395" t="inlineStr">
        <is>
          <t>Type 2</t>
        </is>
      </c>
    </row>
    <row r="9396">
      <c r="A9396" t="inlineStr">
        <is>
          <t>glgprm</t>
        </is>
      </c>
      <c r="B9396" t="inlineStr">
        <is>
          <t>How to get over the shame</t>
        </is>
      </c>
      <c r="C9396" t="inlineStr">
        <is>
          <t>My last A1C was over 10, and my next appointment is tomorrow morning. During quarantine I've been lazy, depressed. I haven't been exercising or eating right. I have a feeling my new A1C will only be marginally lower if not higher. The thing is, I am dreading talking to my doctor. I feel so ashamed, and I feel like she will be disappointed in me. It's enough guilt to not want to go at all. How do you guys cope with that feeling?</t>
        </is>
      </c>
      <c r="D9396" t="n">
        <v>1</v>
      </c>
      <c r="E9396" t="n">
        <v>10</v>
      </c>
      <c r="F9396">
        <f>HYPERLINK("https://www.reddit.com/r/diabetes/comments/glgprm/how_to_get_over_the_shame/")</f>
        <v/>
      </c>
      <c r="G9396" t="inlineStr">
        <is>
          <t>2020-05-17 07:54:51</t>
        </is>
      </c>
      <c r="H9396" t="inlineStr">
        <is>
          <t>Type 2</t>
        </is>
      </c>
    </row>
    <row r="9397">
      <c r="A9397" t="inlineStr">
        <is>
          <t>glhvro</t>
        </is>
      </c>
      <c r="B9397" t="inlineStr">
        <is>
          <t>Heat tolerance change since becoming diabetic?</t>
        </is>
      </c>
      <c r="C9397" t="inlineStr">
        <is>
          <t>I was diagnosed about a year ago. I used to be extremely tolerant to heat. I'd wear a black hoodie in 90 degree heat but now I prefer colder weather and I now seem to overheat much quicker. Does this happen to anyone else?</t>
        </is>
      </c>
      <c r="D9397" t="n">
        <v>1</v>
      </c>
      <c r="E9397" t="n">
        <v>10</v>
      </c>
      <c r="F9397">
        <f>HYPERLINK("https://www.reddit.com/r/diabetes/comments/glhvro/heat_tolerance_change_since_becoming_diabetic/")</f>
        <v/>
      </c>
      <c r="G9397" t="inlineStr">
        <is>
          <t>2020-05-17 09:03:22</t>
        </is>
      </c>
      <c r="H9397" t="inlineStr">
        <is>
          <t>Type 1</t>
        </is>
      </c>
    </row>
    <row r="9398">
      <c r="A9398" t="inlineStr">
        <is>
          <t>glkv0w</t>
        </is>
      </c>
      <c r="B9398" t="inlineStr">
        <is>
          <t>Dexcom G6 issue...doesn't last 10 days</t>
        </is>
      </c>
      <c r="C9398" t="inlineStr">
        <is>
          <t>Hey everyone.  I recently switched from the G4 to the G6.  When I was on the G4, my sensor would last 5-6 days, with only occasionally lasting the 7 days.  I cannot think of anything I was doing wrong to make it end earlier.  I do not take acetaminophen, and I always put the sensor on my abdomen.
I was nervous about switching to the G6 because it is supposed to last 10 days, and I could hardly get the G4 to last the 7 days.  I decided I wanted controlIQ enough to try it.  Well, here I am almost through my one month shipment in less than 2 weeks.  The first sensor lasted 5 days.  The second one just started giving me an error (???s, no readings) after 6 days.  I am still waiting on the replacement on my first sensor since covid is making Dexcom take forever.  I am worried that if this one fails too, that I will be on my last sensor for my month and will have issues getting another replacement.
Regardless, has anyone else experienced this issue?  Please give me any advice that you can.  I really don't know why this is happening.  It works fine for the first 4-5 days, then the data gets more erratic before there being no data.
Thanks!</t>
        </is>
      </c>
      <c r="D9398" t="n">
        <v>1</v>
      </c>
      <c r="E9398" t="n">
        <v>9</v>
      </c>
      <c r="F9398">
        <f>HYPERLINK("https://www.reddit.com/r/diabetes/comments/glkv0w/dexcom_g6_issuedoesnt_last_10_days/")</f>
        <v/>
      </c>
      <c r="G9398" t="inlineStr">
        <is>
          <t>2020-05-17 11:46:53</t>
        </is>
      </c>
      <c r="H9398" t="inlineStr">
        <is>
          <t>Type 1</t>
        </is>
      </c>
    </row>
    <row r="9399">
      <c r="A9399" t="inlineStr">
        <is>
          <t>glm77n</t>
        </is>
      </c>
      <c r="B9399" t="inlineStr">
        <is>
          <t>What was you A1C when diagnosed?</t>
        </is>
      </c>
      <c r="C9399" t="inlineStr">
        <is>
          <t>I was labeled diabetic by my gyno because my A1C was 6.3, then it dropped to 5.5, then I got pregnant and miscarried, and my A1C went up to 6.7, and then back down again into the 5’s. Because of my gyno’s “diagnosis” I was on insulin my entire pregnancy and it wasn’t until I was giving birth and after when my sugars were “absolutely perfect” that my ob questioned who said I was diabetic. 
My A1C at its highest was 6.7, and during my pregnancy was in the upper 4’s to low 5’s.
Anyways, now I feel like I obsess over this label that a doctor who doesn’t specialize in that area has given me. And I’d change but they’re the best repro. gyno in the state and I’m not exactly a spring chicken.
And my PCP agrees that the gyno has no right or basis to label me this.</t>
        </is>
      </c>
      <c r="D9399" t="n">
        <v>1</v>
      </c>
      <c r="E9399" t="n">
        <v>25</v>
      </c>
      <c r="F9399">
        <f>HYPERLINK("https://www.reddit.com/r/diabetes/comments/glm77n/what_was_you_a1c_when_diagnosed/")</f>
        <v/>
      </c>
      <c r="G9399" t="inlineStr">
        <is>
          <t>2020-05-17 13:00:39</t>
        </is>
      </c>
      <c r="H9399" t="inlineStr">
        <is>
          <t>Type 2</t>
        </is>
      </c>
    </row>
    <row r="9400">
      <c r="A9400" t="inlineStr">
        <is>
          <t>glrgev</t>
        </is>
      </c>
      <c r="B9400" t="inlineStr">
        <is>
          <t>Diabetes &amp;amp; Mental Health Question</t>
        </is>
      </c>
      <c r="C9400" t="inlineStr">
        <is>
          <t>This is a stupid question and please pardon my ignorance on the subject. I have an older friend that is type 2 and uncontrolled/minimal controlled. They have had it for nearly 6-7 years now and I have watched them go from a pleasant optimistic person to a depressed cynic in that time, and covid crisis doesn’t help at all not that it needs to be said. 
I asked them about the change in personality and got the worst response. They have “accepted diabetes will kill them and they have nothing more to look forward to.” They also “don’t want to be a burden” so they don’t want to meet anyone, make new friends, or date anyone. Getting them to go do anything is always an effort. 
So back to my stupid question. Is diabetes and depression a thing? I think my friend should seek help, but when I say things I get responses like “If I was depressed I’d take care of it myself” or “I answer the questions on the doc’s mental health form and if they wanted to get access to that insurance money, they would send me to someone, the greedy bastards!” I think they are just masking because they have issues with trust and responsibility, but I don’t know any more since this isn’t the same person from 6-7 years ago. I’m not worried about them doing self-harm, but I miss my happy friend and don’t know how to help them.</t>
        </is>
      </c>
      <c r="D9400" t="n">
        <v>1</v>
      </c>
      <c r="E9400" t="n">
        <v>9</v>
      </c>
      <c r="F9400">
        <f>HYPERLINK("https://www.reddit.com/r/diabetes/comments/glrgev/diabetes_mental_health_question/")</f>
        <v/>
      </c>
      <c r="G9400" t="inlineStr">
        <is>
          <t>2020-05-17 18:00:54</t>
        </is>
      </c>
      <c r="H9400" t="inlineStr">
        <is>
          <t>Type 2</t>
        </is>
      </c>
    </row>
    <row r="9401">
      <c r="A9401" t="inlineStr">
        <is>
          <t>glxsnt</t>
        </is>
      </c>
      <c r="B9401" t="inlineStr">
        <is>
          <t>Can I please have some words of encouragement:)</t>
        </is>
      </c>
      <c r="C9401" t="inlineStr">
        <is>
          <t>Hi I'm sorry if I seem like a baby but I need words of encouragement.
I might be getting a job soon, it would be in a warehouse that my sister and brother in law also work and are assistant managers. It would be a very physically demanding job but I figured it be a good form of exercise. I have always struggled with severe anxiety and I'm scared to keep going forward with the application process because I have not worked since I got diagnosed with type 1. I got diagnosed almost a year ago and I wasn't working because I'm a college student. So it's pretty scary as I'm not sure what to expect.
There's also a huge chance I will lose my health insurance. I'm currently on medi-cal because I am a broke college student. From my understanding if you make too much money and you have to report an income change, you can be kicked off if you make over the limit and since my sister and brother in law work there I have an idea of how much they made starting out, I can possibly be kicked off. Which is terrifying losing the thing that pays for over priced life drug lol. But I try to look at the positives of that I could possibly make enough to get private insurance that could cover more than just the bare minimum. My eye on the prize is a CGM I want one like so bad. (Idk anything about pumps feel free to persuade me lol) 
Also I know it's not the safest time to start working but I'm wanting to take a break from college since I'm having doubts about my major and my boyfriend and I need the income. My sister tells me that the company is taking all the precautions of constantly cleaning and have portable handwash and hand sanitizer stations around the warehouse. They also deep clean it daily. 
Anyway my anxiety is getting the best of me that they won't want to keep me and I'll have lost my job and insurance and diabetes is going to make me a burden on the Job 😓😓😓 so any words of encouragement or positive stories or advice would be greatly appreciated from others that understand:) thank you 😅</t>
        </is>
      </c>
      <c r="D9401" t="n">
        <v>1</v>
      </c>
      <c r="E9401" t="n">
        <v>6</v>
      </c>
      <c r="F9401">
        <f>HYPERLINK("https://www.reddit.com/r/diabetes/comments/glxsnt/can_i_please_have_some_words_of_encouragement/")</f>
        <v/>
      </c>
      <c r="G9401" t="inlineStr">
        <is>
          <t>2020-05-18 01:46:04</t>
        </is>
      </c>
      <c r="H9401" t="inlineStr">
        <is>
          <t>Type 1</t>
        </is>
      </c>
    </row>
    <row r="9402">
      <c r="A9402" t="inlineStr">
        <is>
          <t>gm0yaa</t>
        </is>
      </c>
      <c r="B9402" t="inlineStr">
        <is>
          <t>Is Veganism bad for Type 2 Diabetes?</t>
        </is>
      </c>
      <c r="C9402" t="inlineStr">
        <is>
          <t>So I, a Type 2, am looking into Veganism but can't help but notice that most Vegan food is packed with carbs and if there's one thing I know - carbs suck if you have Type 2. 
I had a lot of success controlling my blood sugar levels with the Keto diet (which is when you don't eat carbs) and was wondering whether a Vegan diet (with all its carbs) will cause blood sugar problems?
Any information would be much appreciated!</t>
        </is>
      </c>
      <c r="D9402" t="n">
        <v>1</v>
      </c>
      <c r="E9402" t="n">
        <v>4</v>
      </c>
      <c r="F9402">
        <f>HYPERLINK("https://www.reddit.com/r/diabetes/comments/gm0yaa/is_veganism_bad_for_type_2_diabetes/")</f>
        <v/>
      </c>
      <c r="G9402" t="inlineStr">
        <is>
          <t>2020-05-18 05:56:55</t>
        </is>
      </c>
      <c r="H9402" t="inlineStr">
        <is>
          <t>Type 2</t>
        </is>
      </c>
    </row>
    <row r="9403">
      <c r="A9403" t="inlineStr">
        <is>
          <t>gm22gp</t>
        </is>
      </c>
      <c r="B9403" t="inlineStr">
        <is>
          <t>Freestyle hasn’t been accurate a single time. Does everyone else have this issue too?</t>
        </is>
      </c>
      <c r="C9403" t="inlineStr">
        <is>
          <t>So my dr prescribed a freestyle last week. I put it in around 930 pm last Wednesday and, thus far, every single time I’ve checked it against a finger stick it has not been correct a single time. If it was 1-2 mg maybe even 5-10 off I’d say whatever and still feel comfortable using it to treat, but it’s been literally 30-100mg off of a finger stick. 
Felt my face getting warm after dinner so scanned the freestyle and it was 149, thought to myself that didn’t sound right so did a finger stick and it was 249. 
What gives?</t>
        </is>
      </c>
      <c r="D9403" t="n">
        <v>1</v>
      </c>
      <c r="E9403" t="n">
        <v>18</v>
      </c>
      <c r="F9403">
        <f>HYPERLINK("https://www.reddit.com/r/diabetes/comments/gm22gp/freestyle_hasnt_been_accurate_a_single_time_does/")</f>
        <v/>
      </c>
      <c r="G9403" t="inlineStr">
        <is>
          <t>2020-05-18 07:05:45</t>
        </is>
      </c>
      <c r="H9403" t="inlineStr">
        <is>
          <t>Type 2</t>
        </is>
      </c>
    </row>
    <row r="9404">
      <c r="A9404" t="inlineStr">
        <is>
          <t>gm4kk7</t>
        </is>
      </c>
      <c r="B9404" t="inlineStr">
        <is>
          <t>Why am I still losing weight?</t>
        </is>
      </c>
      <c r="C9404" t="inlineStr">
        <is>
          <t>So quick info: diagnosed 6 months ago, my A1C is now 5,9, on MDI.
So I know that I should see a doctor (and I am going to next week), but I had some sleepless nights about what's been happening to me recently. I am a pretty skinny dude, I've had about 75kg before diagnosis, when I was diagnosed I've had 69 and it stayed steady for a while. But since January I've dropped even more, now I am at 64,5.
I know for a fact, that it isn't because of high sugar levels, because I am controlled very well, which I confirmed last week from my A1C test. It's true that I try to eat meals with fewer carbs than before, but I didn't make any drastic changes to my eating regime. I also had my thyroid removed few years ago, but endo said that amount of thyroid medication was alright in January. I've also been having some weird nerve issues lately - tingling in arms and legs, muscle twitches, etc.
That I tried taking B12 vitamin and magnesium on, with no effect. No idea if the weight loss and nerve issues are related.
I really don't know what's happening to me and frankly I'd be lying if I said that I'm not scared. Of course I'll get to a doctor as soon as next week, but I'd appreciate any possible explanations from you guys in the meantime.</t>
        </is>
      </c>
      <c r="D9404" t="n">
        <v>1</v>
      </c>
      <c r="E9404" t="n">
        <v>16</v>
      </c>
      <c r="F9404">
        <f>HYPERLINK("https://www.reddit.com/r/diabetes/comments/gm4kk7/why_am_i_still_losing_weight/")</f>
        <v/>
      </c>
      <c r="G9404" t="inlineStr">
        <is>
          <t>2020-05-18 09:21:13</t>
        </is>
      </c>
      <c r="H9404" t="inlineStr">
        <is>
          <t>Type 1</t>
        </is>
      </c>
    </row>
    <row r="9405">
      <c r="A9405" t="inlineStr">
        <is>
          <t>gm4o0f</t>
        </is>
      </c>
      <c r="B9405" t="inlineStr">
        <is>
          <t>What are some of the unusual symptoms and affects that come with type 2 diabetes?</t>
        </is>
      </c>
      <c r="C9405" t="inlineStr">
        <is>
          <t>What are some of the unusual symptoms and affects that come with type 2 diabetes?</t>
        </is>
      </c>
      <c r="D9405" t="n">
        <v>1</v>
      </c>
      <c r="E9405" t="n">
        <v>2</v>
      </c>
      <c r="F9405">
        <f>HYPERLINK("https://www.reddit.com/r/diabetes/comments/gm4o0f/what_are_some_of_the_unusual_symptoms_and_affects/")</f>
        <v/>
      </c>
      <c r="G9405" t="inlineStr">
        <is>
          <t>2020-05-18 09:26:07</t>
        </is>
      </c>
      <c r="H9405" t="inlineStr">
        <is>
          <t>Type 2</t>
        </is>
      </c>
    </row>
    <row r="9406">
      <c r="A9406" t="inlineStr">
        <is>
          <t>gm9cxl</t>
        </is>
      </c>
      <c r="B9406" t="inlineStr">
        <is>
          <t>Gastric bypass for type 2D</t>
        </is>
      </c>
      <c r="C9406" t="inlineStr">
        <is>
          <t>Just got off the phone with my endocrinologist. My choices are medication or gastric bypass. My diabetes are brought on by hormonal issues. No matter how much exercise I do, how little food I eat, the weight and associated health issues will always be there. I’m sensitive to medication so I don’t like that option (I gained 6lbs in 2 weeks on metformin). She said the fat will always be there because of my hormones so the fat in my mid section and the diabetes sets me up poorly. With GB there’s no medication and they remove the hormonal part of the stomach, so it’ll be like a master reset. Anyone else in these shoes? What did you do?</t>
        </is>
      </c>
      <c r="D9406" t="n">
        <v>1</v>
      </c>
      <c r="E9406" t="n">
        <v>11</v>
      </c>
      <c r="F9406">
        <f>HYPERLINK("https://www.reddit.com/r/diabetes/comments/gm9cxl/gastric_bypass_for_type_2d/")</f>
        <v/>
      </c>
      <c r="G9406" t="inlineStr">
        <is>
          <t>2020-05-18 13:22:24</t>
        </is>
      </c>
      <c r="H9406" t="inlineStr">
        <is>
          <t>Type 2</t>
        </is>
      </c>
    </row>
    <row r="9407">
      <c r="A9407" t="inlineStr">
        <is>
          <t>gm9i7p</t>
        </is>
      </c>
      <c r="B9407" t="inlineStr">
        <is>
          <t>Im worried I have warning signs of type 2 diabetes... what should I do?</t>
        </is>
      </c>
      <c r="C9407" t="inlineStr">
        <is>
          <t>I haven’t had the greatest eating habits throughout my life due to being an extremely picky eater but until the last 6 months I’ve stayed in pretty good shape just because of how active I was. Well I started smoking weed all the time which had me constantly overeating and drinking soda every day, causing me to gain weight. I also started eating fast food way more often. Smoking so often made me lazy, and frankly rarely active. Now I’m 6’0 195 and I’ve lost muscle and put on fat. So I’m basically wondering if it’s too late to reverse the effects if I eat healthier and get in shape? The last few weeks I’ve been determined to eat healthier and workout daily. It’s been going well and It gives me more confidence in my day to day life. I’m really hoping someone can tell me I’ll be fine as long as I change things up and get in shape. Is this the case?</t>
        </is>
      </c>
      <c r="D9407" t="n">
        <v>1</v>
      </c>
      <c r="E9407" t="n">
        <v>6</v>
      </c>
      <c r="F9407">
        <f>HYPERLINK("https://www.reddit.com/r/diabetes/comments/gm9i7p/im_worried_i_have_warning_signs_of_type_2/")</f>
        <v/>
      </c>
      <c r="G9407" t="inlineStr">
        <is>
          <t>2020-05-18 13:29:56</t>
        </is>
      </c>
      <c r="H9407" t="inlineStr">
        <is>
          <t>Type 2</t>
        </is>
      </c>
    </row>
    <row r="9408">
      <c r="A9408" t="inlineStr">
        <is>
          <t>gma9lf</t>
        </is>
      </c>
      <c r="B9408" t="inlineStr">
        <is>
          <t>I want to get better</t>
        </is>
      </c>
      <c r="C9408" t="inlineStr">
        <is>
          <t>I’ve been T1 diabetic for 10 years, and I’m F20. I’ve never been good with it, I have a lot of mental health issues around self destruction from trauma which I won’t go into, and have been hospitalised with DKA three times in the last three years. 
I want to get better, get more involved and feel interested in it for once. I want to get healthy again. I’m a bit afraid I’m diabulimic too, I have huge hypofear when it comes to my bloods being lower than about 15, but they’re always running much higher than that. 
I’m also an illustrator doing a lot of work and balancing that with all the other life stuff means I never really focus on my bloods - and because I’m a student I can’t realistically afford dexcom since I moved out, which when I had it for 3/4 months was a blessing and drastically helped my mental health. 
I miss feeling healthy, I miss feeling well, those few weeks after my hospital visits getting out ICU and feeling normal, not tense, my eyesight returning, it was awesome. I think since moving out this year I’m tipping on the edge of being hospitalised again which is terrible while Coronavirus is about. I’ve also found someone I really care about in my life, and after being in an abusive relationship for 2 years I realised that I don’t actually want to die at an early age, and if I keep going all of this effort I’ve put into getting out of that relationship and my illustration career is worthless. 
So I guess what I’m saying is, are there any tips anyone has to get better? Is there anything you could recommend, like apps or support groups, techniques that help you stay mentally focused, I’d love to hear it.</t>
        </is>
      </c>
      <c r="D9408" t="n">
        <v>1</v>
      </c>
      <c r="E9408" t="n">
        <v>5</v>
      </c>
      <c r="F9408">
        <f>HYPERLINK("https://www.reddit.com/r/diabetes/comments/gma9lf/i_want_to_get_better/")</f>
        <v/>
      </c>
      <c r="G9408" t="inlineStr">
        <is>
          <t>2020-05-18 14:07:48</t>
        </is>
      </c>
      <c r="H9408" t="inlineStr">
        <is>
          <t>Type 1</t>
        </is>
      </c>
    </row>
    <row r="9409">
      <c r="A9409" t="inlineStr">
        <is>
          <t>gmb5eh</t>
        </is>
      </c>
      <c r="B9409" t="inlineStr">
        <is>
          <t>Loving Monk Fruit Drops</t>
        </is>
      </c>
      <c r="C9409" t="inlineStr">
        <is>
          <t>Wow, been a stevia user for over a decade,use a whole plant extract.  It's great but it has that licorice aftertaste to get used to.  been reading a lot about monk fruit and finally pulled the trigger and order a bottle from Amazon.  FYI, I don't buy any sweetener that's cut with anything else, just pure sweetener jo added junk.
This stuff is perfect...I made a bottle of chai iced tea last night.  Made my first mug this AM.  Mixed in with unsweeten Almond milk (darned Walmart house brand has none of that but or ickyness of other brands) and added my first drops.  Wow it brought the whole beverage together for me.  Love it and it's now my sweetener of choice.
I've been having issues with my BG and caffeine.  Can cause big spikes... sometimes, grrrr.  So thought I'd try a strong brewed tea.  It's getting warmer so why not start out with Chai...now I'm doing a happy dance.  BG level is stable and I brewed the tea strong enough to get a bit of a caffeine boost. 
Anyway, just thought I'd share the fun, we get so few fun food diiscoveries.</t>
        </is>
      </c>
      <c r="D9409" t="n">
        <v>1</v>
      </c>
      <c r="E9409" t="n">
        <v>2</v>
      </c>
      <c r="F9409">
        <f>HYPERLINK("https://www.reddit.com/r/diabetes/comments/gmb5eh/loving_monk_fruit_drops/")</f>
        <v/>
      </c>
      <c r="G9409" t="inlineStr">
        <is>
          <t>2020-05-18 14:53:30</t>
        </is>
      </c>
      <c r="H9409" t="inlineStr">
        <is>
          <t>Type 2</t>
        </is>
      </c>
    </row>
    <row r="9410">
      <c r="A9410" t="inlineStr">
        <is>
          <t>gmb5r4</t>
        </is>
      </c>
      <c r="B9410" t="inlineStr">
        <is>
          <t>Exercise with feet trouble...</t>
        </is>
      </c>
      <c r="C9410" t="inlineStr">
        <is>
          <t>Hi
A friend of mine is finding it hard to exercise as his feet are affected by his chronic diabetes.  
Could someone please direct me to a discussion group on this?  Or any suggestions?
Regards</t>
        </is>
      </c>
      <c r="D9410" t="n">
        <v>1</v>
      </c>
      <c r="E9410" t="n">
        <v>11</v>
      </c>
      <c r="F9410">
        <f>HYPERLINK("https://www.reddit.com/r/diabetes/comments/gmb5r4/exercise_with_feet_trouble/")</f>
        <v/>
      </c>
      <c r="G9410" t="inlineStr">
        <is>
          <t>2020-05-18 14:54:03</t>
        </is>
      </c>
      <c r="H9410" t="inlineStr">
        <is>
          <t>Type 1</t>
        </is>
      </c>
    </row>
    <row r="9411">
      <c r="A9411" t="inlineStr">
        <is>
          <t>gmcge5</t>
        </is>
      </c>
      <c r="B9411" t="inlineStr">
        <is>
          <t>how quick should insulin work</t>
        </is>
      </c>
      <c r="C9411" t="inlineStr">
        <is>
          <t>My partner has just been prescribed insulin, he has been told to use the 14 setting on the pen. 
He started the last night, The doctor said it is a mix of fast acting and long acting insulin. 
he injected last night but we only saw a small decrease in his blood sugars from 18mmol (324.32)  down to 15mmol (270.27) this seems to be a small pathetic reduction.
now he is told to use it once a day. 
so if it has had such a tiny effect is it that the doctor has proscribed him on a dosage that is way to small or is something else is wrong perhaps with the pen?
something that makes me think its the doctor has prescribed him to smaller amount is the fact that there was no discussion about low blood sugars and what to do in the case of it. that was something that was explained to me very clearly when they where talking about putting me on it so the fact the doctor didn't even discuss that makes me wonder if he has been put on such a low dosage that is not even a possibility.
so i guess my question is how quick should a dosage that is a mix of fast acting and long acting insulin take to bring down blood sugars, should it be immediate or may it take a few days?</t>
        </is>
      </c>
      <c r="D9411" t="n">
        <v>1</v>
      </c>
      <c r="E9411" t="n">
        <v>8</v>
      </c>
      <c r="F9411">
        <f>HYPERLINK("https://www.reddit.com/r/diabetes/comments/gmcge5/how_quick_should_insulin_work/")</f>
        <v/>
      </c>
      <c r="G9411" t="inlineStr">
        <is>
          <t>2020-05-18 16:03:53</t>
        </is>
      </c>
      <c r="H9411" t="inlineStr">
        <is>
          <t>Type 2</t>
        </is>
      </c>
    </row>
    <row r="9412">
      <c r="A9412" t="inlineStr">
        <is>
          <t>gmcq99</t>
        </is>
      </c>
      <c r="B9412" t="inlineStr">
        <is>
          <t>Guardian sensor</t>
        </is>
      </c>
      <c r="C9412" t="inlineStr">
        <is>
          <t>So just out of curiosity does anyone know the length of the cannula on the guardian sensor?</t>
        </is>
      </c>
      <c r="D9412" t="n">
        <v>1</v>
      </c>
      <c r="E9412" t="n">
        <v>3</v>
      </c>
      <c r="F9412">
        <f>HYPERLINK("https://www.reddit.com/r/diabetes/comments/gmcq99/guardian_sensor/")</f>
        <v/>
      </c>
      <c r="G9412" t="inlineStr">
        <is>
          <t>2020-05-18 16:18:44</t>
        </is>
      </c>
      <c r="H9412" t="inlineStr">
        <is>
          <t>Type 1</t>
        </is>
      </c>
    </row>
    <row r="9413">
      <c r="A9413" t="inlineStr">
        <is>
          <t>gmeu6m</t>
        </is>
      </c>
      <c r="B9413" t="inlineStr">
        <is>
          <t>Can’t sleep with foot pain any ideas?</t>
        </is>
      </c>
      <c r="C9413" t="inlineStr">
        <is>
          <t>44F UK Type 2 for 10 years. Take 110 units Toujeo daily and 25 units Novorapid with meals. Also on Semaglutide weekly and Metformin. First signs of peripheral neuropathy last year take 40mg Amytriptaline but last few days had pain in both feet, already can’t tell temperature with my feet but this is like I’ve been running just waves of pain can’t even bear my bedcovers resting on my feet. It’s after 2am here and I can’t sleep gotta work tomorrow although thankfully from home but what can I do? Taken co-codamol 😢</t>
        </is>
      </c>
      <c r="D9413" t="n">
        <v>1</v>
      </c>
      <c r="E9413" t="n">
        <v>8</v>
      </c>
      <c r="F9413">
        <f>HYPERLINK("https://www.reddit.com/r/diabetes/comments/gmeu6m/cant_sleep_with_foot_pain_any_ideas/")</f>
        <v/>
      </c>
      <c r="G9413" t="inlineStr">
        <is>
          <t>2020-05-18 18:23:36</t>
        </is>
      </c>
      <c r="H9413" t="inlineStr">
        <is>
          <t>Type 2</t>
        </is>
      </c>
    </row>
    <row r="9414">
      <c r="A9414" t="inlineStr">
        <is>
          <t>gmfp27</t>
        </is>
      </c>
      <c r="B9414" t="inlineStr">
        <is>
          <t>What exactly is so bad about this disease if you start looping?</t>
        </is>
      </c>
      <c r="C9414" t="inlineStr">
        <is>
          <t>I have been reading up on it and it sounds amazing I have a CGM but no pump, my HBA1C is 6.1 and I could see that improving if I were to start looping. Surely it is like a big weight being lifted off your shoulders? Obviously you would still have to deal with lows and everything but still it must be life changing right?</t>
        </is>
      </c>
      <c r="D9414" t="n">
        <v>1</v>
      </c>
      <c r="E9414" t="n">
        <v>4</v>
      </c>
      <c r="F9414">
        <f>HYPERLINK("https://www.reddit.com/r/diabetes/comments/gmfp27/what_exactly_is_so_bad_about_this_disease_if_you/")</f>
        <v/>
      </c>
      <c r="G9414" t="inlineStr">
        <is>
          <t>2020-05-18 19:17:55</t>
        </is>
      </c>
      <c r="H9414" t="inlineStr">
        <is>
          <t>Type 1</t>
        </is>
      </c>
    </row>
    <row r="9415">
      <c r="A9415" t="inlineStr">
        <is>
          <t>gmfseb</t>
        </is>
      </c>
      <c r="B9415" t="inlineStr">
        <is>
          <t>Question About Novolin R</t>
        </is>
      </c>
      <c r="C9415" t="inlineStr">
        <is>
          <t>Would it be dangerous to subcutaneously inject an entire vial of Novolin R?</t>
        </is>
      </c>
      <c r="D9415" t="n">
        <v>1</v>
      </c>
      <c r="E9415" t="n">
        <v>2</v>
      </c>
      <c r="F9415">
        <f>HYPERLINK("https://www.reddit.com/r/diabetes/comments/gmfseb/question_about_novolin_r/")</f>
        <v/>
      </c>
      <c r="G9415" t="inlineStr">
        <is>
          <t>2020-05-18 19:23:45</t>
        </is>
      </c>
      <c r="H9415" t="inlineStr">
        <is>
          <t>Type 2</t>
        </is>
      </c>
    </row>
    <row r="9416">
      <c r="A9416" t="inlineStr">
        <is>
          <t>gmk80u</t>
        </is>
      </c>
      <c r="B9416" t="inlineStr">
        <is>
          <t>Nurse let my BG spike to 400? Need some help</t>
        </is>
      </c>
      <c r="C9416" t="inlineStr">
        <is>
          <t>This past December, I (25f) was in the hospital for several days due to DKA. 
I had an incident that happened, and I wasn’t sure what to do, I know it’s been a while since then, but it’s been REALLY bothering me lately so any advice would be appreciated. 
On my third night in the hospital, my BG was getting fairly stable, so my boyfriend was allowed to bring me some wawa mac and cheese and a few other snacks, totaling about 75g carbs. It was about 6:45pm. My nurse told me her shift was almost over, but that I could eat at 7pm, and the next nurse that was taking over would check my blood sugar and give me my insulin dosage when I was done. So I proceeded to eat my dinner, and had no sign of the next nurse until about 7:45pm. After pressing the call bell, I told her that I had eaten and still haven’t received my insulin. She told me she couldn’t give me insulin because the physician hadn’t put an order in for me to take any. I was extremely confused. I had never needed a physician’s order to take insulin, it was just procedure to administer insulin after eating and to correct for high blood sugars. I explained this, so she said “let me call the physician.” I have no idea what she asked him, because she came back and said, “there’s no order for you to get insulin right now, so I can’t give it to you.” I was extremely confused and told her that doesn’t make any sense. I was told I could eat, so I did, and now I needed insulin. Simple as that. The nurse continued to argue with me and refused to give me any insulin. At this point, it was over an hour and a half past when I ate, and I could feel my blood sugar climbing. I told her I absolutely needed my bolus dose of insulin because I could feel a high coming on. She wouldn’t even check my blood sugar. She told me the next scheduled BG check was at 11pm, nearly 4 hours after I had eaten. At this point, I was very irate. I had just loaded 75g of carbs into my body, with no insulin and no blood sugar check for hours. I began raising my voice, explaining over and over again that I NEEDED my LIFE SUSTAINING MEDICATION and a BG check. She kept refusing to do either. She was SO rude and gave me so much attitude, rolling her eyes, telling me to calm down, acting like I was being childish and unreasonable. At this point, I’m sobbing, telling her my blood sugar is going to be through the roof if she leaves me like this for hours. The nurse responds, “well of course your blood sugar is going through the roof, you ate like 80g of carbs.” That’s when I snapped. I started to freak out, telling her that she was putting me in danger, knowingly letting my BG spike and doing nothing about it, that the entire reason I ended up in the hospital in the first place was because of an uncontrolled high BG and that she was essentially pushing me back into DKA and I’d have to stay longer. I asked to speak to the physician, or literally anyone else that had more than the two brain cells she had. She left the room while I was still talking. Someone else, a tech I think, finally came in and checked my BG. By this time it was 10:30pm. My BG was 398 and rising. 
I need something to be done about this, because this nurse put my life in danger with her negligence and could easily do it to someone else. Both my boyfriend and his mom were both present and can corroborate what happened. 
TLDR; was admitted to the hospital for DKA, nurse refuses to give me insulin or check my blood sugar for hours after being told I could eat dinner, refuses my request to speak to physician, leads to huge spike in blood sugar and an extra day spent at the hospital. 
Where do I go from here? Who do I contact? Is it too late to do anything?</t>
        </is>
      </c>
      <c r="D9416" t="n">
        <v>1</v>
      </c>
      <c r="E9416" t="n">
        <v>25</v>
      </c>
      <c r="F9416">
        <f>HYPERLINK("https://www.reddit.com/r/diabetes/comments/gmk80u/nurse_let_my_bg_spike_to_400_need_some_help/")</f>
        <v/>
      </c>
      <c r="G9416" t="inlineStr">
        <is>
          <t>2020-05-19 00:54:05</t>
        </is>
      </c>
      <c r="H9416" t="inlineStr">
        <is>
          <t>Type 1</t>
        </is>
      </c>
    </row>
    <row r="9417">
      <c r="A9417" t="inlineStr">
        <is>
          <t>gmkkir</t>
        </is>
      </c>
      <c r="B9417" t="inlineStr">
        <is>
          <t>How much long lasting insulin is recommended?</t>
        </is>
      </c>
      <c r="C9417" t="inlineStr">
        <is>
          <t>Basically, ran out of sites until Wednesday 5/20. Going to buy some long lasting insulin from walmart and take it. It's been so long tho and I'm much bigger since I last took it - and currently, I don't have a doctor. So how much insulin should I take, and is it once or twice per day?
My basal for regular insulin in my pump is 1.9 u/hr = 45.6 u/day. I'm 5'10 175 lbs type 1 diabetic.
Note, this is only for one day! I plan on monitoring my blood sugar really closely today, I just needed a little guide considering its 4am right now. Thanks for all help. :)</t>
        </is>
      </c>
      <c r="D9417" t="n">
        <v>1</v>
      </c>
      <c r="E9417" t="n">
        <v>9</v>
      </c>
      <c r="F9417">
        <f>HYPERLINK("https://www.reddit.com/r/diabetes/comments/gmkkir/how_much_long_lasting_insulin_is_recommended/")</f>
        <v/>
      </c>
      <c r="G9417" t="inlineStr">
        <is>
          <t>2020-05-19 01:24:21</t>
        </is>
      </c>
      <c r="H9417" t="inlineStr">
        <is>
          <t>Type 1</t>
        </is>
      </c>
    </row>
    <row r="9418">
      <c r="A9418" t="inlineStr">
        <is>
          <t>gmnqya</t>
        </is>
      </c>
      <c r="B9418" t="inlineStr">
        <is>
          <t>2 Months in with T1 Diagnosis.</t>
        </is>
      </c>
      <c r="C9418" t="inlineStr">
        <is>
          <t>Hi Everyone! 
I was diagnosed with T1 back in early March and with an A1C of 12.5 and my Sugars in the 390s. My A1C was retested a week ago and I got it down to 8.0! I’m so happy that within 2 months of adjusting my life, I’m moving towards a more healthier and happier me! I was exercising before I was diagnosed but now I make sure that I exercise and eat right. Its weird that I don’t miss cookies or my broke college student means , orrrr fast food. The first two weeks of my diagnosis was really rough because I was going through some serious sugar withdraws. Now I don’t even look at cookies or ice cream anymore when I shop. I just can’t express my happiness that I was diagnosed (on a fluke) and I’m somehow still here! I want to say I love you all even if I don’t know you and it’s good to be alive. 👍🏼👍🏼</t>
        </is>
      </c>
      <c r="D9418" t="n">
        <v>1</v>
      </c>
      <c r="E9418" t="n">
        <v>8</v>
      </c>
      <c r="F9418">
        <f>HYPERLINK("https://www.reddit.com/r/diabetes/comments/gmnqya/2_months_in_with_t1_diagnosis/")</f>
        <v/>
      </c>
      <c r="G9418" t="inlineStr">
        <is>
          <t>2020-05-19 05:38:40</t>
        </is>
      </c>
      <c r="H9418" t="inlineStr">
        <is>
          <t>Type 1</t>
        </is>
      </c>
    </row>
    <row r="9419">
      <c r="A9419" t="inlineStr">
        <is>
          <t>gmnweb</t>
        </is>
      </c>
      <c r="B9419" t="inlineStr">
        <is>
          <t>Question about working out and type 1</t>
        </is>
      </c>
      <c r="C9419" t="inlineStr">
        <is>
          <t>So I have been type 1 for the past 3 years and recently I've starting working out and going to the gym and I've picked some considerable muscle mass and weight, but I'm still not entirely where I want to be.Recently I've had the goal in mind for broader shoulders and defined abs or basically just an aesthetically pleasing body, but with my diabetes I'm having a few doubts... Like I have read that high blood sugar can start to basically break down muscle tissue and so on and with this Corona I can't be totally as active as I use to be and my sugar spikes considerably more than it use to. I'm talking like 15-19 atleast once daily and I don't know how this affects my efforts with working out. How long and how often would my sugar need to keep going this high before I start to lose muscle mass? And should I just not workout while my sugar is high and rather wait till it has lowered before I start working out?</t>
        </is>
      </c>
      <c r="D9419" t="n">
        <v>1</v>
      </c>
      <c r="E9419" t="n">
        <v>5</v>
      </c>
      <c r="F9419">
        <f>HYPERLINK("https://www.reddit.com/r/diabetes/comments/gmnweb/question_about_working_out_and_type_1/")</f>
        <v/>
      </c>
      <c r="G9419" t="inlineStr">
        <is>
          <t>2020-05-19 05:48:10</t>
        </is>
      </c>
      <c r="H9419" t="inlineStr">
        <is>
          <t>Type 1</t>
        </is>
      </c>
    </row>
    <row r="9420">
      <c r="A9420" t="inlineStr">
        <is>
          <t>gmq1xu</t>
        </is>
      </c>
      <c r="B9420" t="inlineStr">
        <is>
          <t>I’ll never understand my numbers.</t>
        </is>
      </c>
      <c r="C9420" t="inlineStr">
        <is>
          <t>For the last couple months I’ve waken up with my levels around 100-108, and the last two weeks its been 115-125. I been eating the same and even been eating dinner earlier. I used to eat my last meal around 10 maybe go to bed around 1. I started eating around 8 and going to bed by 12 so i don’t really understand why my numbers went up.  I even dropped 5lbs the last 3 weeks.</t>
        </is>
      </c>
      <c r="D9420" t="n">
        <v>2</v>
      </c>
      <c r="E9420" t="n">
        <v>11</v>
      </c>
      <c r="F9420">
        <f>HYPERLINK("https://www.reddit.com/r/diabetes/comments/gmq1xu/ill_never_understand_my_numbers/")</f>
        <v/>
      </c>
      <c r="G9420" t="inlineStr">
        <is>
          <t>2020-05-19 07:53:09</t>
        </is>
      </c>
      <c r="H9420" t="inlineStr">
        <is>
          <t>Type 2</t>
        </is>
      </c>
    </row>
    <row r="9421">
      <c r="A9421" t="inlineStr">
        <is>
          <t>gmr8xn</t>
        </is>
      </c>
      <c r="B9421" t="inlineStr">
        <is>
          <t>If Keto diet is harmful then why Eskimo don't die</t>
        </is>
      </c>
      <c r="C9421" t="inlineStr">
        <is>
          <t>Hi,
As you know, one of the ways to control diabetes is with Keto diet. All over internet, some say it's safe, like in Dr Oz show, some say it's unsafe
My question is if it is unsafe then how Eskimo on north pole survive only on meat ? They dont eat bread and carbs mostly.
And why cannot Keto be made safe if you add all minerals and vitamins?
Is it because the pharmacies will loose customers of diabetes medicine?
Thanks</t>
        </is>
      </c>
      <c r="D9421" t="n">
        <v>2</v>
      </c>
      <c r="E9421" t="n">
        <v>41</v>
      </c>
      <c r="F9421">
        <f>HYPERLINK("https://www.reddit.com/r/diabetes/comments/gmr8xn/if_keto_diet_is_harmful_then_why_eskimo_dont_die/")</f>
        <v/>
      </c>
      <c r="G9421" t="inlineStr">
        <is>
          <t>2020-05-19 08:56:07</t>
        </is>
      </c>
      <c r="H9421" t="inlineStr">
        <is>
          <t>Type 2</t>
        </is>
      </c>
    </row>
    <row r="9422">
      <c r="A9422" t="inlineStr">
        <is>
          <t>gmuhsx</t>
        </is>
      </c>
      <c r="B9422" t="inlineStr">
        <is>
          <t>Can’t feel lows, highs, feeling of fullness or hunger???!</t>
        </is>
      </c>
      <c r="C9422" t="inlineStr">
        <is>
          <t>So this is really weird. But I already can’t feel my lows even if I’m down in the 30’s. I can’t feel highs aside from a headache sometimes. No matter how much food I eat I can feel somewhat bloated but I can’t feel full. Recently I’ve noticed I don’t feel hungry anymore which obviously contributes to my lows. Like no matter how long I go without eating I just don’t feel hungry. I use 18units of Levimer long acting and 1:10 humalog sliding scale. I use plenty of insulin which used to make me super hungry but that’s gone now. Anyone else experiencing this kinda stuff? Don’t mind not feeling hungry... but it would be nice to eat a meal and feel that full satisfaction after wards :(</t>
        </is>
      </c>
      <c r="D9422" t="n">
        <v>1</v>
      </c>
      <c r="E9422" t="n">
        <v>8</v>
      </c>
      <c r="F9422">
        <f>HYPERLINK("https://www.reddit.com/r/diabetes/comments/gmuhsx/cant_feel_lows_highs_feeling_of_fullness_or_hunger/")</f>
        <v/>
      </c>
      <c r="G9422" t="inlineStr">
        <is>
          <t>2020-05-19 11:41:48</t>
        </is>
      </c>
      <c r="H9422" t="inlineStr">
        <is>
          <t>Type 1</t>
        </is>
      </c>
    </row>
    <row r="9423">
      <c r="A9423" t="inlineStr">
        <is>
          <t>gmx77q</t>
        </is>
      </c>
      <c r="B9423" t="inlineStr">
        <is>
          <t>High altitude?</t>
        </is>
      </c>
      <c r="C9423" t="inlineStr">
        <is>
          <t>Has anyone experienced low blood sugars while at a higher altitude? 
I live at 1,000 ft, I’m now at 7,000 ft and will be for the  rest of the summer. I’ve been having more lows than usual since arriving last week and am wondering if anyone has had the same experience. Trying to figure out if I need to make a basal adjustment or just ride out a weird week.</t>
        </is>
      </c>
      <c r="D9423" t="n">
        <v>1</v>
      </c>
      <c r="E9423" t="n">
        <v>8</v>
      </c>
      <c r="F9423">
        <f>HYPERLINK("https://www.reddit.com/r/diabetes/comments/gmx77q/high_altitude/")</f>
        <v/>
      </c>
      <c r="G9423" t="inlineStr">
        <is>
          <t>2020-05-19 14:01:11</t>
        </is>
      </c>
      <c r="H9423" t="inlineStr">
        <is>
          <t>Type 1</t>
        </is>
      </c>
    </row>
    <row r="9424">
      <c r="A9424" t="inlineStr">
        <is>
          <t>gmxjwf</t>
        </is>
      </c>
      <c r="B9424" t="inlineStr">
        <is>
          <t>Hydrocolloid under G6, anyone?</t>
        </is>
      </c>
      <c r="C9424" t="inlineStr">
        <is>
          <t>Several years ago my nurse educator taught me to use a Band-Aid hydrocolloid bandage under my G5 sensor because my skin is so sensitive, and I've never cut a hole in it.  It has always worked perfectly for me, but I'm just having  to change to G6 sensors and I'm wondering if anyone is using the hydrocolloid, if they need to cut a hole, etc.  They are so expensive I'm afraid to waste one.  I have a role of OpSite as well.  I always cut it to fit over the top with pinking shears which keeps the edges from peeling  for the full 2 week I wore them.  And advice?</t>
        </is>
      </c>
      <c r="D9424" t="n">
        <v>1</v>
      </c>
      <c r="E9424" t="n">
        <v>8</v>
      </c>
      <c r="F9424">
        <f>HYPERLINK("https://www.reddit.com/r/diabetes/comments/gmxjwf/hydrocolloid_under_g6_anyone/")</f>
        <v/>
      </c>
      <c r="G9424" t="inlineStr">
        <is>
          <t>2020-05-19 14:19:56</t>
        </is>
      </c>
      <c r="H9424" t="inlineStr">
        <is>
          <t>Type 1</t>
        </is>
      </c>
    </row>
    <row r="9425">
      <c r="A9425" t="inlineStr">
        <is>
          <t>gn6ujp</t>
        </is>
      </c>
      <c r="B9425" t="inlineStr">
        <is>
          <t>Type 1 diabetics more likely than type 2 to die of coronavirus</t>
        </is>
      </c>
      <c r="C9425" t="inlineStr">
        <is>
          <t xml:space="preserve"> [https://www.theguardian.com/society/2020/may/20/type-1-diabetics-type-2-coronavirus-nhs-study](https://www.theguardian.com/society/2020/may/20/type-1-diabetics-type-2-coronavirus-nhs-study) 
Jeez. As if diabetes in itself isn't bad enough...</t>
        </is>
      </c>
      <c r="D9425" t="n">
        <v>1</v>
      </c>
      <c r="E9425" t="n">
        <v>13</v>
      </c>
      <c r="F9425">
        <f>HYPERLINK("https://www.reddit.com/r/diabetes/comments/gn6ujp/type_1_diabetics_more_likely_than_type_2_to_die/")</f>
        <v/>
      </c>
      <c r="G9425" t="inlineStr">
        <is>
          <t>2020-05-20 00:26:27</t>
        </is>
      </c>
      <c r="H9425" t="inlineStr">
        <is>
          <t>Type 1</t>
        </is>
      </c>
    </row>
    <row r="9426">
      <c r="A9426" t="inlineStr">
        <is>
          <t>gn7vrb</t>
        </is>
      </c>
      <c r="B9426" t="inlineStr">
        <is>
          <t>Keto Diet - Safe?</t>
        </is>
      </c>
      <c r="C9426" t="inlineStr">
        <is>
          <t>I skimmed a few of the keto posts here and did some googling, but I'm getting mixed information. I thought ketones were bad for diabetics, but the goal of a keto diet is ketosis? Is that better than ketoacidosis? I'm just a little confused. Has anyone here found success on keto?</t>
        </is>
      </c>
      <c r="D9426" t="n">
        <v>1</v>
      </c>
      <c r="E9426" t="n">
        <v>10</v>
      </c>
      <c r="F9426">
        <f>HYPERLINK("https://www.reddit.com/r/diabetes/comments/gn7vrb/keto_diet_safe/")</f>
        <v/>
      </c>
      <c r="G9426" t="inlineStr">
        <is>
          <t>2020-05-20 01:55:47</t>
        </is>
      </c>
      <c r="H9426" t="inlineStr">
        <is>
          <t>Type 2</t>
        </is>
      </c>
    </row>
    <row r="9427">
      <c r="A9427" t="inlineStr">
        <is>
          <t>gnc9ta</t>
        </is>
      </c>
      <c r="B9427" t="inlineStr">
        <is>
          <t>How to deal with dawn phenomenon?</t>
        </is>
      </c>
      <c r="C9427" t="inlineStr">
        <is>
          <t>Hi Everyone,
I been diagnosed as type 1 diabetic about 3 years ago, and I been controlling my blood sugar well super well and still controlling it well. However started about 1 year ago I been experiencing dawn phenomenon. No matter what I do my BG is always higher than what I wanted in the morning, according to the data from my freestyle libre, my BG is normal before bed and until 6am. Then everyday at 6am my BG will go up and continue to go up until 9am. I tried to increased the latus intake before bed, eat almost no card carb for dinner, give myself a few units of humalog before bed, took metformin per doctor's instruction, exercise after dinner. None of these method seemed to work, and I am wondering how are you guys dealing with dawn phenomenon.</t>
        </is>
      </c>
      <c r="D9427" t="n">
        <v>1</v>
      </c>
      <c r="E9427" t="n">
        <v>13</v>
      </c>
      <c r="F9427">
        <f>HYPERLINK("https://www.reddit.com/r/diabetes/comments/gnc9ta/how_to_deal_with_dawn_phenomenon/")</f>
        <v/>
      </c>
      <c r="G9427" t="inlineStr">
        <is>
          <t>2020-05-20 07:25:33</t>
        </is>
      </c>
      <c r="H9427" t="inlineStr">
        <is>
          <t>Type 1</t>
        </is>
      </c>
    </row>
    <row r="9428">
      <c r="A9428" t="inlineStr">
        <is>
          <t>gne88x</t>
        </is>
      </c>
      <c r="B9428" t="inlineStr">
        <is>
          <t>Injecting 20 units of insulin for fast acting meal</t>
        </is>
      </c>
      <c r="C9428" t="inlineStr">
        <is>
          <t>Title is what it says, 
Have you ever eaten 20 units of insulin worth or more which required a fast acting injection or input on the pump?
Just curious to see if anyone has and how their body reacted and if it was any different to eating 2 units worth of insulin? Thanks!
Type 1 diabetics please as it’ll help!</t>
        </is>
      </c>
      <c r="D9428" t="n">
        <v>1</v>
      </c>
      <c r="E9428" t="n">
        <v>14</v>
      </c>
      <c r="F9428">
        <f>HYPERLINK("https://www.reddit.com/r/diabetes/comments/gne88x/injecting_20_units_of_insulin_for_fast_acting_meal/")</f>
        <v/>
      </c>
      <c r="G9428" t="inlineStr">
        <is>
          <t>2020-05-20 09:11:53</t>
        </is>
      </c>
      <c r="H9428" t="inlineStr">
        <is>
          <t>Type 1</t>
        </is>
      </c>
    </row>
    <row r="9429">
      <c r="A9429" t="inlineStr">
        <is>
          <t>gnf73u</t>
        </is>
      </c>
      <c r="B9429" t="inlineStr">
        <is>
          <t>I've been experiencing headaches, dizziness, and extreme fatigue for two month whenever I eat and just got my diabetes diagnosis. I'm working with a doctor but could really use practical advice on how to live with this.</t>
        </is>
      </c>
      <c r="C9429" t="inlineStr">
        <is>
          <t>So as the long winded title says.  I've been experiencing extreme fatigue, dizziness and headaches for 2 to 4 hours after I eat for the last two months and it's ruining my life.  I can't do anything but sleep.  I've been measuring my blood sugar in the morning and it's usually around 150 and two hours after my last meal of the day around 160 - 190.  No insulin currently, just on metformin.  
I took a diabetes class that my health provider puts on last night and they suggested walking for 15 minutes after eating.  I'm going to start doing that today.  Any other practical advice on getting back to living some kind of normal type life.</t>
        </is>
      </c>
      <c r="D9429" t="n">
        <v>1</v>
      </c>
      <c r="E9429" t="n">
        <v>5</v>
      </c>
      <c r="F9429">
        <f>HYPERLINK("https://www.reddit.com/r/diabetes/comments/gnf73u/ive_been_experiencing_headaches_dizziness_and/")</f>
        <v/>
      </c>
      <c r="G9429" t="inlineStr">
        <is>
          <t>2020-05-20 10:02:13</t>
        </is>
      </c>
      <c r="H9429" t="inlineStr">
        <is>
          <t>Type 2</t>
        </is>
      </c>
    </row>
    <row r="9430">
      <c r="A9430" t="inlineStr">
        <is>
          <t>gnfows</t>
        </is>
      </c>
      <c r="B9430" t="inlineStr">
        <is>
          <t>To the OP that posted about the free Sharps by mail return container disposal</t>
        </is>
      </c>
      <c r="C9430" t="inlineStr">
        <is>
          <t>I’m not sure if I read about this on this sub...but if it was, I just wanted to say thank you for posting! I received the Sharps container today.  If anyone is interested here is the address novacare.com/diabetes-overview/let-us-help/safe-disposal.html</t>
        </is>
      </c>
      <c r="D9430" t="n">
        <v>1</v>
      </c>
      <c r="E9430" t="n">
        <v>0</v>
      </c>
      <c r="F9430">
        <f>HYPERLINK("https://www.reddit.com/r/diabetes/comments/gnfows/to_the_op_that_posted_about_the_free_sharps_by/")</f>
        <v/>
      </c>
      <c r="G9430" t="inlineStr">
        <is>
          <t>2020-05-20 10:27:53</t>
        </is>
      </c>
      <c r="H9430" t="inlineStr">
        <is>
          <t>Type 2</t>
        </is>
      </c>
    </row>
    <row r="9431">
      <c r="A9431" t="inlineStr">
        <is>
          <t>gnhfql</t>
        </is>
      </c>
      <c r="B9431" t="inlineStr">
        <is>
          <t>This is rough.</t>
        </is>
      </c>
      <c r="C9431" t="inlineStr">
        <is>
          <t>I'm going to be talking about the harsh realities of diabetes in this post so please skip this if you're not looking to be reminded.
I was diagnosed as T1 in December '08 as an 8 y/o. Everything was stable until I was about 13 or 14, and then I stopped caring about taking care of myself. I stopped taking my blood sugar, I stopped dosing for meals (the ones I weren't skipping), and I would use these high blood sugars as an excuse to get out of schoolwork and school-related activities. I eventually stopped administering Lantus and just slept all day. My meter stayed in my bag- out of sight, out of mind, right? It's not real if I don't think about it. 
Skip forward to January 2015 and I'm, shockingly, in the hospital in DKA. I was told by my endo that I needed to start getting on top of it lest major complications arise. I believed that my hospitalization would get me in check, but July 2016 and I'm in the hospital again. This time he sent me to an adolescent medicine doctor where I was prescribed Prozac and made to have appointments every few months to discuss my mental health, but I was not ready to be better, and I nearly slipped into DKA twice afterwards but administered massive amounts of insulin to pull myself out of it (I know that I should have gone to the ER but I refused to go back to the hospital for failing to take care of myself yet again).
Skip forward to today. I'm 21 and I haven't been at all stable in taking my blood since I was younger than 14, with maybe 1-2 checks every two weeks or so. I finally got a GP for myself, had labs done a week or so ago, and my doctor called me yesterday with the results. Unsurprisingly I have microscopic amounts of kidney damage and an average blood sugar of 285 with an A1C of 11. She told me the same thing that I've been hearing for years now- that I need to start taking my blood sugar regularly and taking the correct dosage of insulin because complications are starting to pop up and this **will** catch up to me. She said that it's kind of a miracle that I'm not in the hospital or feeling sick at all. 
I guess hearing that my kidneys are actually starting to become damaged was a bit of a wake up call. I'm commonly dealing with headaches, I've lost quite a bit of feeling in my fingers and feet (nerve pain is apparent as well), and my eyesight has gotten noticeably worse. I'm tired of this and I just want to be better. I've been taking my blood sugar frequently, dosing for my meals with correction, and I made an appointment with my main endocrinologist. I don't want to die young or lose a foot at 30 because I didn't do what I needed to as a teenager/young adult. I've been breaking down and crying a lot-  thoughts of "*why me?*" have been plaguing my mind.
I think that a lot of the fatigue comes from the inconvenience- most people don't have to deal with needles, finger pokes, carb counting, pods getting in the way of showering/sleeping/exercise, minimum every-3-month doctor visits; why should I? 
Well... I have to if I want to be healthy. I want a life, not a recovery.
Since I've started fixing this I've been feeling terrible and generally sick. My body is so used to being high all the time that being in the \~115 range leaves me feeling low. My depression has not been friendly. My dad, who is my main support in life, is unaware because I've been lying to him for years about being stable, so I can't exactly speak to him about it; I've definitely stabbed myself in the back with that one. It's not surprising that hearing "get better" is harsh to hear from a non-diabetic, but the only other person in my life who is T1D is my younger sister. By all accounts having a sibling with the same issue is a blessing, that's a type of support that many don't have, but she isn't the best with her diabetes herself. I've implored her to get on it and I'm going to be keeping up on her but that "be better" is going to have to be us leaning on each other. 
I've been feeling very alone with this in person, but this sub definitely helps me feel better about being diabetic. It's just something that happens, it isn't a punishment, and it's smooth sailing if you're stable. Seeing you all embracing your diabetes and posting your beautiful numbers and smooth landings is all such good motivation.
This post is a tangent of tangled thoughts for sure, so it may or may not make sense. Thank you for reading.
TL;DR: I suck at diabetes and I'm striving to be better.</t>
        </is>
      </c>
      <c r="D9431" t="n">
        <v>1</v>
      </c>
      <c r="E9431" t="n">
        <v>9</v>
      </c>
      <c r="F9431">
        <f>HYPERLINK("https://www.reddit.com/r/diabetes/comments/gnhfql/this_is_rough/")</f>
        <v/>
      </c>
      <c r="G9431" t="inlineStr">
        <is>
          <t>2020-05-20 11:56:31</t>
        </is>
      </c>
      <c r="H9431" t="inlineStr">
        <is>
          <t>Type 1</t>
        </is>
      </c>
    </row>
    <row r="9432">
      <c r="A9432" t="inlineStr">
        <is>
          <t>gnhyjb</t>
        </is>
      </c>
      <c r="B9432" t="inlineStr">
        <is>
          <t>Glucose monitor for diabetic retinopathy</t>
        </is>
      </c>
      <c r="C9432" t="inlineStr">
        <is>
          <t>I need your suggestions for as glucose monitor.  I have diabetic retinopathy which makes it difficult to see things where there is no contrast. My doctor doesn't understand that it is NOT the readout I can't see.  It is the  area on the strip where the blood sample should be applied.  I have wasted so many expensive strips because of this.  Any suggections?</t>
        </is>
      </c>
      <c r="D9432" t="n">
        <v>1</v>
      </c>
      <c r="E9432" t="n">
        <v>14</v>
      </c>
      <c r="F9432">
        <f>HYPERLINK("https://www.reddit.com/r/diabetes/comments/gnhyjb/glucose_monitor_for_diabetic_retinopathy/")</f>
        <v/>
      </c>
      <c r="G9432" t="inlineStr">
        <is>
          <t>2020-05-20 12:23:24</t>
        </is>
      </c>
      <c r="H9432" t="inlineStr">
        <is>
          <t>Type 2</t>
        </is>
      </c>
    </row>
    <row r="9433">
      <c r="A9433" t="inlineStr">
        <is>
          <t>gnj758</t>
        </is>
      </c>
      <c r="B9433" t="inlineStr">
        <is>
          <t>Help me out with some Dexcom Questions?</t>
        </is>
      </c>
      <c r="C9433" t="inlineStr">
        <is>
          <t>Ok I’m so new to Dexcom, but aren’t we supposed to see a peak at 1 hour? I’m seeing it at the 2 hour (yes I know peaks can come at different times depending on what you eat) but I’m seeing it right at the 2 hour mark then it go down...so confused. Also, do you calibrate this G6?!  Annoyed</t>
        </is>
      </c>
      <c r="D9433" t="n">
        <v>1</v>
      </c>
      <c r="E9433" t="n">
        <v>5</v>
      </c>
      <c r="F9433">
        <f>HYPERLINK("https://www.reddit.com/r/diabetes/comments/gnj758/help_me_out_with_some_dexcom_questions/")</f>
        <v/>
      </c>
      <c r="G9433" t="inlineStr">
        <is>
          <t>2020-05-20 13:28:10</t>
        </is>
      </c>
      <c r="H9433" t="inlineStr">
        <is>
          <t>Type 2</t>
        </is>
      </c>
    </row>
    <row r="9434">
      <c r="A9434" t="inlineStr">
        <is>
          <t>gnln6f</t>
        </is>
      </c>
      <c r="B9434" t="inlineStr">
        <is>
          <t>Anyone know how to manage acanthosis nigricans and stop it from spreading??</t>
        </is>
      </c>
      <c r="C9434" t="inlineStr">
        <is>
          <t>I've developed awful dark patches under my armpits and behind my thighs. I am financially unable to seek medical attention at this time and neosporin has done nothing to stop the irritation and growth. It makes me feel repulsive, ugly, unclean. I'm off of Actos plus Metform, which I took 2x daily, after taking for about 4 years straight alongside Trulicity occasionally. 25F, 135lbs, last A1c check was 6.3 in October.</t>
        </is>
      </c>
      <c r="D9434" t="n">
        <v>1</v>
      </c>
      <c r="E9434" t="n">
        <v>1</v>
      </c>
      <c r="F9434">
        <f>HYPERLINK("https://www.reddit.com/r/diabetes/comments/gnln6f/anyone_know_how_to_manage_acanthosis_nigricans/")</f>
        <v/>
      </c>
      <c r="G9434" t="inlineStr">
        <is>
          <t>2020-05-20 16:32:49</t>
        </is>
      </c>
      <c r="H9434" t="inlineStr">
        <is>
          <t>Type 2</t>
        </is>
      </c>
    </row>
    <row r="9435">
      <c r="A9435" t="inlineStr">
        <is>
          <t>gnoery</t>
        </is>
      </c>
      <c r="B9435" t="inlineStr">
        <is>
          <t>What is a good substitute for Accu-Chek 360?</t>
        </is>
      </c>
      <c r="C9435" t="inlineStr">
        <is>
          <t>I have a diabetes telemedicine appointment tomorrow at fucking 8AM and they need a PDF of all the logs from my meter and pump and I'm "that one guy" who still has an Accu-Chek pump. The Aviva Plus / Spirit Combo. 
I used to use Accu-Chek 360 on my old computer but it will not install on my new PC. I tried Tidepool Uploader but it does not seem to be compatible with this pump and meter combo. My stuff doesn't connect to micro-USB but it uses an accu chek wireless bluetooth USB thing.
What other free programs are out there? Need to know ASAP. Thanks!</t>
        </is>
      </c>
      <c r="D9435" t="n">
        <v>1</v>
      </c>
      <c r="E9435" t="n">
        <v>0</v>
      </c>
      <c r="F9435">
        <f>HYPERLINK("https://www.reddit.com/r/diabetes/comments/gnoery/what_is_a_good_substitute_for_accuchek_360/")</f>
        <v/>
      </c>
      <c r="G9435" t="inlineStr">
        <is>
          <t>2020-05-20 19:22:55</t>
        </is>
      </c>
      <c r="H9435" t="inlineStr">
        <is>
          <t>Type 1</t>
        </is>
      </c>
    </row>
    <row r="9436">
      <c r="A9436" t="inlineStr">
        <is>
          <t>gnoytz</t>
        </is>
      </c>
      <c r="B9436" t="inlineStr">
        <is>
          <t>Is there a difference in how different sized needle heads feel when being inserted?</t>
        </is>
      </c>
      <c r="C9436" t="inlineStr">
        <is>
          <t>- Staying at my moms house for a week. 
- Left my needle-heads at my house. 
- My sister has some BP brand 6mm needles that will fit my levimir. 
- I use 4mm Novofine ones normally. 
- **Is there a difference in how the needle feels due to the size difference? Is there more pain? Does it actually matter?**</t>
        </is>
      </c>
      <c r="D9436" t="n">
        <v>1</v>
      </c>
      <c r="E9436" t="n">
        <v>5</v>
      </c>
      <c r="F9436">
        <f>HYPERLINK("https://www.reddit.com/r/diabetes/comments/gnoytz/is_there_a_difference_in_how_different_sized/")</f>
        <v/>
      </c>
      <c r="G9436" t="inlineStr">
        <is>
          <t>2020-05-20 20:00:48</t>
        </is>
      </c>
      <c r="H9436" t="inlineStr">
        <is>
          <t>Type 1</t>
        </is>
      </c>
    </row>
    <row r="9437">
      <c r="A9437" t="inlineStr">
        <is>
          <t>gns0tk</t>
        </is>
      </c>
      <c r="B9437" t="inlineStr">
        <is>
          <t>Dumb question. Today’s my birthday. Been a while since my diagnosis. About 2 years since I’ve had a slice of pizza. I’m feeling like being a bit adventurous. Is that okay?</t>
        </is>
      </c>
      <c r="C9437" t="inlineStr">
        <is>
          <t>Also. How the fuck do I bolus for pizza? I’ve done nothing but clean eating since my Dx and my a1c is 5.6, if I splurge today and eat four pieces of pizza is it going to undo my progress?</t>
        </is>
      </c>
      <c r="D9437" t="n">
        <v>1</v>
      </c>
      <c r="E9437" t="n">
        <v>8</v>
      </c>
      <c r="F9437">
        <f>HYPERLINK("https://www.reddit.com/r/diabetes/comments/gns0tk/dumb_question_todays_my_birthday_been_a_while/")</f>
        <v/>
      </c>
      <c r="G9437" t="inlineStr">
        <is>
          <t>2020-05-21 00:01:37</t>
        </is>
      </c>
      <c r="H9437" t="inlineStr">
        <is>
          <t>Type 2</t>
        </is>
      </c>
    </row>
    <row r="9438">
      <c r="A9438" t="inlineStr">
        <is>
          <t>gntjf1</t>
        </is>
      </c>
      <c r="B9438" t="inlineStr">
        <is>
          <t>dear dexcom people who surely do not come here: the sensor code should be in more than one spot than just on the applicator adhesive cover.</t>
        </is>
      </c>
      <c r="C9438" t="inlineStr">
        <is>
          <t>sincerely, me.</t>
        </is>
      </c>
      <c r="D9438" t="n">
        <v>1</v>
      </c>
      <c r="E9438" t="n">
        <v>18</v>
      </c>
      <c r="F9438">
        <f>HYPERLINK("https://www.reddit.com/r/diabetes/comments/gntjf1/dear_dexcom_people_who_surely_do_not_come_here/")</f>
        <v/>
      </c>
      <c r="G9438" t="inlineStr">
        <is>
          <t>2020-05-21 02:16:58</t>
        </is>
      </c>
      <c r="H9438" t="inlineStr">
        <is>
          <t>Type 2</t>
        </is>
      </c>
    </row>
    <row r="9439">
      <c r="A9439" t="inlineStr">
        <is>
          <t>gnwdll</t>
        </is>
      </c>
      <c r="B9439" t="inlineStr">
        <is>
          <t>Diagnosed 3 months ago.</t>
        </is>
      </c>
      <c r="C9439" t="inlineStr">
        <is>
          <t>In February, I was told I was diabetic, type 2.  I'd like to say it blindsided me, but I'm a 50yo man who drank at least a half gallon of soda every day.  A1C was 11.  They were surprised by the lack of high blood pressure / bad cholesterol and said they weren't going to prescribe meds for that, which they usually do as a trifecta.  I just got metformin and a meter prescription with instructions to start out with testing in the morning before food and 2 hours after meals if I felt poor.  
I immediately cut out soda, and on the nutritionist's advice, dairy.  I got some valuable lessons about net carbs and have switched my bread intake to carb balance tortillas.  I got my bcg meter, a One Touch Ultra, and started testing before breakfast.  I had been without soda for 4-5 days by this point.  My blood sugar was 187.  I've been working hard, eating better, and using Huel Black Edition for my "I don't have time to eat" meals instead of a fast food meal.  I've kind of expanded that to 2+ meals a day just because it's so fast and easy.  I'm down 30lbs.  I ride my bike daily for 45m-2h.  Morning meter tests range from 97-120 depending on how late my supper was.
On Monday, May 18th, I got a follow up A1C test for an appointment next week.  I was kind of excited because I've worked really hard on this.  Yesterday, I got a call from the Doctor's receptionist who said, "We got your results in, the doctor says your numbers are still high and she'd like you to work on reducing your sugar/carb intake."
I had that moment of rage where you think everything you did was for nothing, and it's time to devour an entire cheesecake.  This morning, I found the uploaded test results and looked through it.  There was my A1C of 6.0.  
Wait, what?  My A1C dropped by 5 points in 3 months and that was the message I got?  I see improvement, solid improvement.  I'm going to call this a win.  Hopefully, I get more constructive feedback at my appointment.
Sorry, needed to vent.  I just found the numbers and my girlfriend is still asleep.</t>
        </is>
      </c>
      <c r="D9439" t="n">
        <v>1</v>
      </c>
      <c r="E9439" t="n">
        <v>13</v>
      </c>
      <c r="F9439">
        <f>HYPERLINK("https://www.reddit.com/r/diabetes/comments/gnwdll/diagnosed_3_months_ago/")</f>
        <v/>
      </c>
      <c r="G9439" t="inlineStr">
        <is>
          <t>2020-05-21 05:58:11</t>
        </is>
      </c>
      <c r="H9439" t="inlineStr">
        <is>
          <t>Type 2</t>
        </is>
      </c>
    </row>
    <row r="9440">
      <c r="A9440" t="inlineStr">
        <is>
          <t>gnzd9f</t>
        </is>
      </c>
      <c r="B9440" t="inlineStr">
        <is>
          <t>A Facebook Live discussion about low-carb diabetic pregnancies ongoing now.</t>
        </is>
      </c>
      <c r="C9440" t="inlineStr">
        <is>
          <t>I apologize in advance if this is considered advertisement, however, there is a great Facebook live chat going on in regards to low-carb diabetic pregnancies.   A lot of FAQ, a lot of myth debunking.  I hope this helps.
 [https://www.facebook.com/diavergeDiabetes](https://www.facebook.com/diavergeDiabetes)</t>
        </is>
      </c>
      <c r="D9440" t="n">
        <v>1</v>
      </c>
      <c r="E9440" t="n">
        <v>0</v>
      </c>
      <c r="F9440">
        <f>HYPERLINK("https://www.reddit.com/r/diabetes/comments/gnzd9f/a_facebook_live_discussion_about_lowcarb_diabetic/")</f>
        <v/>
      </c>
      <c r="G9440" t="inlineStr">
        <is>
          <t>2020-05-21 08:52:53</t>
        </is>
      </c>
      <c r="H9440" t="inlineStr">
        <is>
          <t>Type 1</t>
        </is>
      </c>
    </row>
    <row r="9441">
      <c r="A9441" t="inlineStr">
        <is>
          <t>go09i4</t>
        </is>
      </c>
      <c r="B9441" t="inlineStr">
        <is>
          <t>Carb counting</t>
        </is>
      </c>
      <c r="C9441" t="inlineStr">
        <is>
          <t>How do you calculate carbs for homemade bread? I was given a loaf of artisan bread and don’t know how to calculate for it so I know how much insulin I should be taking.</t>
        </is>
      </c>
      <c r="D9441" t="n">
        <v>0</v>
      </c>
      <c r="E9441" t="n">
        <v>7</v>
      </c>
      <c r="F9441">
        <f>HYPERLINK("https://www.reddit.com/r/diabetes/comments/go09i4/carb_counting/")</f>
        <v/>
      </c>
      <c r="G9441" t="inlineStr">
        <is>
          <t>2020-05-21 09:40:42</t>
        </is>
      </c>
      <c r="H9441" t="inlineStr">
        <is>
          <t>Type 2</t>
        </is>
      </c>
    </row>
    <row r="9442">
      <c r="A9442" t="inlineStr">
        <is>
          <t>go1lgx</t>
        </is>
      </c>
      <c r="B9442" t="inlineStr">
        <is>
          <t>i know we post these a lot... but MY A1C IS DOWN TO 8 !!!</t>
        </is>
      </c>
      <c r="C9442" t="inlineStr">
        <is>
          <t>i know its not the lowest number but i have been fluctuating from 10.5-13+ for 14 years. at the end of January i finally got a a GCM / pump combo ... and it has been a life changer , from then to now i dropped my ac1 to 8 and its only going get lower. 
if you have the option of getting even just a GCM even if it will cost you a little. its been the biggest change in my life</t>
        </is>
      </c>
      <c r="D9442" t="n">
        <v>4</v>
      </c>
      <c r="E9442" t="n">
        <v>15</v>
      </c>
      <c r="F9442">
        <f>HYPERLINK("https://www.reddit.com/r/diabetes/comments/go1lgx/i_know_we_post_these_a_lot_but_my_a1c_is_down_to_8/")</f>
        <v/>
      </c>
      <c r="G9442" t="inlineStr">
        <is>
          <t>2020-05-21 10:51:23</t>
        </is>
      </c>
      <c r="H9442" t="inlineStr">
        <is>
          <t>Type 1</t>
        </is>
      </c>
    </row>
    <row r="9443">
      <c r="A9443" t="inlineStr">
        <is>
          <t>go2lcy</t>
        </is>
      </c>
      <c r="B9443" t="inlineStr">
        <is>
          <t>diabetes school project</t>
        </is>
      </c>
      <c r="C9443" t="inlineStr">
        <is>
          <t>Hi! I'm doing a project on how diabetes impacts mental health and I would love to get some responses to add into my research! If anyone has personal stories or situations that's applicable, please share!</t>
        </is>
      </c>
      <c r="D9443" t="n">
        <v>2</v>
      </c>
      <c r="E9443" t="n">
        <v>2</v>
      </c>
      <c r="F9443">
        <f>HYPERLINK("https://www.reddit.com/r/diabetes/comments/go2lcy/diabetes_school_project/")</f>
        <v/>
      </c>
      <c r="G9443" t="inlineStr">
        <is>
          <t>2020-05-21 11:44:16</t>
        </is>
      </c>
      <c r="H9443" t="inlineStr">
        <is>
          <t>Type 1</t>
        </is>
      </c>
    </row>
    <row r="9444">
      <c r="A9444" t="inlineStr">
        <is>
          <t>go2yoa</t>
        </is>
      </c>
      <c r="B9444" t="inlineStr">
        <is>
          <t>Can Medtronic 670g be used without CGM?</t>
        </is>
      </c>
      <c r="C9444" t="inlineStr">
        <is>
          <t>Hello fellow diabetics! 
After several years with the Paradigm 751 I'm being upgraded to the 670g soon, but I'm a little hesitant about it. When I got the Paradigm, I was trained with the CGM but ultimately never used it, mainly because the idea of another little device on my body seems too cumbersome to me. I really have no interest in using the CGM with the new pump, either, hence the title question. Is the 670g any good without a CGM? Got any general tips for trying to get oneself more comfortable with the idea of wearing a CGM?</t>
        </is>
      </c>
      <c r="D9444" t="n">
        <v>1</v>
      </c>
      <c r="E9444" t="n">
        <v>7</v>
      </c>
      <c r="F9444">
        <f>HYPERLINK("https://www.reddit.com/r/diabetes/comments/go2yoa/can_medtronic_670g_be_used_without_cgm/")</f>
        <v/>
      </c>
      <c r="G9444" t="inlineStr">
        <is>
          <t>2020-05-21 12:03:27</t>
        </is>
      </c>
      <c r="H9444" t="inlineStr">
        <is>
          <t>Type 1</t>
        </is>
      </c>
    </row>
    <row r="9445">
      <c r="A9445" t="inlineStr">
        <is>
          <t>go3wi4</t>
        </is>
      </c>
      <c r="B9445" t="inlineStr">
        <is>
          <t>Executive Function Deficit Disorder?</t>
        </is>
      </c>
      <c r="C9445" t="inlineStr">
        <is>
          <t>Afternoon y'all!
I'm looking for resources and reading on this disorder as it relates to diabetes.  My limited Google skills turn up a bunch of info alt ADHD, and I'm not educated enough to know if it's the same thing or a close approximation.  One of my doctors suggested in an email yesterday that it would explain a lot of the general vacant-brained idiocy I've been guilty of in recent months.
He'll get into it further when I see him in a couple of weeks, I'm sure.  And I suspect he's plotting to test me for it now that it's on his radar.  He suggested reading up ahead of time and bringing questions, so if you're aware of anything academic or otherwise I'd love to see it.
Thanks!</t>
        </is>
      </c>
      <c r="D9445" t="n">
        <v>0</v>
      </c>
      <c r="E9445" t="n">
        <v>8</v>
      </c>
      <c r="F9445">
        <f>HYPERLINK("https://www.reddit.com/r/diabetes/comments/go3wi4/executive_function_deficit_disorder/")</f>
        <v/>
      </c>
      <c r="G9445" t="inlineStr">
        <is>
          <t>2020-05-21 12:52:38</t>
        </is>
      </c>
      <c r="H9445" t="inlineStr">
        <is>
          <t>Type 2</t>
        </is>
      </c>
    </row>
    <row r="9446">
      <c r="A9446" t="inlineStr">
        <is>
          <t>go4i9l</t>
        </is>
      </c>
      <c r="B9446" t="inlineStr">
        <is>
          <t>Anyone have experience with omnipod looping?</t>
        </is>
      </c>
      <c r="C9446" t="inlineStr">
        <is>
          <t>Hello fellow disabled pancreases,
I have been reading quite a bit about using loopdocs with omnipod and it's very intriguing as someone who already uses a dexcom and omnipod. It seems like a really simple way to bring your a1c down. I am wondering if anyone here has experience with looping and whether it is worth the money/hassle of getting. I am currently an android user because i prefer it so i'd have the extra cost of a new phone on top of the transmitter/apple dev kit. Are the results it brings worth it? thanks.</t>
        </is>
      </c>
      <c r="D9446" t="n">
        <v>1</v>
      </c>
      <c r="E9446" t="n">
        <v>10</v>
      </c>
      <c r="F9446">
        <f>HYPERLINK("https://www.reddit.com/r/diabetes/comments/go4i9l/anyone_have_experience_with_omnipod_looping/")</f>
        <v/>
      </c>
      <c r="G9446" t="inlineStr">
        <is>
          <t>2020-05-21 13:23:58</t>
        </is>
      </c>
      <c r="H9446" t="inlineStr">
        <is>
          <t>Type 1</t>
        </is>
      </c>
    </row>
    <row r="9447">
      <c r="A9447" t="inlineStr">
        <is>
          <t>go5300</t>
        </is>
      </c>
      <c r="B9447" t="inlineStr">
        <is>
          <t>Diabetes related blog</t>
        </is>
      </c>
      <c r="C9447" t="inlineStr">
        <is>
          <t>Hello r/diabetes, I've had ambitions of starting a blog for a while now. This is a general enquiry to this community to see if anyone would be interested in reading what I have to share.
I was diagnosed with Type 1 Diabetes three years ago at the age of 24, I am a marathon runner and am now training for even longer distances. My blog would be focused around my training and how I manage Type 1 from day to day. I would include topics like mindset and resilience to give anyone interested an idea what its like to be a normal guy living with a live changing condition and still chase every dream.
Thanks in advance</t>
        </is>
      </c>
      <c r="D9447" t="n">
        <v>1</v>
      </c>
      <c r="E9447" t="n">
        <v>1</v>
      </c>
      <c r="F9447">
        <f>HYPERLINK("https://www.reddit.com/r/diabetes/comments/go5300/diabetes_related_blog/")</f>
        <v/>
      </c>
      <c r="G9447" t="inlineStr">
        <is>
          <t>2020-05-21 13:54:44</t>
        </is>
      </c>
      <c r="H9447" t="inlineStr">
        <is>
          <t>Type 1</t>
        </is>
      </c>
    </row>
    <row r="9448">
      <c r="A9448" t="inlineStr">
        <is>
          <t>go5jdn</t>
        </is>
      </c>
      <c r="B9448" t="inlineStr">
        <is>
          <t>I'm getting a new Pump soon, and i'm unsure which I should choose</t>
        </is>
      </c>
      <c r="C9448" t="inlineStr">
        <is>
          <t>I currently have Animas Vibe with Dexcom G4.
My doctor said I could choose between
\- Tandem T:slim
\- Medtronic 670G
\- Omnipod with Freestyle Libre
&amp;amp;#x200B;
I'm siding on the Tandem T:slim - however Dexcom G6 isn't out yet in my country, so I wonder - does the T:slim support Dexcom G4 or G5?
What do you guys think?</t>
        </is>
      </c>
      <c r="D9448" t="n">
        <v>1</v>
      </c>
      <c r="E9448" t="n">
        <v>11</v>
      </c>
      <c r="F9448">
        <f>HYPERLINK("https://www.reddit.com/r/diabetes/comments/go5jdn/im_getting_a_new_pump_soon_and_im_unsure_which_i/")</f>
        <v/>
      </c>
      <c r="G9448" t="inlineStr">
        <is>
          <t>2020-05-21 14:19:03</t>
        </is>
      </c>
      <c r="H9448" t="inlineStr">
        <is>
          <t>Type 1</t>
        </is>
      </c>
    </row>
    <row r="9449">
      <c r="A9449" t="inlineStr">
        <is>
          <t>go5nlc</t>
        </is>
      </c>
      <c r="B9449" t="inlineStr">
        <is>
          <t>CGM insertion</t>
        </is>
      </c>
      <c r="C9449" t="inlineStr">
        <is>
          <t>So. Injections have never been a massive issue for me, I just kind of get it done. But for whatever reason this hasn’t been the case with my CGM 
I currently use the G3 and I genuinely struggle to insert it, even though I know it doesn’t hurt that bad, it’s just the thought of it.. 
Any advice from people using a CGM would be greatly appreciated</t>
        </is>
      </c>
      <c r="D9449" t="n">
        <v>1</v>
      </c>
      <c r="E9449" t="n">
        <v>2</v>
      </c>
      <c r="F9449">
        <f>HYPERLINK("https://www.reddit.com/r/diabetes/comments/go5nlc/cgm_insertion/")</f>
        <v/>
      </c>
      <c r="G9449" t="inlineStr">
        <is>
          <t>2020-05-21 14:25:28</t>
        </is>
      </c>
      <c r="H9449" t="inlineStr">
        <is>
          <t>Type 1</t>
        </is>
      </c>
    </row>
    <row r="9450">
      <c r="A9450" t="inlineStr">
        <is>
          <t>go840l</t>
        </is>
      </c>
      <c r="B9450" t="inlineStr">
        <is>
          <t>Coffe effect on blood sugar</t>
        </is>
      </c>
      <c r="C9450" t="inlineStr">
        <is>
          <t>Hi guys
What's the effect of coffee on your blood sugar?
I have made a video in which I show what coffee does to me as a diabetic type 1.
[https://youtu.be/F9Kp1tFl4B4](https://youtu.be/F9Kp1tFl4B4)
Thanks</t>
        </is>
      </c>
      <c r="D9450" t="n">
        <v>0</v>
      </c>
      <c r="E9450" t="n">
        <v>7</v>
      </c>
      <c r="F9450">
        <f>HYPERLINK("https://www.reddit.com/r/diabetes/comments/go840l/coffe_effect_on_blood_sugar/")</f>
        <v/>
      </c>
      <c r="G9450" t="inlineStr">
        <is>
          <t>2020-05-21 16:42:21</t>
        </is>
      </c>
      <c r="H9450" t="inlineStr">
        <is>
          <t>Type 1</t>
        </is>
      </c>
    </row>
    <row r="9451">
      <c r="A9451" t="inlineStr">
        <is>
          <t>go84yb</t>
        </is>
      </c>
      <c r="B9451" t="inlineStr">
        <is>
          <t>Coffe effect on blood sugar</t>
        </is>
      </c>
      <c r="C9451" t="inlineStr">
        <is>
          <t>Hi guys
What's the effect of coffee on your blood sugar?
I have made a video in which I show what coffee does to me as a diabetic type 1.
[https://youtu.be/F9Kp1tFl4B4](https://youtu.be/F9Kp1tFl4B4)
Thanks</t>
        </is>
      </c>
      <c r="D9451" t="n">
        <v>1</v>
      </c>
      <c r="E9451" t="n">
        <v>0</v>
      </c>
      <c r="F9451">
        <f>HYPERLINK("https://www.reddit.com/r/diabetes/comments/go84yb/coffe_effect_on_blood_sugar/")</f>
        <v/>
      </c>
      <c r="G9451" t="inlineStr">
        <is>
          <t>2020-05-21 16:43:49</t>
        </is>
      </c>
      <c r="H9451" t="inlineStr">
        <is>
          <t>Type 1</t>
        </is>
      </c>
    </row>
    <row r="9452">
      <c r="A9452" t="inlineStr">
        <is>
          <t>goa6bt</t>
        </is>
      </c>
      <c r="B9452" t="inlineStr">
        <is>
          <t>T1D here, can I be forced to return to work even if my doctor says not to?</t>
        </is>
      </c>
      <c r="C9452" t="inlineStr">
        <is>
          <t>My job does not require me to be present to perform all of my duties. I can sit at a desk in the office or at home and get the same work done. However, my manager has contacted me saying we might have to go back as early as next week. She knows my health situation and says that if her boss says we all need to come in then I don't have a choice.
I'm digging my way out of diabetes burnout. I've recently gotten the help I need for my depression and my average bloodsugar isn't over 300 anymore. That being said, I know all the damage done doesn't get changed overnight and I'm probably at the same risk of someone who has uncontrolled levels. My endo said I shouldn't be going back to work since my presence isn't technically needed and it's not safe. My company does not enforce masks or any sort of PPE and I've been told by other coworkers who have gone back that there are no safety measures in place.
Do I have a leg to stand on refusing to go back? I can't tell if I'm overreacting or if my concern is valid. The flu sent me into DKA last year and I'm honestly terrified of ending up in the ICU again.
What can I do?</t>
        </is>
      </c>
      <c r="D9452" t="n">
        <v>1</v>
      </c>
      <c r="E9452" t="n">
        <v>24</v>
      </c>
      <c r="F9452">
        <f>HYPERLINK("https://www.reddit.com/r/diabetes/comments/goa6bt/t1d_here_can_i_be_forced_to_return_to_work_even/")</f>
        <v/>
      </c>
      <c r="G9452" t="inlineStr">
        <is>
          <t>2020-05-21 18:46:59</t>
        </is>
      </c>
      <c r="H9452" t="inlineStr">
        <is>
          <t>Type 1</t>
        </is>
      </c>
    </row>
    <row r="9453">
      <c r="A9453" t="inlineStr">
        <is>
          <t>gofojd</t>
        </is>
      </c>
      <c r="B9453" t="inlineStr">
        <is>
          <t>Diabetes Research</t>
        </is>
      </c>
      <c r="C9453" t="inlineStr">
        <is>
          <t xml:space="preserve"> 
Hi, I am currently researching experiences of students with diabetes as they adapt and transition to life at university with regards to their peers for my PhD research project. The purpose of this research is to understand your lived experience as you transition and adapt to life at university and understanding the involvement of peers. I was hoping to recruit some participants within this community. If you have diabetes (Type 1 or Type 2), you are between the ages of 18-31, are currently studying (or graduated in the past year) at a University in the U.K and you want to participate or know more information please fill in this contact form and I will be in touch! [https://forms.gle/xmHbRCQA98NVqBFe7](https://forms.gle/xmHbRCQA98NVqBFe7)
Thank you!!
As per the rules
* The purpose of my research is above.
* Estimated Time: You will take part in a 45-minute interview via Zoom/Skype.
* Remuneration: Unfortunately there is no compensation for your time in this research. As I am not funded. However, depending on the results of the data there can be future societal implications that can benefit the wider population and yourself.
* Contact information: [U1475980@pgr.hud.ac.uk](mailto:U1475980@pgr.hud.ac.uk)  my research has been ethically approved.</t>
        </is>
      </c>
      <c r="D9453" t="n">
        <v>1</v>
      </c>
      <c r="E9453" t="n">
        <v>6</v>
      </c>
      <c r="F9453">
        <f>HYPERLINK("https://www.reddit.com/r/diabetes/comments/gofojd/diabetes_research/")</f>
        <v/>
      </c>
      <c r="G9453" t="inlineStr">
        <is>
          <t>2020-05-22 01:46:41</t>
        </is>
      </c>
      <c r="H9453" t="inlineStr">
        <is>
          <t>Type 1</t>
        </is>
      </c>
    </row>
    <row r="9454">
      <c r="A9454" t="inlineStr">
        <is>
          <t>goho43</t>
        </is>
      </c>
      <c r="B9454" t="inlineStr">
        <is>
          <t>Was there ever a time you felt unworthy of love...?</t>
        </is>
      </c>
      <c r="C9454" t="inlineStr">
        <is>
          <t>I was dating this 21 year old male with type 1 diabetes and we had the saddest break up after I flown out to see for the first time where I needed to stay over night in the hospital a few days with him after he had a diabetic ketoacidosis attack. He vomited in front of me continuously ( crying saying how I never would have wanted anyone to see me like this especially you and how he ruined the trip) and got embarrassed by it, plus later when we reunited months later on a video game trip he told to me that after I left to the airport he went upstairs to his apartment and said “ this is where we should have hung out, not a hospital”. Sorry if this is TMI but whenever we tried to be intimate for his first time he got upset cause he found it difficult to get hard , he had said “I really want to but it’s like my body won’t let me” super frustrated. The month before he had appendicitis so he had scars that were healing as well that hurt him. When we were in the hospital he said diabetes has ruined so much for him and he just struggles with taking care of himself with ordering take out so much.  I had ordered him a diabetic cook book to try to help idk if he even uses it but I wanted to do something. He suffers from depression and high anxiety. 
I love/loved him with all my heart and wanted to continuously support him with all I am. I just need even a little glimpse of perspective .I just please please ask anyone, especially a male, how diabetes effected your view on involving another person romantically. Or if there was a time you felt unworthy of love because you didn’t want to put someone else through the process. Thank you guys.</t>
        </is>
      </c>
      <c r="D9454" t="n">
        <v>1</v>
      </c>
      <c r="E9454" t="n">
        <v>32</v>
      </c>
      <c r="F9454">
        <f>HYPERLINK("https://www.reddit.com/r/diabetes/comments/goho43/was_there_ever_a_time_you_felt_unworthy_of_love/")</f>
        <v/>
      </c>
      <c r="G9454" t="inlineStr">
        <is>
          <t>2020-05-22 04:31:44</t>
        </is>
      </c>
      <c r="H9454" t="inlineStr">
        <is>
          <t>Type 1</t>
        </is>
      </c>
    </row>
    <row r="9455">
      <c r="A9455" t="inlineStr">
        <is>
          <t>gojkt0</t>
        </is>
      </c>
      <c r="B9455" t="inlineStr">
        <is>
          <t>[T1] Sudden insulin resistance after a faulty cannula site?</t>
        </is>
      </c>
      <c r="C9455" t="inlineStr">
        <is>
          <t>Hello,
Normally have quite the opposite problem (even in the quarantine) of being too insulin sensitive, but have experienced a massive spike in my sugars over the past 3 days. It all started after having a faulty cannula site that caused me to not get all the insulin I was administering for what seems like a day (didn't realize until I woke up with an out-of-the-blue reading of 249, which, to be fair, I rage bloused like crazy for -- more than I probably needed to (2x)), and ever since then I've been doubling my correction dosages only for it to have little-to-no effect on my numbers.
For example, last night I went to bed at 178, bloused 1.5 units (when I normally bolus 50% because of how quickly I drop overnight), only for it to be the exact same number 2 hours later (bolus another 1.5 unit thinking it'll probably bring me low if anything), and wake up at 178 again. Had also readjusted my basal to receive another unit overnight, which had been plummeting my sugars just a week ago, so I'm confused as to what gives? 
I haven't changed my carb counts (~140-150 grams/day -- been the same for months) and remain somewhat active  (12k-20k steps/daily), so I don't think it can be that. Haven't been sick either. 
Was just wondering if anyone else has experienced anything similar and so rapidly?
Normally maintain an A1C in the low-to-mid 6's if that's worth mentioning, but yikes. Haven't consistently spiked like this in a long time  :/</t>
        </is>
      </c>
      <c r="D9455" t="n">
        <v>1</v>
      </c>
      <c r="E9455" t="n">
        <v>1</v>
      </c>
      <c r="F9455">
        <f>HYPERLINK("https://www.reddit.com/r/diabetes/comments/gojkt0/t1_sudden_insulin_resistance_after_a_faulty/")</f>
        <v/>
      </c>
      <c r="G9455" t="inlineStr">
        <is>
          <t>2020-05-22 06:42:40</t>
        </is>
      </c>
      <c r="H9455" t="inlineStr">
        <is>
          <t>Type 1</t>
        </is>
      </c>
    </row>
    <row r="9456">
      <c r="A9456" t="inlineStr">
        <is>
          <t>gojvcg</t>
        </is>
      </c>
      <c r="B9456" t="inlineStr">
        <is>
          <t>Sudden extreme jump in insulin sensitivity for one afternoon after days of slight insensitivity? Can someone help me figure out what's going on?</t>
        </is>
      </c>
      <c r="C9456" t="inlineStr">
        <is>
          <t>Hey everyone,
Please see [this image](https://imgur.com/a/Yzne7me) for reference of what my day was like yesterday, I'm trying to figure out what was going on. Any insight would be appreciated, I was really freaked out last night and at one point in the afternoon I was about 20 minutes away from asking my parents for a ride to the hospital (I'm quarantining with them due to excessive room mates at my current house). I don't have any glucagon here, but might ask my endo for a scrip now.
NOTE: Throughout this entire experience I tested my finger constantly, and my libre was in lockstep with my actual glucose every time until noted in the image. Today's events were not caused by a wonky sensor.
Basically at around 11:30 yesterday I ate a plain salami sandwich, which I've done several times this week and normally only takes 4 units of insulin. But the last few days I've just been having slight insensitivity, with my bs climbing even on days when I don't eat until 7 PM. The sandwich sent me really high, and at around 3 PM I took my usual correction dose of 3 units for a sugar over 250. I normally don't spike this much from this sandwich. For reference, this weekend I ate the same sandwich while riding dual-sport motorcycles on some forest service roads and only took 2 units because it was active and I was sweating, and had a totally straight line that day.
My blood sugar then proceeded to absolutely plummet for a couple hours. Like, insulin absolutely never works that fast for me. There was no exercise at all during that time, I was at work (remote) for most of it. When I saw the graph I drank about 3-4 oz of pepsi and ate a glucose tablet, thinking that I would stick the landing (my pump only showed .7u active insulin at the time) and I took a phone call which I had to jump off of early due to blood sugar issues. At that point, I was really freaked out because I didn't know what was happening or why, but it looked like unless I did something drastic to stop it the line was going to crash through the floor. I drank 8 more oz of pepsi and two more glucose tablets, paused my basal delivery, and sat in the living room watching my sugar approach 70 and thinking in 15 or 20 more minutes I might have to get a ride to the hospital if it does the same thing the previous sugar blast did. But eventually I tested at 100 and decided it should be manageable from there.
After that I rode the rollercoaster up until 9PM stopping around 250 and re-enabled my basal. I spent the next four hours watching my blood sugar and adjusting my basal, because my basal alone was making it drop. I ended up adjusting it from 21 u/day to 14 u/day and leaving it there all night. This is the lowest I have ever set my basal, and it still trended downward fairly aggressively (for basal) for about an 8 hour total period of no additional bolusing. I did eat one snack during this period just to make myself more comfortable with actually going to sleep at 1 AM.
I'm pretty shaken and uncomfortable right now. What could have caused this? It's like suddenly for one 18-ish hour period insulin was just suddenly 40% more effective /or more. I haven't even done any cardio all week, it's been raining every day! Has anyone experienced this before? Can anyone critique my response? Where do I go from here?</t>
        </is>
      </c>
      <c r="D9456" t="n">
        <v>1</v>
      </c>
      <c r="E9456" t="n">
        <v>10</v>
      </c>
      <c r="F9456">
        <f>HYPERLINK("https://www.reddit.com/r/diabetes/comments/gojvcg/sudden_extreme_jump_in_insulin_sensitivity_for/")</f>
        <v/>
      </c>
      <c r="G9456" t="inlineStr">
        <is>
          <t>2020-05-22 07:00:47</t>
        </is>
      </c>
      <c r="H9456" t="inlineStr">
        <is>
          <t>Type 1</t>
        </is>
      </c>
    </row>
    <row r="9457">
      <c r="A9457" t="inlineStr">
        <is>
          <t>gomqyg</t>
        </is>
      </c>
      <c r="B9457" t="inlineStr">
        <is>
          <t>T2/Alcohol</t>
        </is>
      </c>
      <c r="C9457" t="inlineStr">
        <is>
          <t>My primary care doctor has advised that I can have alcohol in moderation. I usually only drink once a week on a night off from work.
Any suggestions for favorite alcoholic drinks? I’m going to have to transition to light beer instead of my preferred micro brew. I am a fan of bourbon on the rocks, too. Not really into wine.</t>
        </is>
      </c>
      <c r="D9457" t="n">
        <v>1</v>
      </c>
      <c r="E9457" t="n">
        <v>3</v>
      </c>
      <c r="F9457">
        <f>HYPERLINK("https://www.reddit.com/r/diabetes/comments/gomqyg/t2alcohol/")</f>
        <v/>
      </c>
      <c r="G9457" t="inlineStr">
        <is>
          <t>2020-05-22 09:40:41</t>
        </is>
      </c>
      <c r="H9457" t="inlineStr">
        <is>
          <t>Type 2</t>
        </is>
      </c>
    </row>
    <row r="9458">
      <c r="A9458" t="inlineStr">
        <is>
          <t>gon14i</t>
        </is>
      </c>
      <c r="B9458" t="inlineStr">
        <is>
          <t>Getting my basal right</t>
        </is>
      </c>
      <c r="C9458" t="inlineStr">
        <is>
          <t>I’ve been on Tresiba since early 2016, and on a CGM for a little more than a year now. I’ve always experienced lows when I’ve been at work, and I’ve found there’s no easy balance. I have to inject nearly 22 units per day to be stable at night, but I experience multiple hypos in the morning and afternoon even when taking 19 units. 
On top of this, while I understand that Tresiba theoretically lasts in the body for over 24 hours, I tend to think that this is different for everyone, and in my case, I question how long it’s been lasting. My doctor has had me split my Tresiba dose due to this. 
I’m currently taking 12 units in the morning and 7 around 5pm. Complicating the issue, a pump is out of reach for now due to financial issues. 
So, I had this wild and crazy idea a while back. What if I took a mix of Tresiba with Levemir (or Lantus)? I need something that can hold me over at night, but wear off in the morning when I’m most active at work while Tresiba helps in the background for the totality of the day. 
The questions for “why am I always high at night” and “why am I going through 3 juice boxes in the afternoon” is probably relevant to some of you on MDI. 
Is this too far fetched? Has anyone here tried this before?</t>
        </is>
      </c>
      <c r="D9458" t="n">
        <v>2</v>
      </c>
      <c r="E9458" t="n">
        <v>2</v>
      </c>
      <c r="F9458">
        <f>HYPERLINK("https://www.reddit.com/r/diabetes/comments/gon14i/getting_my_basal_right/")</f>
        <v/>
      </c>
      <c r="G9458" t="inlineStr">
        <is>
          <t>2020-05-22 09:55:39</t>
        </is>
      </c>
      <c r="H9458" t="inlineStr">
        <is>
          <t>Type 1</t>
        </is>
      </c>
    </row>
    <row r="9459">
      <c r="A9459" t="inlineStr">
        <is>
          <t>goq5m2</t>
        </is>
      </c>
      <c r="B9459" t="inlineStr">
        <is>
          <t>Need a cheap used pump!!! (Preferably animas)</t>
        </is>
      </c>
      <c r="C9459" t="inlineStr">
        <is>
          <t>If anyone by chance has an animas vibe or ping they are not using, I could use it.  My pump just went out today... about 15min ago.  Now I need a new pump but I don’t have a insurance because I make too much to make it affordable, but I don’t make enough to be able to pay out of pocket.  Confusing stuff.  Anyway, just hoping someone out there may have a pump sitting in their closet unused.  It’s bad enough that this disease exists, but the cost of it is ridiculous!  I have a friend that gave me a vial long acting insulin to take care of me for a couple weeks, but I need to find a replace my soon.  Thanks for any help or suggestions.</t>
        </is>
      </c>
      <c r="D9459" t="n">
        <v>1</v>
      </c>
      <c r="E9459" t="n">
        <v>1</v>
      </c>
      <c r="F9459">
        <f>HYPERLINK("https://www.reddit.com/r/diabetes/comments/goq5m2/need_a_cheap_used_pump_preferably_animas/")</f>
        <v/>
      </c>
      <c r="G9459" t="inlineStr">
        <is>
          <t>2020-05-22 12:34:50</t>
        </is>
      </c>
      <c r="H9459" t="inlineStr">
        <is>
          <t>Type 1</t>
        </is>
      </c>
    </row>
    <row r="9460">
      <c r="A9460" t="inlineStr">
        <is>
          <t>gor5ze</t>
        </is>
      </c>
      <c r="B9460" t="inlineStr">
        <is>
          <t>Welcome to the Dawn Phenomenon; Where the mg/dl is up, and your correction factor doesn't matter</t>
        </is>
      </c>
      <c r="C9460" t="inlineStr">
        <is>
          <t>That's right, completely useless, just like a sharps container exclusively for lancets.</t>
        </is>
      </c>
      <c r="D9460" t="n">
        <v>2</v>
      </c>
      <c r="E9460" t="n">
        <v>1</v>
      </c>
      <c r="F9460">
        <f>HYPERLINK("https://www.reddit.com/r/diabetes/comments/gor5ze/welcome_to_the_dawn_phenomenon_where_the_mgdl_is/")</f>
        <v/>
      </c>
      <c r="G9460" t="inlineStr">
        <is>
          <t>2020-05-22 13:29:23</t>
        </is>
      </c>
      <c r="H9460" t="inlineStr">
        <is>
          <t>Type 1</t>
        </is>
      </c>
    </row>
    <row r="9461">
      <c r="A9461" t="inlineStr">
        <is>
          <t>gor7q9</t>
        </is>
      </c>
      <c r="B9461" t="inlineStr">
        <is>
          <t>Newly Diabetic</t>
        </is>
      </c>
      <c r="C9461" t="inlineStr">
        <is>
          <t>Hi all! I'm newly diabetic and recently out of DKA and so far its been pretty hard on me, I'm really looking for good food options that are still healthy for me. (Male, 19 YO) I'm trying really hard to get used to all of this so any tips to help me would be really nice for anyone willing to give any</t>
        </is>
      </c>
      <c r="D9461" t="n">
        <v>2</v>
      </c>
      <c r="E9461" t="n">
        <v>9</v>
      </c>
      <c r="F9461">
        <f>HYPERLINK("https://www.reddit.com/r/diabetes/comments/gor7q9/newly_diabetic/")</f>
        <v/>
      </c>
      <c r="G9461" t="inlineStr">
        <is>
          <t>2020-05-22 13:32:06</t>
        </is>
      </c>
      <c r="H9461" t="inlineStr">
        <is>
          <t>Type 1</t>
        </is>
      </c>
    </row>
    <row r="9462">
      <c r="A9462" t="inlineStr">
        <is>
          <t>got335</t>
        </is>
      </c>
      <c r="B9462" t="inlineStr">
        <is>
          <t>My grandad had a hypo tonight</t>
        </is>
      </c>
      <c r="C9462" t="inlineStr">
        <is>
          <t>So tonight I phoned my grandad (type 1 diabetic) and noticed he was ever so slightly slurring his words so I called my dad who went to check on him.
He was having a hypo and an ambulance was called who got him stabilised. Grandad hadn't washed his hands before taking his evening blood sugar readings so he got a false reading of 9 when it was actually 3. 
We have all been hesitant to go anywhere near his house lately due to the coronavirus outbreak but sometimes you can tell  straight away that something is wrong with someone by seeing them when you wouldn't necessarily be able to tell from a phone call. 
My grandad was gaunt and his skin was turning grey. 
So if you have a diabetic in your family - if you think something is wrong but dont want to go near them due to coronavirus, just go. Better the chance of passing coronavirus on to them than letting them fall into a diabetic coma because you were scared of infecting them.
We were lucky that I noticed something was wrong when I called and that my dad went to check. Otherwise, I would probably be attending a funeral next week. 
Also, I really need to brush up on my knowledge of diabetes and the warning signs, I thought my grandad was maybe about to have a stroke (he's had a few in the last couple of years), not a hypo.</t>
        </is>
      </c>
      <c r="D9462" t="n">
        <v>1</v>
      </c>
      <c r="E9462" t="n">
        <v>5</v>
      </c>
      <c r="F9462">
        <f>HYPERLINK("https://www.reddit.com/r/diabetes/comments/got335/my_grandad_had_a_hypo_tonight/")</f>
        <v/>
      </c>
      <c r="G9462" t="inlineStr">
        <is>
          <t>2020-05-22 15:16:58</t>
        </is>
      </c>
      <c r="H9462" t="inlineStr">
        <is>
          <t>Type 1</t>
        </is>
      </c>
    </row>
    <row r="9463">
      <c r="A9463" t="inlineStr">
        <is>
          <t>gotdby</t>
        </is>
      </c>
      <c r="B9463" t="inlineStr">
        <is>
          <t>Anyone using refurbished G5 transmitters?</t>
        </is>
      </c>
      <c r="C9463" t="inlineStr">
        <is>
          <t>I have a whole lot of G5 sensors leftover, but of course can't get a new G5 transmitter.  The sensors haven't expired, but I wondered if I'd be wasting my money, or worse, buying a refurbished transmitter.</t>
        </is>
      </c>
      <c r="D9463" t="n">
        <v>1</v>
      </c>
      <c r="E9463" t="n">
        <v>6</v>
      </c>
      <c r="F9463">
        <f>HYPERLINK("https://www.reddit.com/r/diabetes/comments/gotdby/anyone_using_refurbished_g5_transmitters/")</f>
        <v/>
      </c>
      <c r="G9463" t="inlineStr">
        <is>
          <t>2020-05-22 15:33:28</t>
        </is>
      </c>
      <c r="H9463" t="inlineStr">
        <is>
          <t>Type 1</t>
        </is>
      </c>
    </row>
    <row r="9464">
      <c r="A9464" t="inlineStr">
        <is>
          <t>gou50y</t>
        </is>
      </c>
      <c r="B9464" t="inlineStr">
        <is>
          <t>Wrong!</t>
        </is>
      </c>
      <c r="C9464" t="inlineStr">
        <is>
          <t>I wish people thought just a little before asking me about diabetes. 
Me: oh my blood sugar is low. 
Random Jackwagon: oh so u need insulin?
Me: no Clarice! I need sugar! My blood SUGAR is low!
People act like insulin is the answer to everything. Aw my car broke down. Better break out the ol insulin. 
I'm not even mad. Just wanted to post lol</t>
        </is>
      </c>
      <c r="D9464" t="n">
        <v>1</v>
      </c>
      <c r="E9464" t="n">
        <v>2</v>
      </c>
      <c r="F9464">
        <f>HYPERLINK("https://www.reddit.com/r/diabetes/comments/gou50y/wrong/")</f>
        <v/>
      </c>
      <c r="G9464" t="inlineStr">
        <is>
          <t>2020-05-22 16:18:43</t>
        </is>
      </c>
      <c r="H9464" t="inlineStr">
        <is>
          <t>Type 1</t>
        </is>
      </c>
    </row>
    <row r="9465">
      <c r="A9465" t="inlineStr">
        <is>
          <t>goz6l5</t>
        </is>
      </c>
      <c r="B9465" t="inlineStr">
        <is>
          <t>Help with foot care?</t>
        </is>
      </c>
      <c r="C9465" t="inlineStr">
        <is>
          <t>I have adhd and so for as long as I can remember I've been picking at my nails just because I need to do something. It's gotten to a point where just having them too long bothers me so I pick at them religiously. I can almost always do it without drawing blood. I literally never get ingrown toenails. Like I've gotten one in four years.
I went to a foot doctor yesterday because I'm diabetic and he claimed that I should stop picking at my toenails because getting an ingrown toenail can cause me to get a diabetic foot ulcer. I don't get ingrowns at all though. Should I really stop picking at my nails like he says?</t>
        </is>
      </c>
      <c r="D9465" t="n">
        <v>1</v>
      </c>
      <c r="E9465" t="n">
        <v>7</v>
      </c>
      <c r="F9465">
        <f>HYPERLINK("https://www.reddit.com/r/diabetes/comments/goz6l5/help_with_foot_care/")</f>
        <v/>
      </c>
      <c r="G9465" t="inlineStr">
        <is>
          <t>2020-05-22 22:03:21</t>
        </is>
      </c>
      <c r="H9465" t="inlineStr">
        <is>
          <t>Type 1</t>
        </is>
      </c>
    </row>
    <row r="9466">
      <c r="A9466" t="inlineStr">
        <is>
          <t>gp1jzz</t>
        </is>
      </c>
      <c r="B9466" t="inlineStr">
        <is>
          <t>Probably a very dumb question but ...</t>
        </is>
      </c>
      <c r="C9466" t="inlineStr">
        <is>
          <t>Couldn't you just inject a larger dose of insulin so that you would be able to eat carbs and sugary stuff so that ur blood sugar wouldn't rise like crazy .</t>
        </is>
      </c>
      <c r="D9466" t="n">
        <v>1</v>
      </c>
      <c r="E9466" t="n">
        <v>14</v>
      </c>
      <c r="F9466">
        <f>HYPERLINK("https://www.reddit.com/r/diabetes/comments/gp1jzz/probably_a_very_dumb_question_but/")</f>
        <v/>
      </c>
      <c r="G9466" t="inlineStr">
        <is>
          <t>2020-05-23 01:38:04</t>
        </is>
      </c>
      <c r="H9466" t="inlineStr">
        <is>
          <t>Type 1</t>
        </is>
      </c>
    </row>
    <row r="9467">
      <c r="A9467" t="inlineStr">
        <is>
          <t>gp1vtl</t>
        </is>
      </c>
      <c r="B9467" t="inlineStr">
        <is>
          <t>Significantly Less Insulin Detected In Tandem Tslim</t>
        </is>
      </c>
      <c r="C9467" t="inlineStr">
        <is>
          <t>Hi everyone,
This previous afternoon I performed a routine change of my site and reservoir. I filled the new reservoir with approx 230u of insulin approximately 16 hours ago. I immediately received notice that the pump only contained 60+u after filling - which didn't alarm me as I know it can take quite sometime to detect the amount filled.
Well now it's 5am and my pump is waking me with a low reservoir alarm of 15u, when there's in fact somewhere around 180u now.
I know that errors with discrepancies and unused insulin are to be expected - but this seems like alot and is now triggering alarms. Any idea on how I can solve this?</t>
        </is>
      </c>
      <c r="D9467" t="n">
        <v>1</v>
      </c>
      <c r="E9467" t="n">
        <v>4</v>
      </c>
      <c r="F9467">
        <f>HYPERLINK("https://www.reddit.com/r/diabetes/comments/gp1vtl/significantly_less_insulin_detected_in_tandem/")</f>
        <v/>
      </c>
      <c r="G9467" t="inlineStr">
        <is>
          <t>2020-05-23 02:11:35</t>
        </is>
      </c>
      <c r="H9467" t="inlineStr">
        <is>
          <t>Type 1</t>
        </is>
      </c>
    </row>
    <row r="9468">
      <c r="A9468" t="inlineStr">
        <is>
          <t>gp4giw</t>
        </is>
      </c>
      <c r="B9468" t="inlineStr">
        <is>
          <t>Bad night rant</t>
        </is>
      </c>
      <c r="C9468" t="inlineStr">
        <is>
          <t>Don't have anyone to talk to about this yet cause their all asleep so it's going here. 
Was working at 1am last night to complete my final project for a sailing certification class so I can coach this summer. Nothing abnormal except that I was up at 1. I lay down in bed and just as I am drifting off, I get a low glucose alert and bolt upright. 70 and dropping. Ok that's fine I'll just grab a juice box. 20 carbs later I'm going up and I lay back down. Can't sleep cause if the adrenaline from the alarm but it's fine. Less than 20 minutes later another low alert. Another juice box. I don't rise for 15 mins so I drink another juice box. I rise to 80 before leveling off. At this point it's about 2:15. I take two glucose tablets lay down and finally get to sleep around 2:45.
This was my first really painful night as a diabetic. As a relatively new diagnosis I knew this would come but didn't realize how miserable it was. Guess I'll need to reduce my long acting dose just a bit...
Thanks for being the best Reddit ever, everyone here is so supportive and helpful 😁</t>
        </is>
      </c>
      <c r="D9468" t="n">
        <v>1</v>
      </c>
      <c r="E9468" t="n">
        <v>26</v>
      </c>
      <c r="F9468">
        <f>HYPERLINK("https://www.reddit.com/r/diabetes/comments/gp4giw/bad_night_rant/")</f>
        <v/>
      </c>
      <c r="G9468" t="inlineStr">
        <is>
          <t>2020-05-23 05:56:00</t>
        </is>
      </c>
      <c r="H9468" t="inlineStr">
        <is>
          <t>Type 1</t>
        </is>
      </c>
    </row>
    <row r="9469">
      <c r="A9469" t="inlineStr">
        <is>
          <t>gp72pd</t>
        </is>
      </c>
      <c r="B9469" t="inlineStr">
        <is>
          <t>Help me figure out what is spiking my glucose 100 points.</t>
        </is>
      </c>
      <c r="C9469" t="inlineStr">
        <is>
          <t>I wake up and my sugar is good. then I have 1-2 cups of coffee. and Boom +100 points or so.
In the coffee is 2 tablespoons of "coffee mate sugar free vanilla" and 2 tablespoons of "Torani Sugar Free Vanilla Syrup" And that's it. The artificial sweeter is said to be diabetic friendly. I have been treating it as 4 carbs as per MFP but I'm taking a big hit. 
Torani Ingredients
PURIFIED WATER, VANILLA EXTRACT WITH OTHER NATURAL FLAVORS, POTASSIUM SORBATE AND SODIUM BENZOATE (TO PRESERVE FRESHNESS), CITRIC ACID, XANTHAN GUM, SUCRALOSE (SPLENDA® BRAND), AND ACESULFAME POTASSIUM.
Coffee mate Sugar Free French Vanilla coffee creamer Ingredients 
Ingredients
Water, Corn Syrup**, Vegetable Oil (High Oleic Soybean and/or High Oleic Canola), and Less than 2% of Micellar Casein (a Milk Derivative)***, Maltodextrin, Mono- and Diglycerides, Dipotassium Phosphate, Natural &amp;amp; Artificial Flavor, Carrageenan, Sucralose, Acesulfame Potassium (Non-Nutritive Sweetener). **Adds a Trivial Amount of Sugar. ***Not a Source of Lactose.</t>
        </is>
      </c>
      <c r="D9469" t="n">
        <v>1</v>
      </c>
      <c r="E9469" t="n">
        <v>9</v>
      </c>
      <c r="F9469">
        <f>HYPERLINK("https://www.reddit.com/r/diabetes/comments/gp72pd/help_me_figure_out_what_is_spiking_my_glucose_100/")</f>
        <v/>
      </c>
      <c r="G9469" t="inlineStr">
        <is>
          <t>2020-05-23 08:43:58</t>
        </is>
      </c>
      <c r="H9469" t="inlineStr">
        <is>
          <t>Type 2</t>
        </is>
      </c>
    </row>
    <row r="9470">
      <c r="A9470" t="inlineStr">
        <is>
          <t>gp77si</t>
        </is>
      </c>
      <c r="B9470" t="inlineStr">
        <is>
          <t>400 LDL??</t>
        </is>
      </c>
      <c r="C9470" t="inlineStr">
        <is>
          <t>Hello everyone! My mom got type 1 late in her life and she had a long road with stupid doctors that say that carbs are a must and that waking up with a severe hypo is just a party of the condition... So she did her research and found out that zero carbs really work for her... But lately her triglycerides have been insanely of the charts and the doctors are very worried but we don't know who to believe anymore... Does anyone have an idea of that is a normal thing with very high fat diets?</t>
        </is>
      </c>
      <c r="D9470" t="n">
        <v>1</v>
      </c>
      <c r="E9470" t="n">
        <v>5</v>
      </c>
      <c r="F9470">
        <f>HYPERLINK("https://www.reddit.com/r/diabetes/comments/gp77si/400_ldl/")</f>
        <v/>
      </c>
      <c r="G9470" t="inlineStr">
        <is>
          <t>2020-05-23 08:52:33</t>
        </is>
      </c>
      <c r="H9470" t="inlineStr">
        <is>
          <t>Type 1</t>
        </is>
      </c>
    </row>
    <row r="9471">
      <c r="A9471" t="inlineStr">
        <is>
          <t>gpal83</t>
        </is>
      </c>
      <c r="B9471" t="inlineStr">
        <is>
          <t>Is CGM worth it for diabetics with little risk of hypos?</t>
        </is>
      </c>
      <c r="C9471" t="inlineStr">
        <is>
          <t>I manage my diabetes with jardiance and exercise. My a1c has always been around 7, which my endo is happy with, but I'm not. Since I'm not insulin-dependent, none of the CGMs are covered by my insurance. Is it worth forking out $300/month for a dexcom?</t>
        </is>
      </c>
      <c r="D9471" t="n">
        <v>1</v>
      </c>
      <c r="E9471" t="n">
        <v>8</v>
      </c>
      <c r="F9471">
        <f>HYPERLINK("https://www.reddit.com/r/diabetes/comments/gpal83/is_cgm_worth_it_for_diabetics_with_little_risk_of/")</f>
        <v/>
      </c>
      <c r="G9471" t="inlineStr">
        <is>
          <t>2020-05-23 12:06:31</t>
        </is>
      </c>
      <c r="H9471" t="inlineStr">
        <is>
          <t>Type 2</t>
        </is>
      </c>
    </row>
    <row r="9472">
      <c r="A9472" t="inlineStr">
        <is>
          <t>gpc36y</t>
        </is>
      </c>
      <c r="B9472" t="inlineStr">
        <is>
          <t>Huge discrepancies with my Freestyle Libre and One Touch Verio</t>
        </is>
      </c>
      <c r="C9472" t="inlineStr">
        <is>
          <t>Normally, my Libre and regular glucose monitor are pretty in sync. If my Libre says my blood sugar is steady at a certain spot, my one touch will verify. If my Libre says I'm going up or down, my one touch will usually be a few steps ahead and be slightly higher or lower depending on the direction.
My most recent sensor that I put in a few days ago has been all kinds of wack. It is consistently 40-80 points off (mg/dL) So if my Libre says I'm 118, my one touch says im 160.
Last night, this proved to be a very inconvenient obstacle, as I was experiencing a very high blood sugar (around 400 mg/dL) and my Libre and one touch kept telling me two different things. Libre said I was 300 and going down, one touch said I was 356. I thought it was going down so I didn't dose anymore, but when I woke up, I had jumped back up to 332 on the Libre, and 408 on my one touch. This has never happened before and has made it very difficult to control my blood sugars the past couple days. Should I just scrap the sensor and put a new one in, or just keep using my libre closely with my one touch? And if this has happened to you before, I would love to hear your experiences and what you've learned with it. I've been using the Libre for about 6 months now, and it has been extremely helpful up until the last few days. Thanks!</t>
        </is>
      </c>
      <c r="D9472" t="n">
        <v>1</v>
      </c>
      <c r="E9472" t="n">
        <v>9</v>
      </c>
      <c r="F9472">
        <f>HYPERLINK("https://www.reddit.com/r/diabetes/comments/gpc36y/huge_discrepancies_with_my_freestyle_libre_and/")</f>
        <v/>
      </c>
      <c r="G9472" t="inlineStr">
        <is>
          <t>2020-05-23 13:32:56</t>
        </is>
      </c>
      <c r="H9472" t="inlineStr">
        <is>
          <t>Type 1</t>
        </is>
      </c>
    </row>
    <row r="9473">
      <c r="A9473" t="inlineStr">
        <is>
          <t>gpc3nx</t>
        </is>
      </c>
      <c r="B9473" t="inlineStr">
        <is>
          <t>BG and general anesthesia</t>
        </is>
      </c>
      <c r="C9473" t="inlineStr">
        <is>
          <t>So I had a minor procedure yesterday, nothing to do with T1, but I had to have general anesthesia even though the procedure was barely 30 min. BG levels were great for 24 hours prior, but as soon as we got home my BG started to climb and didn't come down for almost 12 hours. I rage bolused that MF repeatedly and nothing. I finally changed my site and then had to change my whole infusion set and all bc I ran out of insulin. It wasn't the insulin, but might've been the site. Anyway, my question is, has anyone had this problem with skyrocketing, unresponsive BG after general anesthesia? It might've just been coincidence with a failed site but honestly that hardly ever happens to me, and I changed that site the day before.
Thanks!</t>
        </is>
      </c>
      <c r="D9473" t="n">
        <v>1</v>
      </c>
      <c r="E9473" t="n">
        <v>16</v>
      </c>
      <c r="F9473">
        <f>HYPERLINK("https://www.reddit.com/r/diabetes/comments/gpc3nx/bg_and_general_anesthesia/")</f>
        <v/>
      </c>
      <c r="G9473" t="inlineStr">
        <is>
          <t>2020-05-23 13:33:40</t>
        </is>
      </c>
      <c r="H9473" t="inlineStr">
        <is>
          <t>Type 1</t>
        </is>
      </c>
    </row>
    <row r="9474">
      <c r="A9474" t="inlineStr">
        <is>
          <t>gpesfy</t>
        </is>
      </c>
      <c r="B9474" t="inlineStr">
        <is>
          <t>About dropping low with Hypoglycemia</t>
        </is>
      </c>
      <c r="C9474" t="inlineStr">
        <is>
          <t>Hey guys. I can't seem to find a straight answer for some of my questions. I'm not seeking medical advice, just some answers on a few questions I can't afford to go to the doctor for. 
So, I have an at home blood sugar tester. My base level is normal (after fasting), I believe it was around 80-100. I don't exactly remember. A few hours after I eat a meal, and it doesn't seem to matter what it is, my sugar drops to around 50, I get shaky and light headed. This isn't every time I eat, it seems to happen almost randomly. I can have a meal that consists mostly of carbs, like pizza, and a soda and I'll be fine while if I have something with a lot of protein and less carbs, I'll drop again. 
For reference, my doctor says there's a possibility my body produces too much insulin, but no blood work or A1C's have been done yet. 
This doesn't make sense to me. Has anyone else had this happen? I know you have limited knowledge on my life, so general advice would be very appreciated.</t>
        </is>
      </c>
      <c r="D9474" t="n">
        <v>1</v>
      </c>
      <c r="E9474" t="n">
        <v>7</v>
      </c>
      <c r="F9474">
        <f>HYPERLINK("https://www.reddit.com/r/diabetes/comments/gpesfy/about_dropping_low_with_hypoglycemia/")</f>
        <v/>
      </c>
      <c r="G9474" t="inlineStr">
        <is>
          <t>2020-05-23 16:13:25</t>
        </is>
      </c>
      <c r="H9474" t="inlineStr">
        <is>
          <t>Type 2</t>
        </is>
      </c>
    </row>
    <row r="9475">
      <c r="A9475" t="inlineStr">
        <is>
          <t>gpfds4</t>
        </is>
      </c>
      <c r="B9475" t="inlineStr">
        <is>
          <t>does anyone else sweat up a storm when they correct their bg?</t>
        </is>
      </c>
      <c r="C9475" t="inlineStr">
        <is>
          <t>whenever I've corrected my bg lately from low 20's ish I've been sweating a storm, like full body sweat, does this happen to anybody else?</t>
        </is>
      </c>
      <c r="D9475" t="n">
        <v>1</v>
      </c>
      <c r="E9475" t="n">
        <v>4</v>
      </c>
      <c r="F9475">
        <f>HYPERLINK("https://www.reddit.com/r/diabetes/comments/gpfds4/does_anyone_else_sweat_up_a_storm_when_they/")</f>
        <v/>
      </c>
      <c r="G9475" t="inlineStr">
        <is>
          <t>2020-05-23 16:50:31</t>
        </is>
      </c>
      <c r="H9475" t="inlineStr">
        <is>
          <t>Type 1</t>
        </is>
      </c>
    </row>
    <row r="9476">
      <c r="A9476" t="inlineStr">
        <is>
          <t>gpfhrr</t>
        </is>
      </c>
      <c r="B9476" t="inlineStr">
        <is>
          <t>Having a good day.</t>
        </is>
      </c>
      <c r="C9476" t="inlineStr">
        <is>
          <t>Very large breakfast out this morning, had a solid 6 cups of coffee. Boston Cream donut and a Lime Soda for lunch. Way too much freezer food for dinner, and a full box of cookies to myself for dessert (cookies = 160g sugar, 220g total carbs).
Highest I've tested today has been 7.8, lowest is 4.0.
That, that is a good day. Sometimes ya just gotta pretend you don't have diabetes, right?</t>
        </is>
      </c>
      <c r="D9476" t="n">
        <v>1</v>
      </c>
      <c r="E9476" t="n">
        <v>1</v>
      </c>
      <c r="F9476">
        <f>HYPERLINK("https://www.reddit.com/r/diabetes/comments/gpfhrr/having_a_good_day/")</f>
        <v/>
      </c>
      <c r="G9476" t="inlineStr">
        <is>
          <t>2020-05-23 16:57:11</t>
        </is>
      </c>
      <c r="H9476" t="inlineStr">
        <is>
          <t>Type 1</t>
        </is>
      </c>
    </row>
    <row r="9477">
      <c r="A9477" t="inlineStr">
        <is>
          <t>gpfxmx</t>
        </is>
      </c>
      <c r="B9477" t="inlineStr">
        <is>
          <t>My 4 month T2 Journey with supplements</t>
        </is>
      </c>
      <c r="C9477" t="inlineStr">
        <is>
          <t>About this time in January, I was diagnosed T2, with 205 random blood sugar, and 10.2 a1c. Was immediately put on .25 Ozempic, and told to come back in a month.
I think I did what a lot of people do.  Exercised like a crazy person almost daily, cut out all carbs, and was probably not eating enough.  I also did some reading and started taking Berberine (1200-1500mg), Milk Thistle (3 normal ones), and alpha-linolenic acid (1200mg).
I did lose some weight, but definitely not as much as I thought I should.  As mentioned, I was sort of starving myself.
 My failure during this whole first month was doing zero monitoring.  During this time I was also having a number of blood pressure related episodes (low), so I was removed from my normal BP meds.
A few days before my followup appointment, I bought a meter and started testing like crazy.  Numbers were 100% normal. 70-90 in the morning, 110-130 at most between an hour and 2 hours post eating, dropping down to 95 or so three hours post prandial.  I discussed this with my doctor, and he just said to stay on the .25 dose of Ozempic and continue to monitor.  He said to come back in three months for A1C.
Of course COVID hits, and my exercise peters out.  I'm closely monitoring my numbers for the next few months, and never saw anything higher than 130 except for a handful of times, which I didn't have an explanation for at the time, but I think I do now. 
***
I slowly got braver, and reintroduced stuff into my diet.  
I was never a big sweets person, and never drank much but a diet soda here or there, but I was eating things like:
* Big Mac, Medium Fries, half a cup of ketchup or more
* Pizza, usually cauliflower crust, but sometimes thin crust, and every once in a while,  full blooded crust
* 12 inch whole wheat turkey subs from Subway.  This was more than a few times a week.
I largely tried to keep the carbs in check, like a lot of breakfasts I would just eat some eggs and avocado, but I also wasn't really trying too hard that last month or so, eating a lot of the stuff I mentioned.  Hell, I even had a handful of M&amp;amp;M's from time to time.  Again, monitoring closely and never really saw anything even a non-diabetic would see as concerning.
So, A1C time hits a few weeks ago.  I do the home test, 4.8%.  I get the lab test done, 4.6%.  With the doctor, we make the decision to stay on the same level of Ozpemic.
Arriving at the moral of this story...
That was two weeks ago or so.  In the last week or so, my numbers have been kind of crazy for me.  Up around 140-150 after eating, and they would stay up above 110 consistently even 3-4 hours after eating. 
Even on days where I'd eat super carb-light, a few eggs for breakfast, whole-wheat carb balance torilla +  avocado + refried beans, chicken breast + carrots and cauliflower for dinner,  something I've eating 100 times over the last three months, my numbers would be very high for me.
Then I realized what it was, because of COVID, Amazon had taken longer to delivery my Berberine.  And because my schedule was:
* Berberine pre-breakfast
* Milk thistle post-breakfast
* ALA lunch time
It sort of broke my supplement cycle, and while I was out of berberine, I was hit/miss taking the other two.  
The berberine got here a few days ago, and after getting back on my daily regiment, I've changed NOTHING else other than taking my supplements.  My average numbers have returned back to 70-90 from 100-140.
Since making this revelation, I've look backed over all my food and supplement logs for the last 3+ months.
The days where I had an uncharacteristic spike in readings have been when I've missed supplements, particularly the berberine.  I'm not totally sold on the ALA, but the milk thistle seems to have a big impact too, particularly with the berberine. 
I am definitely not a doctor, but it might be worth asking your doctor about one or all of these if you are a T2.  And everybody responds differently.  But I'm now convinced these supplements are making all the difference in managing my glucose levels.</t>
        </is>
      </c>
      <c r="D9477" t="n">
        <v>1</v>
      </c>
      <c r="E9477" t="n">
        <v>0</v>
      </c>
      <c r="F9477">
        <f>HYPERLINK("https://www.reddit.com/r/diabetes/comments/gpfxmx/my_4_month_t2_journey_with_supplements/")</f>
        <v/>
      </c>
      <c r="G9477" t="inlineStr">
        <is>
          <t>2020-05-23 17:24:21</t>
        </is>
      </c>
      <c r="H9477" t="inlineStr">
        <is>
          <t>Type 2</t>
        </is>
      </c>
    </row>
    <row r="9478">
      <c r="A9478" t="inlineStr">
        <is>
          <t>gphkpk</t>
        </is>
      </c>
      <c r="B9478" t="inlineStr">
        <is>
          <t>Fasting before A1C?</t>
        </is>
      </c>
      <c r="C9478" t="inlineStr">
        <is>
          <t>Hello! 20F T1 here, made a post here before about getting an A1C during Covid, and I’m getting my test done in 2 days! I have never had bloodwork done regularly, let alone for A1C. It’s my second A1C test ever! 
It’s very early in the morning, and I’m wondering if I’m required to start fasting the night before if at all? Like can I eat breakfast or will it mess up the results? Am I being silly? Or does anybody have any recommended meals for breakfast before an A1C test? I usually have big breakfasts to tide me over, think 80 carbs at least. Just wanna make sure I do this “right” lol.
Any advice is appreciated!</t>
        </is>
      </c>
      <c r="D9478" t="n">
        <v>1</v>
      </c>
      <c r="E9478" t="n">
        <v>7</v>
      </c>
      <c r="F9478">
        <f>HYPERLINK("https://www.reddit.com/r/diabetes/comments/gphkpk/fasting_before_a1c/")</f>
        <v/>
      </c>
      <c r="G9478" t="inlineStr">
        <is>
          <t>2020-05-23 19:14:30</t>
        </is>
      </c>
      <c r="H9478" t="inlineStr">
        <is>
          <t>Type 1</t>
        </is>
      </c>
    </row>
    <row r="9479">
      <c r="A9479" t="inlineStr">
        <is>
          <t>gpih5p</t>
        </is>
      </c>
      <c r="B9479" t="inlineStr">
        <is>
          <t>what are good carbs to eat that will last me through walks/exercise?</t>
        </is>
      </c>
      <c r="C9479" t="inlineStr">
        <is>
          <t>Newly diagnosed Type 1- I keep going low and it's getting really frustrating. Tired of eatings snacks tbh! Never thought I would say that, ha. What are less filling longer lasting carbs that i can eat when I'm around 4 or 5 before I go out for a walk so that I don't crash?</t>
        </is>
      </c>
      <c r="D9479" t="n">
        <v>1</v>
      </c>
      <c r="E9479" t="n">
        <v>7</v>
      </c>
      <c r="F9479">
        <f>HYPERLINK("https://www.reddit.com/r/diabetes/comments/gpih5p/what_are_good_carbs_to_eat_that_will_last_me/")</f>
        <v/>
      </c>
      <c r="G9479" t="inlineStr">
        <is>
          <t>2020-05-23 20:20:50</t>
        </is>
      </c>
      <c r="H9479" t="inlineStr">
        <is>
          <t>Type 1</t>
        </is>
      </c>
    </row>
    <row r="9480">
      <c r="A9480" t="inlineStr">
        <is>
          <t>gpjirl</t>
        </is>
      </c>
      <c r="B9480" t="inlineStr">
        <is>
          <t>Question about frequent urination</t>
        </is>
      </c>
      <c r="C9480" t="inlineStr">
        <is>
          <t>Am confirmed type 2 diabetic, despite not eating anything sweet and eating (relatively) low carbs diet I still seem to be urinating once every 1-2 hours. This has been going on for three days now and I would like to know if this will stop soon or if I should seek medical help. Would fasting prevent this?</t>
        </is>
      </c>
      <c r="D9480" t="n">
        <v>1</v>
      </c>
      <c r="E9480" t="n">
        <v>11</v>
      </c>
      <c r="F9480">
        <f>HYPERLINK("https://www.reddit.com/r/diabetes/comments/gpjirl/question_about_frequent_urination/")</f>
        <v/>
      </c>
      <c r="G9480" t="inlineStr">
        <is>
          <t>2020-05-23 21:38:04</t>
        </is>
      </c>
      <c r="H9480" t="inlineStr">
        <is>
          <t>Type 2</t>
        </is>
      </c>
    </row>
    <row r="9481">
      <c r="A9481" t="inlineStr">
        <is>
          <t>gpwy90</t>
        </is>
      </c>
      <c r="B9481" t="inlineStr">
        <is>
          <t>Trouble with breads</t>
        </is>
      </c>
      <c r="C9481" t="inlineStr">
        <is>
          <t>Recently any time I have more than a slice of bread my blood sugar goes high and stays high. It can be floor tortillas, rye bread, wheat bread, and the worst culprit is the enriched breads (white and wheat). 
This doesn't happen with any other foods, and I've long given up on subtracting the dietary fiber from boluses.
I guess the first is to put a small multiplier on any breads I eat until something over corrects, but any thoughts, advice, or experiences to help?</t>
        </is>
      </c>
      <c r="D9481" t="n">
        <v>1</v>
      </c>
      <c r="E9481" t="n">
        <v>13</v>
      </c>
      <c r="F9481">
        <f>HYPERLINK("https://www.reddit.com/r/diabetes/comments/gpwy90/trouble_with_breads/")</f>
        <v/>
      </c>
      <c r="G9481" t="inlineStr">
        <is>
          <t>2020-05-24 13:39:04</t>
        </is>
      </c>
      <c r="H9481" t="inlineStr">
        <is>
          <t>Type 1</t>
        </is>
      </c>
    </row>
    <row r="9482">
      <c r="A9482" t="inlineStr">
        <is>
          <t>gpxcku</t>
        </is>
      </c>
      <c r="B9482" t="inlineStr">
        <is>
          <t>Negative reaction to Admelog?</t>
        </is>
      </c>
      <c r="C9482" t="inlineStr">
        <is>
          <t>When I was first diagnosed with type 1 back in 2012 I was quickly put on Novolog because it didn't seem like my body was absorbing Humalog. It would leave welps and itch a lot, and my blood sugar wouldn't change too much.
I recently got taken off my dad's insurance as I turned 26 and I have state Medicaid now. However, they refuse to cover Novolog even when my endocrinologist says I have a resistance to Insulin Lispro. They refused to cover anything but Admelog, another type of Lispro. I called my doctor the other day because I've been on Admelog for a month and it's torture to me. Every time I have to take a shot I have to bolus it one unit at a time until I take the whole bolus because it feels like a bee sting every time a single unit goes it, and I'm afraid if I try to do it all at once my body won't take it. Injection site gets hard and sensitive to the touch for a while after injecting, it itches like crazy. My blood sugars also have been creeping up more than when I was on the Novolog. 
Is this some kind of allergic reaction? Are there any ways to get my Medicaid to cover a different type of insulin that *isn't* Lispro?</t>
        </is>
      </c>
      <c r="D9482" t="n">
        <v>1</v>
      </c>
      <c r="E9482" t="n">
        <v>3</v>
      </c>
      <c r="F9482">
        <f>HYPERLINK("https://www.reddit.com/r/diabetes/comments/gpxcku/negative_reaction_to_admelog/")</f>
        <v/>
      </c>
      <c r="G9482" t="inlineStr">
        <is>
          <t>2020-05-24 14:02:31</t>
        </is>
      </c>
      <c r="H9482" t="inlineStr">
        <is>
          <t>Type 1</t>
        </is>
      </c>
    </row>
    <row r="9483">
      <c r="A9483" t="inlineStr">
        <is>
          <t>gpxqsx</t>
        </is>
      </c>
      <c r="B9483" t="inlineStr">
        <is>
          <t>My doctor wants me to try Victoza</t>
        </is>
      </c>
      <c r="C9483" t="inlineStr">
        <is>
          <t>I don’t like taking medication. I’m sensitive to meds and seem to get hit with the nasty side effects. A few years ago I was put on Metformin to help with PCOS and it was horrible and I gained 6lbs in 2 weeks from it (my diet &amp;amp; routine never changed while I was taking it). So I’m really hesitant to try this for my newly diagnosed D2. 
Can you share with me your pros and cons to this medication?</t>
        </is>
      </c>
      <c r="D9483" t="n">
        <v>1</v>
      </c>
      <c r="E9483" t="n">
        <v>6</v>
      </c>
      <c r="F9483">
        <f>HYPERLINK("https://www.reddit.com/r/diabetes/comments/gpxqsx/my_doctor_wants_me_to_try_victoza/")</f>
        <v/>
      </c>
      <c r="G9483" t="inlineStr">
        <is>
          <t>2020-05-24 14:25:32</t>
        </is>
      </c>
      <c r="H9483" t="inlineStr">
        <is>
          <t>Type 2</t>
        </is>
      </c>
    </row>
    <row r="9484">
      <c r="A9484" t="inlineStr">
        <is>
          <t>gq0369</t>
        </is>
      </c>
      <c r="B9484" t="inlineStr">
        <is>
          <t>Diabetic type 2 and heart problem?</t>
        </is>
      </c>
      <c r="C9484" t="inlineStr">
        <is>
          <t>So i am 19 years old, and i have experiencing occasional discomfort in my heart, it builds up and then stops, what is this? should i be concerned?</t>
        </is>
      </c>
      <c r="D9484" t="n">
        <v>1</v>
      </c>
      <c r="E9484" t="n">
        <v>17</v>
      </c>
      <c r="F9484">
        <f>HYPERLINK("https://www.reddit.com/r/diabetes/comments/gq0369/diabetic_type_2_and_heart_problem/")</f>
        <v/>
      </c>
      <c r="G9484" t="inlineStr">
        <is>
          <t>2020-05-24 16:43:20</t>
        </is>
      </c>
      <c r="H9484" t="inlineStr">
        <is>
          <t>Type 2</t>
        </is>
      </c>
    </row>
    <row r="9485">
      <c r="A9485" t="inlineStr">
        <is>
          <t>gq58do</t>
        </is>
      </c>
      <c r="B9485" t="inlineStr">
        <is>
          <t>What does the omnipod feel like when wearing it?</t>
        </is>
      </c>
      <c r="C9485" t="inlineStr">
        <is>
          <t>I currently am wearing an omnipod demo kit. While useful and I’ve learned a bit by wearing it, I want to know what the real pod feels like seeing as you have that needle piece inside you. There was a guy who’s review i read earlier that was saying he felt the needle inside him every time he moved. Is this common? How aware are you typically that it’s inside of you? Also, with laying down, if it’s on your abdomen area can you lay on your stomach? What does the insertion feel like?</t>
        </is>
      </c>
      <c r="D9485" t="n">
        <v>1</v>
      </c>
      <c r="E9485" t="n">
        <v>3</v>
      </c>
      <c r="F9485">
        <f>HYPERLINK("https://www.reddit.com/r/diabetes/comments/gq58do/what_does_the_omnipod_feel_like_when_wearing_it/")</f>
        <v/>
      </c>
      <c r="G9485" t="inlineStr">
        <is>
          <t>2020-05-24 22:34:46</t>
        </is>
      </c>
      <c r="H9485" t="inlineStr">
        <is>
          <t>Type 1</t>
        </is>
      </c>
    </row>
    <row r="9486">
      <c r="A9486" t="inlineStr">
        <is>
          <t>gq6t2x</t>
        </is>
      </c>
      <c r="B9486" t="inlineStr">
        <is>
          <t>Always high in the morning</t>
        </is>
      </c>
      <c r="C9486" t="inlineStr">
        <is>
          <t>I am not currently using insulin, recently diagnosed with Type 2, M48.  
In the afternoons around 4pm and about 4 hours since I last ate I am usually around 6-7,  but in the mornings about 10 hours since I last ate I am around 8-10 (occasionaly lower).  I eat a regular dinner, no deserts or sweets.  It doesn't seem to make sense.</t>
        </is>
      </c>
      <c r="D9486" t="n">
        <v>1</v>
      </c>
      <c r="E9486" t="n">
        <v>10</v>
      </c>
      <c r="F9486">
        <f>HYPERLINK("https://www.reddit.com/r/diabetes/comments/gq6t2x/always_high_in_the_morning/")</f>
        <v/>
      </c>
      <c r="G9486" t="inlineStr">
        <is>
          <t>2020-05-25 00:47:43</t>
        </is>
      </c>
      <c r="H9486" t="inlineStr">
        <is>
          <t>Type 2</t>
        </is>
      </c>
    </row>
    <row r="9487">
      <c r="A9487" t="inlineStr">
        <is>
          <t>gqb0h7</t>
        </is>
      </c>
      <c r="B9487" t="inlineStr">
        <is>
          <t>Is that diabetes?</t>
        </is>
      </c>
      <c r="C9487" t="inlineStr">
        <is>
          <t>When i eat chocolate /sugar my heart rate increase, i feel so tired and discomfort. And i have vein twitching, no i m not crazy i literally can feel my veins twitching all over my body also slight burning sensation and sometimes pins and needles is that diabetes?</t>
        </is>
      </c>
      <c r="D9487" t="n">
        <v>1</v>
      </c>
      <c r="E9487" t="n">
        <v>7</v>
      </c>
      <c r="F9487">
        <f>HYPERLINK("https://www.reddit.com/r/diabetes/comments/gqb0h7/is_that_diabetes/")</f>
        <v/>
      </c>
      <c r="G9487" t="inlineStr">
        <is>
          <t>2020-05-25 06:31:56</t>
        </is>
      </c>
      <c r="H9487" t="inlineStr">
        <is>
          <t>Type 2</t>
        </is>
      </c>
    </row>
    <row r="9488">
      <c r="A9488" t="inlineStr">
        <is>
          <t>gqbv5w</t>
        </is>
      </c>
      <c r="B9488" t="inlineStr">
        <is>
          <t>Acting high when in normal range</t>
        </is>
      </c>
      <c r="C9488" t="inlineStr">
        <is>
          <t>Hey guys! 
I’ve posted here a few times you are always lovely and helpful! 
My boyfriend is type 1, last night he started to act very strange, it was as if he was very high blood sugar, all the signs were there and he tested at 5.2, for you Americans that’s in the normal range between 4-8 but he was so off and it just got worse and worse he could barely speak, was confused, had to pee a lot, was almost passing out, I would ask a question and it would be as if I said something that was insane as he would just stare at me with an almost angers look, he’s the most caring soul and I was having stomach issues and usually he would be right there to make sure I was okay and had what I needed, I told him I was in pain and he just went, k. Honestly it scared the hell out of me and I couldn’t sleep, he tossed and turned all night, speaking in his sleep in gibberish and flailing his arms and hitting into me, I don’t know what happened and I just want to know, have you guys ever experienced this? 
Thanks,
A concerned partner</t>
        </is>
      </c>
      <c r="D9488" t="n">
        <v>1</v>
      </c>
      <c r="E9488" t="n">
        <v>2</v>
      </c>
      <c r="F9488">
        <f>HYPERLINK("https://www.reddit.com/r/diabetes/comments/gqbv5w/acting_high_when_in_normal_range/")</f>
        <v/>
      </c>
      <c r="G9488" t="inlineStr">
        <is>
          <t>2020-05-25 07:27:44</t>
        </is>
      </c>
      <c r="H9488" t="inlineStr">
        <is>
          <t>Type 1</t>
        </is>
      </c>
    </row>
    <row r="9489">
      <c r="A9489" t="inlineStr">
        <is>
          <t>gqct26</t>
        </is>
      </c>
      <c r="B9489" t="inlineStr">
        <is>
          <t>Skin</t>
        </is>
      </c>
      <c r="C9489" t="inlineStr">
        <is>
          <t>So i’m a type 1 diabetic. I’ve been having issues with my lower left leg has been itching and I think it may have something to do with my diabetes has anyone else had this?</t>
        </is>
      </c>
      <c r="D9489" t="n">
        <v>1</v>
      </c>
      <c r="E9489" t="n">
        <v>1</v>
      </c>
      <c r="F9489">
        <f>HYPERLINK("https://www.reddit.com/r/diabetes/comments/gqct26/skin/")</f>
        <v/>
      </c>
      <c r="G9489" t="inlineStr">
        <is>
          <t>2020-05-25 08:20:31</t>
        </is>
      </c>
      <c r="H9489" t="inlineStr">
        <is>
          <t>Type 1</t>
        </is>
      </c>
    </row>
    <row r="9490">
      <c r="A9490" t="inlineStr">
        <is>
          <t>gqdie6</t>
        </is>
      </c>
      <c r="B9490" t="inlineStr">
        <is>
          <t>Physical activity has been difficult</t>
        </is>
      </c>
      <c r="C9490" t="inlineStr">
        <is>
          <t>Hey guys! So I’ve only been diagnosed as a type 1 for 5 months so I’m still getting the hang of it, and I’ve noticed that if I do alotof physical activity I get light headed a lot quicker... I just got a new job at an autozone warehouse so I’m sure I’ll be lifting quite a bit, is there anyway to combat this???
I’m not on a lot of insulin, 1 24 dose of Lantus a night, 12 units. Still working on my diet so that could be a factor! Any advice would help this noob :)
Anyways guys, thanks for always being here!</t>
        </is>
      </c>
      <c r="D9490" t="n">
        <v>1</v>
      </c>
      <c r="E9490" t="n">
        <v>5</v>
      </c>
      <c r="F9490">
        <f>HYPERLINK("https://www.reddit.com/r/diabetes/comments/gqdie6/physical_activity_has_been_difficult/")</f>
        <v/>
      </c>
      <c r="G9490" t="inlineStr">
        <is>
          <t>2020-05-25 08:59:24</t>
        </is>
      </c>
      <c r="H9490" t="inlineStr">
        <is>
          <t>Type 1</t>
        </is>
      </c>
    </row>
    <row r="9491">
      <c r="A9491" t="inlineStr">
        <is>
          <t>gqi290</t>
        </is>
      </c>
      <c r="B9491" t="inlineStr">
        <is>
          <t>How do i help my sister?</t>
        </is>
      </c>
      <c r="C9491" t="inlineStr">
        <is>
          <t>How guys so my sister is 29F and she has been 9 years with diabetes(type 1) . and she told me recentry she had two very bad episodes. One she ate eggs and her sugar levels went down like crazy the ambulance came and spend 1 hour doing god knows what...and the second one the next day her sugar levels went up. So something is not good.
She doesnt eat things with sugar but maybe she should have a more strict diet without anything that makes a lot of  glucose like carbs.
Will keto diet be a good idea for her?she seemes quite distress(video call) and she said she has no idea what to it so i told her to not worry i will help her make a menu but the truth is i have no idea about keto diet im recently learning about it myself..
Thanks..</t>
        </is>
      </c>
      <c r="D9491" t="n">
        <v>1</v>
      </c>
      <c r="E9491" t="n">
        <v>4</v>
      </c>
      <c r="F9491">
        <f>HYPERLINK("https://www.reddit.com/r/diabetes/comments/gqi290/how_do_i_help_my_sister/")</f>
        <v/>
      </c>
      <c r="G9491" t="inlineStr">
        <is>
          <t>2020-05-25 12:57:05</t>
        </is>
      </c>
      <c r="H9491" t="inlineStr">
        <is>
          <t>Type 1</t>
        </is>
      </c>
    </row>
    <row r="9492">
      <c r="A9492" t="inlineStr">
        <is>
          <t>gqj70m</t>
        </is>
      </c>
      <c r="B9492" t="inlineStr">
        <is>
          <t>Struggling with diagnosis</t>
        </is>
      </c>
      <c r="C9492" t="inlineStr">
        <is>
          <t>Hiah I'm a 19 year old and have to get some stuff off my chest. So about a week  and a half ago my life changed when I got diagnosed with type 1 diabetes. I found out in the hospital I had blood sugars above 33mmol/lol and a hba1c of 18.6%.
For the first couple of days I after getting home from the hospital I soldiered on and handled it. I dealt well with counting carbs, injections and coped by burying my head in the sand and researching everything I could about diabetes but the last couple of days I feel like the reality of my diagnosis has hit and I've crashed hard. 
I've not been this depressed since high school and I'm slightly scared about having these thoughts again given that, unlike before, I now have the means to act on these thoughts due to my diagnosis. I feel so alone since none of my friends and family don't understand what I'm going through. 
If you've got to the end thanks for reading my vent I just had to let it out somewhere.
TL;DR Fuck Diabetes</t>
        </is>
      </c>
      <c r="D9492" t="n">
        <v>1</v>
      </c>
      <c r="E9492" t="n">
        <v>16</v>
      </c>
      <c r="F9492">
        <f>HYPERLINK("https://www.reddit.com/r/diabetes/comments/gqj70m/struggling_with_diagnosis/")</f>
        <v/>
      </c>
      <c r="G9492" t="inlineStr">
        <is>
          <t>2020-05-25 13:57:39</t>
        </is>
      </c>
      <c r="H9492" t="inlineStr">
        <is>
          <t>Type 1</t>
        </is>
      </c>
    </row>
    <row r="9493">
      <c r="A9493" t="inlineStr">
        <is>
          <t>gqkmok</t>
        </is>
      </c>
      <c r="B9493" t="inlineStr">
        <is>
          <t>If ones penis no longer feels sensation, would a penis transplant allow me to feel again? Genuine question haha</t>
        </is>
      </c>
      <c r="C9493" t="inlineStr">
        <is>
          <t>Please don’t downvote, just wanna know the answer to it. Might make me work towards some money goals if it would work...</t>
        </is>
      </c>
      <c r="D9493" t="n">
        <v>1</v>
      </c>
      <c r="E9493" t="n">
        <v>13</v>
      </c>
      <c r="F9493">
        <f>HYPERLINK("https://www.reddit.com/r/diabetes/comments/gqkmok/if_ones_penis_no_longer_feels_sensation_would_a/")</f>
        <v/>
      </c>
      <c r="G9493" t="inlineStr">
        <is>
          <t>2020-05-25 15:20:20</t>
        </is>
      </c>
      <c r="H9493" t="inlineStr">
        <is>
          <t>Type 1</t>
        </is>
      </c>
    </row>
    <row r="9494">
      <c r="A9494" t="inlineStr">
        <is>
          <t>gqmluh</t>
        </is>
      </c>
      <c r="B9494" t="inlineStr">
        <is>
          <t>How true is that fasting can reverse type 2 diabetes?</t>
        </is>
      </c>
      <c r="C9494" t="inlineStr">
        <is>
          <t>*Make positive changes!*
* *Beneficial.*
* *Effective.*
* *Safe.*</t>
        </is>
      </c>
      <c r="D9494" t="n">
        <v>1</v>
      </c>
      <c r="E9494" t="n">
        <v>3</v>
      </c>
      <c r="F9494">
        <f>HYPERLINK("https://www.reddit.com/r/diabetes/comments/gqmluh/how_true_is_that_fasting_can_reverse_type_2/")</f>
        <v/>
      </c>
      <c r="G9494" t="inlineStr">
        <is>
          <t>2020-05-25 17:21:55</t>
        </is>
      </c>
      <c r="H9494" t="inlineStr">
        <is>
          <t>Type 2</t>
        </is>
      </c>
    </row>
    <row r="9495">
      <c r="A9495" t="inlineStr">
        <is>
          <t>gqp8m0</t>
        </is>
      </c>
      <c r="B9495" t="inlineStr">
        <is>
          <t>Insulin randomly just stopped working as fast?</t>
        </is>
      </c>
      <c r="C9495" t="inlineStr">
        <is>
          <t>Hey guys, 
I've always pre-bolused and sugar surfed which worked really well for me. By doing this, I would usually have to wait around 30 minutes before my BG starts dipping slowly, and then more quickly at around the 40-50 min mark. 
Then randomly yesterday my Humalog just kind of decided to stop working as well. I was at around 130BG,  took 8 units and waited a whole 2 hours before there was even a small dip in my readings. I used a meter to confirm my Dexcom, and it was accurate. The only thing different about that day was that I took an advil in the morning for a headache. 
I hoped this morning it would be better, and it was slightly. But I am waiting upwards of 1hr and 15 minutes before my BG even makes a little change. It's driving me up the wall having to wait so long to eat. 
I'm wondering if the advil can just randomly cause this change? Or maybe a change of insulin might help? Has anyone experienced this before?</t>
        </is>
      </c>
      <c r="D9495" t="n">
        <v>1</v>
      </c>
      <c r="E9495" t="n">
        <v>10</v>
      </c>
      <c r="F9495">
        <f>HYPERLINK("https://www.reddit.com/r/diabetes/comments/gqp8m0/insulin_randomly_just_stopped_working_as_fast/")</f>
        <v/>
      </c>
      <c r="G9495" t="inlineStr">
        <is>
          <t>2020-05-25 20:16:42</t>
        </is>
      </c>
      <c r="H9495" t="inlineStr">
        <is>
          <t>Type 1</t>
        </is>
      </c>
    </row>
    <row r="9496">
      <c r="A9496" t="inlineStr">
        <is>
          <t>gqpoha</t>
        </is>
      </c>
      <c r="B9496" t="inlineStr">
        <is>
          <t>Anyone taking metformin?</t>
        </is>
      </c>
      <c r="C9496" t="inlineStr">
        <is>
          <t>I've been on it now for 2 months, wondering what side effects you might have/are experiencing.</t>
        </is>
      </c>
      <c r="D9496" t="n">
        <v>1</v>
      </c>
      <c r="E9496" t="n">
        <v>16</v>
      </c>
      <c r="F9496">
        <f>HYPERLINK("https://www.reddit.com/r/diabetes/comments/gqpoha/anyone_taking_metformin/")</f>
        <v/>
      </c>
      <c r="G9496" t="inlineStr">
        <is>
          <t>2020-05-25 20:47:54</t>
        </is>
      </c>
      <c r="H9496" t="inlineStr">
        <is>
          <t>Type 2</t>
        </is>
      </c>
    </row>
    <row r="9497">
      <c r="A9497" t="inlineStr">
        <is>
          <t>gqr29d</t>
        </is>
      </c>
      <c r="B9497" t="inlineStr">
        <is>
          <t>Drinking Regular Pop as a T1. What will happen?</t>
        </is>
      </c>
      <c r="C9497" t="inlineStr">
        <is>
          <t xml:space="preserve"> I'm recently diagnosed. I was already incredibly depressed about life in general and barely saw a point in living, now I have this on top of it. And it sucks. I get that other people go through it and "it's possible to live and still do things," but this illness/disease/whatever is taxing and adds extra thought and financial costs to my life. It's also taking from me little joys I apparently took for granted.
The thing that I've noticed lately is that when I go to stores, be it a gas station or a store like Walmart or Target, I end up coming pretty close to a breakdown whenever I see the regular pops. I found a level of comfort in pop and the variety of it. Most people have comfort foods, I imagine this is a similar thing. It's not something I drank every day or even every week but being able to have the option to just decide "hey I want a fanta," or "hey I want a big red," or "hey I want a (real) sprite," or "hey I want a Pepsi 1893," is apparently a big deal to me. It was one of the few things that brought me joy. For a moment, amidst all the pain and suffering of life, I could enjoy those 16oz of peace. Now I know some people will think this is stupid, and it probably is but I already don't really like life and now am having the little things that brought me joy taken away. There's very little variety in diet pop. Going to gas stations even, you're limited to very few options. The vending machines at my job, I just discovered, do not even have diet pop in them. Going to resturants or fast food places my options are now "diet coke," or "diet pepsi" and I hate it. I already don't see much to live for and this just adds an extra damper on it. I know this can sound like a Debbie Downer Cry Baby First World Problem but it honestly matters to me. This isn't a troll. This isn't trying to trivialize anything that you guys go through.
**My questions are:**
***"Can I drink a regular pop?"***
***"How will this affect me?"***
***"Can I just drink a regular pop in place of a meal in terms of carbs?"***
***"A bottle of Big Red, for example is 63g of Carbs. Can I just take extra insulin to cover that?"***
ttdr; the questions are emboldened and italicized above.</t>
        </is>
      </c>
      <c r="D9497" t="n">
        <v>1</v>
      </c>
      <c r="E9497" t="n">
        <v>20</v>
      </c>
      <c r="F9497">
        <f>HYPERLINK("https://www.reddit.com/r/diabetes/comments/gqr29d/drinking_regular_pop_as_a_t1_what_will_happen/")</f>
        <v/>
      </c>
      <c r="G9497" t="inlineStr">
        <is>
          <t>2020-05-25 22:32:16</t>
        </is>
      </c>
      <c r="H9497" t="inlineStr">
        <is>
          <t>Type 1</t>
        </is>
      </c>
    </row>
    <row r="9498">
      <c r="A9498" t="inlineStr">
        <is>
          <t>gqtei3</t>
        </is>
      </c>
      <c r="B9498" t="inlineStr">
        <is>
          <t>Issues with Tandem supplier</t>
        </is>
      </c>
      <c r="C9498" t="inlineStr">
        <is>
          <t>I have been having so many issues with getting my pump supplies the last few months. I understand there is a pandemic going on, but the absolute lack of communication or follow through on Tandems end has me at the end of my rope. I order my supplies monthly (insurance reasons, fits in to my budget better.) I used to just call monthly, but after an issue at the beginning of quarantine when the order I placed didn't actually get placed on their end, they offered to set me up on automatic refills. I thought, awesome, less work on my end. Well the next month rolls around and I see that no payment has been drafted (as it usually does when an order ships), no email, nothing. I call and rep tells me I'm set up for shipments ever 3 months, even after I explained multiple times at the previous order that I do mine monthly. Okay, that's fine, they change it to monthly and tell me should process in 7 days. I have about two weeks of supplies left so I should have plenty. This was 10 days ago, and still nothing has processed. I just changed my site and it was my last one. I can get extras from my endo in a pinch, but it is frustrating that a medical supplier doesn't take more care in making sure these orders go through promptly and efficiently. Anyway, I know I don't have any other option for ordering my supplies, so just came here to vent about yet another annoying thing about being diabetic.</t>
        </is>
      </c>
      <c r="D9498" t="n">
        <v>1</v>
      </c>
      <c r="E9498" t="n">
        <v>6</v>
      </c>
      <c r="F9498">
        <f>HYPERLINK("https://www.reddit.com/r/diabetes/comments/gqtei3/issues_with_tandem_supplier/")</f>
        <v/>
      </c>
      <c r="G9498" t="inlineStr">
        <is>
          <t>2020-05-26 01:52:11</t>
        </is>
      </c>
      <c r="H9498" t="inlineStr">
        <is>
          <t>Type 1</t>
        </is>
      </c>
    </row>
    <row r="9499">
      <c r="A9499" t="inlineStr">
        <is>
          <t>gr4ai6</t>
        </is>
      </c>
      <c r="B9499" t="inlineStr">
        <is>
          <t>T2 diabetic nerve tingling in legs</t>
        </is>
      </c>
      <c r="C9499" t="inlineStr">
        <is>
          <t>This is my first time posting in this community (I just discovered it about 1.5 weeks ago). I first want to preface that I am so proud of this community. I am 24 yr old and seeing many of the posts in this group truly shows the resiliency of people with t2. I weighed 385 at my highest 3.5 years ago and was diagnosed with diabetes with A1C of 7.2. I was prescribed 1000mg metformin but honestly I was just mentally screwed in the head and was in denial. Kept telling myself that it was over for me and I might as well keep sabatoging. I began taking thing seriously beginning of Jan 2019. My A1C was 6.4 after dropping 20lbs and I was once again put on Metformin 1000mg/day. I adhered to the medication regimen, I got a personal trainer, but still struggled with diet (central theme of my entire life). 6 months later my A1C was 5.9 and weight was 350. My dose was upped to 2000mg. Fast forward to today I am near 300lbs (which is sadly the lowest I remember being in the last decade) and my A1c is again 5.9. (Glucose went from 109 in 2019 to 91 today, most likely due to help of metformin though. Fasting glucose is now 103 off of medications).
Now the bad thing is a few months ago I experienced tingling in my legs (not hands or feet). I was in denial and ignored the issue. Then it became more consistent and was happening all in my legs. Then overtime, the tingling started spreading to my feet and sometimes my hands. I had checked my fasting blood sugar and it was mid 90s, so I thought how this could be. I was so scared then that I thought maybe metformin was affecting my B12 so I popped a B12 1000mcg and my goodness the tingling went from a 8-9 to 3-4. I stopped taking B12 pills after taking for 4 days though because I need to get those levels checked to see if B12 is the reason for my tingling (didnt want to overdose??? not sure if possible).
Long story short, I still deal with tingling in the legs primarily, rarely in the feet and sometimes in the hands but I honestly think my hands are  more due to how i sleep since I somehow end up flexing my hands when sleeping on them. I just need some help, has anybody had similar things occur. I have stopped the metformin till I figure out whats going on, but I am mentally scared, ashamed and not dealing with this well. I threw my life away and I am facing the consequences. I pray everyday to redo life and I truly deserve no sympathy (I owe many apologies to my loved ones and physicians who tried helping me for so many years). I guess I dont know what I hoped to gain from this post, but I just hope someone can relate. I am simply afraid and ashamed. I dont want to live life like this, I just want one more redo.</t>
        </is>
      </c>
      <c r="D9499" t="n">
        <v>1</v>
      </c>
      <c r="E9499" t="n">
        <v>13</v>
      </c>
      <c r="F9499">
        <f>HYPERLINK("https://www.reddit.com/r/diabetes/comments/gr4ai6/t2_diabetic_nerve_tingling_in_legs/")</f>
        <v/>
      </c>
      <c r="G9499" t="inlineStr">
        <is>
          <t>2020-05-26 12:53:42</t>
        </is>
      </c>
      <c r="H9499" t="inlineStr">
        <is>
          <t>Type 2</t>
        </is>
      </c>
    </row>
    <row r="9500">
      <c r="A9500" t="inlineStr">
        <is>
          <t>gr5swo</t>
        </is>
      </c>
      <c r="B9500" t="inlineStr">
        <is>
          <t>Any other experienced Type 1.5’s ?</t>
        </is>
      </c>
      <c r="C9500" t="inlineStr">
        <is>
          <t>25yr female; found out I was diabetic through reoccurring yeast infection. 
Okay, so I got diagnosed a few weeks ago and I’m still just feeling lost. My numbers have been pretty good, the lowest I’ve been is 80. When I went to the doctor and got my ACL(??) run it was 7.4 so I guess I’m just trying to slow down whatever is happening to my body. 
Forgive me if I sound ignorant I’m just trying my best to understand and also, if there’s anyone else who is/was type 1.5, where do I go from here and what do I have in my future to (not so) look forward to?</t>
        </is>
      </c>
      <c r="D9500" t="n">
        <v>1</v>
      </c>
      <c r="E9500" t="n">
        <v>22</v>
      </c>
      <c r="F9500">
        <f>HYPERLINK("https://www.reddit.com/r/diabetes/comments/gr5swo/any_other_experienced_type_15s/")</f>
        <v/>
      </c>
      <c r="G9500" t="inlineStr">
        <is>
          <t>2020-05-26 14:13:53</t>
        </is>
      </c>
      <c r="H9500" t="inlineStr">
        <is>
          <t>Type 1.5/LADA</t>
        </is>
      </c>
    </row>
    <row r="9501">
      <c r="A9501" t="inlineStr">
        <is>
          <t>gr78dd</t>
        </is>
      </c>
      <c r="B9501" t="inlineStr">
        <is>
          <t>My A1C is down!!</t>
        </is>
      </c>
      <c r="C9501" t="inlineStr">
        <is>
          <t>Hi everyone,
I am extremely proud of myself! When I first got diagnosed in 2018, my A1C was at a 7.0. I was in a denial for about a year or so and gained a lot of weight. At my heaviest, I was 240. However, I was inspired to turn my life around for my own health and well being. 
Now, my A1C is at 5.5!! I’ve lost about ~30 pounds and eat low carb. I don’t think I’ve ever felt better in my life. I feel AMAZING. I could honestly cry out of happiness. 
Thank you to this subreddit. I don’t post often but always check here for tips and support. No matter where you are in your journey, I’ll cheer you on! 🤩🥰</t>
        </is>
      </c>
      <c r="D9501" t="n">
        <v>1</v>
      </c>
      <c r="E9501" t="n">
        <v>26</v>
      </c>
      <c r="F9501">
        <f>HYPERLINK("https://www.reddit.com/r/diabetes/comments/gr78dd/my_a1c_is_down/")</f>
        <v/>
      </c>
      <c r="G9501" t="inlineStr">
        <is>
          <t>2020-05-26 15:32:47</t>
        </is>
      </c>
      <c r="H9501" t="inlineStr">
        <is>
          <t>Type 2</t>
        </is>
      </c>
    </row>
    <row r="9502">
      <c r="A9502" t="inlineStr">
        <is>
          <t>gr9ejz</t>
        </is>
      </c>
      <c r="B9502" t="inlineStr">
        <is>
          <t>Eating right is hard with kids around</t>
        </is>
      </c>
      <c r="C9502" t="inlineStr">
        <is>
          <t>I can do low carb for a couple of days but then I fail. I’ve got 4 kids and of course we’re home all day long right now. I do walk every day but I see animal crackers or something that’s been left out and I snack. Or like tonight they actually liked the veggie I prepared so there wasn’t enough for me to fill up on. Some days it’s just really hard because I have pcos and my hormones are so out of whack that I can’t control the cravings (I often get my cycle 2x a month so I’m really messed up). I’m hoping to try Trulicity soon (pending insurance approval 🙄). I’m currently D2 and my level is 7.0. I’ve lost 10lbs but like I said my body is a mess and in 2 days have gained 7lbs (it’s all water)
Help!</t>
        </is>
      </c>
      <c r="D9502" t="n">
        <v>1</v>
      </c>
      <c r="E9502" t="n">
        <v>2</v>
      </c>
      <c r="F9502">
        <f>HYPERLINK("https://www.reddit.com/r/diabetes/comments/gr9ejz/eating_right_is_hard_with_kids_around/")</f>
        <v/>
      </c>
      <c r="G9502" t="inlineStr">
        <is>
          <t>2020-05-26 17:42:11</t>
        </is>
      </c>
      <c r="H9502" t="inlineStr">
        <is>
          <t>Type 2</t>
        </is>
      </c>
    </row>
    <row r="9503">
      <c r="A9503" t="inlineStr">
        <is>
          <t>gra6kc</t>
        </is>
      </c>
      <c r="B9503" t="inlineStr">
        <is>
          <t>How to adjust basal insulin for the best results</t>
        </is>
      </c>
      <c r="C9503" t="inlineStr">
        <is>
          <t>Hello Guys
Here is a video about how I adjust my basal insulin. Maybe some of you guys will find it useful.
This is what works for me remember!
[https://youtu.be/asE3W\_Aqu54](https://youtu.be/asE3W_Aqu54)
How is it working for you though, is it the same?</t>
        </is>
      </c>
      <c r="D9503" t="n">
        <v>1</v>
      </c>
      <c r="E9503" t="n">
        <v>0</v>
      </c>
      <c r="F9503">
        <f>HYPERLINK("https://www.reddit.com/r/diabetes/comments/gra6kc/how_to_adjust_basal_insulin_for_the_best_results/")</f>
        <v/>
      </c>
      <c r="G9503" t="inlineStr">
        <is>
          <t>2020-05-26 18:32:21</t>
        </is>
      </c>
      <c r="H9503" t="inlineStr">
        <is>
          <t>Type 1</t>
        </is>
      </c>
    </row>
    <row r="9504">
      <c r="A9504" t="inlineStr">
        <is>
          <t>gra7ci</t>
        </is>
      </c>
      <c r="B9504" t="inlineStr">
        <is>
          <t>summertime and water activities</t>
        </is>
      </c>
      <c r="C9504" t="inlineStr">
        <is>
          <t>Hi all. 
Looking for suggestions and ideas on how to safely experience summertime with diabetes gear. I recently switched from the Omnipod to Tslim and absolutely LOVE it, but a little concerned about how to manage with kayaking, boating, being in the sun in general. This past weekend I laid out at the lake and stayed connected, just hid my pump under a towel to keep it from overheating. But...it still did and I got an occlusion alarm after about 15 min. I was able to restart it with no issue but still stressed me out a bit thinking we'd have to leave and cancel plans so i could deal with it.
With the Omnipod, I never had any issues - just kept my PDM in my bag in the shade or threw it in the cooler. But i am entirely new to tubed pumps and just looking for some ideas!
Also, if anyone has any specific suggestions for dry bags that you 100% trust for kayaking, boating, etc. I had a terrible experience last year with a tipped/flooded kayak and a ruined Omnipod PDM and phone (also dexcom receiver) in what was supposed to be a dry bag... I am looking forward to getting the kayak back out again but man that sucked, and I want to make sure I'm as prepared as possible. We were stuck out on the river for the next 5 hours without a way to check my BG and it was just miserable.
Also for the ladies in particular- i'm really not too shy about displaying my robot gear but it would be nice to be a little discreet sometimes. This isn't just for bathing suits either...how do you manage dresses?? I was dx as an adult and went straight to the omnipod after a few months of insulin pens so tubed pumps are totally new.
Thank you all in advance!!</t>
        </is>
      </c>
      <c r="D9504" t="n">
        <v>1</v>
      </c>
      <c r="E9504" t="n">
        <v>5</v>
      </c>
      <c r="F9504">
        <f>HYPERLINK("https://www.reddit.com/r/diabetes/comments/gra7ci/summertime_and_water_activities/")</f>
        <v/>
      </c>
      <c r="G9504" t="inlineStr">
        <is>
          <t>2020-05-26 18:33:44</t>
        </is>
      </c>
      <c r="H9504" t="inlineStr">
        <is>
          <t>Type 1</t>
        </is>
      </c>
    </row>
    <row r="9505">
      <c r="A9505" t="inlineStr">
        <is>
          <t>gre7bd</t>
        </is>
      </c>
      <c r="B9505" t="inlineStr">
        <is>
          <t>Can insulin take effect immediately if you inject it into the right spot?</t>
        </is>
      </c>
      <c r="C9505" t="inlineStr">
        <is>
          <t>Was in the mid 100s about an hour ago. Blood sugar was slowly dropping. Ate a bunch of gummy bears and gave myself insulin accordingly. It kept dropping and at a faster pace. The gummy bears have done nothing yet. Now stable in the 80s. Could this be the insulin taking affect and it and the gummy bears trading off?</t>
        </is>
      </c>
      <c r="D9505" t="n">
        <v>1</v>
      </c>
      <c r="E9505" t="n">
        <v>4</v>
      </c>
      <c r="F9505">
        <f>HYPERLINK("https://www.reddit.com/r/diabetes/comments/gre7bd/can_insulin_take_effect_immediately_if_you_inject/")</f>
        <v/>
      </c>
      <c r="G9505" t="inlineStr">
        <is>
          <t>2020-05-26 23:18:47</t>
        </is>
      </c>
      <c r="H9505" t="inlineStr">
        <is>
          <t>Type 1</t>
        </is>
      </c>
    </row>
    <row r="9506">
      <c r="A9506" t="inlineStr">
        <is>
          <t>grffmb</t>
        </is>
      </c>
      <c r="B9506" t="inlineStr">
        <is>
          <t>Byram Healthcare billing issue</t>
        </is>
      </c>
      <c r="C9506" t="inlineStr">
        <is>
          <t>Hey fellow diabetics.  So my insurance company's coverage for DMEs (Durable Medical Equipment) is a 124 day count every 120 days. Byram told me I can get my G6 sensors in 3 month supplies so I went that route, but after my second 90 supply I was now at 180 days during my 121 day, thus making me responsible for the remaining 59 days. Turns out my health insurance doesn't reset the day counter after 90. Byram accepted fault the first time and said after my next 90 supply they'd change me back to 30 day refills. Just received my 4th 90 day supply and sure enough, I'm billed as responsible for the remaining 59 days again. I can't keep paying $1300+ every 180 days **AFTER** I already pay my $2600 High Deductible insurance.
Any of you have any advice/similar experience?</t>
        </is>
      </c>
      <c r="D9506" t="n">
        <v>1</v>
      </c>
      <c r="E9506" t="n">
        <v>2</v>
      </c>
      <c r="F9506">
        <f>HYPERLINK("https://www.reddit.com/r/diabetes/comments/grffmb/byram_healthcare_billing_issue/")</f>
        <v/>
      </c>
      <c r="G9506" t="inlineStr">
        <is>
          <t>2020-05-27 00:57:35</t>
        </is>
      </c>
      <c r="H9506" t="inlineStr">
        <is>
          <t>Type 1</t>
        </is>
      </c>
    </row>
    <row r="9507">
      <c r="A9507" t="inlineStr">
        <is>
          <t>gric24</t>
        </is>
      </c>
      <c r="B9507" t="inlineStr">
        <is>
          <t>G5 Sensors Needed</t>
        </is>
      </c>
      <c r="C9507" t="inlineStr">
        <is>
          <t>I am desperately searching for G5 sensors.  If you have upgraded to the G6 and may have some G5 sensors left I could really use them.  Trying to stay on the cgm without insurance has been a challenge.  I have paypal or could send cash for the shipping charges.  
My address is:  1004 Findlay St.  Portsmouth Ohio 45662
My phone number is 240-688-6897
Thank you,
Andy</t>
        </is>
      </c>
      <c r="D9507" t="n">
        <v>1</v>
      </c>
      <c r="E9507" t="n">
        <v>1</v>
      </c>
      <c r="F9507">
        <f>HYPERLINK("https://www.reddit.com/r/diabetes/comments/gric24/g5_sensors_needed/")</f>
        <v/>
      </c>
      <c r="G9507" t="inlineStr">
        <is>
          <t>2020-05-27 04:54:42</t>
        </is>
      </c>
      <c r="H9507" t="inlineStr">
        <is>
          <t>Type 1</t>
        </is>
      </c>
    </row>
    <row r="9508">
      <c r="A9508" t="inlineStr">
        <is>
          <t>grizej</t>
        </is>
      </c>
      <c r="B9508" t="inlineStr">
        <is>
          <t>Can pod cause ketones?</t>
        </is>
      </c>
      <c r="C9508" t="inlineStr">
        <is>
          <t>I had been having ketones after I changed my pod even though my blood sugar has been normal. I would usually be able to flush them but ever since 3:30am it's been small/middeum and hasn't came down yet I've drank around 8-10 bottles of water I lost count. My mom doesn't want me to change it and I don't know what to do.</t>
        </is>
      </c>
      <c r="D9508" t="n">
        <v>1</v>
      </c>
      <c r="E9508" t="n">
        <v>10</v>
      </c>
      <c r="F9508">
        <f>HYPERLINK("https://www.reddit.com/r/diabetes/comments/grizej/can_pod_cause_ketones/")</f>
        <v/>
      </c>
      <c r="G9508" t="inlineStr">
        <is>
          <t>2020-05-27 05:40:40</t>
        </is>
      </c>
      <c r="H9508" t="inlineStr">
        <is>
          <t>Type 1</t>
        </is>
      </c>
    </row>
    <row r="9509">
      <c r="A9509" t="inlineStr">
        <is>
          <t>grj1rl</t>
        </is>
      </c>
      <c r="B9509" t="inlineStr">
        <is>
          <t>G5 Sensors Needed</t>
        </is>
      </c>
      <c r="C9509" t="inlineStr">
        <is>
          <t>I am desperately searching for G5 sensors.  If you have upgraded to the G6 and have some G5 sensors left I could really use them.  Trying to stay on the cgm without insurance has been a challenge.  I have paypal or could send cash for the shipping charges.  
Thank you,
Andy</t>
        </is>
      </c>
      <c r="D9509" t="n">
        <v>1</v>
      </c>
      <c r="E9509" t="n">
        <v>0</v>
      </c>
      <c r="F9509">
        <f>HYPERLINK("https://www.reddit.com/r/diabetes/comments/grj1rl/g5_sensors_needed/")</f>
        <v/>
      </c>
      <c r="G9509" t="inlineStr">
        <is>
          <t>2020-05-27 05:45:04</t>
        </is>
      </c>
      <c r="H9509" t="inlineStr">
        <is>
          <t>Type 1</t>
        </is>
      </c>
    </row>
    <row r="9510">
      <c r="A9510" t="inlineStr">
        <is>
          <t>grmmu0</t>
        </is>
      </c>
      <c r="B9510" t="inlineStr">
        <is>
          <t>My A1C is in the normal range!</t>
        </is>
      </c>
      <c r="C9510" t="inlineStr">
        <is>
          <t>Just received my lab results, my A1C is 5.6, down from 13.3  6 years ago.
At the time of my testing, my glucose level  was 33, just a bit on the low side.  
Still have alot of work to do though.
&amp;amp;#x200B;
May 2020
HbA1c 5.60  
Estimated Average Glucose 114  (mg/dL)  
Oct 2014
HbA1c 13.30  
Estimated Average Glucose 335 (mg/dL)</t>
        </is>
      </c>
      <c r="D9510" t="n">
        <v>1</v>
      </c>
      <c r="E9510" t="n">
        <v>3</v>
      </c>
      <c r="F9510">
        <f>HYPERLINK("https://www.reddit.com/r/diabetes/comments/grmmu0/my_a1c_is_in_the_normal_range/")</f>
        <v/>
      </c>
      <c r="G9510" t="inlineStr">
        <is>
          <t>2020-05-27 09:13:39</t>
        </is>
      </c>
      <c r="H9510" t="inlineStr">
        <is>
          <t>Type 2</t>
        </is>
      </c>
    </row>
    <row r="9511">
      <c r="A9511" t="inlineStr">
        <is>
          <t>grn1n4</t>
        </is>
      </c>
      <c r="B9511" t="inlineStr">
        <is>
          <t>Doctor changed my daily metformin prescription from 1700mg to 425mg</t>
        </is>
      </c>
      <c r="C9511" t="inlineStr">
        <is>
          <t>I was diagnosed with Type 2 diabetes around 10 months ago and started therapy only 6 months ago. I’ve been taking 850mg of metformin twice a day this whole time but in my last visit my diabetologist told me to only take half a 850mg pill at breakfast and that’s it. I’m a little worried that this might cause my sugar levels to rise up again and if it’s even okay to to go from 1700mg daily to 425mg all of a sudden? I know she’s a professional and knows what she’s doing but I’m an anxious person and this is making me worry.
My latest blood tests were pretty good (100 glucose and 40 glycated hemoglobin) which puts me in the pre diabetes range now.
Am I right to be worried? Should I express my concerns to my doctor or just try and see how it goes?</t>
        </is>
      </c>
      <c r="D9511" t="n">
        <v>1</v>
      </c>
      <c r="E9511" t="n">
        <v>7</v>
      </c>
      <c r="F9511">
        <f>HYPERLINK("https://www.reddit.com/r/diabetes/comments/grn1n4/doctor_changed_my_daily_metformin_prescription/")</f>
        <v/>
      </c>
      <c r="G9511" t="inlineStr">
        <is>
          <t>2020-05-27 09:35:00</t>
        </is>
      </c>
      <c r="H9511" t="inlineStr">
        <is>
          <t>Type 2</t>
        </is>
      </c>
    </row>
    <row r="9512">
      <c r="A9512" t="inlineStr">
        <is>
          <t>groz98</t>
        </is>
      </c>
      <c r="B9512" t="inlineStr">
        <is>
          <t>Need help managing diabetes</t>
        </is>
      </c>
      <c r="C9512" t="inlineStr">
        <is>
          <t>I'm not diabetic, but my sister just got diagnosed and I need some advice as I don't know what I'm doing.  Here's the link to my original post.
https://www.reddit.com/r/medical_advice/comments/grork0/help_with_managing_diabetes/?utm_medium=android_app&amp;amp;utm_source=share</t>
        </is>
      </c>
      <c r="D9512" t="n">
        <v>1</v>
      </c>
      <c r="E9512" t="n">
        <v>14</v>
      </c>
      <c r="F9512">
        <f>HYPERLINK("https://www.reddit.com/r/diabetes/comments/groz98/need_help_managing_diabetes/")</f>
        <v/>
      </c>
      <c r="G9512" t="inlineStr">
        <is>
          <t>2020-05-27 11:11:16</t>
        </is>
      </c>
      <c r="H9512" t="inlineStr">
        <is>
          <t>Type 1</t>
        </is>
      </c>
    </row>
    <row r="9513">
      <c r="A9513" t="inlineStr">
        <is>
          <t>grpn81</t>
        </is>
      </c>
      <c r="B9513" t="inlineStr">
        <is>
          <t>Recs for continuous glucose monitor</t>
        </is>
      </c>
      <c r="C9513" t="inlineStr">
        <is>
          <t>What are your best recommendations for continuous gloucose meeter with a low glucose alarm. Need for an elderly gentleman on medicate who is struggling.</t>
        </is>
      </c>
      <c r="D9513" t="n">
        <v>1</v>
      </c>
      <c r="E9513" t="n">
        <v>4</v>
      </c>
      <c r="F9513">
        <f>HYPERLINK("https://www.reddit.com/r/diabetes/comments/grpn81/recs_for_continuous_glucose_monitor/")</f>
        <v/>
      </c>
      <c r="G9513" t="inlineStr">
        <is>
          <t>2020-05-27 11:45:23</t>
        </is>
      </c>
      <c r="H9513" t="inlineStr">
        <is>
          <t>Type 2</t>
        </is>
      </c>
    </row>
    <row r="9514">
      <c r="A9514" t="inlineStr">
        <is>
          <t>grq3lx</t>
        </is>
      </c>
      <c r="B9514" t="inlineStr">
        <is>
          <t>Dose anxiety help make ketones?</t>
        </is>
      </c>
      <c r="C9514" t="inlineStr">
        <is>
          <t>I just want to know if it dose.</t>
        </is>
      </c>
      <c r="D9514" t="n">
        <v>1</v>
      </c>
      <c r="E9514" t="n">
        <v>3</v>
      </c>
      <c r="F9514">
        <f>HYPERLINK("https://www.reddit.com/r/diabetes/comments/grq3lx/dose_anxiety_help_make_ketones/")</f>
        <v/>
      </c>
      <c r="G9514" t="inlineStr">
        <is>
          <t>2020-05-27 12:08:53</t>
        </is>
      </c>
      <c r="H9514" t="inlineStr">
        <is>
          <t>Type 1</t>
        </is>
      </c>
    </row>
    <row r="9515">
      <c r="A9515" t="inlineStr">
        <is>
          <t>grr8or</t>
        </is>
      </c>
      <c r="B9515" t="inlineStr">
        <is>
          <t>Trulicity Side Affects</t>
        </is>
      </c>
      <c r="C9515" t="inlineStr">
        <is>
          <t>Hello! Recently started taking weekly injections of Trulicity. Nothing works better for keeping my blood sugar under control and lowering A1C.
BUT, the side affects have been terrible. At one point I quick it altogether, but started back up at the lower dosage due to blood sugar high and wanting to get myself under better control with the Covid pandemic.
I get sever stomach cramps, horrible sulfur burps, and sometimes loose stool/diarrhea. It’s much better at lower dosage, but still not pleasant.
Right now I am trying GasX for the bloating and cramps, daily prescription Omeprazole, and sometimes Pepto Bismal for diarrhea.
Anyone else suffer similar issues and have any recommendations to help with side effects?</t>
        </is>
      </c>
      <c r="D9515" t="n">
        <v>1</v>
      </c>
      <c r="E9515" t="n">
        <v>2</v>
      </c>
      <c r="F9515">
        <f>HYPERLINK("https://www.reddit.com/r/diabetes/comments/grr8or/trulicity_side_affects/")</f>
        <v/>
      </c>
      <c r="G9515" t="inlineStr">
        <is>
          <t>2020-05-27 13:07:32</t>
        </is>
      </c>
      <c r="H9515" t="inlineStr">
        <is>
          <t>Type 2</t>
        </is>
      </c>
    </row>
    <row r="9516">
      <c r="A9516" t="inlineStr">
        <is>
          <t>grwhat</t>
        </is>
      </c>
      <c r="B9516" t="inlineStr">
        <is>
          <t>I’m a type 1 on type 2 medication and it’s working great</t>
        </is>
      </c>
      <c r="C9516" t="inlineStr">
        <is>
          <t>My Endocrinologist put me on Metformin and Farxiga and they’re doing wonders for me. I’m 29 years old, 5’3, 140lbs and I’ve been a type 1 for 23 years. My A1c went from 7.8 to 6.6 in the last 10 months because of these medications in conjunction with a CGM which I’ve had for the past 2 years. I just hate the stigma about how type 2 medications can’t work for type 1’s. It’s simply not true and I’d love to expand that notion in order to help both types. They’re so different but can sometimes still be helped by the same meds!</t>
        </is>
      </c>
      <c r="D9516" t="n">
        <v>1</v>
      </c>
      <c r="E9516" t="n">
        <v>23</v>
      </c>
      <c r="F9516">
        <f>HYPERLINK("https://www.reddit.com/r/diabetes/comments/grwhat/im_a_type_1_on_type_2_medication_and_its_working/")</f>
        <v/>
      </c>
      <c r="G9516" t="inlineStr">
        <is>
          <t>2020-05-27 18:09:09</t>
        </is>
      </c>
      <c r="H9516" t="inlineStr">
        <is>
          <t>Type 1</t>
        </is>
      </c>
    </row>
    <row r="9517">
      <c r="A9517" t="inlineStr">
        <is>
          <t>gs42vn</t>
        </is>
      </c>
      <c r="B9517" t="inlineStr">
        <is>
          <t>Not sure if this is okay but is anyone in here interested in selling any of there unused diabetic supplies? Message me if you are!!!</t>
        </is>
      </c>
      <c r="C9517" t="inlineStr">
        <is>
          <t>I am looking to buy your unused diabetic supplies message me!!</t>
        </is>
      </c>
      <c r="D9517" t="n">
        <v>1</v>
      </c>
      <c r="E9517" t="n">
        <v>7</v>
      </c>
      <c r="F9517">
        <f>HYPERLINK("https://www.reddit.com/r/diabetes/comments/gs42vn/not_sure_if_this_is_okay_but_is_anyone_in_here/")</f>
        <v/>
      </c>
      <c r="G9517" t="inlineStr">
        <is>
          <t>2020-05-28 03:53:33</t>
        </is>
      </c>
      <c r="H9517" t="inlineStr">
        <is>
          <t>Type 1.5/LADA</t>
        </is>
      </c>
    </row>
    <row r="9518">
      <c r="A9518" t="inlineStr">
        <is>
          <t>gs6dvv</t>
        </is>
      </c>
      <c r="B9518" t="inlineStr">
        <is>
          <t>I by took of the cap off my pod before priming can I still use it</t>
        </is>
      </c>
      <c r="C9518" t="inlineStr">
        <is>
          <t>I dont have anymore pods and I'm scared that I might get in trouble.</t>
        </is>
      </c>
      <c r="D9518" t="n">
        <v>1</v>
      </c>
      <c r="E9518" t="n">
        <v>4</v>
      </c>
      <c r="F9518">
        <f>HYPERLINK("https://www.reddit.com/r/diabetes/comments/gs6dvv/i_by_took_of_the_cap_off_my_pod_before_priming/")</f>
        <v/>
      </c>
      <c r="G9518" t="inlineStr">
        <is>
          <t>2020-05-28 06:35:21</t>
        </is>
      </c>
      <c r="H9518" t="inlineStr">
        <is>
          <t>Type 1</t>
        </is>
      </c>
    </row>
    <row r="9519">
      <c r="A9519" t="inlineStr">
        <is>
          <t>gs7efo</t>
        </is>
      </c>
      <c r="B9519" t="inlineStr">
        <is>
          <t>Is anyone else getting really frustrated with Medtronic shipping?</t>
        </is>
      </c>
      <c r="C9519" t="inlineStr">
        <is>
          <t>I keep getting email updates on how delayed my orders are. Is there a shortage of supplies?! My insurance has me set up to receive my supplies every 3 months. My last shipment of quick sets and reservoirs was in February. I just got an email stating that they are ready to ship, but apparently the alcohol swabs won’t be shipped til August so they said they can just send them all together in August. 
Luckily I got a response back quickly that they will just send the supplies separately so I can receive my infusion sets/reservoirs in an appropriate amount of time, but wtf? I just don’t understand the logic of giving me 3 months of supplies and then expecting me to wait 6 months for the next. 
I’m not upset about the alcohol swabs as I do not use them nearly as often as I should and I can understand a shortage of that with the pandemic but...I’m getting really frustrated with the constant needing to call/email them. There have been multiple times in the past I’ve almost run out of reservoirs (even before COVID) because I didn’t realize I’d need to call the company multiple times to receive something that my insurance has already set up. The auto ship feature is BS and they shouldn’t call it that if I’m still needing to constantly remind them. 
Sorry for the rant. I’m trying to be patient due to the circumstances but this has been going on for far too long and I’m so frustrated.</t>
        </is>
      </c>
      <c r="D9519" t="n">
        <v>1</v>
      </c>
      <c r="E9519" t="n">
        <v>2</v>
      </c>
      <c r="F9519">
        <f>HYPERLINK("https://www.reddit.com/r/diabetes/comments/gs7efo/is_anyone_else_getting_really_frustrated_with/")</f>
        <v/>
      </c>
      <c r="G9519" t="inlineStr">
        <is>
          <t>2020-05-28 07:36:59</t>
        </is>
      </c>
      <c r="H9519" t="inlineStr">
        <is>
          <t>Type 1</t>
        </is>
      </c>
    </row>
    <row r="9520">
      <c r="A9520" t="inlineStr">
        <is>
          <t>gscvz8</t>
        </is>
      </c>
      <c r="B9520" t="inlineStr">
        <is>
          <t>Changing Diet Sucks and changing Doctors was the best thing I did. T2 2018 metformin/glimepiride</t>
        </is>
      </c>
      <c r="C9520" t="inlineStr">
        <is>
          <t>So I am into my \~second year of finding out I was a Type 2. Getting a new doctor and proper dieting advice is amazing!  
TLDR: I got a new doctor that gave me actual advice. I have been sticking to realistic dieting goals. My glucose was 105 today and its the lowest its been in a long time and I am honestly emotional over it.  
Long Version
At first, I was "all in" in changing my lifestyle. I was honestly overwhelmed when I started because I had no clue what to do. My old doctor just said yup, wow you are diabetic, I'm concerned, but here is some medication and a pamphlet. 
See you in a while and we'll see if you get better. 
&amp;amp;#x200B;
No real advice, just read this, take meds and you should do better. Of course, I had to go on the internet to find out anything. The frustrating part was the wealth of BAD information.  
I thought I could eat no carbs whatsoever. I was basically living only off of chicken, broccoli, and cauliflower. Oh, that tomato has carbs? Can't eat it, oh, this pepper has carbs? no eat. etc.  
I also did not expect to feel so ill. As expected I did not stick to a diet because, why would I. I felt worse. I continued down my path of sort of taking my medication, eating what I wanted.  
Now, I noticed my symptoms coming back / getting worse. So I finally reached out to a new doctor.  
Unfortunately, we had to adjust for my first visit via facetime and get the process started.  
My doctor recommended a simple diet, no flour, sugars, juices. Limited grains and roots. All I can eat veggies, fruits and etc. It was simple and for some reason, it blew my mind because it was realistic.  
Of course, I did not stick to it. Until I got my bloodwork back. I had all those feelings from before. I felt overwhelmed, did not know what to do. I felt like a failure.  
So I tried the Doctor's suggestions. I did not know I would feel so bad as my body adjusted to no bread and other glucose spiking foods. I fought through it and bought what was likely one of every vegetable I walked by in the store. Plenty of meats and fruits.  
Today I had my levels the lowest its been in 2 years. 
105.
&amp;amp;#x200B;
I honestly teared up. I'm only on my third/fourth week and I am already seeing drastic results. I don't know why I wrote so much. But to me, this feels like a huge accomplishment. I have been an emotional wreck trying to stick to eating healthier. My body has felt horrible, then great, then worse, then better. It's exhausting.   
Honestly reading post on here really helped to not feel alone. Thank you.</t>
        </is>
      </c>
      <c r="D9520" t="n">
        <v>1</v>
      </c>
      <c r="E9520" t="n">
        <v>20</v>
      </c>
      <c r="F9520">
        <f>HYPERLINK("https://www.reddit.com/r/diabetes/comments/gscvz8/changing_diet_sucks_and_changing_doctors_was_the/")</f>
        <v/>
      </c>
      <c r="G9520" t="inlineStr">
        <is>
          <t>2020-05-28 12:26:18</t>
        </is>
      </c>
      <c r="H9520" t="inlineStr">
        <is>
          <t>Type 2</t>
        </is>
      </c>
    </row>
    <row r="9521">
      <c r="A9521" t="inlineStr">
        <is>
          <t>gsep6d</t>
        </is>
      </c>
      <c r="B9521" t="inlineStr">
        <is>
          <t>Does anyone suffer from lipohypertrophy? And have you had lipo to get rid of it? Ive been diabetic for 11 years, and its really bad on my arms and stomach.</t>
        </is>
      </c>
      <c r="C9521" t="inlineStr">
        <is>
          <t>See above, just curious of peoples experience in liposuction for lipohypertrophy.</t>
        </is>
      </c>
      <c r="D9521" t="n">
        <v>1</v>
      </c>
      <c r="E9521" t="n">
        <v>29</v>
      </c>
      <c r="F9521">
        <f>HYPERLINK("https://www.reddit.com/r/diabetes/comments/gsep6d/does_anyone_suffer_from_lipohypertrophy_and_have/")</f>
        <v/>
      </c>
      <c r="G9521" t="inlineStr">
        <is>
          <t>2020-05-28 13:59:53</t>
        </is>
      </c>
      <c r="H9521" t="inlineStr">
        <is>
          <t>Type 1</t>
        </is>
      </c>
    </row>
    <row r="9522">
      <c r="A9522" t="inlineStr">
        <is>
          <t>gsk4w8</t>
        </is>
      </c>
      <c r="B9522" t="inlineStr">
        <is>
          <t>Hypos</t>
        </is>
      </c>
      <c r="C9522" t="inlineStr">
        <is>
          <t>Has any other diabetic found that when your blood sugars are low you can’t cum? 
All sensation down there is completely numb? It completely kills the mood and annoys me up so much, I feel like my bf is going to break up with me over it</t>
        </is>
      </c>
      <c r="D9522" t="n">
        <v>1</v>
      </c>
      <c r="E9522" t="n">
        <v>3</v>
      </c>
      <c r="F9522">
        <f>HYPERLINK("https://www.reddit.com/r/diabetes/comments/gsk4w8/hypos/")</f>
        <v/>
      </c>
      <c r="G9522" t="inlineStr">
        <is>
          <t>2020-05-28 19:22:13</t>
        </is>
      </c>
      <c r="H9522" t="inlineStr">
        <is>
          <t>Type 1</t>
        </is>
      </c>
    </row>
    <row r="9523">
      <c r="A9523" t="inlineStr">
        <is>
          <t>gsk8p0</t>
        </is>
      </c>
      <c r="B9523" t="inlineStr">
        <is>
          <t>Video games and T1D</t>
        </is>
      </c>
      <c r="C9523" t="inlineStr">
        <is>
          <t>Does anyone play multiplayer shooters and has T1D? I do and every time my blood sugar is high, my score in game get's too. Of course i won't ever do this on purpose but it's happend a few times where i just get in that state where i will be able to focus much more and have much more precision in aiming at the enemies and such. It's pretty weird but yeah does anyone else have this?</t>
        </is>
      </c>
      <c r="D9523" t="n">
        <v>1</v>
      </c>
      <c r="E9523" t="n">
        <v>4</v>
      </c>
      <c r="F9523">
        <f>HYPERLINK("https://www.reddit.com/r/diabetes/comments/gsk8p0/video_games_and_t1d/")</f>
        <v/>
      </c>
      <c r="G9523" t="inlineStr">
        <is>
          <t>2020-05-28 19:29:38</t>
        </is>
      </c>
      <c r="H9523" t="inlineStr">
        <is>
          <t>Type 1</t>
        </is>
      </c>
    </row>
    <row r="9524">
      <c r="A9524" t="inlineStr">
        <is>
          <t>gskzlv</t>
        </is>
      </c>
      <c r="B9524" t="inlineStr">
        <is>
          <t>Diabetic Footwear</t>
        </is>
      </c>
      <c r="C9524" t="inlineStr">
        <is>
          <t>Hey all, I'm trying to get perspectives from people who have had diabetic foot ulcers in the past.  Anyone want to discuss it with me?</t>
        </is>
      </c>
      <c r="D9524" t="n">
        <v>1</v>
      </c>
      <c r="E9524" t="n">
        <v>0</v>
      </c>
      <c r="F9524">
        <f>HYPERLINK("https://www.reddit.com/r/diabetes/comments/gskzlv/diabetic_footwear/")</f>
        <v/>
      </c>
      <c r="G9524" t="inlineStr">
        <is>
          <t>2020-05-28 20:20:23</t>
        </is>
      </c>
      <c r="H9524" t="inlineStr">
        <is>
          <t>Type 2</t>
        </is>
      </c>
    </row>
    <row r="9525">
      <c r="A9525" t="inlineStr">
        <is>
          <t>gsnpnd</t>
        </is>
      </c>
      <c r="B9525" t="inlineStr">
        <is>
          <t>Blood sugar 539 mg/ dl need help/ advice</t>
        </is>
      </c>
      <c r="C9525" t="inlineStr">
        <is>
          <t>it’s  been almost two years since i’ve stopped taking any medication (metformin and i’ve been taking it for maybe a year) i didn’t think much about it until now i just tested my blood sugar and it came up as 539 mg/ dl 
i looked it up and it’s dangerously high i don’t know what to do i already donated all of the metformin so can someone please help it’d mean a lot 
i’m 15f 5’ 1’ 138lbs idk if it helps so i’m just putting it here</t>
        </is>
      </c>
      <c r="D9525" t="n">
        <v>1</v>
      </c>
      <c r="E9525" t="n">
        <v>35</v>
      </c>
      <c r="F9525">
        <f>HYPERLINK("https://www.reddit.com/r/diabetes/comments/gsnpnd/blood_sugar_539_mg_dl_need_help_advice/")</f>
        <v/>
      </c>
      <c r="G9525" t="inlineStr">
        <is>
          <t>2020-05-28 23:45:20</t>
        </is>
      </c>
      <c r="H9525" t="inlineStr">
        <is>
          <t>Type 2</t>
        </is>
      </c>
    </row>
    <row r="9526">
      <c r="A9526" t="inlineStr">
        <is>
          <t>gssj4m</t>
        </is>
      </c>
      <c r="B9526" t="inlineStr">
        <is>
          <t>Dexcom supplies on the way</t>
        </is>
      </c>
      <c r="C9526" t="inlineStr">
        <is>
          <t>So I got approved for Dexcom thru Byramhealthcare and got an email saying supplies are on the way. But in all my contacts with the Byram rep, despite my asking several times, no one will tell me how much this system is going to cost and I can't find it anywhere. Experience tells me this is a bad thing and I need to brace myself. Can anyone tell me about how much I am looking at for supplies?</t>
        </is>
      </c>
      <c r="D9526" t="n">
        <v>1</v>
      </c>
      <c r="E9526" t="n">
        <v>5</v>
      </c>
      <c r="F9526">
        <f>HYPERLINK("https://www.reddit.com/r/diabetes/comments/gssj4m/dexcom_supplies_on_the_way/")</f>
        <v/>
      </c>
      <c r="G9526" t="inlineStr">
        <is>
          <t>2020-05-29 05:57:28</t>
        </is>
      </c>
      <c r="H9526" t="inlineStr">
        <is>
          <t>Type 2</t>
        </is>
      </c>
    </row>
    <row r="9527">
      <c r="A9527" t="inlineStr">
        <is>
          <t>gsy27f</t>
        </is>
      </c>
      <c r="B9527" t="inlineStr">
        <is>
          <t>Well that sure was scary</t>
        </is>
      </c>
      <c r="C9527" t="inlineStr">
        <is>
          <t>So my wife is T1, I’m in this sub to get info, read about others, show her your memes, etc. 
Anyway she had a 3.9 blood sugar (or 70, depending on your measurements system). Had a coffee (which usually brings her up) then went to shower. 
Few minutes later I hear the unmistakable sounds of a slip and hard landing, followed by the audible groan of a seizure. Happened once before, maybe a year and a half ago. 
I race up the stairs, have to slam open the locked bathroom door and she is lying on her back in the tub, water pouring down on her face, which is purple. 
Turn the water off, adjust her to her side and hold her while my son (16) calls the ambulance. By the time they get here she is responsive but pretty groggy. She’s had a little bit of juice, they check her vitals and wait until she’s mostly recovered. 
She’s ok now, levels high actually like last time (17 or 300, whichever you prefer). Sore (she bumped her head, and she has a torn rotator cuff already which she must have worsened either in the fall or the seizure). Bit her tongue and cheek as well, was spitting out blood as she was coming around. 
I helped her finish her shower (about 2 hours later) and get dressed, and we are off to the doctor shortly to check if she’s concussed or any other damage done. 
The scariest part was her face under the tap. I’m not gonna shake that image..</t>
        </is>
      </c>
      <c r="D9527" t="n">
        <v>1</v>
      </c>
      <c r="E9527" t="n">
        <v>25</v>
      </c>
      <c r="F9527">
        <f>HYPERLINK("https://www.reddit.com/r/diabetes/comments/gsy27f/well_that_sure_was_scary/")</f>
        <v/>
      </c>
      <c r="G9527" t="inlineStr">
        <is>
          <t>2020-05-29 11:11:31</t>
        </is>
      </c>
      <c r="H9527" t="inlineStr">
        <is>
          <t>Type 1</t>
        </is>
      </c>
    </row>
    <row r="9528">
      <c r="A9528" t="inlineStr">
        <is>
          <t>gszngm</t>
        </is>
      </c>
      <c r="B9528" t="inlineStr">
        <is>
          <t>Displaying CGM data on an iPhone</t>
        </is>
      </c>
      <c r="C9528" t="inlineStr">
        <is>
          <t>I have a 670G Medtronic pump and a guardian sensor (the closed loop pump) and I have heard stories about other diabetics linking their phones to their pumps to show their blood sugar. I am wondering if anyone knows if it is possible to link my pump to my iPhone (an 8+) and then to an Apple Watch.</t>
        </is>
      </c>
      <c r="D9528" t="n">
        <v>1</v>
      </c>
      <c r="E9528" t="n">
        <v>1</v>
      </c>
      <c r="F9528">
        <f>HYPERLINK("https://www.reddit.com/r/diabetes/comments/gszngm/displaying_cgm_data_on_an_iphone/")</f>
        <v/>
      </c>
      <c r="G9528" t="inlineStr">
        <is>
          <t>2020-05-29 12:35:55</t>
        </is>
      </c>
      <c r="H9528" t="inlineStr">
        <is>
          <t>Type 1</t>
        </is>
      </c>
    </row>
    <row r="9529">
      <c r="A9529" t="inlineStr">
        <is>
          <t>gszto8</t>
        </is>
      </c>
      <c r="B9529" t="inlineStr">
        <is>
          <t>A1C related hairloss?</t>
        </is>
      </c>
      <c r="C9529" t="inlineStr">
        <is>
          <t>My A1C has been up in the 8-9 range (don’t worry I’m starting to get it back under control) and I’ve noticed my hair thinning all over including the sides and back of my head. Has anyone else experienced this with a high A1C and is it only temporary until I get my blood sugar under control?</t>
        </is>
      </c>
      <c r="D9529" t="n">
        <v>1</v>
      </c>
      <c r="E9529" t="n">
        <v>3</v>
      </c>
      <c r="F9529">
        <f>HYPERLINK("https://www.reddit.com/r/diabetes/comments/gszto8/a1c_related_hairloss/")</f>
        <v/>
      </c>
      <c r="G9529" t="inlineStr">
        <is>
          <t>2020-05-29 12:44:42</t>
        </is>
      </c>
      <c r="H9529" t="inlineStr">
        <is>
          <t>Type 1</t>
        </is>
      </c>
    </row>
    <row r="9530">
      <c r="A9530" t="inlineStr">
        <is>
          <t>gt0mwl</t>
        </is>
      </c>
      <c r="B9530" t="inlineStr">
        <is>
          <t>Honeymoon Phase</t>
        </is>
      </c>
      <c r="C9530" t="inlineStr">
        <is>
          <t>Hello everyone, I was wondering if I could get some advice. I went into the doctors about 4 months ago because my blood sugar was at 250. They diagnosed me with Type 2 Diabetes and put me on metformin and had me exercise and change my diet. Since then I have been doing that my A1c has dropped from 7.0 to 5.4. But today, I was told my antibodies were high or something and I am basically Type 1 in the honeymoon phase. The endocrinologist said I could either go on like this long-term insulin that I'd take in the morning, go participate in an auto-immune study at some prestigious universities, or double my metformin. Everyone on my dad's side of the family is T1 and they are all telling me don't go on insulin till I need it, I was just wondering if anyone here had any thoughts on what I should do.
&amp;amp;#x200B;
EDIT: Im 21 if that matters</t>
        </is>
      </c>
      <c r="D9530" t="n">
        <v>2</v>
      </c>
      <c r="E9530" t="n">
        <v>8</v>
      </c>
      <c r="F9530">
        <f>HYPERLINK("https://www.reddit.com/r/diabetes/comments/gt0mwl/honeymoon_phase/")</f>
        <v/>
      </c>
      <c r="G9530" t="inlineStr">
        <is>
          <t>2020-05-29 13:27:48</t>
        </is>
      </c>
      <c r="H9530" t="inlineStr">
        <is>
          <t>Type 1</t>
        </is>
      </c>
    </row>
    <row r="9531">
      <c r="A9531" t="inlineStr">
        <is>
          <t>gt33p1</t>
        </is>
      </c>
      <c r="B9531" t="inlineStr">
        <is>
          <t>tasing insulin</t>
        </is>
      </c>
      <c r="C9531" t="inlineStr">
        <is>
          <t>yesterday I had a broken insulin pen in hand so naturally I tried tasting it. I've done that before but in tiny quantities but this time I had more, one thing I noticed is numbness for a while on the side that the insulin touched of my tongue! I looked up the ingredients of the insulin and It docent have any that'd cause that.. any idea why it happened?</t>
        </is>
      </c>
      <c r="D9531" t="n">
        <v>1</v>
      </c>
      <c r="E9531" t="n">
        <v>7</v>
      </c>
      <c r="F9531">
        <f>HYPERLINK("https://www.reddit.com/r/diabetes/comments/gt33p1/tasing_insulin/")</f>
        <v/>
      </c>
      <c r="G9531" t="inlineStr">
        <is>
          <t>2020-05-29 15:50:34</t>
        </is>
      </c>
      <c r="H9531" t="inlineStr">
        <is>
          <t>Type 1</t>
        </is>
      </c>
    </row>
    <row r="9532">
      <c r="A9532" t="inlineStr">
        <is>
          <t>gt47a3</t>
        </is>
      </c>
      <c r="B9532" t="inlineStr">
        <is>
          <t>How do your blood sugars react to stress?</t>
        </is>
      </c>
      <c r="C9532" t="inlineStr">
        <is>
          <t>Typically, I go high from adrenaline but I haven't been able to pin anything down for stress. I live very near to some of the current protests going on in the USA (this is NOT a post about politics, keep that away) and I'm mad and stressed - my point and question is that my blood sugar has been wild, lows when I haven't done anything but sit at home, highs when I haven't eaten for 5 hours, etc.
What do your blood sugars do when you're stressed? Does different types of stress affect you differently (having an exam versus worrying about your health, etc)?</t>
        </is>
      </c>
      <c r="D9532" t="n">
        <v>1</v>
      </c>
      <c r="E9532" t="n">
        <v>4</v>
      </c>
      <c r="F9532">
        <f>HYPERLINK("https://www.reddit.com/r/diabetes/comments/gt47a3/how_do_your_blood_sugars_react_to_stress/")</f>
        <v/>
      </c>
      <c r="G9532" t="inlineStr">
        <is>
          <t>2020-05-29 17:00:13</t>
        </is>
      </c>
      <c r="H9532" t="inlineStr">
        <is>
          <t>Type 1</t>
        </is>
      </c>
    </row>
    <row r="9533">
      <c r="A9533" t="inlineStr">
        <is>
          <t>gt61ll</t>
        </is>
      </c>
      <c r="B9533" t="inlineStr">
        <is>
          <t>Keto diet, insulin, exercise, and a diabetic hack... something I’ve been wondering.</t>
        </is>
      </c>
      <c r="C9533" t="inlineStr">
        <is>
          <t>So normally on a keto diet, you eat extremely low carb... I know there are different graduated goals until you get down to something very low, like under 20 carbs in one day....
As a type 1, I bolus for my carbs. Right now my ratio is 17:1. 
But when I exercise, about an hour beforehand I have to turn off my insulin and eat EITHER 15-20 carbs OR something that is high protein/fat with negligible carbs. When I do that, my glucose levels remain stable. 
Is this because I still have some insulin on board, and I’m becoming more sensitive to it during my workout? In terms of my body’s reaction... am I really processing these carbs like any other? Or does this inspire some form of mild ketosis before/during/after my exercise?
Ive just been curious about this after reading many keto dieters posts and discussions about their goals of dropping insulin levels to go into ketosis.</t>
        </is>
      </c>
      <c r="D9533" t="n">
        <v>1</v>
      </c>
      <c r="E9533" t="n">
        <v>3</v>
      </c>
      <c r="F9533">
        <f>HYPERLINK("https://www.reddit.com/r/diabetes/comments/gt61ll/keto_diet_insulin_exercise_and_a_diabetic_hack/")</f>
        <v/>
      </c>
      <c r="G9533" t="inlineStr">
        <is>
          <t>2020-05-29 19:02:56</t>
        </is>
      </c>
      <c r="H9533" t="inlineStr">
        <is>
          <t>Type 1</t>
        </is>
      </c>
    </row>
    <row r="9534">
      <c r="A9534" t="inlineStr">
        <is>
          <t>gt7zkg</t>
        </is>
      </c>
      <c r="B9534" t="inlineStr">
        <is>
          <t>Hypothetically I dosed 23 instead of 2.5</t>
        </is>
      </c>
      <c r="C9534" t="inlineStr">
        <is>
          <t>I hypothetically may have dosed 25 units instead of 2.5 units. I'm hypothetically out of glucose tabs. What's a good high sugar substitute with a short prep time (also don't have juice on hand you know, hypothetically)</t>
        </is>
      </c>
      <c r="D9534" t="n">
        <v>1</v>
      </c>
      <c r="E9534" t="n">
        <v>10</v>
      </c>
      <c r="F9534">
        <f>HYPERLINK("https://www.reddit.com/r/diabetes/comments/gt7zkg/hypothetically_i_dosed_23_instead_of_25/")</f>
        <v/>
      </c>
      <c r="G9534" t="inlineStr">
        <is>
          <t>2020-05-29 21:24:29</t>
        </is>
      </c>
      <c r="H9534" t="inlineStr">
        <is>
          <t>Type 1</t>
        </is>
      </c>
    </row>
    <row r="9535">
      <c r="A9535" t="inlineStr">
        <is>
          <t>gtboi1</t>
        </is>
      </c>
      <c r="B9535" t="inlineStr">
        <is>
          <t>Best Readings Software or App for CGM and insulin pump</t>
        </is>
      </c>
      <c r="C9535" t="inlineStr">
        <is>
          <t>Hi All,
Just wondering if anyone has any advice or knows if this sort of thing even exists.
I'm type 1, living in Ireland  and I  recently began using the Dexcom G5 CGM. I also use an Accu-Chek Spirit Insulin Pump.
Is there anything out there that can automatically pull both sets of data from the CGM and Insulin Pump together? The CGM is great for glucose reading insight but it would be so much powerful with things like basal rates and bolus alongside it.
Am I just being wishful?!</t>
        </is>
      </c>
      <c r="D9535" t="n">
        <v>1</v>
      </c>
      <c r="E9535" t="n">
        <v>7</v>
      </c>
      <c r="F9535">
        <f>HYPERLINK("https://www.reddit.com/r/diabetes/comments/gtboi1/best_readings_software_or_app_for_cgm_and_insulin/")</f>
        <v/>
      </c>
      <c r="G9535" t="inlineStr">
        <is>
          <t>2020-05-30 02:43:50</t>
        </is>
      </c>
      <c r="H9535" t="inlineStr">
        <is>
          <t>Type 1</t>
        </is>
      </c>
    </row>
    <row r="9536">
      <c r="A9536" t="inlineStr">
        <is>
          <t>gtcd7p</t>
        </is>
      </c>
      <c r="B9536" t="inlineStr">
        <is>
          <t>Libre 2, Miao Miao and Sony Smartwatch 3 (SSW3) is it possible to get it to work as a standalone collector?</t>
        </is>
      </c>
      <c r="C9536" t="inlineStr">
        <is>
          <t>Hello All
Right so I have Xdrip on my phone (Honor 8X) and a Libre 2 sensor (14 day - EU) and a Miao Miao 2 sending the data via bluetooth. I can get the Xdrip readings to show up on my watch no problem when it is collecting through my phone and thus when in range however I cannot get the watch to receive readings from the Miao Miao directly.
I have tried multiple things and found this video helpful  [https://youtu.be/Awvbueg8sIg](https://youtu.be/Awvbueg8sIg)  but after initially looking like it is working i.e. shows wear % battery on the watch screen and a reading it never refreshes the reading and eventually strikes-through the reading i.e. it has lost connection.
Can anyone help at all? I have now had three Smartwatches to try this TicWatch E, Huawei SW 2 and now the SSW3 but none of them work without the phone in range. I would like to have it work independently of the phone as I am a surfer and I'd like to take my watch with me if possible to get a better sense of my control whilst out in the surf.
I'm pulling my hair out here and wonder if it is even possible so can anyone suggest anything to maybe help, I would be eternally grateful!</t>
        </is>
      </c>
      <c r="D9536" t="n">
        <v>1</v>
      </c>
      <c r="E9536" t="n">
        <v>2</v>
      </c>
      <c r="F9536">
        <f>HYPERLINK("https://www.reddit.com/r/diabetes/comments/gtcd7p/libre_2_miao_miao_and_sony_smartwatch_3_ssw3_is/")</f>
        <v/>
      </c>
      <c r="G9536" t="inlineStr">
        <is>
          <t>2020-05-30 03:48:45</t>
        </is>
      </c>
      <c r="H9536" t="inlineStr">
        <is>
          <t>Type 1</t>
        </is>
      </c>
    </row>
    <row r="9537">
      <c r="A9537" t="inlineStr">
        <is>
          <t>gtd6l1</t>
        </is>
      </c>
      <c r="B9537" t="inlineStr">
        <is>
          <t>How do I deal with reoccurring medium ketones</t>
        </is>
      </c>
      <c r="C9537" t="inlineStr">
        <is>
          <t>For the pass few days I've been having ketones and I'm able to flush them out but the next  day there back to medium. I'm scared and my mom doesn't want to take me to a doctor because I'm not throwing up</t>
        </is>
      </c>
      <c r="D9537" t="n">
        <v>1</v>
      </c>
      <c r="E9537" t="n">
        <v>17</v>
      </c>
      <c r="F9537">
        <f>HYPERLINK("https://www.reddit.com/r/diabetes/comments/gtd6l1/how_do_i_deal_with_reoccurring_medium_ketones/")</f>
        <v/>
      </c>
      <c r="G9537" t="inlineStr">
        <is>
          <t>2020-05-30 05:01:36</t>
        </is>
      </c>
      <c r="H9537" t="inlineStr">
        <is>
          <t>Type 1</t>
        </is>
      </c>
    </row>
    <row r="9538">
      <c r="A9538" t="inlineStr">
        <is>
          <t>gtg87j</t>
        </is>
      </c>
      <c r="B9538" t="inlineStr">
        <is>
          <t>Elevated A1C, Possible Diagnosis</t>
        </is>
      </c>
      <c r="C9538" t="inlineStr">
        <is>
          <t>I was told my routine labs show an A1C of 6.5 (6 was the reading in fall 2018 when labs were last done.) So my understanding is that means I'm t2 or on my way.  I was told the doctor wasn't putting me on meds yet, but I needed to lose weight (I'm obese.)
This was a few days ago.  I have quit drinking soda, since almost all my fluid intake was coke classic or Monster Java, and am drinking water with stur drops, unsweetened tea, etc.  The caffeine/HFCS withdrawls are wild.   I've tried to start doing subs like wheat for white bread, rx bar instead of pastry in morning, and to increase my walking speed at work (I am a order picker for groceries.)
Any other good tips?  I move around a lot at work, and I know my diet is not the best but I want to not let this progress.
I have high cholesterol but doctor is hoping general weight loss will push it down as well.</t>
        </is>
      </c>
      <c r="D9538" t="n">
        <v>1</v>
      </c>
      <c r="E9538" t="n">
        <v>2</v>
      </c>
      <c r="F9538">
        <f>HYPERLINK("https://www.reddit.com/r/diabetes/comments/gtg87j/elevated_a1c_possible_diagnosis/")</f>
        <v/>
      </c>
      <c r="G9538" t="inlineStr">
        <is>
          <t>2020-05-30 08:44:34</t>
        </is>
      </c>
      <c r="H9538" t="inlineStr">
        <is>
          <t>Type 2</t>
        </is>
      </c>
    </row>
    <row r="9539">
      <c r="A9539" t="inlineStr">
        <is>
          <t>gtgew4</t>
        </is>
      </c>
      <c r="B9539" t="inlineStr">
        <is>
          <t>My mom (64f)) was recently diagnosed with type 2 diabetes. I live out of town and my dad works full time. Any advice??</t>
        </is>
      </c>
      <c r="C9539" t="inlineStr">
        <is>
          <t>So my mom is currently in the hospital and has been diagnosed with type 2 diabetes. My mom is already on disability for other unrelated conditions and has a few other health issues. Some include: sleep apnea, sjogrens, retinal detachment, and NLD. 
I currently live in my college town a few hours away from my parents. My dad (62m) works full time, but has been taking time off from work the last few days to keep an eye on my mom in the hospital. He's always been to go over and beyond to help my mom and I, but I'm worried with this new diagnosed it will be overwhelming for him. 
Next week he'll need to go back to work. I'll be going home to help out while for a couple of weeks while my mom recovers. However, I'm extremely nervous. I'm 24 and never known or dealt with anyone that has Type 2. I've been doing constant research these last few days and it seems like a lot for our family to adjust to. My anxiety has been through the roof about this. 
I worry for my dad and my mom especially when I'll need to go back to school. They're older and I don't want them to overexhaust themselves.I'm looking for any kind of advice to help in this situation. I've read over the blog (Personal Journey in loraldiabetes) and browsed through quite a lot on this sub and it just seems like so much. Please any help would be great.</t>
        </is>
      </c>
      <c r="D9539" t="n">
        <v>1</v>
      </c>
      <c r="E9539" t="n">
        <v>12</v>
      </c>
      <c r="F9539">
        <f>HYPERLINK("https://www.reddit.com/r/diabetes/comments/gtgew4/my_mom_64f_was_recently_diagnosed_with_type_2/")</f>
        <v/>
      </c>
      <c r="G9539" t="inlineStr">
        <is>
          <t>2020-05-30 08:55:44</t>
        </is>
      </c>
      <c r="H9539" t="inlineStr">
        <is>
          <t>Type 2</t>
        </is>
      </c>
    </row>
    <row r="9540">
      <c r="A9540" t="inlineStr">
        <is>
          <t>gtj4ee</t>
        </is>
      </c>
      <c r="B9540" t="inlineStr">
        <is>
          <t>67 year old diabetic (type 2) Mom suffering from swelling in forearms, hands, legs and sometimes face. What could be the cause? Please help</t>
        </is>
      </c>
      <c r="C9540" t="inlineStr">
        <is>
          <t>Hello, my mom is 67 years old and suffers from type 2 diabetes. She usually doesn’t have any issues other than the occasional high blood pressure and cholesterol, which she takes medications for regularly. 
Her pressure is just a tad high as of this afternoon.
Recently, she has been having swelling in her limbs, hands, and face. Once the swelling goes down in one area, it appears in another area. Like if one arm is swollen, it goes down, and the other arm gets swollen. 
Mom says she had angina in the past and gets chest pains here and there. 
Does anyone know what the cause of the swelling might be? She also mention tooth-pain which she has made an appointment to address. 
Thanks for the help.</t>
        </is>
      </c>
      <c r="D9540" t="n">
        <v>1</v>
      </c>
      <c r="E9540" t="n">
        <v>16</v>
      </c>
      <c r="F9540">
        <f>HYPERLINK("https://www.reddit.com/r/diabetes/comments/gtj4ee/67_year_old_diabetic_type_2_mom_suffering_from/")</f>
        <v/>
      </c>
      <c r="G9540" t="inlineStr">
        <is>
          <t>2020-05-30 11:28:26</t>
        </is>
      </c>
      <c r="H9540" t="inlineStr">
        <is>
          <t>Type 2</t>
        </is>
      </c>
    </row>
    <row r="9541">
      <c r="A9541" t="inlineStr">
        <is>
          <t>gtjhmu</t>
        </is>
      </c>
      <c r="B9541" t="inlineStr">
        <is>
          <t>Honestly, how do you put a needle in without it hurting?</t>
        </is>
      </c>
      <c r="C9541" t="inlineStr">
        <is>
          <t>Sometimes, if the angle is perfect, I can get it in in 5 seconds, no pain at all. Other times, I barely prick my skin and it hurts immediately.</t>
        </is>
      </c>
      <c r="D9541" t="n">
        <v>1</v>
      </c>
      <c r="E9541" t="n">
        <v>13</v>
      </c>
      <c r="F9541">
        <f>HYPERLINK("https://www.reddit.com/r/diabetes/comments/gtjhmu/honestly_how_do_you_put_a_needle_in_without_it/")</f>
        <v/>
      </c>
      <c r="G9541" t="inlineStr">
        <is>
          <t>2020-05-30 11:50:40</t>
        </is>
      </c>
      <c r="H9541" t="inlineStr">
        <is>
          <t>Type 1</t>
        </is>
      </c>
    </row>
    <row r="9542">
      <c r="A9542" t="inlineStr">
        <is>
          <t>gtm08u</t>
        </is>
      </c>
      <c r="B9542" t="inlineStr">
        <is>
          <t>Where can I find a good diet for diabetics?</t>
        </is>
      </c>
      <c r="C9542" t="inlineStr">
        <is>
          <t>My dad has diabetes and has lost a lot of weight. His appetite has been low and he has lost weight. I want  to help him gain weight. Where can I find a dietitian or a good diet plan? He is on insulin.</t>
        </is>
      </c>
      <c r="D9542" t="n">
        <v>1</v>
      </c>
      <c r="E9542" t="n">
        <v>7</v>
      </c>
      <c r="F9542">
        <f>HYPERLINK("https://www.reddit.com/r/diabetes/comments/gtm08u/where_can_i_find_a_good_diet_for_diabetics/")</f>
        <v/>
      </c>
      <c r="G9542" t="inlineStr">
        <is>
          <t>2020-05-30 14:14:30</t>
        </is>
      </c>
      <c r="H9542" t="inlineStr">
        <is>
          <t>Type 2</t>
        </is>
      </c>
    </row>
    <row r="9543">
      <c r="A9543" t="inlineStr">
        <is>
          <t>gtn1nm</t>
        </is>
      </c>
      <c r="B9543" t="inlineStr">
        <is>
          <t>Hello</t>
        </is>
      </c>
      <c r="C9543" t="inlineStr">
        <is>
          <t>So i check my sugar levels 2 hrs after i ate ( cause i forgot to check it while fasting  ) and it was at 274 ...well about an hr ago i started  to feel super hot and sweating alot like alot ..but still didnt think much of it well like 20 min ago i started to feel super shaky and just not well kinda out of it ...so i decided  to check my sugar again well it said it was at 79 twice ..so my how does that happen...i mean my lowest  has always  been around 130 ...so 79 is a first  for me and i gotta day i do not like how i feel at the moment</t>
        </is>
      </c>
      <c r="D9543" t="n">
        <v>1</v>
      </c>
      <c r="E9543" t="n">
        <v>6</v>
      </c>
      <c r="F9543">
        <f>HYPERLINK("https://www.reddit.com/r/diabetes/comments/gtn1nm/hello/")</f>
        <v/>
      </c>
      <c r="G9543" t="inlineStr">
        <is>
          <t>2020-05-30 15:14:51</t>
        </is>
      </c>
      <c r="H9543" t="inlineStr">
        <is>
          <t>Type 2</t>
        </is>
      </c>
    </row>
    <row r="9544">
      <c r="A9544" t="inlineStr">
        <is>
          <t>gtneo4</t>
        </is>
      </c>
      <c r="B9544" t="inlineStr">
        <is>
          <t>tips on better readings please? (dexcom g6)</t>
        </is>
      </c>
      <c r="C9544" t="inlineStr">
        <is>
          <t>hello awesome people, i am new to the cgm thing, can i please get some advice on getting better numbers? especially having a higher green (in range) proportion? many thanks :) 
https://preview.redd.it/nu9h4oabbz151.jpg?width=1774&amp;amp;format=pjpg&amp;amp;auto=webp&amp;amp;s=37068c0de778f9e00c819241cdd330577fc7619e</t>
        </is>
      </c>
      <c r="D9544" t="n">
        <v>1</v>
      </c>
      <c r="E9544" t="n">
        <v>8</v>
      </c>
      <c r="F9544">
        <f>HYPERLINK("https://www.reddit.com/r/diabetes/comments/gtneo4/tips_on_better_readings_please_dexcom_g6/")</f>
        <v/>
      </c>
      <c r="G9544" t="inlineStr">
        <is>
          <t>2020-05-30 15:36:03</t>
        </is>
      </c>
      <c r="H9544" t="inlineStr">
        <is>
          <t>Type 1</t>
        </is>
      </c>
    </row>
    <row r="9545">
      <c r="A9545" t="inlineStr">
        <is>
          <t>gtnxrq</t>
        </is>
      </c>
      <c r="B9545" t="inlineStr">
        <is>
          <t>I am type 2 and used to take meds suggest by my Doctor and had a stock for few years from my country (India)... due to lockdown I couldn’t order my medications from India.:: which doctor should I see in US ? endocrinologist ? Or Primary care ?</t>
        </is>
      </c>
      <c r="C9545" t="inlineStr">
        <is>
          <t>I used to take medications suggested by my Indian doctor and had a stock of it.. but now my stock of medicines are over and due to lockdown I can’t order them from india.. I am new to US healthcare system.. I do have a medical policy but not sure which doctor I should visit here..
I wanted to do Hba1c test, Vitamin D and lipid profile... and also prescription for taking medication... medication suggested (VOGLITOR MF 0.2, INDITEL 40 mg, FOLIMAX 12, D3-SHOT) by my Indian doctor is not available in US... 
Please guide me which doctor I should see Primary care or endocrinologist? And how to find a good doctor in this time...</t>
        </is>
      </c>
      <c r="D9545" t="n">
        <v>1</v>
      </c>
      <c r="E9545" t="n">
        <v>4</v>
      </c>
      <c r="F9545">
        <f>HYPERLINK("https://www.reddit.com/r/diabetes/comments/gtnxrq/i_am_type_2_and_used_to_take_meds_suggest_by_my/")</f>
        <v/>
      </c>
      <c r="G9545" t="inlineStr">
        <is>
          <t>2020-05-30 16:06:55</t>
        </is>
      </c>
      <c r="H9545" t="inlineStr">
        <is>
          <t>Type 2</t>
        </is>
      </c>
    </row>
    <row r="9546">
      <c r="A9546" t="inlineStr">
        <is>
          <t>gto1zz</t>
        </is>
      </c>
      <c r="B9546" t="inlineStr">
        <is>
          <t>Type 1 Diabetics, Eyesight and anxiety</t>
        </is>
      </c>
      <c r="C9546" t="inlineStr">
        <is>
          <t>He all type 1 diabetics here for 13 years, i have been having bad anxiety lately regarding my eyes, my hb1ac was recorded to be 64mmol in February so not too bad nor too good, and i went for my NHS eye screening in December saying i have a little background retinopathy in my left eye, then went for my 2 yearly eye test in January this year and optician saying everything is good and he cannot see any bleeds in the back of the eyes, so i was really glad about that, but i feel like my eyesight is deteriorating, other then managing blood sugar levels what else can i do to improve or fix my eyesight, i am not sure if its my anxiety causing this or just being a type 1 diabetic, i am willing to do anything to help with my vision, any comments are strongly appreciated to help me and my anxiety, thank you fellow diabetics or anyone in general</t>
        </is>
      </c>
      <c r="D9546" t="n">
        <v>1</v>
      </c>
      <c r="E9546" t="n">
        <v>10</v>
      </c>
      <c r="F9546">
        <f>HYPERLINK("https://www.reddit.com/r/diabetes/comments/gto1zz/type_1_diabetics_eyesight_and_anxiety/")</f>
        <v/>
      </c>
      <c r="G9546" t="inlineStr">
        <is>
          <t>2020-05-30 16:13:50</t>
        </is>
      </c>
      <c r="H9546" t="inlineStr">
        <is>
          <t>Type 1</t>
        </is>
      </c>
    </row>
    <row r="9547">
      <c r="A9547" t="inlineStr">
        <is>
          <t>gtrrsl</t>
        </is>
      </c>
      <c r="B9547" t="inlineStr">
        <is>
          <t>Trying to help my mom</t>
        </is>
      </c>
      <c r="C9547" t="inlineStr">
        <is>
          <t>My mom has type 2 DM. Dx probably 5 years ago.  She has recently been suffering from moderate to severe foot pain.  We assume this is the common neuropathy that comes with diabetes. I’ve been searching for products that may help her, E.g. foot massagers, home remedies, circulation devices-whatever.  I went to amazon, but the reviews are so tainted with fakes I have no idea what is real, and may actually help.  Also I’m not trying to give someone an avenue to hock their merch.  I’m just seriously looking for help.  Also if someone has a name branded product that violates the rules of this sub, please send it to me privately.  I’m only interested in sincere advice. Thank you.</t>
        </is>
      </c>
      <c r="D9547" t="n">
        <v>1</v>
      </c>
      <c r="E9547" t="n">
        <v>11</v>
      </c>
      <c r="F9547">
        <f>HYPERLINK("https://www.reddit.com/r/diabetes/comments/gtrrsl/trying_to_help_my_mom/")</f>
        <v/>
      </c>
      <c r="G9547" t="inlineStr">
        <is>
          <t>2020-05-30 20:27:39</t>
        </is>
      </c>
      <c r="H9547" t="inlineStr">
        <is>
          <t>Type 2</t>
        </is>
      </c>
    </row>
    <row r="9548">
      <c r="A9548" t="inlineStr">
        <is>
          <t>gttr6c</t>
        </is>
      </c>
      <c r="B9548" t="inlineStr">
        <is>
          <t>Tips for protesting as a T1D?</t>
        </is>
      </c>
      <c r="C9548" t="inlineStr">
        <is>
          <t>Mostly regarding how to keep the insulin safe and what to do if one gets arrested?</t>
        </is>
      </c>
      <c r="D9548" t="n">
        <v>1</v>
      </c>
      <c r="E9548" t="n">
        <v>9</v>
      </c>
      <c r="F9548">
        <f>HYPERLINK("https://www.reddit.com/r/diabetes/comments/gttr6c/tips_for_protesting_as_a_t1d/")</f>
        <v/>
      </c>
      <c r="G9548" t="inlineStr">
        <is>
          <t>2020-05-30 23:06:06</t>
        </is>
      </c>
      <c r="H9548" t="inlineStr">
        <is>
          <t>Type 1</t>
        </is>
      </c>
    </row>
    <row r="9549">
      <c r="A9549" t="inlineStr">
        <is>
          <t>gtx5rf</t>
        </is>
      </c>
      <c r="B9549" t="inlineStr">
        <is>
          <t>Can you still have heart problems at a young age while being healthy?</t>
        </is>
      </c>
      <c r="C9549" t="inlineStr">
        <is>
          <t>Sorry if this is a stupid question but I'm 19 at the moment and would say I'm fairly active and drink only water, I'm type 2 but what are the chances of me  suffering from any heart problems ?</t>
        </is>
      </c>
      <c r="D9549" t="n">
        <v>1</v>
      </c>
      <c r="E9549" t="n">
        <v>6</v>
      </c>
      <c r="F9549">
        <f>HYPERLINK("https://www.reddit.com/r/diabetes/comments/gtx5rf/can_you_still_have_heart_problems_at_a_young_age/")</f>
        <v/>
      </c>
      <c r="G9549" t="inlineStr">
        <is>
          <t>2020-05-31 04:01:49</t>
        </is>
      </c>
      <c r="H9549" t="inlineStr">
        <is>
          <t>Type 2</t>
        </is>
      </c>
    </row>
    <row r="9550">
      <c r="A9550" t="inlineStr">
        <is>
          <t>gty59k</t>
        </is>
      </c>
      <c r="B9550" t="inlineStr">
        <is>
          <t>how do you deal with the dawn phenomenon?</t>
        </is>
      </c>
      <c r="C9550" t="inlineStr">
        <is>
          <t>I take basal morning and evening, and i eat my last meal around 7 (or try to make it not much later) because long hours at a sedentary job mean i'd stil be high on going to bed if i didn't. I was waking up with high bg and sometimes ketones every other day for a few weeks until i got my routine in some kind of order-now even when in range before bed and before taking my bedtime basal, i still wake up high (not as bad, and no ketones in blood/urine but i'm still shattered, however much sleep i get, and i have no energy until midday. The corrective doses also aren't really helping.
What should bg be before bed to avoid waking highs? Any other contributory problems that lead to spikes whie sleeping?</t>
        </is>
      </c>
      <c r="D9550" t="n">
        <v>1</v>
      </c>
      <c r="E9550" t="n">
        <v>14</v>
      </c>
      <c r="F9550">
        <f>HYPERLINK("https://www.reddit.com/r/diabetes/comments/gty59k/how_do_you_deal_with_the_dawn_phenomenon/")</f>
        <v/>
      </c>
      <c r="G9550" t="inlineStr">
        <is>
          <t>2020-05-31 05:22:04</t>
        </is>
      </c>
      <c r="H9550" t="inlineStr">
        <is>
          <t>Type 1</t>
        </is>
      </c>
    </row>
    <row r="9551">
      <c r="A9551" t="inlineStr">
        <is>
          <t>gu2vhd</t>
        </is>
      </c>
      <c r="B9551" t="inlineStr">
        <is>
          <t>How do you guys deal with sweating and losing the sticky adhesive on your infusion sets?</t>
        </is>
      </c>
      <c r="C9551" t="inlineStr">
        <is>
          <t>I’m a plumber and often have days of digging in the hot sun. I sweat so bad I will legitimately burn through 4 infusion sets in a few hours due to the adhesive wearing off. Just curious if anybody has dealt with similar circumstances and what you do to combat or deal with it. Can’t spend another $100 on infusion sets in one day.</t>
        </is>
      </c>
      <c r="D9551" t="n">
        <v>1</v>
      </c>
      <c r="E9551" t="n">
        <v>14</v>
      </c>
      <c r="F9551">
        <f>HYPERLINK("https://www.reddit.com/r/diabetes/comments/gu2vhd/how_do_you_guys_deal_with_sweating_and_losing_the/")</f>
        <v/>
      </c>
      <c r="G9551" t="inlineStr">
        <is>
          <t>2020-05-31 10:16:33</t>
        </is>
      </c>
      <c r="H9551" t="inlineStr">
        <is>
          <t>Type 1</t>
        </is>
      </c>
    </row>
    <row r="9552">
      <c r="A9552" t="inlineStr">
        <is>
          <t>gu3ebb</t>
        </is>
      </c>
      <c r="B9552" t="inlineStr">
        <is>
          <t>What has your experience been with canadian mail-order pharmacies? I am looking to buy farxiga or jardiance</t>
        </is>
      </c>
      <c r="C9552" t="inlineStr">
        <is>
          <t>I've done a lot of research on reddit and also google and found Marks Maine Pharmacy as one that people have used. Others seem to be "drop shippers." Maybe Marks is also a drop shipper, but what has your experience been.  
I notice they have different countries the medicine is sourced from at significantly different prices. I'm specifically looking to order farxiga or jardiance for now, but if it really is the SAME thing and quality control is there, then I will consider all of my meds.  
Any one have any first hand experiences with this? Yes, I will have a rx from my doctor and send it to the pharmacy etc. I also have a libre so will do my own informal experiement and post results here of if the medicine is the same potency, efficacy, etc.  
If you're scared to post on the forum, please DM me. Struggling right now and until Jan 2021 this is the only option to maintain my current regimen.</t>
        </is>
      </c>
      <c r="D9552" t="n">
        <v>1</v>
      </c>
      <c r="E9552" t="n">
        <v>0</v>
      </c>
      <c r="F9552">
        <f>HYPERLINK("https://www.reddit.com/r/diabetes/comments/gu3ebb/what_has_your_experience_been_with_canadian/")</f>
        <v/>
      </c>
      <c r="G9552" t="inlineStr">
        <is>
          <t>2020-05-31 10:46:27</t>
        </is>
      </c>
      <c r="H9552" t="inlineStr">
        <is>
          <t>Type 2</t>
        </is>
      </c>
    </row>
    <row r="9553">
      <c r="A9553" t="inlineStr">
        <is>
          <t>gu88cn</t>
        </is>
      </c>
      <c r="B9553" t="inlineStr">
        <is>
          <t>Anyone else always have shakes?</t>
        </is>
      </c>
      <c r="C9553" t="inlineStr">
        <is>
          <t>Even if my blood sugar is perfectly fine, I literally always have the shakes. Is this a diabetes thing or am I just shaky? 😂</t>
        </is>
      </c>
      <c r="D9553" t="n">
        <v>2</v>
      </c>
      <c r="E9553" t="n">
        <v>7</v>
      </c>
      <c r="F9553">
        <f>HYPERLINK("https://www.reddit.com/r/diabetes/comments/gu88cn/anyone_else_always_have_shakes/")</f>
        <v/>
      </c>
      <c r="G9553" t="inlineStr">
        <is>
          <t>2020-05-31 15:17:22</t>
        </is>
      </c>
      <c r="H9553" t="inlineStr">
        <is>
          <t>Type 1</t>
        </is>
      </c>
    </row>
    <row r="9554">
      <c r="A9554" t="inlineStr">
        <is>
          <t>gu8bav</t>
        </is>
      </c>
      <c r="B9554" t="inlineStr">
        <is>
          <t>Possible Lada?</t>
        </is>
      </c>
      <c r="C9554" t="inlineStr">
        <is>
          <t>Hi all,
I have posted on here a couple of times, and still working through a diagnosis with my endo. I have had a dexcom for the last 45 days, and love it, but I think its opening some eyes to my diagnosis. Every 4 to 6 weeks I end up in the hospital with vomiting and nausea that has to be stopped via iv fluids. Each time I go in I have high ketones but my Aion gap is usually fine. However each time I come out my insulin needs seem to go up, and my fasting glucose has risen each time. My last A1C in the hospital was 5.4, and during my time in the hospital I usually don't require insulin due to nothing being ingested. I was diagnosed as a type 2 in October 2019 with an A1C at 13.2 and was put on metformin and insulin. I'm adopted from South Korea with no known family history. I'm a Male 31 years old 5'7 and 170. I have been been tested for antibodies that have come back negative, but my C peptide in October was only 2.2. My endo is ordering more tests, but is it common for type 2's to have massive increased insulin needs along with weight loss and being unable to put on  weight while on insulin? While in the hospital the have done numerous tests on my stomach, but the only thing that has remained constant is insulin use.</t>
        </is>
      </c>
      <c r="D9554" t="n">
        <v>1</v>
      </c>
      <c r="E9554" t="n">
        <v>9</v>
      </c>
      <c r="F9554">
        <f>HYPERLINK("https://www.reddit.com/r/diabetes/comments/gu8bav/possible_lada/")</f>
        <v/>
      </c>
      <c r="G9554" t="inlineStr">
        <is>
          <t>2020-05-31 15:21:59</t>
        </is>
      </c>
      <c r="H9554" t="inlineStr">
        <is>
          <t>Type 2</t>
        </is>
      </c>
    </row>
    <row r="9555">
      <c r="A9555" t="inlineStr">
        <is>
          <t>gufdms</t>
        </is>
      </c>
      <c r="B9555" t="inlineStr">
        <is>
          <t>Can a T1 Diabetic compete in boxing? And if so what precautions do they need to take?</t>
        </is>
      </c>
      <c r="C9555" t="inlineStr">
        <is>
          <t>I'm trying to see if I can compete in boxing after lockdown while also doing gym on the side. I am a type 1 diabetic with a insulin pump attached. Any advice will be helpful.</t>
        </is>
      </c>
      <c r="D9555" t="n">
        <v>1</v>
      </c>
      <c r="E9555" t="n">
        <v>2</v>
      </c>
      <c r="F9555">
        <f>HYPERLINK("https://www.reddit.com/r/diabetes/comments/gufdms/can_a_t1_diabetic_compete_in_boxing_and_if_so/")</f>
        <v/>
      </c>
      <c r="G9555" t="inlineStr">
        <is>
          <t>2020-05-31 23:30:41</t>
        </is>
      </c>
      <c r="H9555" t="inlineStr">
        <is>
          <t>Type 1</t>
        </is>
      </c>
    </row>
    <row r="9556">
      <c r="A9556" t="inlineStr">
        <is>
          <t>guk3hl</t>
        </is>
      </c>
      <c r="B9556" t="inlineStr">
        <is>
          <t>What do you do when you’re out of fast acting?</t>
        </is>
      </c>
      <c r="C9556" t="inlineStr">
        <is>
          <t>My boyfriend is type 1, diagnosed about 4 years ago. He seems to struggle a ton with insurance and can’t get his Humalog refilled until the 12th of June. He’s completely out and has been relying on Lantus for the past few days. Last night when he took the Lantus he was reading at about 440. Woke up this morning feeling awful, thought he was going to throw up. He’s been in the hospital for ketoacidosis twice in the past year and both times it’s been because he couldn’t get his insulin. I don’t know what I can do to help. I’d buy it outright if I could.</t>
        </is>
      </c>
      <c r="D9556" t="n">
        <v>1</v>
      </c>
      <c r="E9556" t="n">
        <v>24</v>
      </c>
      <c r="F9556">
        <f>HYPERLINK("https://www.reddit.com/r/diabetes/comments/guk3hl/what_do_you_do_when_youre_out_of_fast_acting/")</f>
        <v/>
      </c>
      <c r="G9556" t="inlineStr">
        <is>
          <t>2020-06-01 05:52:03</t>
        </is>
      </c>
      <c r="H9556" t="inlineStr">
        <is>
          <t>Type 1</t>
        </is>
      </c>
    </row>
    <row r="9557">
      <c r="A9557" t="inlineStr">
        <is>
          <t>gun7kt</t>
        </is>
      </c>
      <c r="B9557" t="inlineStr">
        <is>
          <t>Anyone know of good resources online for dealing with the mental aspect of having diabetes?</t>
        </is>
      </c>
      <c r="C9557" t="inlineStr">
        <is>
          <t>Hey Everyone! I guess I'm asking for advice, sorry this'll be a long one.
T1 here, 16 years and counting. I'm sure everyone has their lows with this disease, it is pretty relentless. 
When I was first diagnosed, the doctor's didn't have the same resources as they do now and the first insulin I was on caused some irreversible nerve damage (was too acidic). Basically permanent pain and pins and needles in my legs etc. Have have several severe hypos whilst alseep, where I had to be resucitated and ended up hospitalised for a few months, brain damage etc. Have a huge fear of sleeping now. Further physical issues (intestinal and gastric problems) have lead to the mental decline.
I've been diagnosed with depression and anxiety. Long story short ended up, tried to top myself and ended in a pysch unit of a hospital for several months. Went on a strong cocktail of antidepressants, sleeping pills and anti anxiety meds. Unfortunately reacted badly to several, so now nothing.
My diabetes unit put me in touch with a mental health councillor for CBT therapy. I honestly didn't find it helpful at all. So I ended up paying for talking therapy, way more helpful, but I couldn't afford it, so I had to stop.
I can't really rely on my family for support. They always tell me to buck and and stop feeling sorry for myself. I really do try, I'm a pretty positive person, but I really feel like I'm losing here. With my friends, they've got their own horrible problems and I don't want to be more of a burden.
So I'm looking for some kind of online resource for coping mechanisms. I don't know, just something, because I don't want to give up.
TDLR: online free resources for coping with the mental side of diabetes?</t>
        </is>
      </c>
      <c r="D9557" t="n">
        <v>3</v>
      </c>
      <c r="E9557" t="n">
        <v>12</v>
      </c>
      <c r="F9557">
        <f>HYPERLINK("https://www.reddit.com/r/diabetes/comments/gun7kt/anyone_know_of_good_resources_online_for_dealing/")</f>
        <v/>
      </c>
      <c r="G9557" t="inlineStr">
        <is>
          <t>2020-06-01 09:02:14</t>
        </is>
      </c>
      <c r="H9557" t="inlineStr">
        <is>
          <t>Type 1</t>
        </is>
      </c>
    </row>
    <row r="9558">
      <c r="A9558" t="inlineStr">
        <is>
          <t>gusjho</t>
        </is>
      </c>
      <c r="B9558" t="inlineStr">
        <is>
          <t>Online Resources for Parents of Diabetic Kiddos?</t>
        </is>
      </c>
      <c r="C9558" t="inlineStr">
        <is>
          <t>I have a four-year old who was diagnosed T1 back in February (he was still three at the time). He's done incredibly well with adapting to new routines and my wife and I are settling into a decent groove on overseeing his diabetes management. We've also had good experiences with his pediatric endocrinologist. Thankfully he seems to have a great care team, but the COVID pandemic has wreaked some havoc on his appointments. Diabetes was completely new to us, but we seem to be improving every day (we got him on a Dexcom, which helped immensely).
One issue that we are having is a lack of connectivity with similarly situated families. We live in a small, rural state where people have been taking social distancing very seriously (Vermont). Our pediatrician and endocrinologist have also told us there are no other families with T1 children near his age in our community, so he is not likely to have any diabetic friends in the near future. This also means that my wife and I have not been able to lean on any families for guidance, help, and general commiseration.
I realize that this sub is mostly populated by adult diabetics, but I was wondering if anyone had any advice on good internet resources or forums for parents of diabetic children - not for medical advice, but discussing general issues related to kiddos and the various curveballs that diabetes presents. Any pointers would be greatly appreciated.</t>
        </is>
      </c>
      <c r="D9558" t="n">
        <v>2</v>
      </c>
      <c r="E9558" t="n">
        <v>3</v>
      </c>
      <c r="F9558">
        <f>HYPERLINK("https://www.reddit.com/r/diabetes/comments/gusjho/online_resources_for_parents_of_diabetic_kiddos/")</f>
        <v/>
      </c>
      <c r="G9558" t="inlineStr">
        <is>
          <t>2020-06-01 13:40:29</t>
        </is>
      </c>
      <c r="H9558" t="inlineStr">
        <is>
          <t>Type 1</t>
        </is>
      </c>
    </row>
    <row r="9559">
      <c r="A9559" t="inlineStr">
        <is>
          <t>guvcj5</t>
        </is>
      </c>
      <c r="B9559" t="inlineStr">
        <is>
          <t>Walmart Insulin Glitch?</t>
        </is>
      </c>
      <c r="C9559" t="inlineStr">
        <is>
          <t>I'm in Indiana and have no health insurance, so I buy Relion R and N at Walmart with a prescription for about $24 per bottle. It's not the best but I'm alive. I reordered a bottle of R to pick up tomorrow. I get three different notifications from Walmart telling me that my insulin is ready and it's $0.00 dollars. My email, the app notification, and text to my phone all give the same price: free. I'm guessing it's a glitch in the system. They are closed for the night so I can't call them. Have I awake to some weird utopia where insulin is free?</t>
        </is>
      </c>
      <c r="D9559" t="n">
        <v>1</v>
      </c>
      <c r="E9559" t="n">
        <v>4</v>
      </c>
      <c r="F9559">
        <f>HYPERLINK("https://www.reddit.com/r/diabetes/comments/guvcj5/walmart_insulin_glitch/")</f>
        <v/>
      </c>
      <c r="G9559" t="inlineStr">
        <is>
          <t>2020-06-01 16:09:41</t>
        </is>
      </c>
      <c r="H9559" t="inlineStr">
        <is>
          <t>Type 1</t>
        </is>
      </c>
    </row>
    <row r="9560">
      <c r="A9560" t="inlineStr">
        <is>
          <t>guw8oo</t>
        </is>
      </c>
      <c r="B9560" t="inlineStr">
        <is>
          <t>Surplus of expired Humalog and Lantus pens and other supplies</t>
        </is>
      </c>
      <c r="C9560" t="inlineStr">
        <is>
          <t>Hey guys, been on reddit for a couple years, but never really post. I'm a T1D then when in grad school a couple years back and working two jobs didn't use as much insulin due to less meals, and my roommates reorganized my meds for beer space and I didn't check that I was using out of order for quite some time. I'm currently trying to start on a pump since I'm no longer playing college football and trying to get into a professional school, but don't want these to go in the trash if someone can use them (human or animal) and my internet searches have left me at a loss. I'm located in Texas and just hope my lack of due diligence towards this supply chain can still hope someone else in need. Also hope I did this right and didn't break any rules ha
[https://docs.google.com/spreadsheets/d/1OzsEMg0fzILuBcxTlDdGB-8eRtbBR9\_1xKreaXOn-CE/edit?usp=sharing](https://docs.google.com/spreadsheets/d/1OzsEMg0fzILuBcxTlDdGB-8eRtbBR9_1xKreaXOn-CE/edit?usp=sharing)</t>
        </is>
      </c>
      <c r="D9560" t="n">
        <v>1</v>
      </c>
      <c r="E9560" t="n">
        <v>3</v>
      </c>
      <c r="F9560">
        <f>HYPERLINK("https://www.reddit.com/r/diabetes/comments/guw8oo/surplus_of_expired_humalog_and_lantus_pens_and/")</f>
        <v/>
      </c>
      <c r="G9560" t="inlineStr">
        <is>
          <t>2020-06-01 16:59:51</t>
        </is>
      </c>
      <c r="H9560" t="inlineStr">
        <is>
          <t>Type 1</t>
        </is>
      </c>
    </row>
    <row r="9561">
      <c r="A9561" t="inlineStr">
        <is>
          <t>gux1xn</t>
        </is>
      </c>
      <c r="B9561" t="inlineStr">
        <is>
          <t>Ripped off my freestyle libre and I’m stressing out</t>
        </is>
      </c>
      <c r="C9561" t="inlineStr">
        <is>
          <t>Hey guys, as the title states I just accidentally tore off my freestyle libre sensor by bumping into a doorframe. I still had 3 days left on the sensor but I can’t seem to connect a new sensor  because of that. How do I connect a new sensor before the last one ended? Hope you guys can help me</t>
        </is>
      </c>
      <c r="D9561" t="n">
        <v>1</v>
      </c>
      <c r="E9561" t="n">
        <v>5</v>
      </c>
      <c r="F9561">
        <f>HYPERLINK("https://www.reddit.com/r/diabetes/comments/gux1xn/ripped_off_my_freestyle_libre_and_im_stressing_out/")</f>
        <v/>
      </c>
      <c r="G9561" t="inlineStr">
        <is>
          <t>2020-06-01 17:47:16</t>
        </is>
      </c>
      <c r="H9561" t="inlineStr">
        <is>
          <t>Type 1</t>
        </is>
      </c>
    </row>
    <row r="9562">
      <c r="A9562" t="inlineStr">
        <is>
          <t>guyy4q</t>
        </is>
      </c>
      <c r="B9562" t="inlineStr">
        <is>
          <t>New to pump need help</t>
        </is>
      </c>
      <c r="C9562" t="inlineStr">
        <is>
          <t>I'm new to using an insulin pump (I just had my first training session today) and I'm having problems figuring out how to take my food bolus for dinner. I have a Tandem t slim x2 and the amount of insulin I need to take for dinner and my correction exceeds the bolus maximum of 25. My dinner alone exceeds the maximum bolus amount cause my carb ratio is 1:4.5 and my food is 119 (26.44 for the bolus). In total I need 33.99 units. So I need help understanding what I need to do since the person who trained me didn't go over what happens if I need more than what the bolus allows and isn't answering back. Or I need to know if I'm doing something completely wrong with counting for the bolus.</t>
        </is>
      </c>
      <c r="D9562" t="n">
        <v>1</v>
      </c>
      <c r="E9562" t="n">
        <v>5</v>
      </c>
      <c r="F9562">
        <f>HYPERLINK("https://www.reddit.com/r/diabetes/comments/guyy4q/new_to_pump_need_help/")</f>
        <v/>
      </c>
      <c r="G9562" t="inlineStr">
        <is>
          <t>2020-06-01 19:43:59</t>
        </is>
      </c>
      <c r="H9562" t="inlineStr">
        <is>
          <t>Type 1</t>
        </is>
      </c>
    </row>
    <row r="9563">
      <c r="A9563" t="inlineStr">
        <is>
          <t>guzorj</t>
        </is>
      </c>
      <c r="B9563" t="inlineStr">
        <is>
          <t>Switching phones in the middle Sensors 10-day period</t>
        </is>
      </c>
      <c r="C9563" t="inlineStr">
        <is>
          <t>Im switching phones tonight on day 4/10 for my dexcom G6 sensor.  can I download dexcom on the new phone and just continue to use? or do I need to end sensor on my current device, and treat it like a new one on the new phone?</t>
        </is>
      </c>
      <c r="D9563" t="n">
        <v>1</v>
      </c>
      <c r="E9563" t="n">
        <v>5</v>
      </c>
      <c r="F9563">
        <f>HYPERLINK("https://www.reddit.com/r/diabetes/comments/guzorj/switching_phones_in_the_middle_sensors_10day/")</f>
        <v/>
      </c>
      <c r="G9563" t="inlineStr">
        <is>
          <t>2020-06-01 20:33:56</t>
        </is>
      </c>
      <c r="H9563" t="inlineStr">
        <is>
          <t>Type 1</t>
        </is>
      </c>
    </row>
    <row r="9564">
      <c r="A9564" t="inlineStr">
        <is>
          <t>gv02m2</t>
        </is>
      </c>
      <c r="B9564" t="inlineStr">
        <is>
          <t>Brother has Type 1 diabetes and I took a bgt test recently 2 hours after a meal (pizza) and the test came back as 5.9, is this normal?</t>
        </is>
      </c>
      <c r="C9564" t="inlineStr">
        <is>
          <t>.</t>
        </is>
      </c>
      <c r="D9564" t="n">
        <v>1</v>
      </c>
      <c r="E9564" t="n">
        <v>2</v>
      </c>
      <c r="F9564">
        <f>HYPERLINK("https://www.reddit.com/r/diabetes/comments/gv02m2/brother_has_type_1_diabetes_and_i_took_a_bgt_test/")</f>
        <v/>
      </c>
      <c r="G9564" t="inlineStr">
        <is>
          <t>2020-06-01 21:00:43</t>
        </is>
      </c>
      <c r="H9564" t="inlineStr">
        <is>
          <t>Type 1</t>
        </is>
      </c>
    </row>
    <row r="9565">
      <c r="A9565" t="inlineStr">
        <is>
          <t>gv0bc8</t>
        </is>
      </c>
      <c r="B9565" t="inlineStr">
        <is>
          <t>Is protesting during a pandemic safe for us right now? (note: not in USA)</t>
        </is>
      </c>
      <c r="C9565" t="inlineStr">
        <is>
          <t>Hi all. I'm type one diabetic and I'm planning on attending a peaceful protest this weekend. I have no idea how many people will be there, but i will be taking all precautions to prevent covid-19 exposure.
Obviously being diabetic, I'm still worried about the pandemic and my compromised immune system. However I do live in australia where it's nowhere near as bad as the US. For context, Australia has reported 9 new cases in the last 24 hours, and the US has over 21k.
I also don't believe that our protest will be anywhere near as intense as what's currently happening in the states, and i think our numbers will be smaller (aka easier to social distance).
I plan on wearing a mask and glasses, taking multiple hand sanitiser bottles, and keeping distant from others (aside from the person who will be coming with me).
How would you guys feel about going out at the moment for something like this?
(NOTE: i'm not asking about political views or your opinions on the protests. I'm ONLY asking in terms of being diabetic and attending).</t>
        </is>
      </c>
      <c r="D9565" t="n">
        <v>1</v>
      </c>
      <c r="E9565" t="n">
        <v>17</v>
      </c>
      <c r="F9565">
        <f>HYPERLINK("https://www.reddit.com/r/diabetes/comments/gv0bc8/is_protesting_during_a_pandemic_safe_for_us_right/")</f>
        <v/>
      </c>
      <c r="G9565" t="inlineStr">
        <is>
          <t>2020-06-01 21:17:30</t>
        </is>
      </c>
      <c r="H9565" t="inlineStr">
        <is>
          <t>Type 1</t>
        </is>
      </c>
    </row>
    <row r="9566">
      <c r="A9566" t="inlineStr">
        <is>
          <t>gv0lfe</t>
        </is>
      </c>
      <c r="B9566" t="inlineStr">
        <is>
          <t>New Type-2 / Metformin+Glipizide not working?</t>
        </is>
      </c>
      <c r="C9566" t="inlineStr">
        <is>
          <t>Just diagnosed 2 weeks ago. I'm taking 5mg/500mg glip/metforming combo pills twice a day.
My blood sugar is still hovering around the 350 range. (It was 500-600 before meds). I'm eatin low carb and walking but it's still hi.
Should I wait until my followup or message my doctor now?</t>
        </is>
      </c>
      <c r="D9566" t="n">
        <v>1</v>
      </c>
      <c r="E9566" t="n">
        <v>11</v>
      </c>
      <c r="F9566">
        <f>HYPERLINK("https://www.reddit.com/r/diabetes/comments/gv0lfe/new_type2_metforminglipizide_not_working/")</f>
        <v/>
      </c>
      <c r="G9566" t="inlineStr">
        <is>
          <t>2020-06-01 21:37:39</t>
        </is>
      </c>
      <c r="H9566" t="inlineStr">
        <is>
          <t>Type 2</t>
        </is>
      </c>
    </row>
    <row r="9567">
      <c r="A9567" t="inlineStr">
        <is>
          <t>gv5vvx</t>
        </is>
      </c>
      <c r="B9567" t="inlineStr">
        <is>
          <t>Panic Attacks During a Hypo</t>
        </is>
      </c>
      <c r="C9567" t="inlineStr">
        <is>
          <t>Hey guys, recently I’ve been extremely anxious about having a hypo. Not sure why, but I’ll start correcting a hypo before it even happens. But when I do have a hypo, I’ll be absolutely fine before I test - but as soon as I test and I’m like 3.4mmol my heart starts pounding, I become dizzy and feel like I’m literally gonna die! Pretty silly really. I often take too many carbs too which makes my blood too high after. 
Anyone else had this before? Or anyone with some advice?</t>
        </is>
      </c>
      <c r="D9567" t="n">
        <v>1</v>
      </c>
      <c r="E9567" t="n">
        <v>6</v>
      </c>
      <c r="F9567">
        <f>HYPERLINK("https://www.reddit.com/r/diabetes/comments/gv5vvx/panic_attacks_during_a_hypo/")</f>
        <v/>
      </c>
      <c r="G9567" t="inlineStr">
        <is>
          <t>2020-06-02 04:49:50</t>
        </is>
      </c>
      <c r="H9567" t="inlineStr">
        <is>
          <t>Type 1</t>
        </is>
      </c>
    </row>
    <row r="9568">
      <c r="A9568" t="inlineStr">
        <is>
          <t>gv95w4</t>
        </is>
      </c>
      <c r="B9568" t="inlineStr">
        <is>
          <t>Blood sugar drops after masturbating?</t>
        </is>
      </c>
      <c r="C9568" t="inlineStr">
        <is>
          <t>Hi everyone! Hope you all are staying safe and healthy during this time. As my boyfriend and I are not quarantining together, I guess you can say that I’ve been masturbating more often. However, right after i cum, my blood sugar will drop very low very quickly...does this happen to anyone else?? I can’t find anything about it on the internet. It doesn’t usually happen when I have sex so I’m a little confused. Thank you and I apologize if this is a TMI (I’m new here)</t>
        </is>
      </c>
      <c r="D9568" t="n">
        <v>4</v>
      </c>
      <c r="E9568" t="n">
        <v>16</v>
      </c>
      <c r="F9568">
        <f>HYPERLINK("https://www.reddit.com/r/diabetes/comments/gv95w4/blood_sugar_drops_after_masturbating/")</f>
        <v/>
      </c>
      <c r="G9568" t="inlineStr">
        <is>
          <t>2020-06-02 08:18:13</t>
        </is>
      </c>
      <c r="H9568" t="inlineStr">
        <is>
          <t>Type 1</t>
        </is>
      </c>
    </row>
    <row r="9569">
      <c r="A9569" t="inlineStr">
        <is>
          <t>gv9lvw</t>
        </is>
      </c>
      <c r="B9569" t="inlineStr">
        <is>
          <t>Just diagnosed, what now?</t>
        </is>
      </c>
      <c r="C9569" t="inlineStr">
        <is>
          <t>I just got the call yesterday from my doctor about my bloodwork from last week. The numbers were very high and I am little scared and overwhelmed by everything. Could someone point me in the right direction for an app or a book to help navigate me? 
Thanks in advance.</t>
        </is>
      </c>
      <c r="D9569" t="n">
        <v>1</v>
      </c>
      <c r="E9569" t="n">
        <v>12</v>
      </c>
      <c r="F9569">
        <f>HYPERLINK("https://www.reddit.com/r/diabetes/comments/gv9lvw/just_diagnosed_what_now/")</f>
        <v/>
      </c>
      <c r="G9569" t="inlineStr">
        <is>
          <t>2020-06-02 08:42:49</t>
        </is>
      </c>
      <c r="H9569" t="inlineStr">
        <is>
          <t>Type 2</t>
        </is>
      </c>
    </row>
    <row r="9570">
      <c r="A9570" t="inlineStr">
        <is>
          <t>gvb0c9</t>
        </is>
      </c>
      <c r="B9570" t="inlineStr">
        <is>
          <t>My glucose level rises like hell during my ovulation?</t>
        </is>
      </c>
      <c r="C9570" t="inlineStr">
        <is>
          <t>Im a 16 year old type-1 diabetic, diagnosed when I was 5. I got my period when I was 13 and the first 2 years I never noticed my blood glucose level rising during my ovulation or my period. Lately I've noticed that whenever its my ovulation days, my glucose level rise to 230-350 when I haven't consumed any sugar or carbs. And its getting really hard for me to control because no matter how much I diet and take insulin it doesn't seem to be back in norm. So it got me wondering if this happens to anyone else?</t>
        </is>
      </c>
      <c r="D9570" t="n">
        <v>1</v>
      </c>
      <c r="E9570" t="n">
        <v>7</v>
      </c>
      <c r="F9570">
        <f>HYPERLINK("https://www.reddit.com/r/diabetes/comments/gvb0c9/my_glucose_level_rises_like_hell_during_my/")</f>
        <v/>
      </c>
      <c r="G9570" t="inlineStr">
        <is>
          <t>2020-06-02 09:55:58</t>
        </is>
      </c>
      <c r="H9570" t="inlineStr">
        <is>
          <t>Type 1</t>
        </is>
      </c>
    </row>
    <row r="9571">
      <c r="A9571" t="inlineStr">
        <is>
          <t>gvenvr</t>
        </is>
      </c>
      <c r="B9571" t="inlineStr">
        <is>
          <t>Recently diagnosed, shoulder and neck pain when taking insulin.</t>
        </is>
      </c>
      <c r="C9571" t="inlineStr">
        <is>
          <t>Recently found out i have t2. Immediately put on metformin and gasaglar 22unit and humalog 10unit each meal.
I have a followup with my doctor tomorrow as a 1 month check in.
I have been having very random, but severe right armpit and right neck pain. This pain always seems to start a few minutes after taking an insulin dose, and stays for a few hours up to a few days.
Anyone else have this issue and what things should ask my doctor to check?
Many thanks!</t>
        </is>
      </c>
      <c r="D9571" t="n">
        <v>1</v>
      </c>
      <c r="E9571" t="n">
        <v>3</v>
      </c>
      <c r="F9571">
        <f>HYPERLINK("https://www.reddit.com/r/diabetes/comments/gvenvr/recently_diagnosed_shoulder_and_neck_pain_when/")</f>
        <v/>
      </c>
      <c r="G9571" t="inlineStr">
        <is>
          <t>2020-06-02 13:04:45</t>
        </is>
      </c>
      <c r="H9571" t="inlineStr">
        <is>
          <t>Type 2</t>
        </is>
      </c>
    </row>
    <row r="9572">
      <c r="A9572" t="inlineStr">
        <is>
          <t>gvhyi2</t>
        </is>
      </c>
      <c r="B9572" t="inlineStr">
        <is>
          <t>Glucose Shots to treat low blood sugars</t>
        </is>
      </c>
      <c r="C9572" t="inlineStr">
        <is>
          <t>Hello Everyone,
I was wondering if anyone else has ever run into this issue as I noticed me and a few other diabetics in a Facebook group have.  I personally love glucose shots to raise my blood sugar as opposed to drinking juice boxes or something of that nature, however, one issue that I have seen with them is that they are very costly.  Typically, one shot can cost from 1.5 - 3 dollars, and that is expensive if you have to drink 10-20 throughout the month.  They have the perks of being very quick and discreet, which is why I have been researching the recently and have come up with my own solution to this problem!  I have figured out a way to produce these same shots that I love and get them down to a point where they could be sold at a similar, if not lower cost, than a 8,10, or 12 pack of juice boxes!  
If anyone could comment on this and their own experiences with these shots, such as liking them but being turned away due to their typical cost, as well as their interest in possibly buying a more affordable yet just as strong version of them, that would be amazing!  Trying to gauge interest to see if this is something worth pursuing further!  
Thanks a lot,  
James</t>
        </is>
      </c>
      <c r="D9572" t="n">
        <v>1</v>
      </c>
      <c r="E9572" t="n">
        <v>5</v>
      </c>
      <c r="F9572">
        <f>HYPERLINK("https://www.reddit.com/r/diabetes/comments/gvhyi2/glucose_shots_to_treat_low_blood_sugars/")</f>
        <v/>
      </c>
      <c r="G9572" t="inlineStr">
        <is>
          <t>2020-06-02 15:58:07</t>
        </is>
      </c>
      <c r="H9572" t="inlineStr">
        <is>
          <t>Type 1</t>
        </is>
      </c>
    </row>
    <row r="9573">
      <c r="A9573" t="inlineStr">
        <is>
          <t>gvj9po</t>
        </is>
      </c>
      <c r="B9573" t="inlineStr">
        <is>
          <t>Summer with Insulin Dependency 🙃☀️☀️☀️🥓</t>
        </is>
      </c>
      <c r="C9573" t="inlineStr">
        <is>
          <t>Ola 
So I’ve had diabetes since I was a baby (24F) and have frequently come out in a rash over the years. One doctor suggested it was ringworm but we just chalked it down to autoimmune shenanigans and left it at that. 
So here’s my theory: it’s a drug rash to the insulin and that’s why it flairs up in the summer (apparently they flair up in sunlight). 
My question: anyone else have this? And if so what do you do when the rash gets bad? I’ve taken antihistamines and stayed out of the sun but literally no change. There just seems to be very little info about it online and I thought this would be a place to find out. 
Thanks!</t>
        </is>
      </c>
      <c r="D9573" t="n">
        <v>1</v>
      </c>
      <c r="E9573" t="n">
        <v>4</v>
      </c>
      <c r="F9573">
        <f>HYPERLINK("https://www.reddit.com/r/diabetes/comments/gvj9po/summer_with_insulin_dependency/")</f>
        <v/>
      </c>
      <c r="G9573" t="inlineStr">
        <is>
          <t>2020-06-02 17:14:52</t>
        </is>
      </c>
      <c r="H9573" t="inlineStr">
        <is>
          <t>Type 1</t>
        </is>
      </c>
    </row>
    <row r="9574">
      <c r="A9574" t="inlineStr">
        <is>
          <t>gvk4rz</t>
        </is>
      </c>
      <c r="B9574" t="inlineStr">
        <is>
          <t>Friend applications - lol</t>
        </is>
      </c>
      <c r="C9574" t="inlineStr">
        <is>
          <t>I’m laying in bed and I can’t help to think am In a upset mood because the world is crazy right now ? Because diabetes sucks ? Because I feel no one gets me ? Because I’m really great for keeping my happiness up but at this very second I could use a friend especially a type1.</t>
        </is>
      </c>
      <c r="D9574" t="n">
        <v>1</v>
      </c>
      <c r="E9574" t="n">
        <v>4</v>
      </c>
      <c r="F9574">
        <f>HYPERLINK("https://www.reddit.com/r/diabetes/comments/gvk4rz/friend_applications_lol/")</f>
        <v/>
      </c>
      <c r="G9574" t="inlineStr">
        <is>
          <t>2020-06-02 18:09:56</t>
        </is>
      </c>
      <c r="H9574" t="inlineStr">
        <is>
          <t>Type 1</t>
        </is>
      </c>
    </row>
    <row r="9575">
      <c r="A9575" t="inlineStr">
        <is>
          <t>gvkurd</t>
        </is>
      </c>
      <c r="B9575" t="inlineStr">
        <is>
          <t>Frustrated !!! And need help asap</t>
        </is>
      </c>
      <c r="C9575" t="inlineStr">
        <is>
          <t>I got my freestyle libre about 3 weeks ago.. and have had my new sensor on for 3 days now... my free style libre says my sugar is 160... which is very high for me I poked my finger to see how close they are my finger says 233. I'm freaking out I injected my bed time insulin and can't sleep so I'm browsing reddit.. why are my numbers so different have my sugars been running higher than they should this entire time!??? I'm also 23 weeks pregant and need to monitor my sugars very closely!!! I'm like ready to cry and need to bring my sugar down asap please advice! I'm already sucking down water!!!</t>
        </is>
      </c>
      <c r="D9575" t="n">
        <v>1</v>
      </c>
      <c r="E9575" t="n">
        <v>9</v>
      </c>
      <c r="F9575">
        <f>HYPERLINK("https://www.reddit.com/r/diabetes/comments/gvkurd/frustrated_and_need_help_asap/")</f>
        <v/>
      </c>
      <c r="G9575" t="inlineStr">
        <is>
          <t>2020-06-02 18:57:50</t>
        </is>
      </c>
      <c r="H9575" t="inlineStr">
        <is>
          <t>Type 2</t>
        </is>
      </c>
    </row>
    <row r="9576">
      <c r="A9576" t="inlineStr">
        <is>
          <t>gvl0hz</t>
        </is>
      </c>
      <c r="B9576" t="inlineStr">
        <is>
          <t>i’ve officially been diabetic for a year!</t>
        </is>
      </c>
      <c r="C9576" t="inlineStr">
        <is>
          <t>*i wasn’t really sure what to set the flair, but i needed to add one :P
as of today, it’s officially been 1 year since my diagnosis! it’s hard to believe it’s been that long, but it also feels like it’s been longer. i thought it was funny that my dexcom and omnipod were both replaced today. what a day for them to align, lol.</t>
        </is>
      </c>
      <c r="D9576" t="n">
        <v>1</v>
      </c>
      <c r="E9576" t="n">
        <v>5</v>
      </c>
      <c r="F9576">
        <f>HYPERLINK("https://www.reddit.com/r/diabetes/comments/gvl0hz/ive_officially_been_diabetic_for_a_year/")</f>
        <v/>
      </c>
      <c r="G9576" t="inlineStr">
        <is>
          <t>2020-06-02 19:08:26</t>
        </is>
      </c>
      <c r="H9576" t="inlineStr">
        <is>
          <t>Type 1</t>
        </is>
      </c>
    </row>
    <row r="9577">
      <c r="A9577" t="inlineStr">
        <is>
          <t>gvpi0j</t>
        </is>
      </c>
      <c r="B9577" t="inlineStr">
        <is>
          <t>i just need to say</t>
        </is>
      </c>
      <c r="C9577" t="inlineStr">
        <is>
          <t>sorry to all...its of no importance to anyone but me but i feel pretty good....i had a routine blood test in feb this year and it came back with a HBA1C reading of 16....
&amp;amp;#x200B;
so had the repeat blood test on monday morning - got the call from the doctor today HBA1C is now 5.9
&amp;amp;#x200B;
so im a bit please</t>
        </is>
      </c>
      <c r="D9577" t="n">
        <v>1</v>
      </c>
      <c r="E9577" t="n">
        <v>7</v>
      </c>
      <c r="F9577">
        <f>HYPERLINK("https://www.reddit.com/r/diabetes/comments/gvpi0j/i_just_need_to_say/")</f>
        <v/>
      </c>
      <c r="G9577" t="inlineStr">
        <is>
          <t>2020-06-03 00:44:41</t>
        </is>
      </c>
      <c r="H9577" t="inlineStr">
        <is>
          <t>Type 2</t>
        </is>
      </c>
    </row>
    <row r="9578">
      <c r="A9578" t="inlineStr">
        <is>
          <t>gvtv88</t>
        </is>
      </c>
      <c r="B9578" t="inlineStr">
        <is>
          <t>Helping my BF(48M) with his health</t>
        </is>
      </c>
      <c r="C9578" t="inlineStr">
        <is>
          <t>I think this is the right platform (I'm still new to reddit) Also please forgive me (I have PMDD and a toddler)
Long story short my BF had a health scare after going back on an unhealthy diet. I know basically nothing about a diabetic diet. Let me throw as his blood pressure has gone through the roof as well
What are some breakfasts that you eat and some other meals that help you keep your sugar down? I heard oats with cinnamon is a good breakfast. 
Even if its snacks or a specific type of whole grain bread 
What do you eat that helps you maintain a healthy blood sugar level?
.....as I said this isn't my area of expertise so I figured reach out to somebody who has Diabetes Type 2 and see what helps them. Also I would be the one cooking his meals and he wants me up his ass to make sure he is eating healthier choices
Thank you! I appreciate it! Please throw out some info and what you eat(that tastes good as well👍) 
Be safe❤</t>
        </is>
      </c>
      <c r="D9578" t="n">
        <v>1</v>
      </c>
      <c r="E9578" t="n">
        <v>8</v>
      </c>
      <c r="F9578">
        <f>HYPERLINK("https://www.reddit.com/r/diabetes/comments/gvtv88/helping_my_bf48m_with_his_health/")</f>
        <v/>
      </c>
      <c r="G9578" t="inlineStr">
        <is>
          <t>2020-06-03 06:23:57</t>
        </is>
      </c>
      <c r="H9578" t="inlineStr">
        <is>
          <t>Type 2</t>
        </is>
      </c>
    </row>
    <row r="9579">
      <c r="A9579" t="inlineStr">
        <is>
          <t>gvupgg</t>
        </is>
      </c>
      <c r="B9579" t="inlineStr">
        <is>
          <t>Neuropathy?</t>
        </is>
      </c>
      <c r="C9579" t="inlineStr">
        <is>
          <t>Wondering if anyone has had similar experiences and I can stop worrying. I've been a type 1 for 12 years and over the last 6 or so years and had an A1C around 8.5-10. Two days ago my foot keep falling asleep for 5-minute increments, I thought it was strange. Yesterday night after a walk the side of my pinky toe went completely numb and this morning I awoke to the entire side of my left foot numb. The side of my left hand is also slightly numb.
I do have a Dr's apt. scheduled for tomorrow.
I am extremely active (bi-daily mountain biking etc), eat decently nutritious meals, I also have a few beers every night.</t>
        </is>
      </c>
      <c r="D9579" t="n">
        <v>1</v>
      </c>
      <c r="E9579" t="n">
        <v>6</v>
      </c>
      <c r="F9579">
        <f>HYPERLINK("https://www.reddit.com/r/diabetes/comments/gvupgg/neuropathy/")</f>
        <v/>
      </c>
      <c r="G9579" t="inlineStr">
        <is>
          <t>2020-06-03 07:14:51</t>
        </is>
      </c>
      <c r="H9579" t="inlineStr">
        <is>
          <t>Type 1</t>
        </is>
      </c>
    </row>
    <row r="9580">
      <c r="A9580" t="inlineStr">
        <is>
          <t>gvwnex</t>
        </is>
      </c>
      <c r="B9580" t="inlineStr">
        <is>
          <t>I start Trulicity this weekend</t>
        </is>
      </c>
      <c r="C9580" t="inlineStr">
        <is>
          <t>I’m really sensitive to medications and their side effects, so I’m nervous about starting this. Any pros &amp;amp; cons you can share with me about this medication?</t>
        </is>
      </c>
      <c r="D9580" t="n">
        <v>1</v>
      </c>
      <c r="E9580" t="n">
        <v>1</v>
      </c>
      <c r="F9580">
        <f>HYPERLINK("https://www.reddit.com/r/diabetes/comments/gvwnex/i_start_trulicity_this_weekend/")</f>
        <v/>
      </c>
      <c r="G9580" t="inlineStr">
        <is>
          <t>2020-06-03 09:02:53</t>
        </is>
      </c>
      <c r="H9580" t="inlineStr">
        <is>
          <t>Type 2</t>
        </is>
      </c>
    </row>
    <row r="9581">
      <c r="A9581" t="inlineStr">
        <is>
          <t>gvymjp</t>
        </is>
      </c>
      <c r="B9581" t="inlineStr">
        <is>
          <t>T2D Paying for CGM out of pocket with United Healthcare</t>
        </is>
      </c>
      <c r="C9581" t="inlineStr">
        <is>
          <t>I am looking for advice on what I can do to get my CGM handled by insurance. I am on UHC Choice Plus. I had been pre-diabetic but stable since middle school (I am approaching 50) but in May of 2018 had a DKA and 3 day hospital stay as result. My father lost legs to diabetes so I embraced it and got it under control fast. I got a Dexcom out of pocket and have my A1C at about 5.2 ever since and take Insulin and am using intensive method to control it. Endo classifies me as Type 2, but my regular Doctor says I am showing high insulin antibodies in my blood tests and that between the antibodies and the DKA, I probably should be classified as T1 or at least T1.5. United Healthcare Choice Plus plan which is what I have does not cover CGM for T2. Do I have any hope of ever getting this covered? Again, I would not be under control this well if I were doing finger stick. In fact my endo says I have weirrd responses. I wake up at 102 to 105 with or without insulin or metformin, but have VERY VERY strong post prandial reactions. i.e 60 carbs will send me to 190-210 blood glucose and I'll be above 150 for 4-5 hours without insulin and I'm also having severe brain fog issues even with my diabetes under control. With insulin, I can be back down to 95 in 2 hours. I would never even know this without a CGM if all I were doing is finger stick. Looking for any advice. Do I need a new endo, new insurace, or is all hope lost?</t>
        </is>
      </c>
      <c r="D9581" t="n">
        <v>1</v>
      </c>
      <c r="E9581" t="n">
        <v>9</v>
      </c>
      <c r="F9581">
        <f>HYPERLINK("https://www.reddit.com/r/diabetes/comments/gvymjp/t2d_paying_for_cgm_out_of_pocket_with_united/")</f>
        <v/>
      </c>
      <c r="G9581" t="inlineStr">
        <is>
          <t>2020-06-03 10:46:48</t>
        </is>
      </c>
      <c r="H9581" t="inlineStr">
        <is>
          <t>Type 2</t>
        </is>
      </c>
    </row>
    <row r="9582">
      <c r="A9582" t="inlineStr">
        <is>
          <t>gvz7cu</t>
        </is>
      </c>
      <c r="B9582" t="inlineStr">
        <is>
          <t>How many carbs do you think are in a hamburger bun after removing insides and edge?</t>
        </is>
      </c>
      <c r="C9582" t="inlineStr">
        <is>
          <t>So, sometimes you are on the go, and you can’t always have every meal planned.
I was very hungry and decided to try something. Grilled chicken sandwich and removing as much of the “bread” as possible from the bun. 
This leaves me with no edge, and basically the “skin” of a Wendy’s bun to have something to hold my food together.
I wonder how many carbs I may have actually removed?
I guess it’s better than just giving up, but also realize I cannot use this as a crutch either.</t>
        </is>
      </c>
      <c r="D9582" t="n">
        <v>0</v>
      </c>
      <c r="E9582" t="n">
        <v>3</v>
      </c>
      <c r="F9582">
        <f>HYPERLINK("https://www.reddit.com/r/diabetes/comments/gvz7cu/how_many_carbs_do_you_think_are_in_a_hamburger/")</f>
        <v/>
      </c>
      <c r="G9582" t="inlineStr">
        <is>
          <t>2020-06-03 11:14:51</t>
        </is>
      </c>
      <c r="H9582" t="inlineStr">
        <is>
          <t>Type 2</t>
        </is>
      </c>
    </row>
    <row r="9583">
      <c r="A9583" t="inlineStr">
        <is>
          <t>gw4jyr</t>
        </is>
      </c>
      <c r="B9583" t="inlineStr">
        <is>
          <t>Extended power outage. Will my insulin be ok?</t>
        </is>
      </c>
      <c r="C9583" t="inlineStr">
        <is>
          <t>Had a huge storm here today and we've been without power about 7 hours now. No idea when it's coming back, but assuming it's out for an extended period, when do I need to start worrying about my unused novolog in the fridge? I'm on a pump, so obviously the insulin I use daily is always at room temp. Just not sure about the whole getting warm and then getting cold again once power returns.</t>
        </is>
      </c>
      <c r="D9583" t="n">
        <v>1</v>
      </c>
      <c r="E9583" t="n">
        <v>4</v>
      </c>
      <c r="F9583">
        <f>HYPERLINK("https://www.reddit.com/r/diabetes/comments/gw4jyr/extended_power_outage_will_my_insulin_be_ok/")</f>
        <v/>
      </c>
      <c r="G9583" t="inlineStr">
        <is>
          <t>2020-06-03 15:42:37</t>
        </is>
      </c>
      <c r="H9583" t="inlineStr">
        <is>
          <t>Type 1</t>
        </is>
      </c>
    </row>
    <row r="9584">
      <c r="A9584" t="inlineStr">
        <is>
          <t>gw6wlz</t>
        </is>
      </c>
      <c r="B9584" t="inlineStr">
        <is>
          <t>Overwhelmed with info.. T2, overweight and out of shape.. looking to start making some changes</t>
        </is>
      </c>
      <c r="C9584" t="inlineStr">
        <is>
          <t>Hello again, r/diabetes! I'm here once again seeking advice from my peers. 
It's gonna get lengthy so I'll add a TL;DR for you lovely folks. 
I was diagnosed type 2 may of 2015 with a blood glucose of 659. I weighed 389 pounds and I drove cross country for a little over a year prior. After my diagnosis I spent 3 years in terror pretty much starving myself and, by starvation, dropped down to 215. My stomach and arm skin sagged, my face looked like a drug addicts face and I was not in a good spot.
 My HBA1C went from 13.5 to 6, and I felt some freedom to eat more things. During this 3 years I was unemployed, and spent all my time playing videogames, sulking, and frantically checking my blood sugar any time i felt a little bit off. 
So, I then began eating more foods, sought employment, and tried to cheer myself up about the situation. My spirits were lifted a little by being able to maneuver much easier at my new weight, after years of being obese and hyperventilating just getting out of bed.
 Now I'm working road maintenance, I'm at 280, my a1c is slowly climbing every 3 months, and ive gained about 40 pounds since October. The quarantine, my false sense of security and having money in my pocket have put me on a path back to 400 pounds and I am now freaking out.. again. 
Scouring the internet for information on where to start with a proper diet and starting to workout and it's just too much. As if type 2 diabetes is not enough, I also have Anhidrosis. I only sweat from my face and my armpits, the rest of my body just doesn't sweat. To counteract this I always use cooling towels at work and frequently pour water on myself when working in the heat. The guys at work laugh but it works. 
I'm in much better shape than I was at 389, no physical activity at all, and eating like a mad man. I get exercise at work pretty much daily, even though I know it's not enough to cover how poorly I've been eating lately. I've attempted to start workouts at home, push ups situps squats planking but I really lack the willpower to be consistent with it. I'm exhausted from work pretty much every day when I get home, and on my off days the last thing I feel like doing is exercising. I'm sore, I'm tired, I just wanna lay in bed and watch Netflix lol 
You'd think the threat of returning to obesity and future complications with my blood sugar would be incentive enough to exercise and eat better  but sadly for me it's not. I often berate myself while laying in bed when I could be walking, or when I buy something I know I shouldn't eat.. and the internal conflict this creates exhausts me further. I'm 27, 6'5'' at 280. I'm a big guy and I enjoy eating like.. a lot. I've made progress with my diet but it's still 40% good 60% bad. I don't even really know what I expect to gain from posting this, but anything will help cause I'm at a crossroads and I feel like if the decision is left to me entirely I will make the wrong choice as I have been since 2018. 
My doctor just scolds me and tells me to do better, informs me of all the shit that will happen if I stay on this path, and knowing this i still make bad choices.. not all the time but often enough that I'm worried about it. 
So yea that's about it.. any links to sites, fitness apps I could buy, books to read.. I'm willing to make a damn good attempt at getting my shit together cause I'm fed up with it all. I tossed all my bullshit snacks when I got off work today.. so that's a start right? 
Tl;Dr
Diagnosed type 2 2015 at 389 pounds.  Starved myself to 215. Got a job and a big head and started eating poorly again. From 215-280 since 2018, and feeling the effects of my poor diet more and more. Overwhelmed with trying to start down a better path, healthy eating habits and exercise are.. quite literally the bane of my existence. I also have Anhidrosis, which idek how it applies to my situation but it makes physical activity more of a chore for me than it already is. Looking for inspiration, advice, references to sites, apps, books, whatever you think will help me. 
Thanks in advance</t>
        </is>
      </c>
      <c r="D9584" t="n">
        <v>1</v>
      </c>
      <c r="E9584" t="n">
        <v>20</v>
      </c>
      <c r="F9584">
        <f>HYPERLINK("https://www.reddit.com/r/diabetes/comments/gw6wlz/overwhelmed_with_info_t2_overweight_and_out_of/")</f>
        <v/>
      </c>
      <c r="G9584" t="inlineStr">
        <is>
          <t>2020-06-03 17:57:26</t>
        </is>
      </c>
      <c r="H9584" t="inlineStr">
        <is>
          <t>Type 2</t>
        </is>
      </c>
    </row>
    <row r="9585">
      <c r="A9585" t="inlineStr">
        <is>
          <t>gw81p0</t>
        </is>
      </c>
      <c r="B9585" t="inlineStr">
        <is>
          <t>Tiredness</t>
        </is>
      </c>
      <c r="C9585" t="inlineStr">
        <is>
          <t>Does anyone else feel tired all the time? I’ve gotten bloodwork done at the doctors many times and it always comes back fine. I’ve always wondered if being a diabetic can lead to constant tiredness. With numbers fluctuating, I’ve wondered if that could play a part in it.</t>
        </is>
      </c>
      <c r="D9585" t="n">
        <v>1</v>
      </c>
      <c r="E9585" t="n">
        <v>5</v>
      </c>
      <c r="F9585">
        <f>HYPERLINK("https://www.reddit.com/r/diabetes/comments/gw81p0/tiredness/")</f>
        <v/>
      </c>
      <c r="G9585" t="inlineStr">
        <is>
          <t>2020-06-03 19:07:06</t>
        </is>
      </c>
      <c r="H9585" t="inlineStr">
        <is>
          <t>Type 1</t>
        </is>
      </c>
    </row>
    <row r="9586">
      <c r="A9586" t="inlineStr">
        <is>
          <t>gw8732</t>
        </is>
      </c>
      <c r="B9586" t="inlineStr">
        <is>
          <t>Type 1 and traveling</t>
        </is>
      </c>
      <c r="C9586" t="inlineStr">
        <is>
          <t>So I'm going to see my brother in the military, but he's on the other side of the country. I fear that I would be put in a seat that would compromise my safety with COVID-19, is there a way I can maybe get a better seat in case or something I can say to the airline. I really didn't know where to turn to besides the airliner but I know they can be sneaky sometimes</t>
        </is>
      </c>
      <c r="D9586" t="n">
        <v>1</v>
      </c>
      <c r="E9586" t="n">
        <v>3</v>
      </c>
      <c r="F9586">
        <f>HYPERLINK("https://www.reddit.com/r/diabetes/comments/gw8732/type_1_and_traveling/")</f>
        <v/>
      </c>
      <c r="G9586" t="inlineStr">
        <is>
          <t>2020-06-03 19:16:39</t>
        </is>
      </c>
      <c r="H9586" t="inlineStr">
        <is>
          <t>Type 1</t>
        </is>
      </c>
    </row>
    <row r="9587">
      <c r="A9587" t="inlineStr">
        <is>
          <t>gw8u0h</t>
        </is>
      </c>
      <c r="B9587" t="inlineStr">
        <is>
          <t>Recently diagnosed T2D</t>
        </is>
      </c>
      <c r="C9587" t="inlineStr">
        <is>
          <t>Hello r/diabetes 
I'll call myself Hy. 19 Female. I was recently diagnosed with type 2 diabetes...sort of? I got a hint of having it back in March 2019 but I guess I was not ready to admit it so I found out officially in January 2020. It has been a tough ride since. I had a A1C of 11-12 and I was scared. BS levels 300. Doctor gave me Metformin and Gilmepride. First few days of taking Met and sugars went 150-200. After adding Gil, sugars went 60-110. I was happy! 
Now, this is a few months before being diagnosed. My max weight was 185 lb. Told myself I need to lose weight. Lost 20 almost immediately after only eating once and drinking LOTS of coke. I worked at a restaurant so the coke affected me severely. At the time I went to the doctor, I weighed 144. A month after pills and controlled meals, I weighed 150. I wasn't necessarily too upset over the weight gain, considering my sugars went down. 
Current situation: College is over, I found a new job, and I'm always in my room playing games. I can't seem to control my eating habits anymore. I get tempted to drink a Sprite or a juice. I can't seem to be motivated to exercise. I've gained 15 lb since starting my new job a month and a half ago. 165 lb now. I really want to change for the better. Any tips or comments that can possibly help me out of this position? I honestly want to be a better diabetic as such a young age. My goal weight is 125 by October 2020. I'd love any meal tips, exercises, and all types of comments!!</t>
        </is>
      </c>
      <c r="D9587" t="n">
        <v>1</v>
      </c>
      <c r="E9587" t="n">
        <v>3</v>
      </c>
      <c r="F9587">
        <f>HYPERLINK("https://www.reddit.com/r/diabetes/comments/gw8u0h/recently_diagnosed_t2d/")</f>
        <v/>
      </c>
      <c r="G9587" t="inlineStr">
        <is>
          <t>2020-06-03 19:57:36</t>
        </is>
      </c>
      <c r="H9587" t="inlineStr">
        <is>
          <t>Type 2</t>
        </is>
      </c>
    </row>
    <row r="9588">
      <c r="A9588" t="inlineStr">
        <is>
          <t>gw95qv</t>
        </is>
      </c>
      <c r="B9588" t="inlineStr">
        <is>
          <t>Starting my PHD on biomedical sciences - Diabetes.</t>
        </is>
      </c>
      <c r="C9588" t="inlineStr">
        <is>
          <t>Hello!
I am a 25 year old medical doctor from Argentina doing my residency in ophtalmology.  My hospital gave me the opportunity to participate in an investigation with a local university about type 2 diabetes. The study centers around the **hormetic response on the beta cell** in murine models. I  would like to know if someone here knows something about this since this is all very new to me and would like to recieve some guidance on current research in type 2 diabetes from another point of view (other lab, country, situation).
&amp;amp;#x200B;
Thank you!
&amp;amp;#x200B;
Juan.
&amp;amp;#x200B;
I could share the link to our foundation but I believe I must not do dat according to this subreddit rules. Sorry I am fairly new to reddit and learning the rules haha.</t>
        </is>
      </c>
      <c r="D9588" t="n">
        <v>1</v>
      </c>
      <c r="E9588" t="n">
        <v>0</v>
      </c>
      <c r="F9588">
        <f>HYPERLINK("https://www.reddit.com/r/diabetes/comments/gw95qv/starting_my_phd_on_biomedical_sciences_diabetes/")</f>
        <v/>
      </c>
      <c r="G9588" t="inlineStr">
        <is>
          <t>2020-06-03 20:18:52</t>
        </is>
      </c>
      <c r="H9588" t="inlineStr">
        <is>
          <t>Type 2</t>
        </is>
      </c>
    </row>
    <row r="9589">
      <c r="A9589" t="inlineStr">
        <is>
          <t>gw9w6d</t>
        </is>
      </c>
      <c r="B9589" t="inlineStr">
        <is>
          <t>Switching to pens?</t>
        </is>
      </c>
      <c r="C9589" t="inlineStr">
        <is>
          <t>I'm using an insulin pump right now but I feel like the pens would be more freeing and leave less scars. Am I wrong? Can someone tell me their experience about this? I'm so tired of putting my infusion site in by hand that I would have 0 issue with the short needles that the pens have. How does it all work?</t>
        </is>
      </c>
      <c r="D9589" t="n">
        <v>1</v>
      </c>
      <c r="E9589" t="n">
        <v>2</v>
      </c>
      <c r="F9589">
        <f>HYPERLINK("https://www.reddit.com/r/diabetes/comments/gw9w6d/switching_to_pens/")</f>
        <v/>
      </c>
      <c r="G9589" t="inlineStr">
        <is>
          <t>2020-06-03 21:07:34</t>
        </is>
      </c>
      <c r="H9589" t="inlineStr">
        <is>
          <t>Type 1</t>
        </is>
      </c>
    </row>
    <row r="9590">
      <c r="A9590" t="inlineStr">
        <is>
          <t>gwdyly</t>
        </is>
      </c>
      <c r="B9590" t="inlineStr">
        <is>
          <t>Is it possible to have ketones even though my sugars are stable and good?</t>
        </is>
      </c>
      <c r="C9590" t="inlineStr">
        <is>
          <t>Hey everyone!
Since yesterday I had this feeling in my throat and the general hot feeling that you get with high sugars/ketones. 
But I’ve been checking all day yesterday and today and my sugars are between 90-120. 
I checked for ketones right now and the results were positive. 
I don’t understand what is going on, anyone has an idea?</t>
        </is>
      </c>
      <c r="D9590" t="n">
        <v>1</v>
      </c>
      <c r="E9590" t="n">
        <v>5</v>
      </c>
      <c r="F9590">
        <f>HYPERLINK("https://www.reddit.com/r/diabetes/comments/gwdyly/is_it_possible_to_have_ketones_even_though_my/")</f>
        <v/>
      </c>
      <c r="G9590" t="inlineStr">
        <is>
          <t>2020-06-04 02:14:21</t>
        </is>
      </c>
      <c r="H9590" t="inlineStr">
        <is>
          <t>Type 1</t>
        </is>
      </c>
    </row>
    <row r="9591">
      <c r="A9591" t="inlineStr">
        <is>
          <t>gwh1h1</t>
        </is>
      </c>
      <c r="B9591" t="inlineStr">
        <is>
          <t>Hyperglycemia advice</t>
        </is>
      </c>
      <c r="C9591" t="inlineStr">
        <is>
          <t>So last night my insulin pen with my Level is broke in the middle of my shot.
Woke up at 19.1 so went for an hour walk thinking that would make it come down. On my walk I thought I was going low so I had a juice box.
I get back home and now bg is 29.2 mmol or 522 U.S. I've taken 8 units Novo rapid no breakfast of course.
Any suggestions from anyone that could get this where it should be?
Thanks</t>
        </is>
      </c>
      <c r="D9591" t="n">
        <v>1</v>
      </c>
      <c r="E9591" t="n">
        <v>6</v>
      </c>
      <c r="F9591">
        <f>HYPERLINK("https://www.reddit.com/r/diabetes/comments/gwh1h1/hyperglycemia_advice/")</f>
        <v/>
      </c>
      <c r="G9591" t="inlineStr">
        <is>
          <t>2020-06-04 06:03:20</t>
        </is>
      </c>
      <c r="H9591" t="inlineStr">
        <is>
          <t>Type 2</t>
        </is>
      </c>
    </row>
    <row r="9592">
      <c r="A9592" t="inlineStr">
        <is>
          <t>gwifio</t>
        </is>
      </c>
      <c r="B9592" t="inlineStr">
        <is>
          <t>Quickest vs Mio infusion sets</t>
        </is>
      </c>
      <c r="C9592" t="inlineStr">
        <is>
          <t>Does anyone know the approximate price different between the Quick set and Mio infusion sets? I use the quick set but I want to try out the mio and I’m wondering about the price. I have insurance but I’m just curious. Thanks!</t>
        </is>
      </c>
      <c r="D9592" t="n">
        <v>1</v>
      </c>
      <c r="E9592" t="n">
        <v>1</v>
      </c>
      <c r="F9592">
        <f>HYPERLINK("https://www.reddit.com/r/diabetes/comments/gwifio/quickest_vs_mio_infusion_sets/")</f>
        <v/>
      </c>
      <c r="G9592" t="inlineStr">
        <is>
          <t>2020-06-04 07:25:19</t>
        </is>
      </c>
      <c r="H9592" t="inlineStr">
        <is>
          <t>Type 1</t>
        </is>
      </c>
    </row>
    <row r="9593">
      <c r="A9593" t="inlineStr">
        <is>
          <t>gwmelx</t>
        </is>
      </c>
      <c r="B9593" t="inlineStr">
        <is>
          <t>Type 1 Diabetics and babies!</t>
        </is>
      </c>
      <c r="C9593" t="inlineStr">
        <is>
          <t>Hello all! Babies are the mind at the moment! I was diagnosed 6 years ago at age 24. I always thought that at a certain point in my life I would have by BG control down and things would follow a predictable pattern. However, I am quickly learning that things are never predictable with BG trends. I am constantly readjusting basal, bolus, and correction rates. I remain active and that helps, but I still do not have as much consistency and stability in my numbers as I would like or thought I would have.  
&amp;amp;#x200B;
With all that being said-- I am terrified to physically carry a child and in all honestly its not an experience that I am desperate to have. I absolutely do want children.  But  at this time, the thought of pregnancy is just so daunting to me. I have seen a lot of positive and encouraging forums for type 1 diabetics who are pregnant, but I want to hear from those who have explored other options. 
Are there any type 1 diabetics out there who have pursued the surrogacy or adoption route? If so, I would love to hear about your experiences!</t>
        </is>
      </c>
      <c r="D9593" t="n">
        <v>1</v>
      </c>
      <c r="E9593" t="n">
        <v>7</v>
      </c>
      <c r="F9593">
        <f>HYPERLINK("https://www.reddit.com/r/diabetes/comments/gwmelx/type_1_diabetics_and_babies/")</f>
        <v/>
      </c>
      <c r="G9593" t="inlineStr">
        <is>
          <t>2020-06-04 10:52:42</t>
        </is>
      </c>
      <c r="H9593" t="inlineStr">
        <is>
          <t>Type 1</t>
        </is>
      </c>
    </row>
    <row r="9594">
      <c r="A9594" t="inlineStr">
        <is>
          <t>gwnglb</t>
        </is>
      </c>
      <c r="B9594" t="inlineStr">
        <is>
          <t>Oh so discouraged</t>
        </is>
      </c>
      <c r="C9594" t="inlineStr">
        <is>
          <t>This previous Saturday I (17) went to the urgent care after a bad day of drinking a crazy amount of water and still being dehydrated. With many other symptoms we didn’t piece together haunting these past couple of months I went in assuming it was a simple imbalance an iv can fix.. but no. I stayed in the hospital for 2 nights with my newfound illness and it obviously has been a rollercoaster of emotions. I’m clearly new to this whole diabetic thing and I’ve been pretty good keeping my head up but just this morning I broke down over breakfast having trouble trying to get my carbs right. It’s only been three days since I left the hospital so it may be a little ridiculous I’m already having trouble with this lifestyle change. What are some good ways to make mealtime easier? Another problem I have is work.. tomorrow is the first day I’m going in after all of this and I don’t know what or how to tell my boss. They are aware of my hospital stay but not of the diagnosis and it will be best if they know. I know it may sound so stupid I’m already struggling less than a week in and there’s plenty of people that have had this for decades and are still going strong.. i just don’t know how they’ve done it and honestly am in awe.</t>
        </is>
      </c>
      <c r="D9594" t="n">
        <v>2</v>
      </c>
      <c r="E9594" t="n">
        <v>27</v>
      </c>
      <c r="F9594">
        <f>HYPERLINK("https://www.reddit.com/r/diabetes/comments/gwnglb/oh_so_discouraged/")</f>
        <v/>
      </c>
      <c r="G9594" t="inlineStr">
        <is>
          <t>2020-06-04 11:45:52</t>
        </is>
      </c>
      <c r="H9594" t="inlineStr">
        <is>
          <t>Type 1</t>
        </is>
      </c>
    </row>
    <row r="9595">
      <c r="A9595" t="inlineStr">
        <is>
          <t>gwnja3</t>
        </is>
      </c>
      <c r="B9595" t="inlineStr">
        <is>
          <t>Why am I so sensitive to my insulin suddenly?</t>
        </is>
      </c>
      <c r="C9595" t="inlineStr">
        <is>
          <t>Over the past few days, my insulin sensitivity has gone crazy. One unit is enough to send me plummeting. I haven't experienced anything like this in 23 years of diabetes. 
I experienced food poisoning last night and not being able to keep much down while my BG was dropping was terrifying. I've been running high now because I'm so scared and cut my basal almost in half, which seems to be where it should be for some reason right now.
Has anyone experienced anything like this? I've used Humalog for years with no issues. Is it possible I have a pancreatic tumor? Or perhaps froze my insulin? I just want to go back to normal and I'm very anxious. :(</t>
        </is>
      </c>
      <c r="D9595" t="n">
        <v>1</v>
      </c>
      <c r="E9595" t="n">
        <v>8</v>
      </c>
      <c r="F9595">
        <f>HYPERLINK("https://www.reddit.com/r/diabetes/comments/gwnja3/why_am_i_so_sensitive_to_my_insulin_suddenly/")</f>
        <v/>
      </c>
      <c r="G9595" t="inlineStr">
        <is>
          <t>2020-06-04 11:49:48</t>
        </is>
      </c>
      <c r="H9595" t="inlineStr">
        <is>
          <t>Type 1</t>
        </is>
      </c>
    </row>
    <row r="9596">
      <c r="A9596" t="inlineStr">
        <is>
          <t>gwvwp8</t>
        </is>
      </c>
      <c r="B9596" t="inlineStr">
        <is>
          <t>After going through a week without my Dexcom, I had labs run today and feel super much better with my A1C of 6.4, my best yet.</t>
        </is>
      </c>
      <c r="C9596" t="inlineStr">
        <is>
          <t>I feel like I just gained a huge victory. My doctor failed to send the right prescription to dexcom and they didnt notify me. So I was expecting my shipment a day before my sensor ended. When it didnt show I called and found out what happened. Then I had to wait two days to get every settled, so I ordered next day shipping. 3 days later I call and Dexcom tells me they never shipped and they will get them shipped today. Two more days and I call back and get told again they never shipped. Getting frustrated because I have gone through 100 test strips and had rough high and lows on manual testing, I pleaded for someone to just do their job so I can have control again. Two days later I finally get my sensors. 
After spending a week of anxiety and fear and blood sugar lows, I finally got my sensors and then today I got my labs back showing a 6.4 A1C. This is the best I have ever had since I went into a diabetic coma and woke up after 3 days of being in the ICU four years ago. Its such a great boost of positive energy!</t>
        </is>
      </c>
      <c r="D9596" t="n">
        <v>1</v>
      </c>
      <c r="E9596" t="n">
        <v>4</v>
      </c>
      <c r="F9596">
        <f>HYPERLINK("https://www.reddit.com/r/diabetes/comments/gwvwp8/after_going_through_a_week_without_my_dexcom_i/")</f>
        <v/>
      </c>
      <c r="G9596" t="inlineStr">
        <is>
          <t>2020-06-04 19:29:00</t>
        </is>
      </c>
      <c r="H9596" t="inlineStr">
        <is>
          <t>Type 1</t>
        </is>
      </c>
    </row>
    <row r="9597">
      <c r="A9597" t="inlineStr">
        <is>
          <t>gwwo5x</t>
        </is>
      </c>
      <c r="B9597" t="inlineStr">
        <is>
          <t>When my numbers are in the 80s-90s I don't feel good.</t>
        </is>
      </c>
      <c r="C9597" t="inlineStr">
        <is>
          <t>I've noticed when my numbers are around 80s-90s I feel like shit. My head hurts I can't focus like everything is fuzzy. When I'm over 100 I fell great.</t>
        </is>
      </c>
      <c r="D9597" t="n">
        <v>1</v>
      </c>
      <c r="E9597" t="n">
        <v>8</v>
      </c>
      <c r="F9597">
        <f>HYPERLINK("https://www.reddit.com/r/diabetes/comments/gwwo5x/when_my_numbers_are_in_the_80s90s_i_dont_feel_good/")</f>
        <v/>
      </c>
      <c r="G9597" t="inlineStr">
        <is>
          <t>2020-06-04 20:17:07</t>
        </is>
      </c>
      <c r="H9597" t="inlineStr">
        <is>
          <t>Type 2</t>
        </is>
      </c>
    </row>
    <row r="9598">
      <c r="A9598" t="inlineStr">
        <is>
          <t>gwxmqt</t>
        </is>
      </c>
      <c r="B9598" t="inlineStr">
        <is>
          <t>Plantar fasciitis or neuropathy?</t>
        </is>
      </c>
      <c r="C9598" t="inlineStr">
        <is>
          <t>A week ago I did a very strenuous work by going up a hill back and forth in an uneven terrain. It was probably 4 or 5 times but I was carrying a cart with heavy stuff. So I put a lot of efforts on my feet specially my arches. 
I’ve been having a burning sensation in my right foot in my arch. Comes and goes for like 4 seconds. The interesting part is that it happens when I’m not standing but lying down. Maybe I’m stretching my foot without knowing. That’s what I tell myself. But I know that neuropathy is a possibility. I don’t know anybody with it but from what I read is a tingling sensation in your feet.
I would like to go see ny doctor but she is booked till next Tuesday. I would like to  know your thoughts - if possible. Thanks</t>
        </is>
      </c>
      <c r="D9598" t="n">
        <v>1</v>
      </c>
      <c r="E9598" t="n">
        <v>6</v>
      </c>
      <c r="F9598">
        <f>HYPERLINK("https://www.reddit.com/r/diabetes/comments/gwxmqt/plantar_fasciitis_or_neuropathy/")</f>
        <v/>
      </c>
      <c r="G9598" t="inlineStr">
        <is>
          <t>2020-06-04 21:21:04</t>
        </is>
      </c>
      <c r="H9598" t="inlineStr">
        <is>
          <t>Type 2</t>
        </is>
      </c>
    </row>
    <row r="9599">
      <c r="A9599" t="inlineStr">
        <is>
          <t>gwzxps</t>
        </is>
      </c>
      <c r="B9599" t="inlineStr">
        <is>
          <t>Emergency Question!</t>
        </is>
      </c>
      <c r="C9599" t="inlineStr">
        <is>
          <t>I was relaxing tonight and I figured I'd treat myself. I ate a big bag of trail mix with lots of sugars and such as a reward for working hard all week. I took the right amount of insulin and my bolus is currently 92.
I was looking at my feet just now and noticed I have a small part of my foot where I can feel a vein pushing against the skin. There isn't much in terms of visual indication other than a little bit of red skin which may very well be from wearing flip flops. I don't have a means of transport and going to the ER to get checked out would be a big commitment that would definitely require waking up someone or calling 911. What should I do?</t>
        </is>
      </c>
      <c r="D9599" t="n">
        <v>1</v>
      </c>
      <c r="E9599" t="n">
        <v>7</v>
      </c>
      <c r="F9599">
        <f>HYPERLINK("https://www.reddit.com/r/diabetes/comments/gwzxps/emergency_question/")</f>
        <v/>
      </c>
      <c r="G9599" t="inlineStr">
        <is>
          <t>2020-06-05 00:25:25</t>
        </is>
      </c>
      <c r="H9599" t="inlineStr">
        <is>
          <t>Type 1</t>
        </is>
      </c>
    </row>
    <row r="9600">
      <c r="A9600" t="inlineStr">
        <is>
          <t>gx1c38</t>
        </is>
      </c>
      <c r="B9600" t="inlineStr">
        <is>
          <t>Android Smartwatch help needed for librelink please!</t>
        </is>
      </c>
      <c r="C9600" t="inlineStr">
        <is>
          <t>Hi guys,
My husband is t1 and has been for 10 years. He got the librelink a few years ago and it's really helped with managing his blood sugars.
We would love to sync his librelink up to a watch to constantly monitor his blood glucose and maybe vibrate/alert him if he's heading towards a hypo.
I've found a lot of info about apple watch being great but he has a Samsung galaxy s10 so I was wondering if anyone had any recommendations please?
I have tried to Google this but as I'm not really tech savvy, I didn't really understand and I'm hoping someone with experience could help!
Thanks so much</t>
        </is>
      </c>
      <c r="D9600" t="n">
        <v>1</v>
      </c>
      <c r="E9600" t="n">
        <v>2</v>
      </c>
      <c r="F9600">
        <f>HYPERLINK("https://www.reddit.com/r/diabetes/comments/gx1c38/android_smartwatch_help_needed_for_librelink/")</f>
        <v/>
      </c>
      <c r="G9600" t="inlineStr">
        <is>
          <t>2020-06-05 02:27:41</t>
        </is>
      </c>
      <c r="H9600" t="inlineStr">
        <is>
          <t>Type 1</t>
        </is>
      </c>
    </row>
    <row r="9601">
      <c r="A9601" t="inlineStr">
        <is>
          <t>gx7fsi</t>
        </is>
      </c>
      <c r="B9601" t="inlineStr">
        <is>
          <t>Is anyone on this sub familiar or struggling with diabulimia?</t>
        </is>
      </c>
      <c r="C9601" t="inlineStr">
        <is>
          <t xml:space="preserve">
So I’m a type one diabetic and have been for almost 12 years. Throughout the years my management of this chronic illness has been rather up and down. As someone who struggles with mental health issues it can be hard to find the energy to care about things like checking my blood sugars or giving insulin. About a year ago I read a story about a girl who almost lost her life to something called diabulimia, it’s something I wasn’t familiar with and had never heard of. Lately I haven’t been taking my insulin and the weight loss feels good but feeling like constant crap from the high blood sugars is hard. I don’t know if this is the right sub for this but I feel so alone in this. I don’t know if I have it or not and I’m not looking for a diagnosis. I just want someone to relate to I guess.</t>
        </is>
      </c>
      <c r="D9601" t="n">
        <v>1</v>
      </c>
      <c r="E9601" t="n">
        <v>16</v>
      </c>
      <c r="F9601">
        <f>HYPERLINK("https://www.reddit.com/r/diabetes/comments/gx7fsi/is_anyone_on_this_sub_familiar_or_struggling_with/")</f>
        <v/>
      </c>
      <c r="G9601" t="inlineStr">
        <is>
          <t>2020-06-05 09:09:00</t>
        </is>
      </c>
      <c r="H9601" t="inlineStr">
        <is>
          <t>Type 1</t>
        </is>
      </c>
    </row>
    <row r="9602">
      <c r="A9602" t="inlineStr">
        <is>
          <t>gx7jwp</t>
        </is>
      </c>
      <c r="B9602" t="inlineStr">
        <is>
          <t>NEED ADVICE DEPERATELY</t>
        </is>
      </c>
      <c r="C9602" t="inlineStr">
        <is>
          <t>I’m on a steroid right now for horrible inflammation. I was put on Prednisone specifically, if that helps. Thus far, I haven’t been able to get my glucose below the early 200s, even though I’ve adjusted how much insulin I get to keep up with the steroid.
I have a pump, so I was able to raise my basal. Nothing. I haven’t eaten any carbs since I started last night. Nothing. I don’t know what to do. Do I just have to put up with this? I have over a week more to go and I already feel terrible.
Please let me know any advice you have for keeping my glucose manageable . I’m really desperate. If knowing the dosage helps, I’ll add it in the comments.</t>
        </is>
      </c>
      <c r="D9602" t="n">
        <v>2</v>
      </c>
      <c r="E9602" t="n">
        <v>15</v>
      </c>
      <c r="F9602">
        <f>HYPERLINK("https://www.reddit.com/r/diabetes/comments/gx7jwp/need_advice_deperately/")</f>
        <v/>
      </c>
      <c r="G9602" t="inlineStr">
        <is>
          <t>2020-06-05 09:15:07</t>
        </is>
      </c>
      <c r="H9602" t="inlineStr">
        <is>
          <t>Type 1</t>
        </is>
      </c>
    </row>
    <row r="9603">
      <c r="A9603" t="inlineStr">
        <is>
          <t>gx8tsr</t>
        </is>
      </c>
      <c r="B9603" t="inlineStr">
        <is>
          <t>Medical bracelet</t>
        </is>
      </c>
      <c r="C9603" t="inlineStr">
        <is>
          <t>So I am a newly diagnosed 21 year old type 1 diabetic. I have been looking to get a medical bracelet or necklace to identify that I'm diabetic just in case anything happens. Anyone have any suggestions of where to look? Any help is greatly appreciated. Also if any veterans have any tips for me... I'll take them because I am struggling with this life style change.</t>
        </is>
      </c>
      <c r="D9603" t="n">
        <v>1</v>
      </c>
      <c r="E9603" t="n">
        <v>13</v>
      </c>
      <c r="F9603">
        <f>HYPERLINK("https://www.reddit.com/r/diabetes/comments/gx8tsr/medical_bracelet/")</f>
        <v/>
      </c>
      <c r="G9603" t="inlineStr">
        <is>
          <t>2020-06-05 10:22:35</t>
        </is>
      </c>
      <c r="H9603" t="inlineStr">
        <is>
          <t>Type 1</t>
        </is>
      </c>
    </row>
    <row r="9604">
      <c r="A9604" t="inlineStr">
        <is>
          <t>gxbofc</t>
        </is>
      </c>
      <c r="B9604" t="inlineStr">
        <is>
          <t>Anyone who switched between Abasaglar and Lantus did your doses stay the same?</t>
        </is>
      </c>
      <c r="C9604" t="inlineStr">
        <is>
          <t>Mine has been changed due to supply issues and they appear to be the same thing, just wondering if anyone who changed had to modify the dosage</t>
        </is>
      </c>
      <c r="D9604" t="n">
        <v>1</v>
      </c>
      <c r="E9604" t="n">
        <v>2</v>
      </c>
      <c r="F9604">
        <f>HYPERLINK("https://www.reddit.com/r/diabetes/comments/gxbofc/anyone_who_switched_between_abasaglar_and_lantus/")</f>
        <v/>
      </c>
      <c r="G9604" t="inlineStr">
        <is>
          <t>2020-06-05 12:51:25</t>
        </is>
      </c>
      <c r="H9604" t="inlineStr">
        <is>
          <t>Type 1</t>
        </is>
      </c>
    </row>
    <row r="9605">
      <c r="A9605" t="inlineStr">
        <is>
          <t>gxbztv</t>
        </is>
      </c>
      <c r="B9605" t="inlineStr">
        <is>
          <t>Does anyone else notice a difference with fish oil?</t>
        </is>
      </c>
      <c r="C9605" t="inlineStr">
        <is>
          <t>So I don't know why but my blood glucose or my insulin absorption/use is better when i take fish oil. Is this normal or have there been any studies.</t>
        </is>
      </c>
      <c r="D9605" t="n">
        <v>1</v>
      </c>
      <c r="E9605" t="n">
        <v>3</v>
      </c>
      <c r="F9605">
        <f>HYPERLINK("https://www.reddit.com/r/diabetes/comments/gxbztv/does_anyone_else_notice_a_difference_with_fish_oil/")</f>
        <v/>
      </c>
      <c r="G9605" t="inlineStr">
        <is>
          <t>2020-06-05 13:08:01</t>
        </is>
      </c>
      <c r="H9605" t="inlineStr">
        <is>
          <t>Type 1</t>
        </is>
      </c>
    </row>
    <row r="9606">
      <c r="A9606" t="inlineStr">
        <is>
          <t>gxdxg5</t>
        </is>
      </c>
      <c r="B9606" t="inlineStr">
        <is>
          <t>Popeyes Chicken Sandwich and T1D</t>
        </is>
      </c>
      <c r="C9606" t="inlineStr">
        <is>
          <t>What's the deal with the spicy chicken sandwich from Popeyes? I had one the other day, and bolused 7U, and ended up about 280mg/dl an hour after eating it. I had another one today, and decided to up my bolus to 10U to prevent the mishap from the previous sandwich. About an hour and a half after eating, I'm ↑  318mg/dl. The sandwich itself has 50 carbs, so what did I do wrong? I took double the amount of insulin I should be taking just for the sandwich, yet I have the same outcome as I did a couple days ago.</t>
        </is>
      </c>
      <c r="D9606" t="n">
        <v>1</v>
      </c>
      <c r="E9606" t="n">
        <v>3</v>
      </c>
      <c r="F9606">
        <f>HYPERLINK("https://www.reddit.com/r/diabetes/comments/gxdxg5/popeyes_chicken_sandwich_and_t1d/")</f>
        <v/>
      </c>
      <c r="G9606" t="inlineStr">
        <is>
          <t>2020-06-05 14:52:32</t>
        </is>
      </c>
      <c r="H9606" t="inlineStr">
        <is>
          <t>Type 1</t>
        </is>
      </c>
    </row>
    <row r="9607">
      <c r="A9607" t="inlineStr">
        <is>
          <t>gxizxo</t>
        </is>
      </c>
      <c r="B9607" t="inlineStr">
        <is>
          <t>My grandpa was send to hematologists for anemia he also has kidney disease why dr didn’t send him to nephrologist but send him to hematologist</t>
        </is>
      </c>
      <c r="C9607" t="inlineStr">
        <is>
          <t>My grandpa was send to hematologists for anemia he also has kidney disease why dr didn’t send him to nephrologist but send him to hematologist</t>
        </is>
      </c>
      <c r="D9607" t="n">
        <v>1</v>
      </c>
      <c r="E9607" t="n">
        <v>7</v>
      </c>
      <c r="F9607">
        <f>HYPERLINK("https://www.reddit.com/r/diabetes/comments/gxizxo/my_grandpa_was_send_to_hematologists_for_anemia/")</f>
        <v/>
      </c>
      <c r="G9607" t="inlineStr">
        <is>
          <t>2020-06-05 19:57:07</t>
        </is>
      </c>
      <c r="H9607" t="inlineStr">
        <is>
          <t>Type 1.5/LADA</t>
        </is>
      </c>
    </row>
    <row r="9608">
      <c r="A9608" t="inlineStr">
        <is>
          <t>gxjcmm</t>
        </is>
      </c>
      <c r="B9608" t="inlineStr">
        <is>
          <t>Is there anyone who wouldn't recommend a CGM?</t>
        </is>
      </c>
      <c r="C9608" t="inlineStr">
        <is>
          <t>I feel like in the US getting a cgm feels like an extra thing you have to fight your insurance for. I held off for years because I though I could test enough, it's a luxury I don't need. Now I don't know how some people still get by without. Is it something more people should be fighting for excess to, or is it just some fancy extra piece of tech?</t>
        </is>
      </c>
      <c r="D9608" t="n">
        <v>1</v>
      </c>
      <c r="E9608" t="n">
        <v>14</v>
      </c>
      <c r="F9608">
        <f>HYPERLINK("https://www.reddit.com/r/diabetes/comments/gxjcmm/is_there_anyone_who_wouldnt_recommend_a_cgm/")</f>
        <v/>
      </c>
      <c r="G9608" t="inlineStr">
        <is>
          <t>2020-06-05 20:19:52</t>
        </is>
      </c>
      <c r="H9608" t="inlineStr">
        <is>
          <t>Type 1</t>
        </is>
      </c>
    </row>
    <row r="9609">
      <c r="A9609" t="inlineStr">
        <is>
          <t>gxkouk</t>
        </is>
      </c>
      <c r="B9609" t="inlineStr">
        <is>
          <t>High A1c, family history with kidney and heart failure, I'm scared</t>
        </is>
      </c>
      <c r="C9609" t="inlineStr">
        <is>
          <t>I have been a diabetic since i was 4, I'm now 20
My dad died due to diabetic kidney and heart failures
And my A1c is currently 9.4%
I'm scared :( i feel that I will lose my kidney soon</t>
        </is>
      </c>
      <c r="D9609" t="n">
        <v>1</v>
      </c>
      <c r="E9609" t="n">
        <v>4</v>
      </c>
      <c r="F9609">
        <f>HYPERLINK("https://www.reddit.com/r/diabetes/comments/gxkouk/high_a1c_family_history_with_kidney_and_heart/")</f>
        <v/>
      </c>
      <c r="G9609" t="inlineStr">
        <is>
          <t>2020-06-05 21:54:52</t>
        </is>
      </c>
      <c r="H9609" t="inlineStr">
        <is>
          <t>Type 1</t>
        </is>
      </c>
    </row>
    <row r="9610">
      <c r="A9610" t="inlineStr">
        <is>
          <t>gxmf8i</t>
        </is>
      </c>
      <c r="B9610" t="inlineStr">
        <is>
          <t>Accidentally took 2 Metformin 850mg pills</t>
        </is>
      </c>
      <c r="C9610" t="inlineStr">
        <is>
          <t>Recently diagnosed. I’ve been taking these twice a day for the past few weeks in the morning and evenings. 
Tonight I had one out to take with my food. Made dinner, took one from the bottle than was eating, saw the pill from earlier and took that one too. I wasn’t thinking and as soon as I realized it I tried googling it but had some varied results. 
Is it worth contacting my doctor in the morning? I saw something called lactic acidosis. I feel fine, it’s been 6 hours. 
Should I be worried?</t>
        </is>
      </c>
      <c r="D9610" t="n">
        <v>1</v>
      </c>
      <c r="E9610" t="n">
        <v>2</v>
      </c>
      <c r="F9610">
        <f>HYPERLINK("https://www.reddit.com/r/diabetes/comments/gxmf8i/accidentally_took_2_metformin_850mg_pills/")</f>
        <v/>
      </c>
      <c r="G9610" t="inlineStr">
        <is>
          <t>2020-06-06 00:21:54</t>
        </is>
      </c>
      <c r="H9610" t="inlineStr">
        <is>
          <t>Type 2</t>
        </is>
      </c>
    </row>
    <row r="9611">
      <c r="A9611" t="inlineStr">
        <is>
          <t>gxuccw</t>
        </is>
      </c>
      <c r="B9611" t="inlineStr">
        <is>
          <t>Is 85 blood sugar after let’s say 6-8 hours of meal or fasting (morning sugar check) is too low ?</t>
        </is>
      </c>
      <c r="C9611" t="inlineStr">
        <is>
          <t>So if I take two pills suggested by doctor then my sugar after meal (after 2 hours) is approx ~145. And after 6/8 hours or fasting is around ~85 (I check with contour next)... my mother who is also diabetic told me it’s too low and I should have something and try to balance it between 100-120 (fasting)... now if I take 1 pill then my sugar after meal is approx ~220 and fasting is around ~100 ...
I know I should talk to doctor but wanted your advice and opinion....</t>
        </is>
      </c>
      <c r="D9611" t="n">
        <v>1</v>
      </c>
      <c r="E9611" t="n">
        <v>3</v>
      </c>
      <c r="F9611">
        <f>HYPERLINK("https://www.reddit.com/r/diabetes/comments/gxuccw/is_85_blood_sugar_after_lets_say_68_hours_of_meal/")</f>
        <v/>
      </c>
      <c r="G9611" t="inlineStr">
        <is>
          <t>2020-06-06 09:44:01</t>
        </is>
      </c>
      <c r="H9611" t="inlineStr">
        <is>
          <t>Type 2</t>
        </is>
      </c>
    </row>
    <row r="9612">
      <c r="A9612" t="inlineStr">
        <is>
          <t>gxxpqx</t>
        </is>
      </c>
      <c r="B9612" t="inlineStr">
        <is>
          <t>Low anxiety is slowly killing me .. has anyone stopped theirs ? How so?</t>
        </is>
      </c>
      <c r="C9612" t="inlineStr">
        <is>
          <t>Hello , to keep this short once during night a few years ago my sugar was low . I kept eating and eating nothing was bringing it up every 15 or 20 minutes testing and it was staying the same 50 and 70 . It was the worst night of my life I drank 8 juice boxes had pop tarts, cookies ,and my behind paid the price . This must have went on for at least 6 hours.
Now in fear of this night and going low I always always am too afraid to count for all my carbs always leaving out 10 or 14 just in case . Always so obsessed on when I eat , and how much active insulin i have. I test at least 10 times a day usually and if I eat and 50 minutes later i’m 120 or 100 i freak out and eat a lot and make myself high . I am not proud of this but it has pretty much taken over my life .  Eating very few carbs is the only way i’ve had any relief in this . but truth be told I just want to eat normal foods without anxiety . thank you and take care .</t>
        </is>
      </c>
      <c r="D9612" t="n">
        <v>1</v>
      </c>
      <c r="E9612" t="n">
        <v>4</v>
      </c>
      <c r="F9612">
        <f>HYPERLINK("https://www.reddit.com/r/diabetes/comments/gxxpqx/low_anxiety_is_slowly_killing_me_has_anyone/")</f>
        <v/>
      </c>
      <c r="G9612" t="inlineStr">
        <is>
          <t>2020-06-06 12:47:51</t>
        </is>
      </c>
      <c r="H9612" t="inlineStr">
        <is>
          <t>Type 1</t>
        </is>
      </c>
    </row>
    <row r="9613">
      <c r="A9613" t="inlineStr">
        <is>
          <t>gxzidc</t>
        </is>
      </c>
      <c r="B9613" t="inlineStr">
        <is>
          <t>Best tasting glucose gel</t>
        </is>
      </c>
      <c r="C9613" t="inlineStr">
        <is>
          <t>Any recommendations for the best tasting glucose gels? Are the ones made for sport recovery any good?
My friend’s dad is getting help, but right now is dealing with severe lows accompanied by nausea. He is older and requires a soft diet. The gels work the fastest but he is starting to refuse them because of the taste. Thanks for any ideas.</t>
        </is>
      </c>
      <c r="D9613" t="n">
        <v>1</v>
      </c>
      <c r="E9613" t="n">
        <v>3</v>
      </c>
      <c r="F9613">
        <f>HYPERLINK("https://www.reddit.com/r/diabetes/comments/gxzidc/best_tasting_glucose_gel/")</f>
        <v/>
      </c>
      <c r="G9613" t="inlineStr">
        <is>
          <t>2020-06-06 14:34:19</t>
        </is>
      </c>
      <c r="H9613" t="inlineStr">
        <is>
          <t>Type 2</t>
        </is>
      </c>
    </row>
    <row r="9614">
      <c r="A9614" t="inlineStr">
        <is>
          <t>gxzmqr</t>
        </is>
      </c>
      <c r="B9614" t="inlineStr">
        <is>
          <t>Diabetes and family</t>
        </is>
      </c>
      <c r="C9614" t="inlineStr">
        <is>
          <t>First actual post on here... Go easy and please let me know if this post is not allowed before removing.
I'm trying to understand something I experience daily in my home and was hoping to find some relatable stories or information.
Let me begin... My wife. I love her with every last fiber of my being. She saved my life by agreeing to be my boyfriend about 17 years ago and she accepted my marriage proposal. She has birthed our two awesome kids and even let me get a dog. She helped me alienate my extremely toxic family (trust me. I needed to), bad friends, drugs and alcohol, and everything else that would have either landed me in jail or dead. I owe my life to this woman. 
But, something changed after my last bad diabetic low episode. Two and a half weeks ago, I went unconscious and had a decent sized seizure. We all know being diabetic literally comes with highs and lows we either can't avoid or by making an error somewhere in food consumption or insulin doses. And somehow this has turned into all my fault. So much so, she's been pissed at me for the last two and a half weeks if she doesn't see me shoving my face with whatever food she brings, if I'm not constantly checking my numbers on my CGM or finger pokes, and she blows my phone up 1,000 times a day if we aren't together. 
My question to anyone willing to answer is:
How would I be able to convince my wife I'll be fine and can manage this disease just the same as I have been without her being completely overbearing? I understand she cares and is only looking out for me, but, holy smothering, Batman. I'm going to my doctor's and endocrinologist appointments and making sure I'm on top of things. But she's been forcing me to keep my numbers elevated and I'm not sure how to let her know she's making things worse. Please, any advice would be greatly appreciated.</t>
        </is>
      </c>
      <c r="D9614" t="n">
        <v>1</v>
      </c>
      <c r="E9614" t="n">
        <v>5</v>
      </c>
      <c r="F9614">
        <f>HYPERLINK("https://www.reddit.com/r/diabetes/comments/gxzmqr/diabetes_and_family/")</f>
        <v/>
      </c>
      <c r="G9614" t="inlineStr">
        <is>
          <t>2020-06-06 14:41:43</t>
        </is>
      </c>
      <c r="H9614" t="inlineStr">
        <is>
          <t>Type 1.5/LADA</t>
        </is>
      </c>
    </row>
    <row r="9615">
      <c r="A9615" t="inlineStr">
        <is>
          <t>gy090s</t>
        </is>
      </c>
      <c r="B9615" t="inlineStr">
        <is>
          <t>Mixed Type</t>
        </is>
      </c>
      <c r="C9615" t="inlineStr">
        <is>
          <t>It’s a challenge to be in the little talked about mixed category.
I was originally diagnosed as type 2, and put on oral meds. But I was never overweight and when I switched to an endo for care, she was highly suspicious of LADA. But I had normal C peptide and no antibodies. So she treated me as type 2. I went through a lot of the oral meds and they were not effective in keeping my A1C under 7.0 even though, in theory, they should have.
I switched endos for insurance reasons and went through another round of testing to make sure it wasn’t LADA. It still wasn’t. And when all oral meds were exhausted, I got switched to Trulicity which was a terrible experience. After that, I got switched to a combo of Januvia and low unit dose of long acting insulin. My official diagnosis went from type 2 to mixed type. 
It’s been about 2 years in this treatment regimen and it’s been pretty smooth. My doctor has never instructed me to be super restrictive with my diet or be strict with frequent testing. My A1C has hovered around 6.5 and while I don’t do specific carb counting, I limit sweets, junk and try stick to under 70 carbs per meal. But I will occasionally indulge in a dessert when I balance it out with a low carb dinner. It’s not a perfect system but I am honest with my doctor about it and she has no issues with the way I am managing it since my A1C had continued to stay stable. 
It’s definitely not easy to explain this to people and I sometimes feel frustrated having to end up educating people that there are more categories than the type 1 and type 2 diabetes. And it’s hard to not to fit in one of the typical diabetes boxes.
I just wonder if there are others who are in this position?</t>
        </is>
      </c>
      <c r="D9615" t="n">
        <v>1</v>
      </c>
      <c r="E9615" t="n">
        <v>5</v>
      </c>
      <c r="F9615">
        <f>HYPERLINK("https://www.reddit.com/r/diabetes/comments/gy090s/mixed_type/")</f>
        <v/>
      </c>
      <c r="G9615" t="inlineStr">
        <is>
          <t>2020-06-06 15:20:23</t>
        </is>
      </c>
      <c r="H9615" t="inlineStr">
        <is>
          <t>Type 1.5/LADA</t>
        </is>
      </c>
    </row>
    <row r="9616">
      <c r="A9616" t="inlineStr">
        <is>
          <t>gy1dks</t>
        </is>
      </c>
      <c r="B9616" t="inlineStr">
        <is>
          <t>Does anyone have any tricks on how to get better control?</t>
        </is>
      </c>
      <c r="C9616" t="inlineStr">
        <is>
          <t>English is not my first Language, so please excuse me for possible bad grammar/spelling.
So this is not about difficulties getting the settings in my insulin Pump or something like that, but about my inability to get my ass up and test regularily and care for myself.  
I'm currently going through a hard time with my emotions and psychological problems and I just can't get my diabetes under control. I have diabetes type 1 for 16 years now and I completely lost control. I was in the hospital for a week at the start of this year, my HBA1C was at 14. I got a bit better, got down to 9 again but I'm loosing control again.  
My parents are worried but don't see my psychological problems and just think that I'm lazy. That might not be entirely wrong, but it's just not everything.   
To my questions: I'm sure somebody of you went through the same thing and I need advice on how I can escape this habit of just ignoring it. What helped you overcome this phase? What could I do, I feel like i've tried everything but I just can't get myself to make it.
TIA, Aaron</t>
        </is>
      </c>
      <c r="D9616" t="n">
        <v>1</v>
      </c>
      <c r="E9616" t="n">
        <v>7</v>
      </c>
      <c r="F9616">
        <f>HYPERLINK("https://www.reddit.com/r/diabetes/comments/gy1dks/does_anyone_have_any_tricks_on_how_to_get_better/")</f>
        <v/>
      </c>
      <c r="G9616" t="inlineStr">
        <is>
          <t>2020-06-06 16:28:29</t>
        </is>
      </c>
      <c r="H9616" t="inlineStr">
        <is>
          <t>Type 1</t>
        </is>
      </c>
    </row>
    <row r="9617">
      <c r="A9617" t="inlineStr">
        <is>
          <t>gy5a72</t>
        </is>
      </c>
      <c r="B9617" t="inlineStr">
        <is>
          <t>Diabetes related numbness in thighs/legs</t>
        </is>
      </c>
      <c r="C9617" t="inlineStr">
        <is>
          <t>Hey guys, wondering if you have ever felt anything like this. My father’s not the type to go to the doctor regularly. He has diabetes (isn’t sure what type) &amp;amp; has this weird feeling in his leg for years &amp;amp; years. How he described it to me is that the outter side of his thigh feels different. Sort of feels numb but isn’t actually numb but the feeling is definitely different from normal. It is slowly increasing down his leg also. I’m asking cause I’m worried this may affect him in the future
(My dad is not sure what type diabetes he has but I put type 1 as the flair because it said a flare is required)</t>
        </is>
      </c>
      <c r="D9617" t="n">
        <v>1</v>
      </c>
      <c r="E9617" t="n">
        <v>7</v>
      </c>
      <c r="F9617">
        <f>HYPERLINK("https://www.reddit.com/r/diabetes/comments/gy5a72/diabetes_related_numbness_in_thighslegs/")</f>
        <v/>
      </c>
      <c r="G9617" t="inlineStr">
        <is>
          <t>2020-06-06 20:43:34</t>
        </is>
      </c>
      <c r="H9617" t="inlineStr">
        <is>
          <t>Type 1</t>
        </is>
      </c>
    </row>
    <row r="9618">
      <c r="A9618" t="inlineStr">
        <is>
          <t>gy5k1u</t>
        </is>
      </c>
      <c r="B9618" t="inlineStr">
        <is>
          <t>Newly Diagnosed - Not coping well</t>
        </is>
      </c>
      <c r="C9618" t="inlineStr">
        <is>
          <t>I’m new here and just got diagnosed this past week with type 2 diabetes. I’m 28, female, Caucasian. I’m having a hard time coping with it. With everything else going on in the world, my diagnosis seems insignificant. I’m at a point right now where I don’t have to take insulin, but am taking metformin and trying diet changes. I know everyone is different, but it’s hard to find things that work. I feel like I’m always hungry and always craving bread. What would you suggest for me to try? Where do I go for support? This is extremely hard for me and I’m trying my best...</t>
        </is>
      </c>
      <c r="D9618" t="n">
        <v>1</v>
      </c>
      <c r="E9618" t="n">
        <v>18</v>
      </c>
      <c r="F9618">
        <f>HYPERLINK("https://www.reddit.com/r/diabetes/comments/gy5k1u/newly_diagnosed_not_coping_well/")</f>
        <v/>
      </c>
      <c r="G9618" t="inlineStr">
        <is>
          <t>2020-06-06 21:04:18</t>
        </is>
      </c>
      <c r="H9618" t="inlineStr">
        <is>
          <t>Type 2</t>
        </is>
      </c>
    </row>
    <row r="9619">
      <c r="A9619" t="inlineStr">
        <is>
          <t>gybqd5</t>
        </is>
      </c>
      <c r="B9619" t="inlineStr">
        <is>
          <t>Found about Glimp today, few questions</t>
        </is>
      </c>
      <c r="C9619" t="inlineStr">
        <is>
          <t>Hi! I've has diabetes for 13 years and I have been using sensors from time to time in last year. Can't buy sensors in my country yet so I need to get them drom Germany. Anyway I download Glimp today and it's been showing same results as my reader. I would use Glimp only when in school or when I'm out since I don't want to risk losing reader.
1. Is it accurate?
2. Do I need to do anything oe everything is set?
3. I've read that Glimp doesn't support 14 days sensors ( most of that is year old ), did they started supporting it or?
4. Any calibration I have to do?
Thanks!</t>
        </is>
      </c>
      <c r="D9619" t="n">
        <v>1</v>
      </c>
      <c r="E9619" t="n">
        <v>2</v>
      </c>
      <c r="F9619">
        <f>HYPERLINK("https://www.reddit.com/r/diabetes/comments/gybqd5/found_about_glimp_today_few_questions/")</f>
        <v/>
      </c>
      <c r="G9619" t="inlineStr">
        <is>
          <t>2020-06-07 05:46:41</t>
        </is>
      </c>
      <c r="H9619" t="inlineStr">
        <is>
          <t>Type 1</t>
        </is>
      </c>
    </row>
    <row r="9620">
      <c r="A9620" t="inlineStr">
        <is>
          <t>gycd7o</t>
        </is>
      </c>
      <c r="B9620" t="inlineStr">
        <is>
          <t>Do I need a glucose meter</t>
        </is>
      </c>
      <c r="C9620" t="inlineStr">
        <is>
          <t>It has not been mentioned at all by my pcp or endocrinologist. My last checkup my level was a 7.0 and I’m newly diagnosed. I’m starting trulicity as well. Do I need to have one or just wait for my next checkup?</t>
        </is>
      </c>
      <c r="D9620" t="n">
        <v>1</v>
      </c>
      <c r="E9620" t="n">
        <v>10</v>
      </c>
      <c r="F9620">
        <f>HYPERLINK("https://www.reddit.com/r/diabetes/comments/gycd7o/do_i_need_a_glucose_meter/")</f>
        <v/>
      </c>
      <c r="G9620" t="inlineStr">
        <is>
          <t>2020-06-07 06:27:20</t>
        </is>
      </c>
      <c r="H9620" t="inlineStr">
        <is>
          <t>Type 2</t>
        </is>
      </c>
    </row>
    <row r="9621">
      <c r="A9621" t="inlineStr">
        <is>
          <t>gyf0yp</t>
        </is>
      </c>
      <c r="B9621" t="inlineStr">
        <is>
          <t>Bag or pack recommendation</t>
        </is>
      </c>
      <c r="C9621" t="inlineStr">
        <is>
          <t>I'm in the process of getting an insulin pump.  What do you guys do when you don't have pockets for your monitor receivers?  Fanny pack?  I've looked online for diabetic specific bags but just came up with supply cases.</t>
        </is>
      </c>
      <c r="D9621" t="n">
        <v>1</v>
      </c>
      <c r="E9621" t="n">
        <v>6</v>
      </c>
      <c r="F9621">
        <f>HYPERLINK("https://www.reddit.com/r/diabetes/comments/gyf0yp/bag_or_pack_recommendation/")</f>
        <v/>
      </c>
      <c r="G9621" t="inlineStr">
        <is>
          <t>2020-06-07 09:05:51</t>
        </is>
      </c>
      <c r="H9621" t="inlineStr">
        <is>
          <t>Type 2</t>
        </is>
      </c>
    </row>
    <row r="9622">
      <c r="A9622" t="inlineStr">
        <is>
          <t>gygs3n</t>
        </is>
      </c>
      <c r="B9622" t="inlineStr">
        <is>
          <t>Looking for resources for healthy eating</t>
        </is>
      </c>
      <c r="C9622" t="inlineStr">
        <is>
          <t>I've been scouring the internet looking for a great book based around healthy eating for diabetics. There are SO MANY out there as I'm sure you are aware. 
I don't want just a recipe book, but a book focused on how to change your eating habits. 
I want to eat less sugar and carbs, but I don't want keto because I don't think that would be sustainable for me personally. 
Bonus points if the book offers advice on how to eat when you're a busy single Mom who works full time and takes care of her child and a parent. 
A lot of the books I've looked at have great recipes, if you're a blogger surrounded by farmers markets that are open year round and literally all you do is cook the entire time you're awake...again not sustainable or realistic for me.  I'm a good cook and I enjoy cooking, but after working all day, taking care of a child and helping out a parent, sometimes quick solutions would be nice (i.e so maybe a book that also includes meal prepping advice?)
So, any books/websites/programs you just love? Send them my way. Thanks in advance!</t>
        </is>
      </c>
      <c r="D9622" t="n">
        <v>1</v>
      </c>
      <c r="E9622" t="n">
        <v>4</v>
      </c>
      <c r="F9622">
        <f>HYPERLINK("https://www.reddit.com/r/diabetes/comments/gygs3n/looking_for_resources_for_healthy_eating/")</f>
        <v/>
      </c>
      <c r="G9622" t="inlineStr">
        <is>
          <t>2020-06-07 10:45:21</t>
        </is>
      </c>
      <c r="H9622" t="inlineStr">
        <is>
          <t>Type 2</t>
        </is>
      </c>
    </row>
    <row r="9623">
      <c r="A9623" t="inlineStr">
        <is>
          <t>gyhkj4</t>
        </is>
      </c>
      <c r="B9623" t="inlineStr">
        <is>
          <t>Service dogs for T1s</t>
        </is>
      </c>
      <c r="C9623" t="inlineStr">
        <is>
          <t>I'm considering getting a service dog. I've used A CGM before and found it to be disastrously inaccurate - it kept me up all night with false alarms, so... no thanks. My A1C is a bit below 6, and I keep myself close to too low all the time - I've had occasional bad hypoglycemia. My doctor's solution is to let my A1C rise. I'd rather get a dog to warn me when I'm dropping too much too fast. I don't particularly like or hate dogs. (My wife loves them. My cats will freak out but they're a bit of a captive audience.) Anyone go through this process? Thoughts? Suggestions?</t>
        </is>
      </c>
      <c r="D9623" t="n">
        <v>1</v>
      </c>
      <c r="E9623" t="n">
        <v>10</v>
      </c>
      <c r="F9623">
        <f>HYPERLINK("https://www.reddit.com/r/diabetes/comments/gyhkj4/service_dogs_for_t1s/")</f>
        <v/>
      </c>
      <c r="G9623" t="inlineStr">
        <is>
          <t>2020-06-07 11:29:29</t>
        </is>
      </c>
      <c r="H9623" t="inlineStr">
        <is>
          <t>Type 1</t>
        </is>
      </c>
    </row>
    <row r="9624">
      <c r="A9624" t="inlineStr">
        <is>
          <t>gyhwnj</t>
        </is>
      </c>
      <c r="B9624" t="inlineStr">
        <is>
          <t>Got my Dexcom6! Love it but...</t>
        </is>
      </c>
      <c r="C9624" t="inlineStr">
        <is>
          <t>I absolutely love my Dexcom6. But is there any way to shut it off the alarm for say, 20 minutes? It woke me last night. I had an unexplainable high that shot past 220 at 4:30 in the morning. Fine, cool, took 6 units but the thing kept ringing me every 5 minutes and kept me up the whole time. I don't want to put it in the living room in case I have a scary low, I need it.</t>
        </is>
      </c>
      <c r="D9624" t="n">
        <v>1</v>
      </c>
      <c r="E9624" t="n">
        <v>5</v>
      </c>
      <c r="F9624">
        <f>HYPERLINK("https://www.reddit.com/r/diabetes/comments/gyhwnj/got_my_dexcom6_love_it_but/")</f>
        <v/>
      </c>
      <c r="G9624" t="inlineStr">
        <is>
          <t>2020-06-07 11:47:56</t>
        </is>
      </c>
      <c r="H9624" t="inlineStr">
        <is>
          <t>Type 2</t>
        </is>
      </c>
    </row>
    <row r="9625">
      <c r="A9625" t="inlineStr">
        <is>
          <t>gyihde</t>
        </is>
      </c>
      <c r="B9625" t="inlineStr">
        <is>
          <t>Long haul trucking in the US with type 1?</t>
        </is>
      </c>
      <c r="C9625" t="inlineStr">
        <is>
          <t>I'm genuinely tired of where I'm at in the world right now, and I've been talking to my wife about her and I just going to a school, getting CDLs and driving long haul as a team. Find our place in the world while we work, you know?
How would that work out with me being diabetic? Do trucking companies give healthcare? Can I pick up insulin from any pharmacy I happen to be near? What about pump supplies that come in the mail?</t>
        </is>
      </c>
      <c r="D9625" t="n">
        <v>1</v>
      </c>
      <c r="E9625" t="n">
        <v>9</v>
      </c>
      <c r="F9625">
        <f>HYPERLINK("https://www.reddit.com/r/diabetes/comments/gyihde/long_haul_trucking_in_the_us_with_type_1/")</f>
        <v/>
      </c>
      <c r="G9625" t="inlineStr">
        <is>
          <t>2020-06-07 12:19:15</t>
        </is>
      </c>
      <c r="H9625" t="inlineStr">
        <is>
          <t>Type 1</t>
        </is>
      </c>
    </row>
    <row r="9626">
      <c r="A9626" t="inlineStr">
        <is>
          <t>gyjfvq</t>
        </is>
      </c>
      <c r="B9626" t="inlineStr">
        <is>
          <t>when a dexcom transmitter dies</t>
        </is>
      </c>
      <c r="C9626" t="inlineStr">
        <is>
          <t>does it just die and you gotta figure it out yourself, or is there any warnings beforehand?</t>
        </is>
      </c>
      <c r="D9626" t="n">
        <v>1</v>
      </c>
      <c r="E9626" t="n">
        <v>7</v>
      </c>
      <c r="F9626">
        <f>HYPERLINK("https://www.reddit.com/r/diabetes/comments/gyjfvq/when_a_dexcom_transmitter_dies/")</f>
        <v/>
      </c>
      <c r="G9626" t="inlineStr">
        <is>
          <t>2020-06-07 13:10:17</t>
        </is>
      </c>
      <c r="H9626" t="inlineStr">
        <is>
          <t>Type 1.5/LADA</t>
        </is>
      </c>
    </row>
    <row r="9627">
      <c r="A9627" t="inlineStr">
        <is>
          <t>gyn35c</t>
        </is>
      </c>
      <c r="B9627" t="inlineStr">
        <is>
          <t>Went high, taking days to recover (kinda long but shorter one at the bottom)</t>
        </is>
      </c>
      <c r="C9627" t="inlineStr">
        <is>
          <t>Typing on a phone so sorry for any errors in the text.
So friday night I went pretty high (21+ libre couldnt read how high I had been over night the next morning, I didnt know I had gone high until the morning but then I woke up at about 7.30am for 1.5 hours, I had my insulin and a small breakfast and the huge correction factor from novorapid. 
Then I fell back asleep until 1.15 when I had a low. But the whole day I was dizzy, feeling sick, almost vomiting I've been in bed almost all weekend (monday miday now) I ended up taking a pill my diabetes nurse prescribed me for nausea+vomiting 
Last time I went above 20 was in april so not too long ago but I'm still feeling pretty crap and sick has anyone else taken this long to recover from a high? I feel almost worse than when I got DKA in 2017.
I've had no ketones but I didnt check friday night
Tltr
Had a bad high overnight, bloodsugars are still going a bit up and down 3 days later. I'm feeling really sick, has anyone else taken a few days to recover from a bad high. (Didnt have ketone strips and didnt check ketones that night because I didnt realize I should've
Sorry to explain badly but just a bit confused by it all!</t>
        </is>
      </c>
      <c r="D9627" t="n">
        <v>1</v>
      </c>
      <c r="E9627" t="n">
        <v>2</v>
      </c>
      <c r="F9627">
        <f>HYPERLINK("https://www.reddit.com/r/diabetes/comments/gyn35c/went_high_taking_days_to_recover_kinda_long_but/")</f>
        <v/>
      </c>
      <c r="G9627" t="inlineStr">
        <is>
          <t>2020-06-07 16:17:33</t>
        </is>
      </c>
      <c r="H9627" t="inlineStr">
        <is>
          <t>Type 1</t>
        </is>
      </c>
    </row>
    <row r="9628">
      <c r="A9628" t="inlineStr">
        <is>
          <t>gyprwt</t>
        </is>
      </c>
      <c r="B9628" t="inlineStr">
        <is>
          <t>constant high blood sugar</t>
        </is>
      </c>
      <c r="C9628" t="inlineStr">
        <is>
          <t>does anyone else have blood sugar that is just constantly high? I am type 1 and I’ve always had issues with my sugars being above 200 a lot of the time but everyday this past week I have not been below 250, except for once. I’ve been eating less and eating low carbs or just salads yet no matter how much insulin I give myself I can’t get a healthy number. I’ve been in the 300s and have even reached the 400s a couple times this past week :/ I feel like im at a loss, I’m constantly giving insulin and it makes no difference. I thought it might of been a problem with my pump site so I changed it and even opened a new bottle of insulin just incase, and I’ve also upped my basal rate but no luck at all. I don’t know any other diabetics who go through this and I feel like im all alone here.</t>
        </is>
      </c>
      <c r="D9628" t="n">
        <v>1</v>
      </c>
      <c r="E9628" t="n">
        <v>34</v>
      </c>
      <c r="F9628">
        <f>HYPERLINK("https://www.reddit.com/r/diabetes/comments/gyprwt/constant_high_blood_sugar/")</f>
        <v/>
      </c>
      <c r="G9628" t="inlineStr">
        <is>
          <t>2020-06-07 19:03:09</t>
        </is>
      </c>
      <c r="H9628" t="inlineStr">
        <is>
          <t>Type 1</t>
        </is>
      </c>
    </row>
    <row r="9629">
      <c r="A9629" t="inlineStr">
        <is>
          <t>gyqkef</t>
        </is>
      </c>
      <c r="B9629" t="inlineStr">
        <is>
          <t>Physical Work as Type 1?</t>
        </is>
      </c>
      <c r="C9629" t="inlineStr">
        <is>
          <t>Hi all,
Work has asked if I'd be willing to do FIFO work (fly in, fly out). It's often long days of physical work (12 hours) in remote areas. I'm currently on a pump but I'm due to get a new one in a couple of months. 
Are there any other people who do FIFO work or something similar? If so, how do you manage your condition? I know there are some people that do it but I just want a little more information :)
Thanks.</t>
        </is>
      </c>
      <c r="D9629" t="n">
        <v>1</v>
      </c>
      <c r="E9629" t="n">
        <v>8</v>
      </c>
      <c r="F9629">
        <f>HYPERLINK("https://www.reddit.com/r/diabetes/comments/gyqkef/physical_work_as_type_1/")</f>
        <v/>
      </c>
      <c r="G9629" t="inlineStr">
        <is>
          <t>2020-06-07 19:55:29</t>
        </is>
      </c>
      <c r="H9629" t="inlineStr">
        <is>
          <t>Type 1</t>
        </is>
      </c>
    </row>
    <row r="9630">
      <c r="A9630" t="inlineStr">
        <is>
          <t>gyqy5o</t>
        </is>
      </c>
      <c r="B9630" t="inlineStr">
        <is>
          <t>Diabetes for 20 years. Have not had any insulin for 48hrs, blood sugar 3.5mM.</t>
        </is>
      </c>
      <c r="C9630" t="inlineStr">
        <is>
          <t>I am 30 years old and have had diabetes since I was 11. C-Peptide 0. No functioning beta cells. I have been tested for antibodies for T1 and that has all come back negative.
Under fasting conditions I still need to give me self a fair bit of Basal insulin at least (15 units) and 1 unit for every 10g of protein (when keto). On mix diet I need approx 2.5units per 10g of carbs when eating at a daily maintenance alongside 50 units of Lantus.
Is this even possible? It seems very situational. The only correlations I can think of with this 'cure' is apparent when I am with my partner (power of love?) together alongside the location seems to block all cellular EMF. The moment I leave those environments, everything seems to go back its 'diabetic' norm.</t>
        </is>
      </c>
      <c r="D9630" t="n">
        <v>1</v>
      </c>
      <c r="E9630" t="n">
        <v>9</v>
      </c>
      <c r="F9630">
        <f>HYPERLINK("https://www.reddit.com/r/diabetes/comments/gyqy5o/diabetes_for_20_years_have_not_had_any_insulin/")</f>
        <v/>
      </c>
      <c r="G9630" t="inlineStr">
        <is>
          <t>2020-06-07 20:21:06</t>
        </is>
      </c>
      <c r="H9630" t="inlineStr">
        <is>
          <t>Type 1</t>
        </is>
      </c>
    </row>
    <row r="9631">
      <c r="A9631" t="inlineStr">
        <is>
          <t>gywwji</t>
        </is>
      </c>
      <c r="B9631" t="inlineStr">
        <is>
          <t>Dexamethasone test?</t>
        </is>
      </c>
      <c r="C9631" t="inlineStr">
        <is>
          <t>Have any of you done a dexamethasone test? How was your experience with it the day after with blood sugar, energy, mood, etc?</t>
        </is>
      </c>
      <c r="D9631" t="n">
        <v>1</v>
      </c>
      <c r="E9631" t="n">
        <v>5</v>
      </c>
      <c r="F9631">
        <f>HYPERLINK("https://www.reddit.com/r/diabetes/comments/gywwji/dexamethasone_test/")</f>
        <v/>
      </c>
      <c r="G9631" t="inlineStr">
        <is>
          <t>2020-06-08 03:32:34</t>
        </is>
      </c>
      <c r="H9631" t="inlineStr">
        <is>
          <t>Type 1</t>
        </is>
      </c>
    </row>
    <row r="9632">
      <c r="A9632" t="inlineStr">
        <is>
          <t>gyy63m</t>
        </is>
      </c>
      <c r="B9632" t="inlineStr">
        <is>
          <t>Muscle twitching</t>
        </is>
      </c>
      <c r="C9632" t="inlineStr">
        <is>
          <t>Any of you guys get muscle twitches/spasms in your hands and feet?</t>
        </is>
      </c>
      <c r="D9632" t="n">
        <v>7</v>
      </c>
      <c r="E9632" t="n">
        <v>14</v>
      </c>
      <c r="F9632">
        <f>HYPERLINK("https://www.reddit.com/r/diabetes/comments/gyy63m/muscle_twitching/")</f>
        <v/>
      </c>
      <c r="G9632" t="inlineStr">
        <is>
          <t>2020-06-08 05:11:40</t>
        </is>
      </c>
      <c r="H9632" t="inlineStr">
        <is>
          <t>Type 1</t>
        </is>
      </c>
    </row>
    <row r="9633">
      <c r="A9633" t="inlineStr">
        <is>
          <t>gyy8os</t>
        </is>
      </c>
      <c r="B9633" t="inlineStr">
        <is>
          <t>Am I right or being overly dramatic?</t>
        </is>
      </c>
      <c r="C9633" t="inlineStr">
        <is>
          <t>Hi, I’m a type 1 diabetic with high HbA1c levels for several years. 
I work for a navy blue super market in the U.K, and been on furlough for the pass few months. 
My manager called me on Saturday, telling me that I will be returning back to work on the following Friday.
I know that the company has put measure to keep their employees safer from Covid-19...
But I am not super comfortable with going back yet.  I rarely been outside since the lockdown, been told not to visit anyone or have visitors, I couldn’t even see the family dog before he was put down! (Rest in Peace Tobi Dog, I miss him so much) And now I’ve been told it’s okay for me to go back to work...
I’m thinking in getting a sick note off my gp. But I’m worried if I’m being unreasonable to my employers if I do? My friends and family think I’m right to get more time off... but I want some unbiased opinions...
Is it right for me to have more time off? Or should I just go back to work?</t>
        </is>
      </c>
      <c r="D9633" t="n">
        <v>80</v>
      </c>
      <c r="E9633" t="n">
        <v>83</v>
      </c>
      <c r="F9633">
        <f>HYPERLINK("https://www.reddit.com/r/diabetes/comments/gyy8os/am_i_right_or_being_overly_dramatic/")</f>
        <v/>
      </c>
      <c r="G9633" t="inlineStr">
        <is>
          <t>2020-06-08 05:16:49</t>
        </is>
      </c>
      <c r="H9633" t="inlineStr">
        <is>
          <t>Type 1</t>
        </is>
      </c>
    </row>
    <row r="9634">
      <c r="A9634" t="inlineStr">
        <is>
          <t>gz4yjm</t>
        </is>
      </c>
      <c r="B9634" t="inlineStr">
        <is>
          <t>Have a question after surgery(type2)</t>
        </is>
      </c>
      <c r="C9634" t="inlineStr">
        <is>
          <t>Hi everyone I'm 35 and a type 2 diabetic.  I just had semi-major foot surgery after I stepped on a piece of glass a couple weeks ago and almost instantly developed a major infection as is the case a lot of times with having type 2 diabetes.
So I had the surgery 3 days ago and they sutured it up which is extensive because they apparently made two new horizontal incisions in front of and behind the very large and deep vertical gash from the glass cutting my foot.  They did this im told to explore the wound better as well as check for other signs of infection and possibly repair a tendon that of which ended up not being necessary.  
Needless to say I'm in a lot of pain and my foot is very hot. They covered the actual bleeding area with gauze and put me in some kind of moldable cast that goes nearly up to my knee and wrapped the cast tightly with some ace bandages.  
So now that you have all the information lets get down to brass tax. I just had a conversation with the surgeon for the first time since surgery and theyre talking about sending me home on oral antibiotics(Augmentin) and pain meds. The issue im having is this. I want to see how it's doing and make sure the heat and burning sensation I feel(which is separate from the actual throbbing and terrible pain im still feeling) isn't the start of something worse down there so I asked him when we were going to look at it and the answer I received was theyre not going to AND not only are they not going to look at it before I go home they want it left alone and they don't plan on looking at it for another two weeks!?   This to me seems preposterous how am I supposed to know if it's getting better or worse if I can't put a visual to the pain I'm feeling and or the fever I'm running(he also said that even though my temp has been consistently in the mid to high 99's the last few days that it does not constitute a fever even though it 's obviously a full degree higher than what's considered normal)
He said blood sugar is really the only way for me to keep an eye on it so if my blood sugar fluctuates too much then it's getting worse and I need to come in or if I see redness coming up my leg. The problem is the cast goes all the way up to my fucking knee so by the time I noticed redness my foot would be all but lost.
I guess what im trying to ascertain is if this is a good plan or a status quo plan at least because to me this seems like a terrible terrible plan to not be checking on a diabetics foot that's more than prone to infection and just sending me on my way hoping for the best?!?  Any advice would be greatly appreciated. Thank you for reading this.</t>
        </is>
      </c>
      <c r="D9634" t="n">
        <v>1</v>
      </c>
      <c r="E9634" t="n">
        <v>6</v>
      </c>
      <c r="F9634">
        <f>HYPERLINK("https://www.reddit.com/r/diabetes/comments/gz4yjm/have_a_question_after_surgerytype2/")</f>
        <v/>
      </c>
      <c r="G9634" t="inlineStr">
        <is>
          <t>2020-06-08 11:32:47</t>
        </is>
      </c>
      <c r="H9634" t="inlineStr">
        <is>
          <t>Type 2</t>
        </is>
      </c>
    </row>
    <row r="9635">
      <c r="A9635" t="inlineStr">
        <is>
          <t>gz6vsz</t>
        </is>
      </c>
      <c r="B9635" t="inlineStr">
        <is>
          <t>How is it that I can take all my meds and not eat all day (currently 4pm) and my blood sugar is still high?</t>
        </is>
      </c>
      <c r="C9635" t="inlineStr">
        <is>
          <t>It’s been about 14-15 hours since I last ate, I made sure I took all my meds. How the hell am I not dipping into low blood sugar?</t>
        </is>
      </c>
      <c r="D9635" t="n">
        <v>2</v>
      </c>
      <c r="E9635" t="n">
        <v>9</v>
      </c>
      <c r="F9635">
        <f>HYPERLINK("https://www.reddit.com/r/diabetes/comments/gz6vsz/how_is_it_that_i_can_take_all_my_meds_and_not_eat/")</f>
        <v/>
      </c>
      <c r="G9635" t="inlineStr">
        <is>
          <t>2020-06-08 13:08:33</t>
        </is>
      </c>
      <c r="H9635" t="inlineStr">
        <is>
          <t>Type 2</t>
        </is>
      </c>
    </row>
    <row r="9636">
      <c r="A9636" t="inlineStr">
        <is>
          <t>gz8f2u</t>
        </is>
      </c>
      <c r="B9636" t="inlineStr">
        <is>
          <t>Forced to Resign</t>
        </is>
      </c>
      <c r="C9636" t="inlineStr">
        <is>
          <t>Hi there. 26-year-old Type-1 diabetic that's A1C has hovered around 7.5 for a bit now. I worked in the hospitality industry and was laid off in March because of COVID. Located in Ontario, Canada.
I was asked to come back May 29th and see how I felt about the job. I worked for a week and did not feel too comfortable. Employees I worked in close proximity didn't wear masks, we didn't have a plastic guard when speaking to guests. Other than some more regulated cleaning it felt like bare minimum. I emailed my boss mentioning I currently didn't feel comfortable and would rather not be at work, as I was the only front desk employee of 3 to be brought back and wanted to be laid back off. She called me today, saying I essentially had to resign or come back as "cov id could be around for a year and we can't lay you off for that long". So I resigned over the phone. Is this something I should be fighting? Cause I can't apply for government-assisted funds now and I'm kinda in a pickle.</t>
        </is>
      </c>
      <c r="D9636" t="n">
        <v>8</v>
      </c>
      <c r="E9636" t="n">
        <v>7</v>
      </c>
      <c r="F9636">
        <f>HYPERLINK("https://www.reddit.com/r/diabetes/comments/gz8f2u/forced_to_resign/")</f>
        <v/>
      </c>
      <c r="G9636" t="inlineStr">
        <is>
          <t>2020-06-08 14:18:32</t>
        </is>
      </c>
      <c r="H9636" t="inlineStr">
        <is>
          <t>Type 1</t>
        </is>
      </c>
    </row>
    <row r="9637">
      <c r="A9637" t="inlineStr">
        <is>
          <t>gz9dli</t>
        </is>
      </c>
      <c r="B9637" t="inlineStr">
        <is>
          <t>Insurance isn't covering Freestyle Libre</t>
        </is>
      </c>
      <c r="C9637" t="inlineStr">
        <is>
          <t>I just changed pharmacy coverage - both my old and new coverage were Caremark but for some reason the newer plan is not covering FreeStyle Libre on its formulary.
Do I have any chance of pushing them to cover it? They want me to use Dexcom which I was told two years ago is substantially more expensive, so I'm not understanding why they want the change.</t>
        </is>
      </c>
      <c r="D9637" t="n">
        <v>1</v>
      </c>
      <c r="E9637" t="n">
        <v>3</v>
      </c>
      <c r="F9637">
        <f>HYPERLINK("https://www.reddit.com/r/diabetes/comments/gz9dli/insurance_isnt_covering_freestyle_libre/")</f>
        <v/>
      </c>
      <c r="G9637" t="inlineStr">
        <is>
          <t>2020-06-08 15:04:10</t>
        </is>
      </c>
      <c r="H9637" t="inlineStr">
        <is>
          <t>Type 2</t>
        </is>
      </c>
    </row>
    <row r="9638">
      <c r="A9638" t="inlineStr">
        <is>
          <t>gzah0b</t>
        </is>
      </c>
      <c r="B9638" t="inlineStr">
        <is>
          <t>Type 1 with poor diet?</t>
        </is>
      </c>
      <c r="C9638" t="inlineStr">
        <is>
          <t>I have been type 1 for around 10 months I have had a HBA1C off 6.1 and 5.6 and I am not in the honeymoon phase. The problem is I have a very poor diet and have for awhile so I actually thought I had type 2 diabetes but it is type 1 confirmed by the tests they did on me. Should I work on fixing my diet? What happens with controlled sugar levels but a poor diet? I am not a cat person I am pretty skinny and I’m 16</t>
        </is>
      </c>
      <c r="D9638" t="n">
        <v>1</v>
      </c>
      <c r="E9638" t="n">
        <v>2</v>
      </c>
      <c r="F9638">
        <f>HYPERLINK("https://www.reddit.com/r/diabetes/comments/gzah0b/type_1_with_poor_diet/")</f>
        <v/>
      </c>
      <c r="G9638" t="inlineStr">
        <is>
          <t>2020-06-08 16:01:48</t>
        </is>
      </c>
      <c r="H9638" t="inlineStr">
        <is>
          <t>Type 1</t>
        </is>
      </c>
    </row>
    <row r="9639">
      <c r="A9639" t="inlineStr">
        <is>
          <t>gzby3i</t>
        </is>
      </c>
      <c r="B9639" t="inlineStr">
        <is>
          <t>8-year Anniversary</t>
        </is>
      </c>
      <c r="C9639" t="inlineStr">
        <is>
          <t>Today is my 8 year anniversary. I'm 25, and I grew up with a parent who has had T1D since they were 10.
To me, diabetes epitomizes the idea of 'a blessing &amp;amp; a curse'. The first few years sucked, as a normal carb diet and MDI combined for daily BS swings, a few near miss lows, habitual undereating (6'3" and in the 150s at the time), and voluntarily moving back to my parents instead of staying around friends at the university I went to. Most people I met my freshman year (when it kicked in), I never saw again. I was intensely anxious and didn't want/felt incapable of maintaining healthy relationships. Anxiety lead to poor communication.
After trying to eat a normal diet and MDI, a t-slim, and the harpoon like G5 at different times over the first 4 years, I switched to a low carb diet and libre three years ago, which has done wonders for my health, physically and mentally. I now use Tresiba once every 36 hours, and maintain my BS through keto &amp;amp; running. If anyone has tips on weight lifting with keto I've been doing that again for a few months now, and have tried to maintain the post-workout BS spoke with ~2.5 miles of running.
What I think I'm trying to do with sharing this post is introduce myself to this community, have the opportunity to share with y'all what has worked for me, and hopefully get some more info on what's working for y'all.
I say it's a blessing and a curse because my discipline in eating, my discipline in reading (I've done this thing with about ~30 books over the last year and a half where I have color coded highlighting on notes, many of them on diabetes/nutrition), my habit in meditation, and my professional goals are all so connected to my experience as a diabetic. I don't think I would be the way I am in these aspects of my life if I never became diabetic.
I studied political science for my undergrad, and plan on going to grad school for sustainability (focusing on regenerative agriculture) and potentially economics, political science, or nutrition. I'm most interested in becoming a social entrepreneur, starting a keto-based food business as a way to try and help give back to our fellow diabetics around the world. Although this started off as a setback, I want to see it someday as the start of my mission.
I'm with you,
Zac</t>
        </is>
      </c>
      <c r="D9639" t="n">
        <v>7</v>
      </c>
      <c r="E9639" t="n">
        <v>5</v>
      </c>
      <c r="F9639">
        <f>HYPERLINK("https://www.reddit.com/r/diabetes/comments/gzby3i/8year_anniversary/")</f>
        <v/>
      </c>
      <c r="G9639" t="inlineStr">
        <is>
          <t>2020-06-08 17:24:12</t>
        </is>
      </c>
      <c r="H9639" t="inlineStr">
        <is>
          <t>Type 1</t>
        </is>
      </c>
    </row>
    <row r="9640">
      <c r="A9640" t="inlineStr">
        <is>
          <t>gze08t</t>
        </is>
      </c>
      <c r="B9640" t="inlineStr">
        <is>
          <t>Early Morning Rant</t>
        </is>
      </c>
      <c r="C9640" t="inlineStr">
        <is>
          <t>So it's almost half past 3 in the morning where I am and I'm up feeling nauseous nursing a hypo and all I want to do is go to sleep. Went to bed with a reading of 10mmol/l so took a SINGLE UNIT OF INSULIN, which usually drops me by 2 or 3, to get me back in range and went to bed. Couldn't get to sleep and felt nauseous so eventually decided to get up and check my blood glucose which had just flatlined, so I treated the hypo and 15 minutes later... they've dropped by another 0.2. Sometimes diabetes just boggles my mind.</t>
        </is>
      </c>
      <c r="D9640" t="n">
        <v>5</v>
      </c>
      <c r="E9640" t="n">
        <v>5</v>
      </c>
      <c r="F9640">
        <f>HYPERLINK("https://www.reddit.com/r/diabetes/comments/gze08t/early_morning_rant/")</f>
        <v/>
      </c>
      <c r="G9640" t="inlineStr">
        <is>
          <t>2020-06-08 19:26:39</t>
        </is>
      </c>
      <c r="H9640" t="inlineStr">
        <is>
          <t>Type 1</t>
        </is>
      </c>
    </row>
    <row r="9641">
      <c r="A9641" t="inlineStr">
        <is>
          <t>gzemr5</t>
        </is>
      </c>
      <c r="B9641" t="inlineStr">
        <is>
          <t>Pump inset sites very unreliable after weight loss</t>
        </is>
      </c>
      <c r="C9641" t="inlineStr">
        <is>
          <t>I'm a type 1 diabetic. So I lost 120 lbs  and for the past year I have maintained that weight loss and I am about 160 lbs right now and I have moderate amounts of loose skin, especially on my abdomen and belly area where I always place my pump insets. 
&amp;amp;#x200B;
When I was morbidly obese, I had excellent control over my diabetes. Sure I was taking several times more insulin and eating a lot more carbs, but overall my A1c's were very good and I didn't have very many high blood sugars. Now my blood sugars ARE SO HIGH. For the past couple of months I've reached a 400 mg/dl more days than not. Right now my BG is 474 after switching my pump site and bolusing over 20 units. 
&amp;amp;#x200B;
I brought my high blood sugars up to a nurse practitioner when I last went to see my endocrinologist in November. I'm living with my father on his medical insurance plan, so I can't really afford 3-month checkups as they recommend. Anyway, the nurse recommended that I look into larger inset needle sizes for my pump. Have not asked my dad to change the prescription yet. 
&amp;amp;#x200B;
Anyone have any similar experience? Do you think upping the needle size would fix the issue?</t>
        </is>
      </c>
      <c r="D9641" t="n">
        <v>1</v>
      </c>
      <c r="E9641" t="n">
        <v>2</v>
      </c>
      <c r="F9641">
        <f>HYPERLINK("https://www.reddit.com/r/diabetes/comments/gzemr5/pump_inset_sites_very_unreliable_after_weight_loss/")</f>
        <v/>
      </c>
      <c r="G9641" t="inlineStr">
        <is>
          <t>2020-06-08 20:05:23</t>
        </is>
      </c>
      <c r="H9641" t="inlineStr">
        <is>
          <t>Type 1</t>
        </is>
      </c>
    </row>
    <row r="9642">
      <c r="A9642" t="inlineStr">
        <is>
          <t>gzj61d</t>
        </is>
      </c>
      <c r="B9642" t="inlineStr">
        <is>
          <t>T1 is so stupid</t>
        </is>
      </c>
      <c r="C9642" t="inlineStr">
        <is>
          <t>I do all this work and religiously check my sugars and dose correctly for what I eat only to hope to be at a level of health of a normal human being.  All that extremely hard work only to get to the basic level of being human.  
And when I dose for a meal and check 2 hours later and I'm sky high in the 200's I just want to rage bolus like 20 units and go to sleep and let whatever happens, happen.</t>
        </is>
      </c>
      <c r="D9642" t="n">
        <v>20</v>
      </c>
      <c r="E9642" t="n">
        <v>25</v>
      </c>
      <c r="F9642">
        <f>HYPERLINK("https://www.reddit.com/r/diabetes/comments/gzj61d/t1_is_so_stupid/")</f>
        <v/>
      </c>
      <c r="G9642" t="inlineStr">
        <is>
          <t>2020-06-09 01:39:44</t>
        </is>
      </c>
      <c r="H9642" t="inlineStr">
        <is>
          <t>Type 1</t>
        </is>
      </c>
    </row>
    <row r="9643">
      <c r="A9643" t="inlineStr">
        <is>
          <t>gzmaq3</t>
        </is>
      </c>
      <c r="B9643" t="inlineStr">
        <is>
          <t>I just started the dreaded 8J series transmitter for a new sensor for Dexcom G6. Anybody had any success with restarting these? Thanks.</t>
        </is>
      </c>
      <c r="C9643" t="inlineStr">
        <is>
          <t>Not much info on 8J series transmitter. I was wondering anyone else who has had 8J series and what worked with them in terms of restarting the sensor.</t>
        </is>
      </c>
      <c r="D9643" t="n">
        <v>2</v>
      </c>
      <c r="E9643" t="n">
        <v>7</v>
      </c>
      <c r="F9643">
        <f>HYPERLINK("https://www.reddit.com/r/diabetes/comments/gzmaq3/i_just_started_the_dreaded_8j_series_transmitter/")</f>
        <v/>
      </c>
      <c r="G9643" t="inlineStr">
        <is>
          <t>2020-06-09 05:36:30</t>
        </is>
      </c>
      <c r="H9643" t="inlineStr">
        <is>
          <t>Type 1</t>
        </is>
      </c>
    </row>
    <row r="9644">
      <c r="A9644" t="inlineStr">
        <is>
          <t>gzo43m</t>
        </is>
      </c>
      <c r="B9644" t="inlineStr">
        <is>
          <t>Anyone know about glyburide?</t>
        </is>
      </c>
      <c r="C9644" t="inlineStr">
        <is>
          <t>I took glyburide when I was pregnant to control my gestational diabetes. It worked great, was cheap as hell and no nasty side effects. Does anyone know why this isn't prescribed as commonly as metformin? 
I've been trying my best over the past year to control my diabetes with diet and exercise but my numbers are telling me that's not working out anymore. I know I need to discuss all of this with my doctor and am planning on doing so soon. Just was wondering if anyone had any experience with glyburide or had a physician explain why it's not given out like metformin is. 
I'm dreading the side effects of metformin.</t>
        </is>
      </c>
      <c r="D9644" t="n">
        <v>1</v>
      </c>
      <c r="E9644" t="n">
        <v>8</v>
      </c>
      <c r="F9644">
        <f>HYPERLINK("https://www.reddit.com/r/diabetes/comments/gzo43m/anyone_know_about_glyburide/")</f>
        <v/>
      </c>
      <c r="G9644" t="inlineStr">
        <is>
          <t>2020-06-09 07:23:19</t>
        </is>
      </c>
      <c r="H9644" t="inlineStr">
        <is>
          <t>Type 2</t>
        </is>
      </c>
    </row>
    <row r="9645">
      <c r="A9645" t="inlineStr">
        <is>
          <t>gzozev</t>
        </is>
      </c>
      <c r="B9645" t="inlineStr">
        <is>
          <t>Can people with diabetes smoke weed?</t>
        </is>
      </c>
      <c r="C9645" t="inlineStr">
        <is>
          <t>Can people with diabetes smoke weed? Did someone from here smoked weed? How was it?</t>
        </is>
      </c>
      <c r="D9645" t="n">
        <v>2</v>
      </c>
      <c r="E9645" t="n">
        <v>15</v>
      </c>
      <c r="F9645">
        <f>HYPERLINK("https://www.reddit.com/r/diabetes/comments/gzozev/can_people_with_diabetes_smoke_weed/")</f>
        <v/>
      </c>
      <c r="G9645" t="inlineStr">
        <is>
          <t>2020-06-09 08:11:19</t>
        </is>
      </c>
      <c r="H9645" t="inlineStr">
        <is>
          <t>Type 1</t>
        </is>
      </c>
    </row>
    <row r="9646">
      <c r="A9646" t="inlineStr">
        <is>
          <t>gzphwe</t>
        </is>
      </c>
      <c r="B9646" t="inlineStr">
        <is>
          <t>Need some advice</t>
        </is>
      </c>
      <c r="C9646" t="inlineStr">
        <is>
          <t>Hello guys. I’m from the UK (just in case that helps with anything) I got diagnosed with type 2 diabetes after lockdown. Due to the lockdown &amp;amp; social distancing, there weren’t any support groups I could go to or import appointments (all I get is a phone call every few weeks) my nurse said that usually they have support groups etc for newly diagnosed people which would be helpful in my opinion but of course they are closed. My levels were at 62 when diagnosed. I’m trying to lose weight and I’ve cut out the majority of sugars &amp;amp; eat less carbs and fat. I’m also taking 500mg of Metformin 4 times per day. Have you guys got any more advice of what I can do for now?</t>
        </is>
      </c>
      <c r="D9646" t="n">
        <v>1</v>
      </c>
      <c r="E9646" t="n">
        <v>22</v>
      </c>
      <c r="F9646">
        <f>HYPERLINK("https://www.reddit.com/r/diabetes/comments/gzphwe/need_some_advice/")</f>
        <v/>
      </c>
      <c r="G9646" t="inlineStr">
        <is>
          <t>2020-06-09 08:37:54</t>
        </is>
      </c>
      <c r="H9646" t="inlineStr">
        <is>
          <t>Type 2</t>
        </is>
      </c>
    </row>
    <row r="9647">
      <c r="A9647" t="inlineStr">
        <is>
          <t>gzq3cb</t>
        </is>
      </c>
      <c r="B9647" t="inlineStr">
        <is>
          <t>Switching to a T-Slim! Got any advice?</t>
        </is>
      </c>
      <c r="C9647" t="inlineStr">
        <is>
          <t>Hullo, type 1 (Since I was 8) I'm 36 now. Alive and kickin'!
I've tried all sorts of brands of pumps, Medtronic (Both older models and currently on the 670g now with guardian), Paradigm. I noticed my 670 has a fairly huge crack in the casing and the ring on the top had actually cracked and legit fell off and that I was able to try to get a new pump. I looked over all the options and after realizing that the Omnipod was simply too big and bulky and that the calibration amounts and alerts of the 670 were way out of hand, I settled on getting myself a Tandem. It's been approved and is currently on its way to be delivered to me on Friday!
I'm super excited, but I was curious for those who have switched to a T-Slim, is there a huge learning curve? Any advice on things that are different or that might throw me for a loop? I appreciate all feedback on it and once I get the insurance worked out I fully plan on getting set up with the Dexcom instead of the guardian due to the feature differences.</t>
        </is>
      </c>
      <c r="D9647" t="n">
        <v>5</v>
      </c>
      <c r="E9647" t="n">
        <v>4</v>
      </c>
      <c r="F9647">
        <f>HYPERLINK("https://www.reddit.com/r/diabetes/comments/gzq3cb/switching_to_a_tslim_got_any_advice/")</f>
        <v/>
      </c>
      <c r="G9647" t="inlineStr">
        <is>
          <t>2020-06-09 09:08:20</t>
        </is>
      </c>
      <c r="H9647" t="inlineStr">
        <is>
          <t>Type 1</t>
        </is>
      </c>
    </row>
    <row r="9648">
      <c r="A9648" t="inlineStr">
        <is>
          <t>gzvcby</t>
        </is>
      </c>
      <c r="B9648" t="inlineStr">
        <is>
          <t>What does everyone drink?</t>
        </is>
      </c>
      <c r="C9648" t="inlineStr">
        <is>
          <t>Hello all,
Long suffering diabetic with Type 2. I'm curious what everyone drinks?
I really dislike water. =(  
Anything else I drink is usually filled with caffeine and keeps me up at night. Right now, I go through about a quart of Peach Tea from Crystal Lite a day, but it's filled with caffeine. 
Any suggestions for something that actually tastes good but doesn't wire me?
Thanks!</t>
        </is>
      </c>
      <c r="D9648" t="n">
        <v>1</v>
      </c>
      <c r="E9648" t="n">
        <v>22</v>
      </c>
      <c r="F9648">
        <f>HYPERLINK("https://www.reddit.com/r/diabetes/comments/gzvcby/what_does_everyone_drink/")</f>
        <v/>
      </c>
      <c r="G9648" t="inlineStr">
        <is>
          <t>2020-06-09 13:25:29</t>
        </is>
      </c>
      <c r="H9648" t="inlineStr">
        <is>
          <t>Type 2</t>
        </is>
      </c>
    </row>
    <row r="9649">
      <c r="A9649" t="inlineStr">
        <is>
          <t>gzzubt</t>
        </is>
      </c>
      <c r="B9649" t="inlineStr">
        <is>
          <t>Can freestyle libre go through a metal detector?</t>
        </is>
      </c>
      <c r="C9649" t="inlineStr">
        <is>
          <t>Hi 
So I just started this job and it's in a warehouse so my job is very fast paced and physically demanding. I want to get a freestyle libre to help avoid lows at work also recently I thought I had more strips on me than I actually did and ran out while I was at work 😬. I know a dexcom would be better but getting a dexcom is pretty difficult right now and I don't believe my insurance will cover it, my insurance doesn't cover freestyle either but it's more affordable for me right now. Normally we have to go through metal detectors when entering the building. Right now because of covid we do not have our metal detectors. At some point If things go back to normal and we have to go through metal detectors again I want to have everything set up with H.R already if I can't go through the metal detector and have to have a different option. I've heard that cgms can't go through x ray scanners and it deactivates them so I was wondering if it's the same with metal detectors?</t>
        </is>
      </c>
      <c r="D9649" t="n">
        <v>1</v>
      </c>
      <c r="E9649" t="n">
        <v>3</v>
      </c>
      <c r="F9649">
        <f>HYPERLINK("https://www.reddit.com/r/diabetes/comments/gzzubt/can_freestyle_libre_go_through_a_metal_detector/")</f>
        <v/>
      </c>
      <c r="G9649" t="inlineStr">
        <is>
          <t>2020-06-09 17:15:53</t>
        </is>
      </c>
      <c r="H9649" t="inlineStr">
        <is>
          <t>Type 1</t>
        </is>
      </c>
    </row>
    <row r="9650">
      <c r="A9650" t="inlineStr">
        <is>
          <t>h00i8g</t>
        </is>
      </c>
      <c r="B9650" t="inlineStr">
        <is>
          <t>Fellow Dexcom/Loop/Nightscout users who use an Apple Watch, what is your screen setup?</t>
        </is>
      </c>
      <c r="C9650" t="inlineStr">
        <is>
          <t>Trying to figure out the most beneficial apple watch face setup for my current tech. 
G6. Omnipod Loop. Nightscout. 
The key is sometimes with both the dexcom app and loop apps, I still have to tap to refresh the BG display data.</t>
        </is>
      </c>
      <c r="D9650" t="n">
        <v>1</v>
      </c>
      <c r="E9650" t="n">
        <v>2</v>
      </c>
      <c r="F9650">
        <f>HYPERLINK("https://www.reddit.com/r/diabetes/comments/h00i8g/fellow_dexcomloopnightscout_users_who_use_an/")</f>
        <v/>
      </c>
      <c r="G9650" t="inlineStr">
        <is>
          <t>2020-06-09 17:56:02</t>
        </is>
      </c>
      <c r="H9650" t="inlineStr">
        <is>
          <t>Type 1</t>
        </is>
      </c>
    </row>
    <row r="9651">
      <c r="A9651" t="inlineStr">
        <is>
          <t>h020um</t>
        </is>
      </c>
      <c r="B9651" t="inlineStr">
        <is>
          <t>Alcohol effects on A1C?</t>
        </is>
      </c>
      <c r="C9651" t="inlineStr">
        <is>
          <t>I’m slightly confused on how alcohol effects my A1C. Do lower carb beers (mich ultra), vodka, or seltzers that are lower carb have less of an effect on my blood sugars? Recently my A1C was to high and I’ve lowered it 3 points and want to lower it even more but don’t want to take the risk with alcohol if it’s not ok to.</t>
        </is>
      </c>
      <c r="D9651" t="n">
        <v>1</v>
      </c>
      <c r="E9651" t="n">
        <v>10</v>
      </c>
      <c r="F9651">
        <f>HYPERLINK("https://www.reddit.com/r/diabetes/comments/h020um/alcohol_effects_on_a1c/")</f>
        <v/>
      </c>
      <c r="G9651" t="inlineStr">
        <is>
          <t>2020-06-09 19:31:25</t>
        </is>
      </c>
      <c r="H9651" t="inlineStr">
        <is>
          <t>Type 2</t>
        </is>
      </c>
    </row>
    <row r="9652">
      <c r="A9652" t="inlineStr">
        <is>
          <t>h04tu7</t>
        </is>
      </c>
      <c r="B9652" t="inlineStr">
        <is>
          <t>I don’t want to die.</t>
        </is>
      </c>
      <c r="C9652" t="inlineStr">
        <is>
          <t>I’m so scared. My a1c last time was 9.6. My pump keeps failing on me and I’m recovering from DKA last week. I’m so fucking scared. I don’t want to be sick anymore. 
I’m so done with this disease. I’m so fucking scared of loosing my legs. My eyes. My kidneys. My liver. My stomach. 
I don’t want any of that to happen. I’m already developing nerve issues and I’m scared as all hell. I’m trying my hardest and things keep going wrong.
Edited as my a1c was lower than I originally thought, as my partner pointed out</t>
        </is>
      </c>
      <c r="D9652" t="n">
        <v>3</v>
      </c>
      <c r="E9652" t="n">
        <v>7</v>
      </c>
      <c r="F9652">
        <f>HYPERLINK("https://www.reddit.com/r/diabetes/comments/h04tu7/i_dont_want_to_die/")</f>
        <v/>
      </c>
      <c r="G9652" t="inlineStr">
        <is>
          <t>2020-06-09 22:53:11</t>
        </is>
      </c>
      <c r="H9652" t="inlineStr">
        <is>
          <t>Type 1</t>
        </is>
      </c>
    </row>
    <row r="9653">
      <c r="A9653" t="inlineStr">
        <is>
          <t>h060l7</t>
        </is>
      </c>
      <c r="B9653" t="inlineStr">
        <is>
          <t>Can I eat this?</t>
        </is>
      </c>
      <c r="C9653" t="inlineStr">
        <is>
          <t>I found an apple pie today that was near the expiration date. I bought it so I could eat a slice when my bolus went low. I read the label and it's surprisingly low in sugar. 25 in 1/6th of the pie, which is low for a treat. If I take the right insulin is this dangerous to me?</t>
        </is>
      </c>
      <c r="D9653" t="n">
        <v>0</v>
      </c>
      <c r="E9653" t="n">
        <v>9</v>
      </c>
      <c r="F9653">
        <f>HYPERLINK("https://www.reddit.com/r/diabetes/comments/h060l7/can_i_eat_this/")</f>
        <v/>
      </c>
      <c r="G9653" t="inlineStr">
        <is>
          <t>2020-06-10 00:29:59</t>
        </is>
      </c>
      <c r="H9653" t="inlineStr">
        <is>
          <t>Type 1</t>
        </is>
      </c>
    </row>
    <row r="9654">
      <c r="A9654" t="inlineStr">
        <is>
          <t>h0644x</t>
        </is>
      </c>
      <c r="B9654" t="inlineStr">
        <is>
          <t>I need help to understand what my friend is going through, I want to help them.</t>
        </is>
      </c>
      <c r="C9654" t="inlineStr">
        <is>
          <t>I am not diabetic, my friend is a type 1 diabetic and they tell me that taking care of their diabetes is way harder than it looks, I need help to understand what I do not understand?</t>
        </is>
      </c>
      <c r="D9654" t="n">
        <v>1</v>
      </c>
      <c r="E9654" t="n">
        <v>4</v>
      </c>
      <c r="F9654">
        <f>HYPERLINK("https://www.reddit.com/r/diabetes/comments/h0644x/i_need_help_to_understand_what_my_friend_is_going/")</f>
        <v/>
      </c>
      <c r="G9654" t="inlineStr">
        <is>
          <t>2020-06-10 00:37:53</t>
        </is>
      </c>
      <c r="H9654" t="inlineStr">
        <is>
          <t>Type 1</t>
        </is>
      </c>
    </row>
    <row r="9655">
      <c r="A9655" t="inlineStr">
        <is>
          <t>h06oco</t>
        </is>
      </c>
      <c r="B9655" t="inlineStr">
        <is>
          <t>Help with testing!</t>
        </is>
      </c>
      <c r="C9655" t="inlineStr">
        <is>
          <t>Hi guys!
Me again, you have all been so helpful previously. 
Has anyone got any tips on testing my blood? I have a OneTouch verio and it’s been really hurting my fingers when testing including a little bruise on my finger 😂 
I didn’t really get any tips from my diabetic educator (bit of a language barrier as they speak Dutch and I’m a native English speaker but they did speak English to me!) and I never had to test back in the UK.
Also, if you know of any instructional videos on changing the needle in the tester I’d be grateful - I seem to have not changed it properly and had to put it on a 7 to get any blood when last time it was on a 3.
Thanks!</t>
        </is>
      </c>
      <c r="D9655" t="n">
        <v>1</v>
      </c>
      <c r="E9655" t="n">
        <v>7</v>
      </c>
      <c r="F9655">
        <f>HYPERLINK("https://www.reddit.com/r/diabetes/comments/h06oco/help_with_testing/")</f>
        <v/>
      </c>
      <c r="G9655" t="inlineStr">
        <is>
          <t>2020-06-10 01:23:45</t>
        </is>
      </c>
      <c r="H9655" t="inlineStr">
        <is>
          <t>Type 2</t>
        </is>
      </c>
    </row>
    <row r="9656">
      <c r="A9656" t="inlineStr">
        <is>
          <t>h07f7x</t>
        </is>
      </c>
      <c r="B9656" t="inlineStr">
        <is>
          <t>Can someone answer a question I have about insulin and food?</t>
        </is>
      </c>
      <c r="C9656" t="inlineStr">
        <is>
          <t>So I have been working for three years with possibly one of the worst diabetic educators ever! She fed me nothing but lies and I don't know how she's still getting hired. She told me at length that I could not eat foods high in sugar. Well someone on here told me that that apparently wasn't true assuming I take insulin for the carbs.
Right now I have an apple pie in the fridge with 35 grams of carbs and 25 grams of sugar in 1/6th of the pie. Since my ratio is 1:6 that means that if he's right I could have a slice literally guilt free if I took 6 units of insulin. Is this correct or should I reserve the pie for lows or something?</t>
        </is>
      </c>
      <c r="D9656" t="n">
        <v>2</v>
      </c>
      <c r="E9656" t="n">
        <v>16</v>
      </c>
      <c r="F9656">
        <f>HYPERLINK("https://www.reddit.com/r/diabetes/comments/h07f7x/can_someone_answer_a_question_i_have_about/")</f>
        <v/>
      </c>
      <c r="G9656" t="inlineStr">
        <is>
          <t>2020-06-10 02:26:15</t>
        </is>
      </c>
      <c r="H9656" t="inlineStr">
        <is>
          <t>Type 1</t>
        </is>
      </c>
    </row>
    <row r="9657">
      <c r="A9657" t="inlineStr">
        <is>
          <t>h09r0h</t>
        </is>
      </c>
      <c r="B9657" t="inlineStr">
        <is>
          <t>Got my A1C to 6.4</t>
        </is>
      </c>
      <c r="C9657" t="inlineStr">
        <is>
          <t>Diagnosed diabetic in August with an A1C of 7.2. Went on metformin 500 2x. Today’s latest result is 6.4! Yay.
Was counting calories and testing bg after meals the last month - found that bg spike correlated mostly with quantity of carbs - flours or lentils didn’t seem to matter. Adding a salad at beginning of meal didn’t seem to slow the spike either. 
Just started a lower carb diet by setting a 200gm daily carb goal. For reference I am 6’3” and 265lbs.</t>
        </is>
      </c>
      <c r="D9657" t="n">
        <v>8</v>
      </c>
      <c r="E9657" t="n">
        <v>4</v>
      </c>
      <c r="F9657">
        <f>HYPERLINK("https://www.reddit.com/r/diabetes/comments/h09r0h/got_my_a1c_to_64/")</f>
        <v/>
      </c>
      <c r="G9657" t="inlineStr">
        <is>
          <t>2020-06-10 05:19:05</t>
        </is>
      </c>
      <c r="H9657" t="inlineStr">
        <is>
          <t>Type 2</t>
        </is>
      </c>
    </row>
    <row r="9658">
      <c r="A9658" t="inlineStr">
        <is>
          <t>h0bgmc</t>
        </is>
      </c>
      <c r="B9658" t="inlineStr">
        <is>
          <t>where to donate Animas supplies</t>
        </is>
      </c>
      <c r="C9658" t="inlineStr">
        <is>
          <t>I am a Type1 diabetic and switched to Medtronic pump. I have a box of Animas inset 30 23 in expire 1/1/2021 if anyone is interested. Or can anyone tell me where to donate them.</t>
        </is>
      </c>
      <c r="D9658" t="n">
        <v>1</v>
      </c>
      <c r="E9658" t="n">
        <v>4</v>
      </c>
      <c r="F9658">
        <f>HYPERLINK("https://www.reddit.com/r/diabetes/comments/h0bgmc/where_to_donate_animas_supplies/")</f>
        <v/>
      </c>
      <c r="G9658" t="inlineStr">
        <is>
          <t>2020-06-10 06:55:18</t>
        </is>
      </c>
      <c r="H9658" t="inlineStr">
        <is>
          <t>Type 1.5/LADA</t>
        </is>
      </c>
    </row>
    <row r="9659">
      <c r="A9659" t="inlineStr">
        <is>
          <t>h0d48x</t>
        </is>
      </c>
      <c r="B9659" t="inlineStr">
        <is>
          <t>Janumet isn't working as well now</t>
        </is>
      </c>
      <c r="C9659" t="inlineStr">
        <is>
          <t>I started taking Janumet in early 2019 to control my blood sugar levels and it worked really well for the entire year. These days the effectiveness appears to be wearing off. Last year my average blood sugar reading was around 130 whereas today its about 170. My diet is tightly controlled at the moment (low carb, low gi, some exercise) although I have gained about 15 pounds that I am in the process of losing again. Have you had the same experience with Janumet? If you did, did you eventually need to replace it with another medication or add to it?</t>
        </is>
      </c>
      <c r="D9659" t="n">
        <v>1</v>
      </c>
      <c r="E9659" t="n">
        <v>0</v>
      </c>
      <c r="F9659">
        <f>HYPERLINK("https://www.reddit.com/r/diabetes/comments/h0d48x/janumet_isnt_working_as_well_now/")</f>
        <v/>
      </c>
      <c r="G9659" t="inlineStr">
        <is>
          <t>2020-06-10 08:25:24</t>
        </is>
      </c>
      <c r="H9659" t="inlineStr">
        <is>
          <t>Type 2</t>
        </is>
      </c>
    </row>
    <row r="9660">
      <c r="A9660" t="inlineStr">
        <is>
          <t>h0gaso</t>
        </is>
      </c>
      <c r="B9660" t="inlineStr">
        <is>
          <t>Jekyll and Hyde Phenomenon.</t>
        </is>
      </c>
      <c r="C9660" t="inlineStr">
        <is>
          <t>Does anyone else experience this? 
When my blood sugar drops low while asleep, then I’m woken up i have no memory. The people around me trying to help me i attack and scream at and apparently yell just to leave me alone. In the flashes i can remember i just remember being terrified of everything. It’s not like when i drop and i am awake, and i may just get angry or annoyed easily. 
I have no memory. When i become aware, or lucid is the word i use, again, i notice that people are stepping away from me. I’m covered in a cold sweat and i know i went low and did something terrible. 
It’s been happening for around 4 years now, randomly. I’ve gone to the extreme of not going to sleep unless my blood sugar is around 150 and waking up around 4 am to check it each night just because of how scared I am because according to everyone i turn into a monster. 
I’m not a violent or angry person. I’ve been looking it up and there’s not many articles or information on it. What I’ve found im going to link:
[here](https://books.google.com/books?id=rM5XcRGzEhcC&amp;amp;pg=PA1&amp;amp;lpg=PA1&amp;amp;dq=jekyll+and+hyde+phenomenon+diabetes&amp;amp;source=bl&amp;amp;ots=2WSID2I2xw&amp;amp;sig=ACfU3U2oyIjDaTNMWNLXhsrE1d-RCAhPOQ&amp;amp;hl=en&amp;amp;sa=X&amp;amp;ved=2ahUKEwjsqbKO6ffpAhVDQ6wKHQc1CZ4Q6AEwCnoECAEQAQ#v=onepage&amp;amp;q=jekyll%20and%20hyde%20phenomenon%20diabetes&amp;amp;f=false)
[here](https://beyondtype1.org/guilt/)
If anybody else experiences this, please let me know if you have any ways to help those around you or yourself prevent it. 
Note: i don’t drink alcohol, do drugs, or anything type of mental medicine that could have side effects to cause this. It’s completely random.</t>
        </is>
      </c>
      <c r="D9660" t="n">
        <v>7</v>
      </c>
      <c r="E9660" t="n">
        <v>12</v>
      </c>
      <c r="F9660">
        <f>HYPERLINK("https://www.reddit.com/r/diabetes/comments/h0gaso/jekyll_and_hyde_phenomenon/")</f>
        <v/>
      </c>
      <c r="G9660" t="inlineStr">
        <is>
          <t>2020-06-10 11:01:41</t>
        </is>
      </c>
      <c r="H9660" t="inlineStr">
        <is>
          <t>Type 1</t>
        </is>
      </c>
    </row>
    <row r="9661">
      <c r="A9661" t="inlineStr">
        <is>
          <t>h0hkk5</t>
        </is>
      </c>
      <c r="B9661" t="inlineStr">
        <is>
          <t>Any T2’s here also get sudden weight loss?</t>
        </is>
      </c>
      <c r="C9661" t="inlineStr">
        <is>
          <t>So I’m type 1.. but I hear sudden weight loss is a symptom of Type 2 diabetes as well. I was diagnosed with an A1C of 12. Doctor thought I was T2 till my endo was like naw nigga not normal to loose 73lbs in 3 months. I’ve never met a thin T2 however, I’ve even known T2’s who weigh 300+lbs and only get fatter even without insulin injections. Why is weight loss a symptom of T2 if I’ve never met a thin T2?
Edit: I literally don’t get why ppl are downvoting lol, all I did was ask a question. Read my post before thinking I’m attacking or pushing negative stigma. WAS LITERALLY A QUESTION</t>
        </is>
      </c>
      <c r="D9661" t="n">
        <v>0</v>
      </c>
      <c r="E9661" t="n">
        <v>6</v>
      </c>
      <c r="F9661">
        <f>HYPERLINK("https://www.reddit.com/r/diabetes/comments/h0hkk5/any_t2s_here_also_get_sudden_weight_loss/")</f>
        <v/>
      </c>
      <c r="G9661" t="inlineStr">
        <is>
          <t>2020-06-10 12:00:07</t>
        </is>
      </c>
      <c r="H9661" t="inlineStr">
        <is>
          <t>Type 1</t>
        </is>
      </c>
    </row>
    <row r="9662">
      <c r="A9662" t="inlineStr">
        <is>
          <t>h0jn4m</t>
        </is>
      </c>
      <c r="B9662" t="inlineStr">
        <is>
          <t>Can you go into DKA even with lower sugars?</t>
        </is>
      </c>
      <c r="C9662" t="inlineStr">
        <is>
          <t>So I wasn’t feeling great and decided to test for ketones with my urine strips- my blood glucose was 164, so I was shocked to see HIGH ketones! I changed my site and levels have now dropped down to 120. My ketones levels are now hovering around small - does this mean I’m in the clear or should I be worried? I definitely feel really tired and a bit nauseous but I didn’t sleep well last night. I’m just trying to figure out if I can relax a bit now that ketone/blood sugar levels are dropping or if I still need to be as vigilant. 
I did call my endo but all she said was to keep hydrating and didn’t seem all that worried.</t>
        </is>
      </c>
      <c r="D9662" t="n">
        <v>11</v>
      </c>
      <c r="E9662" t="n">
        <v>9</v>
      </c>
      <c r="F9662">
        <f>HYPERLINK("https://www.reddit.com/r/diabetes/comments/h0jn4m/can_you_go_into_dka_even_with_lower_sugars/")</f>
        <v/>
      </c>
      <c r="G9662" t="inlineStr">
        <is>
          <t>2020-06-10 13:37:46</t>
        </is>
      </c>
      <c r="H9662" t="inlineStr">
        <is>
          <t>Type 1</t>
        </is>
      </c>
    </row>
    <row r="9663">
      <c r="A9663" t="inlineStr">
        <is>
          <t>h0kk12</t>
        </is>
      </c>
      <c r="B9663" t="inlineStr">
        <is>
          <t>Worried about my eyes</t>
        </is>
      </c>
      <c r="C9663" t="inlineStr">
        <is>
          <t>I’ve had T1 for 16 years now. 
Over the last year or so, I have noticed black dots across my vision when it’s sunny/looking at a bright white wall or looking at the sky. 
They kind of come and go but they’re noticeable - there are also squiggly lines as well sometimes. 
My vision is fine (I can see close and far perfectly). 
My retinopathy test also says that there is very, minor background retinopathy, but that it is normal to have after 16 years of diabetes. 
What do I do? 
I am worried about a rapid deterioration since I’ve never had to concern myself with this before. 
Thanks.</t>
        </is>
      </c>
      <c r="D9663" t="n">
        <v>3</v>
      </c>
      <c r="E9663" t="n">
        <v>13</v>
      </c>
      <c r="F9663">
        <f>HYPERLINK("https://www.reddit.com/r/diabetes/comments/h0kk12/worried_about_my_eyes/")</f>
        <v/>
      </c>
      <c r="G9663" t="inlineStr">
        <is>
          <t>2020-06-10 14:21:31</t>
        </is>
      </c>
      <c r="H9663" t="inlineStr">
        <is>
          <t>Type 1</t>
        </is>
      </c>
    </row>
    <row r="9664">
      <c r="A9664" t="inlineStr">
        <is>
          <t>h0l7z1</t>
        </is>
      </c>
      <c r="B9664" t="inlineStr">
        <is>
          <t>I am kinda stupid</t>
        </is>
      </c>
      <c r="C9664" t="inlineStr">
        <is>
          <t>My omnipod failed this morning and i had to change it right before school. I noticed I was late and decided to only activate a new pod and putt it on and then take the old one of when i got home... Well, I forgot and now i dont remember wich is the active one... Fuck</t>
        </is>
      </c>
      <c r="D9664" t="n">
        <v>3</v>
      </c>
      <c r="E9664" t="n">
        <v>2</v>
      </c>
      <c r="F9664">
        <f>HYPERLINK("https://www.reddit.com/r/diabetes/comments/h0l7z1/i_am_kinda_stupid/")</f>
        <v/>
      </c>
      <c r="G9664" t="inlineStr">
        <is>
          <t>2020-06-10 14:54:20</t>
        </is>
      </c>
      <c r="H9664" t="inlineStr">
        <is>
          <t>Type 1</t>
        </is>
      </c>
    </row>
    <row r="9665">
      <c r="A9665" t="inlineStr">
        <is>
          <t>h0lz95</t>
        </is>
      </c>
      <c r="B9665" t="inlineStr">
        <is>
          <t>Dexcom saying Bloodsugar is 300 when it is not in the morning, any advice?</t>
        </is>
      </c>
      <c r="C9665" t="inlineStr">
        <is>
          <t>A friend of a friend is a diabetic and she just started using dexcom. When she goes to bed it says that her bloodsugar is 100 and gives an accurate reading; however, around 4am it will say her bloodsugar is 300 and will keep saying that till around 10 am, but her bloodsugar is actually around 100. Basically, from 4 to 10 am, her dexcom is not giving her accurate readings and saying her bloodsugar level is 300. Do you guys know how to fix this or what might be causing the issue?</t>
        </is>
      </c>
      <c r="D9665" t="n">
        <v>2</v>
      </c>
      <c r="E9665" t="n">
        <v>6</v>
      </c>
      <c r="F9665">
        <f>HYPERLINK("https://www.reddit.com/r/diabetes/comments/h0lz95/dexcom_saying_bloodsugar_is_300_when_it_is_not_in/")</f>
        <v/>
      </c>
      <c r="G9665" t="inlineStr">
        <is>
          <t>2020-06-10 15:31:31</t>
        </is>
      </c>
      <c r="H9665" t="inlineStr">
        <is>
          <t>Type 1</t>
        </is>
      </c>
    </row>
    <row r="9666">
      <c r="A9666" t="inlineStr">
        <is>
          <t>h0o253</t>
        </is>
      </c>
      <c r="B9666" t="inlineStr">
        <is>
          <t>High mg</t>
        </is>
      </c>
      <c r="C9666" t="inlineStr">
        <is>
          <t>So my parents sugar level allways stit around 300 to 500. I give them both insulin on time and i tend to give more if the sugar level is higher. But no matter what they do, the level always sits high. Should i consult docters for a high dose or a diffeent insulin. Dad has type one and takes 70 30 and my mom is type 2 with reg</t>
        </is>
      </c>
      <c r="D9666" t="n">
        <v>2</v>
      </c>
      <c r="E9666" t="n">
        <v>6</v>
      </c>
      <c r="F9666">
        <f>HYPERLINK("https://www.reddit.com/r/diabetes/comments/h0o253/high_mg/")</f>
        <v/>
      </c>
      <c r="G9666" t="inlineStr">
        <is>
          <t>2020-06-10 17:19:48</t>
        </is>
      </c>
      <c r="H9666" t="inlineStr">
        <is>
          <t>Type 1</t>
        </is>
      </c>
    </row>
    <row r="9667">
      <c r="A9667" t="inlineStr">
        <is>
          <t>h0r809</t>
        </is>
      </c>
      <c r="B9667" t="inlineStr">
        <is>
          <t>Injection site turned red/ bruised and stibgs every few minutes, how worried should I be?</t>
        </is>
      </c>
      <c r="C9667" t="inlineStr">
        <is>
          <t>I did my ozempic injection about an hour ago and the injection site turned either reddish or bruised and it stings every few minutes. I've never had this happen before, and it's almost midnight so my options are wait or go to the ER. I'm keeping an eye on it for sign of blood poisoning, not even sure if that can happen from this. 
Any advice?</t>
        </is>
      </c>
      <c r="D9667" t="n">
        <v>1</v>
      </c>
      <c r="E9667" t="n">
        <v>2</v>
      </c>
      <c r="F9667">
        <f>HYPERLINK("https://www.reddit.com/r/diabetes/comments/h0r809/injection_site_turned_red_bruised_and_stibgs/")</f>
        <v/>
      </c>
      <c r="G9667" t="inlineStr">
        <is>
          <t>2020-06-10 20:32:53</t>
        </is>
      </c>
      <c r="H9667" t="inlineStr">
        <is>
          <t>Type 2</t>
        </is>
      </c>
    </row>
    <row r="9668">
      <c r="A9668" t="inlineStr">
        <is>
          <t>h0raz3</t>
        </is>
      </c>
      <c r="B9668" t="inlineStr">
        <is>
          <t>Did anyone switch from Metronic-&amp;gt;Tandem and regret it?</t>
        </is>
      </c>
      <c r="C9668" t="inlineStr">
        <is>
          <t>Good evening diabetibuddies!
I've had 3 medtronic pumps over the past 14 years and the warranty on my current one has just run out, so I'm thinking it's time for an upgrade.
I'm not a huge fan of what I've heard about the 670G, especially the woeful Guardian CGM system, so I'm very tempted to jump ship and get the Tandem.
I met a Tandem rep and got to play around with a pump for a minute, but I had some very specific questions the rep wasn't really able to give me any useful info about. So I'm turning to actual diabetics, especially those who've switched from a medtronic pump to the tandem:
* I like being able to sometimes "blind bolus" with my medtronic pump (much to the chagrin of my diabetes team!) I can push the up arrow and dial in half a unit of insulin at a time, confirm it by vibration, and enter insulin, all without looking at the pump. I would imagine that without physical buttons and a need to unlock the screen, something like this is not possible?
* Screen unlock: how annoying is that? I feel like I interact with my pump so much, I'm not sure if the 1-2-3 is going to feel cumbersome?
* Lights/screen backlight? I'm often hesitant about pulling out my pump in places where it can be tough to use "electronics," such as at the theatre, or in a movie in the dark, etc. With the Medtronic pump, I can control the backlight on/off. Between this control and the ability to "blind bolus," it makes it easy to be discreet about bolusing. Is there any way to use the tandem pump for a sneaky injection without having the backlight turning on brightly? 
* Travelling with a rechargeable pump: I do a decent amount of travelling and the peace of mind of being able to be totally self-sufficient, including a handful of AAA batteries for my pump is really nice. Have you ever run out of juice with your pump? Is there anything you can do to mitigate against that? How can you go camping, etc? Can it be charged via one of those external, portable battery packs?
Thanks so much for your advice! This is always such a big, expensive decision. My gut is telling me that I'm going to go with the Tandem regardless. I haven't been impressed by what I've heard about the 670G and the Guardian system is just so terrible. But I'd love to be told that some of my concerns aren't that big a deal with the new system!
Thanks team!</t>
        </is>
      </c>
      <c r="D9668" t="n">
        <v>7</v>
      </c>
      <c r="E9668" t="n">
        <v>19</v>
      </c>
      <c r="F9668">
        <f>HYPERLINK("https://www.reddit.com/r/diabetes/comments/h0raz3/did_anyone_switch_from_metronictandem_and_regret/")</f>
        <v/>
      </c>
      <c r="G9668" t="inlineStr">
        <is>
          <t>2020-06-10 20:38:19</t>
        </is>
      </c>
      <c r="H9668" t="inlineStr">
        <is>
          <t>Type 1</t>
        </is>
      </c>
    </row>
    <row r="9669">
      <c r="A9669" t="inlineStr">
        <is>
          <t>h0rwn0</t>
        </is>
      </c>
      <c r="B9669" t="inlineStr">
        <is>
          <t>I made a rash decision...</t>
        </is>
      </c>
      <c r="C9669" t="inlineStr">
        <is>
          <t>I just removed my pump and Dexcom from my body, switched off my pump and took a shot of Levemir. I don’t want machines attached to me anymore. I also went to Walgreens right before close and bought myself a shiny new meter (Accu-Chek Guide) just for the fun of it, but mostly because I was intrigued by the test strip bottle. This is going to be my first time sleeping without a Dexcom since 2008, I’m a little nervous.</t>
        </is>
      </c>
      <c r="D9669" t="n">
        <v>6</v>
      </c>
      <c r="E9669" t="n">
        <v>5</v>
      </c>
      <c r="F9669">
        <f>HYPERLINK("https://www.reddit.com/r/diabetes/comments/h0rwn0/i_made_a_rash_decision/")</f>
        <v/>
      </c>
      <c r="G9669" t="inlineStr">
        <is>
          <t>2020-06-10 21:19:49</t>
        </is>
      </c>
      <c r="H9669" t="inlineStr">
        <is>
          <t>Type 1</t>
        </is>
      </c>
    </row>
    <row r="9670">
      <c r="A9670" t="inlineStr">
        <is>
          <t>h0s2bm</t>
        </is>
      </c>
      <c r="B9670" t="inlineStr">
        <is>
          <t>Calorie counting and having a rough time</t>
        </is>
      </c>
      <c r="C9670" t="inlineStr">
        <is>
          <t>39F, type 2, basaglar, metformin, glimiperide (which I stopped) 
Just started a paid diet program that emphasizes calorie restriction, fruits and veggies, and exercise. Program wants me to stick to 1600 calories a day. Before I was probably eating 3000 to 4000 calories per day--yes, I know that's bad, that's why I started the diet.
I've cut back on my basaglar per my doctor's instructions. I'm really trying to make healthy choices. I'm hitting bulky vegetables and lean meats hard. But I'm really struggling to get down to even close to 1600 calories. It's been very hard to not break 2000. My blood sugar is in a healthy range. Now that I've stopped the glimiperide I'm not having lows. But I can't get to 1600 without wanting to gnaw my arm off from hunger. I've also been really moody. My life is stressful, but I feel like the dietary changes are making me moodier.
I have only been doing this for a week, and I didn't expect to be good at it immediately. If it were easy I would have done it long ago. But I'm feeling hungry, discouraged, and I kinda want to punch someone.
Any advice? I know a lot of people here have better diet control than I do. Did you struggle? How long did it take to hit a stride? Do you know where to buy tacos with no calories?</t>
        </is>
      </c>
      <c r="D9670" t="n">
        <v>3</v>
      </c>
      <c r="E9670" t="n">
        <v>19</v>
      </c>
      <c r="F9670">
        <f>HYPERLINK("https://www.reddit.com/r/diabetes/comments/h0s2bm/calorie_counting_and_having_a_rough_time/")</f>
        <v/>
      </c>
      <c r="G9670" t="inlineStr">
        <is>
          <t>2020-06-10 21:30:55</t>
        </is>
      </c>
      <c r="H9670" t="inlineStr">
        <is>
          <t>Type 2</t>
        </is>
      </c>
    </row>
    <row r="9671">
      <c r="A9671" t="inlineStr">
        <is>
          <t>h0wgcd</t>
        </is>
      </c>
      <c r="B9671" t="inlineStr">
        <is>
          <t>could i have type 2 without knowing it?</t>
        </is>
      </c>
      <c r="C9671" t="inlineStr">
        <is>
          <t>Ive always thought not bbecause I know about hypo and hyper glycemia from one of my jobs, and ive never felt anything extreme, but when I was younger, I used to binge 20+ cans of coke per day, and still oftenly do the same, 10+ in a day, at times. And its only those days, wherre I get that much sugar, where I feell in a better mood.. but otherwise, every other day, I dont seem to be in a good mood at all. I feel tired and exhausted, unless i consume mass amounts of sugar. 
Should I be seeing it as a neccessityu each day to manage my sugar intake? Ive never had actual harmful episodes in anyway like type 1 peope suffer with, or ever needed any insulin or anything. Maybe im not diabetic and its nothing to do with it?</t>
        </is>
      </c>
      <c r="D9671" t="n">
        <v>0</v>
      </c>
      <c r="E9671" t="n">
        <v>19</v>
      </c>
      <c r="F9671">
        <f>HYPERLINK("https://www.reddit.com/r/diabetes/comments/h0wgcd/could_i_have_type_2_without_knowing_it/")</f>
        <v/>
      </c>
      <c r="G9671" t="inlineStr">
        <is>
          <t>2020-06-11 03:07:45</t>
        </is>
      </c>
      <c r="H9671" t="inlineStr">
        <is>
          <t>Type 2</t>
        </is>
      </c>
    </row>
    <row r="9672">
      <c r="A9672" t="inlineStr">
        <is>
          <t>h10j5e</t>
        </is>
      </c>
      <c r="B9672" t="inlineStr">
        <is>
          <t>Thanks to this group...</t>
        </is>
      </c>
      <c r="C9672" t="inlineStr">
        <is>
          <t>This group has helped me find my way! Thanks!   90 day average, 67 tests at 116.  Lost 12 pounds. Testing after meals and eliminated bad foods plus a minimum 1 1/2 hrs exercise daily.  71 years old.</t>
        </is>
      </c>
      <c r="D9672" t="n">
        <v>22</v>
      </c>
      <c r="E9672" t="n">
        <v>7</v>
      </c>
      <c r="F9672">
        <f>HYPERLINK("https://www.reddit.com/r/diabetes/comments/h10j5e/thanks_to_this_group/")</f>
        <v/>
      </c>
      <c r="G9672" t="inlineStr">
        <is>
          <t>2020-06-11 07:38:55</t>
        </is>
      </c>
      <c r="H9672" t="inlineStr">
        <is>
          <t>Type 2</t>
        </is>
      </c>
    </row>
    <row r="9673">
      <c r="A9673" t="inlineStr">
        <is>
          <t>h10zm3</t>
        </is>
      </c>
      <c r="B9673" t="inlineStr">
        <is>
          <t>Can someone explain why pizza is magical?</t>
        </is>
      </c>
      <c r="C9673" t="inlineStr">
        <is>
          <t>Pizza seems to be the one food that I have to delay my bolus by a good 20-30 minutes otherwise I'll get a low before getting a spike.
On top of that, it seems like I almost need two waves of bolus, one to keep the initial spike down, and another to bring everything back down to normal later on when I plateau in the high 100s / low 200s.
What is this sorcery?</t>
        </is>
      </c>
      <c r="D9673" t="n">
        <v>1</v>
      </c>
      <c r="E9673" t="n">
        <v>6</v>
      </c>
      <c r="F9673">
        <f>HYPERLINK("https://www.reddit.com/r/diabetes/comments/h10zm3/can_someone_explain_why_pizza_is_magical/")</f>
        <v/>
      </c>
      <c r="G9673" t="inlineStr">
        <is>
          <t>2020-06-11 08:03:40</t>
        </is>
      </c>
      <c r="H9673" t="inlineStr">
        <is>
          <t>Type 1.5/LADA</t>
        </is>
      </c>
    </row>
    <row r="9674">
      <c r="A9674" t="inlineStr">
        <is>
          <t>h1285x</t>
        </is>
      </c>
      <c r="B9674" t="inlineStr">
        <is>
          <t>Fast meal ideas</t>
        </is>
      </c>
      <c r="C9674" t="inlineStr">
        <is>
          <t>Since getting diagnosed with T2, I've found that every meal I used to make in under 15 minutes is out. Some family members recently got hospitalized so my extra time to cook is gone. 
Any recommendations? They need to also be kid approved, because 10yr olds apparently need regular feeding and watering... I've lost so many house plants...........</t>
        </is>
      </c>
      <c r="D9674" t="n">
        <v>1</v>
      </c>
      <c r="E9674" t="n">
        <v>4</v>
      </c>
      <c r="F9674">
        <f>HYPERLINK("https://www.reddit.com/r/diabetes/comments/h1285x/fast_meal_ideas/")</f>
        <v/>
      </c>
      <c r="G9674" t="inlineStr">
        <is>
          <t>2020-06-11 09:09:05</t>
        </is>
      </c>
      <c r="H9674" t="inlineStr">
        <is>
          <t>Type 2</t>
        </is>
      </c>
    </row>
    <row r="9675">
      <c r="A9675" t="inlineStr">
        <is>
          <t>h132ac</t>
        </is>
      </c>
      <c r="B9675" t="inlineStr">
        <is>
          <t>I'm on a rollercoaster and it's exhausting.</t>
        </is>
      </c>
      <c r="C9675" t="inlineStr">
        <is>
          <t>Hi, this past week ahs been really difficult for me blood sugar wise and I'm mot sure what to do anymore. 
I take Novorapid (which is rapid acting and stays in the body for only about 3-4 hours) 
The problem occurs when (like right now( I pre-bolused 20 mins beofre a meal cz it was kind of heavy on the carbs with mashed potatoes and now I feel like I've gone high because I'm starting to get a headache. 
But I know that if I would've taken more insulin earlier I would surely get a low 2 hours later! 
So it right now feels like I have to make a choice between going high for a bit immediately after a meal or go low 2 hours later! 😓😓😓 
I really don't know what to do! 
If anyone has faced the same issue and knows what to do please please help!</t>
        </is>
      </c>
      <c r="D9675" t="n">
        <v>3</v>
      </c>
      <c r="E9675" t="n">
        <v>5</v>
      </c>
      <c r="F9675">
        <f>HYPERLINK("https://www.reddit.com/r/diabetes/comments/h132ac/im_on_a_rollercoaster_and_its_exhausting/")</f>
        <v/>
      </c>
      <c r="G9675" t="inlineStr">
        <is>
          <t>2020-06-11 09:52:38</t>
        </is>
      </c>
      <c r="H9675" t="inlineStr">
        <is>
          <t>Type 1</t>
        </is>
      </c>
    </row>
    <row r="9676">
      <c r="A9676" t="inlineStr">
        <is>
          <t>h13hv4</t>
        </is>
      </c>
      <c r="B9676" t="inlineStr">
        <is>
          <t>670g without a CGM</t>
        </is>
      </c>
      <c r="C9676" t="inlineStr">
        <is>
          <t>Hi all,
I am a long time pump user and have always used Medtronic products. I currently have a 640g. I am currently looking to upgrade to a new pump and have been given a choice of devices (I was never given choices previously and stayed with Medtronic).
My question is: can the 670g work without a CGM? I have used a CGM in the past (Freestyle Libre) and really like that model, but they don't particularly fit my lifestyle and are quite costly. I don't plan on using the Medtronic CGM, and the few times I would use a CGM I would just purchase a Libre sensor as a one off. 
I can get another 640g which may be a better option if I am not using the Medtronic CGM.
Any advice or personal experience with either pump would be welcome.</t>
        </is>
      </c>
      <c r="D9676" t="n">
        <v>3</v>
      </c>
      <c r="E9676" t="n">
        <v>8</v>
      </c>
      <c r="F9676">
        <f>HYPERLINK("https://www.reddit.com/r/diabetes/comments/h13hv4/670g_without_a_cgm/")</f>
        <v/>
      </c>
      <c r="G9676" t="inlineStr">
        <is>
          <t>2020-06-11 10:14:39</t>
        </is>
      </c>
      <c r="H9676" t="inlineStr">
        <is>
          <t>Type 1</t>
        </is>
      </c>
    </row>
    <row r="9677">
      <c r="A9677" t="inlineStr">
        <is>
          <t>h7b0al</t>
        </is>
      </c>
      <c r="B9677" t="inlineStr">
        <is>
          <t>Insurance denied dexcom, got a Libre today</t>
        </is>
      </c>
      <c r="C9677" t="inlineStr">
        <is>
          <t>So insurance denied my request for a dexcom. My doctor even called and talked to them but they said I had to taking insulin or T1 to qualify, which I'm not.
Anyways, doctor suggested I get a Freestyle Libre, so I got one today.
What's the downside of Libre compared to dexcom? 
Also have my 3 month A1C checkup since the initial diagnosis in early March. Wish me luck!</t>
        </is>
      </c>
      <c r="D9677" t="n">
        <v>1</v>
      </c>
      <c r="E9677" t="n">
        <v>9</v>
      </c>
      <c r="F9677">
        <f>HYPERLINK("https://www.reddit.com/r/diabetes/comments/h7b0al/insurance_denied_dexcom_got_a_libre_today/")</f>
        <v/>
      </c>
      <c r="G9677" t="inlineStr">
        <is>
          <t>2020-06-11 18:13:03</t>
        </is>
      </c>
      <c r="H9677" t="inlineStr">
        <is>
          <t>Type 2</t>
        </is>
      </c>
    </row>
    <row r="9678">
      <c r="A9678" t="inlineStr">
        <is>
          <t>h7bz6y</t>
        </is>
      </c>
      <c r="B9678" t="inlineStr">
        <is>
          <t>Injection Site</t>
        </is>
      </c>
      <c r="C9678" t="inlineStr">
        <is>
          <t>Can anyone help with a rpoblem I had today? I inject once a day (Lantus) with my low-carb diet. When I injected into my side it hurt more than it normally does. After injecting my 10 units, I noticed a tiny amount of blood. Also, when I was done, it felt like a tiny bead in under my skin. Is this something anyone else has ever experienced? Type 1 diagnosed 7 months ago if it matters.</t>
        </is>
      </c>
      <c r="D9678" t="n">
        <v>1</v>
      </c>
      <c r="E9678" t="n">
        <v>5</v>
      </c>
      <c r="F9678">
        <f>HYPERLINK("https://www.reddit.com/r/diabetes/comments/h7bz6y/injection_site/")</f>
        <v/>
      </c>
      <c r="G9678" t="inlineStr">
        <is>
          <t>2020-06-11 19:11:04</t>
        </is>
      </c>
      <c r="H9678" t="inlineStr">
        <is>
          <t>Type 1</t>
        </is>
      </c>
    </row>
    <row r="9679">
      <c r="A9679" t="inlineStr">
        <is>
          <t>h7ckv9</t>
        </is>
      </c>
      <c r="B9679" t="inlineStr">
        <is>
          <t>Question...</t>
        </is>
      </c>
      <c r="C9679" t="inlineStr">
        <is>
          <t>im sure nobody will see this but does anybody know if i need one of the \_\_\_\_\_\_iq updates on my tslim x2 to use it with my g6</t>
        </is>
      </c>
      <c r="D9679" t="n">
        <v>1</v>
      </c>
      <c r="E9679" t="n">
        <v>6</v>
      </c>
      <c r="F9679">
        <f>HYPERLINK("https://www.reddit.com/r/diabetes/comments/h7ckv9/question/")</f>
        <v/>
      </c>
      <c r="G9679" t="inlineStr">
        <is>
          <t>2020-06-11 19:50:58</t>
        </is>
      </c>
      <c r="H9679" t="inlineStr">
        <is>
          <t>Type 1</t>
        </is>
      </c>
    </row>
    <row r="9680">
      <c r="A9680" t="inlineStr">
        <is>
          <t>h7do1w</t>
        </is>
      </c>
      <c r="B9680" t="inlineStr">
        <is>
          <t>Insurance forcing my to switch from Novolog to the Generic form called Aspart. Anyone done this yet?</t>
        </is>
      </c>
      <c r="C9680" t="inlineStr">
        <is>
          <t>My biggest concern is they are both made by the same company, only that Aspart is cheaper.  So if Aspart is cheaper and is just like Novolog, and is also made by the same company, why not just make Novolog the way they make Aspart but save tons of money?  Clearly you need to cut corners to create a cheaper product, do you not?  I have severe anxiety and PTSD with diabetes from past issue with Lantus, so I'm having an incredibly hard time with this and would love absolutely any type of feedback both good and bad.  I was also told the amount per carb is 100% the same, I just can't wrap my head around why this one company has two ""identical"" products.</t>
        </is>
      </c>
      <c r="D9680" t="n">
        <v>1</v>
      </c>
      <c r="E9680" t="n">
        <v>8</v>
      </c>
      <c r="F9680">
        <f>HYPERLINK("https://www.reddit.com/r/diabetes/comments/h7do1w/insurance_forcing_my_to_switch_from_novolog_to/")</f>
        <v/>
      </c>
      <c r="G9680" t="inlineStr">
        <is>
          <t>2020-06-11 21:06:59</t>
        </is>
      </c>
      <c r="H9680" t="inlineStr">
        <is>
          <t>Type 1</t>
        </is>
      </c>
    </row>
    <row r="9681">
      <c r="A9681" t="inlineStr">
        <is>
          <t>h7is7n</t>
        </is>
      </c>
      <c r="B9681" t="inlineStr">
        <is>
          <t>Diabetes and COVID</t>
        </is>
      </c>
      <c r="C9681" t="inlineStr">
        <is>
          <t>Hello, I’m a type one diabetic, and after being home for almost three months, I’m going back to work on Monday. 
I’m really concerned, but I also know that I have to be back at some point; so I’m trying to stay positive.
Any advice or suggestions?
I work as a cashier in a retail store 🥺</t>
        </is>
      </c>
      <c r="D9681" t="n">
        <v>6</v>
      </c>
      <c r="E9681" t="n">
        <v>12</v>
      </c>
      <c r="F9681">
        <f>HYPERLINK("https://www.reddit.com/r/diabetes/comments/h7is7n/diabetes_and_covid/")</f>
        <v/>
      </c>
      <c r="G9681" t="inlineStr">
        <is>
          <t>2020-06-12 04:12:36</t>
        </is>
      </c>
      <c r="H9681" t="inlineStr">
        <is>
          <t>Type 1</t>
        </is>
      </c>
    </row>
    <row r="9682">
      <c r="A9682" t="inlineStr">
        <is>
          <t>h7n6ps</t>
        </is>
      </c>
      <c r="B9682" t="inlineStr">
        <is>
          <t>Virta Keto Program: Interested in joining. Any concerns/tips? (52 F, Type-2 Diabetic)</t>
        </is>
      </c>
      <c r="C9682" t="inlineStr">
        <is>
          <t>My doctor has recommended me for the Virta Keto Program (very low carb, high fat diet) which claims to reduce my need for insulin completely over time. I am currently on an insulin pump that I only really need 1-2 times daily. Are there any questions I should ask my primary care provider relating to how my body will react to the sudden change in diet, if there are any long lasting effects I should know about, will it affect any other medications? If you're currently on the program/have been on it/are knowledgeable about it i'd love to hear your input!</t>
        </is>
      </c>
      <c r="D9682" t="n">
        <v>4</v>
      </c>
      <c r="E9682" t="n">
        <v>7</v>
      </c>
      <c r="F9682">
        <f>HYPERLINK("https://www.reddit.com/r/diabetes/comments/h7n6ps/virta_keto_program_interested_in_joining_any/")</f>
        <v/>
      </c>
      <c r="G9682" t="inlineStr">
        <is>
          <t>2020-06-12 08:49:05</t>
        </is>
      </c>
      <c r="H9682" t="inlineStr">
        <is>
          <t>Type 2</t>
        </is>
      </c>
    </row>
    <row r="9683">
      <c r="A9683" t="inlineStr">
        <is>
          <t>h7pi92</t>
        </is>
      </c>
      <c r="B9683" t="inlineStr">
        <is>
          <t>Tip from a brittle type 1</t>
        </is>
      </c>
      <c r="C9683" t="inlineStr">
        <is>
          <t>Prefacing this by I’m not a doctor, I’ve just lived with type 1 for 15 years and I’ve picked up some tricks. I have a lot of high blood sugars and I get dehydrated super easily. Water is great and all but I find myself still feeling kinda bleh even after drinking a bunch of water. Where I live we got Kum&amp;amp;Go and they have 52oz $1 fountain drinks. They also have vitamin water zero on fountain. I find after downing one of those I feel a lot better vs drinking 52oz of water. It keeps my legs from cramping up too bad after a high blood sugar dehydrates me. I’m guessing it’s the extra nutrients in it helps replenish what’s lost with the high blood sugar. Vitamin water will also run through you pretty quick so it’s a pro at flushing out ketones. My girlfriend jokes that vitamin water is my life line and as long as I have some she knows I won’t go into DKA. Anywho just a quick tip for those out there who have trouble chugging a bunch of water.</t>
        </is>
      </c>
      <c r="D9683" t="n">
        <v>30</v>
      </c>
      <c r="E9683" t="n">
        <v>10</v>
      </c>
      <c r="F9683">
        <f>HYPERLINK("https://www.reddit.com/r/diabetes/comments/h7pi92/tip_from_a_brittle_type_1/")</f>
        <v/>
      </c>
      <c r="G9683" t="inlineStr">
        <is>
          <t>2020-06-12 10:49:30</t>
        </is>
      </c>
      <c r="H9683" t="inlineStr">
        <is>
          <t>Type 1</t>
        </is>
      </c>
    </row>
    <row r="9684">
      <c r="A9684" t="inlineStr">
        <is>
          <t>h7qc8h</t>
        </is>
      </c>
      <c r="B9684" t="inlineStr">
        <is>
          <t>[T1] is it normal or lose control of your motor skills when your blood sugar gets low</t>
        </is>
      </c>
      <c r="C9684" t="inlineStr">
        <is>
          <t>I was writhing in my chair uncontrollably not even able to type this (I'm good now I ate) it's like I couldn't control my body, dropping shit and almost falling out of my chair, I've been T1 for 11 years now (since I was 10) and this only started recently happening, not not sure if it's getting worse or if I just had a bad episode additionally my fingertips and tongue gets pins and needles when my blood sugar is low, should I be worried? I don't have a doctor or insurance so I have to rely on other diabetics for advice, thank you for reading
I also can't think straight</t>
        </is>
      </c>
      <c r="D9684" t="n">
        <v>66</v>
      </c>
      <c r="E9684" t="n">
        <v>41</v>
      </c>
      <c r="F9684">
        <f>HYPERLINK("https://www.reddit.com/r/diabetes/comments/h7qc8h/t1_is_it_normal_or_lose_control_of_your_motor/")</f>
        <v/>
      </c>
      <c r="G9684" t="inlineStr">
        <is>
          <t>2020-06-12 11:33:32</t>
        </is>
      </c>
      <c r="H9684" t="inlineStr">
        <is>
          <t>Type 1</t>
        </is>
      </c>
    </row>
    <row r="9685">
      <c r="A9685" t="inlineStr">
        <is>
          <t>h7qvfp</t>
        </is>
      </c>
      <c r="B9685" t="inlineStr">
        <is>
          <t>Are leg massagers safe for diabetics?</t>
        </is>
      </c>
      <c r="C9685" t="inlineStr">
        <is>
          <t>Hello, my father has diabetes and has been experiencing a lot of leg pain as of recently.  
He is in his 60s and not in the best health(lifetime of smoking, sedimentary lifestyle, etc)  
I was wondering if products like this below will help manage the pain  
[https://www.amazon.com/Leg-Massager-Circulation-Compression-Relaxation/dp/B07W5YJ6PW](https://www.amazon.com/Leg-Massager-Circulation-Compression-Relaxation/dp/B07W5YJ6PW)  
My grandmother lost her leg due to diabetes and I want to make sure this type of thing would be safe or even effective for treating his pain
If anyone has other home remedies for leg pain suggestions, that would be greatly appreciated.</t>
        </is>
      </c>
      <c r="D9685" t="n">
        <v>5</v>
      </c>
      <c r="E9685" t="n">
        <v>5</v>
      </c>
      <c r="F9685">
        <f>HYPERLINK("https://www.reddit.com/r/diabetes/comments/h7qvfp/are_leg_massagers_safe_for_diabetics/")</f>
        <v/>
      </c>
      <c r="G9685" t="inlineStr">
        <is>
          <t>2020-06-12 12:02:13</t>
        </is>
      </c>
      <c r="H9685" t="inlineStr">
        <is>
          <t>Type 2</t>
        </is>
      </c>
    </row>
    <row r="9686">
      <c r="A9686" t="inlineStr">
        <is>
          <t>h7qx4d</t>
        </is>
      </c>
      <c r="B9686" t="inlineStr">
        <is>
          <t>Where to find a Medtronic Paradigm 515 pump service manual.</t>
        </is>
      </c>
      <c r="C9686" t="inlineStr">
        <is>
          <t>Does anyone know where I can find a service Manual for this pump. I have found the user guide, but cannot find the service manual</t>
        </is>
      </c>
      <c r="D9686" t="n">
        <v>2</v>
      </c>
      <c r="E9686" t="n">
        <v>3</v>
      </c>
      <c r="F9686">
        <f>HYPERLINK("https://www.reddit.com/r/diabetes/comments/h7qx4d/where_to_find_a_medtronic_paradigm_515_pump/")</f>
        <v/>
      </c>
      <c r="G9686" t="inlineStr">
        <is>
          <t>2020-06-12 12:04:39</t>
        </is>
      </c>
      <c r="H9686" t="inlineStr">
        <is>
          <t>Type 1</t>
        </is>
      </c>
    </row>
    <row r="9687">
      <c r="A9687" t="inlineStr">
        <is>
          <t>h7ratq</t>
        </is>
      </c>
      <c r="B9687" t="inlineStr">
        <is>
          <t>A1C 14.4 -&amp;gt; 6.6 in 3 months</t>
        </is>
      </c>
      <c r="C9687" t="inlineStr">
        <is>
          <t>Diagnosed in early March with A1C of 14.4
After metformin, STRICT diet and lots of walking, went in for my A1C this morning.
Results just came back at 6.6
A part of me is happy that at least it worked but the other part is sad because I cut my diet to the bones and this diet is not sustainable long term..And still it came back as diabetic.
Still awaiting further tests to confirm if it's T2 or T1 or LADA.
But I will take this as a win for now and SLOWLY start introducing other foods apart from just rabbit food ☺️</t>
        </is>
      </c>
      <c r="D9687" t="n">
        <v>12</v>
      </c>
      <c r="E9687" t="n">
        <v>6</v>
      </c>
      <c r="F9687">
        <f>HYPERLINK("https://www.reddit.com/r/diabetes/comments/h7ratq/a1c_144_66_in_3_months/")</f>
        <v/>
      </c>
      <c r="G9687" t="inlineStr">
        <is>
          <t>2020-06-12 12:25:09</t>
        </is>
      </c>
      <c r="H9687" t="inlineStr">
        <is>
          <t>Type 2</t>
        </is>
      </c>
    </row>
    <row r="9688">
      <c r="A9688" t="inlineStr">
        <is>
          <t>h7s1nv</t>
        </is>
      </c>
      <c r="B9688" t="inlineStr">
        <is>
          <t>Lantus, or Balasgar</t>
        </is>
      </c>
      <c r="C9688" t="inlineStr">
        <is>
          <t>Hello everyone in the diabetic community I am here to post this for a favor that I need it really badly see I fell behind on my insurance payments and I am running really dangerously low on Lantis the quickie pen is there anybody out there that would be willing to possibly sell me a Lantis or balsagar pen? I can pay up to 35 per pen, please, please help!!!! I am Desperate and cannot afford to go to er either</t>
        </is>
      </c>
      <c r="D9688" t="n">
        <v>2</v>
      </c>
      <c r="E9688" t="n">
        <v>2</v>
      </c>
      <c r="F9688">
        <f>HYPERLINK("https://www.reddit.com/r/diabetes/comments/h7s1nv/lantus_or_balasgar/")</f>
        <v/>
      </c>
      <c r="G9688" t="inlineStr">
        <is>
          <t>2020-06-12 13:05:27</t>
        </is>
      </c>
      <c r="H9688" t="inlineStr">
        <is>
          <t>Type 1</t>
        </is>
      </c>
    </row>
    <row r="9689">
      <c r="A9689" t="inlineStr">
        <is>
          <t>h7trfa</t>
        </is>
      </c>
      <c r="B9689" t="inlineStr">
        <is>
          <t>A1C from 18.9 to 7.8.</t>
        </is>
      </c>
      <c r="C9689" t="inlineStr">
        <is>
          <t>I wanted to post this because idk I'm really proud of how far I've come in 4 months🥺. Diagnosis with a really bad DKA was no fun. I was admitted with a bg of 30+, ketones of 6.9mmol &amp;amp; an a1c average bg of 18.9mmol (general unwellness &amp;amp; trouble breathing/ doing anything) back in February, showing symptoms as early as October. I'm 19 and moved out to live by myself in November so from living with my family to having to ring an ambulance by myself at 3am was,,, a move to say the least. Quarantine has given me the time I need to learn everything I can about diabetes and how to control it and I'm really proud of myself to say the least, as I knocked out over 10mmol going down to an average bg of 7.8mmol. I'm not sure why I'm posting here but just wanted to share the positivity I guess! Wanted to say you can do anything if you believe you can and push for it:) Here I come 6👀 Happy days everyone, hope you're all well!💛</t>
        </is>
      </c>
      <c r="D9689" t="n">
        <v>254</v>
      </c>
      <c r="E9689" t="n">
        <v>52</v>
      </c>
      <c r="F9689">
        <f>HYPERLINK("https://www.reddit.com/r/diabetes/comments/h7trfa/a1c_from_189_to_78/")</f>
        <v/>
      </c>
      <c r="G9689" t="inlineStr">
        <is>
          <t>2020-06-12 14:41:11</t>
        </is>
      </c>
      <c r="H9689" t="inlineStr">
        <is>
          <t>Type 1</t>
        </is>
      </c>
    </row>
    <row r="9690">
      <c r="A9690" t="inlineStr">
        <is>
          <t>h7w0xx</t>
        </is>
      </c>
      <c r="B9690" t="inlineStr">
        <is>
          <t>Is it good</t>
        </is>
      </c>
      <c r="C9690" t="inlineStr">
        <is>
          <t>Is a 6.1 a1c good? Are there any benefits of it being lower?</t>
        </is>
      </c>
      <c r="D9690" t="n">
        <v>1</v>
      </c>
      <c r="E9690" t="n">
        <v>3</v>
      </c>
      <c r="F9690">
        <f>HYPERLINK("https://www.reddit.com/r/diabetes/comments/h7w0xx/is_it_good/")</f>
        <v/>
      </c>
      <c r="G9690" t="inlineStr">
        <is>
          <t>2020-06-12 16:45:10</t>
        </is>
      </c>
      <c r="H9690" t="inlineStr">
        <is>
          <t>Type 1</t>
        </is>
      </c>
    </row>
    <row r="9691">
      <c r="A9691" t="inlineStr">
        <is>
          <t>h7zani</t>
        </is>
      </c>
      <c r="B9691" t="inlineStr">
        <is>
          <t>Insulin pumps, pros and cons?</t>
        </is>
      </c>
      <c r="C9691" t="inlineStr">
        <is>
          <t>I want to talk to my doctor about putting me on an insulin pump, because for a long time, using both short and long-term insulin, and Metformin, high blood sugar is still extremely high all the time, especially after I sleep, in the morning usually running between 3:50 and 4:50.
I would appreciate hearing from those who actually use them, what are the pros and cons. What are the annoyances, and are they worth the trouble?
Is it safe to assume they require special insulin in a special cartridge, or can you use regular vial insulin with them? I have never been a person that likes paying extra for pens anyways so I'm used to vials and needles.</t>
        </is>
      </c>
      <c r="D9691" t="n">
        <v>1</v>
      </c>
      <c r="E9691" t="n">
        <v>3</v>
      </c>
      <c r="F9691">
        <f>HYPERLINK("https://www.reddit.com/r/diabetes/comments/h7zani/insulin_pumps_pros_and_cons/")</f>
        <v/>
      </c>
      <c r="G9691" t="inlineStr">
        <is>
          <t>2020-06-12 20:04:15</t>
        </is>
      </c>
      <c r="H9691" t="inlineStr">
        <is>
          <t>Type 2</t>
        </is>
      </c>
    </row>
    <row r="9692">
      <c r="A9692" t="inlineStr">
        <is>
          <t>h802up</t>
        </is>
      </c>
      <c r="B9692" t="inlineStr">
        <is>
          <t>Medtronic 670G CGM calibration not accepted</t>
        </is>
      </c>
      <c r="C9692" t="inlineStr">
        <is>
          <t>I put in a new sensor and the warmup just completed and it asked for a calibration. So I did it and it said calibration not accepted and it said to wait. This is so ANNOYING because if the second one doesn’t work then I have to take it off and throw it all away. Any help with this?</t>
        </is>
      </c>
      <c r="D9692" t="n">
        <v>1</v>
      </c>
      <c r="E9692" t="n">
        <v>6</v>
      </c>
      <c r="F9692">
        <f>HYPERLINK("https://www.reddit.com/r/diabetes/comments/h802up/medtronic_670g_cgm_calibration_not_accepted/")</f>
        <v/>
      </c>
      <c r="G9692" t="inlineStr">
        <is>
          <t>2020-06-12 20:56:40</t>
        </is>
      </c>
      <c r="H9692" t="inlineStr">
        <is>
          <t>Type 1</t>
        </is>
      </c>
    </row>
    <row r="9693">
      <c r="A9693" t="inlineStr">
        <is>
          <t>h80ayd</t>
        </is>
      </c>
      <c r="B9693" t="inlineStr">
        <is>
          <t>What to eat?</t>
        </is>
      </c>
      <c r="C9693" t="inlineStr">
        <is>
          <t>Hello, i was diagnosed with type 2 diabetes on tuesday and just started on metformin. However, i cannot seem to stomach anything as i am experiencing the side effects of metformin - diarrhea and nausea. I've been living on fruit and very small portions of finger food (sausages, baked fish fillets) because that is basically the only thing i can stomach right now. Finger food is still unhealthy but i just cannot stomach anything else right now. Eating just fruit is also unsustainable for me. Does anyone have any other suggestions? Thank you. 
(I am able to stomach things during breakfast so i have been having a hardboiled egg and 1 slice of whole meal toast)</t>
        </is>
      </c>
      <c r="D9693" t="n">
        <v>1</v>
      </c>
      <c r="E9693" t="n">
        <v>5</v>
      </c>
      <c r="F9693">
        <f>HYPERLINK("https://www.reddit.com/r/diabetes/comments/h80ayd/what_to_eat/")</f>
        <v/>
      </c>
      <c r="G9693" t="inlineStr">
        <is>
          <t>2020-06-12 21:12:19</t>
        </is>
      </c>
      <c r="H9693" t="inlineStr">
        <is>
          <t>Type 2</t>
        </is>
      </c>
    </row>
    <row r="9694">
      <c r="A9694" t="inlineStr">
        <is>
          <t>h80nz5</t>
        </is>
      </c>
      <c r="B9694" t="inlineStr">
        <is>
          <t>Bg rising at midnight</t>
        </is>
      </c>
      <c r="C9694" t="inlineStr">
        <is>
          <t>Why is my sugar rising even though I have taken my long acting at 9 pm? I take levemir.</t>
        </is>
      </c>
      <c r="D9694" t="n">
        <v>1</v>
      </c>
      <c r="E9694" t="n">
        <v>4</v>
      </c>
      <c r="F9694">
        <f>HYPERLINK("https://www.reddit.com/r/diabetes/comments/h80nz5/bg_rising_at_midnight/")</f>
        <v/>
      </c>
      <c r="G9694" t="inlineStr">
        <is>
          <t>2020-06-12 21:38:08</t>
        </is>
      </c>
      <c r="H9694" t="inlineStr">
        <is>
          <t>Type 1</t>
        </is>
      </c>
    </row>
    <row r="9695">
      <c r="A9695" t="inlineStr">
        <is>
          <t>h80rje</t>
        </is>
      </c>
      <c r="B9695" t="inlineStr">
        <is>
          <t>CGMs pros and cons</t>
        </is>
      </c>
      <c r="C9695" t="inlineStr">
        <is>
          <t>Those of you that actually use something like the Dexcom, what do you feel are the positives and negatives about it over all? What frustrations do you run into? How useful is it?</t>
        </is>
      </c>
      <c r="D9695" t="n">
        <v>1</v>
      </c>
      <c r="E9695" t="n">
        <v>5</v>
      </c>
      <c r="F9695">
        <f>HYPERLINK("https://www.reddit.com/r/diabetes/comments/h80rje/cgms_pros_and_cons/")</f>
        <v/>
      </c>
      <c r="G9695" t="inlineStr">
        <is>
          <t>2020-06-12 21:45:18</t>
        </is>
      </c>
      <c r="H9695" t="inlineStr">
        <is>
          <t>Type 2</t>
        </is>
      </c>
    </row>
    <row r="9696">
      <c r="A9696" t="inlineStr">
        <is>
          <t>h821aw</t>
        </is>
      </c>
      <c r="B9696" t="inlineStr">
        <is>
          <t>I think I'm gonna get diagnosed with Diabetes (type 2) on Tuesday and I'm terrified</t>
        </is>
      </c>
      <c r="C9696" t="inlineStr">
        <is>
          <t>I (26) went in for standard bloodwork earlier this week checking my testosterone and estrogen levels (I'm trans MTF) and I also did a comp metabolic set. I just got my test results back and my glucose was at 204 mg/dL. I had eaten some white bread two hours prior to blood work, and I've read that over 200 is in diabetic range. 
I mean I guess it makes sense, I honestly eat terribly and am obese (5'6, 260 lbs) and don't exercise much at all, but I also don't notice any of the usual symptoms. I only pee 3-4 times a day, and I don't have excessive thirst at all. I also get a lipid set done every 6 months, and while my HDL cholesterol has been low, my doctor hasn't ever mentioned diabetes. 
I'm preparing for the worst. I really need to make a change and lose weight and eat healthy.</t>
        </is>
      </c>
      <c r="D9696" t="n">
        <v>2</v>
      </c>
      <c r="E9696" t="n">
        <v>6</v>
      </c>
      <c r="F9696">
        <f>HYPERLINK("https://www.reddit.com/r/diabetes/comments/h821aw/i_think_im_gonna_get_diagnosed_with_diabetes_type/")</f>
        <v/>
      </c>
      <c r="G9696" t="inlineStr">
        <is>
          <t>2020-06-12 23:20:23</t>
        </is>
      </c>
      <c r="H9696" t="inlineStr">
        <is>
          <t>Type 2</t>
        </is>
      </c>
    </row>
    <row r="9697">
      <c r="A9697" t="inlineStr">
        <is>
          <t>h82alj</t>
        </is>
      </c>
      <c r="B9697" t="inlineStr">
        <is>
          <t>Its going to be an interesting night</t>
        </is>
      </c>
      <c r="C9697" t="inlineStr">
        <is>
          <t>I accidently just gave myself 25 units of HUMALOG instead of  TRISEBA.   Glucagon on hand just in case.   About to tear this kitchen up!</t>
        </is>
      </c>
      <c r="D9697" t="n">
        <v>9</v>
      </c>
      <c r="E9697" t="n">
        <v>9</v>
      </c>
      <c r="F9697">
        <f>HYPERLINK("https://www.reddit.com/r/diabetes/comments/h82alj/its_going_to_be_an_interesting_night/")</f>
        <v/>
      </c>
      <c r="G9697" t="inlineStr">
        <is>
          <t>2020-06-12 23:40:12</t>
        </is>
      </c>
      <c r="H9697" t="inlineStr">
        <is>
          <t>Type 1</t>
        </is>
      </c>
    </row>
    <row r="9698">
      <c r="A9698" t="inlineStr">
        <is>
          <t>h82ruz</t>
        </is>
      </c>
      <c r="B9698" t="inlineStr">
        <is>
          <t>Rising Blood Sugar but eating same diet</t>
        </is>
      </c>
      <c r="C9698" t="inlineStr">
        <is>
          <t>It has been 5 months since I was diagnosed Type 2 diabetic with 9.2 A1C.
I made big changes in my diet while taking only 500mg Metformin daily and my blood sugar have been 90-110. In fact in Aprl I took another A1C test and it was 5.6 which is normal
I follow basically the same diet and eat almost the same foods &amp;amp; takes my 500mg Met formin religiously but lately my Blood sugar have been consistent 120-150
Has anyone experienced this and what did you do?
I increased my Metformin to 1000mg daily 3 days ago but havent seen changes. 
This makes me really nervous because I dont want my Diabetes to progress since Im still young(30 y.o)
I feel like Im doing all the right things like eating low carb( trying to be on keto), weight management( lost 30 lbs) and taking meds religiously but it feels like this condition is still beating me. 
I dont know Im just so sad.</t>
        </is>
      </c>
      <c r="D9698" t="n">
        <v>2</v>
      </c>
      <c r="E9698" t="n">
        <v>6</v>
      </c>
      <c r="F9698">
        <f>HYPERLINK("https://www.reddit.com/r/diabetes/comments/h82ruz/rising_blood_sugar_but_eating_same_diet/")</f>
        <v/>
      </c>
      <c r="G9698" t="inlineStr">
        <is>
          <t>2020-06-13 00:18:32</t>
        </is>
      </c>
      <c r="H9698" t="inlineStr">
        <is>
          <t>Type 2</t>
        </is>
      </c>
    </row>
    <row r="9699">
      <c r="A9699" t="inlineStr">
        <is>
          <t>h86hl9</t>
        </is>
      </c>
      <c r="B9699" t="inlineStr">
        <is>
          <t>Is my brother in remission?</t>
        </is>
      </c>
      <c r="C9699" t="inlineStr">
        <is>
          <t>My 24 year old brother has T2 and has been exercising hard. He was diagnosed a year ago. We train together playing rugby and going to the gym
His a1c has been 5 since 2020 started. His blood sugars have also been in normal range. He also doesnt have any other side effects. He also said he reduced his insulin shot to just once a day from 5 since the year started with no side effects because taking 5 was making him sick. He also said he eats fast food every now and then and hia blood sugar doesnt move. On cheat days. 
Hes basically normal again. Is his diabetes in remission. He thinks it is.</t>
        </is>
      </c>
      <c r="D9699" t="n">
        <v>0</v>
      </c>
      <c r="E9699" t="n">
        <v>8</v>
      </c>
      <c r="F9699">
        <f>HYPERLINK("https://www.reddit.com/r/diabetes/comments/h86hl9/is_my_brother_in_remission/")</f>
        <v/>
      </c>
      <c r="G9699" t="inlineStr">
        <is>
          <t>2020-06-13 05:18:54</t>
        </is>
      </c>
      <c r="H9699" t="inlineStr">
        <is>
          <t>Type 2</t>
        </is>
      </c>
    </row>
    <row r="9700">
      <c r="A9700" t="inlineStr">
        <is>
          <t>h89bnh</t>
        </is>
      </c>
      <c r="B9700" t="inlineStr">
        <is>
          <t>First time diagnosed and just a little freaked out situation</t>
        </is>
      </c>
      <c r="C9700" t="inlineStr">
        <is>
          <t>Yesterday I got diagnosed with type 2 diabetes, and today I thought that the first thing to do is to join this community. Tbh I am little worried about, because the most freakish thing I found was to maintain diet. I would be grateful to get recommended a diet routine. I searched on the internet as well, but just a practical routine would be more amazing and reliable.</t>
        </is>
      </c>
      <c r="D9700" t="n">
        <v>3</v>
      </c>
      <c r="E9700" t="n">
        <v>8</v>
      </c>
      <c r="F9700">
        <f>HYPERLINK("https://www.reddit.com/r/diabetes/comments/h89bnh/first_time_diagnosed_and_just_a_little_freaked/")</f>
        <v/>
      </c>
      <c r="G9700" t="inlineStr">
        <is>
          <t>2020-06-13 08:12:46</t>
        </is>
      </c>
      <c r="H9700" t="inlineStr">
        <is>
          <t>Type 2</t>
        </is>
      </c>
    </row>
    <row r="9701">
      <c r="A9701" t="inlineStr">
        <is>
          <t>h89tfi</t>
        </is>
      </c>
      <c r="B9701" t="inlineStr">
        <is>
          <t>Question for those who receive refrigerated meds via mail order.</t>
        </is>
      </c>
      <c r="C9701" t="inlineStr">
        <is>
          <t>What do you do with the styrofoam coolers and ice packs? I get 2 meds. Sometimes they screw up and send them in 2 different boxes. The coolers are pretty decent so I hate to throw them away. I’ve looked and the closest styrofoam recycling facility is a 2 hour drive. And they use no less than 5 32oz ice packs. At this point I have a wall of coolers and I’ve had to resort to tossing the ice packs. Seems like such a waste.</t>
        </is>
      </c>
      <c r="D9701" t="n">
        <v>7</v>
      </c>
      <c r="E9701" t="n">
        <v>4</v>
      </c>
      <c r="F9701">
        <f>HYPERLINK("https://www.reddit.com/r/diabetes/comments/h89tfi/question_for_those_who_receive_refrigerated_meds/")</f>
        <v/>
      </c>
      <c r="G9701" t="inlineStr">
        <is>
          <t>2020-06-13 08:41:46</t>
        </is>
      </c>
      <c r="H9701" t="inlineStr">
        <is>
          <t>Type 2</t>
        </is>
      </c>
    </row>
    <row r="9702">
      <c r="A9702" t="inlineStr">
        <is>
          <t>h8bih7</t>
        </is>
      </c>
      <c r="B9702" t="inlineStr">
        <is>
          <t>Losing my health insurance, not sure what to do about insulin</t>
        </is>
      </c>
      <c r="C9702" t="inlineStr">
        <is>
          <t>So my husband just lost his job and we’re losing our health insurance at the end of this month. I’m on insulin (Levemir) and without insurance it’ll cost almost $1000 a month. I’ve been thinking about trying to ration what I have. I’m currently on 46 units and working my way down. 
Does anyone have any advice on how to do this safely? Or any advice on how to get my insulin for cheap? I haven’t spoken to my doctor yet, but plan on doing so on Monday. Not that there’s much she can do for me at this point. 
Also I’d like to point out how shitty America is for even making this situation a possibility for us.</t>
        </is>
      </c>
      <c r="D9702" t="n">
        <v>7</v>
      </c>
      <c r="E9702" t="n">
        <v>20</v>
      </c>
      <c r="F9702">
        <f>HYPERLINK("https://www.reddit.com/r/diabetes/comments/h8bih7/losing_my_health_insurance_not_sure_what_to_do/")</f>
        <v/>
      </c>
      <c r="G9702" t="inlineStr">
        <is>
          <t>2020-06-13 10:16:18</t>
        </is>
      </c>
      <c r="H9702" t="inlineStr">
        <is>
          <t>Type 2</t>
        </is>
      </c>
    </row>
    <row r="9703">
      <c r="A9703" t="inlineStr">
        <is>
          <t>h8f7wu</t>
        </is>
      </c>
      <c r="B9703" t="inlineStr">
        <is>
          <t>Something I was never told</t>
        </is>
      </c>
      <c r="C9703" t="inlineStr">
        <is>
          <t>I’ve lived 21 years with type 1 diabetes and up until today I didn’t know I was supposed to subtract the fibers from the carbohydrates......</t>
        </is>
      </c>
      <c r="D9703" t="n">
        <v>5</v>
      </c>
      <c r="E9703" t="n">
        <v>11</v>
      </c>
      <c r="F9703">
        <f>HYPERLINK("https://www.reddit.com/r/diabetes/comments/h8f7wu/something_i_was_never_told/")</f>
        <v/>
      </c>
      <c r="G9703" t="inlineStr">
        <is>
          <t>2020-06-13 13:33:02</t>
        </is>
      </c>
      <c r="H9703" t="inlineStr">
        <is>
          <t>Type 1</t>
        </is>
      </c>
    </row>
    <row r="9704">
      <c r="A9704" t="inlineStr">
        <is>
          <t>h8gm7k</t>
        </is>
      </c>
      <c r="B9704" t="inlineStr">
        <is>
          <t>Some questions about Omnipod</t>
        </is>
      </c>
      <c r="C9704" t="inlineStr">
        <is>
          <t>Hi everyone. I hope you are all doing fine
I have some questions about the omnipod system i hope i could find some answers.
1- my understanding is that all i need to use the system is the Personal Diabetes Manager and the pods which icwill need to change every 3 days? Do i need to refill the pod after 3 days or change the the whole pod?
2- i live outside the US and we don't have the omnipod in my country, is there anyway i can buy the system online?
I know some people in the US who can get it get for me, but after i get the system the pods are the only thing i need to resupply right? Again is there a way or website i can buy them from?
If i have any questions i will post them here
Thanks for the help.</t>
        </is>
      </c>
      <c r="D9704" t="n">
        <v>1</v>
      </c>
      <c r="E9704" t="n">
        <v>2</v>
      </c>
      <c r="F9704">
        <f>HYPERLINK("https://www.reddit.com/r/diabetes/comments/h8gm7k/some_questions_about_omnipod/")</f>
        <v/>
      </c>
      <c r="G9704" t="inlineStr">
        <is>
          <t>2020-06-13 14:46:29</t>
        </is>
      </c>
      <c r="H9704" t="inlineStr">
        <is>
          <t>Type 1</t>
        </is>
      </c>
    </row>
    <row r="9705">
      <c r="A9705" t="inlineStr">
        <is>
          <t>h8gnbm</t>
        </is>
      </c>
      <c r="B9705" t="inlineStr">
        <is>
          <t>Possibility for cognition, neuropathy issues with controlled diabetes?</t>
        </is>
      </c>
      <c r="C9705" t="inlineStr">
        <is>
          <t>Hi. My mom is a 74 year old type 2 diabetic. She’s been experiencing cognition issues, difficulty walking and likely peripheral neuropathy (numbness) issues. 
The thing is by the actual numbers, the diabetes seems to be controlled. Finger sticks show blood sugar only slightly elevated. Hb1ac from a week ago read 6.7
She consumes way too many sugars and carbohydrates. Average 200g sugar per day. Injects 60cc insulin daily as well as 500mg Metformin. 
If the numbers are showing relatively normal, could blood sugar at all still be a factor in these issues?
Thanks</t>
        </is>
      </c>
      <c r="D9705" t="n">
        <v>2</v>
      </c>
      <c r="E9705" t="n">
        <v>5</v>
      </c>
      <c r="F9705">
        <f>HYPERLINK("https://www.reddit.com/r/diabetes/comments/h8gnbm/possibility_for_cognition_neuropathy_issues_with/")</f>
        <v/>
      </c>
      <c r="G9705" t="inlineStr">
        <is>
          <t>2020-06-13 14:48:12</t>
        </is>
      </c>
      <c r="H9705" t="inlineStr">
        <is>
          <t>Type 2</t>
        </is>
      </c>
    </row>
    <row r="9706">
      <c r="A9706" t="inlineStr">
        <is>
          <t>h8lfop</t>
        </is>
      </c>
      <c r="B9706" t="inlineStr">
        <is>
          <t>Freestyle Libre</t>
        </is>
      </c>
      <c r="C9706" t="inlineStr">
        <is>
          <t>I finally got mine yesterday.  Ripped my first sensor out today.  FML.</t>
        </is>
      </c>
      <c r="D9706" t="n">
        <v>1</v>
      </c>
      <c r="E9706" t="n">
        <v>1</v>
      </c>
      <c r="F9706">
        <f>HYPERLINK("https://www.reddit.com/r/diabetes/comments/h8lfop/freestyle_libre/")</f>
        <v/>
      </c>
      <c r="G9706" t="inlineStr">
        <is>
          <t>2020-06-13 19:29:37</t>
        </is>
      </c>
      <c r="H9706" t="inlineStr">
        <is>
          <t>Type 2</t>
        </is>
      </c>
    </row>
    <row r="9707">
      <c r="A9707" t="inlineStr">
        <is>
          <t>h8mnhk</t>
        </is>
      </c>
      <c r="B9707" t="inlineStr">
        <is>
          <t>Need help with my T1D boyfriend</t>
        </is>
      </c>
      <c r="C9707" t="inlineStr">
        <is>
          <t>My boyfriend is the first person I've met with type one diabetes and I would really appreciate some advice. What're some good carb-heavy snacks I can store in my purse for when he randomly gets a low? If possible I'm looking for something that won't melt or go bad quickly.</t>
        </is>
      </c>
      <c r="D9707" t="n">
        <v>3</v>
      </c>
      <c r="E9707" t="n">
        <v>8</v>
      </c>
      <c r="F9707">
        <f>HYPERLINK("https://www.reddit.com/r/diabetes/comments/h8mnhk/need_help_with_my_t1d_boyfriend/")</f>
        <v/>
      </c>
      <c r="G9707" t="inlineStr">
        <is>
          <t>2020-06-13 20:48:56</t>
        </is>
      </c>
      <c r="H9707" t="inlineStr">
        <is>
          <t>Type 1</t>
        </is>
      </c>
    </row>
    <row r="9708">
      <c r="A9708" t="inlineStr">
        <is>
          <t>h8peq7</t>
        </is>
      </c>
      <c r="B9708" t="inlineStr">
        <is>
          <t>Lucky number 49</t>
        </is>
      </c>
      <c r="C9708" t="inlineStr">
        <is>
          <t>To start off, I am T2 but also pregnant. Like, super pregnant. 36 weeks. Today I have felt off all day. Woke up to fasting 73. I've had protein shakes, mcdonalds even. I was laying in bed, puked everything I had out. Laid back down. I started to feel weird. 
I also have high blood pressure - without medication it's 140/90s. So I'm laying there and I was going to get up to do dishes. I SWEAR I was going to do them. I yelled for hubs to come help me up but to bring in my glucometer.
my skin starts to feel hot to me. I panicked and told him to go get the fruit loops, milk, OJ, string cheese ... Haha he's arguing with me to recheck. Recheck is 52 and 49 again.  
My bed was completely saturated in sweat. I was able to eat for 10 minutes straight. Just handfuls of fruit loops and 2 cups of milk. He then took the cereal from me so I wouldn't overeat and puke it up. 
Then I rechecked. 57. I can't tell you how scared I was. I got up to go pee because the baby was starting to wiggle on my bladder. Nearly passed out. Ate a bit more. Had a regular coke. 
105. Finally! It was coming up. But then I felt sleepy. I couldn't keep my eyes open and he said I was snoring. I passed out for 4 hours. 
I just woke up a few minutes ago and checked my sugar again. 115. 
I don't understand the diabetic body. I really don't. But 49 is the lowest I've been ever.
Had to share ... Because hubs doesn't understand what it's like.</t>
        </is>
      </c>
      <c r="D9708" t="n">
        <v>1</v>
      </c>
      <c r="E9708" t="n">
        <v>6</v>
      </c>
      <c r="F9708">
        <f>HYPERLINK("https://www.reddit.com/r/diabetes/comments/h8peq7/lucky_number_49/")</f>
        <v/>
      </c>
      <c r="G9708" t="inlineStr">
        <is>
          <t>2020-06-14 00:35:37</t>
        </is>
      </c>
      <c r="H9708" t="inlineStr">
        <is>
          <t>Type 2</t>
        </is>
      </c>
    </row>
    <row r="9709">
      <c r="A9709" t="inlineStr">
        <is>
          <t>h8x2i4</t>
        </is>
      </c>
      <c r="B9709" t="inlineStr">
        <is>
          <t>What are the best hypo snacks you can carry on the go?</t>
        </is>
      </c>
      <c r="C9709" t="inlineStr">
        <is>
          <t>Hey guys,
Recently I have been trying to find small things I can carry to deal with hypos. Lucozade / glucose sweets seem to be a good one though they are quite thick for a wallet. I have recently started carrying sugar packets around in a pouch in my wallet, like the ones that you see for free in stands in shops. It seems weird but they are quite good for space.
What is your go to?</t>
        </is>
      </c>
      <c r="D9709" t="n">
        <v>2</v>
      </c>
      <c r="E9709" t="n">
        <v>15</v>
      </c>
      <c r="F9709">
        <f>HYPERLINK("https://www.reddit.com/r/diabetes/comments/h8x2i4/what_are_the_best_hypo_snacks_you_can_carry_on/")</f>
        <v/>
      </c>
      <c r="G9709" t="inlineStr">
        <is>
          <t>2020-06-14 09:40:31</t>
        </is>
      </c>
      <c r="H9709" t="inlineStr">
        <is>
          <t>Type 1</t>
        </is>
      </c>
    </row>
    <row r="9710">
      <c r="A9710" t="inlineStr">
        <is>
          <t>h962dn</t>
        </is>
      </c>
      <c r="B9710" t="inlineStr">
        <is>
          <t>Your Type 2 Diabetes May Be Reversible</t>
        </is>
      </c>
      <c r="C9710" t="inlineStr">
        <is>
          <t>You have all been lied to. There is no such thing as an essential dietary carbohydrate. The standard american food pyramid is wrong and unhealthy and largely responsible for the worsening diabetes epidemic. To learn about healthy low-carb, moderate protein, high-fat eating, check out these books:  
[Lies My Doctor Told Me, by Ken Berry, MD](https://www.audible.com.au/pd/Lies-My-Doctor-Told-Me-Audiobook/B07Y2VD3WP?source_code=M2MOR131091619005N&amp;amp;ds_rl=1252391&amp;amp;gclid=CjwKCAjwlZf3BRABEiwA8Q0qq0o3w1txJKZtvl2h06x9sGRIEDqBJ-YtdDe0n3MuiZj-lWqd_SntZBoCimEQAvD_BwE&amp;amp;gclsrc=aw.ds)  
[Keto Clarity, by Jimmy Moore](https://www.audible.com.au/pd/Keto-Clarity-Audiobook/B00NMSOJCC?qid=1592183565&amp;amp;sr=1-1&amp;amp;ref=a_search_c3_lProduct_1_1&amp;amp;pf_rd_p=771c6463-05d7-4981-9b47-920dc34a70f1&amp;amp;pf_rd_r=G0SPCAJ2DD1HK9N1GTF4)  
If they can't convince you, nothing can.</t>
        </is>
      </c>
      <c r="D9710" t="n">
        <v>0</v>
      </c>
      <c r="E9710" t="n">
        <v>5</v>
      </c>
      <c r="F9710">
        <f>HYPERLINK("https://www.reddit.com/r/diabetes/comments/h962dn/your_type_2_diabetes_may_be_reversible/")</f>
        <v/>
      </c>
      <c r="G9710" t="inlineStr">
        <is>
          <t>2020-06-14 18:17:24</t>
        </is>
      </c>
      <c r="H9710" t="inlineStr">
        <is>
          <t>Type 2</t>
        </is>
      </c>
    </row>
    <row r="9711">
      <c r="A9711" t="inlineStr">
        <is>
          <t>h96jdc</t>
        </is>
      </c>
      <c r="B9711" t="inlineStr">
        <is>
          <t>Is it normal to be extremely sensitive to everything?</t>
        </is>
      </c>
      <c r="C9711" t="inlineStr">
        <is>
          <t>Ever since I was diagnosed four years ago, I have always been super sensitive to everything I eat, regardless of what my blood sugar does. For a while I thought it was because I didnt have a handle on things yet. Though even now after I have gotten good aboit keeping my blood sugar maintained I still feel things way more intense then I ever did before diabetes. Waffles for example, even if my sugar barely moves, I feel terrible. Wheat and dairy make my head feel thick and heavy. Sugary foods make me feel like my throat is  heavy. There is food that I dont touch because of how it makes me feel, even if it does nothing to my sugar.
Is this a rare, more common or very normal thing for type 1's ?</t>
        </is>
      </c>
      <c r="D9711" t="n">
        <v>4</v>
      </c>
      <c r="E9711" t="n">
        <v>5</v>
      </c>
      <c r="F9711">
        <f>HYPERLINK("https://www.reddit.com/r/diabetes/comments/h96jdc/is_it_normal_to_be_extremely_sensitive_to/")</f>
        <v/>
      </c>
      <c r="G9711" t="inlineStr">
        <is>
          <t>2020-06-14 18:46:40</t>
        </is>
      </c>
      <c r="H9711" t="inlineStr">
        <is>
          <t>Type 1</t>
        </is>
      </c>
    </row>
    <row r="9712">
      <c r="A9712" t="inlineStr">
        <is>
          <t>h98ift</t>
        </is>
      </c>
      <c r="B9712" t="inlineStr">
        <is>
          <t>Diabetes care around the world</t>
        </is>
      </c>
      <c r="C9712" t="inlineStr">
        <is>
          <t>Hi, first time posting so I hope I'm not repeating a past topic.
I have Type 1 diabetes and live in the US. I was lamenting to my partner about how expensive insulin is here, and I was curious if it really is that expensive everywhere in the world? And how do you get your diabetes supplies? How does that work if there's free healthcare? Do you not have to pay for your pump supplies? Is it not as expensive in your country as it is here in the US because of private insurance? Do you have to go through middlemen (Edgepark, Byram, etc.) to order supplies, or do you just deal with the company directly?
Genuinely curious. Thanks!</t>
        </is>
      </c>
      <c r="D9712" t="n">
        <v>5</v>
      </c>
      <c r="E9712" t="n">
        <v>39</v>
      </c>
      <c r="F9712">
        <f>HYPERLINK("https://www.reddit.com/r/diabetes/comments/h98ift/diabetes_care_around_the_world/")</f>
        <v/>
      </c>
      <c r="G9712" t="inlineStr">
        <is>
          <t>2020-06-14 20:57:59</t>
        </is>
      </c>
      <c r="H9712" t="inlineStr">
        <is>
          <t>Type 1</t>
        </is>
      </c>
    </row>
    <row r="9713">
      <c r="A9713" t="inlineStr">
        <is>
          <t>h98jcn</t>
        </is>
      </c>
      <c r="B9713" t="inlineStr">
        <is>
          <t>What the heck</t>
        </is>
      </c>
      <c r="C9713" t="inlineStr">
        <is>
          <t>Hi all! 
For about two weeks, I’ve been running normal. Too normal... 
But today I went for an hour long walk and 20 minute calisthenics session after a big ol’ chipotle bowl, and my BG spiked to 170 two-hours post-prand when it usually tops at 120ish. 
An hour later, 110. 
Any ideas why? Is this just... one of those things? 
Usually working out makes it drop for me, and I’ve eaten WAY more carbs than that with lower readings. Ugh!
Edit: Been an hour since posting aaand BG is 45 and dropping. I love this disease, it’s great and never troublesome, never inconvenient. 
My fingers hurt, I’m gonna down some damn juice.</t>
        </is>
      </c>
      <c r="D9713" t="n">
        <v>2</v>
      </c>
      <c r="E9713" t="n">
        <v>3</v>
      </c>
      <c r="F9713">
        <f>HYPERLINK("https://www.reddit.com/r/diabetes/comments/h98jcn/what_the_heck/")</f>
        <v/>
      </c>
      <c r="G9713" t="inlineStr">
        <is>
          <t>2020-06-14 20:59:58</t>
        </is>
      </c>
      <c r="H9713" t="inlineStr">
        <is>
          <t>Type 1</t>
        </is>
      </c>
    </row>
    <row r="9714">
      <c r="A9714" t="inlineStr">
        <is>
          <t>h98ya2</t>
        </is>
      </c>
      <c r="B9714" t="inlineStr">
        <is>
          <t>Study on how the coronavirus pandemic affected adults with Type 2!</t>
        </is>
      </c>
      <c r="C9714" t="inlineStr">
        <is>
          <t>Hi r/diabetes community!
My name's Elliot and I'm from a research team at the University of Queensland currently conducting a global study into how the COVID-19 pandemic has affected adults with T2 Diabetes ability to practice self-management. If interested, the survey can be accessed at https://uqpsych.qualtrics.com/jfe/form/SV_cUg6mTubTWanoHP
We've shared the survey with this community before and gotten a heap of responses, and are hoping that by posting again we can reach and learn about the experiences of even more people!
A quick summary of the study in line with the rules of this subreddit...
* This study is important as it will help the team understand how the pandemic has affected adults with T2 diabetes ability to effectively manage their diabetes. With so many barriers to accessing medical services, keeping physically active etc., we want to find out what effect this is having on the diabetes population.
* The survey takes around 20 minutes. Follow the link to the study for a full list of the types of questions you will be asked. Importantly, no personal identifiers are obtained.
* Compensation for your time is the ability to share what this pandemic has been like for you and how it's affected you and your ability to practice diabetes self-care. Participants who are particularly interested in the outcomes of the study are more than welcome to register for the research papers resulting from this study to be sent to them (more details at the link above).
* This study is specifically for people over 18 years old with Type 2 Diabetes. This is a global study with no residency requirements.
If you have any queries or concerns, you can either contact myself, the lead investigator, at e.mcbride@uq.net.au, or alternatively, the IRB responsible for the study (approval ID 2020000991) can be contacted at humanethics@research.uq.edu.au
Thanks!</t>
        </is>
      </c>
      <c r="D9714" t="n">
        <v>0</v>
      </c>
      <c r="E9714" t="n">
        <v>0</v>
      </c>
      <c r="F9714">
        <f>HYPERLINK("https://www.reddit.com/r/diabetes/comments/h98ya2/study_on_how_the_coronavirus_pandemic_affected/")</f>
        <v/>
      </c>
      <c r="G9714" t="inlineStr">
        <is>
          <t>2020-06-14 21:30:46</t>
        </is>
      </c>
      <c r="H9714" t="inlineStr">
        <is>
          <t>Type 2</t>
        </is>
      </c>
    </row>
    <row r="9715">
      <c r="A9715" t="inlineStr">
        <is>
          <t>h99hg8</t>
        </is>
      </c>
      <c r="B9715" t="inlineStr">
        <is>
          <t>Struggling</t>
        </is>
      </c>
      <c r="C9715" t="inlineStr">
        <is>
          <t>Idk I think I just need to vent. I have a doctor's appointment this week but it's really difficult and I feel so down that I'm just going to be lectured.
I have some mental health issues. I struggle with depression and severe anxiety. I'm agoraphobic. 
I'm type 2 Diabetic and my A1c was over 13. My numbers on insulin and metformin have been around 200-230. 
I hate taking insulin with a passion. I'm supposed to take 16 units. And I have a pen. I get too nervous and anxious, my hand shakes. It takes me forever to work up the courage to do it everyday. It ALWAYS hurts. And the area will hurt throughout the day which I don't think is normal? And I keep having issues where insulin is leaking out or I get this large bubble where I inject. And it scares/worries me. 
I don't have anyone to help me. I am trying to change my diet. I eat like all heavy carb foods and so it's a major change. I want to change.</t>
        </is>
      </c>
      <c r="D9715" t="n">
        <v>3</v>
      </c>
      <c r="E9715" t="n">
        <v>5</v>
      </c>
      <c r="F9715">
        <f>HYPERLINK("https://www.reddit.com/r/diabetes/comments/h99hg8/struggling/")</f>
        <v/>
      </c>
      <c r="G9715" t="inlineStr">
        <is>
          <t>2020-06-14 22:08:44</t>
        </is>
      </c>
      <c r="H9715" t="inlineStr">
        <is>
          <t>Type 2</t>
        </is>
      </c>
    </row>
    <row r="9716">
      <c r="A9716" t="inlineStr">
        <is>
          <t>h99qs7</t>
        </is>
      </c>
      <c r="B9716" t="inlineStr">
        <is>
          <t>I need help with the Medtronic 640G pump, and the Enlite sensor!!</t>
        </is>
      </c>
      <c r="C9716" t="inlineStr">
        <is>
          <t>So my sensor is 1.5 days old, and yesterday my bs was 15. Calibration was needed before I went to sleep, but I didn't. So after that at 3am it dropped down to 9 so I calibrated. It worked, but was really bad till 6am when I calibrated again and it now says "Calibration Problem" or something like this (Idk how it is exactly on english pumps. So now it's 7:30 and every time I do this it's not calibrating. Also same happened last week</t>
        </is>
      </c>
      <c r="D9716" t="n">
        <v>1</v>
      </c>
      <c r="E9716" t="n">
        <v>3</v>
      </c>
      <c r="F9716">
        <f>HYPERLINK("https://www.reddit.com/r/diabetes/comments/h99qs7/i_need_help_with_the_medtronic_640g_pump_and_the/")</f>
        <v/>
      </c>
      <c r="G9716" t="inlineStr">
        <is>
          <t>2020-06-14 22:27:26</t>
        </is>
      </c>
      <c r="H9716" t="inlineStr">
        <is>
          <t>Type 1</t>
        </is>
      </c>
    </row>
    <row r="9717">
      <c r="A9717" t="inlineStr">
        <is>
          <t>h9alz8</t>
        </is>
      </c>
      <c r="B9717" t="inlineStr">
        <is>
          <t>I'm losing my mind please help!!!</t>
        </is>
      </c>
      <c r="C9717" t="inlineStr">
        <is>
          <t>TL:DR husband keeps eating unhealthy foods even though I've done everything I can think of to keep him from doing it. He even eats without being able to remember eating things he hates. 
This just happen so please excuse the emotions. Some background
My husband has complicated type 2. He never really ate sweets. He has carb based diabetes. He is good about taking his meds but because of his back problems he can't exercise much. He isn't obese but he's big. Now to the problem.
He eats healthy when I'm around but the second I'm gone or in another room he eats anything carb loaded he can find. We found out that he sleep eats sometimes as well and won't remember eating it until I find empty containers. I've tried not getting unhealthy stuff but he will find and eat things I never even thought of like chocolates even though he HATES chocolate. For him to eat chocolate would be like you eating vomit but he will still eat an entire chocolate box meant for a gift for my mom with no memory of it. I just caught him eating a bag of chips I bought for myself for the first time in weeks. I took it from him and lost my temper because it's just so aggravating. He is like a toddler that I can't leave alone for a min without him getting in to something he shouldn't be into. Please help me figure out what to do. I could just never buy anything bad for him but how is that fair to me. I'm young healthy and a bag of chips will last me over a week or one sitting for him. It's just not fair.</t>
        </is>
      </c>
      <c r="D9717" t="n">
        <v>1</v>
      </c>
      <c r="E9717" t="n">
        <v>11</v>
      </c>
      <c r="F9717">
        <f>HYPERLINK("https://www.reddit.com/r/diabetes/comments/h9alz8/im_losing_my_mind_please_help/")</f>
        <v/>
      </c>
      <c r="G9717" t="inlineStr">
        <is>
          <t>2020-06-14 23:31:39</t>
        </is>
      </c>
      <c r="H9717" t="inlineStr">
        <is>
          <t>Type 2</t>
        </is>
      </c>
    </row>
    <row r="9718">
      <c r="A9718" t="inlineStr">
        <is>
          <t>h9dysm</t>
        </is>
      </c>
      <c r="B9718" t="inlineStr">
        <is>
          <t>Sudden change in feeling in hands and feet...what to do?</t>
        </is>
      </c>
      <c r="C9718" t="inlineStr">
        <is>
          <t>I have had T2 for about 7 years. I'm athletic and eat very healthy and I'm rather young. My A1C ranges from 5.3 to 5.6 over the last 2 years and besides the lifestyle changes when this was first diagnosed i have never had any issues ... but about 5 days ago that changed. My hands and feet feel slightly numb/different. This all happened over a few days and is freaking me out. I plan on calling my doctor today but if you guys have any information it would be appreciated!</t>
        </is>
      </c>
      <c r="D9718" t="n">
        <v>1</v>
      </c>
      <c r="E9718" t="n">
        <v>2</v>
      </c>
      <c r="F9718">
        <f>HYPERLINK("https://www.reddit.com/r/diabetes/comments/h9dysm/sudden_change_in_feeling_in_hands_and_feetwhat_to/")</f>
        <v/>
      </c>
      <c r="G9718" t="inlineStr">
        <is>
          <t>2020-06-15 03:51:21</t>
        </is>
      </c>
      <c r="H9718" t="inlineStr">
        <is>
          <t>Type 2</t>
        </is>
      </c>
    </row>
    <row r="9719">
      <c r="A9719" t="inlineStr">
        <is>
          <t>h9h4qh</t>
        </is>
      </c>
      <c r="B9719" t="inlineStr">
        <is>
          <t>Does anybody know how long your a1c takes to change? Or is it fluid like blood sugar and changes all the time?</t>
        </is>
      </c>
      <c r="C9719" t="inlineStr">
        <is>
          <t>Disclaimer: sob story ahead that I need to get off my chest. You can skip to "now to the point"  if you want. 
My a1c is at 13.5% and I'm so dissapointed, it kills me in the inside. I've always struggled immensely with my diabetes. I've never reached an a1c lower than a 9%, and I used to have at least six-ten 600+ high blood sugars every week. 
Well, after my dear grandfather, Harry, died two years ago because of his complications from diabetes, I've decided that it was enough. I decided that I was gonna stop being a fucking idiot, a goddamned mess, and get my shit together. It was hard. Extremely hard because I've always suffered with the acceptance of this condition, and I had a really bad habit of just pretending it didn't exist. Eventually in 2019, I got my a1c at 9.3% and I was proud of myself and I knew I was doing Harry some justice. 
Then quarantine came around and all hell broke loose. The days went by like clockwork and it felt like I had nothing under control. What felt like a couple days without doing my insulin regularly, skipping meals, sitting on my ass, and having weight loss problems, was actually several months. And I went to my appointment and my a1c was at 13.5%
I was crushed. I've dissapointed Harry and I can't live with it. I can't forgive myself. 
NOW TO THE POINT: 
To get my shit together, I've decided to log every single dietary, insulin related move and decision that I make. It's working great! I haven't had a high blood sugar in 7 days!!
But it's been just that. Only 7 days. My question is if my a1c can actually change in 7 days, or am I just being overly excited that I'm finally getting succeeding at conquering this condition? Should I wait a little longer to get tested again? Or can I go now?</t>
        </is>
      </c>
      <c r="D9719" t="n">
        <v>1</v>
      </c>
      <c r="E9719" t="n">
        <v>17</v>
      </c>
      <c r="F9719">
        <f>HYPERLINK("https://www.reddit.com/r/diabetes/comments/h9h4qh/does_anybody_know_how_long_your_a1c_takes_to/")</f>
        <v/>
      </c>
      <c r="G9719" t="inlineStr">
        <is>
          <t>2020-06-15 07:13:10</t>
        </is>
      </c>
      <c r="H9719" t="inlineStr">
        <is>
          <t>Type 1</t>
        </is>
      </c>
    </row>
    <row r="9720">
      <c r="A9720" t="inlineStr">
        <is>
          <t>h9iq37</t>
        </is>
      </c>
      <c r="B9720" t="inlineStr">
        <is>
          <t>In Need of Insight</t>
        </is>
      </c>
      <c r="C9720" t="inlineStr">
        <is>
          <t>So I just recently got a pump and usually it's been a net positive to my quality of life. I'm a grazer so I eat 1 full meal and snack for most of the day. But I've been noticing that lately my sugar is really high whenever I check it even though I'm taking insulin for everything I eat. Like last night I had 2 snacks and took insulin for both but I ate a fruit popsicle with 5g carbs without taking insulin. But I checked my bs this morning and it was 424. Anyone have any ideas of why?</t>
        </is>
      </c>
      <c r="D9720" t="n">
        <v>3</v>
      </c>
      <c r="E9720" t="n">
        <v>2</v>
      </c>
      <c r="F9720">
        <f>HYPERLINK("https://www.reddit.com/r/diabetes/comments/h9iq37/in_need_of_insight/")</f>
        <v/>
      </c>
      <c r="G9720" t="inlineStr">
        <is>
          <t>2020-06-15 08:40:36</t>
        </is>
      </c>
      <c r="H9720" t="inlineStr">
        <is>
          <t>Type 1</t>
        </is>
      </c>
    </row>
    <row r="9721">
      <c r="A9721" t="inlineStr">
        <is>
          <t>h9kyvu</t>
        </is>
      </c>
      <c r="B9721" t="inlineStr">
        <is>
          <t>Diabetes and Alcohol</t>
        </is>
      </c>
      <c r="C9721" t="inlineStr">
        <is>
          <t>I am a type 2 diabetic on a medicine Metformin and Glimepiride. I need some advice on drinking beers or any alcoholic drinks. Should I drink befor or after a meal. Any specific alcohol which won't cause high blood sugar. 
I understand that our bodies react differently with respect to medicine or insulin. I just need some guidance before I try drinking. I haven't taken a drink in a year (from June 2019 that's when I was diagnosed). 
BTW my current HbA1c is 5.7</t>
        </is>
      </c>
      <c r="D9721" t="n">
        <v>3</v>
      </c>
      <c r="E9721" t="n">
        <v>7</v>
      </c>
      <c r="F9721">
        <f>HYPERLINK("https://www.reddit.com/r/diabetes/comments/h9kyvu/diabetes_and_alcohol/")</f>
        <v/>
      </c>
      <c r="G9721" t="inlineStr">
        <is>
          <t>2020-06-15 10:40:47</t>
        </is>
      </c>
      <c r="H9721" t="inlineStr">
        <is>
          <t>Type 2</t>
        </is>
      </c>
    </row>
    <row r="9722">
      <c r="A9722" t="inlineStr">
        <is>
          <t>h9l1ih</t>
        </is>
      </c>
      <c r="B9722" t="inlineStr">
        <is>
          <t>A1C 10.5 to 5.4 in 3 months!</t>
        </is>
      </c>
      <c r="C9722" t="inlineStr">
        <is>
          <t>I am a type 2 and was originally diagnosed with a 7.something A1C. I knew I had a family history and asked for the check back in 2014. Since then I generally hovered in the 6-8 range until my March 2020 test. I had lost control with an A1C of 10.5. I was not following my metformin regimen like I should, had low magnesium levels, and was consuming pizza, baked goods, normal soda, etc.
Between March and June I started paying more attention to my carbs, avoiding regular soda, adding more fiber to my diet, taking 1000mg of metformin twice a day and started taking 25mg of Glyxambi once a day. I also started a magnesium and chromium supplement. I went from 296 pounds to 275 (I'm 6'1"). Today my A1C test was 5.4! The only modification my doctor and I are making from here is to reduce metformin to 1000mg once before bed. I still have Taco Bell about twice a week and Zaxby's once a week, 100+ carb meals but all other meals are kept well below 70 net (sometimes near 0 like steak and green beans).
Anyway I had to share, today was great day :)</t>
        </is>
      </c>
      <c r="D9722" t="n">
        <v>2</v>
      </c>
      <c r="E9722" t="n">
        <v>4</v>
      </c>
      <c r="F9722">
        <f>HYPERLINK("https://www.reddit.com/r/diabetes/comments/h9l1ih/a1c_105_to_54_in_3_months/")</f>
        <v/>
      </c>
      <c r="G9722" t="inlineStr">
        <is>
          <t>2020-06-15 10:44:22</t>
        </is>
      </c>
      <c r="H9722" t="inlineStr">
        <is>
          <t>Type 2</t>
        </is>
      </c>
    </row>
    <row r="9723">
      <c r="A9723" t="inlineStr">
        <is>
          <t>h9ljda</t>
        </is>
      </c>
      <c r="B9723" t="inlineStr">
        <is>
          <t>Anyone here get T2 diabetes in childhood/teens?</t>
        </is>
      </c>
      <c r="C9723" t="inlineStr">
        <is>
          <t>So I’m curious on how many people here became TYPE 2 DIABETIC in their childhood/teens. And to those of you how bad has your insulin resistance gotten? Average numbers? A1C? Amount of carbs you can eat? My little 9 year old cousin got T2 diabetes somehow and it’s definitely T2 as he has no antibodies/perfectly fine C-Peptide (Very overweight but I wouldn’t rule out MODY).</t>
        </is>
      </c>
      <c r="D9723" t="n">
        <v>1</v>
      </c>
      <c r="E9723" t="n">
        <v>6</v>
      </c>
      <c r="F9723">
        <f>HYPERLINK("https://www.reddit.com/r/diabetes/comments/h9ljda/anyone_here_get_t2_diabetes_in_childhoodteens/")</f>
        <v/>
      </c>
      <c r="G9723" t="inlineStr">
        <is>
          <t>2020-06-15 11:10:06</t>
        </is>
      </c>
      <c r="H9723" t="inlineStr">
        <is>
          <t>Type 1.5/LADA</t>
        </is>
      </c>
    </row>
    <row r="9724">
      <c r="A9724" t="inlineStr">
        <is>
          <t>h9o5bj</t>
        </is>
      </c>
      <c r="B9724" t="inlineStr">
        <is>
          <t>Road biking but without a working pancreas</t>
        </is>
      </c>
      <c r="C9724" t="inlineStr">
        <is>
          <t>It’s been a little over 2 weeks since I’ve been diagnosed and I’m already loosing my mind wanting to road bike. I went from 40+ mile rides weekly to being told I’ll have to stop for a hot minute. I may be jumping the gun a bit heading out on 10 mile rides and my levels are NOT having it. This was my third solo ride since my diagnosis and I had a low every time.. so we’ve tried less insulin, more carbs, etc. Today my ride was an easy 13 miles but I had 2 lows which resulted in 8 glucose pills and a mini kind bar overall(because I was unprepared), and now my mom is getting mad she has to monitor me when I’m out, taking her away from work. What are some ways people manage road biking or even exercise? Aside from an insulin “addict” I’m also a biking one.. and I am in desperate need of advice!</t>
        </is>
      </c>
      <c r="D9724" t="n">
        <v>1</v>
      </c>
      <c r="E9724" t="n">
        <v>7</v>
      </c>
      <c r="F9724">
        <f>HYPERLINK("https://www.reddit.com/r/diabetes/comments/h9o5bj/road_biking_but_without_a_working_pancreas/")</f>
        <v/>
      </c>
      <c r="G9724" t="inlineStr">
        <is>
          <t>2020-06-15 13:26:00</t>
        </is>
      </c>
      <c r="H9724" t="inlineStr">
        <is>
          <t>Type 1</t>
        </is>
      </c>
    </row>
    <row r="9725">
      <c r="A9725" t="inlineStr">
        <is>
          <t>h9r3qb</t>
        </is>
      </c>
      <c r="B9725" t="inlineStr">
        <is>
          <t>So trying to understand my sugar level showing crazy after meal</t>
        </is>
      </c>
      <c r="C9725" t="inlineStr">
        <is>
          <t>I just had sprouted mung beans with some soaked dry fruits (sunflower seeds, cashews, pistachios, almonds, walnuts) for lunch... I felt full I guess because of dry fruits (fats) 
But after 2 hours post meal (without meds) I checked my sugar (Contor Next EZ) and it shows me (I took 3 times to make sure my meter is not wrong with 3 different fingers and stripes) 124, 140, 136 respectively... 133 avg.
If I eat rice it shoots to 230+ but without rice it’s this much..
Am I crazy ? Meter is wrong ? What should I understand by this reading ?
Your thoughts and experiences please ....</t>
        </is>
      </c>
      <c r="D9725" t="n">
        <v>1</v>
      </c>
      <c r="E9725" t="n">
        <v>9</v>
      </c>
      <c r="F9725">
        <f>HYPERLINK("https://www.reddit.com/r/diabetes/comments/h9r3qb/so_trying_to_understand_my_sugar_level_showing/")</f>
        <v/>
      </c>
      <c r="G9725" t="inlineStr">
        <is>
          <t>2020-06-15 16:06:08</t>
        </is>
      </c>
      <c r="H9725" t="inlineStr">
        <is>
          <t>Type 2</t>
        </is>
      </c>
    </row>
    <row r="9726">
      <c r="A9726" t="inlineStr">
        <is>
          <t>h9r7iv</t>
        </is>
      </c>
      <c r="B9726" t="inlineStr">
        <is>
          <t>HELP! SEVERE TIREDNESS AFTER EATING ANYTHING RUINING MY LIFE :-(</t>
        </is>
      </c>
      <c r="C9726" t="inlineStr">
        <is>
          <t>Hi, I’m Female, 22 and have been type 1 diabetic for almost 4 years now. Since being diagnosed I always feel overwhelmed with tiredness about five minutes into eating even small portions of food. The tiredness hits even if my blood sugar levels stay in range and mostly affects my eyes as it feels as though they are being forced shut, along with this I continuously yawn and feel extremely heavy and my body goes numb to the point where I HAVE to go to sleep. As mentioned this happens most times I eat and it doesn’t matter how much I eat, so even a slice of toast at breakfast for example would make me extremely tired even though I’ve just woke up and makes it hard to continue the day without feeling as though I’m floating and can’t keep my eyes open. I’ve been to my diabetic team a few times and asked and they’ve said there’s nothing they can do, please tell me I’m not the only one who suffers with this because it is honestly ruining my life as every time I eat I feel as though I’m going to die due to how severe the tiredness is.</t>
        </is>
      </c>
      <c r="D9726" t="n">
        <v>1</v>
      </c>
      <c r="E9726" t="n">
        <v>17</v>
      </c>
      <c r="F9726">
        <f>HYPERLINK("https://www.reddit.com/r/diabetes/comments/h9r7iv/help_severe_tiredness_after_eating_anything/")</f>
        <v/>
      </c>
      <c r="G9726" t="inlineStr">
        <is>
          <t>2020-06-15 16:12:05</t>
        </is>
      </c>
      <c r="H9726" t="inlineStr">
        <is>
          <t>Type 1</t>
        </is>
      </c>
    </row>
    <row r="9727">
      <c r="A9727" t="inlineStr">
        <is>
          <t>h9txwp</t>
        </is>
      </c>
      <c r="B9727" t="inlineStr">
        <is>
          <t>Iron sucrose and diabetes</t>
        </is>
      </c>
      <c r="C9727" t="inlineStr">
        <is>
          <t>Hey everyone, so shot in the dark here that anyone will have also had this very rare occurrence but has anyone with diabetes (type 2 or gestational) ever been given iron sucrose transfusions? Since my infusion (last week) I've had a spike that I just cannot lower. I'm not educated enough in hematology to understand if iron sucrose could be the source of this spike. Any advice, help, idk anything at this point? I feel defeated in this.</t>
        </is>
      </c>
      <c r="D9727" t="n">
        <v>1</v>
      </c>
      <c r="E9727" t="n">
        <v>4</v>
      </c>
      <c r="F9727">
        <f>HYPERLINK("https://www.reddit.com/r/diabetes/comments/h9txwp/iron_sucrose_and_diabetes/")</f>
        <v/>
      </c>
      <c r="G9727" t="inlineStr">
        <is>
          <t>2020-06-15 18:46:48</t>
        </is>
      </c>
      <c r="H9727" t="inlineStr">
        <is>
          <t>Type 2</t>
        </is>
      </c>
    </row>
    <row r="9728">
      <c r="A9728" t="inlineStr">
        <is>
          <t>h9v6nu</t>
        </is>
      </c>
      <c r="B9728" t="inlineStr">
        <is>
          <t>Can I wear my Medtronic Guardian Sensor 3 in the shower?</t>
        </is>
      </c>
      <c r="C9728" t="inlineStr">
        <is>
          <t>Title.</t>
        </is>
      </c>
      <c r="D9728" t="n">
        <v>1</v>
      </c>
      <c r="E9728" t="n">
        <v>7</v>
      </c>
      <c r="F9728">
        <f>HYPERLINK("https://www.reddit.com/r/diabetes/comments/h9v6nu/can_i_wear_my_medtronic_guardian_sensor_3_in_the/")</f>
        <v/>
      </c>
      <c r="G9728" t="inlineStr">
        <is>
          <t>2020-06-15 20:00:57</t>
        </is>
      </c>
      <c r="H9728" t="inlineStr">
        <is>
          <t>Type 1</t>
        </is>
      </c>
    </row>
    <row r="9729">
      <c r="A9729" t="inlineStr">
        <is>
          <t>h9vv5w</t>
        </is>
      </c>
      <c r="B9729" t="inlineStr">
        <is>
          <t>How someone used my diabetes to excite petty revenge on me, breaking ADA law.</t>
        </is>
      </c>
      <c r="C9729" t="inlineStr">
        <is>
          <t>This is a throw away account, I’m documenting this story so others who may be diabetic and get a minimum wage job can know that this can happen, and not to stand for it. 
Before i explain this story, when i state the place I worked please have no issues with this business. I have worked at two locations, the second one is who conducted this behavior. Their team and management is a disgrace and pathetic. This is not the company. The is JT, the owner to my best way without saying his name, fault. 
Some background:
I was hired at a new chick fil a at the end of 2018. I explained to them the complications of my diabetes and what would be needed. It’s a fast paced job, and for me and my body fast movement makes me drop a lot. I have cokes and snacks in my locker always and have always had at my last location the ability to let management know, run back for 5 minutes, then come back up. No issues. Ever. 
I was a TL at my other location. It’s like higher than basic member, but not full blown manager. 
When starting at the new CFA i mentioned i wanted to work my way to this spot. I’m not trying to brag when i say this: i was damn good at the job. 
————————-
When starting i had a TL show interest in me. I was not in any way interested in him, and when i expressed that he got upset. 
Because of this, he was most nights the shift lead. When i went low from fast pace work, and asked if i could go back to correct, he would deny me that. One time my blood sugar was 52, and i was starting to go blurry vision and stumble. I walked to the back on my own because he had already denied me that right. 
I got written up. 
I knew this was against ADA law, and tried to express that to the higher management that i needed to be able to do this or i would need to find another job. They expressed that since i was running to get a TL position, i shouldn’t leave. 
I stayed. And this happened for months. Later, when promotions were handed out....i was denied. When i walked into the office to ask our GM what i was lacking on, his exact words were “we will wait until you stable out your bg levels! Then we will reevaluate.” 
After this, the boy, we will call him “N” because i don’t want to say his real name, started during meeting to convince all of management i was “using my diabetes to my advantage.” 
That’s the exact wording he said. Exactly. 
It got to a point where no one in management would allow me to even check my blood sugar, and my CGM was not allowed because it made my pump beep too much. (It beeped because i wasn’t allowed to correct.) 
To make up for this, even turning my insulin completely off i still went low because i was given more cleaning tasks than what a single team member should ever do. 
This went on for months. To the point i would keep going home and throwing up. I tried to speak to all of management and no one would listen to me because N had convinced them i was lying and trying to just do no work at all. 
The final straw was this:
I was on cash cart, if you go through a drive thru and the red umbrella they direct you too, i was stationed there. That is a no leaving spot under any circumstances. I called on my headset about 10 times that my blood sugar was dropping, because before going out there i had to scrub and clean the entire fridge on my own. I took a coke outside with me, but that was not enough to bring it up. 
After calling and calling i asked a guest to tell them i needed to come inside, NOW. finally i had N relieve me, and he rolled his eyes while doing this. Because my shift was over. Not because they got annoyed. 
I stayed outside with no sugar (i had drank the coke hours before) for 4 hours. 
I walked inside, drank two cokes and ate two cookies, then checked my blood sugar. 
My blood sugar was 28. 
I had someone pick me up and had my first ever seizure in their car. 
——————-
This all happened because i wouldn’t sleep with someone. I would not sleep with him, so he used my diabetes against me. I quit and got another job, and still suffer to this day. 
I did not sue him or anyone. Because i didn’t want too. I wanted it to be over. And i still do. 
But i need my story out there so if this happens to anyone else, ever, you don’t stand for it like i did. I allowed it to happen, because i am in college and I’m desperate for a paycheck. I allowed it because my previous experience working for a CFA allowed me to think a company wouldn’t stand for this. But each business is different. Run by different people. 
If someone does not allow you to treat your disease, do not stand for it like i did. Please. I’m begging you. Let me be the hard lesson. Leave. Contact someone. Sue. Do something. Don’t wait till it’s too late.</t>
        </is>
      </c>
      <c r="D9729" t="n">
        <v>1</v>
      </c>
      <c r="E9729" t="n">
        <v>73</v>
      </c>
      <c r="F9729">
        <f>HYPERLINK("https://www.reddit.com/r/diabetes/comments/h9vv5w/how_someone_used_my_diabetes_to_excite_petty/")</f>
        <v/>
      </c>
      <c r="G9729" t="inlineStr">
        <is>
          <t>2020-06-15 20:41:49</t>
        </is>
      </c>
      <c r="H9729" t="inlineStr">
        <is>
          <t>Type 1</t>
        </is>
      </c>
    </row>
    <row r="9730">
      <c r="A9730" t="inlineStr">
        <is>
          <t>h9w3ai</t>
        </is>
      </c>
      <c r="B9730" t="inlineStr">
        <is>
          <t>Waking up in the middle of the night with intense low BS symptoms - only for BS to be perfectly normal</t>
        </is>
      </c>
      <c r="C9730" t="inlineStr">
        <is>
          <t>So I'm T1, have been for more than half my life. My blood sugars are very well under control (&amp;lt;6 A1C). For a while now, I've been having periodic sleeping issues and I'm unsure if it's related to diabetes since the symptoms overlap.
It doesn't happen every night but it has happened a few times. Shortly after falling asleep/right as I'm falling into sleep, I'll jolt awake and my entire body feels like it's experiencing an intense low (lets say ~30s for a reference point with all overlapping symptoms) and when I go to take my blood sugar, it's perfectly normal. After a minute or so of standing, the feeling subsides (without doing anything other than getting up).
It's also worth mentioning that I drink a decent amount of caffeine during the day. I don't know if it's related since I do this every day and this issue is infrequent, but I figured it would be worth bringing up.
Has anyone experienced anything like this before? Any help would be greatly appreciated.</t>
        </is>
      </c>
      <c r="D9730" t="n">
        <v>1</v>
      </c>
      <c r="E9730" t="n">
        <v>0</v>
      </c>
      <c r="F9730">
        <f>HYPERLINK("https://www.reddit.com/r/diabetes/comments/h9w3ai/waking_up_in_the_middle_of_the_night_with_intense/")</f>
        <v/>
      </c>
      <c r="G9730" t="inlineStr">
        <is>
          <t>2020-06-15 20:56:33</t>
        </is>
      </c>
      <c r="H9730" t="inlineStr">
        <is>
          <t>Type 1</t>
        </is>
      </c>
    </row>
    <row r="9731">
      <c r="A9731" t="inlineStr">
        <is>
          <t>h9z0xq</t>
        </is>
      </c>
      <c r="B9731" t="inlineStr">
        <is>
          <t>How do you get through burnout/depression and stop raging at everything? Type 1 since 2007. Year I graduated high school.</t>
        </is>
      </c>
      <c r="C9731" t="inlineStr">
        <is>
          <t>Ive been type 1 since I was 18, and for quite a while I had it under pretty good control. For about the past three years I’ve just kind of.. caved? Given up? Stopped caring? Between constant fighting with my healthcare insurance doing their best to ignore me and actively not cover my supplies and endo visists, slight weight gain, being cheated on, and non existent self esteem, I’ve found it almost impossible to even try to care anymore.</t>
        </is>
      </c>
      <c r="D9731" t="n">
        <v>1</v>
      </c>
      <c r="E9731" t="n">
        <v>4</v>
      </c>
      <c r="F9731">
        <f>HYPERLINK("https://www.reddit.com/r/diabetes/comments/h9z0xq/how_do_you_get_through_burnoutdepression_and_stop/")</f>
        <v/>
      </c>
      <c r="G9731" t="inlineStr">
        <is>
          <t>2020-06-16 00:26:15</t>
        </is>
      </c>
      <c r="H9731" t="inlineStr">
        <is>
          <t>Type 1</t>
        </is>
      </c>
    </row>
    <row r="9732">
      <c r="A9732" t="inlineStr">
        <is>
          <t>h9zzjs</t>
        </is>
      </c>
      <c r="B9732" t="inlineStr">
        <is>
          <t>How does my numbers look?</t>
        </is>
      </c>
      <c r="C9732" t="inlineStr">
        <is>
          <t>Its officially over a week since I've been on my own and trying to cook my own meals. I was originally living with family who did a lot of my meal planning and calorie control.
As of 06/04 my A1C was at 5.0 i am hoping to maintain as I am 6 months pregnant.
Link: https://imgur.com/a/C0aNYQS
I measure every other day, 4 times (before breakfast, 3 hours after breakfast, 3 hours after lunch and bed time. Thats when I take my insulin as well)</t>
        </is>
      </c>
      <c r="D9732" t="n">
        <v>1</v>
      </c>
      <c r="E9732" t="n">
        <v>5</v>
      </c>
      <c r="F9732">
        <f>HYPERLINK("https://www.reddit.com/r/diabetes/comments/h9zzjs/how_does_my_numbers_look/")</f>
        <v/>
      </c>
      <c r="G9732" t="inlineStr">
        <is>
          <t>2020-06-16 01:36:33</t>
        </is>
      </c>
      <c r="H9732" t="inlineStr">
        <is>
          <t>Type 2</t>
        </is>
      </c>
    </row>
    <row r="9733">
      <c r="A9733" t="inlineStr">
        <is>
          <t>ha19md</t>
        </is>
      </c>
      <c r="B9733" t="inlineStr">
        <is>
          <t>HbA1c League Table?</t>
        </is>
      </c>
      <c r="C9733" t="inlineStr">
        <is>
          <t>Do we have a HbA1c League table here?
Mine was 130mmol/mol = 14% = 19.7mmol/L on first diagnosis about 2 months ago now. 🤦🏻‍♂️</t>
        </is>
      </c>
      <c r="D9733" t="n">
        <v>1</v>
      </c>
      <c r="E9733" t="n">
        <v>1</v>
      </c>
      <c r="F9733">
        <f>HYPERLINK("https://www.reddit.com/r/diabetes/comments/ha19md/hba1c_league_table/")</f>
        <v/>
      </c>
      <c r="G9733" t="inlineStr">
        <is>
          <t>2020-06-16 03:19:20</t>
        </is>
      </c>
      <c r="H9733" t="inlineStr">
        <is>
          <t>Type 2</t>
        </is>
      </c>
    </row>
    <row r="9734">
      <c r="A9734" t="inlineStr">
        <is>
          <t>ha20ln</t>
        </is>
      </c>
      <c r="B9734" t="inlineStr">
        <is>
          <t>I use the 670g and yesterday after work it said that my sugar dropped below 40. As soon as it happened it started saying sensor updating after waiting hours and trying to calibrate it just kept saying sensor failed. Do the two have something to do with each other or was it n.v just bad timing?</t>
        </is>
      </c>
      <c r="C9734" t="inlineStr">
        <is>
          <t>That was my 2nd day on that sensor now I'm on my last one. Next dont ship until July 4th. Anyone have any information on the guardian sensor 3 being low stock or they always short you this bad?  I received a box with 7 on April 14th and like I said next one wont be here until first week of bvb July</t>
        </is>
      </c>
      <c r="D9734" t="n">
        <v>1</v>
      </c>
      <c r="E9734" t="n">
        <v>2</v>
      </c>
      <c r="F9734">
        <f>HYPERLINK("https://www.reddit.com/r/diabetes/comments/ha20ln/i_use_the_670g_and_yesterday_after_work_it_said/")</f>
        <v/>
      </c>
      <c r="G9734" t="inlineStr">
        <is>
          <t>2020-06-16 04:16:29</t>
        </is>
      </c>
      <c r="H9734" t="inlineStr">
        <is>
          <t>Type 1</t>
        </is>
      </c>
    </row>
    <row r="9735">
      <c r="A9735" t="inlineStr">
        <is>
          <t>ha4ith</t>
        </is>
      </c>
      <c r="B9735" t="inlineStr">
        <is>
          <t>New Book about Tackling Type 1 with Positivity and Optimism</t>
        </is>
      </c>
      <c r="C9735" t="inlineStr">
        <is>
          <t>Hey all! My names Nick, I’m 21 years old and have been living with type 1 for 17 years. I love the type 1 community and am so extremely grateful to be a part of it. I’m beyond excited to announce that I’ve published my first book all about the positives of life with Type 1, and would love for each and every one of you to read it.
..
What you may hear about kids and adults living with type 1 is that while they have a disease, they can still do everything a “normal” person can. This statement has always left a bad taste in my mouth. Diabetes is MUCH more than a burden. It's more than just a barrier to push through to make it to the realm of “normal.”
..
My diabetes has pushed me to far surpass normal and jump headfirst into an exceptional life with exceptional successes (and failures) along the way. With this book, instead of dwelling on the negatives of life with type 1, I chose to highlight the many amazing perks, explain the skills one builds while living with type 1 and share the stories of some amazing young individuals who embody them. Seeing diabetes as my life's strongest motivator has allowed me to truly thrive, and through sharing others' stories and mine, I aim to help you do the same.
..
I truly believe anyone living with Type 1 could benefit from a more optimistic mindset toward your condition, and I want to share it that with YOU!! Positively Type 1 is now available on Amazon! (link below). I also would love for you guys to check out my holistic health coaching/education platform FB and on Instagram (type 1 on the move) as well. Cheers!
..
[https://www.amazon.com/gp/product/1641843543?pf\_rd\_r=W2Y0R49KQRRVSA5GDYNW&amp;amp;pf\_rd\_p=edaba0ee-c2fe-4124-9f5d-b31d6b1bfbee](https://www.amazon.com/gp/product/1641843543?pf_rd_r=W2Y0R49KQRRVSA5GDYNW&amp;amp;pf_rd_p=edaba0ee-c2fe-4124-9f5d-b31d6b1bfbee)</t>
        </is>
      </c>
      <c r="D9735" t="n">
        <v>1</v>
      </c>
      <c r="E9735" t="n">
        <v>0</v>
      </c>
      <c r="F9735">
        <f>HYPERLINK("https://www.reddit.com/r/diabetes/comments/ha4ith/new_book_about_tackling_type_1_with_positivity/")</f>
        <v/>
      </c>
      <c r="G9735" t="inlineStr">
        <is>
          <t>2020-06-16 06:59:00</t>
        </is>
      </c>
      <c r="H9735" t="inlineStr">
        <is>
          <t>Type 1</t>
        </is>
      </c>
    </row>
    <row r="9736">
      <c r="A9736" t="inlineStr">
        <is>
          <t>ha4jtg</t>
        </is>
      </c>
      <c r="B9736" t="inlineStr">
        <is>
          <t>Am I screwing things up</t>
        </is>
      </c>
      <c r="C9736" t="inlineStr">
        <is>
          <t>New to type 2, just started trulicity. I’m not hungry so I’m maybe eating 2 meals a day and no snacks. My meals are just veggies and protein. Will this cause my spikes to be worse? No one has talked to me about proper management so I don’t know if I should be eating more, less, snacking.... worse part is with eating less and exercising since March, I haven’t lost any weight. Damn PCOS😢</t>
        </is>
      </c>
      <c r="D9736" t="n">
        <v>1</v>
      </c>
      <c r="E9736" t="n">
        <v>24</v>
      </c>
      <c r="F9736">
        <f>HYPERLINK("https://www.reddit.com/r/diabetes/comments/ha4jtg/am_i_screwing_things_up/")</f>
        <v/>
      </c>
      <c r="G9736" t="inlineStr">
        <is>
          <t>2020-06-16 07:00:36</t>
        </is>
      </c>
      <c r="H9736" t="inlineStr">
        <is>
          <t>Type 2</t>
        </is>
      </c>
    </row>
    <row r="9737">
      <c r="A9737" t="inlineStr">
        <is>
          <t>ha4tgx</t>
        </is>
      </c>
      <c r="B9737" t="inlineStr">
        <is>
          <t>Have you ever had a hypo induced seizure?</t>
        </is>
      </c>
      <c r="C9737" t="inlineStr">
        <is>
          <t>Going off that one post about what your lowest was, I’m curious if you have ever had a hypo induced seizure? I’m always worried about how low you have to be to have a seizure. How often does it happen?</t>
        </is>
      </c>
      <c r="D9737" t="n">
        <v>2</v>
      </c>
      <c r="E9737" t="n">
        <v>12</v>
      </c>
      <c r="F9737">
        <f>HYPERLINK("https://www.reddit.com/r/diabetes/comments/ha4tgx/have_you_ever_had_a_hypo_induced_seizure/")</f>
        <v/>
      </c>
      <c r="G9737" t="inlineStr">
        <is>
          <t>2020-06-16 07:15:17</t>
        </is>
      </c>
      <c r="H9737" t="inlineStr">
        <is>
          <t>Type 1</t>
        </is>
      </c>
    </row>
    <row r="9738">
      <c r="A9738" t="inlineStr">
        <is>
          <t>ha5j1v</t>
        </is>
      </c>
      <c r="B9738" t="inlineStr">
        <is>
          <t>Insulin Return?</t>
        </is>
      </c>
      <c r="C9738" t="inlineStr">
        <is>
          <t>I ordered some mail order insulin about a month ago (humalog for short and lantus for long) and it arrived and then last Friday I received another set of insulin.   
I didn’t order this second set and after getting billed a crazy amount of money and calling my provider, they stated that they sent me a replacement because the first set did not arrive within 24 hours (and will reimburse thank goodness).   They said they are sending me a package slip to have me send the original set of insulin back because I shouldn’t use it.  I have a couple questions about this so if anyone can assist I would appreciate it!
So, do I have to return the insulin?  And if not, can they charge me for it?  I don’t want to return it if they are going to destroy it because it arrived cold as they put ice in the packaging.</t>
        </is>
      </c>
      <c r="D9738" t="n">
        <v>2</v>
      </c>
      <c r="E9738" t="n">
        <v>4</v>
      </c>
      <c r="F9738">
        <f>HYPERLINK("https://www.reddit.com/r/diabetes/comments/ha5j1v/insulin_return/")</f>
        <v/>
      </c>
      <c r="G9738" t="inlineStr">
        <is>
          <t>2020-06-16 07:54:46</t>
        </is>
      </c>
      <c r="H9738" t="inlineStr">
        <is>
          <t>Type 1</t>
        </is>
      </c>
    </row>
    <row r="9739">
      <c r="A9739" t="inlineStr">
        <is>
          <t>ha5rf1</t>
        </is>
      </c>
      <c r="B9739" t="inlineStr">
        <is>
          <t>Vision problems after being diagnosed</t>
        </is>
      </c>
      <c r="C9739" t="inlineStr">
        <is>
          <t>Hello! I have recently been diagnosed with type 2 and the last few days I’ve had blurred vision. Is this common? I’ve been on metformin for the past two weeks, but this only started to occur the last 3-4 days. Has this happened to you? Is this a symptom that goes away?</t>
        </is>
      </c>
      <c r="D9739" t="n">
        <v>3</v>
      </c>
      <c r="E9739" t="n">
        <v>12</v>
      </c>
      <c r="F9739">
        <f>HYPERLINK("https://www.reddit.com/r/diabetes/comments/ha5rf1/vision_problems_after_being_diagnosed/")</f>
        <v/>
      </c>
      <c r="G9739" t="inlineStr">
        <is>
          <t>2020-06-16 08:06:54</t>
        </is>
      </c>
      <c r="H9739" t="inlineStr">
        <is>
          <t>Type 2</t>
        </is>
      </c>
    </row>
    <row r="9740">
      <c r="A9740" t="inlineStr">
        <is>
          <t>ha6ovj</t>
        </is>
      </c>
      <c r="B9740" t="inlineStr">
        <is>
          <t>What works beside metformin</t>
        </is>
      </c>
      <c r="C9740" t="inlineStr">
        <is>
          <t>So metformin has believed to have many side effects. What other options or natural remedies are their to treat type 2 diabetes. I’m on jardiance but is their any other effective way. I’m proper dieting and exercising but have occasionally high blood sugar levels when checking.</t>
        </is>
      </c>
      <c r="D9740" t="n">
        <v>2</v>
      </c>
      <c r="E9740" t="n">
        <v>11</v>
      </c>
      <c r="F9740">
        <f>HYPERLINK("https://www.reddit.com/r/diabetes/comments/ha6ovj/what_works_beside_metformin/")</f>
        <v/>
      </c>
      <c r="G9740" t="inlineStr">
        <is>
          <t>2020-06-16 08:56:26</t>
        </is>
      </c>
      <c r="H9740" t="inlineStr">
        <is>
          <t>Type 2</t>
        </is>
      </c>
    </row>
    <row r="9741">
      <c r="A9741" t="inlineStr">
        <is>
          <t>ha7m0j</t>
        </is>
      </c>
      <c r="B9741" t="inlineStr">
        <is>
          <t>Seeing a new endro tomorrow, trying afrezza , kind of excited</t>
        </is>
      </c>
      <c r="C9741" t="inlineStr">
        <is>
          <t>I'm excited to try afrezza (inhalable insulin)  - To make going out in public and restaurants easier - using pen needles now. I don't like the idea of an inulin pump.
Wish me luck. Any burning questions to ask the endro ?</t>
        </is>
      </c>
      <c r="D9741" t="n">
        <v>2</v>
      </c>
      <c r="E9741" t="n">
        <v>10</v>
      </c>
      <c r="F9741">
        <f>HYPERLINK("https://www.reddit.com/r/diabetes/comments/ha7m0j/seeing_a_new_endro_tomorrow_trying_afrezza_kind/")</f>
        <v/>
      </c>
      <c r="G9741" t="inlineStr">
        <is>
          <t>2020-06-16 09:44:17</t>
        </is>
      </c>
      <c r="H9741" t="inlineStr">
        <is>
          <t>Type 1.5/LADA</t>
        </is>
      </c>
    </row>
    <row r="9742">
      <c r="A9742" t="inlineStr">
        <is>
          <t>ha8td8</t>
        </is>
      </c>
      <c r="B9742" t="inlineStr">
        <is>
          <t>Kickboxing and Insulin Pump</t>
        </is>
      </c>
      <c r="C9742" t="inlineStr">
        <is>
          <t>I currently use an OmniPod and CGM to manage my blood sugars. I’m looking to start kickboxing and was wondering if anyone had any tips or experience on wearing a pump while training. I’ve looking into BJJ and other combat based sports but don’t think the pump and cgm will work well with all of the grappling. Anything helps. Thanks.</t>
        </is>
      </c>
      <c r="D9742" t="n">
        <v>2</v>
      </c>
      <c r="E9742" t="n">
        <v>8</v>
      </c>
      <c r="F9742">
        <f>HYPERLINK("https://www.reddit.com/r/diabetes/comments/ha8td8/kickboxing_and_insulin_pump/")</f>
        <v/>
      </c>
      <c r="G9742" t="inlineStr">
        <is>
          <t>2020-06-16 10:45:15</t>
        </is>
      </c>
      <c r="H9742" t="inlineStr">
        <is>
          <t>Type 1</t>
        </is>
      </c>
    </row>
    <row r="9743">
      <c r="A9743" t="inlineStr">
        <is>
          <t>hag2cj</t>
        </is>
      </c>
      <c r="B9743" t="inlineStr">
        <is>
          <t>Omnipod users, are the alarms as bad as some people say they are? Any other cons to omnipod I should consider?</t>
        </is>
      </c>
      <c r="C9743" t="inlineStr">
        <is>
          <t>I am currently not a pump user. Several years ago I had the t-slim, but I couldn’t stand the tubing and having to keep the device with me at all times. I gave it almost 6 months to get used to it, but absolutely hated it so I gave up on pumping. 
Omnipod has been on my radar for a long time now. The biggest thing that’s turning me off from it is the complaints about the alarms that you can’t turn off.  I can’t stand alerts that I can’t control and don’t want. I actually stopped using Dexcom when it wasn’t paired with iPhone and the receiver would alarm when it needed calibrations. That alone irritated me enough to quit dexcom until the g6 came out. 
Is there really no way to shut off Omnipod alarms? How frequently do they happen?</t>
        </is>
      </c>
      <c r="D9743" t="n">
        <v>1</v>
      </c>
      <c r="E9743" t="n">
        <v>6</v>
      </c>
      <c r="F9743">
        <f>HYPERLINK("https://www.reddit.com/r/diabetes/comments/hag2cj/omnipod_users_are_the_alarms_as_bad_as_some/")</f>
        <v/>
      </c>
      <c r="G9743" t="inlineStr">
        <is>
          <t>2020-06-16 17:08:51</t>
        </is>
      </c>
      <c r="H9743" t="inlineStr">
        <is>
          <t>Type 1</t>
        </is>
      </c>
    </row>
    <row r="9744">
      <c r="A9744" t="inlineStr">
        <is>
          <t>hajr7r</t>
        </is>
      </c>
      <c r="B9744" t="inlineStr">
        <is>
          <t>diabetes and covid?</t>
        </is>
      </c>
      <c r="C9744" t="inlineStr">
        <is>
          <t>i am a 19 year old who has only had type one for two years. although i’m pretty well managed, i’ve been having a tough time lately and my a1c jumped to a low 8. 
i just found out that a kid in my class (i work at a daycare) tested positive for covid and i’m about to get tested as well. this is a child that i have been holding and loving on too, and although we are required to wear masks and wash our hands constantly i feel like i still have a big chance of getting it. 
i haven’t noticed any difference in myself, no fever, cough, etc; but i know i could be asymptotic right now. i was just thinking symptoms would come on quicker or stronger, but i can’t read anything online that helps me. 
what necessary precautions should i take regarding my health?? i already know to quarantine in my house, but i don’t know what to expect symptom wise either. high blood sugars / ketones? 
if anyone could give advice that would be greatly appreciated... i am very worried for my health since we are more at risk with diabetes. thanks in advance!!</t>
        </is>
      </c>
      <c r="D9744" t="n">
        <v>1</v>
      </c>
      <c r="E9744" t="n">
        <v>5</v>
      </c>
      <c r="F9744">
        <f>HYPERLINK("https://www.reddit.com/r/diabetes/comments/hajr7r/diabetes_and_covid/")</f>
        <v/>
      </c>
      <c r="G9744" t="inlineStr">
        <is>
          <t>2020-06-16 21:09:36</t>
        </is>
      </c>
      <c r="H9744" t="inlineStr">
        <is>
          <t>Type 1</t>
        </is>
      </c>
    </row>
    <row r="9745">
      <c r="A9745" t="inlineStr">
        <is>
          <t>haks50</t>
        </is>
      </c>
      <c r="B9745" t="inlineStr">
        <is>
          <t>High fasting glucose levels</t>
        </is>
      </c>
      <c r="C9745" t="inlineStr">
        <is>
          <t>So for about 10 days now I've been following a low carb /IF , my last A1C WAS 6.2 down from 6.8 three months before and usually I will wake up in the morning and it will be high 7 - 8 and go down during the day to about 5-6 at bedtime, this is normal for me and I assume the "Dawn Phenomenon". However the last 10 days I have maintained a high-level 8-9s mostly despite the time of day or exercise, for instance, its 3pm and my blood is 8, and that's on a fasting day after doing some moving around of furniture around the house and a 30 min walk. I'm feeling so frustrated that I'm eating healthy and low carb and otherwise feeling great energy-wise but my blood sugar just wants to go higher than its ever been! Has anyone else had similar issues? Should I just stick it out? I'm so lost..</t>
        </is>
      </c>
      <c r="D9745" t="n">
        <v>1</v>
      </c>
      <c r="E9745" t="n">
        <v>9</v>
      </c>
      <c r="F9745">
        <f>HYPERLINK("https://www.reddit.com/r/diabetes/comments/haks50/high_fasting_glucose_levels/")</f>
        <v/>
      </c>
      <c r="G9745" t="inlineStr">
        <is>
          <t>2020-06-16 22:20:02</t>
        </is>
      </c>
      <c r="H9745" t="inlineStr">
        <is>
          <t>Type 2</t>
        </is>
      </c>
    </row>
    <row r="9746">
      <c r="A9746" t="inlineStr">
        <is>
          <t>haum8n</t>
        </is>
      </c>
      <c r="B9746" t="inlineStr">
        <is>
          <t>Help, emergent situation</t>
        </is>
      </c>
      <c r="C9746" t="inlineStr">
        <is>
          <t>Hello everyone, I've unfortunately gotten myself into a situation in which I left my Bolus insulin at work, which is closed for the day. Ive got work in 13 hours again, but until then I can only hope that my sugar doesnt go up randomly. I do, however have basal insulin at home and I was wondering is there a way I can use Basal insulin as bolus? I've never been in this kind of scenario and I'm freaking out a little.</t>
        </is>
      </c>
      <c r="D9746" t="n">
        <v>1</v>
      </c>
      <c r="E9746" t="n">
        <v>18</v>
      </c>
      <c r="F9746">
        <f>HYPERLINK("https://www.reddit.com/r/diabetes/comments/haum8n/help_emergent_situation/")</f>
        <v/>
      </c>
      <c r="G9746" t="inlineStr">
        <is>
          <t>2020-06-17 09:30:06</t>
        </is>
      </c>
      <c r="H9746" t="inlineStr">
        <is>
          <t>Type 1</t>
        </is>
      </c>
    </row>
    <row r="9747">
      <c r="A9747" t="inlineStr">
        <is>
          <t>haumqh</t>
        </is>
      </c>
      <c r="B9747" t="inlineStr">
        <is>
          <t>Cardiac diabetic doet</t>
        </is>
      </c>
      <c r="C9747" t="inlineStr">
        <is>
          <t>Hi! 
My dad is a 76 year old type 2 diabetic who just had a cardiac event a couple weeks ago. 
My mom just mentioned she’s having issues finding good info on a good diet for him. I advised her to ask his GP about this because they likely have at least a few resources for that sort of thing, but I wanted to ask here too. 
Are there any good recipe sites out there that offer ideas for these concerns? 
Any input is appreciated.</t>
        </is>
      </c>
      <c r="D9747" t="n">
        <v>1</v>
      </c>
      <c r="E9747" t="n">
        <v>6</v>
      </c>
      <c r="F9747">
        <f>HYPERLINK("https://www.reddit.com/r/diabetes/comments/haumqh/cardiac_diabetic_doet/")</f>
        <v/>
      </c>
      <c r="G9747" t="inlineStr">
        <is>
          <t>2020-06-17 09:30:46</t>
        </is>
      </c>
      <c r="H9747" t="inlineStr">
        <is>
          <t>Type 2</t>
        </is>
      </c>
    </row>
    <row r="9748">
      <c r="A9748" t="inlineStr">
        <is>
          <t>havymo</t>
        </is>
      </c>
      <c r="B9748" t="inlineStr">
        <is>
          <t>How do Basal injections vary day-to-day?</t>
        </is>
      </c>
      <c r="C9748" t="inlineStr">
        <is>
          <t>Hey everyone,
I’m a designer at a startup working on an app for people living with T1D using MDI. Our goal is that the app will help users make easier and better decisions around eating, dosing and exercise.
We interview a number of people living with T1D alongside development but thought it would be good to get experiences and opinions from a wider diabetes community too.
An aspect of the app allows users to record the basal insulin they inject. It would be really helpful to know, if you use basal insulin:
&amp;amp;#x200B;
* **How do your injections vary day-to-day (dose/time/other) from what your doctor has recommended?** For example, you may aim to inject at 8am every day but you actually took it 15 minutes later or earlier. 
&amp;amp;#x200B;
If you have any other thoughts around how the app could help with basal dosing or everyday life living with diabetes, we're all ears.
Thanks!</t>
        </is>
      </c>
      <c r="D9748" t="n">
        <v>0</v>
      </c>
      <c r="E9748" t="n">
        <v>19</v>
      </c>
      <c r="F9748">
        <f>HYPERLINK("https://www.reddit.com/r/diabetes/comments/havymo/how_do_basal_injections_vary_daytoday/")</f>
        <v/>
      </c>
      <c r="G9748" t="inlineStr">
        <is>
          <t>2020-06-17 10:34:46</t>
        </is>
      </c>
      <c r="H9748" t="inlineStr">
        <is>
          <t>Type 1</t>
        </is>
      </c>
    </row>
    <row r="9749">
      <c r="A9749" t="inlineStr">
        <is>
          <t>hazw7u</t>
        </is>
      </c>
      <c r="B9749" t="inlineStr">
        <is>
          <t>Dexcom G5 supplies on Amazon and eBay: What's the deal?</t>
        </is>
      </c>
      <c r="C9749" t="inlineStr">
        <is>
          <t>I was hunting for a transmitter online so I could use up the last of my G5 sensors and decided to buy a refurbished one, but saw supplies on eBay and Amazon.  The ones I saw were all expired.  Who do you think these sellers are?  And do expired supplies even work?  Is this legal?</t>
        </is>
      </c>
      <c r="D9749" t="n">
        <v>1</v>
      </c>
      <c r="E9749" t="n">
        <v>17</v>
      </c>
      <c r="F9749">
        <f>HYPERLINK("https://www.reddit.com/r/diabetes/comments/hazw7u/dexcom_g5_supplies_on_amazon_and_ebay_whats_the/")</f>
        <v/>
      </c>
      <c r="G9749" t="inlineStr">
        <is>
          <t>2020-06-17 13:52:48</t>
        </is>
      </c>
      <c r="H9749" t="inlineStr">
        <is>
          <t>Type 1</t>
        </is>
      </c>
    </row>
    <row r="9750">
      <c r="A9750" t="inlineStr">
        <is>
          <t>hb2sez</t>
        </is>
      </c>
      <c r="B9750" t="inlineStr">
        <is>
          <t>Low blood sugar detection</t>
        </is>
      </c>
      <c r="C9750" t="inlineStr">
        <is>
          <t>Ive basically lost my ability to detect low blood sugar in the past 6 or so months. I used to shake when my blood sugar was low and go into a dissociative state. I already experience derealisation / depersonalisation regularly since I was a child and low blood sugar would feel similar to those episodes.
But now I don’t even get shaky when my blood sugar is low and I have gone a couple hours without realising (ie sitting playing the guitar with no reason to check, reading a book). It also seems to be disrupting my sleep by going low when it shouldn’t be no matter what time or what amount of lantus I inject. I can test my blood sugar before bed and it’ll be 7 and it has dipped low or it can be 14 and it somehow drops into the lows.
It’s all around just a scary experience. I feel like my brain cells are being killed off and I’ve gotten really stupid because of it lol not sure that’s how it actually works but it’s how it feels.</t>
        </is>
      </c>
      <c r="D9750" t="n">
        <v>3</v>
      </c>
      <c r="E9750" t="n">
        <v>16</v>
      </c>
      <c r="F9750">
        <f>HYPERLINK("https://www.reddit.com/r/diabetes/comments/hb2sez/low_blood_sugar_detection/")</f>
        <v/>
      </c>
      <c r="G9750" t="inlineStr">
        <is>
          <t>2020-06-17 16:27:57</t>
        </is>
      </c>
      <c r="H9750" t="inlineStr">
        <is>
          <t>Type 1</t>
        </is>
      </c>
    </row>
    <row r="9751">
      <c r="A9751" t="inlineStr">
        <is>
          <t>hb5b8c</t>
        </is>
      </c>
      <c r="B9751" t="inlineStr">
        <is>
          <t>Managing discomfort from Metformin?</t>
        </is>
      </c>
      <c r="C9751" t="inlineStr">
        <is>
          <t>Newly diagnosed type 2 here, by going heavy on the protein I've been able to keep my sugars in a good place, but today is the second day in the last week where the Metformin has caused me some GI discomfort. I wouldn't call it nausea but its definately like a mild crampy feeling. I'm able to sleep through it if I position myself correctly but I was wondering if anyone had any advice for managing it until I'm fully adjusted.
Would something like pepto bismol help or should I increase my water intake anything like that? I'm taking 500mg twice a day, and I'm taking it right before I start cooking meals. So its usually only got a 5-10 minute head start.</t>
        </is>
      </c>
      <c r="D9751" t="n">
        <v>1</v>
      </c>
      <c r="E9751" t="n">
        <v>6</v>
      </c>
      <c r="F9751">
        <f>HYPERLINK("https://www.reddit.com/r/diabetes/comments/hb5b8c/managing_discomfort_from_metformin/")</f>
        <v/>
      </c>
      <c r="G9751" t="inlineStr">
        <is>
          <t>2020-06-17 18:54:06</t>
        </is>
      </c>
      <c r="H9751" t="inlineStr">
        <is>
          <t>Type 2</t>
        </is>
      </c>
    </row>
    <row r="9752">
      <c r="A9752" t="inlineStr">
        <is>
          <t>hb64uv</t>
        </is>
      </c>
      <c r="B9752" t="inlineStr">
        <is>
          <t>Supportive but in the dark wife needing advice</t>
        </is>
      </c>
      <c r="C9752" t="inlineStr">
        <is>
          <t>We found out a little while ago my husband is type 2. We are you a typical gamers. Eating to much junk food and carbs. Also both of grew up pretty poor. So not really exposed to fruits and veggie. More like dollar meanu and carbs. 
My point is I'm really in the dark on what to cook, what to buy and how to help him. My husband is frustrated feeling hungry and the limit of stuff. I want to make sure he has all the tools he needs to be successful. I want to better understand the diet needs. We have made huge shifts in our diets. More fruits hardly any carbs. I'm struggling on what to cook for dinner. Most of all the sides. I'm a box mash potatos or Mac and cheese girl. Again not good in the veggies department. 
So any advice in general so I can better understand how to help him be successful</t>
        </is>
      </c>
      <c r="D9752" t="n">
        <v>1</v>
      </c>
      <c r="E9752" t="n">
        <v>15</v>
      </c>
      <c r="F9752">
        <f>HYPERLINK("https://www.reddit.com/r/diabetes/comments/hb64uv/supportive_but_in_the_dark_wife_needing_advice/")</f>
        <v/>
      </c>
      <c r="G9752" t="inlineStr">
        <is>
          <t>2020-06-17 19:46:50</t>
        </is>
      </c>
      <c r="H9752" t="inlineStr">
        <is>
          <t>Type 2</t>
        </is>
      </c>
    </row>
    <row r="9753">
      <c r="A9753" t="inlineStr">
        <is>
          <t>hb7el8</t>
        </is>
      </c>
      <c r="B9753" t="inlineStr">
        <is>
          <t>Diabetes app with barcode scanner</t>
        </is>
      </c>
      <c r="C9753" t="inlineStr">
        <is>
          <t>T1D in Australia looking for a phone app with a barcode scanner that i can maybe find the carbs etc for the food. 
Suggestions?</t>
        </is>
      </c>
      <c r="D9753" t="n">
        <v>1</v>
      </c>
      <c r="E9753" t="n">
        <v>2</v>
      </c>
      <c r="F9753">
        <f>HYPERLINK("https://www.reddit.com/r/diabetes/comments/hb7el8/diabetes_app_with_barcode_scanner/")</f>
        <v/>
      </c>
      <c r="G9753" t="inlineStr">
        <is>
          <t>2020-06-17 21:15:35</t>
        </is>
      </c>
      <c r="H9753" t="inlineStr">
        <is>
          <t>Type 1</t>
        </is>
      </c>
    </row>
    <row r="9754">
      <c r="A9754" t="inlineStr">
        <is>
          <t>hbajfp</t>
        </is>
      </c>
      <c r="B9754" t="inlineStr">
        <is>
          <t>I cannot figure this out</t>
        </is>
      </c>
      <c r="C9754" t="inlineStr">
        <is>
          <t>&amp;amp;#x200B;
![img](gjqs87pa1m551 "I'm all over the place")
Not looking for medical advice - going to call Endo first thing in the morning. Want an opinion on disturbing lows explained below, what to read up on, questions to ask..
I recently asked for and got a Dexcom G6 Rx from my general doc. Paid for it out of my own pocket because insurance won't cover it without 2 months of logs, and several other hoops I must jump through. Ok whatever. I sought out Endo after talking to another diabetic and told them what I was experiencing.
The reason I did this is because of what is happening in the morning. I literally cannot get out of bed in the morning. I sleep through alarms, turn them off without remembering doing it, have conversations with my partner that I have no recollection of, have been more than 2 hours late for work for no reason. I knew something was going on with me, but I couldn't figure it out. So I figured a CGM might give some insight. My morning reading have been low normal when meter testing, but something kept telling me, something is wrong
Initial consult with Endo, showed first 2 weeks of logs, expressed concerns about what had caused me to pay for Dexcom to begin with. Labs ordered, told to eat something before bed, dial back evening insulin, start diabetic classes, re-evaluate after last class (4 weeks from consult), thats still 2 weeks away.
Now, I know there are no carbs and insulin markers on the chart. I'm forgetting or cannot do this at that exact moment in the app because of work or a million other things that are distracting me at that moment. I'm going to correct that. I know I need that information to give a better overall picture.
But what is bothering me is my overnights and how my body is reacting to insulin, food and lack of food. 
Timeline Tuesday - lowerchart - lets start at 7AM
7am - Wake up  
7:30 - Take meds - no food, no insulin   
8am - 1st Diabetic Carb counting class ever (learned more in those 2 hours than I have in the last 10 years)  
10:30 arrive at work - Sugar-free flavored water- no food because of the shit show I walked into.  
12:30 leave for lunch because I realized I still hadn't eaten. Beef &amp;amp; Broccoli no rice, 15 units insulin  
5pm leave work - only 0 cal flavored water since lunch because of work demands  
5:30 dinner - Rib Eye, stuffing and green beans, 30 units insulin  
7pm asleep on couch- feel like shit  
830 wake up - feel like shit  
9pm slice of leftover pizza, no insulin, wanted to put something in my stomach before bed  
930 bed, I'm feeling off and very tired  
TOP CHART  
1am-630am - multiple lows, multiple alarms - did not wake up - partner did not wake up (partial deafness due to childhood meningitis so only act of god disturbs sleep)  
6:30 Woken up by partner and told my phone was making alarm sounds, had a conversation for apparently 10 minutes before they left for work. DO NOT recall any of this  
830 Dog wakes me up by kicking me in the face, clock and phone alarms have been going off for more than an hour, late for work again. Bowl of cereal, meds - no insulin  
1130 lunch - Mongolian beef with broccoli side - 30 units before eating, sugar was already too high  
afternoon -  stress level 9 out of 10 - mini Hersheys throughout the day - Stress Eating - no insulin  
630 dinner - was asked about morning conversation, I had no idea what we are talking about. was given recap, still clueless. was told about being woken up and asked if I ate something after being woken up, still clueless. Scared- this was kinda big conversation that I have no recall of.   
Review last 24 hrs on Dexcom - scared shitless, decide no insulin- hotwings and a few fries  
9PM bed, no food, no insulin - Cant sleep  
1:30am still not asleep, stressed - sugar still high 180 and steady, no insulin, afraid of going too low   
2am Reddit  
So here I am, reading about Nocturnal Hypoglycemia, wondering what the hell is wrong, and posting on Reddit.
The medical advice I will get from the new Endo, but any suggestions as to questions, points to bring up or read about would be well received.</t>
        </is>
      </c>
      <c r="D9754" t="n">
        <v>1</v>
      </c>
      <c r="E9754" t="n">
        <v>6</v>
      </c>
      <c r="F9754">
        <f>HYPERLINK("https://www.reddit.com/r/diabetes/comments/hbajfp/i_cannot_figure_this_out/")</f>
        <v/>
      </c>
      <c r="G9754" t="inlineStr">
        <is>
          <t>2020-06-18 01:12:30</t>
        </is>
      </c>
      <c r="H9754" t="inlineStr">
        <is>
          <t>Type 2</t>
        </is>
      </c>
    </row>
    <row r="9755">
      <c r="A9755" t="inlineStr">
        <is>
          <t>hbdx24</t>
        </is>
      </c>
      <c r="B9755" t="inlineStr">
        <is>
          <t>Glycemic Index</t>
        </is>
      </c>
      <c r="C9755" t="inlineStr">
        <is>
          <t>Does anyone use or look at a food's glyciemic index before choosing to eat it? I know it kinda a niche topic but I wonder if it has any uses in choosing what to eat when refering to BG spikes.</t>
        </is>
      </c>
      <c r="D9755" t="n">
        <v>1</v>
      </c>
      <c r="E9755" t="n">
        <v>11</v>
      </c>
      <c r="F9755">
        <f>HYPERLINK("https://www.reddit.com/r/diabetes/comments/hbdx24/glycemic_index/")</f>
        <v/>
      </c>
      <c r="G9755" t="inlineStr">
        <is>
          <t>2020-06-18 05:45:24</t>
        </is>
      </c>
      <c r="H9755" t="inlineStr">
        <is>
          <t>Type 1</t>
        </is>
      </c>
    </row>
    <row r="9756">
      <c r="A9756" t="inlineStr">
        <is>
          <t>hbergu</t>
        </is>
      </c>
      <c r="B9756" t="inlineStr">
        <is>
          <t>Any T1D Teachers? Need advice talking to HR/Admin</t>
        </is>
      </c>
      <c r="C9756" t="inlineStr">
        <is>
          <t>The district I work at just released our school calender for the coming year and I start back at the end of July and kids return first week of August. I work in Texas and my city had 430 new COVID 19 cases confirmed yesterday.
I talked with my doctor and she is only comfortable with me returning to work if I and everyone else wears a mask. I just don't see my administration backing me up on that.
Is anyone else a school teacher? Are you talking to HR/admin about returning? I was considering resigning, but then I loose insurance. My husband also teaches at the same school, so it probably wouldn't do me any good.</t>
        </is>
      </c>
      <c r="D9756" t="n">
        <v>1</v>
      </c>
      <c r="E9756" t="n">
        <v>4</v>
      </c>
      <c r="F9756">
        <f>HYPERLINK("https://www.reddit.com/r/diabetes/comments/hbergu/any_t1d_teachers_need_advice_talking_to_hradmin/")</f>
        <v/>
      </c>
      <c r="G9756" t="inlineStr">
        <is>
          <t>2020-06-18 06:39:12</t>
        </is>
      </c>
      <c r="H9756" t="inlineStr">
        <is>
          <t>Type 1</t>
        </is>
      </c>
    </row>
    <row r="9757">
      <c r="A9757" t="inlineStr">
        <is>
          <t>hbety7</t>
        </is>
      </c>
      <c r="B9757" t="inlineStr">
        <is>
          <t>Sore foot?</t>
        </is>
      </c>
      <c r="C9757" t="inlineStr">
        <is>
          <t>You know the slight soreness when you hit the bottom of your foot on an edge or something (not limping bad but you knick it good and it stays until next day) and its quite sore for the rest of the day, i have that on the bottom top right portion of my foot, and its not noticeable until i move my foot a certain way, should i be worried? i also feel it in my pinky toe sometimes</t>
        </is>
      </c>
      <c r="D9757" t="n">
        <v>1</v>
      </c>
      <c r="E9757" t="n">
        <v>1</v>
      </c>
      <c r="F9757">
        <f>HYPERLINK("https://www.reddit.com/r/diabetes/comments/hbety7/sore_foot/")</f>
        <v/>
      </c>
      <c r="G9757" t="inlineStr">
        <is>
          <t>2020-06-18 06:43:28</t>
        </is>
      </c>
      <c r="H9757" t="inlineStr">
        <is>
          <t>Type 1</t>
        </is>
      </c>
    </row>
    <row r="9758">
      <c r="A9758" t="inlineStr">
        <is>
          <t>hbhboi</t>
        </is>
      </c>
      <c r="B9758" t="inlineStr">
        <is>
          <t>Probably the only one here but</t>
        </is>
      </c>
      <c r="C9758" t="inlineStr">
        <is>
          <t>I've had type 1 for 10 years already but I try to change my diet and exercise to help my blood sugar but I always have blood sugar that's really high and it's hard to eat what I'm supposed to, idk. Any advice?</t>
        </is>
      </c>
      <c r="D9758" t="n">
        <v>1</v>
      </c>
      <c r="E9758" t="n">
        <v>18</v>
      </c>
      <c r="F9758">
        <f>HYPERLINK("https://www.reddit.com/r/diabetes/comments/hbhboi/probably_the_only_one_here_but/")</f>
        <v/>
      </c>
      <c r="G9758" t="inlineStr">
        <is>
          <t>2020-06-18 08:57:15</t>
        </is>
      </c>
      <c r="H9758" t="inlineStr">
        <is>
          <t>Type 1</t>
        </is>
      </c>
    </row>
    <row r="9759">
      <c r="A9759" t="inlineStr">
        <is>
          <t>hbhgfk</t>
        </is>
      </c>
      <c r="B9759" t="inlineStr">
        <is>
          <t>Dexcom g6 transmitter template?</t>
        </is>
      </c>
      <c r="C9759" t="inlineStr">
        <is>
          <t>So the Dexcom g6 is amazing but let's all be honest. It's a bit borning. As someone who is rather crafty, I was hoping that maybe there was already something out there that might be able to help me. 
I'd like to print off some stickers to cover the g6 transmitter, but I don't have a template and I can't seem to find the transmitter dimensions for the part that needs to be covered. 
Does anyone out there happen to have a template I could follow perhaps or know where I could find one? I've seen the stickers for sale on Etsy and even a silicone template but I feel like just making my own cut file for stickers might be less time consuming and less waste material wise.</t>
        </is>
      </c>
      <c r="D9759" t="n">
        <v>1</v>
      </c>
      <c r="E9759" t="n">
        <v>3</v>
      </c>
      <c r="F9759">
        <f>HYPERLINK("https://www.reddit.com/r/diabetes/comments/hbhgfk/dexcom_g6_transmitter_template/")</f>
        <v/>
      </c>
      <c r="G9759" t="inlineStr">
        <is>
          <t>2020-06-18 09:04:01</t>
        </is>
      </c>
      <c r="H9759" t="inlineStr">
        <is>
          <t>Type 1</t>
        </is>
      </c>
    </row>
    <row r="9760">
      <c r="A9760" t="inlineStr">
        <is>
          <t>hbhgvd</t>
        </is>
      </c>
      <c r="B9760" t="inlineStr">
        <is>
          <t>Thinking about getting my first tattoo soon. Is there anything I need to know or be aware of when it comes to getting a tattoo as a diabetic?</t>
        </is>
      </c>
      <c r="C9760" t="inlineStr">
        <is>
          <t>I am type 2. Is it true that a tattoo takes longer to heal when you are diabetic? Is there anything I should concern myself with or know about getting a tattoo as a person with type 2 diabetes?</t>
        </is>
      </c>
      <c r="D9760" t="n">
        <v>1</v>
      </c>
      <c r="E9760" t="n">
        <v>6</v>
      </c>
      <c r="F9760">
        <f>HYPERLINK("https://www.reddit.com/r/diabetes/comments/hbhgvd/thinking_about_getting_my_first_tattoo_soon_is/")</f>
        <v/>
      </c>
      <c r="G9760" t="inlineStr">
        <is>
          <t>2020-06-18 09:04:33</t>
        </is>
      </c>
      <c r="H9760" t="inlineStr">
        <is>
          <t>Type 2</t>
        </is>
      </c>
    </row>
    <row r="9761">
      <c r="A9761" t="inlineStr">
        <is>
          <t>hbjdiv</t>
        </is>
      </c>
      <c r="B9761" t="inlineStr">
        <is>
          <t>What do you consider " in range"</t>
        </is>
      </c>
      <c r="C9761" t="inlineStr">
        <is>
          <t>There are a lot of posts by folks who are "in range" for the whole day (nice job, btw). 
I was diagnosed T2D back in September of last year with an A1C of around 13...
Last checkup was a few months ago, came in at 6.6.
I am now clocking between 95 mg/dl and 150mg/dl pretty much all the time with a 3 month average at about 123mg/dl.
All that being said, what is considered " in range"?
Am I "in range"?
I've read 5 different websites that gave 5 different ranges that were "good".
So folks, what do you consider"in range"?</t>
        </is>
      </c>
      <c r="D9761" t="n">
        <v>1</v>
      </c>
      <c r="E9761" t="n">
        <v>12</v>
      </c>
      <c r="F9761">
        <f>HYPERLINK("https://www.reddit.com/r/diabetes/comments/hbjdiv/what_do_you_consider_in_range/")</f>
        <v/>
      </c>
      <c r="G9761" t="inlineStr">
        <is>
          <t>2020-06-18 10:43:51</t>
        </is>
      </c>
      <c r="H9761" t="inlineStr">
        <is>
          <t>Type 2</t>
        </is>
      </c>
    </row>
    <row r="9762">
      <c r="A9762" t="inlineStr">
        <is>
          <t>hbonep</t>
        </is>
      </c>
      <c r="B9762" t="inlineStr">
        <is>
          <t>I wish there were nutrition cubes that could taste like whatever you wanted. They would have all the nutrients required and contain an exact amount of carbohydrates.</t>
        </is>
      </c>
      <c r="C9762" t="inlineStr">
        <is>
          <t>I'm sick of eating being a part-time job, I just want to get it over with and do other stuff. Anyone else?</t>
        </is>
      </c>
      <c r="D9762" t="n">
        <v>1</v>
      </c>
      <c r="E9762" t="n">
        <v>22</v>
      </c>
      <c r="F9762">
        <f>HYPERLINK("https://www.reddit.com/r/diabetes/comments/hbonep/i_wish_there_were_nutrition_cubes_that_could/")</f>
        <v/>
      </c>
      <c r="G9762" t="inlineStr">
        <is>
          <t>2020-06-18 15:37:52</t>
        </is>
      </c>
      <c r="H9762" t="inlineStr">
        <is>
          <t>Type 1</t>
        </is>
      </c>
    </row>
    <row r="9763">
      <c r="A9763" t="inlineStr">
        <is>
          <t>hbp4xk</t>
        </is>
      </c>
      <c r="B9763" t="inlineStr">
        <is>
          <t>Just found out I have diabetes!</t>
        </is>
      </c>
      <c r="C9763" t="inlineStr">
        <is>
          <t>I have been pre-diabetes and had highblood pressure since 13 years old.  I never took it serious because I was borderline and young.  In Feb I went to the doctor for a yearly, I found out days later I had a A1C of 6.7.  I  thought nothing of it  because I been like this since my teens.  
This past weekend I was super grumpy and snapped on my beloved grandfather (something I have never done in my 26 years of living!) .  I knew something was up because I was super moody, tired, and just not feeling well for the past month.  So I went to the doctor and my blood sugar was 247mg (Avg 127mg-147mg), blood pressure was 147/91 and  I had gained 40lbs from covid stress eating.  My doctor ordered an A1C test and was deeply concerned. 
Today my labs came back and I  had an A1C of 9.8.  The doctor informed me that I seriously had to lose weight and started me on Metformin.  I just test my blood sugar and it was 308mg.  I took 1000mg of the meds.  
I feel SCARED and in over my head. Can someone give me tips.  All I have had was breakfast (toast, eggs, sauage, and coffee.) today  and not even sure why my sugar is this high.  
Sex: M
534lbs
age 26</t>
        </is>
      </c>
      <c r="D9763" t="n">
        <v>1</v>
      </c>
      <c r="E9763" t="n">
        <v>17</v>
      </c>
      <c r="F9763">
        <f>HYPERLINK("https://www.reddit.com/r/diabetes/comments/hbp4xk/just_found_out_i_have_diabetes/")</f>
        <v/>
      </c>
      <c r="G9763" t="inlineStr">
        <is>
          <t>2020-06-18 16:06:55</t>
        </is>
      </c>
      <c r="H9763" t="inlineStr">
        <is>
          <t>Type 2</t>
        </is>
      </c>
    </row>
    <row r="9764">
      <c r="A9764" t="inlineStr">
        <is>
          <t>hbq69e</t>
        </is>
      </c>
      <c r="B9764" t="inlineStr">
        <is>
          <t>Keto and Diabetes</t>
        </is>
      </c>
      <c r="C9764" t="inlineStr">
        <is>
          <t>Hello my name is Darnell, this is my first post. I have really been struggling with my weight and I was going to the pool 3 times per week but since it has been close for 3 months I have put on even more weight. I have taken every excuse of why I can’t loose weight off the table and have committed to myself the next 30 day to get on a program. I am 4 day in doing keto and I’m diabetic. I take 1000mg Metformin twice a day. I been doing good eating no carbs but my sugars drop very low at night. The 3rd day on I stopped taking one of the Metformin doses but it still goes low at night. First question is there anyone doing keto and a type 2 diabetic, second what can I eat that will keep me thru the night.</t>
        </is>
      </c>
      <c r="D9764" t="n">
        <v>1</v>
      </c>
      <c r="E9764" t="n">
        <v>15</v>
      </c>
      <c r="F9764">
        <f>HYPERLINK("https://www.reddit.com/r/diabetes/comments/hbq69e/keto_and_diabetes/")</f>
        <v/>
      </c>
      <c r="G9764" t="inlineStr">
        <is>
          <t>2020-06-18 17:09:25</t>
        </is>
      </c>
      <c r="H9764" t="inlineStr">
        <is>
          <t>Type 2</t>
        </is>
      </c>
    </row>
    <row r="9765">
      <c r="A9765" t="inlineStr">
        <is>
          <t>hbsdo2</t>
        </is>
      </c>
      <c r="B9765" t="inlineStr">
        <is>
          <t>What would happen if I where to catch covid?</t>
        </is>
      </c>
      <c r="C9765" t="inlineStr">
        <is>
          <t>I am aware that covid and diabetes has been discussed a lot on this sub so I will cut to the chase. I am 16 diagnosed 11 months ago type 1 and my recent HBA1C was 5.8. Basically I have been self isolating for ages and just as lockdown is easing there is a outbreak in my local town which sucks. I just want to go on a run or something, if worst came to worst could I die from it?</t>
        </is>
      </c>
      <c r="D9765" t="n">
        <v>1</v>
      </c>
      <c r="E9765" t="n">
        <v>0</v>
      </c>
      <c r="F9765">
        <f>HYPERLINK("https://www.reddit.com/r/diabetes/comments/hbsdo2/what_would_happen_if_i_where_to_catch_covid/")</f>
        <v/>
      </c>
      <c r="G9765" t="inlineStr">
        <is>
          <t>2020-06-18 19:31:18</t>
        </is>
      </c>
      <c r="H9765" t="inlineStr">
        <is>
          <t>Type 1</t>
        </is>
      </c>
    </row>
    <row r="9766">
      <c r="A9766" t="inlineStr">
        <is>
          <t>hbt08h</t>
        </is>
      </c>
      <c r="B9766" t="inlineStr">
        <is>
          <t>What are your favorite Supplements?</t>
        </is>
      </c>
      <c r="C9766" t="inlineStr">
        <is>
          <t>Taking a b complex, cinnamon, and coq10 with my other meds. 
Very interested in what you guys like and use.</t>
        </is>
      </c>
      <c r="D9766" t="n">
        <v>1</v>
      </c>
      <c r="E9766" t="n">
        <v>7</v>
      </c>
      <c r="F9766">
        <f>HYPERLINK("https://www.reddit.com/r/diabetes/comments/hbt08h/what_are_your_favorite_supplements/")</f>
        <v/>
      </c>
      <c r="G9766" t="inlineStr">
        <is>
          <t>2020-06-18 20:13:33</t>
        </is>
      </c>
      <c r="H9766" t="inlineStr">
        <is>
          <t>Type 2</t>
        </is>
      </c>
    </row>
    <row r="9767">
      <c r="A9767" t="inlineStr">
        <is>
          <t>hbt26j</t>
        </is>
      </c>
      <c r="B9767" t="inlineStr">
        <is>
          <t>Frustrated with fellow pregnant women</t>
        </is>
      </c>
      <c r="C9767" t="inlineStr">
        <is>
          <t>I've been so frustrated by this for months now but it's really hit me tonight. I'm a pregnant T1.
I keep getting comments (today, from my OB) about "I hope you get some sleep tonight despite having to pee so much from third trimester!" But it's not just from the pregnancy for me. It's every day forever.
And then for weeks now, the pregnant women in the various pregnancy groups I'm in are complaining about having to eat less carbs cause they have gestational diabetes. You know, what I have to do every day of my entire life.
I'm being induced in 20 days. For anyone else in these groups, that would mean the diabetes goes away, that I don't have to pee in the night. But not me. It'll never go away.
And I'm so frustrated at just... hearing people talk about it. I have to imagine that it's as odd as being permanently wheelchair bound in a room of people talking about how hard it is not being able to walk while their broken leg heals up. As frustrating as it is to be blind and in a room where people talk to each other right beside you about how difficult it is to get around while their eyes are still dilated after the opthalmologist appointment.
And to the people talking, they are truly speaking that these things (peeing frequently and having to eat less sugar) are massively life altering and severely harm their quality of life. They (and, for now, myself as well) get sympathy for having to go through something as horrible as temporary diabetes and temporary periods of interrupted sleep.
No one sympathizes that I am stuck in this situation for the rest of my life.
I'm really down and, I guess I'm just looking for comradery.</t>
        </is>
      </c>
      <c r="D9767" t="n">
        <v>1</v>
      </c>
      <c r="E9767" t="n">
        <v>15</v>
      </c>
      <c r="F9767">
        <f>HYPERLINK("https://www.reddit.com/r/diabetes/comments/hbt26j/frustrated_with_fellow_pregnant_women/")</f>
        <v/>
      </c>
      <c r="G9767" t="inlineStr">
        <is>
          <t>2020-06-18 20:17:27</t>
        </is>
      </c>
      <c r="H9767" t="inlineStr">
        <is>
          <t>Type 1</t>
        </is>
      </c>
    </row>
    <row r="9768">
      <c r="A9768" t="inlineStr">
        <is>
          <t>hbvrwd</t>
        </is>
      </c>
      <c r="B9768" t="inlineStr">
        <is>
          <t>First night of insulin</t>
        </is>
      </c>
      <c r="C9768" t="inlineStr">
        <is>
          <t>Tonight I took my first nightly dose of 10 units of tribesa. I had been on ozempic and metformin before but still no able to drop my numbers like I was last year even with maintaining my mainly plant based low carb diet and even more exercise during quarantine than ever before. Also switched to trulicity after complaining about the ozempic nausea and wicked side effects but prepared for trulicity to possibly do the same
Couple of things I noticed / would love to hear everyone’s take on. 
1. My wife immediately said she could smell something different. Pretty sure she can smell the insulin
2. The plunger that trulicity uses is a huge surprise someone should warn people about like jfc it shot down into my thigh with a vengeance 
3. I haven’t been injecting very long and have mainly been alternating thighs for my once weekly. Now that I’m going to daily wondering if I should add areas a options. Do you have any tips on that? After the trulicity plunger of doom I’m thinking my thigh will be bruised tomorrow 
Thanks for reading. stay safe &amp;amp; sane out there folks</t>
        </is>
      </c>
      <c r="D9768" t="n">
        <v>1</v>
      </c>
      <c r="E9768" t="n">
        <v>3</v>
      </c>
      <c r="F9768">
        <f>HYPERLINK("https://www.reddit.com/r/diabetes/comments/hbvrwd/first_night_of_insulin/")</f>
        <v/>
      </c>
      <c r="G9768" t="inlineStr">
        <is>
          <t>2020-06-18 23:41:40</t>
        </is>
      </c>
      <c r="H9768" t="inlineStr">
        <is>
          <t>Type 1.5/LADA</t>
        </is>
      </c>
    </row>
    <row r="9769">
      <c r="A9769" t="inlineStr">
        <is>
          <t>hbvwoz</t>
        </is>
      </c>
      <c r="B9769" t="inlineStr">
        <is>
          <t>Suspected type 2 diabetes...not sure what to do</t>
        </is>
      </c>
      <c r="C9769" t="inlineStr">
        <is>
          <t>I haven't been to the doctor in a couple years. The job i have doesnt have health insurance so the only health insurance I have is VA. I made an appt but the earliest they could get me in is September. 
Lately, for the last few weeks my foot has been tingley/numb. I drink beer on the weekends and when I first looked it up assumed it had something to do with that. (Alcohol neuropathy.) So I quit drinking but my foot still goes numb. Now I'm scared. Really scared. I also urinate about 10-13 times a day. 
Can urgent care test me for diabetes? I can't afford to walk into an er but I am extremely worried about this. My diet is probably objectively bad. Mostly sandwiches, pizza and noodles. I only drink diet soda and water though, no real soda....just not sure where to start. Any advice is appreciated.</t>
        </is>
      </c>
      <c r="D9769" t="n">
        <v>1</v>
      </c>
      <c r="E9769" t="n">
        <v>15</v>
      </c>
      <c r="F9769">
        <f>HYPERLINK("https://www.reddit.com/r/diabetes/comments/hbvwoz/suspected_type_2_diabetesnot_sure_what_to_do/")</f>
        <v/>
      </c>
      <c r="G9769" t="inlineStr">
        <is>
          <t>2020-06-18 23:53:14</t>
        </is>
      </c>
      <c r="H9769" t="inlineStr">
        <is>
          <t>Type 2</t>
        </is>
      </c>
    </row>
    <row r="9770">
      <c r="A9770" t="inlineStr">
        <is>
          <t>hc02bt</t>
        </is>
      </c>
      <c r="B9770" t="inlineStr">
        <is>
          <t>Massive spike in bg that lasts all night</t>
        </is>
      </c>
      <c r="C9770" t="inlineStr">
        <is>
          <t>Before I go to bed, no matter how much insulin I preemptively use, my blood sugar still spikes upwards of even 300. Nothing I have done has resolved this and I am currently in between endocrinologists. Anyone have any ideas?</t>
        </is>
      </c>
      <c r="D9770" t="n">
        <v>1</v>
      </c>
      <c r="E9770" t="n">
        <v>4</v>
      </c>
      <c r="F9770">
        <f>HYPERLINK("https://www.reddit.com/r/diabetes/comments/hc02bt/massive_spike_in_bg_that_lasts_all_night/")</f>
        <v/>
      </c>
      <c r="G9770" t="inlineStr">
        <is>
          <t>2020-06-19 05:46:11</t>
        </is>
      </c>
      <c r="H9770" t="inlineStr">
        <is>
          <t>Type 1</t>
        </is>
      </c>
    </row>
    <row r="9771">
      <c r="A9771" t="inlineStr">
        <is>
          <t>hc02th</t>
        </is>
      </c>
      <c r="B9771" t="inlineStr">
        <is>
          <t>HbA1c Results</t>
        </is>
      </c>
      <c r="C9771" t="inlineStr">
        <is>
          <t>So pleased my HbA1c is 56 down from 64! It's the best it's been! The Libre has improved everything so much! 😁</t>
        </is>
      </c>
      <c r="D9771" t="n">
        <v>1</v>
      </c>
      <c r="E9771" t="n">
        <v>5</v>
      </c>
      <c r="F9771">
        <f>HYPERLINK("https://www.reddit.com/r/diabetes/comments/hc02th/hba1c_results/")</f>
        <v/>
      </c>
      <c r="G9771" t="inlineStr">
        <is>
          <t>2020-06-19 05:47:07</t>
        </is>
      </c>
      <c r="H9771" t="inlineStr">
        <is>
          <t>Type 1</t>
        </is>
      </c>
    </row>
    <row r="9772">
      <c r="A9772" t="inlineStr">
        <is>
          <t>hc18o0</t>
        </is>
      </c>
      <c r="B9772" t="inlineStr">
        <is>
          <t>Diabetic supplies available</t>
        </is>
      </c>
      <c r="C9772" t="inlineStr">
        <is>
          <t>Hello,
I have several G5 sensors as well as g6 senors and test strips. Please message me</t>
        </is>
      </c>
      <c r="D9772" t="n">
        <v>1</v>
      </c>
      <c r="E9772" t="n">
        <v>12</v>
      </c>
      <c r="F9772">
        <f>HYPERLINK("https://www.reddit.com/r/diabetes/comments/hc18o0/diabetic_supplies_available/")</f>
        <v/>
      </c>
      <c r="G9772" t="inlineStr">
        <is>
          <t>2020-06-19 07:03:52</t>
        </is>
      </c>
      <c r="H9772" t="inlineStr">
        <is>
          <t>Type 1</t>
        </is>
      </c>
    </row>
    <row r="9773">
      <c r="A9773" t="inlineStr">
        <is>
          <t>hc3kam</t>
        </is>
      </c>
      <c r="B9773" t="inlineStr">
        <is>
          <t>Dialing in blood sugar.</t>
        </is>
      </c>
      <c r="C9773" t="inlineStr">
        <is>
          <t>In February, I (51M) was diagnosed with diabetes with an A1C of 11. In retrospect, not surprising looking at my diet and the fact that my exercise regime consisted of talking about how I needed to get some. 
I left the Doctor's Office with a prescription for a meter and metformin and kind of wondering where to go now. Decided this called for a stack of grief pancakes, them reconsidered. Tested the next morning after basically starving myself for the day and got 191mg/dL. 
I played around with diet and in about a month, I was occasionally hitting the 130s. Threw in bike riding because knees, got into the 120s. Kept pushing and losing weight and now I'm 217lbs from a start of 255, with a 4 inch reduction in waist size. My fasting blood sugar runs 85-97. If I don't exercise, the next day is 103-109.
My question is about range. I've been trying to find out what a good number is. All the info I can find is large ranges. 72-130 for diabetics. Under 100 for non diabetics. I'd like a tighter tolerance. After all, aim small, miss small. Is there a number or say a 10 point range that is considered ideal? I had a 79 this morning and the Mysugr app flagged it as low.</t>
        </is>
      </c>
      <c r="D9773" t="n">
        <v>2</v>
      </c>
      <c r="E9773" t="n">
        <v>7</v>
      </c>
      <c r="F9773">
        <f>HYPERLINK("https://www.reddit.com/r/diabetes/comments/hc3kam/dialing_in_blood_sugar/")</f>
        <v/>
      </c>
      <c r="G9773" t="inlineStr">
        <is>
          <t>2020-06-19 09:16:06</t>
        </is>
      </c>
      <c r="H9773" t="inlineStr">
        <is>
          <t>Type 2</t>
        </is>
      </c>
    </row>
    <row r="9774">
      <c r="A9774" t="inlineStr">
        <is>
          <t>hc4aeg</t>
        </is>
      </c>
      <c r="B9774" t="inlineStr">
        <is>
          <t>Any advice for tracking bad sites?</t>
        </is>
      </c>
      <c r="C9774" t="inlineStr">
        <is>
          <t>I'm using the Tandem t:slim X2 with AutoSoft 30 infusion sites.  My last site was awful.  I needed double the amount of insulin that I normally use.  I have to assume there is something wrong with that particular site.  I assume I don't want to use that site again.
&amp;amp;#x200B;
So my question.  If I find a site that is a bust, does anyone have any advice on how I track the bad sites?  How do I avoid that site again when its rotation comes around again?</t>
        </is>
      </c>
      <c r="D9774" t="n">
        <v>2</v>
      </c>
      <c r="E9774" t="n">
        <v>6</v>
      </c>
      <c r="F9774">
        <f>HYPERLINK("https://www.reddit.com/r/diabetes/comments/hc4aeg/any_advice_for_tracking_bad_sites/")</f>
        <v/>
      </c>
      <c r="G9774" t="inlineStr">
        <is>
          <t>2020-06-19 09:55:36</t>
        </is>
      </c>
      <c r="H9774" t="inlineStr">
        <is>
          <t>Type 1</t>
        </is>
      </c>
    </row>
    <row r="9775">
      <c r="A9775" t="inlineStr">
        <is>
          <t>hc5e59</t>
        </is>
      </c>
      <c r="B9775" t="inlineStr">
        <is>
          <t>Is it normal to bleed after a shot?</t>
        </is>
      </c>
      <c r="C9775" t="inlineStr">
        <is>
          <t>After I do my traciba I sometimes bleed is this normal?</t>
        </is>
      </c>
      <c r="D9775" t="n">
        <v>2</v>
      </c>
      <c r="E9775" t="n">
        <v>6</v>
      </c>
      <c r="F9775">
        <f>HYPERLINK("https://www.reddit.com/r/diabetes/comments/hc5e59/is_it_normal_to_bleed_after_a_shot/")</f>
        <v/>
      </c>
      <c r="G9775" t="inlineStr">
        <is>
          <t>2020-06-19 10:56:11</t>
        </is>
      </c>
      <c r="H9775" t="inlineStr">
        <is>
          <t>Type 1</t>
        </is>
      </c>
    </row>
    <row r="9776">
      <c r="A9776" t="inlineStr">
        <is>
          <t>hccuqm</t>
        </is>
      </c>
      <c r="B9776" t="inlineStr">
        <is>
          <t>Diabetes and Hair Loss</t>
        </is>
      </c>
      <c r="C9776" t="inlineStr">
        <is>
          <t>Hey y'all,
I used to have really really thick hair and a lot of it. I was very fortunate. In 2017 I was misdiagnosed with Type 2 diabetes in June 2017 at age 24. I got a second opinion April 2020 and found positive GAD antibodies, so I was diagnosed as Type 1 and started insulin therapy. 
When I was first diagnosed with diabetes in 2017, my hair started showing signs of falling out.
Then it just got worse and worse and worse every dang day. We're talkin' 50+ hairs falling out in the shower and that NEVER used to happen. Plus everytime I run my fingers through my hair, a few pieces come out and they have that white bulb at the end which I'm pretty sure means it will not grow back.   
Obviously, hair loss shouldn't be a huge deal and is usually genetic. My dad is bald, but every other guy in my family has a full head of hair. If it's a genetic thing, fine. There's nothing I can do. But my question is: if it was brought on by diabetes, can I fix it? Stop it? Is it because of my Metformin? I can't express to y'all how much hair I had before. It was a really thick head of hair. Very healthy. Now my hair is incredibly dry in the front/top and falls out when barely touched.</t>
        </is>
      </c>
      <c r="D9776" t="n">
        <v>1</v>
      </c>
      <c r="E9776" t="n">
        <v>9</v>
      </c>
      <c r="F9776">
        <f>HYPERLINK("https://www.reddit.com/r/diabetes/comments/hccuqm/diabetes_and_hair_loss/")</f>
        <v/>
      </c>
      <c r="G9776" t="inlineStr">
        <is>
          <t>2020-06-19 18:00:04</t>
        </is>
      </c>
      <c r="H9776" t="inlineStr">
        <is>
          <t>Type 1</t>
        </is>
      </c>
    </row>
    <row r="9777">
      <c r="A9777" t="inlineStr">
        <is>
          <t>hcg4d5</t>
        </is>
      </c>
      <c r="B9777" t="inlineStr">
        <is>
          <t>Sugar Overdose</t>
        </is>
      </c>
      <c r="C9777" t="inlineStr">
        <is>
          <t>I have a friend who has type 1 diabetes and she quite often gorges on junk food, full well knowing her blood sugar levels will rise to dangerous levels. When she does this, she will use her needle repeatedly to get down, eat more crap then needle again. I'm obviously worried about her.
Question: how dangerous is this practice?</t>
        </is>
      </c>
      <c r="D9777" t="n">
        <v>1</v>
      </c>
      <c r="E9777" t="n">
        <v>7</v>
      </c>
      <c r="F9777">
        <f>HYPERLINK("https://www.reddit.com/r/diabetes/comments/hcg4d5/sugar_overdose/")</f>
        <v/>
      </c>
      <c r="G9777" t="inlineStr">
        <is>
          <t>2020-06-19 22:00:57</t>
        </is>
      </c>
      <c r="H9777" t="inlineStr">
        <is>
          <t>Type 1</t>
        </is>
      </c>
    </row>
    <row r="9778">
      <c r="A9778" t="inlineStr">
        <is>
          <t>hcgrnh</t>
        </is>
      </c>
      <c r="B9778" t="inlineStr">
        <is>
          <t>Advice to newly-diagnosed T2 diabetic</t>
        </is>
      </c>
      <c r="C9778" t="inlineStr">
        <is>
          <t>Hello. I was recently diagnosed to have type 2 diabetes. What important or critical advice can you give me so I can still live my life to the fullest in spite of the disease? Thank you.</t>
        </is>
      </c>
      <c r="D9778" t="n">
        <v>1</v>
      </c>
      <c r="E9778" t="n">
        <v>6</v>
      </c>
      <c r="F9778">
        <f>HYPERLINK("https://www.reddit.com/r/diabetes/comments/hcgrnh/advice_to_newlydiagnosed_t2_diabetic/")</f>
        <v/>
      </c>
      <c r="G9778" t="inlineStr">
        <is>
          <t>2020-06-19 22:53:32</t>
        </is>
      </c>
      <c r="H9778" t="inlineStr">
        <is>
          <t>Type 2</t>
        </is>
      </c>
    </row>
    <row r="9779">
      <c r="A9779" t="inlineStr">
        <is>
          <t>hch9ed</t>
        </is>
      </c>
      <c r="B9779" t="inlineStr">
        <is>
          <t>Metformin and Creatinine/eGFR</t>
        </is>
      </c>
      <c r="C9779" t="inlineStr">
        <is>
          <t>When I started metformin,1.5 years ago, I had an A1c of 7.2, fasting glucose of 112 and was morbidly overweight. I am still overweight (lol still defeating to say) but lost 85 lbs in 1.5 years. Over the course of 1.5 years, I was on 2000mg of metformin. I recently had A1c of 5.9 and fasting of 91, which is great control. I got off medication because I have been dealing with paresthesia in my legs but I also began looking at my lab tests recently and saw that my eGFR has decreased substantially and my serum/plasma creatinine has elevated a lot to near the end range of the normal lab reference interval for creatinine. I am going to be off meds and get my numbers checked again in 6 months, but has anybody also noticed their creatinine increase and eGFR decrease. Love this group and enjoy hearing success and redemption stories!</t>
        </is>
      </c>
      <c r="D9779" t="n">
        <v>1</v>
      </c>
      <c r="E9779" t="n">
        <v>0</v>
      </c>
      <c r="F9779">
        <f>HYPERLINK("https://www.reddit.com/r/diabetes/comments/hch9ed/metformin_and_creatinineegfr/")</f>
        <v/>
      </c>
      <c r="G9779" t="inlineStr">
        <is>
          <t>2020-06-19 23:37:23</t>
        </is>
      </c>
      <c r="H9779" t="inlineStr">
        <is>
          <t>Type 2</t>
        </is>
      </c>
    </row>
    <row r="9780">
      <c r="A9780" t="inlineStr">
        <is>
          <t>hcib87</t>
        </is>
      </c>
      <c r="B9780" t="inlineStr">
        <is>
          <t>Severe stomach aches and vomiting</t>
        </is>
      </c>
      <c r="C9780" t="inlineStr">
        <is>
          <t>Asking for someone I am concerned about.  He has frequent severe stomach aches and he is sometimes up through out the night vomiting.  The diagnosis came 2-3 years after he started showing signs of being unwell (he refused to see a doctor).  One day he started to have blurred vision and had to go to the hospital. His bg was 32!  The testing showed an average bg of 10 over the previous three months.  He is on Metformin.  Is this normal for T2?  Any ideas what is going on?
Thanks</t>
        </is>
      </c>
      <c r="D9780" t="n">
        <v>1</v>
      </c>
      <c r="E9780" t="n">
        <v>9</v>
      </c>
      <c r="F9780">
        <f>HYPERLINK("https://www.reddit.com/r/diabetes/comments/hcib87/severe_stomach_aches_and_vomiting/")</f>
        <v/>
      </c>
      <c r="G9780" t="inlineStr">
        <is>
          <t>2020-06-20 01:11:39</t>
        </is>
      </c>
      <c r="H9780" t="inlineStr">
        <is>
          <t>Type 2</t>
        </is>
      </c>
    </row>
    <row r="9781">
      <c r="A9781" t="inlineStr">
        <is>
          <t>hciojb</t>
        </is>
      </c>
      <c r="B9781" t="inlineStr">
        <is>
          <t>Hey y’all, I’m concerned that I might have diabetes type 2, I’m 15 198 pounds and 5 ft 7</t>
        </is>
      </c>
      <c r="C9781" t="inlineStr">
        <is>
          <t>I was wondering if these are symptoms any of you folks have experienced when I stand still for 3 minutes my feet start getting itchy that’s the primary one but I don’t have insane thirst or eat a lot or blurry vision i already booked an appointment to check my blood sugar levels. I just wanted to ask if anyone else experienced this as a symptom.</t>
        </is>
      </c>
      <c r="D9781" t="n">
        <v>1</v>
      </c>
      <c r="E9781" t="n">
        <v>2</v>
      </c>
      <c r="F9781">
        <f>HYPERLINK("https://www.reddit.com/r/diabetes/comments/hciojb/hey_yall_im_concerned_that_i_might_have_diabetes/")</f>
        <v/>
      </c>
      <c r="G9781" t="inlineStr">
        <is>
          <t>2020-06-20 01:41:27</t>
        </is>
      </c>
      <c r="H9781" t="inlineStr">
        <is>
          <t>Type 2</t>
        </is>
      </c>
    </row>
    <row r="9782">
      <c r="A9782" t="inlineStr">
        <is>
          <t>hclz1u</t>
        </is>
      </c>
      <c r="B9782" t="inlineStr">
        <is>
          <t>Dexcom g6 suddenly asking for calibration</t>
        </is>
      </c>
      <c r="C9782" t="inlineStr">
        <is>
          <t>Hi everyone, I put on a new g6 sensor a couple of days ago. When I did, it asked me to put in a couple of calibrations which is unusual (one of the key upgrades from g5 to g6). I gave it the calibrations and it was fine until yesterday afternoon when the app started pinging me for calibration again. 
Is this happening to anyone else? Is there anything else I should do? TIA!</t>
        </is>
      </c>
      <c r="D9782" t="n">
        <v>1</v>
      </c>
      <c r="E9782" t="n">
        <v>2</v>
      </c>
      <c r="F9782">
        <f>HYPERLINK("https://www.reddit.com/r/diabetes/comments/hclz1u/dexcom_g6_suddenly_asking_for_calibration/")</f>
        <v/>
      </c>
      <c r="G9782" t="inlineStr">
        <is>
          <t>2020-06-20 06:04:29</t>
        </is>
      </c>
      <c r="H9782" t="inlineStr">
        <is>
          <t>Type 1</t>
        </is>
      </c>
    </row>
    <row r="9783">
      <c r="A9783" t="inlineStr">
        <is>
          <t>hcm18p</t>
        </is>
      </c>
      <c r="B9783" t="inlineStr">
        <is>
          <t>Am I in diabetes remission?</t>
        </is>
      </c>
      <c r="C9783" t="inlineStr">
        <is>
          <t>About 4 years ago I was diagnosed with type 2 diabetes. I was out of control and did not care for my health or my life to be honest. At my highest weight of close to 400lbs, my A1c was 8.4% and fasting glucose was 112mg/dL. I did not take my health seriously till 1.5 years later and began changing my diet and exercise. Before making such changes, I got tested again to set my baseline which was 109mg/dL fasting glucose and A1c of 7.4%. Over the past 1.5 years, I was on metformin, changed diet (still wasn't perfect) and went consistently to the gym. I am below 300lbs for the first time in so many years and my current numbers are A1c of 5.9% and fasting glucose of 91mg/dL. I got off metformin and wanted to take 1 month off to see how my glucose numbers are without meds, and they are 89mg/dL fasting and 100.5 mg/dL 2 hr post-prandial. I also only take sugar measurements once per day. I am not seeking to be "cured" by diabetes, rather hoping that if I maintain this pace over time, I can demonstrate to my doctors I am in better control.</t>
        </is>
      </c>
      <c r="D9783" t="n">
        <v>1</v>
      </c>
      <c r="E9783" t="n">
        <v>0</v>
      </c>
      <c r="F9783">
        <f>HYPERLINK("https://www.reddit.com/r/diabetes/comments/hcm18p/am_i_in_diabetes_remission/")</f>
        <v/>
      </c>
      <c r="G9783" t="inlineStr">
        <is>
          <t>2020-06-20 06:08:58</t>
        </is>
      </c>
      <c r="H9783" t="inlineStr">
        <is>
          <t>Type 2</t>
        </is>
      </c>
    </row>
    <row r="9784">
      <c r="A9784" t="inlineStr">
        <is>
          <t>hcpe9c</t>
        </is>
      </c>
      <c r="B9784" t="inlineStr">
        <is>
          <t>Has diabetes changed your perspective on life dramatically?</t>
        </is>
      </c>
      <c r="C9784" t="inlineStr">
        <is>
          <t>I’ll be honest with you and tell you. I can’t afford to be diabetic, financially. I’m lean, I do retail and contract teaching just to survive. I know I’m going to die soon. That perspective makes me feel I should work harder and do something that I fear the most. What’s your take on life?</t>
        </is>
      </c>
      <c r="D9784" t="n">
        <v>1</v>
      </c>
      <c r="E9784" t="n">
        <v>21</v>
      </c>
      <c r="F9784">
        <f>HYPERLINK("https://www.reddit.com/r/diabetes/comments/hcpe9c/has_diabetes_changed_your_perspective_on_life/")</f>
        <v/>
      </c>
      <c r="G9784" t="inlineStr">
        <is>
          <t>2020-06-20 09:43:44</t>
        </is>
      </c>
      <c r="H9784" t="inlineStr">
        <is>
          <t>Type 2</t>
        </is>
      </c>
    </row>
    <row r="9785">
      <c r="A9785" t="inlineStr">
        <is>
          <t>hcq2aq</t>
        </is>
      </c>
      <c r="B9785" t="inlineStr">
        <is>
          <t>Can exercise raise your A1C? (Hear me out...)</t>
        </is>
      </c>
      <c r="C9785" t="inlineStr">
        <is>
          <t>Ok so I had a cheat meal last night (I know, I know) for the first time in like two months with friends. I didn't go overboard at all, I just had like 10 tortilla chips and then fajitas with no tortillas or rice obv and a couple sips of my friends' margarita. Of course my morning BG was elevated, so I thought to myself, "time to sprint this off!!" I went to do a bunch of sprints and bodyweight training in the park and I walked home, so that was about 30 minutes ago. My BG is at 190, which is 30 points higher than when I started working out.  Like, I know it's normal for the body to make glucose for exercise (I always work out fasted), but WTF!?!?
I'm wondering: is my heavy exercise regime possibly part of the reason for my elevated A1c? Like, I normally have healthy-person BG throughout the day, except if I eat the wrong foods or immediately following exercise (I'm talking heavy workouts, not walking; walking does nothing for me BG wise). And I work out heavily between 7-10 hours per week, and I have for my whole life.
So is it possible that these regular spikes to 190-200 that I get during heavy exercise could be elevating my A1C, possibly enough that I got diagnosed with prediabetes/borderline T2D?</t>
        </is>
      </c>
      <c r="D9785" t="n">
        <v>1</v>
      </c>
      <c r="E9785" t="n">
        <v>11</v>
      </c>
      <c r="F9785">
        <f>HYPERLINK("https://www.reddit.com/r/diabetes/comments/hcq2aq/can_exercise_raise_your_a1c_hear_me_out/")</f>
        <v/>
      </c>
      <c r="G9785" t="inlineStr">
        <is>
          <t>2020-06-20 10:22:20</t>
        </is>
      </c>
      <c r="H9785" t="inlineStr">
        <is>
          <t>Type 2</t>
        </is>
      </c>
    </row>
    <row r="9786">
      <c r="A9786" t="inlineStr">
        <is>
          <t>hct1wv</t>
        </is>
      </c>
      <c r="B9786" t="inlineStr">
        <is>
          <t>Freestyle Libre users, how many times do you check your levels</t>
        </is>
      </c>
      <c r="C9786" t="inlineStr">
        <is>
          <t>I was diagnosed with the beetus 2 weeks ago and I just got the Libre sensors 4 days ago. I check it about 12-14 times a day to see where my glucose levels is at. I find it very easy as you can just use your phone as a reader</t>
        </is>
      </c>
      <c r="D9786" t="n">
        <v>1</v>
      </c>
      <c r="E9786" t="n">
        <v>6</v>
      </c>
      <c r="F9786">
        <f>HYPERLINK("https://www.reddit.com/r/diabetes/comments/hct1wv/freestyle_libre_users_how_many_times_do_you_check/")</f>
        <v/>
      </c>
      <c r="G9786" t="inlineStr">
        <is>
          <t>2020-06-20 13:20:39</t>
        </is>
      </c>
      <c r="H9786" t="inlineStr">
        <is>
          <t>Type 2</t>
        </is>
      </c>
    </row>
    <row r="9787">
      <c r="A9787" t="inlineStr">
        <is>
          <t>hcxio8</t>
        </is>
      </c>
      <c r="B9787" t="inlineStr">
        <is>
          <t>Diabetes and urticaria?</t>
        </is>
      </c>
      <c r="C9787" t="inlineStr">
        <is>
          <t>Hey folks, I have type 1 diabetes and have been suffering from Chronic Idiopathic Urticaria (or probably an Autoimmune Urticaria). It’s basically full body hives that last for months or years at a time. Not great. 
I just thought today to check on this subreddit and see if any of you Type 1s have experienced Urticaria and if anything gave you relief or helped get rid of it?
My last outbreak was every day for 2 years, then I had a 9 month stint with none and it’s started back this week. 
Thanks for any help or experiences you can share!</t>
        </is>
      </c>
      <c r="D9787" t="n">
        <v>1</v>
      </c>
      <c r="E9787" t="n">
        <v>3</v>
      </c>
      <c r="F9787">
        <f>HYPERLINK("https://www.reddit.com/r/diabetes/comments/hcxio8/diabetes_and_urticaria/")</f>
        <v/>
      </c>
      <c r="G9787" t="inlineStr">
        <is>
          <t>2020-06-20 17:51:10</t>
        </is>
      </c>
      <c r="H9787" t="inlineStr">
        <is>
          <t>Type 1</t>
        </is>
      </c>
    </row>
    <row r="9788">
      <c r="A9788" t="inlineStr">
        <is>
          <t>hcy3fc</t>
        </is>
      </c>
      <c r="B9788" t="inlineStr">
        <is>
          <t>First post</t>
        </is>
      </c>
      <c r="C9788" t="inlineStr">
        <is>
          <t>Hi everyone,
   I'm Quentin, I'm 22yo and I'm from France. I have type one diabetes since I was 6 years old. So basically I need some advice or help because I never care about my diabete, I didn't pay attention to it and no one had ever helped me. Now I have some troubles with my health and I want to take charge of my life. I saw that some of you know a lot about diabetes and I thought maybe someone lived the same things as me.
   I'm not posting my full story because I don't know if I will get a lot of replies and if a lot of people will find it interesting, but I can if you're interested to read it. I don't want to annoy you guys with a really long text so I just post that to see if maybe it interests someone.
   Thanks and sorry for my bad English.</t>
        </is>
      </c>
      <c r="D9788" t="n">
        <v>3</v>
      </c>
      <c r="E9788" t="n">
        <v>2</v>
      </c>
      <c r="F9788">
        <f>HYPERLINK("https://www.reddit.com/r/diabetes/comments/hcy3fc/first_post/")</f>
        <v/>
      </c>
      <c r="G9788" t="inlineStr">
        <is>
          <t>2020-06-20 18:28:02</t>
        </is>
      </c>
      <c r="H9788" t="inlineStr">
        <is>
          <t>Type 1</t>
        </is>
      </c>
    </row>
    <row r="9789">
      <c r="A9789" t="inlineStr">
        <is>
          <t>hcyei7</t>
        </is>
      </c>
      <c r="B9789" t="inlineStr">
        <is>
          <t>Disappointed with Dexcom 😞</t>
        </is>
      </c>
      <c r="C9789" t="inlineStr">
        <is>
          <t>Hey there, 
In anticipation of receiving my new tandem T-slim pump on Monday, I tried to begin using the new G6 earlier today. 
This is all new to me, I've been on MDI &amp;amp; freestyle for the last number of years. 
Anyways, first I find out that my phone (Samsung Galaxy S20) it not compatible with the G6 app. Like really Dexcom!? Strike 1. 
I then discovered Shabod8 and his BYOD program, ok cool. Build my own app, and it seems to work fine. 
At this point I'm thinking positive. 
Well, 2 sensors and one transmitter later it would appear that either the transmitter from Dexcom is faulty or possibly the sensors. Strike 2. 
And the add insult to injury, around an hour after applying the first sensor, I took a shower, and the fuckin thing nearly fell completely off my abdomen. It was hanging there by a thread basically. Definitely inferior glue to the freestyle. Strike 3. 
I have called Dexcom, they'll send a new transmitter, but damn guys, have I made a huge mistake here!? Please offer me any help you can!!</t>
        </is>
      </c>
      <c r="D9789" t="n">
        <v>2</v>
      </c>
      <c r="E9789" t="n">
        <v>21</v>
      </c>
      <c r="F9789">
        <f>HYPERLINK("https://www.reddit.com/r/diabetes/comments/hcyei7/disappointed_with_dexcom/")</f>
        <v/>
      </c>
      <c r="G9789" t="inlineStr">
        <is>
          <t>2020-06-20 18:48:02</t>
        </is>
      </c>
      <c r="H9789" t="inlineStr">
        <is>
          <t>Type 1</t>
        </is>
      </c>
    </row>
    <row r="9790">
      <c r="A9790" t="inlineStr">
        <is>
          <t>hczcny</t>
        </is>
      </c>
      <c r="B9790" t="inlineStr">
        <is>
          <t>MiaoMiao shipping time</t>
        </is>
      </c>
      <c r="C9790" t="inlineStr">
        <is>
          <t>Does anyone know how long I can expect it to take? I live in Canada.</t>
        </is>
      </c>
      <c r="D9790" t="n">
        <v>1</v>
      </c>
      <c r="E9790" t="n">
        <v>1</v>
      </c>
      <c r="F9790">
        <f>HYPERLINK("https://www.reddit.com/r/diabetes/comments/hczcny/miaomiao_shipping_time/")</f>
        <v/>
      </c>
      <c r="G9790" t="inlineStr">
        <is>
          <t>2020-06-20 19:49:47</t>
        </is>
      </c>
      <c r="H9790" t="inlineStr">
        <is>
          <t>Type 1</t>
        </is>
      </c>
    </row>
    <row r="9791">
      <c r="A9791" t="inlineStr">
        <is>
          <t>hd47sy</t>
        </is>
      </c>
      <c r="B9791" t="inlineStr">
        <is>
          <t>Potato crash diet and T1 diabeties</t>
        </is>
      </c>
      <c r="C9791" t="inlineStr">
        <is>
          <t>Yo all,
My wife has diligently followed weight watchers for a year or so now and is enjoying the change in lifestyle that it brings, but would like to crank up the weight loss with a week of crash dieting.
She is going to follow the potato diet and see how it goes, she'll be open to stopping it if it doesn't go well with her diabetes but is determined to follow through.
She knows that crash dieting isn't the answer when it comes to sustainable weight loss, but as a path to losing weight it's a valid approach.
Does anyone have any experience with the potato diet and its effect on insulin? Did the food to insulin ratio change?
Did the background need changing?
How did you fare emotionally, and did treating hypos annoy you?
Thanks for any info peeps :)</t>
        </is>
      </c>
      <c r="D9791" t="n">
        <v>1</v>
      </c>
      <c r="E9791" t="n">
        <v>19</v>
      </c>
      <c r="F9791">
        <f>HYPERLINK("https://www.reddit.com/r/diabetes/comments/hd47sy/potato_crash_diet_and_t1_diabeties/")</f>
        <v/>
      </c>
      <c r="G9791" t="inlineStr">
        <is>
          <t>2020-06-21 02:41:49</t>
        </is>
      </c>
      <c r="H9791" t="inlineStr">
        <is>
          <t>Type 1</t>
        </is>
      </c>
    </row>
    <row r="9792">
      <c r="A9792" t="inlineStr">
        <is>
          <t>hd54my</t>
        </is>
      </c>
      <c r="B9792" t="inlineStr">
        <is>
          <t>Weird kind of honeymoon?</t>
        </is>
      </c>
      <c r="C9792" t="inlineStr">
        <is>
          <t>Diagnosed as T1 back in November.
I know it's normal for T1 diabetics to have the honeymoon period where they don't need a lot of insulin. I take it that it usually starts after diagnosis and then as the pancreas slowly gives up your insulin needs rise. 
That hasn't been the case for me. When I was diagnosed, I had to take about 26 units of Tresiba and about 5-15U when bolusing. Then I had to cut it by half. And today, it seems that even 10U of basal are too much for the day, because I'm crashing a third day in a row. I don't want to cut the basal drastically, because I also don't want to get DKA. 
It seems to me, that my insulin needs are gradually decreasing, which is really weird, especially considering that back when I was diagnosed, my pancreas was really on the edge of producing any amount of insulin and my doctor then said he would be surprised if the honeymoon lasted even for weeks. 
And my problem is, that this is really fucking up my control. I've had A1C about 5,9% which is great, but nowadays I can't keep myself steady during the day  and I have to drink coke and eat shit with a lots of fat just to keep myself steady. As I said, I don't want to drastically cut my basal, but I'm also tired of crashing and not being able to do even fucking dishes. Another weird thing is, that during the night, the BG is steady, when I wake up, it starts slowly decreasing, and when I do even a few steps, it starts falling. 
Is this normal?
Sorry for a long post.</t>
        </is>
      </c>
      <c r="D9792" t="n">
        <v>1</v>
      </c>
      <c r="E9792" t="n">
        <v>3</v>
      </c>
      <c r="F9792">
        <f>HYPERLINK("https://www.reddit.com/r/diabetes/comments/hd54my/weird_kind_of_honeymoon/")</f>
        <v/>
      </c>
      <c r="G9792" t="inlineStr">
        <is>
          <t>2020-06-21 04:00:13</t>
        </is>
      </c>
      <c r="H9792" t="inlineStr">
        <is>
          <t>Type 1</t>
        </is>
      </c>
    </row>
    <row r="9793">
      <c r="A9793" t="inlineStr">
        <is>
          <t>hd65za</t>
        </is>
      </c>
      <c r="B9793" t="inlineStr">
        <is>
          <t>Could type 2 diabetes be causing my low blood pressure problems (postural hypotension) and/or fast pulse?</t>
        </is>
      </c>
      <c r="C9793" t="inlineStr">
        <is>
          <t xml:space="preserve">
I’m a 20-something female. 5 foot 5, 150 pounds. Type 2. 
I’ve always had low blood pressure as a baseline. Occasionally it dips really, really low to the point where docs were concerned, and I can’t stand up/sit up without feeling like I’m going to faint. 
I feel somewhat faint and lightheaded on a normal basis, and when I stand up too quickly, my vision darkens around the edges and sometimes goes totally black for a second. I have had very occasional fainting spells. 
I’m confused because diabetes, especially type 2, seems to be related to high blood pressure but my problem has always been low blood pressure. I’m wondering if it could be related to diabetes and what is the cause/remedy?
I also have a fast pulse, which varies a lot, and is caused both by inactivity and chronic free-floating anxiety.</t>
        </is>
      </c>
      <c r="D9793" t="n">
        <v>1</v>
      </c>
      <c r="E9793" t="n">
        <v>5</v>
      </c>
      <c r="F9793">
        <f>HYPERLINK("https://www.reddit.com/r/diabetes/comments/hd65za/could_type_2_diabetes_be_causing_my_low_blood/")</f>
        <v/>
      </c>
      <c r="G9793" t="inlineStr">
        <is>
          <t>2020-06-21 05:29:48</t>
        </is>
      </c>
      <c r="H9793" t="inlineStr">
        <is>
          <t>Type 2</t>
        </is>
      </c>
    </row>
    <row r="9794">
      <c r="A9794" t="inlineStr">
        <is>
          <t>hd88x4</t>
        </is>
      </c>
      <c r="B9794" t="inlineStr">
        <is>
          <t>Any tips on not getting high peaks when eating a lot of carbs?</t>
        </is>
      </c>
      <c r="C9794" t="inlineStr">
        <is>
          <t>So I've been eating low carb basically since I've gotten type 1 diabetes little over 2 years ago, and now recently I've been wanting to start eating more vegan which means more carbs. I've started with oatmeal in the morning and when I eat it I get some insane peaks. It usually goes up to around 12 mmol/L(216mg/dl) and then down to the good area around 5 mmol(90mg/dl) really quickly. I'm guessing I'm taking the right amount of insulin since it goes down to good level afterwards. I tried with taking my rapid acting insulin around 10-15 minutes beforehand but it doesnt do anything, I otherwise take it right before a meal. I've never had to deal with anything like this before since my low carb diet bascially doesnt give me peaks. Any tips?</t>
        </is>
      </c>
      <c r="D9794" t="n">
        <v>1</v>
      </c>
      <c r="E9794" t="n">
        <v>15</v>
      </c>
      <c r="F9794">
        <f>HYPERLINK("https://www.reddit.com/r/diabetes/comments/hd88x4/any_tips_on_not_getting_high_peaks_when_eating_a/")</f>
        <v/>
      </c>
      <c r="G9794" t="inlineStr">
        <is>
          <t>2020-06-21 07:56:12</t>
        </is>
      </c>
      <c r="H9794" t="inlineStr">
        <is>
          <t>Type 1</t>
        </is>
      </c>
    </row>
    <row r="9795">
      <c r="A9795" t="inlineStr">
        <is>
          <t>hdck8j</t>
        </is>
      </c>
      <c r="B9795" t="inlineStr">
        <is>
          <t>Need advice with insulin pen.</t>
        </is>
      </c>
      <c r="C9795" t="inlineStr">
        <is>
          <t>Hey everyone my omnipod PDM went out and new one is on the way. I need to know if I can use my pen to extend bolus? I’m eating a fatty meal soon and my total insulin use is 35 can I split that up to inject every hour? I’m just afraid to stack insulin but however trying to avoid the later fat spike... I miss my omnipod 😞 
Thank you and happy Father’s Day to the dads here.</t>
        </is>
      </c>
      <c r="D9795" t="n">
        <v>1</v>
      </c>
      <c r="E9795" t="n">
        <v>3</v>
      </c>
      <c r="F9795">
        <f>HYPERLINK("https://www.reddit.com/r/diabetes/comments/hdck8j/need_advice_with_insulin_pen/")</f>
        <v/>
      </c>
      <c r="G9795" t="inlineStr">
        <is>
          <t>2020-06-21 12:10:25</t>
        </is>
      </c>
      <c r="H9795" t="inlineStr">
        <is>
          <t>Type 1.5/LADA</t>
        </is>
      </c>
    </row>
    <row r="9796">
      <c r="A9796" t="inlineStr">
        <is>
          <t>hdffwl</t>
        </is>
      </c>
      <c r="B9796" t="inlineStr">
        <is>
          <t>InPen reviews??</t>
        </is>
      </c>
      <c r="C9796" t="inlineStr">
        <is>
          <t>I’m 18 years old, type one for six and a half. I was on regular pens for three years, switched to a minimed pump, and have now used omnipods for almost a year. I’ve been debating going back to pens because pumps are such a hassle and can be annoying to use (in my experience). I’ve seen a lot of type ones use the InPen, and it seems really interesting! I’ve read up about it, but I just wanted to get some other type ones’ opinions on it. I also use the Dexcom G6 :) Thanks!</t>
        </is>
      </c>
      <c r="D9796" t="n">
        <v>2</v>
      </c>
      <c r="E9796" t="n">
        <v>10</v>
      </c>
      <c r="F9796">
        <f>HYPERLINK("https://www.reddit.com/r/diabetes/comments/hdffwl/inpen_reviews/")</f>
        <v/>
      </c>
      <c r="G9796" t="inlineStr">
        <is>
          <t>2020-06-21 14:57:03</t>
        </is>
      </c>
      <c r="H9796" t="inlineStr">
        <is>
          <t>Type 1</t>
        </is>
      </c>
    </row>
    <row r="9797">
      <c r="A9797" t="inlineStr">
        <is>
          <t>hdj1uj</t>
        </is>
      </c>
      <c r="B9797" t="inlineStr">
        <is>
          <t>Dexcom help</t>
        </is>
      </c>
      <c r="C9797" t="inlineStr">
        <is>
          <t>I've been type 1 diabetic for about 5 years now. I have used the dexcom since i was diagnosed. I loved the g5 and had little problems with it. However since switching to the g6 (about 2 years ago) ive had many more complications. One big problem im having is the sensor failing almost every time. I will get a notification that the sensor has issues and to wait a few hours then eventually it fails. At first it was only failing on my stomach. Ive asked my endo about it and she said i might have too much scar tissue in my abdomen and to try other sites. Now almost every time I put a sensor in, my sensor fails no matter what site I use. Has anyone else had this problem? Or possibly does anyone have suggestions on a different site i can use? I use my arms and back/hip mostly because i can't use my abdomin anymore. I also cant use my thighs because it causes baseball sized welts/bruises and my doctor told me not to use my legs because of this. Any suggestions or input would be helpful!</t>
        </is>
      </c>
      <c r="D9797" t="n">
        <v>1</v>
      </c>
      <c r="E9797" t="n">
        <v>3</v>
      </c>
      <c r="F9797">
        <f>HYPERLINK("https://www.reddit.com/r/diabetes/comments/hdj1uj/dexcom_help/")</f>
        <v/>
      </c>
      <c r="G9797" t="inlineStr">
        <is>
          <t>2020-06-21 18:53:03</t>
        </is>
      </c>
      <c r="H9797" t="inlineStr">
        <is>
          <t>Type 1</t>
        </is>
      </c>
    </row>
    <row r="9798">
      <c r="A9798" t="inlineStr">
        <is>
          <t>hdnglv</t>
        </is>
      </c>
      <c r="B9798" t="inlineStr">
        <is>
          <t>How do you keep your insuline cool during long hiking trips/holidays?</t>
        </is>
      </c>
      <c r="C9798" t="inlineStr">
        <is>
          <t>My boyfriend (diabetic type 1) and I are dreaming of two week long hiking trip. But we have no idea how to keep his insuline cool during that time. At the moment it’s keeping us from going on trips longer than a couple of days in warm weather. 
Does anyone have any experiance with this? Any tips, tricks, ideas?</t>
        </is>
      </c>
      <c r="D9798" t="n">
        <v>1</v>
      </c>
      <c r="E9798" t="n">
        <v>13</v>
      </c>
      <c r="F9798">
        <f>HYPERLINK("https://www.reddit.com/r/diabetes/comments/hdnglv/how_do_you_keep_your_insuline_cool_during_long/")</f>
        <v/>
      </c>
      <c r="G9798" t="inlineStr">
        <is>
          <t>2020-06-22 00:14:03</t>
        </is>
      </c>
      <c r="H9798" t="inlineStr">
        <is>
          <t>Type 1</t>
        </is>
      </c>
    </row>
    <row r="9799">
      <c r="A9799" t="inlineStr">
        <is>
          <t>hdu0a3</t>
        </is>
      </c>
      <c r="B9799" t="inlineStr">
        <is>
          <t>Trulicity and exercise</t>
        </is>
      </c>
      <c r="C9799" t="inlineStr">
        <is>
          <t>I started taking trulicity in February and had no side effects and my bs dropped about 15 point on average  so great! But not I an getting out and exercising ( biking about 20 miles a week and running around 10) and my 30 day average dropped another 18 points so it is averaging 107 with exercise. Which is great  but I get headaches a lot and I am worried about lowes. 
Since I haven't had one before yesterday (8 years with t2) I was wondering what you guys have experienced. 
Cut back metformin? 
Thanks!</t>
        </is>
      </c>
      <c r="D9799" t="n">
        <v>1</v>
      </c>
      <c r="E9799" t="n">
        <v>0</v>
      </c>
      <c r="F9799">
        <f>HYPERLINK("https://www.reddit.com/r/diabetes/comments/hdu0a3/trulicity_and_exercise/")</f>
        <v/>
      </c>
      <c r="G9799" t="inlineStr">
        <is>
          <t>2020-06-22 08:06:23</t>
        </is>
      </c>
      <c r="H9799" t="inlineStr">
        <is>
          <t>Type 2</t>
        </is>
      </c>
    </row>
    <row r="9800">
      <c r="A9800" t="inlineStr">
        <is>
          <t>hdvtg3</t>
        </is>
      </c>
      <c r="B9800" t="inlineStr">
        <is>
          <t>Medic Alerts?</t>
        </is>
      </c>
      <c r="C9800" t="inlineStr">
        <is>
          <t>Hey, posting on behalf of my wife: wondered if someone can link me to a few websites of medic alerts, type 1 diabetes, want something like a watch or bracelet as necklaces catch in hair.</t>
        </is>
      </c>
      <c r="D9800" t="n">
        <v>1</v>
      </c>
      <c r="E9800" t="n">
        <v>8</v>
      </c>
      <c r="F9800">
        <f>HYPERLINK("https://www.reddit.com/r/diabetes/comments/hdvtg3/medic_alerts/")</f>
        <v/>
      </c>
      <c r="G9800" t="inlineStr">
        <is>
          <t>2020-06-22 09:44:02</t>
        </is>
      </c>
      <c r="H9800" t="inlineStr">
        <is>
          <t>Type 1</t>
        </is>
      </c>
    </row>
    <row r="9801">
      <c r="A9801" t="inlineStr">
        <is>
          <t>hdwbj9</t>
        </is>
      </c>
      <c r="B9801" t="inlineStr">
        <is>
          <t>I can't seem to get my BSLs down.</t>
        </is>
      </c>
      <c r="C9801" t="inlineStr">
        <is>
          <t>I became a diabetic when I was 22, now 29, and was doing fine until a year later when I injured myself badly. I checked my sugars and the reading came back at 26 so I went down to the doctors, there my reading was 31 and so I went to hospital. My BSL went up to 36 and my SILs mum, who was my nurse, was shocked I wasn't in a coma. I ended up on injections but after 6 months managed to get off of all my medications.
I was medication free for 4 years until I got sick 2 years ago. After that I have been unable to get my sugars down to normal range (4-6). I have been on 3 different types of injections, at least 6 different pills, saw a diation, did a food diary and still no one can figure out why my sugars won't decrease to below 11. 
Has anyone else experienced this?</t>
        </is>
      </c>
      <c r="D9801" t="n">
        <v>2</v>
      </c>
      <c r="E9801" t="n">
        <v>7</v>
      </c>
      <c r="F9801">
        <f>HYPERLINK("https://www.reddit.com/r/diabetes/comments/hdwbj9/i_cant_seem_to_get_my_bsls_down/")</f>
        <v/>
      </c>
      <c r="G9801" t="inlineStr">
        <is>
          <t>2020-06-22 10:10:22</t>
        </is>
      </c>
      <c r="H9801" t="inlineStr">
        <is>
          <t>Type 2</t>
        </is>
      </c>
    </row>
    <row r="9802">
      <c r="A9802" t="inlineStr">
        <is>
          <t>hdz9r4</t>
        </is>
      </c>
      <c r="B9802" t="inlineStr">
        <is>
          <t>A1c test Saturday. Blood Sugar down to 4.9 from 12.0 when I was diagnosed in January</t>
        </is>
      </c>
      <c r="C9802" t="inlineStr">
        <is>
          <t>Just wanted to thank all of you. The information and support was incredibly amazing and I truly believe I couldn't have done it without the community.
Special shout out to Alan and all the people who post advice about low carb/ Keto. 
My doctor wants me to try going without my metformin now see if I can manage with diet and exercise alone. I'm a little terrified but confident. This disease sucks but at least I know I'm not alone and there are plenty of people that manage it every day.
Stay strong everyone and know that I appreciate you all for just having a place a terrified person can come seek information and support.</t>
        </is>
      </c>
      <c r="D9802" t="n">
        <v>14</v>
      </c>
      <c r="E9802" t="n">
        <v>19</v>
      </c>
      <c r="F9802">
        <f>HYPERLINK("https://www.reddit.com/r/diabetes/comments/hdz9r4/a1c_test_saturday_blood_sugar_down_to_49_from_120/")</f>
        <v/>
      </c>
      <c r="G9802" t="inlineStr">
        <is>
          <t>2020-06-22 12:42:40</t>
        </is>
      </c>
      <c r="H9802" t="inlineStr">
        <is>
          <t>Type 2</t>
        </is>
      </c>
    </row>
    <row r="9803">
      <c r="A9803" t="inlineStr">
        <is>
          <t>he09rk</t>
        </is>
      </c>
      <c r="B9803" t="inlineStr">
        <is>
          <t>Diabetus ?</t>
        </is>
      </c>
      <c r="C9803" t="inlineStr">
        <is>
          <t>So i was at the hospital recently for an overdose (different story) but while they were doing my blood work and checking vitals they noticed that my Blood Sugar Levels were in the 300s. 
I’m scheduled to see my primary doctor to figure everything out tomorrow but is there any chance I just had high blood sugar ? Is there a chance I don’t have Diabetes ? The hospital doctor diagnosed me with type 2.</t>
        </is>
      </c>
      <c r="D9803" t="n">
        <v>0</v>
      </c>
      <c r="E9803" t="n">
        <v>11</v>
      </c>
      <c r="F9803">
        <f>HYPERLINK("https://www.reddit.com/r/diabetes/comments/he09rk/diabetus/")</f>
        <v/>
      </c>
      <c r="G9803" t="inlineStr">
        <is>
          <t>2020-06-22 13:36:01</t>
        </is>
      </c>
      <c r="H9803" t="inlineStr">
        <is>
          <t>Type 2</t>
        </is>
      </c>
    </row>
    <row r="9804">
      <c r="A9804" t="inlineStr">
        <is>
          <t>he5fcg</t>
        </is>
      </c>
      <c r="B9804" t="inlineStr">
        <is>
          <t>1st pump arrived!!!</t>
        </is>
      </c>
      <c r="C9804" t="inlineStr">
        <is>
          <t>Hey guys, 
OP here from the thread around a month ago where I shared that I'd be moving to the T-slim pump. 
Well, the pump finally arrived today! Awesome! 
I have my training scheduled with the trainer from Tandem on Wednesday and Friday. How quickly can I begin using it, do I need to complete both training sessions, or will I start after the first one?
Despite a few hiccups along the way, I'm very excited about this and glad that its finally here. 
I did have a false start with the Dexcom G6, but correct me if I'm wrong: as long as the transmitter is connected to the pump, I dont *technically* need it to be connected to my phone? 
Anyways, I decided to go with the Tru Steel infusion set, Novorapid Insulin of course. 
I'm looking forward to getting started.</t>
        </is>
      </c>
      <c r="D9804" t="n">
        <v>1</v>
      </c>
      <c r="E9804" t="n">
        <v>1</v>
      </c>
      <c r="F9804">
        <f>HYPERLINK("https://www.reddit.com/r/diabetes/comments/he5fcg/1st_pump_arrived/")</f>
        <v/>
      </c>
      <c r="G9804" t="inlineStr">
        <is>
          <t>2020-06-22 18:38:35</t>
        </is>
      </c>
      <c r="H9804" t="inlineStr">
        <is>
          <t>Type 1</t>
        </is>
      </c>
    </row>
    <row r="9805">
      <c r="A9805" t="inlineStr">
        <is>
          <t>he60bg</t>
        </is>
      </c>
      <c r="B9805" t="inlineStr">
        <is>
          <t>Rant: T1 misdiagnosed as T2</t>
        </is>
      </c>
      <c r="C9805" t="inlineStr">
        <is>
          <t>About a month ago I was diagnosed with T2 based on my A1C of 9.6 and a fasting BG of 331.  Today, I got the results of a blood test back and had elevated GAD (40, if that makes a difference).  I'm seeing my endo tomorrow, but I think we already know this means that I have T1.  I had been taking metformin, eating a keto diet, and was keeping my BS well within range in the last month.  
I'm devastated.  My mom has T1.  I alternate between denial and feeling like my nightmares are coming true.  I'm single, live alone, and work in a high stress job.  I can't leave the job because I don't want to lose insurance, but I don't know how I can keep up with this diagnosis.  If I start insulin, I will be scared of living alone - I've seen my mom go through too many terrible episodes.  I wanted to eventually get married and have children and I feel like all of that is suddenly a pipe dream.
I'm not looking for medical advice.  But if anyone has any words of encouragement, I'd appreciate them.</t>
        </is>
      </c>
      <c r="D9805" t="n">
        <v>2</v>
      </c>
      <c r="E9805" t="n">
        <v>13</v>
      </c>
      <c r="F9805">
        <f>HYPERLINK("https://www.reddit.com/r/diabetes/comments/he60bg/rant_t1_misdiagnosed_as_t2/")</f>
        <v/>
      </c>
      <c r="G9805" t="inlineStr">
        <is>
          <t>2020-06-22 19:15:53</t>
        </is>
      </c>
      <c r="H9805" t="inlineStr">
        <is>
          <t>Type 1</t>
        </is>
      </c>
    </row>
    <row r="9806">
      <c r="A9806" t="inlineStr">
        <is>
          <t>he7tsb</t>
        </is>
      </c>
      <c r="B9806" t="inlineStr">
        <is>
          <t>Do you get to skip lines at Disney?</t>
        </is>
      </c>
      <c r="C9806" t="inlineStr">
        <is>
          <t>So one of my diabetic friends told me that diabetics get to skip lines at Disney or at least go on the fast pass line for free or something idk. I’m 13 btw</t>
        </is>
      </c>
      <c r="D9806" t="n">
        <v>1</v>
      </c>
      <c r="E9806" t="n">
        <v>21</v>
      </c>
      <c r="F9806">
        <f>HYPERLINK("https://www.reddit.com/r/diabetes/comments/he7tsb/do_you_get_to_skip_lines_at_disney/")</f>
        <v/>
      </c>
      <c r="G9806" t="inlineStr">
        <is>
          <t>2020-06-22 21:20:28</t>
        </is>
      </c>
      <c r="H9806" t="inlineStr">
        <is>
          <t>Type 1</t>
        </is>
      </c>
    </row>
    <row r="9807">
      <c r="A9807" t="inlineStr">
        <is>
          <t>hedl7u</t>
        </is>
      </c>
      <c r="B9807" t="inlineStr">
        <is>
          <t>Type 2 Diabetes Research</t>
        </is>
      </c>
      <c r="C9807" t="inlineStr">
        <is>
          <t>Hi guys
I am conducting research, and would love it if participants with type 2 diabetes could participate. Please look at the flyer for eligibility. 
All you need to do is copy the short link and pop it in the address bar to participate.
Thanks so much. This is greatly appreciated.</t>
        </is>
      </c>
      <c r="D9807" t="n">
        <v>1</v>
      </c>
      <c r="E9807" t="n">
        <v>3</v>
      </c>
      <c r="F9807">
        <f>HYPERLINK("https://www.reddit.com/r/diabetes/comments/hedl7u/type_2_diabetes_research/")</f>
        <v/>
      </c>
      <c r="G9807" t="inlineStr">
        <is>
          <t>2020-06-23 05:19:41</t>
        </is>
      </c>
      <c r="H9807" t="inlineStr">
        <is>
          <t>Type 2</t>
        </is>
      </c>
    </row>
    <row r="9808">
      <c r="A9808" t="inlineStr">
        <is>
          <t>hee8gi</t>
        </is>
      </c>
      <c r="B9808" t="inlineStr">
        <is>
          <t>Does anybody else end up with quite low blood sugars desperately not wanting to eat anything?</t>
        </is>
      </c>
      <c r="C9808" t="inlineStr">
        <is>
          <t>It's really quite torturous forcing yourself to eat things when you're like this.</t>
        </is>
      </c>
      <c r="D9808" t="n">
        <v>1</v>
      </c>
      <c r="E9808" t="n">
        <v>13</v>
      </c>
      <c r="F9808">
        <f>HYPERLINK("https://www.reddit.com/r/diabetes/comments/hee8gi/does_anybody_else_end_up_with_quite_low_blood/")</f>
        <v/>
      </c>
      <c r="G9808" t="inlineStr">
        <is>
          <t>2020-06-23 06:04:11</t>
        </is>
      </c>
      <c r="H9808" t="inlineStr">
        <is>
          <t>Type 1</t>
        </is>
      </c>
    </row>
    <row r="9809">
      <c r="A9809" t="inlineStr">
        <is>
          <t>heepe1</t>
        </is>
      </c>
      <c r="B9809" t="inlineStr">
        <is>
          <t>Can you take insulin pens up a mountain/on an aeroplane?</t>
        </is>
      </c>
      <c r="C9809" t="inlineStr">
        <is>
          <t>And also, can you use them reliably up there? Seems to me the pressure ought to have some effect.</t>
        </is>
      </c>
      <c r="D9809" t="n">
        <v>1</v>
      </c>
      <c r="E9809" t="n">
        <v>7</v>
      </c>
      <c r="F9809">
        <f>HYPERLINK("https://www.reddit.com/r/diabetes/comments/heepe1/can_you_take_insulin_pens_up_a_mountainon_an/")</f>
        <v/>
      </c>
      <c r="G9809" t="inlineStr">
        <is>
          <t>2020-06-23 06:34:32</t>
        </is>
      </c>
      <c r="H9809" t="inlineStr">
        <is>
          <t>Type 1</t>
        </is>
      </c>
    </row>
    <row r="9810">
      <c r="A9810" t="inlineStr">
        <is>
          <t>hefkhz</t>
        </is>
      </c>
      <c r="B9810" t="inlineStr">
        <is>
          <t>Medtronic or Dexcom?</t>
        </is>
      </c>
      <c r="C9810" t="inlineStr">
        <is>
          <t>Which one are you using? What is your opinion on them? Did you experience any problems?
I want to get a cgm and I have no idea which one to choose! Can you please help?</t>
        </is>
      </c>
      <c r="D9810" t="n">
        <v>1</v>
      </c>
      <c r="E9810" t="n">
        <v>14</v>
      </c>
      <c r="F9810">
        <f>HYPERLINK("https://www.reddit.com/r/diabetes/comments/hefkhz/medtronic_or_dexcom/")</f>
        <v/>
      </c>
      <c r="G9810" t="inlineStr">
        <is>
          <t>2020-06-23 07:27:39</t>
        </is>
      </c>
      <c r="H9810" t="inlineStr">
        <is>
          <t>Type 1</t>
        </is>
      </c>
    </row>
    <row r="9811">
      <c r="A9811" t="inlineStr">
        <is>
          <t>hefxrp</t>
        </is>
      </c>
      <c r="B9811" t="inlineStr">
        <is>
          <t>T1D: Need smartwatch advice with G6. Do any show readings at a glance?</t>
        </is>
      </c>
      <c r="C9811" t="inlineStr">
        <is>
          <t>My daughter is T1D, diagnosed seven years ago, and she’s thankfully great with bg control and self-management (A1C 5.7). She has an Omnipod (the older PDM) and a G6, and she currently uses both an iPod and the Dexcom receiver for her readings. 
She’s learning to drive and is about to get a learner’s permit. Teaching her to drive is making me realize that it would be best if she could glance at a smartwatch for her readings if necessary. I know I probably need to get her a phone, too, as she moves to driving by herself. 
I see Dexcom saying an Apple Watch would show the reading, but does anyone have experience with whether readings can be viewed without having to swipe or toggle? I want her to be as safe as possible, so I’m trying to sort this all out. Ideally, she’d be able to glance at her wrist while driving? This is all new to me, so I’m just guessing as to what would work. 
Any general T1D driving tips are also appreciated. We usually keep Smarties in the car since they won’t melt, and as she’s learning to drive, we’ve made it a habit that she check her Dexcom before even putting on her seatbelt just to make sure she is set and isn’t heading towards an alarm shortly after beginning a drive. TIA.</t>
        </is>
      </c>
      <c r="D9811" t="n">
        <v>1</v>
      </c>
      <c r="E9811" t="n">
        <v>10</v>
      </c>
      <c r="F9811">
        <f>HYPERLINK("https://www.reddit.com/r/diabetes/comments/hefxrp/t1d_need_smartwatch_advice_with_g6_do_any_show/")</f>
        <v/>
      </c>
      <c r="G9811" t="inlineStr">
        <is>
          <t>2020-06-23 07:48:30</t>
        </is>
      </c>
      <c r="H9811" t="inlineStr">
        <is>
          <t>Type 1</t>
        </is>
      </c>
    </row>
    <row r="9812">
      <c r="A9812" t="inlineStr">
        <is>
          <t>hehf3q</t>
        </is>
      </c>
      <c r="B9812" t="inlineStr">
        <is>
          <t>Long acting insulin</t>
        </is>
      </c>
      <c r="C9812" t="inlineStr">
        <is>
          <t>Hi guys I’m a type 1 diabetic. I give myself shots of long acting insulin before my first meal everyday. Today I went to the beach and brought my long acting but didn’t realize it has 8 clicks left when I usually use about 10. I’m debating if I should use what’s left and then give the rest at home when I get home in a few hours or if I should just wait to give it all at once. I’d appreciate any feedback!!</t>
        </is>
      </c>
      <c r="D9812" t="n">
        <v>1</v>
      </c>
      <c r="E9812" t="n">
        <v>2</v>
      </c>
      <c r="F9812">
        <f>HYPERLINK("https://www.reddit.com/r/diabetes/comments/hehf3q/long_acting_insulin/")</f>
        <v/>
      </c>
      <c r="G9812" t="inlineStr">
        <is>
          <t>2020-06-23 09:08:58</t>
        </is>
      </c>
      <c r="H9812" t="inlineStr">
        <is>
          <t>Type 1</t>
        </is>
      </c>
    </row>
    <row r="9813">
      <c r="A9813" t="inlineStr">
        <is>
          <t>helazy</t>
        </is>
      </c>
      <c r="B9813" t="inlineStr">
        <is>
          <t>Setting up nightscout</t>
        </is>
      </c>
      <c r="C9813" t="inlineStr">
        <is>
          <t>I am setting up I got a github account I feel like I have been locked out I put in my password and says incorrect and I know its right.</t>
        </is>
      </c>
      <c r="D9813" t="n">
        <v>1</v>
      </c>
      <c r="E9813" t="n">
        <v>4</v>
      </c>
      <c r="F9813">
        <f>HYPERLINK("https://www.reddit.com/r/diabetes/comments/helazy/setting_up_nightscout/")</f>
        <v/>
      </c>
      <c r="G9813" t="inlineStr">
        <is>
          <t>2020-06-23 12:33:22</t>
        </is>
      </c>
      <c r="H9813" t="inlineStr">
        <is>
          <t>Type 1</t>
        </is>
      </c>
    </row>
    <row r="9814">
      <c r="A9814" t="inlineStr">
        <is>
          <t>hemx4z</t>
        </is>
      </c>
      <c r="B9814" t="inlineStr">
        <is>
          <t>Type 1s: How often do you go low?</t>
        </is>
      </c>
      <c r="C9814" t="inlineStr">
        <is>
          <t>Hello diabetibuddies!
I just got off the phone with my endo for our regular appointment. I got my A1C back and it was 5.8% I think my best ever! I am very proud of myself for doing this.
However, his first comment was "when I see an A1C that low, I worry about too many critical hypo episodes."
I definitely have what I call "high anxiety," meaning that I really don't like going over above 8.5 (153) or so and generally do a good job of keeping myself in range; however, I definitely go low as a result of trying to ride the line.
Without disclosing how frequently I go low yet, because I don't want to taint any results, how often do you fellow T1Ds find yourself going low? Is your control tight generally? Not so tight? (No judgement! I'm super curious!)
My endo told me that in his opinion, he thinks that the T1Ds he sees on average have low that they would take sugar for "a few times a month, maybe 1.5x/week on average." 
I'm really curious to see how his opinion compares to your experiences compares to my own life!
Thanks so much!</t>
        </is>
      </c>
      <c r="D9814" t="n">
        <v>1</v>
      </c>
      <c r="E9814" t="n">
        <v>20</v>
      </c>
      <c r="F9814">
        <f>HYPERLINK("https://www.reddit.com/r/diabetes/comments/hemx4z/type_1s_how_often_do_you_go_low/")</f>
        <v/>
      </c>
      <c r="G9814" t="inlineStr">
        <is>
          <t>2020-06-23 13:59:57</t>
        </is>
      </c>
      <c r="H9814" t="inlineStr">
        <is>
          <t>Type 1</t>
        </is>
      </c>
    </row>
    <row r="9815">
      <c r="A9815" t="inlineStr">
        <is>
          <t>heoqto</t>
        </is>
      </c>
      <c r="B9815" t="inlineStr">
        <is>
          <t>Which Pump Should I get?</t>
        </is>
      </c>
      <c r="C9815" t="inlineStr">
        <is>
          <t>I am finally ready to make the switch to a pump after almost 3 years of stabbing myself. I am an overweight 26 year old who was diagnosed at 24 quite unexpectedly. My A1C has been steadily going up during this time and is now 8.7.
I am eligible for the Medtronic MiniMed670G, Tandem tSlim with Dexcom G6, and The Omnipod. I am looking for advice on which pump would be best for me. Any and all help would be gladly appreciated. 
&amp;amp;#x200B;
Thank you</t>
        </is>
      </c>
      <c r="D9815" t="n">
        <v>1</v>
      </c>
      <c r="E9815" t="n">
        <v>3</v>
      </c>
      <c r="F9815">
        <f>HYPERLINK("https://www.reddit.com/r/diabetes/comments/heoqto/which_pump_should_i_get/")</f>
        <v/>
      </c>
      <c r="G9815" t="inlineStr">
        <is>
          <t>2020-06-23 15:37:35</t>
        </is>
      </c>
      <c r="H9815" t="inlineStr">
        <is>
          <t>Type 1</t>
        </is>
      </c>
    </row>
    <row r="9816">
      <c r="A9816" t="inlineStr">
        <is>
          <t>hepjjd</t>
        </is>
      </c>
      <c r="B9816" t="inlineStr">
        <is>
          <t>Foot wound protocol?</t>
        </is>
      </c>
      <c r="C9816" t="inlineStr">
        <is>
          <t>I'm a new-ish T2D and my doctor never talked to me about what to do about injuries. But I just stepped on a nail. Besides cleaning it and keeping it dry and clean, is there anything particular I need to do for a foot wound? Thanks.</t>
        </is>
      </c>
      <c r="D9816" t="n">
        <v>1</v>
      </c>
      <c r="E9816" t="n">
        <v>10</v>
      </c>
      <c r="F9816">
        <f>HYPERLINK("https://www.reddit.com/r/diabetes/comments/hepjjd/foot_wound_protocol/")</f>
        <v/>
      </c>
      <c r="G9816" t="inlineStr">
        <is>
          <t>2020-06-23 16:21:06</t>
        </is>
      </c>
      <c r="H9816" t="inlineStr">
        <is>
          <t>Type 2</t>
        </is>
      </c>
    </row>
    <row r="9817">
      <c r="A9817" t="inlineStr">
        <is>
          <t>hepkuy</t>
        </is>
      </c>
      <c r="B9817" t="inlineStr">
        <is>
          <t>2nd dose of Trulicity</t>
        </is>
      </c>
      <c r="C9817" t="inlineStr">
        <is>
          <t>I just had my 2nd dose of trulicity yesterday, still on the low dose. I have absolutely no appetite. I could probably go the entire week without eating. Being home since March with no friends to talk to and a husband that ignores me is also taking its mental toll on me so I’m sure that’s adding to the no appetite. I don’t even want to get up and force myself to eat, but I know if I don’t I’ll never lose weight. Is having no appetite normal on trulicity? Any helpful advice?</t>
        </is>
      </c>
      <c r="D9817" t="n">
        <v>1</v>
      </c>
      <c r="E9817" t="n">
        <v>6</v>
      </c>
      <c r="F9817">
        <f>HYPERLINK("https://www.reddit.com/r/diabetes/comments/hepkuy/2nd_dose_of_trulicity/")</f>
        <v/>
      </c>
      <c r="G9817" t="inlineStr">
        <is>
          <t>2020-06-23 16:23:10</t>
        </is>
      </c>
      <c r="H9817" t="inlineStr">
        <is>
          <t>Type 2</t>
        </is>
      </c>
    </row>
    <row r="9818">
      <c r="A9818" t="inlineStr">
        <is>
          <t>hepnzp</t>
        </is>
      </c>
      <c r="B9818" t="inlineStr">
        <is>
          <t>Any Type 2 Mountain bikers here? I desperately need help with management and nutrition.</t>
        </is>
      </c>
      <c r="C9818" t="inlineStr">
        <is>
          <t>Just came back from a ride. I typically measure right before my ride in the parking lot, then about 40 minutes into the ride and again when I get back to the car. I've been having one slice of Ezikiel bread with some peanut butter about 30-45 minutes before my ride. Right before my ride today, my blood sugar was at 123.  When I measured after 40 minutes of pedaling I was expecting it to be sub 100 like it usually is but today is was 122. It had only gone down 1 point, which I thought was odd. Because of that I only had a couple of salt sticks, which typically have no effect on my sugar at least when riding and rode another 4ish miles. When I got back to my car my sugar was 176. My sugar is never 176 even after I eat. Typically my sugar is in the normal range after a ride. Why would it go up while I rode? I thought that would be impossible since I'm burning so much while riding. Is there something seriously wrong. I'm always super careful with my diet and maintain almost normal sugars by diet and exercise alone, but today has me concerned. Any ideas?</t>
        </is>
      </c>
      <c r="D9818" t="n">
        <v>1</v>
      </c>
      <c r="E9818" t="n">
        <v>2</v>
      </c>
      <c r="F9818">
        <f>HYPERLINK("https://www.reddit.com/r/diabetes/comments/hepnzp/any_type_2_mountain_bikers_here_i_desperately/")</f>
        <v/>
      </c>
      <c r="G9818" t="inlineStr">
        <is>
          <t>2020-06-23 16:28:16</t>
        </is>
      </c>
      <c r="H9818" t="inlineStr">
        <is>
          <t>Type 2</t>
        </is>
      </c>
    </row>
    <row r="9819">
      <c r="A9819" t="inlineStr">
        <is>
          <t>hepr5o</t>
        </is>
      </c>
      <c r="B9819" t="inlineStr">
        <is>
          <t>Woo Hoo!</t>
        </is>
      </c>
      <c r="C9819" t="inlineStr">
        <is>
          <t>I lowered my A1C from 10.6 to 5.5 in 3 months.</t>
        </is>
      </c>
      <c r="D9819" t="n">
        <v>1</v>
      </c>
      <c r="E9819" t="n">
        <v>6</v>
      </c>
      <c r="F9819">
        <f>HYPERLINK("https://www.reddit.com/r/diabetes/comments/hepr5o/woo_hoo/")</f>
        <v/>
      </c>
      <c r="G9819" t="inlineStr">
        <is>
          <t>2020-06-23 16:33:35</t>
        </is>
      </c>
      <c r="H9819" t="inlineStr">
        <is>
          <t>Type 2</t>
        </is>
      </c>
    </row>
    <row r="9820">
      <c r="A9820" t="inlineStr">
        <is>
          <t>her1aj</t>
        </is>
      </c>
      <c r="B9820" t="inlineStr">
        <is>
          <t>Diabetes and Nutrition?</t>
        </is>
      </c>
      <c r="C9820" t="inlineStr">
        <is>
          <t>Hello everyone,
My partner is a type 1 diabetic and since we have been together we've tried to change our diets to adhere to his needs. I'm hoping to get ideas or advice when it comes to grocery shopping and preparing meals. He knows how to cook and he's great at it! Like I said it's more a matter of which foods we should buy and what to avoid, any advice really. Thanks!!</t>
        </is>
      </c>
      <c r="D9820" t="n">
        <v>1</v>
      </c>
      <c r="E9820" t="n">
        <v>16</v>
      </c>
      <c r="F9820">
        <f>HYPERLINK("https://www.reddit.com/r/diabetes/comments/her1aj/diabetes_and_nutrition/")</f>
        <v/>
      </c>
      <c r="G9820" t="inlineStr">
        <is>
          <t>2020-06-23 17:53:39</t>
        </is>
      </c>
      <c r="H9820" t="inlineStr">
        <is>
          <t>Type 1</t>
        </is>
      </c>
    </row>
    <row r="9821">
      <c r="A9821" t="inlineStr">
        <is>
          <t>herm90</t>
        </is>
      </c>
      <c r="B9821" t="inlineStr">
        <is>
          <t>High Glucose with Low Carb/Intermittent Fasting</t>
        </is>
      </c>
      <c r="C9821" t="inlineStr">
        <is>
          <t>Good Evening,
I have been doing low carb (less than 40g) paired with intermittent fasting (16:8) for the past week.  It seems that’s my glucose numbers are still high 200-300. Before this there were good days and bad days with my glucose readings but it seems to be steady in that range throughout the day and even in the morning.  Any thoughts?</t>
        </is>
      </c>
      <c r="D9821" t="n">
        <v>1</v>
      </c>
      <c r="E9821" t="n">
        <v>10</v>
      </c>
      <c r="F9821">
        <f>HYPERLINK("https://www.reddit.com/r/diabetes/comments/herm90/high_glucose_with_low_carbintermittent_fasting/")</f>
        <v/>
      </c>
      <c r="G9821" t="inlineStr">
        <is>
          <t>2020-06-23 18:31:18</t>
        </is>
      </c>
      <c r="H9821" t="inlineStr">
        <is>
          <t>Type 2</t>
        </is>
      </c>
    </row>
    <row r="9822">
      <c r="A9822" t="inlineStr">
        <is>
          <t>heu53f</t>
        </is>
      </c>
      <c r="B9822" t="inlineStr">
        <is>
          <t>Is it possible to have low blood sugars and uncontrolled diabetes?</t>
        </is>
      </c>
      <c r="C9822" t="inlineStr">
        <is>
          <t xml:space="preserve">  Apologies for the length of the post but I’m trying to include any potentially relevant info. 
I’m 26, was diagnosed as T2D at 25. It runs on my dad’s side. Multiple  members were diagnosed in their early to mid 30s in his family. I was diagnosed last year after having a fasting bg of 310 after having labs done for a physical. I had also been retaining a ton of water weight, terribly high triglycerides, cholesterol, etc. I’m a 5’6” male, at diagnosis I weighed 189, currently weigh 166. Some call me muscular or stocky, I guess I’m a sturdy little man? Dumb joke- back to the important stuff. 
I was prescribed jardianze, and have not had a bg higher than 190 within a month of being on the meds. I made some lifestyle changes (cut back on carbs and cut out sugary drinks). 
Anyways- enough background. I was fairly strict with my diet until the Covid shutdown. Since then my alcohol intake has increased to 2-4 drinks most nights, my sweet tooth has returned and my diet has gone to shit. My bg is still pretty low. Since being diagnosed and on medication, my bg has mostly stayed below 150. I test in the morning before and two hours after breakfast or lunch, randomly once throughout the day. I test randomly just to see where my sugar is, even if I feel okay. Sometimes it’s odd - I could feel like complete shit but my bg won’t be that high - for example I took it earlier when I had a major headache and nausea and was at 147.
My A1c started off above 8 but my last two were low 7’s. 
Sometimes I wonder if I was misdiagnosed or if my body is secretly hiding my uncontrolled diabetes. Honestly I’m not too sure what to think. Any thoughts on this?</t>
        </is>
      </c>
      <c r="D9822" t="n">
        <v>1</v>
      </c>
      <c r="E9822" t="n">
        <v>11</v>
      </c>
      <c r="F9822">
        <f>HYPERLINK("https://www.reddit.com/r/diabetes/comments/heu53f/is_it_possible_to_have_low_blood_sugars_and/")</f>
        <v/>
      </c>
      <c r="G9822" t="inlineStr">
        <is>
          <t>2020-06-23 21:21:07</t>
        </is>
      </c>
      <c r="H9822" t="inlineStr">
        <is>
          <t>Type 2</t>
        </is>
      </c>
    </row>
    <row r="9823">
      <c r="A9823" t="inlineStr">
        <is>
          <t>hevu5t</t>
        </is>
      </c>
      <c r="B9823" t="inlineStr">
        <is>
          <t>Omnipod keeps detaching</t>
        </is>
      </c>
      <c r="C9823" t="inlineStr">
        <is>
          <t>Hey everyone, I’ve had the omnipod for about 5-6 months now and I like it a lot, especially when compared to pens. My problem with it is that it keeps coming off fairly easily. For example if I workout and get sweaty and I move a lot, and then I take a shower the adhesive part will become very unreliable. Once I was drying off around the pump and snagged it with the towel and it came off. Hiking and kayaking and swimming are the big ones that I consistently have problems with with the omnipod. I just want to know if anyone has any work arounds or any tips that might help me out. It’d be greatly appreciated.</t>
        </is>
      </c>
      <c r="D9823" t="n">
        <v>1</v>
      </c>
      <c r="E9823" t="n">
        <v>6</v>
      </c>
      <c r="F9823">
        <f>HYPERLINK("https://www.reddit.com/r/diabetes/comments/hevu5t/omnipod_keeps_detaching/")</f>
        <v/>
      </c>
      <c r="G9823" t="inlineStr">
        <is>
          <t>2020-06-23 23:28:18</t>
        </is>
      </c>
      <c r="H9823" t="inlineStr">
        <is>
          <t>Type 1</t>
        </is>
      </c>
    </row>
    <row r="9824">
      <c r="A9824" t="inlineStr">
        <is>
          <t>hf0t3e</t>
        </is>
      </c>
      <c r="B9824" t="inlineStr">
        <is>
          <t>What’s your method at dealing with pizza</t>
        </is>
      </c>
      <c r="C9824" t="inlineStr">
        <is>
          <t>Let’s say you are having a meal with pizza and friends, how is your pre bolus with this type of food, and how do you handle the next possible spikes ?</t>
        </is>
      </c>
      <c r="D9824" t="n">
        <v>1</v>
      </c>
      <c r="E9824" t="n">
        <v>0</v>
      </c>
      <c r="F9824">
        <f>HYPERLINK("https://www.reddit.com/r/diabetes/comments/hf0t3e/whats_your_method_at_dealing_with_pizza/")</f>
        <v/>
      </c>
      <c r="G9824" t="inlineStr">
        <is>
          <t>2020-06-24 06:14:42</t>
        </is>
      </c>
      <c r="H9824" t="inlineStr">
        <is>
          <t>Type 1</t>
        </is>
      </c>
    </row>
    <row r="9825">
      <c r="A9825" t="inlineStr">
        <is>
          <t>hf0uz1</t>
        </is>
      </c>
      <c r="B9825" t="inlineStr">
        <is>
          <t>How do you bolus for pizza?</t>
        </is>
      </c>
      <c r="C9825" t="inlineStr">
        <is>
          <t>Hello guys,
I’d love to know your strategy and method for eating pizza! We all know it is kinda hard with this type of meal, but we got our ways! How do you bolus / pre bolus for it?</t>
        </is>
      </c>
      <c r="D9825" t="n">
        <v>1</v>
      </c>
      <c r="E9825" t="n">
        <v>4</v>
      </c>
      <c r="F9825">
        <f>HYPERLINK("https://www.reddit.com/r/diabetes/comments/hf0uz1/how_do_you_bolus_for_pizza/")</f>
        <v/>
      </c>
      <c r="G9825" t="inlineStr">
        <is>
          <t>2020-06-24 06:18:17</t>
        </is>
      </c>
      <c r="H9825" t="inlineStr">
        <is>
          <t>Type 1</t>
        </is>
      </c>
    </row>
    <row r="9826">
      <c r="A9826" t="inlineStr">
        <is>
          <t>hf15h5</t>
        </is>
      </c>
      <c r="B9826" t="inlineStr">
        <is>
          <t>Question about hospitalization and pump usage</t>
        </is>
      </c>
      <c r="C9826" t="inlineStr">
        <is>
          <t>OK....I have been lurking on all the stories over the last couple months and wondered what happens, if for whatever reason, I get hospitalized...do they make me take off my pump and dexcom?  Am I back on MDI and finger sticks?  Do I have to deal with a hospital doc with no endocrinology experience to make terrible dosing decisions?  
TL;DR
Im worried that Covid may be not an if thing but more of a when and what will happen to me if I go in to the hospital.....</t>
        </is>
      </c>
      <c r="D9826" t="n">
        <v>1</v>
      </c>
      <c r="E9826" t="n">
        <v>4</v>
      </c>
      <c r="F9826">
        <f>HYPERLINK("https://www.reddit.com/r/diabetes/comments/hf15h5/question_about_hospitalization_and_pump_usage/")</f>
        <v/>
      </c>
      <c r="G9826" t="inlineStr">
        <is>
          <t>2020-06-24 06:37:22</t>
        </is>
      </c>
      <c r="H9826" t="inlineStr">
        <is>
          <t>Type 1</t>
        </is>
      </c>
    </row>
    <row r="9827">
      <c r="A9827" t="inlineStr">
        <is>
          <t>hf22vi</t>
        </is>
      </c>
      <c r="B9827" t="inlineStr">
        <is>
          <t>Type Twos - Sometimes it is our fault</t>
        </is>
      </c>
      <c r="C9827" t="inlineStr">
        <is>
          <t>I sincerely don't want to get into a war over this, but every time a newly diagnosed type 2 makes a post there is a ton of replies telling them it isn't their fault.  It isn't helpful.
I'm a type 2.  When I was diagnosed almost two years ago I was morbidly obese and had been for most of my adult life.  I was 35 years old.  **It was my fault.**  I had consumed entirely too much soda and too many carbs for all of my life.  I was carrying around an extra 90 lbs.  Recognizing it was my fault also gave me the realization that I **had power** in it.  If it was my fault then that meant that I could stop doing the things that I was doing that caused it.  If I hadn't owned my diagnosis then I would have just continued my regular way of eating and started on the road to insulin rather quickly. I've lost 90 pounds and brought my a1c from 8.3 to 5.3.  My diabetes will probably progress eventually and need more intervention, but hopefully I can slow it down enough so that it doesn't effect my health too badly within the next 40 years.
TLDR:  Sometimes it's our fault, but that means we  aren't victims.  We can change our behavior and improve.</t>
        </is>
      </c>
      <c r="D9827" t="n">
        <v>66</v>
      </c>
      <c r="E9827" t="n">
        <v>199</v>
      </c>
      <c r="F9827">
        <f>HYPERLINK("https://www.reddit.com/r/diabetes/comments/hf22vi/type_twos_sometimes_it_is_our_fault/")</f>
        <v/>
      </c>
      <c r="G9827" t="inlineStr">
        <is>
          <t>2020-06-24 07:34:54</t>
        </is>
      </c>
      <c r="H9827" t="inlineStr">
        <is>
          <t>Type 2</t>
        </is>
      </c>
    </row>
    <row r="9828">
      <c r="A9828" t="inlineStr">
        <is>
          <t>hf6dzb</t>
        </is>
      </c>
      <c r="B9828" t="inlineStr">
        <is>
          <t>Getting CGM data displayed on pc</t>
        </is>
      </c>
      <c r="C9828" t="inlineStr">
        <is>
          <t>So I'm using the Dexcom g6 CGM. I also use nightwatch, which is like the unofficial Dexcom follow app. If I use the "your phone" function in windows 10, I can see the nightwatch app and values but I have to click to view it.
What I'm looking for is a widget. Something on my PC desktop or in the taskbar, constantly showing my blood sugar, drawing data from the Dexcom servers. Basically getting the Android widget for nightwatch on my phone to show on my PC. 
So, by human sacrifice or other means; how do I display my CGM data from Dexcoms servers on my pc, either through Dexcom share or nightwatch which pulls data from Dexcoms servers the same way? 
Any Google search has been in vain since uploading your results to a pc is still hailed as the pinnacle of all technology by manufacturers, so all search terms are eaten by "did you know you can upload your glucose to a pc!?!?!?!? Your endo will love it!"</t>
        </is>
      </c>
      <c r="D9828" t="n">
        <v>1</v>
      </c>
      <c r="E9828" t="n">
        <v>8</v>
      </c>
      <c r="F9828">
        <f>HYPERLINK("https://www.reddit.com/r/diabetes/comments/hf6dzb/getting_cgm_data_displayed_on_pc/")</f>
        <v/>
      </c>
      <c r="G9828" t="inlineStr">
        <is>
          <t>2020-06-24 11:26:13</t>
        </is>
      </c>
      <c r="H9828" t="inlineStr">
        <is>
          <t>Type 1</t>
        </is>
      </c>
    </row>
    <row r="9829">
      <c r="A9829" t="inlineStr">
        <is>
          <t>hf6m6c</t>
        </is>
      </c>
      <c r="B9829" t="inlineStr">
        <is>
          <t>A1C went from 10.4 all the way to 6.3!!!</t>
        </is>
      </c>
      <c r="C9829" t="inlineStr">
        <is>
          <t>Wooooooooooo!!!</t>
        </is>
      </c>
      <c r="D9829" t="n">
        <v>8</v>
      </c>
      <c r="E9829" t="n">
        <v>13</v>
      </c>
      <c r="F9829">
        <f>HYPERLINK("https://www.reddit.com/r/diabetes/comments/hf6m6c/a1c_went_from_104_all_the_way_to_63/")</f>
        <v/>
      </c>
      <c r="G9829" t="inlineStr">
        <is>
          <t>2020-06-24 11:37:35</t>
        </is>
      </c>
      <c r="H9829" t="inlineStr">
        <is>
          <t>Type 1</t>
        </is>
      </c>
    </row>
    <row r="9830">
      <c r="A9830" t="inlineStr">
        <is>
          <t>hf8ame</t>
        </is>
      </c>
      <c r="B9830" t="inlineStr">
        <is>
          <t>My Diagnosis Was Changed From Type 2 to Type 1, and I Couldn’t Be Happier</t>
        </is>
      </c>
      <c r="C9830" t="inlineStr">
        <is>
          <t>Upon diagnosis/hospitalization in January of this year, I was confused and scared. I questioned my eating habits and thought about what I could have done differently to avoid this. When I was moved a floor down from the ICU and had some alone time, I would cry myself to sleep at night. I cried because I knew this could have been avoided if I ate healthier, and because I didn’t want to go back home knowing I had diabetes. I suppose I wanted to live in the hospital forever because I didn’t have to worry about my disease since the nurses did that for me. Even when I was getting dressed to leave I wasn’t ecstatic about it.
A few days after being discharged I’m visiting my doctor to get my A1C checked. Another few days pass and I get an email (written in red) telling me that my A1C is 12.3, reflecting poor diabetes control. My eyes start pouring again as the doctor reinforces the idea that all of this is my fault and that I should have taken better care of my health. I tried playing video games to take my mind off of it, but I could barely see through all of my tears. My face was hot and I was choking up. I continued to beat myself up.
Fast forward to April of this year, and I’m talking to a dietician. She says based on my height, weight and age, I could be Type 1 or Type 1.5. Maybe it’s not my fault?
Now we’re in June, and I finally have a conversation with an endocrinologist. He also tells me that, based on my height, weight and age, I’m most likely not Type 2. After our conversation, he officially changes my diagnosis to Type 1!
It might be a bit weird that I’m excited about not being able to reverse my diabetes, but I feel that a weight has been lifted off my shoulders knowing that I didn’t destroy my own body, and that this was inevitable. All my regret and heartache back in January has essentially been erased. It might not make living with diabetes any easier, but I feel so much better about it.</t>
        </is>
      </c>
      <c r="D9830" t="n">
        <v>1</v>
      </c>
      <c r="E9830" t="n">
        <v>21</v>
      </c>
      <c r="F9830">
        <f>HYPERLINK("https://www.reddit.com/r/diabetes/comments/hf8ame/my_diagnosis_was_changed_from_type_2_to_type_1/")</f>
        <v/>
      </c>
      <c r="G9830" t="inlineStr">
        <is>
          <t>2020-06-24 13:03:50</t>
        </is>
      </c>
      <c r="H9830" t="inlineStr">
        <is>
          <t>Type 1</t>
        </is>
      </c>
    </row>
    <row r="9831">
      <c r="A9831" t="inlineStr">
        <is>
          <t>hf9vvb</t>
        </is>
      </c>
      <c r="B9831" t="inlineStr">
        <is>
          <t>From A Stint in the ICU with a 10.9 A1c to Cutting It More Than Half Today</t>
        </is>
      </c>
      <c r="C9831" t="inlineStr">
        <is>
          <t>https://imgur.com/a/FHJaaRp
I know this screen-grab says my A1c was 8.7 in March but this reading was about 2 weeks after my hospital stint when doctors told me it was 10.9. 
I highly apologize for this being so long (that's what she said) but it kind of got away from me and haven't had an opportunity to put these past 3.5 months down to words). 
My Story
I (36M) woke up on a Saturday morning in early March with some mild stomach/abdominal pains. As the morning progressed, the pain got worse and worse. It got absolutely agonizing. I had never felt anything like it before. I was doubled over on my hands and knees trying to find a position where it would relieve any minute amount of pain. This wasn't the typical feeling of "I must have eaten something bad, let me go take a dump or go vomit and I'll start to feel better" sort of thing. I must have vomited 8 or 9 times that morning with no relief in sight. I was getting the chills yet I was sweating profusely. Drinking water, Gatorade, pepto-bismol, pedialyte, nothing was helping.  I had no idea what was going on with my body.
Being that it was March in NYC, I did not want to step foot into a hospital ER. I ended up going to a CityMD Urgent Care to see what was up. After what felt like an eternity of a wait to be seen, a doctor examined me for no more than 10 minutes and concluded I was suffering from some bad acid reflux, gave me some pain meds and a prescription to fill. Went home, got the prescription filled, and just continued to wither in pain hoping the meds would kick in soon.  They did not. The pain and vomiting were relentless. 
My parents, especially my mom being an RN, had seen enough, called a doctor she was friends with and decided we were going to the ER at her hospital. The time in the ER was kind of a blur at this point but they gave me morphine and some other hospital grade pain meds which helped a bit while they also hooked me to an IV and did their tests and bloodwork. I must have been in the ER for about 4-5 hours still in immense pain with I'm sure at least a few COVID positive patients in the general vicinity. I honestly can't remember if they did any sort of radiology scanning/imaging (CT/X-ray) while I was in the ER but it's certainly possible.
When the tests came back they discovered I was suffering from acute pancreatitis caused by my cholesterol and triglycerides that were through the roof and into the atmosphere. For reference, normal triglyceride levels are less than 150; mine were approaching 3000 that day. A little background on me, my weight has always fluctuated the past 15 years. I am 5'6" and have ranged anywhere from 165-195 pounds since my early 20s. On this day, I want to say I was in the low to mid 170s so in my mind, I wasn't doing too bad. I never went to the doctor for physicals/check-ups which was such a dumb move on my part but I digress.
After this discovery, they moved me to the ICU to get my levels all normalized and get me on the road to recovery. I wasn't allowed to eat to let my pancreas help recover from the severe trauma it had been through and while they did more tests. My ICU room was directly next to what I can only assume was a COVID patient. Their room door was covered in plastic and all the staff that went in there were covered head to toe in what felt like haz mat suits. Needless to say, I was scared shitless to be in the position I was in. While in the ICU, they also discovered my blood sugar was also through the roof with an A1c of 10.9. I was devastated. They told me I had diabetes. 
Reflecting back and doing research, all the warning signs were there. I was just too dumb or in denial to recognize them. Weight fluctuation, constantly thirsty, insatiable appetite, having to wake up in the middle of the night to pee, so many signs I just didn't put together.
I was in the ICU for about 5 days and got discharged with plenty of prescriptions and follow-ups with doctors. It took about 2 weeks to start feeling somewhat normal again and to get my strength back. 
I did a visit with a GP that I had seen about 5 years ago who, let's just say, was not thrilled to see me end up this way. I was put on Humalog before every meal, Lantus every night, Metformin twice a day, and Gemfibrozil twice a day and told to record my blood sugar 3-4 times a day and needed to take drastic changes to my diet.
I was absolutely crushed. I LOVE food. I love eating, cooking, watching videos and TV shows about cooking and food. I loved to travel and plan trips around visiting restaurants and food I had researched. This was a nightmare. But I realized it was absolutely necessary to change my habits if I wanted to watch my sons grow up and not leave my wife as a widow. 
These past 3 months, I've basically lived off of chicken breasts, ground turkey, and different varieties of fish (salmon, tuna, flounder, tilapia, branzino, etc.). I cut out white bread, rice, pasta, potatoes. Fried food. Fast food, ramen. No cake, ice cream, cookies, etc. So many things that I loved. I was never a big drinker but haven't a drop of alcohol either. Replaced eggs with egg beaters. Sugar free coffee creamer, low fat cheese, greek yogurt, lots of cans of black beans, corn tortillas, sandwich skinnys, whole grain bread. Lots of veggies (asparagus, brussel sprouts, spinach, arugula, zucchini). Cheerios. Oatmeal. Blueberries, kiwi, strawberries. Unsalted almonds. Sugar-free jello. 
My blood sugar readings steadily declined. Was even getting hypo a bunch of times. My doc decided to take me off Humalog in May because I was doing so well. My weight has steadily declined as well. I am down to about 147 as of today and my clothes all feel so big. I barely recognize myself and after I finally got my first haircut in 4 months yesterday (opening day of Phase 2 here in NY), I felt like a million bucks. 
Today I got my bloodwork results back from my check-up last week. Everything came back well within normal, cholesterol, triglycerides, blood sugar, and A1c (5.1) looking all good. Doc told me to also stop my Lantus shots (unless I decided to have a cheat day every now and then). I am so happy my hard work and sacrifice these past 3 months have actually paid off. I've never felt better.
I am so sorry if all of this comes across as self-serving or boastful or cocky but that is not my intention at all. I just needed to get all this off my chest because I tend to be quiet and introverted. Hopefully this helps out someone who might be down in the dumps about a recent (or not so recent) diagnosis. It is possible to turn it around to something positive. This was an absolute wake up call for me. I just hope to God I can keep it up and be there for my family for the long run (with a satisfying cheat meal once in a while). 
TL;DR Was in the ICU for 5 days with pancreatitis during start of COVID spike in NY. Discovered my cholesterol, triglycerides (close to 3000), and blood sugar were through the roof with an A1c of 10.9. Changed my diet and lifestyle, got it down to 5.1 at my most recent appointment.</t>
        </is>
      </c>
      <c r="D9831" t="n">
        <v>1</v>
      </c>
      <c r="E9831" t="n">
        <v>4</v>
      </c>
      <c r="F9831">
        <f>HYPERLINK("https://www.reddit.com/r/diabetes/comments/hf9vvb/from_a_stint_in_the_icu_with_a_109_a1c_to_cutting/")</f>
        <v/>
      </c>
      <c r="G9831" t="inlineStr">
        <is>
          <t>2020-06-24 14:27:47</t>
        </is>
      </c>
      <c r="H9831" t="inlineStr">
        <is>
          <t>Type 2</t>
        </is>
      </c>
    </row>
    <row r="9832">
      <c r="A9832" t="inlineStr">
        <is>
          <t>hfbght</t>
        </is>
      </c>
      <c r="B9832" t="inlineStr">
        <is>
          <t>Gastroparesis?</t>
        </is>
      </c>
      <c r="C9832" t="inlineStr">
        <is>
          <t>So I've been type 1 since 2012, after high BGs pre diagnosis I got my A1C to be mostly low 6s for the past 8 years. My last A1C was 6.2. 
So April 1st I got a really bad stomach ache, fever, chills etc. I am still feeling slowly better, I haven't been 100% since March. They ran lots of tests on me and they have all been negative, both ultrasound and CT scan were negative. Lots of blood work, a stool sample, urine the works. Still nothing. A negative Covid test and later a negative Covid antibody test because the first one took so long to get. I've been mostly working through a GI who now thinks it's Gastroparesis. I personally think it's like Covid that upset the stomach but then it's just stayed upset.
What does Gastroparesis feel like so I can compare and figure out my stomach pain.</t>
        </is>
      </c>
      <c r="D9832" t="n">
        <v>1</v>
      </c>
      <c r="E9832" t="n">
        <v>3</v>
      </c>
      <c r="F9832">
        <f>HYPERLINK("https://www.reddit.com/r/diabetes/comments/hfbght/gastroparesis/")</f>
        <v/>
      </c>
      <c r="G9832" t="inlineStr">
        <is>
          <t>2020-06-24 15:58:57</t>
        </is>
      </c>
      <c r="H9832" t="inlineStr">
        <is>
          <t>Type 1</t>
        </is>
      </c>
    </row>
    <row r="9833">
      <c r="A9833" t="inlineStr">
        <is>
          <t>hfdntu</t>
        </is>
      </c>
      <c r="B9833" t="inlineStr">
        <is>
          <t>Newly diagnosed</t>
        </is>
      </c>
      <c r="C9833" t="inlineStr">
        <is>
          <t>Hey all. My mom was diagnosed with type 2 diabetes last week. She’s now on metformin. This is so new to us. I looked in the side bar but didn’t really find anything. I guess I’m looking for a beginners guide? If that makes sense. I looked online and there’s just so much information about this I don’t know where to start.</t>
        </is>
      </c>
      <c r="D9833" t="n">
        <v>1</v>
      </c>
      <c r="E9833" t="n">
        <v>10</v>
      </c>
      <c r="F9833">
        <f>HYPERLINK("https://www.reddit.com/r/diabetes/comments/hfdntu/newly_diagnosed/")</f>
        <v/>
      </c>
      <c r="G9833" t="inlineStr">
        <is>
          <t>2020-06-24 18:42:27</t>
        </is>
      </c>
      <c r="H9833" t="inlineStr">
        <is>
          <t>Type 2</t>
        </is>
      </c>
    </row>
    <row r="9834">
      <c r="A9834" t="inlineStr">
        <is>
          <t>hffd5e</t>
        </is>
      </c>
      <c r="B9834" t="inlineStr">
        <is>
          <t>Young adult self-conscious about CGM</t>
        </is>
      </c>
      <c r="C9834" t="inlineStr">
        <is>
          <t>I am a 25 year old female recently diagnosed with T1D (about 9 months ago). Everything is new and just the idea of explaining I have diabetes to someone gives me an unbelievable amount of anxiety. I’m currently using the Dexcom G6. Since this is my first summer with this I’m really nervous about a few things. Anyone have any advice or past experience that can help?
1. I’m very nervous about going to a bar/outdoor event/even the beach with my cgm exposed on my arm. All winter I was able to cover it with long sleeves and with COVID I haven’t left the house. With everything opening up I’m sure I’ll eventually go somewhere with a sleeveless shirt. Everyone will be able to see this weird thing on my arm. Will someone know what it is and judge me because they assume I shouldn’t be out or be drinking a lot as a diabetic?
2. Has anyone had any issues tanning outside with your cgm? I like to be outside and to go to the beach, but I’m nervous there will be an issues with the device if I lay in the sun too long. Is that a stupid worry?</t>
        </is>
      </c>
      <c r="D9834" t="n">
        <v>1</v>
      </c>
      <c r="E9834" t="n">
        <v>16</v>
      </c>
      <c r="F9834">
        <f>HYPERLINK("https://www.reddit.com/r/diabetes/comments/hffd5e/young_adult_selfconscious_about_cgm/")</f>
        <v/>
      </c>
      <c r="G9834" t="inlineStr">
        <is>
          <t>2020-06-24 20:37:55</t>
        </is>
      </c>
      <c r="H9834" t="inlineStr">
        <is>
          <t>Type 1</t>
        </is>
      </c>
    </row>
    <row r="9835">
      <c r="A9835" t="inlineStr">
        <is>
          <t>hfikut</t>
        </is>
      </c>
      <c r="B9835" t="inlineStr">
        <is>
          <t>To insulin or not to insulin? That is the question.</t>
        </is>
      </c>
      <c r="C9835" t="inlineStr">
        <is>
          <t>Question: Does a person with steady 6.2 blood glucose need insulin?
——————————————————————
Old man has been diagnosed with T2 diabetes. 
The scenario;
Without insulin and on his fully keto diet (veg, salad, eggs, water, lean meat), his blood glucose stays at 6.2 - 6.5 morning, noon and night. 
I find that when he does take insulin his blood sugar is 2.3 when he wakes up if he hasn’t eaten  the “right amount” of carbs the day before. 
Balancing the right amount of carbs to insulin presents this issue:
With insulin = needs carbs not to go hypo. Then overcompensates with carbs. 
Without insulin = stays at 6.2
Does a person with steady 6.2 blood glucose need insulin?</t>
        </is>
      </c>
      <c r="D9835" t="n">
        <v>1</v>
      </c>
      <c r="E9835" t="n">
        <v>8</v>
      </c>
      <c r="F9835">
        <f>HYPERLINK("https://www.reddit.com/r/diabetes/comments/hfikut/to_insulin_or_not_to_insulin_that_is_the_question/")</f>
        <v/>
      </c>
      <c r="G9835" t="inlineStr">
        <is>
          <t>2020-06-25 01:34:13</t>
        </is>
      </c>
      <c r="H9835" t="inlineStr">
        <is>
          <t>Type 2</t>
        </is>
      </c>
    </row>
    <row r="9836">
      <c r="A9836" t="inlineStr">
        <is>
          <t>hfisdo</t>
        </is>
      </c>
      <c r="B9836" t="inlineStr">
        <is>
          <t>Hot feet at night?</t>
        </is>
      </c>
      <c r="C9836" t="inlineStr">
        <is>
          <t>I noticed back in April that when I try to go to sleep, the soles of my feet start feeling hot. It's distracting and makes it difficult to fall asleep. It's not every night, but often. I have also noticed slight yellowing in the corners of my big toes, but I don't know if that is related. My feet feel fine during the day, it's just when I'm trying to sleep.
Putting a fan near my feet helps a bit, but I usually don't use one because it moves dust around, which I'm allergic too. I asked my endo if it could be nerve damage and she said it was unlikely. But lately the hottness has almost started stinging? Has anyone else experienced this? I'm really afraid that it is nerve damage. If it is, is there at least treatments to help with the hotness? I don't want these sleep deprived nights for the rest of my life.
I'm calling my insurance plan tomorrow to see if they cover a podiatrist visit,  but I will see one regardless. I'm mostly asking now because I can't sleep, because you know, hot feet and a low that has me eating cereal right now lol</t>
        </is>
      </c>
      <c r="D9836" t="n">
        <v>1</v>
      </c>
      <c r="E9836" t="n">
        <v>7</v>
      </c>
      <c r="F9836">
        <f>HYPERLINK("https://www.reddit.com/r/diabetes/comments/hfisdo/hot_feet_at_night/")</f>
        <v/>
      </c>
      <c r="G9836" t="inlineStr">
        <is>
          <t>2020-06-25 01:54:44</t>
        </is>
      </c>
      <c r="H9836" t="inlineStr">
        <is>
          <t>Type 1</t>
        </is>
      </c>
    </row>
    <row r="9837">
      <c r="A9837" t="inlineStr">
        <is>
          <t>hfju4u</t>
        </is>
      </c>
      <c r="B9837" t="inlineStr">
        <is>
          <t>Looking for Type 2 Diabetes research participants in the Philippines</t>
        </is>
      </c>
      <c r="C9837" t="inlineStr">
        <is>
          <t>Good day! I am an incoming 3rd year medical student in the Philippines. I am part of a research group conducting our questionnaire online due to COVID-19. We are undertaking a study concerning **Filipino** participants with **Type 2 Diabetes.** I would like to ask your help in answering our **15-20 min. questionnaire** online. 
Criteria for our study:
* Diagnosed with type 2 diabetes
* **Filipino** currently living in the Philippines
* Aged **18-59** years old by June 2020
* Have adequate internet access to fill out a Google Form
If you fit the aforementioned criteria, please do message me or reply here. I will ask a few screening questions before sending a Google Form questionnaire with the access code of the day. 
Hoping for your kindest response, as we need 384 participants, and this will be a big help to our community and our future patients! :)</t>
        </is>
      </c>
      <c r="D9837" t="n">
        <v>1</v>
      </c>
      <c r="E9837" t="n">
        <v>0</v>
      </c>
      <c r="F9837">
        <f>HYPERLINK("https://www.reddit.com/r/diabetes/comments/hfju4u/looking_for_type_2_diabetes_research_participants/")</f>
        <v/>
      </c>
      <c r="G9837" t="inlineStr">
        <is>
          <t>2020-06-25 03:33:13</t>
        </is>
      </c>
      <c r="H9837" t="inlineStr">
        <is>
          <t>Type 2</t>
        </is>
      </c>
    </row>
    <row r="9838">
      <c r="A9838" t="inlineStr">
        <is>
          <t>hfn4zq</t>
        </is>
      </c>
      <c r="B9838" t="inlineStr">
        <is>
          <t>T2 Gatorade Zero</t>
        </is>
      </c>
      <c r="C9838" t="inlineStr">
        <is>
          <t>Any thoughts on glucose readings and Gatorade Zero? I bought one today to try. I wouldn’t mind bringing it back to my diet, but I will avoid if it spikes my glucose reading.</t>
        </is>
      </c>
      <c r="D9838" t="n">
        <v>1</v>
      </c>
      <c r="E9838" t="n">
        <v>6</v>
      </c>
      <c r="F9838">
        <f>HYPERLINK("https://www.reddit.com/r/diabetes/comments/hfn4zq/t2_gatorade_zero/")</f>
        <v/>
      </c>
      <c r="G9838" t="inlineStr">
        <is>
          <t>2020-06-25 07:34:34</t>
        </is>
      </c>
      <c r="H9838" t="inlineStr">
        <is>
          <t>Type 2</t>
        </is>
      </c>
    </row>
    <row r="9839">
      <c r="A9839" t="inlineStr">
        <is>
          <t>hfrjy8</t>
        </is>
      </c>
      <c r="B9839" t="inlineStr">
        <is>
          <t>Dietary help please!</t>
        </is>
      </c>
      <c r="C9839" t="inlineStr">
        <is>
          <t>I’m fairly newly diagnosed, have been put on long acting insulin and Metformin, but because of the Covid situation I’ve not been offered any guidance for diet really, and I have so many questions.
I’m struggling to understand how many grams of carbohydrates and sugar I can have daily, and how I should spread them out. I currently have the insulin in the morning at breakfast, which seems to work well until late evening, when I start to climb slowly. My blood sugars are not really bad, I generally don’t go over 15mmol, but I already have neuropathy from being on steroids so am a bit paranoid. 
Type 1.5 is in the family, but I don’t have anyone living to ask for guidance, and was hoping you could help me.</t>
        </is>
      </c>
      <c r="D9839" t="n">
        <v>1</v>
      </c>
      <c r="E9839" t="n">
        <v>11</v>
      </c>
      <c r="F9839">
        <f>HYPERLINK("https://www.reddit.com/r/diabetes/comments/hfrjy8/dietary_help_please/")</f>
        <v/>
      </c>
      <c r="G9839" t="inlineStr">
        <is>
          <t>2020-06-25 11:40:11</t>
        </is>
      </c>
      <c r="H9839" t="inlineStr">
        <is>
          <t>Type 1.5/LADA</t>
        </is>
      </c>
    </row>
    <row r="9840">
      <c r="A9840" t="inlineStr">
        <is>
          <t>hfrpvw</t>
        </is>
      </c>
      <c r="B9840" t="inlineStr">
        <is>
          <t>BGM accuracy :(</t>
        </is>
      </c>
      <c r="C9840" t="inlineStr">
        <is>
          <t>I was diagnosed 2 months ago with T2 and have been really happy about my progress. Went from 240-300 BG ranges to 100-160 with Metformin, low carb, and more exercise.
And then I got a new meter through my insurance. I was using Walgreens brand TrueFocus (the one with 50 strips for $15) and then last week got a OneTouch Ultra.  The readings are DRASTICALLY different. I got control solution for both, and it turns out that the Walgreens meter is reading at the very low end of its range (the range was 40-70, gave me 43). The OneTouch on the other hand is reading right in the middle of its range.
So it turns out that my BG is ACTUALLY ranging from about 150-210.
I'm going to make an appointment with my doctor to update her (since I suspect this changes my treatment strategy), but also I'm just floored that this could happen. What if I'd never gotten the new meter? I guess I would have just found out when I get blood work in another month and my 1AC is higher than I'd have expected?
Was just curious about others' experiences with this and also just wanted to tell someone who would understand my disappointment. :(</t>
        </is>
      </c>
      <c r="D9840" t="n">
        <v>1</v>
      </c>
      <c r="E9840" t="n">
        <v>4</v>
      </c>
      <c r="F9840">
        <f>HYPERLINK("https://www.reddit.com/r/diabetes/comments/hfrpvw/bgm_accuracy/")</f>
        <v/>
      </c>
      <c r="G9840" t="inlineStr">
        <is>
          <t>2020-06-25 11:49:30</t>
        </is>
      </c>
      <c r="H9840" t="inlineStr">
        <is>
          <t>Type 2</t>
        </is>
      </c>
    </row>
    <row r="9841">
      <c r="A9841" t="inlineStr">
        <is>
          <t>hfu9wd</t>
        </is>
      </c>
      <c r="B9841" t="inlineStr">
        <is>
          <t>Farxiga and Metformin</t>
        </is>
      </c>
      <c r="C9841" t="inlineStr">
        <is>
          <t>I have type 2 diabetes, been on Metformin for about a year with no significant change in my numbers, even with eating low carb. Doctor just prescribed Farxiga to take in conjunction with the Metformin. I also take Bupropion (Wellbutrin) and Lipitor. Are there any major side effects I should know about taking this combination of meds? I have no side effects from any of the medications I’m currently on, but I’m always wary of adding another to the mix. Has anyone had success in taking these two together? She mentioned that it may help with weight loss as well, i weigh 180 at 5’2” so I am significantly overweight. I appreciate any insight!</t>
        </is>
      </c>
      <c r="D9841" t="n">
        <v>1</v>
      </c>
      <c r="E9841" t="n">
        <v>4</v>
      </c>
      <c r="F9841">
        <f>HYPERLINK("https://www.reddit.com/r/diabetes/comments/hfu9wd/farxiga_and_metformin/")</f>
        <v/>
      </c>
      <c r="G9841" t="inlineStr">
        <is>
          <t>2020-06-25 14:11:28</t>
        </is>
      </c>
      <c r="H9841" t="inlineStr">
        <is>
          <t>Type 2</t>
        </is>
      </c>
    </row>
    <row r="9842">
      <c r="A9842" t="inlineStr">
        <is>
          <t>hfvuob</t>
        </is>
      </c>
      <c r="B9842" t="inlineStr">
        <is>
          <t>Need help with a questionnaire on self-management of type-2-diabetes in adults.</t>
        </is>
      </c>
      <c r="C9842" t="inlineStr">
        <is>
          <t>Hi everyone, 
My friend is a nursing student writing up a research proposal on the barriers and behaviours associated with self-management of type 2 diabetes in adult patients. I would really appreciate if you could spare 5 minutes of your time to fill out this questionnaire. You will not be required to drop any sensitive informations and all responses will be used for scientific purposes only. Please kindly fill out the form below, thank you :)
https://docs.google.com/forms/d/e/1FAIpQLSefynTyD4_gH3s1c0ipoF1cK8TluFgGH--Oo46XHRL3BUb-5A/viewform</t>
        </is>
      </c>
      <c r="D9842" t="n">
        <v>1</v>
      </c>
      <c r="E9842" t="n">
        <v>1</v>
      </c>
      <c r="F9842">
        <f>HYPERLINK("https://www.reddit.com/r/diabetes/comments/hfvuob/need_help_with_a_questionnaire_on_selfmanagement/")</f>
        <v/>
      </c>
      <c r="G9842" t="inlineStr">
        <is>
          <t>2020-06-25 15:41:00</t>
        </is>
      </c>
      <c r="H9842" t="inlineStr">
        <is>
          <t>Type 2</t>
        </is>
      </c>
    </row>
    <row r="9843">
      <c r="A9843" t="inlineStr">
        <is>
          <t>hfwgbz</t>
        </is>
      </c>
      <c r="B9843" t="inlineStr">
        <is>
          <t>I'm so sad about the likely nerve damage I have that I haven't moved in hours. My blood sugar is dropping low but I don't have the will to eat</t>
        </is>
      </c>
      <c r="C9843" t="inlineStr">
        <is>
          <t>I posted this morning about a burning, pinching, sharp feeling in my feet. All info points to nerve damage. I'm not stellar at diabetes management but I try. I didn't think it would happen so soon. I'm so sad. I feel like telling my boyfriend that we should break up so he doesn't have to deal with all this bullshit. It's becoming more real to me that I probably won't grow old with my sisters. 
I'm scared</t>
        </is>
      </c>
      <c r="D9843" t="n">
        <v>1</v>
      </c>
      <c r="E9843" t="n">
        <v>9</v>
      </c>
      <c r="F9843">
        <f>HYPERLINK("https://www.reddit.com/r/diabetes/comments/hfwgbz/im_so_sad_about_the_likely_nerve_damage_i_have/")</f>
        <v/>
      </c>
      <c r="G9843" t="inlineStr">
        <is>
          <t>2020-06-25 16:17:31</t>
        </is>
      </c>
      <c r="H9843" t="inlineStr">
        <is>
          <t>Type 1</t>
        </is>
      </c>
    </row>
    <row r="9844">
      <c r="A9844" t="inlineStr">
        <is>
          <t>hfyqyj</t>
        </is>
      </c>
      <c r="B9844" t="inlineStr">
        <is>
          <t>dexcom g6 question</t>
        </is>
      </c>
      <c r="C9844" t="inlineStr">
        <is>
          <t>when dexcom g6 ships your first package of g6 supplies do they send 2 boxes of sensors (8) or 3 boxes of sensors (12)?</t>
        </is>
      </c>
      <c r="D9844" t="n">
        <v>1</v>
      </c>
      <c r="E9844" t="n">
        <v>2</v>
      </c>
      <c r="F9844">
        <f>HYPERLINK("https://www.reddit.com/r/diabetes/comments/hfyqyj/dexcom_g6_question/")</f>
        <v/>
      </c>
      <c r="G9844" t="inlineStr">
        <is>
          <t>2020-06-25 18:48:04</t>
        </is>
      </c>
      <c r="H9844" t="inlineStr">
        <is>
          <t>Type 1</t>
        </is>
      </c>
    </row>
    <row r="9845">
      <c r="A9845" t="inlineStr">
        <is>
          <t>hfzuuy</t>
        </is>
      </c>
      <c r="B9845" t="inlineStr">
        <is>
          <t>Good Endo in Chicago?</t>
        </is>
      </c>
      <c r="C9845" t="inlineStr">
        <is>
          <t>I have a terrible endo.  She originally diagnosed me with T2, despite the fact that I am a healthy weight and have a family history of T1.  She didn't order any tests and, when I asked about them, she acted like I was crazy to want to do a c-peptide and GAD, etc.  I had my GP order the tests.  The GAD came back positive and the c-peptide showed a lower than normal insulin production.  Endo then begrudgingly diagnosed me with LADA.  I am on metformin and nothing else and my numbers are good, but higher than a non-diabetic (100-130).  The endo insists there is nothing I can do to slow the progress of this disease - I know this is not the full story.
Does anyone know of a good endo in Chicago? Preferably one who can help me extend the honeymoon phase (and also order the remaining tests to confirm the T1 diagnosis)?  Northwestern and UChicago are in my network.</t>
        </is>
      </c>
      <c r="D9845" t="n">
        <v>1</v>
      </c>
      <c r="E9845" t="n">
        <v>4</v>
      </c>
      <c r="F9845">
        <f>HYPERLINK("https://www.reddit.com/r/diabetes/comments/hfzuuy/good_endo_in_chicago/")</f>
        <v/>
      </c>
      <c r="G9845" t="inlineStr">
        <is>
          <t>2020-06-25 20:05:40</t>
        </is>
      </c>
      <c r="H9845" t="inlineStr">
        <is>
          <t>Type 1.5/LADA</t>
        </is>
      </c>
    </row>
    <row r="9846">
      <c r="A9846" t="inlineStr">
        <is>
          <t>hg0epi</t>
        </is>
      </c>
      <c r="B9846" t="inlineStr">
        <is>
          <t>Sudden onset T1 diabetes in mum (71) -</t>
        </is>
      </c>
      <c r="C9846" t="inlineStr">
        <is>
          <t>Hi all, 
First time poster here, and absolute diabetes newbie on a steep learning curve. 
My mum has been diagnosed with T1 diabetes about 3 weeks ago, and after being tested for diabetes as recently as late February, and being *totally* clear (ie. no pre-diabetes, absolutely nothing), we're trying to wrap our heads around how this has happened so suddenly. 
I'm still trying to understand how diabetes works as a whole, so perhaps it's really just a luck-of-the-draw/'anywhere, anytime' thing, but has anybody else heard of a case like this? 
For context, mum has been a smoker and moderate? drinker (as in no more than 3 drinks in a day, but typically at least 1 a day, everyday) for 55 years. She doesn't look after her health via diet, exercise, etc, but she naturally prefers really 'clean' eating and basically exists on simple food like oatmeal, steamed and raw veges, various healthy proteins. She might have takeaways once every month or two months, and maybe one chocolate bar (like a moro) maybe once a week? 
Additional TLDR; mum had 2 cardiac arrests a month ago, which has been confirmed to be caused by a medication she was on (Sotalol) for her heart. Her heart and organs have been thoroughly checked and are largely fine despite having been in 'DKA' (?) for perhaps a week prior to hospitalization. 
Is sudden onset diabetes a thing that happens? Or could it have been that mum's body was just finally over drinking/smoking and that's what might have caused this? 
Obviously we're not doctors here, but we're just so curious about this! If anyone has info or thoughts, I'd be really keen to hear :)
Thanks in advance!</t>
        </is>
      </c>
      <c r="D9846" t="n">
        <v>1</v>
      </c>
      <c r="E9846" t="n">
        <v>9</v>
      </c>
      <c r="F9846">
        <f>HYPERLINK("https://www.reddit.com/r/diabetes/comments/hg0epi/sudden_onset_t1_diabetes_in_mum_71/")</f>
        <v/>
      </c>
      <c r="G9846" t="inlineStr">
        <is>
          <t>2020-06-25 20:45:42</t>
        </is>
      </c>
      <c r="H9846" t="inlineStr">
        <is>
          <t>Type 1</t>
        </is>
      </c>
    </row>
    <row r="9847">
      <c r="A9847" t="inlineStr">
        <is>
          <t>hg10eg</t>
        </is>
      </c>
      <c r="B9847" t="inlineStr">
        <is>
          <t>Who else gets pulled aside nearly every time by airport security because of their pumps/dexcoms?</t>
        </is>
      </c>
      <c r="C9847" t="inlineStr">
        <is>
          <t>It's reached a point that whenever I plan for travel, I add an additional 20 minutes before arrival just to compensate in case TSA holds me up an unusually long amount of time. I honestly would've thought it would be almost mundane for security at that point, as there has to be diabetics flying all the time.</t>
        </is>
      </c>
      <c r="D9847" t="n">
        <v>1</v>
      </c>
      <c r="E9847" t="n">
        <v>88</v>
      </c>
      <c r="F9847">
        <f>HYPERLINK("https://www.reddit.com/r/diabetes/comments/hg10eg/who_else_gets_pulled_aside_nearly_every_time_by/")</f>
        <v/>
      </c>
      <c r="G9847" t="inlineStr">
        <is>
          <t>2020-06-25 21:29:40</t>
        </is>
      </c>
      <c r="H9847" t="inlineStr">
        <is>
          <t>Type 1</t>
        </is>
      </c>
    </row>
    <row r="9848">
      <c r="A9848" t="inlineStr">
        <is>
          <t>hg1f5t</t>
        </is>
      </c>
      <c r="B9848" t="inlineStr">
        <is>
          <t>What is your Diaversary?</t>
        </is>
      </c>
      <c r="C9848" t="inlineStr">
        <is>
          <t>When did you found out?
Mine is March 2002.
Credit to Beyond type 1</t>
        </is>
      </c>
      <c r="D9848" t="n">
        <v>1</v>
      </c>
      <c r="E9848" t="n">
        <v>39</v>
      </c>
      <c r="F9848">
        <f>HYPERLINK("https://www.reddit.com/r/diabetes/comments/hg1f5t/what_is_your_diaversary/")</f>
        <v/>
      </c>
      <c r="G9848" t="inlineStr">
        <is>
          <t>2020-06-25 22:01:49</t>
        </is>
      </c>
      <c r="H9848" t="inlineStr">
        <is>
          <t>Type 1</t>
        </is>
      </c>
    </row>
    <row r="9849">
      <c r="A9849" t="inlineStr">
        <is>
          <t>hg52gt</t>
        </is>
      </c>
      <c r="B9849" t="inlineStr">
        <is>
          <t>Lantus Peak?</t>
        </is>
      </c>
      <c r="C9849" t="inlineStr">
        <is>
          <t>I have heard/read about the dreaded Lantus Lows, thankfully never experienced it in 5+yrs of using it. Last night however was an odd scenario. Every night I usually take my 18 u of Lantus around 8:30-9 PM. Check my sugars on my Libre around 11, cruising at 122. Had a small snack of peanuts, maybe 7-8 grams, went to bed. Woke around 4, drenched, headache, check numbers, 84 not bad. But then I saw my trend graph, basically plateaued at around 125 all night til around 1 am, bam, dropped like a stone to around 40 in a 45 minute timeframe. Slept through it, but liver dump got me back. Anyone else had this?  I am thinking this is the “Lantus peak” around the 4-5 hr timeframe that I have read about. Thoughts? FWIW, am also MDI, Humalog, dose of 7u to cover 80g at 6:30 PM with supper.</t>
        </is>
      </c>
      <c r="D9849" t="n">
        <v>1</v>
      </c>
      <c r="E9849" t="n">
        <v>5</v>
      </c>
      <c r="F9849">
        <f>HYPERLINK("https://www.reddit.com/r/diabetes/comments/hg52gt/lantus_peak/")</f>
        <v/>
      </c>
      <c r="G9849" t="inlineStr">
        <is>
          <t>2020-06-26 03:30:06</t>
        </is>
      </c>
      <c r="H9849" t="inlineStr">
        <is>
          <t>Type 1.5/LADA</t>
        </is>
      </c>
    </row>
    <row r="9850">
      <c r="A9850" t="inlineStr">
        <is>
          <t>hg5vd8</t>
        </is>
      </c>
      <c r="B9850" t="inlineStr">
        <is>
          <t>First time cgm user question</t>
        </is>
      </c>
      <c r="C9850" t="inlineStr">
        <is>
          <t>I've been a t1 diabetic for 10 years but i just recently started on a medtronic mini med 670g. Everything is good but I'm wondering if theres a reason I have to change the cgm sensor every 7 days. I know that's what Medtronic recommends but I'm wondering if theres any real good reason.</t>
        </is>
      </c>
      <c r="D9850" t="n">
        <v>1</v>
      </c>
      <c r="E9850" t="n">
        <v>8</v>
      </c>
      <c r="F9850">
        <f>HYPERLINK("https://www.reddit.com/r/diabetes/comments/hg5vd8/first_time_cgm_user_question/")</f>
        <v/>
      </c>
      <c r="G9850" t="inlineStr">
        <is>
          <t>2020-06-26 04:36:09</t>
        </is>
      </c>
      <c r="H9850" t="inlineStr">
        <is>
          <t>Type 1</t>
        </is>
      </c>
    </row>
    <row r="9851">
      <c r="A9851" t="inlineStr">
        <is>
          <t>hg8zcp</t>
        </is>
      </c>
      <c r="B9851" t="inlineStr">
        <is>
          <t>Blood Sugar out of control - Type2</t>
        </is>
      </c>
      <c r="C9851" t="inlineStr">
        <is>
          <t>Hey all,
Through all fault of my own my blood sugar is out of control. A bit of background 
Type2 for about 10 years and was under control most of it. This past January I got my knee replaced and they took me off meds before surgery and during stay in hospital where they injected me with insulin. After getting home went into a bit of a spiral and it hasn't gotten better. Depression and issues with recovery fed my need to eat crap foods and now I cannot seem to get it lower. When I check in the morning my meter varies from 200-300 where it used to be &amp;lt;140. I have tried eating better but it still doesn't seem to be able to get below 200. I am looking for some suggestions? Would fasting for a couple of days help?</t>
        </is>
      </c>
      <c r="D9851" t="n">
        <v>2</v>
      </c>
      <c r="E9851" t="n">
        <v>12</v>
      </c>
      <c r="F9851">
        <f>HYPERLINK("https://www.reddit.com/r/diabetes/comments/hg8zcp/blood_sugar_out_of_control_type2/")</f>
        <v/>
      </c>
      <c r="G9851" t="inlineStr">
        <is>
          <t>2020-06-26 07:50:18</t>
        </is>
      </c>
      <c r="H9851" t="inlineStr">
        <is>
          <t>Type 2</t>
        </is>
      </c>
    </row>
    <row r="9852">
      <c r="A9852" t="inlineStr">
        <is>
          <t>hgakuu</t>
        </is>
      </c>
      <c r="B9852" t="inlineStr">
        <is>
          <t>Tinder</t>
        </is>
      </c>
      <c r="C9852" t="inlineStr">
        <is>
          <t>What do you say to your tinder match when they ask how you are when you are in the hospital recovering from dka because your pump malfunctioned?</t>
        </is>
      </c>
      <c r="D9852" t="n">
        <v>1</v>
      </c>
      <c r="E9852" t="n">
        <v>11</v>
      </c>
      <c r="F9852">
        <f>HYPERLINK("https://www.reddit.com/r/diabetes/comments/hgakuu/tinder/")</f>
        <v/>
      </c>
      <c r="G9852" t="inlineStr">
        <is>
          <t>2020-06-26 09:16:58</t>
        </is>
      </c>
      <c r="H9852" t="inlineStr">
        <is>
          <t>Type 1</t>
        </is>
      </c>
    </row>
    <row r="9853">
      <c r="A9853" t="inlineStr">
        <is>
          <t>hgbkyq</t>
        </is>
      </c>
      <c r="B9853" t="inlineStr">
        <is>
          <t>My libre sensor came off after putting it in yesterday. I need advice!</t>
        </is>
      </c>
      <c r="C9853" t="inlineStr">
        <is>
          <t>So I put my libre sensor in yesterday and today after working out it caught onto the door and came right off 😒. Can I put in another one and it'll pick up my blood sugar levels just fine from my phone?</t>
        </is>
      </c>
      <c r="D9853" t="n">
        <v>1</v>
      </c>
      <c r="E9853" t="n">
        <v>10</v>
      </c>
      <c r="F9853">
        <f>HYPERLINK("https://www.reddit.com/r/diabetes/comments/hgbkyq/my_libre_sensor_came_off_after_putting_it_in/")</f>
        <v/>
      </c>
      <c r="G9853" t="inlineStr">
        <is>
          <t>2020-06-26 10:09:28</t>
        </is>
      </c>
      <c r="H9853" t="inlineStr">
        <is>
          <t>Type 1</t>
        </is>
      </c>
    </row>
    <row r="9854">
      <c r="A9854" t="inlineStr">
        <is>
          <t>hgc5tp</t>
        </is>
      </c>
      <c r="B9854" t="inlineStr">
        <is>
          <t>Diabetic eye issue</t>
        </is>
      </c>
      <c r="C9854" t="inlineStr">
        <is>
          <t>Hello friends. I am somewhat high in my sugars 250-300's. I have been type 1.5 for 13 years. This week I have had blurred vision and left eye twitching. I am concerned but I am wondering if it could be just due to higher sugars. I have never had it last so long. Please help.</t>
        </is>
      </c>
      <c r="D9854" t="n">
        <v>1</v>
      </c>
      <c r="E9854" t="n">
        <v>15</v>
      </c>
      <c r="F9854">
        <f>HYPERLINK("https://www.reddit.com/r/diabetes/comments/hgc5tp/diabetic_eye_issue/")</f>
        <v/>
      </c>
      <c r="G9854" t="inlineStr">
        <is>
          <t>2020-06-26 10:40:03</t>
        </is>
      </c>
      <c r="H9854" t="inlineStr">
        <is>
          <t>Type 1.5/LADA</t>
        </is>
      </c>
    </row>
    <row r="9855">
      <c r="A9855" t="inlineStr">
        <is>
          <t>hgcryl</t>
        </is>
      </c>
      <c r="B9855" t="inlineStr">
        <is>
          <t>Need help with a questionnaire on self-management of type-2-diabetes in adult patients</t>
        </is>
      </c>
      <c r="C9855" t="inlineStr">
        <is>
          <t>Hi everyone, 
My friend is a nursing student writing up a research proposal on the barriers and behaviours associated with self-management of type 2 diabetes in adult patients. I would really appreciate if you could spare 5 minutes of your time to fill out this questionnaire. You will not be required to drop any sensitive information and all responses will be used for scientific purposes only. Please kindly fill out the form below, thank you :)
https://docs.google.com/forms/d/e/1FAIpQLSefynTyD4_gH3s1c0ipoF1cK8TluFgGH--Oo46XHRL3BUb-5A/viewform</t>
        </is>
      </c>
      <c r="D9855" t="n">
        <v>1</v>
      </c>
      <c r="E9855" t="n">
        <v>1</v>
      </c>
      <c r="F9855">
        <f>HYPERLINK("https://www.reddit.com/r/diabetes/comments/hgcryl/need_help_with_a_questionnaire_on_selfmanagement/")</f>
        <v/>
      </c>
      <c r="G9855" t="inlineStr">
        <is>
          <t>2020-06-26 11:12:55</t>
        </is>
      </c>
      <c r="H9855" t="inlineStr">
        <is>
          <t>Type 2</t>
        </is>
      </c>
    </row>
    <row r="9856">
      <c r="A9856" t="inlineStr">
        <is>
          <t>hge7hc</t>
        </is>
      </c>
      <c r="B9856" t="inlineStr">
        <is>
          <t>I have finally realized how this disease can destroy your life and it was a cold slap of reality.</t>
        </is>
      </c>
      <c r="C9856" t="inlineStr">
        <is>
          <t xml:space="preserve">4 years ago I quit drinking alcohol. 
3 years ago I quit smoking cigarettes.
2 years ago I stopped eating junk food and went keto.
1 year ago I stopped eating all carbs entirely and went full on carnivore.
But it wasn't enoug and it was too late. 
I'm in my mid 30s with Type 2 diabetes and have developed permanent retina damage and neuropathy in my feet. I can no longer get an full erection or ejaculate anymore because the neuropathy. Even scarier is that I also acquired atriel fibrillation along the way. All thanks to diabetes. 
And now I'm more depressed than I could have ever imagined someone could be. You would think that someone that has  tried unsuccessfully to kill them self twice would know how bad depression could be but here I am. So tired and ready to quit and confused at this level of sadness and failire 
I've lost 80 pounds and have stayed at a modest 165 pounds for 18 months. But it still wasn't enough. I have missed so many meals, my children's birthday celebrations and declined the most amazing desserts in my quest for health. But it was all just too late.
I wish I could go back and tell that 20 year old kid to stop eating pizza and drinking every day. It was just too easy when my favorite pizza place had the most amazing 5 dollar pizza imaginable. (not Little Ceasars) Cheap beer, cheap cigarettes and depression really goes a long way. 
If your young and reading this I hope you consider making the changes necessary to prevent this from happening before it too late for you too. </t>
        </is>
      </c>
      <c r="D9856" t="n">
        <v>18</v>
      </c>
      <c r="E9856" t="n">
        <v>16</v>
      </c>
      <c r="F9856">
        <f>HYPERLINK("https://www.reddit.com/r/diabetes/comments/hge7hc/i_have_finally_realized_how_this_disease_can/")</f>
        <v/>
      </c>
      <c r="G9856" t="inlineStr">
        <is>
          <t>2020-06-26 12:27:47</t>
        </is>
      </c>
      <c r="H9856" t="inlineStr">
        <is>
          <t>Type 2</t>
        </is>
      </c>
    </row>
    <row r="9857">
      <c r="A9857" t="inlineStr">
        <is>
          <t>hgf6n5</t>
        </is>
      </c>
      <c r="B9857" t="inlineStr">
        <is>
          <t>I need to rant, I hate this system.</t>
        </is>
      </c>
      <c r="C9857" t="inlineStr">
        <is>
          <t>I am currently waiting for a prescription of insulin I’ve been using forever because they changed it from the kwikpens to vials and need it to be signed off on by the pharmacist which just so happens to be on lunch. I have an appointment in 10mins for my pump setup and need the damn insulin! I told the pharmacist this yesterday when I came in and they told me it needed to be ordered and wasn’t in yet. I’m going to freak out. So annoying! Idk what I’m going to do now which is awesome. 
Sorry rant over I’m just trying to not rage cry at the pharmacy rn.</t>
        </is>
      </c>
      <c r="D9857" t="n">
        <v>3</v>
      </c>
      <c r="E9857" t="n">
        <v>11</v>
      </c>
      <c r="F9857">
        <f>HYPERLINK("https://www.reddit.com/r/diabetes/comments/hgf6n5/i_need_to_rant_i_hate_this_system/")</f>
        <v/>
      </c>
      <c r="G9857" t="inlineStr">
        <is>
          <t>2020-06-26 13:19:43</t>
        </is>
      </c>
      <c r="H9857" t="inlineStr">
        <is>
          <t>Type 1</t>
        </is>
      </c>
    </row>
    <row r="9858">
      <c r="A9858" t="inlineStr">
        <is>
          <t>hggcu8</t>
        </is>
      </c>
      <c r="B9858" t="inlineStr">
        <is>
          <t>Why does the immune system continue to produce islet cell antibodies after the islet cells have been destroyed?</t>
        </is>
      </c>
      <c r="C9858" t="inlineStr">
        <is>
          <t>Shouldn’t the immune system stop producing antibodies when it isn’t exposed to the trigger after a couple of years? Isn’t this why we have to readminister vaccines?</t>
        </is>
      </c>
      <c r="D9858" t="n">
        <v>1</v>
      </c>
      <c r="E9858" t="n">
        <v>3</v>
      </c>
      <c r="F9858">
        <f>HYPERLINK("https://www.reddit.com/r/diabetes/comments/hggcu8/why_does_the_immune_system_continue_to_produce/")</f>
        <v/>
      </c>
      <c r="G9858" t="inlineStr">
        <is>
          <t>2020-06-26 14:22:06</t>
        </is>
      </c>
      <c r="H9858" t="inlineStr">
        <is>
          <t>Type 1</t>
        </is>
      </c>
    </row>
    <row r="9859">
      <c r="A9859" t="inlineStr">
        <is>
          <t>hghkp7</t>
        </is>
      </c>
      <c r="B9859" t="inlineStr">
        <is>
          <t>Hello! I need help figuring out how much I will be paying for insulin/supplies on my new insurance.</t>
        </is>
      </c>
      <c r="C9859" t="inlineStr">
        <is>
          <t>I am a type 1 diabetic.
I am not yet enrolled but about to get new insurance from my new job. It will be Blue Cross Blue Shield Advantage Preferred Plan
I wanted to know a rough estimate of how much my supplies with cost me before I sign up.
I use Novolog insulin, Omnipod, &amp;amp; G6 Dexcom CGM.
I typically order for 3 months so usually:
8 bottles (10mL / 100 units) of Novolog (2-3 a month)
30 omnipods (10 a month)
1 Dexcom transmitter
9 Dexcom sensors.
I think for prescriptions/drugs I am at 20% coinsurance and they cover 80%.
I tried calling what my new insurance would be and they said since I’m not a member they can only give me the overall price without my assumed coverage.
These are the full prices I was given:
Novolog:
$1,090 90 day home delivery
$347- retail 30 day supply
Omnipod pack of 5 (but I need 30 for 90-days so I am not sure on these numbers)
$708-90 days
$268-30 day 
Dexcom: transmitter 1 per box
$672 -90 day
$255-30 day
Sensors 3 boxes each month
$948 - 90 day
$359 - 30 day
If anyone can please help me figure this out or tell me what they pay. Is it usually cheaper? 
Anything helps! I just am so worried I will be paying a lot more than what I will expect and I am stressed since I don’t fully understand how coverage works for diabetics.</t>
        </is>
      </c>
      <c r="D9859" t="n">
        <v>1</v>
      </c>
      <c r="E9859" t="n">
        <v>2</v>
      </c>
      <c r="F9859">
        <f>HYPERLINK("https://www.reddit.com/r/diabetes/comments/hghkp7/hello_i_need_help_figuring_out_how_much_i_will_be/")</f>
        <v/>
      </c>
      <c r="G9859" t="inlineStr">
        <is>
          <t>2020-06-26 15:28:51</t>
        </is>
      </c>
      <c r="H9859" t="inlineStr">
        <is>
          <t>Type 1</t>
        </is>
      </c>
    </row>
    <row r="9860">
      <c r="A9860" t="inlineStr">
        <is>
          <t>hghscu</t>
        </is>
      </c>
      <c r="B9860" t="inlineStr">
        <is>
          <t>has their been any new info on the tandem t:slim phone app?</t>
        </is>
      </c>
      <c r="C9860" t="inlineStr">
        <is>
          <t>it's been like 3 years and it's still not out yet, despite it apparently being the key thing for their new pump design they're coming out with...eventually.
i sent them an email, or something like one, through their website a few weeks ago asking about it, but i got no response. (which isn't unusual, as i've asked them multiple questions on a variety of things through it and received no responses.)</t>
        </is>
      </c>
      <c r="D9860" t="n">
        <v>1</v>
      </c>
      <c r="E9860" t="n">
        <v>2</v>
      </c>
      <c r="F9860">
        <f>HYPERLINK("https://www.reddit.com/r/diabetes/comments/hghscu/has_their_been_any_new_info_on_the_tandem_tslim/")</f>
        <v/>
      </c>
      <c r="G9860" t="inlineStr">
        <is>
          <t>2020-06-26 15:40:46</t>
        </is>
      </c>
      <c r="H9860" t="inlineStr">
        <is>
          <t>Type 2</t>
        </is>
      </c>
    </row>
    <row r="9861">
      <c r="A9861" t="inlineStr">
        <is>
          <t>hgi0az</t>
        </is>
      </c>
      <c r="B9861" t="inlineStr">
        <is>
          <t>Crazy Hypo Episodes</t>
        </is>
      </c>
      <c r="C9861" t="inlineStr">
        <is>
          <t>Hi All, 
I was diagnosed as type 2 about 4 months ago after a nasty episode requiring a week in ICU. I was put on Lantus for long acting and Humalog for short. Steadily I seemed to be needing less Humalog. I keep going hypo down to 34 but most consistently in the low 40s. So I stopped taking Humalog a couple of days ago. I am still taking the prescribed dose of Lantus and still crashing. May stop the Lantus too and see how I feel. This crashing is exhausting and scary.
I don’t know if this has happened to any of you, but some insight would really help, feeling alone in this.</t>
        </is>
      </c>
      <c r="D9861" t="n">
        <v>1</v>
      </c>
      <c r="E9861" t="n">
        <v>14</v>
      </c>
      <c r="F9861">
        <f>HYPERLINK("https://www.reddit.com/r/diabetes/comments/hgi0az/crazy_hypo_episodes/")</f>
        <v/>
      </c>
      <c r="G9861" t="inlineStr">
        <is>
          <t>2020-06-26 15:53:54</t>
        </is>
      </c>
      <c r="H9861" t="inlineStr">
        <is>
          <t>Type 2</t>
        </is>
      </c>
    </row>
    <row r="9862">
      <c r="A9862" t="inlineStr">
        <is>
          <t>hgi0y7</t>
        </is>
      </c>
      <c r="B9862" t="inlineStr">
        <is>
          <t>How much am I supposed to hit low or high after a meal?</t>
        </is>
      </c>
      <c r="C9862" t="inlineStr">
        <is>
          <t>hey everyone, i was wondering if anyone can share how their glucose graph looks like from the time they eat to about 3-4hrs later. I’ve been getting few lows and I’m wondering how everyone else looks like after they eat. Thanks in advance!</t>
        </is>
      </c>
      <c r="D9862" t="n">
        <v>1</v>
      </c>
      <c r="E9862" t="n">
        <v>7</v>
      </c>
      <c r="F9862">
        <f>HYPERLINK("https://www.reddit.com/r/diabetes/comments/hgi0y7/how_much_am_i_supposed_to_hit_low_or_high_after_a/")</f>
        <v/>
      </c>
      <c r="G9862" t="inlineStr">
        <is>
          <t>2020-06-26 15:55:00</t>
        </is>
      </c>
      <c r="H9862" t="inlineStr">
        <is>
          <t>Type 1</t>
        </is>
      </c>
    </row>
    <row r="9863">
      <c r="A9863" t="inlineStr">
        <is>
          <t>hgiq72</t>
        </is>
      </c>
      <c r="B9863" t="inlineStr">
        <is>
          <t>Service Dog vs Landlord</t>
        </is>
      </c>
      <c r="C9863" t="inlineStr">
        <is>
          <t>We recently retired my diabetic alert dog due to age and loss of sense of smell. After searching for a dog with the same inherent ability to instinctively alert to any change in my scent, we adopted a shelter dog with the intent to train her as a service animal or keep her as a pet should she not be a good fit. She passed her temperament and trainability assessments with flying colors and is training. 
She is a mix of basenji and lab according to her dna but the combination of the square lab head and basenji ears and body gives her a passing resemblance to a pit bull. She is very calm and docile, and very smart. 
My landlord is now trying to evict me *despite evidence of my dog’s breed and service dog training status* because she “looks too much like a pit bull.” He is aware of the legalities of this. Outside of a current ban on evictions due to the pandemic, my dog is required to be allowed reasonable accommodation per ADA and Fair Housing Act legislations. For the first time ever I had to go on record as disabled and file an official complaint with both HUD and the ADA. 
In the meantime, I guess it’s time for me to move, because he already cursed me out today for knowing my legal rights and asking them to be respected. I don’t want to know how he will respond once the government gets involved.</t>
        </is>
      </c>
      <c r="D9863" t="n">
        <v>1</v>
      </c>
      <c r="E9863" t="n">
        <v>2</v>
      </c>
      <c r="F9863">
        <f>HYPERLINK("https://www.reddit.com/r/diabetes/comments/hgiq72/service_dog_vs_landlord/")</f>
        <v/>
      </c>
      <c r="G9863" t="inlineStr">
        <is>
          <t>2020-06-26 16:36:45</t>
        </is>
      </c>
      <c r="H9863" t="inlineStr">
        <is>
          <t>Type 2</t>
        </is>
      </c>
    </row>
    <row r="9864">
      <c r="A9864" t="inlineStr">
        <is>
          <t>hglaxd</t>
        </is>
      </c>
      <c r="B9864" t="inlineStr">
        <is>
          <t>Does anyone work in retail and is scared like me that they’ll die of COVID?</t>
        </is>
      </c>
      <c r="C9864" t="inlineStr">
        <is>
          <t>I’m shitting myself rn thinking about it. I start work next week, as I’ve been laid off from my contract based work which I was able to from home.</t>
        </is>
      </c>
      <c r="D9864" t="n">
        <v>1</v>
      </c>
      <c r="E9864" t="n">
        <v>12</v>
      </c>
      <c r="F9864">
        <f>HYPERLINK("https://www.reddit.com/r/diabetes/comments/hglaxd/does_anyone_work_in_retail_and_is_scared_like_me/")</f>
        <v/>
      </c>
      <c r="G9864" t="inlineStr">
        <is>
          <t>2020-06-26 19:23:58</t>
        </is>
      </c>
      <c r="H9864" t="inlineStr">
        <is>
          <t>Type 2</t>
        </is>
      </c>
    </row>
    <row r="9865">
      <c r="A9865" t="inlineStr">
        <is>
          <t>hgqnpu</t>
        </is>
      </c>
      <c r="B9865" t="inlineStr">
        <is>
          <t>Traveling with insulin</t>
        </is>
      </c>
      <c r="C9865" t="inlineStr">
        <is>
          <t>Hi guys!
I’m type 1 diabetic and I’m moving abroad for 4 months. I won’t have possibility to buy partly refunded insulin there so Im taking my insulin with me. Have any of You traveled with that kind of bigger supply of insulin ( 4 Toujeo pens and 10 Humalog)? I don’t know how to keep it secured from temperature and not have problems at the airport at the same time. I will be traveling for 5-6 hours from Poland to Belgium. I have frio but I doubt that it could keep my insulin safe. I’ve read that not yet used insulin can be outside of the fridge for a small amount of time - and I will have with me a 4 month supply of it. Please Help</t>
        </is>
      </c>
      <c r="D9865" t="n">
        <v>1</v>
      </c>
      <c r="E9865" t="n">
        <v>9</v>
      </c>
      <c r="F9865">
        <f>HYPERLINK("https://www.reddit.com/r/diabetes/comments/hgqnpu/traveling_with_insulin/")</f>
        <v/>
      </c>
      <c r="G9865" t="inlineStr">
        <is>
          <t>2020-06-27 02:38:41</t>
        </is>
      </c>
      <c r="H9865" t="inlineStr">
        <is>
          <t>Type 1</t>
        </is>
      </c>
    </row>
    <row r="9866">
      <c r="A9866" t="inlineStr">
        <is>
          <t>hgsuhm</t>
        </is>
      </c>
      <c r="B9866" t="inlineStr">
        <is>
          <t>For you T2’s who use insulin. How much long AND short acting do you use?</t>
        </is>
      </c>
      <c r="C9866" t="inlineStr">
        <is>
          <t>I’m type 1, but recently my insulin needs have skyrocketed. I’m relatively young and seem to have insulin resistance too. I have developed a “metabolic syndrome” apple shaped body but I’m still able to drop weight very quickly.. as soon as I let my sugars get high. I’m worried I have developed “double diabetes” as I went from needing less than 15 units of both short/long acting to 20 units of long acting and 60-80units of short acting in the span of about 4-6months.</t>
        </is>
      </c>
      <c r="D9866" t="n">
        <v>1</v>
      </c>
      <c r="E9866" t="n">
        <v>16</v>
      </c>
      <c r="F9866">
        <f>HYPERLINK("https://www.reddit.com/r/diabetes/comments/hgsuhm/for_you_t2s_who_use_insulin_how_much_long_and/")</f>
        <v/>
      </c>
      <c r="G9866" t="inlineStr">
        <is>
          <t>2020-06-27 05:40:51</t>
        </is>
      </c>
      <c r="H9866" t="inlineStr">
        <is>
          <t>Type 1</t>
        </is>
      </c>
    </row>
    <row r="9867">
      <c r="A9867" t="inlineStr">
        <is>
          <t>hgwelz</t>
        </is>
      </c>
      <c r="B9867" t="inlineStr">
        <is>
          <t>Sudden low with no symptoms</t>
        </is>
      </c>
      <c r="C9867" t="inlineStr">
        <is>
          <t>Earlier this morning I needed to start a new sensor session. Went about my morning as usual, had my coffee with some half/half, took a little bit of insulin for it, nothing unusual. Well 2 hours later my CGM session came on and said my blood sugar was at 50 and dropping which shocked me. I gave myself a finger prick just to make sure and my blood sugar was at 39. This sent me in a panic and I instantly went to go chug some juice. 
I think I'm good now, but what I would like to know is how come I didn't feel anything. Usually when my blood sugar gets to around 70 I notice a big difference in how my body feels. At 60 I get some anxiety attack like feelings such as the shaky hands, tunnel vision, hunger, and I start getting delirious. But this morning I was under 50 and I felt normal, so whats that all about?</t>
        </is>
      </c>
      <c r="D9867" t="n">
        <v>1</v>
      </c>
      <c r="E9867" t="n">
        <v>6</v>
      </c>
      <c r="F9867">
        <f>HYPERLINK("https://www.reddit.com/r/diabetes/comments/hgwelz/sudden_low_with_no_symptoms/")</f>
        <v/>
      </c>
      <c r="G9867" t="inlineStr">
        <is>
          <t>2020-06-27 09:20:08</t>
        </is>
      </c>
      <c r="H9867" t="inlineStr">
        <is>
          <t>Type 1</t>
        </is>
      </c>
    </row>
    <row r="9868">
      <c r="A9868" t="inlineStr">
        <is>
          <t>hgxv5d</t>
        </is>
      </c>
      <c r="B9868" t="inlineStr">
        <is>
          <t>i am really starting to hate having all these things attached to my body.</t>
        </is>
      </c>
      <c r="C9868" t="inlineStr">
        <is>
          <t>insulin pump, dexcom, and while this isn't diabetes related, a wearable heart monitor.
i just, i'm just starting to really hate having them on me, and i don't really know why. like they're invaluable for helping and managing this stuff, but</t>
        </is>
      </c>
      <c r="D9868" t="n">
        <v>7</v>
      </c>
      <c r="E9868" t="n">
        <v>9</v>
      </c>
      <c r="F9868">
        <f>HYPERLINK("https://www.reddit.com/r/diabetes/comments/hgxv5d/i_am_really_starting_to_hate_having_all_these/")</f>
        <v/>
      </c>
      <c r="G9868" t="inlineStr">
        <is>
          <t>2020-06-27 10:42:17</t>
        </is>
      </c>
      <c r="H9868" t="inlineStr">
        <is>
          <t>Type 2</t>
        </is>
      </c>
    </row>
    <row r="9869">
      <c r="A9869" t="inlineStr">
        <is>
          <t>hgyaak</t>
        </is>
      </c>
      <c r="B9869" t="inlineStr">
        <is>
          <t>Insulin Not Working at Night</t>
        </is>
      </c>
      <c r="C9869" t="inlineStr">
        <is>
          <t>[Link](https://imgur.com/oIyTIj1)   
Something I've never experienced before has happened to me in the last 2 nights. My humalog insulin seems to not work at all at night - I've tried injecting in multiple spots, even my legs which I rarely do, and noting seems to happen. My night time insulin seems to work fine though. I had dinner (Country fried chicken from denny's with a small amount of hashbrowns) and injected 5 units, and later tried to correct my high. When I tried correcting again this morning, it was working (same insulin pen), so I think it must be something do with it being at night. I also take 9 units of Tresiba at night which I've been doing for a couple months with no problem.</t>
        </is>
      </c>
      <c r="D9869" t="n">
        <v>1</v>
      </c>
      <c r="E9869" t="n">
        <v>0</v>
      </c>
      <c r="F9869">
        <f>HYPERLINK("https://www.reddit.com/r/diabetes/comments/hgyaak/insulin_not_working_at_night/")</f>
        <v/>
      </c>
      <c r="G9869" t="inlineStr">
        <is>
          <t>2020-06-27 11:05:25</t>
        </is>
      </c>
      <c r="H9869" t="inlineStr">
        <is>
          <t>Type 1</t>
        </is>
      </c>
    </row>
    <row r="9870">
      <c r="A9870" t="inlineStr">
        <is>
          <t>hgydj7</t>
        </is>
      </c>
      <c r="B9870" t="inlineStr">
        <is>
          <t>Insulin Not Working At Night</t>
        </is>
      </c>
      <c r="C9870" t="inlineStr">
        <is>
          <t>[Link](https://imgur.com/oIyTIj1)   
Something I've never experienced before has happened to me in the last 2 nights. My humalog insulin seems to not work at all at night - I've tried injecting in multiple spots, even my legs which I rarely do, and noting seems to happen. My night time insulin seems to work fine though. I had dinner (Country fried chicken from denny's with a small amount of hashbrowns so I don't think it was like pizza where you can get a second spike several hours later) and injected 5 units, and later tried to correct my high. When I tried correcting again this morning, it was working (same insulin pen), so I think it must be something do with it being at night. I also take 9 units of Tresiba at night which I've been doing for a couple months with no problem.
I'll talk to my Endo about it, but wondering if anyone has ever experienced something similar.</t>
        </is>
      </c>
      <c r="D9870" t="n">
        <v>3</v>
      </c>
      <c r="E9870" t="n">
        <v>20</v>
      </c>
      <c r="F9870">
        <f>HYPERLINK("https://www.reddit.com/r/diabetes/comments/hgydj7/insulin_not_working_at_night/")</f>
        <v/>
      </c>
      <c r="G9870" t="inlineStr">
        <is>
          <t>2020-06-27 11:10:28</t>
        </is>
      </c>
      <c r="H9870" t="inlineStr">
        <is>
          <t>Type 1</t>
        </is>
      </c>
    </row>
    <row r="9871">
      <c r="A9871" t="inlineStr">
        <is>
          <t>hgzghj</t>
        </is>
      </c>
      <c r="B9871" t="inlineStr">
        <is>
          <t>Why does everyone keep eating my emergency Skittles??</t>
        </is>
      </c>
      <c r="C9871" t="inlineStr">
        <is>
          <t>Be forewarned, this is a dumb rant. There are many possible solutions to this problem, but I'm still going rant because it's a funny problem. Anyway:
Like many of us, I do not leave the house without some form of sugar within easy reach. My strategy of choice has been to keep a stash of emergency Skittles in my glove box. As a T2, I admittedly only need their life-saving powers once a month or so, but all it took was one low during rush hour and now I feel supremely uncomfortable without sugar on hand. If I'm going on a hike or somewhere without easy access to food, the Skittles get tossed in my bag. It's an easy way to make sure I'm covered on the odd day when Glimeperide  decides to punch me in the pancreas. 
The bizarre problem is that people keep discovering my emergency Skittles. Once they finish teasing me for stashing candy, they inevitably want to eat my emergency Skittles. Even after I explain the "emergency" part of the emergency Skittles concept, they still want to consume them. God forbid I OPEN the Skittles because my BG is beginning to dip; when my friends see I'm not going to eat the whole pack, they ask to finish it. Without assistance, I would go through maybe three standard packs in a year (Skittles have a LOT of sugar). I just left a convenience store for my fourth pack of Skittles in two months.  Henceforth I am keeping two packs in my glovebox: my standard emergency Skittles, and my sacrificial emergency Skittles. Should I need sacrificial skittles? No! But apparently my friends are a bunch of seagulls and if this is what it takes, then I'll do it &amp;gt;:(</t>
        </is>
      </c>
      <c r="D9871" t="n">
        <v>4</v>
      </c>
      <c r="E9871" t="n">
        <v>10</v>
      </c>
      <c r="F9871">
        <f>HYPERLINK("https://www.reddit.com/r/diabetes/comments/hgzghj/why_does_everyone_keep_eating_my_emergency/")</f>
        <v/>
      </c>
      <c r="G9871" t="inlineStr">
        <is>
          <t>2020-06-27 12:10:19</t>
        </is>
      </c>
      <c r="H9871" t="inlineStr">
        <is>
          <t>Type 2</t>
        </is>
      </c>
    </row>
    <row r="9872">
      <c r="A9872" t="inlineStr">
        <is>
          <t>hgzyat</t>
        </is>
      </c>
      <c r="B9872" t="inlineStr">
        <is>
          <t>Free Virtual Conference</t>
        </is>
      </c>
      <c r="C9872" t="inlineStr">
        <is>
          <t>Hey folks,
I actually attended one of these conferences a few years ago and found it very educating.
There were several different topics of talks at different levels anywhere from a diabetic novice to a endocrinologist .
Check it out, it may be worth your while.
 [https://tcoyd.org/tcoyd-omaha-2020/?org=1281&amp;amp;lvl=100&amp;amp;ite=1797&amp;amp;lea=1600717&amp;amp;ctr=0&amp;amp;par=1&amp;amp;trk=a0v1Q00000CYzUBQA1](https://tcoyd.org/tcoyd-omaha-2020/?org=1281&amp;amp;lvl=100&amp;amp;ite=1797&amp;amp;lea=1600717&amp;amp;ctr=0&amp;amp;par=1&amp;amp;trk=a0v1Q00000CYzUBQA1)</t>
        </is>
      </c>
      <c r="D9872" t="n">
        <v>0</v>
      </c>
      <c r="E9872" t="n">
        <v>0</v>
      </c>
      <c r="F9872">
        <f>HYPERLINK("https://www.reddit.com/r/diabetes/comments/hgzyat/free_virtual_conference/")</f>
        <v/>
      </c>
      <c r="G9872" t="inlineStr">
        <is>
          <t>2020-06-27 12:38:06</t>
        </is>
      </c>
      <c r="H9872" t="inlineStr">
        <is>
          <t>Type 2</t>
        </is>
      </c>
    </row>
    <row r="9873">
      <c r="A9873" t="inlineStr">
        <is>
          <t>hh3lsk</t>
        </is>
      </c>
      <c r="B9873" t="inlineStr">
        <is>
          <t>Dexcom and iOS 14</t>
        </is>
      </c>
      <c r="C9873" t="inlineStr">
        <is>
          <t>Has anyone installed the iOS 14 developer beta on their device? I'd like to run iOS 14, but I'm worried the G6 app will refuse to run. Any insight would be appreciated!</t>
        </is>
      </c>
      <c r="D9873" t="n">
        <v>1</v>
      </c>
      <c r="E9873" t="n">
        <v>5</v>
      </c>
      <c r="F9873">
        <f>HYPERLINK("https://www.reddit.com/r/diabetes/comments/hh3lsk/dexcom_and_ios_14/")</f>
        <v/>
      </c>
      <c r="G9873" t="inlineStr">
        <is>
          <t>2020-06-27 16:04:23</t>
        </is>
      </c>
      <c r="H9873" t="inlineStr">
        <is>
          <t>Type 1</t>
        </is>
      </c>
    </row>
    <row r="9874">
      <c r="A9874" t="inlineStr">
        <is>
          <t>hh3t0x</t>
        </is>
      </c>
      <c r="B9874" t="inlineStr">
        <is>
          <t>Insulin Dependent Diabetics: does anyone else's blood sugar get really low about 2 hours after a meal, but suddenly skyrocket right before the next meal (about 4 hours later)?</t>
        </is>
      </c>
      <c r="C9874" t="inlineStr">
        <is>
          <t>My mother was diagnosed with diabetes last year. She recently started using insulin (probably back in January). She uses a long acting insulin before going to bed, and short acting insulin right before she eats. Lately she hasn't been needing much insulin before meals (about 3 units). 
Her sugar gets really low almost exactly 2 hours after every meal. She'll eat a small snack to raise her sugar back to normal. But right before her next meal, her sugar will get really high. I wanted to know if anyone else experiences this? Her endocrinologist and family doctor haven't been able to give any answers, and she gets pretty upset about it sometimes. If millions of people in the world have diabetes, there has to be someone out there that has something similar.
I know it's a lot to read but if you got down to this part thank you.</t>
        </is>
      </c>
      <c r="D9874" t="n">
        <v>1</v>
      </c>
      <c r="E9874" t="n">
        <v>7</v>
      </c>
      <c r="F9874">
        <f>HYPERLINK("https://www.reddit.com/r/diabetes/comments/hh3t0x/insulin_dependent_diabetics_does_anyone_elses/")</f>
        <v/>
      </c>
      <c r="G9874" t="inlineStr">
        <is>
          <t>2020-06-27 16:16:12</t>
        </is>
      </c>
      <c r="H9874" t="inlineStr">
        <is>
          <t>Type 1.5/LADA</t>
        </is>
      </c>
    </row>
    <row r="9875">
      <c r="A9875" t="inlineStr">
        <is>
          <t>hh7l45</t>
        </is>
      </c>
      <c r="B9875" t="inlineStr">
        <is>
          <t>Trying to take care of my health</t>
        </is>
      </c>
      <c r="C9875" t="inlineStr">
        <is>
          <t>Hi so about a week ago, I posted here to know if someone was interested in reading my story. Some of you said yes so here it is. I tell you this for preventing new diabetics even if it's not a dangerous sickness like cancer and even if it's not hurting you now it will hurt you some times so take care of your health guys.
I'm Quentin and i'm 22yo. I live in France and I'm diabetic type 1. We discovered it when I was 6 years old. My doctor didn't discovered it the first time so I was sick for a month. I had hallucinations I lost about 8kg (32 kg to 24 kg) because of deshydratation, I peed in bed and I lost consciousness a few times before my parents took me to the hospital. Then they diagnosed me with diabetes my blood sugar test was 1400 mg/dL.
My parents weren't often at home, they were overwhelmed by the events (and they didn't really care) and didn't understand all the things that happened to me.
Just so you can understand the situation I was in : I had 2 insulin injections to do one in the morning and one in the second before dinner. One day we (my parents and I) went to a wedding (when I was 7yo) so I went to bed late. The next day my parents did my first injections but I was too tired so I just went back to sleep. They just let me sleep until 3 hours later when they tried to wake me up but I was in a coma. They called the emergencies and I went to the hospital. My parents don't take my diabetes and the consequences of it seriously. Maybe it's because they actually don't know the consequences but I never took it seriously because of that until now.
When I was 9yo my doctor gave me an insulin pump but it wasn't common in France so nobody at the hospital knew how to use it. I just remember that someone explained to my mom how to put a catheter but she didn't really listen to him. The insulin pump was supposed to make my life easier but in fact It just made it worse. I went to the hospital again for a month because I was too often in hyperglycemia.
After that i went to middle school, my parents divorced, I was harassed and beaten (because of my diabetes and because I'm a ginger) at school so with all that (and some other things) I got depressed and suicidal.
I had so much problems I didn't want to take care of my diabetes because it was more pressure. So I did my injections only when I wasn't feeling well. Otherwise I didn't do my blood sugar test or any of my injections. It lasted for more than 7 years. 
When I was in high school I was in a basketball team, I was in good shape but I had that pain in my legs whenever I walked. I thought it was body aches or something like that. I didn't paid attention to it until it was so painful during my basketball game and practice that I had to stop playing.
I've gained a lot of weight because I wasn't doing any sports because of that pain and later I thought it was because I was fat. I got even more depressed because my brother got killed in a car accident. It was a bit of my fault. So I got drunk and high everyday to forget about it but it made my diabetes even worse.
It was 4 years ago. Now I know that this pain is called neuropathy and that's due to hyperglycemia. I have issues with my eyes too. I'm struggling to take care of my diabetes now that I screwed around for so long.
But now I want to feel better I'm trying to take care of it. It's hard I'm not doing everything the right way but I'm doing my best and I'm hoping that I will be feeling a lot better in the future.
I hope that it will help some of you, sorry if I made some mistakes and for the bad English. Feel free to send me a message if you want to discuss or anything and thanks for reading my long story, have a good day all !</t>
        </is>
      </c>
      <c r="D9875" t="n">
        <v>4</v>
      </c>
      <c r="E9875" t="n">
        <v>16</v>
      </c>
      <c r="F9875">
        <f>HYPERLINK("https://www.reddit.com/r/diabetes/comments/hh7l45/trying_to_take_care_of_my_health/")</f>
        <v/>
      </c>
      <c r="G9875" t="inlineStr">
        <is>
          <t>2020-06-27 20:36:27</t>
        </is>
      </c>
      <c r="H9875" t="inlineStr">
        <is>
          <t>Type 1</t>
        </is>
      </c>
    </row>
    <row r="9876">
      <c r="A9876" t="inlineStr">
        <is>
          <t>hh943a</t>
        </is>
      </c>
      <c r="B9876" t="inlineStr">
        <is>
          <t>My insulin pump (MiniMed 640G) is stuck on the highest volume level</t>
        </is>
      </c>
      <c r="C9876" t="inlineStr">
        <is>
          <t>So one day (about a week ago) I noticed the beeps of my insulin pump were much louder than normal, so I went into the audio settings and saw it was on option 1 in a volume scale of 1 to 5.
But I changed the settings to every available option and for some reason my pump  won’t react, the volume level is stuck on the highest level even when the lowest is selected. 
Has anyone else gotten this problem before? What should I do?</t>
        </is>
      </c>
      <c r="D9876" t="n">
        <v>1</v>
      </c>
      <c r="E9876" t="n">
        <v>2</v>
      </c>
      <c r="F9876">
        <f>HYPERLINK("https://www.reddit.com/r/diabetes/comments/hh943a/my_insulin_pump_minimed_640g_is_stuck_on_the/")</f>
        <v/>
      </c>
      <c r="G9876" t="inlineStr">
        <is>
          <t>2020-06-27 22:35:20</t>
        </is>
      </c>
      <c r="H9876" t="inlineStr">
        <is>
          <t>Type 1</t>
        </is>
      </c>
    </row>
    <row r="9877">
      <c r="A9877" t="inlineStr">
        <is>
          <t>hhbxrw</t>
        </is>
      </c>
      <c r="B9877" t="inlineStr">
        <is>
          <t>IVE GONE OUT WITHOUT BLOOD STRIPS</t>
        </is>
      </c>
      <c r="C9877" t="inlineStr">
        <is>
          <t>Ok so basically I’m going out for a bit and I’ve left the house with only 2 blood strips. I’m too far away to ask my dad to drive back and I’m really not sure what to do. Can I get the Omnipod blood strips at a pharmacy? Please help</t>
        </is>
      </c>
      <c r="D9877" t="n">
        <v>1</v>
      </c>
      <c r="E9877" t="n">
        <v>3</v>
      </c>
      <c r="F9877">
        <f>HYPERLINK("https://www.reddit.com/r/diabetes/comments/hhbxrw/ive_gone_out_without_blood_strips/")</f>
        <v/>
      </c>
      <c r="G9877" t="inlineStr">
        <is>
          <t>2020-06-28 03:06:10</t>
        </is>
      </c>
      <c r="H9877" t="inlineStr">
        <is>
          <t>Type 1</t>
        </is>
      </c>
    </row>
    <row r="9878">
      <c r="A9878" t="inlineStr">
        <is>
          <t>hhcpiw</t>
        </is>
      </c>
      <c r="B9878" t="inlineStr">
        <is>
          <t>Problem with Regular insulin - brands of Regular</t>
        </is>
      </c>
      <c r="C9878" t="inlineStr">
        <is>
          <t>Hello all! Type 1 on a very low carb diet, animal products only.
I use Regular insulin (Humulin R) for my two meals of the day, which need 3-4 u of insulin. Over the last year, I have experienced the following: after the injection, my blood sugar drops rapidly (lets say at the 10-15 minutes), as if the whole insulin is absorbed very rapidly. Normally the Regular would start working at about 30 minutes and would peak at 2 hours or so. 
&amp;amp;#x200B;
This has happened around 15 times, resulting in severe hypo. The first time my doctor advised me that this may be caused if the tip of the needle touches a small vein, and then he followed up that this is extremely rare (it may happen 1-2 times over a lifetime). However, as I said, it has happened multiple times. It is not related with insulin sensitivity as it happens ar random times, not only after exercise. It is always after the injection of R - I do not have this problem with my rapid acting insulin (I use Apidra). So I have come to the conclusion that it has something to do with Humulin R.
&amp;amp;#x200B;
So, questions:
&amp;amp;#x200B;
1) Am I the only one that has experienced this so far :-P ?
2) Do any of you use different types of Regular insulin and if yes, with what results?
3) (for those of you that follow keto, low card, zero carb or Dr.Bernstein's advice) is it possible yto use Rapid acting (like Apidra) to cover a protein/fat meal?
&amp;amp;#x200B;
Thank you in advance!</t>
        </is>
      </c>
      <c r="D9878" t="n">
        <v>1</v>
      </c>
      <c r="E9878" t="n">
        <v>3</v>
      </c>
      <c r="F9878">
        <f>HYPERLINK("https://www.reddit.com/r/diabetes/comments/hhcpiw/problem_with_regular_insulin_brands_of_regular/")</f>
        <v/>
      </c>
      <c r="G9878" t="inlineStr">
        <is>
          <t>2020-06-28 04:15:18</t>
        </is>
      </c>
      <c r="H9878" t="inlineStr">
        <is>
          <t>Type 1</t>
        </is>
      </c>
    </row>
    <row r="9879">
      <c r="A9879" t="inlineStr">
        <is>
          <t>hhcrcc</t>
        </is>
      </c>
      <c r="B9879" t="inlineStr">
        <is>
          <t>insulin to carb ratio</t>
        </is>
      </c>
      <c r="C9879" t="inlineStr">
        <is>
          <t>is a 1:5 ratio bad?? i’ve been wanting to eat less carbs since i’ve started feeling uncomfortable at the idea of injecting 10 units for just 50g meals and since i’m still a teenager i’ve become more and more worried at the amount i have to enter</t>
        </is>
      </c>
      <c r="D9879" t="n">
        <v>1</v>
      </c>
      <c r="E9879" t="n">
        <v>7</v>
      </c>
      <c r="F9879">
        <f>HYPERLINK("https://www.reddit.com/r/diabetes/comments/hhcrcc/insulin_to_carb_ratio/")</f>
        <v/>
      </c>
      <c r="G9879" t="inlineStr">
        <is>
          <t>2020-06-28 04:19:54</t>
        </is>
      </c>
      <c r="H9879" t="inlineStr">
        <is>
          <t>Type 1</t>
        </is>
      </c>
    </row>
    <row r="9880">
      <c r="A9880" t="inlineStr">
        <is>
          <t>hheime</t>
        </is>
      </c>
      <c r="B9880" t="inlineStr">
        <is>
          <t>Question about pumps</t>
        </is>
      </c>
      <c r="C9880" t="inlineStr">
        <is>
          <t>Hi everyone, I want to buy a insulin pump and I am considering to wait new Medtronic pump (AFAIK Medtronic 780g) when it released. I have 12 year experience with diabetes and I never used a insulin pump. Could you please tell me what are you thinking about that? Or I should buy something else stuff? Thanks.</t>
        </is>
      </c>
      <c r="D9880" t="n">
        <v>1</v>
      </c>
      <c r="E9880" t="n">
        <v>15</v>
      </c>
      <c r="F9880">
        <f>HYPERLINK("https://www.reddit.com/r/diabetes/comments/hheime/question_about_pumps/")</f>
        <v/>
      </c>
      <c r="G9880" t="inlineStr">
        <is>
          <t>2020-06-28 06:38:50</t>
        </is>
      </c>
      <c r="H9880" t="inlineStr">
        <is>
          <t>Type 1</t>
        </is>
      </c>
    </row>
    <row r="9881">
      <c r="A9881" t="inlineStr">
        <is>
          <t>hhjekr</t>
        </is>
      </c>
      <c r="B9881" t="inlineStr">
        <is>
          <t>Dear Tendem, I know.</t>
        </is>
      </c>
      <c r="C9881" t="inlineStr">
        <is>
          <t>I know my blood sugar is low. I know I should eat carbs. I have been eating my bowl of cereal for 10 minutes now. I know my blood sugar is 200, I just ate that bowl of cereal for my low and the bolus hasn't kicked in yet. I know it has been 200 for two cycles, and no I do not need to check my tubing, infusion set or catridge, there is nothing wrong with them. My blood sugar is on the way down because the insulin kicked in. You don't need to remind me I am 200 when I will not be on the next reading. It is 3 fucking AM, my 2 year old will be awake in an hour and a half. I am exhausted and don't need an alarm clock on my crotch. I'm a 35 year old man who has been diabetic for 24 years WHY WON'T YOU LET ME TURN OFF ALL THESE STUPID ALERTS?! 
Sincerely, Punamatic5000</t>
        </is>
      </c>
      <c r="D9881" t="n">
        <v>7</v>
      </c>
      <c r="E9881" t="n">
        <v>32</v>
      </c>
      <c r="F9881">
        <f>HYPERLINK("https://www.reddit.com/r/diabetes/comments/hhjekr/dear_tendem_i_know/")</f>
        <v/>
      </c>
      <c r="G9881" t="inlineStr">
        <is>
          <t>2020-06-28 11:20:16</t>
        </is>
      </c>
      <c r="H9881" t="inlineStr">
        <is>
          <t>Type 1</t>
        </is>
      </c>
    </row>
    <row r="9882">
      <c r="A9882" t="inlineStr">
        <is>
          <t>hhkj3a</t>
        </is>
      </c>
      <c r="B9882" t="inlineStr">
        <is>
          <t>19 with diebetes</t>
        </is>
      </c>
      <c r="C9882" t="inlineStr">
        <is>
          <t>I'm at work right now and I haven't ate anything. My job is very physical and i have no energy and energy drinks don't work.
Can I chat someone? I have questions</t>
        </is>
      </c>
      <c r="D9882" t="n">
        <v>0</v>
      </c>
      <c r="E9882" t="n">
        <v>12</v>
      </c>
      <c r="F9882">
        <f>HYPERLINK("https://www.reddit.com/r/diabetes/comments/hhkj3a/19_with_diebetes/")</f>
        <v/>
      </c>
      <c r="G9882" t="inlineStr">
        <is>
          <t>2020-06-28 12:20:13</t>
        </is>
      </c>
      <c r="H9882" t="inlineStr">
        <is>
          <t>Type 2</t>
        </is>
      </c>
    </row>
    <row r="9883">
      <c r="A9883" t="inlineStr">
        <is>
          <t>hhknql</t>
        </is>
      </c>
      <c r="B9883" t="inlineStr">
        <is>
          <t>Metformin Extended Release vs Standard Release and Dawn Phenomenon</t>
        </is>
      </c>
      <c r="C9883" t="inlineStr">
        <is>
          <t>I currently take one 500 mg regular release metformin with breakfast and dinner. This is the only diabetes med I take. My blood sugars are around 100 or less all day even after eating due to my low carb diet. My A1c went from 10.2 to 5.6 in  6 months two years ago and holding. 
My issue is my morning blood sugars. I wake with it above normal... 100-115. But without eating it will continue to rise to about 135-145 as my liver dumps sugar into my system. I can't eat right away due to another medication I take. Once I do eat and take my metformin, its back down to 100 in an hour or two. I don't want this high morning blood sugar. Plus I would  like to try intermittent fasting with a 6 hour eating window each day. My first meal would be around noon. I can't do this if taking the current metformin. Regular metformin needs to be taken with food or it makes me sick. My morning blood sugars will keep climbing until I eat. 
I am wondering if I switch to the extended release once a day, I can take it with dinner or with a snack before bed, and not have this liver dumps after I wake up making my BG go up to 145. 
Has anyone had experience with this? Please don't tell me to just get off metfornin. That is the end goal, once I drop some weight. My insulin resistance is too strong to not take it at all right now.</t>
        </is>
      </c>
      <c r="D9883" t="n">
        <v>1</v>
      </c>
      <c r="E9883" t="n">
        <v>2</v>
      </c>
      <c r="F9883">
        <f>HYPERLINK("https://www.reddit.com/r/diabetes/comments/hhknql/metformin_extended_release_vs_standard_release/")</f>
        <v/>
      </c>
      <c r="G9883" t="inlineStr">
        <is>
          <t>2020-06-28 12:27:17</t>
        </is>
      </c>
      <c r="H9883" t="inlineStr">
        <is>
          <t>Type 2</t>
        </is>
      </c>
    </row>
    <row r="9884">
      <c r="A9884" t="inlineStr">
        <is>
          <t>hhlrm6</t>
        </is>
      </c>
      <c r="B9884" t="inlineStr">
        <is>
          <t>Idk if this has anything to do with diabetes?</t>
        </is>
      </c>
      <c r="C9884" t="inlineStr">
        <is>
          <t>Hi I know this might seem silly but I'm a little freaked out/paranoid because I just had a nose bleed. When I woke up I thought my nose was just extremely runny. My nose was so runny that I had to use my tshirt I  was sleeping in to wipe my nose when I got up to go to the bathroom for tissues I saw that there was blood all over my shirt and my nose was actually bleeding. I never get nose bleeds even as a kid I never got nose bleeds. I was wondering can diabetes cause this? I got diagnosed with type1 almost a year ago. When I checked my blood sugar on my libre my blood sugar wasn't high it was at 79. Sorry if I'm being silly, I have really bad anxiety and get freaked out and paranoid when my body does something outside of its norm and I don't know the cause. I have been getting really bad allergies lately but I was curious to know if diabetes can cause anything like that. I don't see my endo until the 9th but I'll probably still bring it up to her just in case.</t>
        </is>
      </c>
      <c r="D9884" t="n">
        <v>3</v>
      </c>
      <c r="E9884" t="n">
        <v>6</v>
      </c>
      <c r="F9884">
        <f>HYPERLINK("https://www.reddit.com/r/diabetes/comments/hhlrm6/idk_if_this_has_anything_to_do_with_diabetes/")</f>
        <v/>
      </c>
      <c r="G9884" t="inlineStr">
        <is>
          <t>2020-06-28 13:28:00</t>
        </is>
      </c>
      <c r="H9884" t="inlineStr">
        <is>
          <t>Type 1</t>
        </is>
      </c>
    </row>
    <row r="9885">
      <c r="A9885" t="inlineStr">
        <is>
          <t>hhmc2n</t>
        </is>
      </c>
      <c r="B9885" t="inlineStr">
        <is>
          <t>Cold Laser Therapy</t>
        </is>
      </c>
      <c r="C9885" t="inlineStr">
        <is>
          <t>Has anyone had any luck with cold laser therapy and neuropathy?  My wife stumbled across an article and it piqued her interest.
However, anyone desperate to escape chronic pain will try anything and I don't want to waste money.
&amp;amp;#x200B;
Thanks All</t>
        </is>
      </c>
      <c r="D9885" t="n">
        <v>1</v>
      </c>
      <c r="E9885" t="n">
        <v>1</v>
      </c>
      <c r="F9885">
        <f>HYPERLINK("https://www.reddit.com/r/diabetes/comments/hhmc2n/cold_laser_therapy/")</f>
        <v/>
      </c>
      <c r="G9885" t="inlineStr">
        <is>
          <t>2020-06-28 14:00:06</t>
        </is>
      </c>
      <c r="H9885" t="inlineStr">
        <is>
          <t>Type 2</t>
        </is>
      </c>
    </row>
    <row r="9886">
      <c r="A9886" t="inlineStr">
        <is>
          <t>hhpvh2</t>
        </is>
      </c>
      <c r="B9886" t="inlineStr">
        <is>
          <t>Will I lose my eyesight? It's making me want to die.</t>
        </is>
      </c>
      <c r="C9886" t="inlineStr">
        <is>
          <t>I'm a type one diabetic. I also have depression. Both my diabetes is untreated along with my depression, for about four years now. I was diagnosed with both when I was 11, I'm now 19. I recently went to my endocrinologist to test my A1C and it's 12. It could have been 12 for years, I wouldn't know. I decided it's time to start putting in effort to manage my health. However, while exercising about two days ago I was seeing some flashes of light. I ignored it, figured it's because I haven't exercised a lot and maybe was light headed. I showered, and every time I would blink I would see black dots. It has progressed to today. Currently, whenever I blink I see black dots. If I keep my eyes focused on something I see things floating in the peripheral.  Sometimes they go away and I think I'm in the clear, but then they come back and I begin to feel suicidal. I did some light googling and hear it's because of my diabetes, which has gone many years untreated, and this will lead to blindness. If I lose my eyesight I am surely going to kill myself. I'm an artist and musician, so if I lose my eyesight I will have nothing to live for. I should've managed this earlier when I was younger. I feel like an idiot for waiting so long. I need someone to tell me what to do. I'm so scared and feel disgusting and stupid. I want to die. Please help, I don't know what to do.</t>
        </is>
      </c>
      <c r="D9886" t="n">
        <v>0</v>
      </c>
      <c r="E9886" t="n">
        <v>19</v>
      </c>
      <c r="F9886">
        <f>HYPERLINK("https://www.reddit.com/r/diabetes/comments/hhpvh2/will_i_lose_my_eyesight_its_making_me_want_to_die/")</f>
        <v/>
      </c>
      <c r="G9886" t="inlineStr">
        <is>
          <t>2020-06-28 17:32:37</t>
        </is>
      </c>
      <c r="H9886" t="inlineStr">
        <is>
          <t>Type 1</t>
        </is>
      </c>
    </row>
    <row r="9887">
      <c r="A9887" t="inlineStr">
        <is>
          <t>hhukhf</t>
        </is>
      </c>
      <c r="B9887" t="inlineStr">
        <is>
          <t>Erectile Dysfunction</t>
        </is>
      </c>
      <c r="C9887" t="inlineStr">
        <is>
          <t>I (25M) haven’t been able to maintain an erection for the past month, and even getting an erection in the first place has been difficult. I’ve been diagnosed as Type 1 for 4 years now, and at my last check-up in March my A1C was 6.8. Is ED a common problem associated with diabetes? The idea has only come to mind because my doctor has asked me questions related to ED at past check-ups. I understand this community cannot give medical advice, but any experiential advice is appreciated.</t>
        </is>
      </c>
      <c r="D9887" t="n">
        <v>1</v>
      </c>
      <c r="E9887" t="n">
        <v>14</v>
      </c>
      <c r="F9887">
        <f>HYPERLINK("https://www.reddit.com/r/diabetes/comments/hhukhf/erectile_dysfunction/")</f>
        <v/>
      </c>
      <c r="G9887" t="inlineStr">
        <is>
          <t>2020-06-28 23:10:47</t>
        </is>
      </c>
      <c r="H9887" t="inlineStr">
        <is>
          <t>Type 1</t>
        </is>
      </c>
    </row>
    <row r="9888">
      <c r="A9888" t="inlineStr">
        <is>
          <t>hhy1m2</t>
        </is>
      </c>
      <c r="B9888" t="inlineStr">
        <is>
          <t>Considering giving up Omnipod for Tandem, what are some things to know?</t>
        </is>
      </c>
      <c r="C9888" t="inlineStr">
        <is>
          <t>My doctor recommended that I consider giving up my Omnipod for the Tandem t:slim X2 due to my nighttime highs/lows. I was a very early adopter of Omnipod and love all the convenience of not having tubes.  Is it better now?   Are there ways of wearing the pump that secures it?  I love to wear dresses.  thanks</t>
        </is>
      </c>
      <c r="D9888" t="n">
        <v>1</v>
      </c>
      <c r="E9888" t="n">
        <v>4</v>
      </c>
      <c r="F9888">
        <f>HYPERLINK("https://www.reddit.com/r/diabetes/comments/hhy1m2/considering_giving_up_omnipod_for_tandem_what_are/")</f>
        <v/>
      </c>
      <c r="G9888" t="inlineStr">
        <is>
          <t>2020-06-29 04:18:49</t>
        </is>
      </c>
      <c r="H9888" t="inlineStr">
        <is>
          <t>Type 1</t>
        </is>
      </c>
    </row>
    <row r="9889">
      <c r="A9889" t="inlineStr">
        <is>
          <t>hhzvyf</t>
        </is>
      </c>
      <c r="B9889" t="inlineStr">
        <is>
          <t>New type 1 diagnosis &amp;amp; struggling</t>
        </is>
      </c>
      <c r="C9889" t="inlineStr">
        <is>
          <t>Recently, I found out I was pregnant. My partner and I had been trying for 6 months and we were over the moon! My initial blood tests came back at 28 for sugar, and follow up testing found my A1c to be 12. I was hospitalized and put on an insulin drip the day I found out, and blood tests confirmed that although I'm pregnant, I have type 1 - not gestational - diabetes. I'm 25, and it was a massive surprise although in hindsight I had begun to have symptoms a month or so before the pregnancy (weight loss/extreme thirst etc).
I thought I was handling it okay in the hospital and my first week out, but I've just been taught/started carb counting and I feel like my sugars are wildly out of control, I've done exactly what I was taught but I can't seem to get it right. I have to wake up through the night to check my sugars and I haven't had more than 3 hours sleep consecutively in two weeks, I'm exhausted and I feel so trapped and miserable suddenly having to monitor everything I do so closely. I'm jealous of my partner eating whatever he wants and sleeping all night and being able to do whatever he wants without thinking about insulin or hypos. The thought of this being something I'll have for the rest of my life has started to weigh really heavily on me.
When you were first diagnosed did you have a period where you felt fine with it then a time you felt absolutely miserable? How did you cope? Any advice would be so welcomed, thank you.</t>
        </is>
      </c>
      <c r="D9889" t="n">
        <v>1</v>
      </c>
      <c r="E9889" t="n">
        <v>10</v>
      </c>
      <c r="F9889">
        <f>HYPERLINK("https://www.reddit.com/r/diabetes/comments/hhzvyf/new_type_1_diagnosis_struggling/")</f>
        <v/>
      </c>
      <c r="G9889" t="inlineStr">
        <is>
          <t>2020-06-29 06:31:22</t>
        </is>
      </c>
      <c r="H9889" t="inlineStr">
        <is>
          <t>Type 1</t>
        </is>
      </c>
    </row>
    <row r="9890">
      <c r="A9890" t="inlineStr">
        <is>
          <t>hi17m0</t>
        </is>
      </c>
      <c r="B9890" t="inlineStr">
        <is>
          <t>Can I inject insulin into my buttocks?</t>
        </is>
      </c>
      <c r="C9890" t="inlineStr">
        <is>
          <t>My thighs and shoulders are sore and ridden with bruises. Also I noticed that a lot of insulin leaks out and I go high later. I tried stomach but I just cannot do it..</t>
        </is>
      </c>
      <c r="D9890" t="n">
        <v>3</v>
      </c>
      <c r="E9890" t="n">
        <v>15</v>
      </c>
      <c r="F9890">
        <f>HYPERLINK("https://www.reddit.com/r/diabetes/comments/hi17m0/can_i_inject_insulin_into_my_buttocks/")</f>
        <v/>
      </c>
      <c r="G9890" t="inlineStr">
        <is>
          <t>2020-06-29 07:49:19</t>
        </is>
      </c>
      <c r="H9890" t="inlineStr">
        <is>
          <t>Type 1</t>
        </is>
      </c>
    </row>
    <row r="9891">
      <c r="A9891" t="inlineStr">
        <is>
          <t>hi1drp</t>
        </is>
      </c>
      <c r="B9891" t="inlineStr">
        <is>
          <t>BG levels</t>
        </is>
      </c>
      <c r="C9891" t="inlineStr">
        <is>
          <t>So about 2 months ago I was diagnosed with type 2 diabetes, after getting my bg under some sort of control my bg would sit between 100-120 which I thought was really great, but here that last 3-4 days my bg sits around 150-180 with insulin even if fasting, is this normal or is this something that I can correct, still really new to all this so any thought would be very helpful</t>
        </is>
      </c>
      <c r="D9891" t="n">
        <v>1</v>
      </c>
      <c r="E9891" t="n">
        <v>4</v>
      </c>
      <c r="F9891">
        <f>HYPERLINK("https://www.reddit.com/r/diabetes/comments/hi1drp/bg_levels/")</f>
        <v/>
      </c>
      <c r="G9891" t="inlineStr">
        <is>
          <t>2020-06-29 07:59:21</t>
        </is>
      </c>
      <c r="H9891" t="inlineStr">
        <is>
          <t>Type 2</t>
        </is>
      </c>
    </row>
    <row r="9892">
      <c r="A9892" t="inlineStr">
        <is>
          <t>hi2f86</t>
        </is>
      </c>
      <c r="B9892" t="inlineStr">
        <is>
          <t>Mom taking insulin</t>
        </is>
      </c>
      <c r="C9892" t="inlineStr">
        <is>
          <t>Today I overheard my mom talking about having to start taking insulin to lower her glucose levels because the medication isn't working...
How bad is that, and should I worry that maybe my mom won't be here for many years?
She mantains a good diet and is 59 years old</t>
        </is>
      </c>
      <c r="D9892" t="n">
        <v>2</v>
      </c>
      <c r="E9892" t="n">
        <v>9</v>
      </c>
      <c r="F9892">
        <f>HYPERLINK("https://www.reddit.com/r/diabetes/comments/hi2f86/mom_taking_insulin/")</f>
        <v/>
      </c>
      <c r="G9892" t="inlineStr">
        <is>
          <t>2020-06-29 08:55:45</t>
        </is>
      </c>
      <c r="H9892" t="inlineStr">
        <is>
          <t>Type 2</t>
        </is>
      </c>
    </row>
    <row r="9893">
      <c r="A9893" t="inlineStr">
        <is>
          <t>hi32me</t>
        </is>
      </c>
      <c r="B9893" t="inlineStr">
        <is>
          <t>Go back to work? Nobody is wearing a mask.</t>
        </is>
      </c>
      <c r="C9893" t="inlineStr">
        <is>
          <t>My work is asking for me to start coming back into the office. When I go on video calls, I will see 8 people in a meeting room and only one of them will be wearing a mask. Masks are not required by my work and most people don’t wear them in the office. I miss going in, but being in an indoor facility all day with people not wearing masks makes me nervous. They are ok if I wear a mask, but I am reading that wearing a mask is more to protect others, not necessarily yourself. Is anyone else running into this situation?</t>
        </is>
      </c>
      <c r="D9893" t="n">
        <v>2</v>
      </c>
      <c r="E9893" t="n">
        <v>6</v>
      </c>
      <c r="F9893">
        <f>HYPERLINK("https://www.reddit.com/r/diabetes/comments/hi32me/go_back_to_work_nobody_is_wearing_a_mask/")</f>
        <v/>
      </c>
      <c r="G9893" t="inlineStr">
        <is>
          <t>2020-06-29 09:29:37</t>
        </is>
      </c>
      <c r="H9893" t="inlineStr">
        <is>
          <t>Type 1</t>
        </is>
      </c>
    </row>
    <row r="9894">
      <c r="A9894" t="inlineStr">
        <is>
          <t>hi55p4</t>
        </is>
      </c>
      <c r="B9894" t="inlineStr">
        <is>
          <t>Syringe caps and recycling</t>
        </is>
      </c>
      <c r="C9894" t="inlineStr">
        <is>
          <t>I am new to this Reddit thing.  I was looking up to see if there is a way to recycle the plethora of syringe caps I keep throwing away.  When talking with a Recycling center manager, he said there may be places that take them for recycling.  He doesn't like seeing them coming through the center because of their size.  They are hard to manage, get swept up, and go to the landfill as trash.  His guidance was "if the item has a recycle symbol on it, recycle it."  He was sure which plastic they were.  I haven't delved into discovery on the plastic type.  Chances are that even the syringe manufacturers aren't sure because they are purchased in volume to be attached to the syringes they manufacture.
Something I don't like about all of this is seeing them in the gutter on the street, etc.  Just like our test strips, we should be able to dispose of them responsibly.  Someone said that they put them in their sharps containers with syringes.  Sharps containers are usually melted down into a block and hauled to a landfill, container and all.  So either way ends up with the same result.  While talking about sharps, I dispose of my used syringes in a sealed used detergent bottle.  It keeps the bottle from being recycled, but saves me money by not having to purchase a designated sharps container and disposing of it.  My garbage company approved of this method as long as the bottle is closed/sealed.</t>
        </is>
      </c>
      <c r="D9894" t="n">
        <v>1</v>
      </c>
      <c r="E9894" t="n">
        <v>1</v>
      </c>
      <c r="F9894">
        <f>HYPERLINK("https://www.reddit.com/r/diabetes/comments/hi55p4/syringe_caps_and_recycling/")</f>
        <v/>
      </c>
      <c r="G9894" t="inlineStr">
        <is>
          <t>2020-06-29 11:10:21</t>
        </is>
      </c>
      <c r="H9894" t="inlineStr">
        <is>
          <t>Type 1</t>
        </is>
      </c>
    </row>
    <row r="9895">
      <c r="A9895" t="inlineStr">
        <is>
          <t>hi58lz</t>
        </is>
      </c>
      <c r="B9895" t="inlineStr">
        <is>
          <t>BG Highs and Lows based on sleep and wake cycles? X-Post with r/type2diabets</t>
        </is>
      </c>
      <c r="C9895" t="inlineStr">
        <is>
          <t>Hi All, I have been a diagnosed T2 diabetic for about 10 years. I have had ups and downs on how well I manage my disease. Well, I recently got a Freestyle Libre continuous monitor. It is amazing BTW, you should definitely get one if you don't have one. But it has really changed the way I have thought about my Highs and lows.
My BG levels seem to be much more (or at least highly) affected by the time of day as opposed to just food. It is crazy and I am really trying to figure out the best way to handle it. In the morning AFTER I wake up my BG will go up approximately 100 points, This is with no food at all. And at 10:00 pm at night my BG will start to fall, even if I eat a snack.
Food and exercise do affect things. But not nearly as much as the time of day. As long as it is a reasonable meal my BG will only go up 20-50 points at most and be back down in about 3 hours. Exercise might lower my BG 10-20 points (fairly light to moderate exercise.)
When researching you read about Dawn effect. But this isn't that. My BG will stay low normal as long as I am in bed. within 15 minutes of getting up, it starts to spike and spikes hard. With no food.
Anybody else experience this? What do you do about it?</t>
        </is>
      </c>
      <c r="D9895" t="n">
        <v>1</v>
      </c>
      <c r="E9895" t="n">
        <v>5</v>
      </c>
      <c r="F9895">
        <f>HYPERLINK("https://www.reddit.com/r/diabetes/comments/hi58lz/bg_highs_and_lows_based_on_sleep_and_wake_cycles/")</f>
        <v/>
      </c>
      <c r="G9895" t="inlineStr">
        <is>
          <t>2020-06-29 11:14:24</t>
        </is>
      </c>
      <c r="H9895" t="inlineStr">
        <is>
          <t>Type 2</t>
        </is>
      </c>
    </row>
    <row r="9896">
      <c r="A9896" t="inlineStr">
        <is>
          <t>hi5zmf</t>
        </is>
      </c>
      <c r="B9896" t="inlineStr">
        <is>
          <t>TSlim+G6 Users: Can you interact with CGM (new session, etc) on either pump *or* phone?</t>
        </is>
      </c>
      <c r="C9896" t="inlineStr">
        <is>
          <t>Hello!
I just got my TSlim this morning and only have one question:
* Up to now I've been using a Medtronic pump+dexcom, no receiver. This means I've only interacted with dexcom/started a new session, etc via the app on my phone. Can I assume that you can interact with the CGM via either the pump, or the phone, and the CGM can keep up and will know what's going on?</t>
        </is>
      </c>
      <c r="D9896" t="n">
        <v>1</v>
      </c>
      <c r="E9896" t="n">
        <v>9</v>
      </c>
      <c r="F9896">
        <f>HYPERLINK("https://www.reddit.com/r/diabetes/comments/hi5zmf/tslimg6_users_can_you_interact_with_cgm_new/")</f>
        <v/>
      </c>
      <c r="G9896" t="inlineStr">
        <is>
          <t>2020-06-29 11:50:26</t>
        </is>
      </c>
      <c r="H9896" t="inlineStr">
        <is>
          <t>Type 1</t>
        </is>
      </c>
    </row>
    <row r="9897">
      <c r="A9897" t="inlineStr">
        <is>
          <t>hi7gls</t>
        </is>
      </c>
      <c r="B9897" t="inlineStr">
        <is>
          <t>Possible Covid 19 Case</t>
        </is>
      </c>
      <c r="C9897" t="inlineStr">
        <is>
          <t>Hey there! My brother (type 1) just got diagnosed with the novel coronavirus a few days ago. I'm a type 2. Last night around 5 AM I had diarrhea and that lasted until about 10 AM for me today. Supposedly this is one of the first symptoms. 
Has anybody here had it and if so, how did you get over it? My average BG levels have been about 135 for the past week and 137 for the past month. I've been working hard to keep it down so that I can fight it off as effectively as possible. 
Thanks and I look forward to hearing back.</t>
        </is>
      </c>
      <c r="D9897" t="n">
        <v>1</v>
      </c>
      <c r="E9897" t="n">
        <v>4</v>
      </c>
      <c r="F9897">
        <f>HYPERLINK("https://www.reddit.com/r/diabetes/comments/hi7gls/possible_covid_19_case/")</f>
        <v/>
      </c>
      <c r="G9897" t="inlineStr">
        <is>
          <t>2020-06-29 13:01:10</t>
        </is>
      </c>
      <c r="H9897" t="inlineStr">
        <is>
          <t>Type 2</t>
        </is>
      </c>
    </row>
    <row r="9898">
      <c r="A9898" t="inlineStr">
        <is>
          <t>hialuj</t>
        </is>
      </c>
      <c r="B9898" t="inlineStr">
        <is>
          <t>pump for BCBS federal program</t>
        </is>
      </c>
      <c r="C9898" t="inlineStr">
        <is>
          <t>hi everyone i really need some help/advice!! so my endo wants me to get on the medtronic, however i just got off the phone with the consultant and learned that...... the pump itself is $1,500 out of pocket. i have the anthem BCBS federal employee program. if anyone has ANY info on the cheapest brands for federal programs pls PM me or comment, i’m sorry i can’t give any more solid info as it is my fathers insurance and i’m new to pumps. i’ve been type 1 for 18 years and i’m extremely sick of pens, idk why i’ve stuck with them for so long lol, probs because it costs waaaaaaay less than supplies for pump. thank u 🙏🏼</t>
        </is>
      </c>
      <c r="D9898" t="n">
        <v>1</v>
      </c>
      <c r="E9898" t="n">
        <v>2</v>
      </c>
      <c r="F9898">
        <f>HYPERLINK("https://www.reddit.com/r/diabetes/comments/hialuj/pump_for_bcbs_federal_program/")</f>
        <v/>
      </c>
      <c r="G9898" t="inlineStr">
        <is>
          <t>2020-06-29 15:38:51</t>
        </is>
      </c>
      <c r="H9898" t="inlineStr">
        <is>
          <t>Type 1</t>
        </is>
      </c>
    </row>
    <row r="9899">
      <c r="A9899" t="inlineStr">
        <is>
          <t>hibcbu</t>
        </is>
      </c>
      <c r="B9899" t="inlineStr">
        <is>
          <t>My mom was diagnosed today</t>
        </is>
      </c>
      <c r="C9899" t="inlineStr">
        <is>
          <t>Today my mom woke up feeling like shit. She was dehydrated and lethargic and needed to go to the doctor. And well, she threw up at her appointment and she then needed to go to the emergency room. Found out a few hours ago that she was suffering from diabetic ketoacidosis. Luckily she went to the doctor when she did because from what I researched she was very close to a diabetic coma 😬.
The doctors said that she’s type two but insulin dependent. It’s strange because nobody in my family had ever heard of it until today obviously. But her father had type one so it’s not like anything new really. 
It’s not like this was some very life changing thing for me but it was very scary and I guess I just wanted to say it somewhere where people would understand what happened I guess.</t>
        </is>
      </c>
      <c r="D9899" t="n">
        <v>0</v>
      </c>
      <c r="E9899" t="n">
        <v>5</v>
      </c>
      <c r="F9899">
        <f>HYPERLINK("https://www.reddit.com/r/diabetes/comments/hibcbu/my_mom_was_diagnosed_today/")</f>
        <v/>
      </c>
      <c r="G9899" t="inlineStr">
        <is>
          <t>2020-06-29 16:19:57</t>
        </is>
      </c>
      <c r="H9899" t="inlineStr">
        <is>
          <t>Type 1.5/LADA</t>
        </is>
      </c>
    </row>
    <row r="9900">
      <c r="A9900" t="inlineStr">
        <is>
          <t>hibfxs</t>
        </is>
      </c>
      <c r="B9900" t="inlineStr">
        <is>
          <t>To some of the older diabetics on this sub, how have things changed for you over the years?</t>
        </is>
      </c>
      <c r="C9900" t="inlineStr">
        <is>
          <t>I've been a type 1 for almost 20 years now. Turning 24 this year. I'm in relatively okay shape, still on a Medtronic pump and planning to move to Tandem/Dexcom combo soon. Sadly, as with anything else, my body will likely deteriorate sooner or later, and I want to start taking better care of myself and not take my health for granted anymore. I always tell people when they catch me doing things that aren't "diabetic friendly" - I'm a diabetic, I never said I was a particularly good one.
My question for you guys is:
1. Do you feel more optimistic about the progress of this condition as time moves on, and new developments are being made?
2. How has your body changed throughout the years? Your feet, your eyes, your hearing, anything else you may want to comment on that's affected by T1D, etc.
3. Do you try to follow a strict diet/exercise/sleep routine? How is your lifestyle? Do you slip, or are you generally okay about everything?</t>
        </is>
      </c>
      <c r="D9900" t="n">
        <v>1</v>
      </c>
      <c r="E9900" t="n">
        <v>5</v>
      </c>
      <c r="F9900">
        <f>HYPERLINK("https://www.reddit.com/r/diabetes/comments/hibfxs/to_some_of_the_older_diabetics_on_this_sub_how/")</f>
        <v/>
      </c>
      <c r="G9900" t="inlineStr">
        <is>
          <t>2020-06-29 16:25:35</t>
        </is>
      </c>
      <c r="H9900" t="inlineStr">
        <is>
          <t>Type 1</t>
        </is>
      </c>
    </row>
    <row r="9901">
      <c r="A9901" t="inlineStr">
        <is>
          <t>hic70e</t>
        </is>
      </c>
      <c r="B9901" t="inlineStr">
        <is>
          <t>Mask issues anyone? Wearing mask for longer period of time causes headaches</t>
        </is>
      </c>
      <c r="C9901" t="inlineStr">
        <is>
          <t>When I went to work after a long time. Wearing the mask gave me severe headache. Is it because of the heat inside the mask and breathing too much carbon-dioxide? I thought wearing mask was easy but it is not!</t>
        </is>
      </c>
      <c r="D9901" t="n">
        <v>1</v>
      </c>
      <c r="E9901" t="n">
        <v>5</v>
      </c>
      <c r="F9901">
        <f>HYPERLINK("https://www.reddit.com/r/diabetes/comments/hic70e/mask_issues_anyone_wearing_mask_for_longer_period/")</f>
        <v/>
      </c>
      <c r="G9901" t="inlineStr">
        <is>
          <t>2020-06-29 17:10:27</t>
        </is>
      </c>
      <c r="H9901" t="inlineStr">
        <is>
          <t>Type 2</t>
        </is>
      </c>
    </row>
    <row r="9902">
      <c r="A9902" t="inlineStr">
        <is>
          <t>hid6ax</t>
        </is>
      </c>
      <c r="B9902" t="inlineStr">
        <is>
          <t>BG spike after walk</t>
        </is>
      </c>
      <c r="C9902" t="inlineStr">
        <is>
          <t>I’ve read that exercise can help lower BG numbers, I went for a walk today after dinner - pre-walk was 142, post-walk was 189. I thought maybe it was a fluke, waited 15 minutes, washed my hands and changed my lancet and tried again and it was 198! 
Is this normal? It wasn’t anything strenuous, just a 1 mile walk around a track. I do exercise regularly when the gym is open, so this makes me nervous.</t>
        </is>
      </c>
      <c r="D9902" t="n">
        <v>1</v>
      </c>
      <c r="E9902" t="n">
        <v>6</v>
      </c>
      <c r="F9902">
        <f>HYPERLINK("https://www.reddit.com/r/diabetes/comments/hid6ax/bg_spike_after_walk/")</f>
        <v/>
      </c>
      <c r="G9902" t="inlineStr">
        <is>
          <t>2020-06-29 18:10:17</t>
        </is>
      </c>
      <c r="H9902" t="inlineStr">
        <is>
          <t>Type 2</t>
        </is>
      </c>
    </row>
    <row r="9903">
      <c r="A9903" t="inlineStr">
        <is>
          <t>hidiks</t>
        </is>
      </c>
      <c r="B9903" t="inlineStr">
        <is>
          <t>How do you deal with the fact it's forever?</t>
        </is>
      </c>
      <c r="C9903" t="inlineStr">
        <is>
          <t>I've been a T1 diabetic for a long time. Over half my life. And I still can't get over the fact that it's never ending, that none of us here will ever get a break from it.
I hope you all don't mind me saying so, but sometimes I wonder if it's even worth managing at all. I've always struggled with finding meaning in this life and it seems like so much work for so little reward. How do you find it in yourself to keep going?</t>
        </is>
      </c>
      <c r="D9903" t="n">
        <v>3</v>
      </c>
      <c r="E9903" t="n">
        <v>51</v>
      </c>
      <c r="F9903">
        <f>HYPERLINK("https://www.reddit.com/r/diabetes/comments/hidiks/how_do_you_deal_with_the_fact_its_forever/")</f>
        <v/>
      </c>
      <c r="G9903" t="inlineStr">
        <is>
          <t>2020-06-29 18:32:01</t>
        </is>
      </c>
      <c r="H9903" t="inlineStr">
        <is>
          <t>Type 1</t>
        </is>
      </c>
    </row>
    <row r="9904">
      <c r="A9904" t="inlineStr">
        <is>
          <t>hidlw0</t>
        </is>
      </c>
      <c r="B9904" t="inlineStr">
        <is>
          <t>Any T1D’s that have had COVID? need some reassurance..</t>
        </is>
      </c>
      <c r="C9904" t="inlineStr">
        <is>
          <t>Any T1d’s in this group that have had COVID? I will need to fly internationally in 2 months time and as you can imagine am feeling quite anxious. I’m 27 YO and consider myself active and healthy with with a HBA1C of 7.9%.</t>
        </is>
      </c>
      <c r="D9904" t="n">
        <v>1</v>
      </c>
      <c r="E9904" t="n">
        <v>3</v>
      </c>
      <c r="F9904">
        <f>HYPERLINK("https://www.reddit.com/r/diabetes/comments/hidlw0/any_t1ds_that_have_had_covid_need_some_reassurance/")</f>
        <v/>
      </c>
      <c r="G9904" t="inlineStr">
        <is>
          <t>2020-06-29 18:37:44</t>
        </is>
      </c>
      <c r="H9904" t="inlineStr">
        <is>
          <t>Type 1</t>
        </is>
      </c>
    </row>
    <row r="9905">
      <c r="A9905" t="inlineStr">
        <is>
          <t>hidpi9</t>
        </is>
      </c>
      <c r="B9905" t="inlineStr">
        <is>
          <t>inexplicable spikes in blood sugar?</t>
        </is>
      </c>
      <c r="C9905" t="inlineStr">
        <is>
          <t>Hi guys,
&amp;amp;#x200B;
I'm a recently diagnosed T2 diabetic... Currently i'm taking 1000mg of Metformin once a day (at night time before dinner).
&amp;amp;#x200B;
This morning I made a smoothie  [https://diabetesstrong.com/chocolate-avocado-smoothie/](https://diabetesstrong.com/chocolate-avocado-smoothie/) ... my blood sugar prior to having this smoothie (fasting, when i first woke up) was a 6.7mmol/l (120mg/dl)... 2 hours later it is sitting around 9.4 to 10.5 mmol/l (170-190mg/dl). Anyone have any kind of explanation for this?
I've been finding that sometimes even when I have a very small amount of carbs (close to none) my sugar still spikes after a meal.</t>
        </is>
      </c>
      <c r="D9905" t="n">
        <v>1</v>
      </c>
      <c r="E9905" t="n">
        <v>8</v>
      </c>
      <c r="F9905">
        <f>HYPERLINK("https://www.reddit.com/r/diabetes/comments/hidpi9/inexplicable_spikes_in_blood_sugar/")</f>
        <v/>
      </c>
      <c r="G9905" t="inlineStr">
        <is>
          <t>2020-06-29 18:43:44</t>
        </is>
      </c>
      <c r="H9905" t="inlineStr">
        <is>
          <t>Type 2</t>
        </is>
      </c>
    </row>
    <row r="9906">
      <c r="A9906" t="inlineStr">
        <is>
          <t>hiew5b</t>
        </is>
      </c>
      <c r="B9906" t="inlineStr">
        <is>
          <t>Anybody tried the chest site?</t>
        </is>
      </c>
      <c r="C9906" t="inlineStr">
        <is>
          <t>I think my abdomen is worn out of infusion sites after 10 years on the stomach and sides/back. I saw that some people use the fatty tissue above their breasts as sites, but I want to get some anecdotal advice on which direction to go with the needle, how successful it was, etc. any downsides to be aware of? 
I googled it and I got old forum posts from like 2010 and wanted some updated reassurance/thoughts</t>
        </is>
      </c>
      <c r="D9906" t="n">
        <v>1</v>
      </c>
      <c r="E9906" t="n">
        <v>6</v>
      </c>
      <c r="F9906">
        <f>HYPERLINK("https://www.reddit.com/r/diabetes/comments/hiew5b/anybody_tried_the_chest_site/")</f>
        <v/>
      </c>
      <c r="G9906" t="inlineStr">
        <is>
          <t>2020-06-29 19:57:47</t>
        </is>
      </c>
      <c r="H9906" t="inlineStr">
        <is>
          <t>Type 1</t>
        </is>
      </c>
    </row>
    <row r="9907">
      <c r="A9907" t="inlineStr">
        <is>
          <t>hikfr2</t>
        </is>
      </c>
      <c r="B9907" t="inlineStr">
        <is>
          <t>How serious is this wound for diabetics?</t>
        </is>
      </c>
      <c r="C9907" t="inlineStr">
        <is>
          <t>So my brother who’s type 1, was throwing out the garage today wearing sandals. Something happened for the sandal to slide off and he cut the back of his foot from glass that was left on the ground (probably by the neighbors, bastards). It was a pretty long cut and he was bleeding a lot. 
We cleaned the wounded and stopped the bleeding and covered it. He was on the ground in pain and sweating a lot. We helped him check is blood sugar and it was at 130. 
The paramedics arrived and looked at it and they also cleaned it themselves and put a fresh gauze on. 
They said if it gets worse then call them or drive him to the emergency room. 
We have him ibuprofen for the pain but it isn’t helping him. 
I know diabetics don’t heal as fast vs those who aren’t diabetic. 
It’s like 5am and he got hurt around 8pm. We’ve been keeping an eye on him, I just changed the gauze and cleaned it before but it’s really hurting him that he can’t sleep. 
He’s still in pain and can’t sleep.</t>
        </is>
      </c>
      <c r="D9907" t="n">
        <v>1</v>
      </c>
      <c r="E9907" t="n">
        <v>22</v>
      </c>
      <c r="F9907">
        <f>HYPERLINK("https://www.reddit.com/r/diabetes/comments/hikfr2/how_serious_is_this_wound_for_diabetics/")</f>
        <v/>
      </c>
      <c r="G9907" t="inlineStr">
        <is>
          <t>2020-06-30 03:02:02</t>
        </is>
      </c>
      <c r="H9907" t="inlineStr">
        <is>
          <t>Type 1</t>
        </is>
      </c>
    </row>
    <row r="9908">
      <c r="A9908" t="inlineStr">
        <is>
          <t>hishrw</t>
        </is>
      </c>
      <c r="B9908" t="inlineStr">
        <is>
          <t>Can being overweight activate Type 1? I was huge before getting hit with T1</t>
        </is>
      </c>
      <c r="C9908" t="inlineStr">
        <is>
          <t>I was 225, never worked out, all fat. Dropped 73lbs and suddenly was diagnosed with Type1/1.5. Can being overweight somehow speed up the onset of adult Type 1?</t>
        </is>
      </c>
      <c r="D9908" t="n">
        <v>0</v>
      </c>
      <c r="E9908" t="n">
        <v>3</v>
      </c>
      <c r="F9908">
        <f>HYPERLINK("https://www.reddit.com/r/diabetes/comments/hishrw/can_being_overweight_activate_type_1_i_was_huge/")</f>
        <v/>
      </c>
      <c r="G9908" t="inlineStr">
        <is>
          <t>2020-06-30 10:59:47</t>
        </is>
      </c>
      <c r="H9908" t="inlineStr">
        <is>
          <t>Type 1</t>
        </is>
      </c>
    </row>
    <row r="9909">
      <c r="A9909" t="inlineStr">
        <is>
          <t>hitg93</t>
        </is>
      </c>
      <c r="B9909" t="inlineStr">
        <is>
          <t>Too young for peripheral neuropathy?</t>
        </is>
      </c>
      <c r="C9909" t="inlineStr">
        <is>
          <t>Hey guys, hopefully someone takes the time to read this.....
Some quick facts! 
20F 
168 lbs 
A1C 8.4 
So at the beginning of June I began jump roping as my cardio to control blood sugar. I would jump everyday and I honestly enjoyed it so much. I took a slight break on June 8 to relax, the very next day I woke up with EXCRUCIATING PAIN in my hip and groin. I struggled for about 4 days straight eventually my sister forced my parents to drag me to the ER. 
The ER told me I had a UTI and that the cause of my pain was bladder inflammation. I finished my antibiotics and that was that. Pain remained and is constant. Aching sharp pain in my hip and groin and now my buttock! 
Went to my PCP and she ordered me a CT stat bc she predicted kidney stones. GUESS WHAT!! My CT scan was perfect and completely unremarkable. NO EVIDENCE OF WHY IM IN PAIN. 
She finally ran a couple blood tests on me. 
I have protein and ketones in my urine :( 
BUT! My vitamin D was an 8 (normal levels are between 30-100) 
She prescribed me a supplement D3 50000 IU once a week. Yesterday was my very first dose. 
I am also scheduled for an MRI. 
What is going on with me. 
Does vitamin deficiency really cause excruciating pain in the bones and muscles. I haven’t slept in WEEKS. It’s truly frustrating and depressing. 
Is it diabetic neuropathy in my hip. I can’t decide because when I stand there is an electrocuting jolt all the way down to my ankle. My hip also pops occasionally. The pain is very deep in my groin side of hip and buttock. The pain is aching and sharp 24/7 can’t sleep. 
Maybe I cracked a bone or a stress fracture from jump roping I’m not sure but I have been in pain for exactly 22 days. Please share anything you know about diabetic peripheral neuropathy or any vitamin D recoveries please! 
Recovery tips welcomed! If you made it this far thank you I appreciate it :)</t>
        </is>
      </c>
      <c r="D9909" t="n">
        <v>1</v>
      </c>
      <c r="E9909" t="n">
        <v>7</v>
      </c>
      <c r="F9909">
        <f>HYPERLINK("https://www.reddit.com/r/diabetes/comments/hitg93/too_young_for_peripheral_neuropathy/")</f>
        <v/>
      </c>
      <c r="G9909" t="inlineStr">
        <is>
          <t>2020-06-30 11:45:56</t>
        </is>
      </c>
      <c r="H9909" t="inlineStr">
        <is>
          <t>Type 2</t>
        </is>
      </c>
    </row>
    <row r="9910">
      <c r="A9910" t="inlineStr">
        <is>
          <t>hitpj9</t>
        </is>
      </c>
      <c r="B9910" t="inlineStr">
        <is>
          <t>Question for people with tslim x2</t>
        </is>
      </c>
      <c r="C9910" t="inlineStr">
        <is>
          <t>When you set up the tslim do you use a computer or do you do it from the pump?</t>
        </is>
      </c>
      <c r="D9910" t="n">
        <v>1</v>
      </c>
      <c r="E9910" t="n">
        <v>4</v>
      </c>
      <c r="F9910">
        <f>HYPERLINK("https://www.reddit.com/r/diabetes/comments/hitpj9/question_for_people_with_tslim_x2/")</f>
        <v/>
      </c>
      <c r="G9910" t="inlineStr">
        <is>
          <t>2020-06-30 11:58:39</t>
        </is>
      </c>
      <c r="H9910" t="inlineStr">
        <is>
          <t>Type 1</t>
        </is>
      </c>
    </row>
    <row r="9911">
      <c r="A9911" t="inlineStr">
        <is>
          <t>hiwcig</t>
        </is>
      </c>
      <c r="B9911" t="inlineStr">
        <is>
          <t>My sister injected 2 full syringes of insulin</t>
        </is>
      </c>
      <c r="C9911" t="inlineStr">
        <is>
          <t>I think it's isophane. She used to to try and kill herself. I checked and her sugar is still 292. Any advice what I should do?</t>
        </is>
      </c>
      <c r="D9911" t="n">
        <v>1</v>
      </c>
      <c r="E9911" t="n">
        <v>12</v>
      </c>
      <c r="F9911">
        <f>HYPERLINK("https://www.reddit.com/r/diabetes/comments/hiwcig/my_sister_injected_2_full_syringes_of_insulin/")</f>
        <v/>
      </c>
      <c r="G9911" t="inlineStr">
        <is>
          <t>2020-06-30 14:08:25</t>
        </is>
      </c>
      <c r="H9911" t="inlineStr">
        <is>
          <t>Type 1</t>
        </is>
      </c>
    </row>
    <row r="9912">
      <c r="A9912" t="inlineStr">
        <is>
          <t>hixo1n</t>
        </is>
      </c>
      <c r="B9912" t="inlineStr">
        <is>
          <t>I have dropped my free style libre 2.ü a few Times and wanted to ask if it can effect the data.</t>
        </is>
      </c>
      <c r="C9912" t="inlineStr">
        <is>
          <t>Does somebody know that?</t>
        </is>
      </c>
      <c r="D9912" t="n">
        <v>1</v>
      </c>
      <c r="E9912" t="n">
        <v>4</v>
      </c>
      <c r="F9912">
        <f>HYPERLINK("https://www.reddit.com/r/diabetes/comments/hixo1n/i_have_dropped_my_free_style_libre_2ü_a_few_times/")</f>
        <v/>
      </c>
      <c r="G9912" t="inlineStr">
        <is>
          <t>2020-06-30 15:21:00</t>
        </is>
      </c>
      <c r="H9912" t="inlineStr">
        <is>
          <t>Type 1</t>
        </is>
      </c>
    </row>
    <row r="9913">
      <c r="A9913" t="inlineStr">
        <is>
          <t>hiyyfk</t>
        </is>
      </c>
      <c r="B9913" t="inlineStr">
        <is>
          <t>How would you describe being high to a non-diabetic?</t>
        </is>
      </c>
      <c r="C9913" t="inlineStr">
        <is>
          <t>It’s been so long I forgot what non-diabetes related stuff feels like, but I’d say that it’s close to how you feel when you eat lots of candy and you just NEED water to let that feeling go, plus feeling angry and tired at the same time</t>
        </is>
      </c>
      <c r="D9913" t="n">
        <v>1</v>
      </c>
      <c r="E9913" t="n">
        <v>19</v>
      </c>
      <c r="F9913">
        <f>HYPERLINK("https://www.reddit.com/r/diabetes/comments/hiyyfk/how_would_you_describe_being_high_to_a_nondiabetic/")</f>
        <v/>
      </c>
      <c r="G9913" t="inlineStr">
        <is>
          <t>2020-06-30 16:35:05</t>
        </is>
      </c>
      <c r="H9913" t="inlineStr">
        <is>
          <t>Type 1</t>
        </is>
      </c>
    </row>
    <row r="9914">
      <c r="A9914" t="inlineStr">
        <is>
          <t>hiz6ud</t>
        </is>
      </c>
      <c r="B9914" t="inlineStr">
        <is>
          <t>High BG before dinner - not eating enough?</t>
        </is>
      </c>
      <c r="C9914" t="inlineStr">
        <is>
          <t>Hi all, I’m coming off keto about 3 weeks ago. I lost about 30 pounds on it but had other issues. What’s good is I have less appetite now. 
However I’m only eating 1,100 to 1,200 calories per day. Obviously not enough. I’m male, 5’ 10” now 295 lbs. I can control my glucose well morning and afternoon but around 5pm it starts to spike like crazy. The normal amount of insulin I would take for my meal doesn’t bring it down below 200 after it spiked. 
Could not eating enough be the culprit here? I plan to eat more starting tomorrow to bring my calorie count up to 1,700 - 1,800, which I will do regardless but I’m wondering if the spike could be caused by not eating enough? Thanks!</t>
        </is>
      </c>
      <c r="D9914" t="n">
        <v>1</v>
      </c>
      <c r="E9914" t="n">
        <v>6</v>
      </c>
      <c r="F9914">
        <f>HYPERLINK("https://www.reddit.com/r/diabetes/comments/hiz6ud/high_bg_before_dinner_not_eating_enough/")</f>
        <v/>
      </c>
      <c r="G9914" t="inlineStr">
        <is>
          <t>2020-06-30 16:49:31</t>
        </is>
      </c>
      <c r="H9914" t="inlineStr">
        <is>
          <t>Type 1</t>
        </is>
      </c>
    </row>
    <row r="9915">
      <c r="A9915" t="inlineStr">
        <is>
          <t>hj075w</t>
        </is>
      </c>
      <c r="B9915" t="inlineStr">
        <is>
          <t>The dawn phenomenon is kicking my ass</t>
        </is>
      </c>
      <c r="C9915" t="inlineStr">
        <is>
          <t>I ate last night at 19:00 and dosed Novorapid (bolus) and Lantus (basal) ... yet my BG started screaming up at 03:00 this morning. I woke up feeling awful. 
&amp;amp;#x200B;
https://preview.redd.it/sb6aufcd85851.png?width=828&amp;amp;format=png&amp;amp;auto=webp&amp;amp;s=66fc9cbb59cdfb8970756d5687f54263254800c3
Have you found any useful ways to combat the dawn phenomenon?</t>
        </is>
      </c>
      <c r="D9915" t="n">
        <v>1</v>
      </c>
      <c r="E9915" t="n">
        <v>8</v>
      </c>
      <c r="F9915">
        <f>HYPERLINK("https://www.reddit.com/r/diabetes/comments/hj075w/the_dawn_phenomenon_is_kicking_my_ass/")</f>
        <v/>
      </c>
      <c r="G9915" t="inlineStr">
        <is>
          <t>2020-06-30 17:53:40</t>
        </is>
      </c>
      <c r="H9915" t="inlineStr">
        <is>
          <t>Type 1</t>
        </is>
      </c>
    </row>
    <row r="9916">
      <c r="A9916" t="inlineStr">
        <is>
          <t>hj0n05</t>
        </is>
      </c>
      <c r="B9916" t="inlineStr">
        <is>
          <t>Keep your head up!</t>
        </is>
      </c>
      <c r="C9916" t="inlineStr">
        <is>
          <t>First post here, recently found out I had type 2...and it absolutely threw me for a loop. Was completely blindsided, had no idea how to combat this and just felt so overwhelmed. With covid going on I couldn't get into the Edno until today (6/30) was diagnosed (5/12).  My a1c when I found out was 13....I was told to count my carbs and be physically active. Been taking metformin until I could get into the Endo and it has been rough. Was very frustrated and feeling down but I decided to completely change my lifestyle. I have been jogging/cycling almost everyday, not crazy distances but about a hour each day. I finally had my appointment today with my Endo today and after all the sweat, tears of frustration/anger, and countless upset stomaches from Metformin, my a1c was 7.2 today. It really felt great to know the hardwork can pay off. I've been lurking here since I found out about my diagnosis, this goes to everyone out there newly diagnosed or frustrated with your diagnosis... you are not alone! Keep grinding! Take it one day at a time and you can conquer/control this frustrating disease! Cheers</t>
        </is>
      </c>
      <c r="D9916" t="n">
        <v>1</v>
      </c>
      <c r="E9916" t="n">
        <v>1</v>
      </c>
      <c r="F9916">
        <f>HYPERLINK("https://www.reddit.com/r/diabetes/comments/hj0n05/keep_your_head_up/")</f>
        <v/>
      </c>
      <c r="G9916" t="inlineStr">
        <is>
          <t>2020-06-30 18:21:54</t>
        </is>
      </c>
      <c r="H9916" t="inlineStr">
        <is>
          <t>Type 2</t>
        </is>
      </c>
    </row>
    <row r="9917">
      <c r="A9917" t="inlineStr">
        <is>
          <t>hj81a2</t>
        </is>
      </c>
      <c r="B9917" t="inlineStr">
        <is>
          <t>UPDATE: Finally got to an Endo in Covid world. I owe a debt of gratitude to this sub.</t>
        </is>
      </c>
      <c r="C9917" t="inlineStr">
        <is>
          <t>Again, I am on mobile.  I also rarely post to Reddit, so I’ll probably screw this up.
[Original post](https://www.reddit.com/r/diabetes/comments/fo422m/exceptionally_frustrated_with_my_pcp_cant_seem_to/?utm_source=share&amp;amp;utm_medium=ios_app&amp;amp;utm_name=iossmf)
I finally got into an endo after pushing my PCP.  My PCP adamantly refused to order the GAD antibody test.  “It’s so rare”, she said.  However, I pushed and pushed and she finally gave me a referral to an Endo.   Of course, this was right when the ‘rona was starting up.  I couldn’t be seen by anyone.  Two weeks ago I finally had my virtual visit.  New doc ordered all the tests right away.  Turns out I have LADA, type 1.5...whatever you want to call it.  I’ve been on the wrong meds since October.   
To the few people who responded, thank you.  It was the kick in the pants I needed to stand up to my soon-to-be-ex PCP and say “No, something is wrong.  I’m done with this treatment plan.”  I now have to re-learn how to manage this bullshit, but the light at the end of the tunnel is at least visible!</t>
        </is>
      </c>
      <c r="D9917" t="n">
        <v>1</v>
      </c>
      <c r="E9917" t="n">
        <v>12</v>
      </c>
      <c r="F9917">
        <f>HYPERLINK("https://www.reddit.com/r/diabetes/comments/hj81a2/update_finally_got_to_an_endo_in_covid_world_i/")</f>
        <v/>
      </c>
      <c r="G9917" t="inlineStr">
        <is>
          <t>2020-07-01 03:56:58</t>
        </is>
      </c>
      <c r="H9917" t="inlineStr">
        <is>
          <t>Type 1.5/LADA</t>
        </is>
      </c>
    </row>
    <row r="9918">
      <c r="A9918" t="inlineStr">
        <is>
          <t>hjatgl</t>
        </is>
      </c>
      <c r="B9918" t="inlineStr">
        <is>
          <t>Pregnancy &amp;amp; Insulin Resistance</t>
        </is>
      </c>
      <c r="C9918" t="inlineStr">
        <is>
          <t>I’m currently 26 weeks pregnant and I’m experiencing the most insane insulin resistance. It’s as if my insulin doesn’t even work anymore. Despite over giving insulin my blood sugar has been going over 200 multiple times throughout the week. I eat incredibly low carb, almost keto at this point, and account for every single carb that I do eat. I’ve been trying to work with my doctor but he doesn’t bat at an eye at these numbers it’s as if he thinks they’re acceptable. I’ve made adjustments myself and continue to increase my long acting and tighten my unit/carb ratio. I’m so concerned for my health and the health of my baby. 
Have any other women who have been pregnant experienced this? I could use any tips and advice 😔</t>
        </is>
      </c>
      <c r="D9918" t="n">
        <v>1</v>
      </c>
      <c r="E9918" t="n">
        <v>4</v>
      </c>
      <c r="F9918">
        <f>HYPERLINK("https://www.reddit.com/r/diabetes/comments/hjatgl/pregnancy_insulin_resistance/")</f>
        <v/>
      </c>
      <c r="G9918" t="inlineStr">
        <is>
          <t>2020-07-01 07:05:25</t>
        </is>
      </c>
      <c r="H9918" t="inlineStr">
        <is>
          <t>Type 1</t>
        </is>
      </c>
    </row>
    <row r="9919">
      <c r="A9919" t="inlineStr">
        <is>
          <t>hjbuhq</t>
        </is>
      </c>
      <c r="B9919" t="inlineStr">
        <is>
          <t>Exercising after a low?</t>
        </is>
      </c>
      <c r="C9919" t="inlineStr">
        <is>
          <t>I was looking forward to doing a super long run/hike today (14 miles 3,000ft elevation gain). However two nights ago and last night both had significant lows that lasted for about an hour each time. I know that this can deplete the glycogen stores in my muscles. Should I just skip my long run and do it later? Anyone have experience to shed some insight on me?</t>
        </is>
      </c>
      <c r="D9919" t="n">
        <v>1</v>
      </c>
      <c r="E9919" t="n">
        <v>4</v>
      </c>
      <c r="F9919">
        <f>HYPERLINK("https://www.reddit.com/r/diabetes/comments/hjbuhq/exercising_after_a_low/")</f>
        <v/>
      </c>
      <c r="G9919" t="inlineStr">
        <is>
          <t>2020-07-01 07:59:24</t>
        </is>
      </c>
      <c r="H9919" t="inlineStr">
        <is>
          <t>Type 1.5/LADA</t>
        </is>
      </c>
    </row>
    <row r="9920">
      <c r="A9920" t="inlineStr">
        <is>
          <t>hjcj4i</t>
        </is>
      </c>
      <c r="B9920" t="inlineStr">
        <is>
          <t>After pooping do you feel hungry?</t>
        </is>
      </c>
      <c r="C9920" t="inlineStr">
        <is>
          <t>I feel hungry right after pooping.</t>
        </is>
      </c>
      <c r="D9920" t="n">
        <v>1</v>
      </c>
      <c r="E9920" t="n">
        <v>2</v>
      </c>
      <c r="F9920">
        <f>HYPERLINK("https://www.reddit.com/r/diabetes/comments/hjcj4i/after_pooping_do_you_feel_hungry/")</f>
        <v/>
      </c>
      <c r="G9920" t="inlineStr">
        <is>
          <t>2020-07-01 08:33:50</t>
        </is>
      </c>
      <c r="H9920" t="inlineStr">
        <is>
          <t>Type 2</t>
        </is>
      </c>
    </row>
    <row r="9921">
      <c r="A9921" t="inlineStr">
        <is>
          <t>hjcon8</t>
        </is>
      </c>
      <c r="B9921" t="inlineStr">
        <is>
          <t>Management Without Medication Type II</t>
        </is>
      </c>
      <c r="C9921" t="inlineStr">
        <is>
          <t>For anyone on here who has Type II diabetes, what are your strategies for keeping your blood sugar in check that don't involve taking medication. Any success stories from folks who were able to reverse their Type II diabetes with lifestyle changes?</t>
        </is>
      </c>
      <c r="D9921" t="n">
        <v>1</v>
      </c>
      <c r="E9921" t="n">
        <v>8</v>
      </c>
      <c r="F9921">
        <f>HYPERLINK("https://www.reddit.com/r/diabetes/comments/hjcon8/management_without_medication_type_ii/")</f>
        <v/>
      </c>
      <c r="G9921" t="inlineStr">
        <is>
          <t>2020-07-01 08:41:36</t>
        </is>
      </c>
      <c r="H9921" t="inlineStr">
        <is>
          <t>Type 2</t>
        </is>
      </c>
    </row>
    <row r="9922">
      <c r="A9922" t="inlineStr">
        <is>
          <t>hje01g</t>
        </is>
      </c>
      <c r="B9922" t="inlineStr">
        <is>
          <t>After 5 years, my A1C finally went down from 10.0 to 8.5</t>
        </is>
      </c>
      <c r="C9922" t="inlineStr">
        <is>
          <t>I got my results yesterday and for the first time in 5 years, it finally went down to 8.5. 
I got no help from anyone, not from my endo, not from my nutritionist it was all me! 
I'm a bit worried that'll go back up again though! I've been in quarantine for the last 3 months, so I was basically stress free (my work is very stressful) and was able to exercise more and watch what I'm eating more, but I'll be back at work again tomorrow... Still though, I'm so happy!!!</t>
        </is>
      </c>
      <c r="D9922" t="n">
        <v>1</v>
      </c>
      <c r="E9922" t="n">
        <v>4</v>
      </c>
      <c r="F9922">
        <f>HYPERLINK("https://www.reddit.com/r/diabetes/comments/hje01g/after_5_years_my_a1c_finally_went_down_from_100/")</f>
        <v/>
      </c>
      <c r="G9922" t="inlineStr">
        <is>
          <t>2020-07-01 09:48:31</t>
        </is>
      </c>
      <c r="H9922" t="inlineStr">
        <is>
          <t>Type 1</t>
        </is>
      </c>
    </row>
    <row r="9923">
      <c r="A9923" t="inlineStr">
        <is>
          <t>hjelqp</t>
        </is>
      </c>
      <c r="B9923" t="inlineStr">
        <is>
          <t>Should I call Abbot about my libre?</t>
        </is>
      </c>
      <c r="C9923" t="inlineStr">
        <is>
          <t>I'm on day 4 of my libre that I just put on and today I woke up feeling like my sugar was high so I checked it and it read that was at 95 but when I pricked myself it said I was at 146 so it was off by alot. Did a check again about an hour ago and it said I was at 86 so I pricked again and it said I was at 126. I know they have a chance of being off but is that seems like alot.</t>
        </is>
      </c>
      <c r="D9923" t="n">
        <v>1</v>
      </c>
      <c r="E9923" t="n">
        <v>2</v>
      </c>
      <c r="F9923">
        <f>HYPERLINK("https://www.reddit.com/r/diabetes/comments/hjelqp/should_i_call_abbot_about_my_libre/")</f>
        <v/>
      </c>
      <c r="G9923" t="inlineStr">
        <is>
          <t>2020-07-01 10:20:33</t>
        </is>
      </c>
      <c r="H9923" t="inlineStr">
        <is>
          <t>Type 2</t>
        </is>
      </c>
    </row>
    <row r="9924">
      <c r="A9924" t="inlineStr">
        <is>
          <t>hjg2sa</t>
        </is>
      </c>
      <c r="B9924" t="inlineStr">
        <is>
          <t>Nightscout data on TouchBar</t>
        </is>
      </c>
      <c r="C9924" t="inlineStr">
        <is>
          <t>Hello, I saw a post from about 1 year ago explaining how to read Nightscout data from a Mac menu bar via BitBar. Would it be possible to upgrade this by displaying the data on the Touch Bar of new MacBooks? Thank you</t>
        </is>
      </c>
      <c r="D9924" t="n">
        <v>1</v>
      </c>
      <c r="E9924" t="n">
        <v>0</v>
      </c>
      <c r="F9924">
        <f>HYPERLINK("https://www.reddit.com/r/diabetes/comments/hjg2sa/nightscout_data_on_touchbar/")</f>
        <v/>
      </c>
      <c r="G9924" t="inlineStr">
        <is>
          <t>2020-07-01 11:33:31</t>
        </is>
      </c>
      <c r="H9924" t="inlineStr">
        <is>
          <t>Type 1</t>
        </is>
      </c>
    </row>
    <row r="9925">
      <c r="A9925" t="inlineStr">
        <is>
          <t>hjhsw0</t>
        </is>
      </c>
      <c r="B9925" t="inlineStr">
        <is>
          <t>Pump warranty up?</t>
        </is>
      </c>
      <c r="C9925" t="inlineStr">
        <is>
          <t>Hi all, my pump warranty expires this month. I'm currently on the Medtronic 530G which I got in July 2016. I recently called my insurance's DME and they told me that I won't be eligible for a new pump until July 2021 or unless my pump breaks after the warranty has expired, whichever happens first. I'm wondering if there's any way to work around this? I really don't want to have to wait a year until I can switch to a new pump (I'm looking into switching to Tandem). My belt clip also broke several months ago and because Medtronic doesn't carry a belt clip replacement for my pump model anymore, I have to wear my pump on a pump clip they sent me for free that doesn't even fit. Just curious if there's any way around this "you can only get a new pump covered if your current one breaks now that it's out of warranty" thing.</t>
        </is>
      </c>
      <c r="D9925" t="n">
        <v>1</v>
      </c>
      <c r="E9925" t="n">
        <v>3</v>
      </c>
      <c r="F9925">
        <f>HYPERLINK("https://www.reddit.com/r/diabetes/comments/hjhsw0/pump_warranty_up/")</f>
        <v/>
      </c>
      <c r="G9925" t="inlineStr">
        <is>
          <t>2020-07-01 12:59:52</t>
        </is>
      </c>
      <c r="H9925" t="inlineStr">
        <is>
          <t>Type 1</t>
        </is>
      </c>
    </row>
    <row r="9926">
      <c r="A9926" t="inlineStr">
        <is>
          <t>hjjsg8</t>
        </is>
      </c>
      <c r="B9926" t="inlineStr">
        <is>
          <t>I am mentally struggling, I need help</t>
        </is>
      </c>
      <c r="C9926" t="inlineStr">
        <is>
          <t>Might be kind of a long post, before you begin I want to thank you if you do end up reading til the end.
June 17th I went back to work after 3months of staying at home, it was an opening shift so I woke up at 4am for an 8.5 hours shift. Mind you, I do generally wake up early around 6:30-7 while I was off and I regularly exercise and was healthy before this.
I come home after my shift and I started feeling REALLY tired, like unusually tired because I used to do longer shifts with no problem. 
Next morning (june 18th) for a 5 hours shift I woke up and I felt pretty sick but I just pushed it and went to work same time 4am. 
Got a molar extracted that afternoon, sugar spiked while I was getting it removed but I injected insulin after and it was fine.
That evening I started to feel chills, muscle pain, just really friggin sick. And pretty much it just got worse and worse and I ended up taking time off work again. 
Fast forward to now (july 1st), I’ve been to the ER 2times past few weeks. They did bunch of blood work and everything was normal apparently. But I am still very sick, lost 12pounds in two weeks, can’t get up and down the stairs from the muscle ache and the chills keep waking me up and preventing me from falling asleep.
I’m supposed to have a chat with a specialist tomorrow about my extra blood work I did before I left the ER the second time. I’m afraid they’re not going to be able to tell me what is wrong and I feel so powerless and hopeless.
I’ve been diagnosed 5 years ago and never had a problem with good A1C. I never felt like I had no control over my health and felt so weak. I am in so much pain as if my body is getting torn apart. I am taking T3’s day and night and that’s not really helping either to be honest. I haven’t slept more than 4 hrs straight this past couple of weeks and I’m mentally so weak right now.
I never had much mental health problems and I was never much educated about that. So I don’t even know what help I need right now, I just feel so sad and helpless constantly. I’m also afraid they’re gonna hit me with some terrible disease diagnosis after not doing much testings. 
I’m so scared and I don’t know how to handle my feelings at the moment.. If you ever felt this type of way, please help me what I should do to get the proper help I need. 
I’m so close to giving up and ending it here but I just wanted to reach out to this community and see if anyone else ever felt like me..</t>
        </is>
      </c>
      <c r="D9926" t="n">
        <v>1</v>
      </c>
      <c r="E9926" t="n">
        <v>14</v>
      </c>
      <c r="F9926">
        <f>HYPERLINK("https://www.reddit.com/r/diabetes/comments/hjjsg8/i_am_mentally_struggling_i_need_help/")</f>
        <v/>
      </c>
      <c r="G9926" t="inlineStr">
        <is>
          <t>2020-07-01 14:42:02</t>
        </is>
      </c>
      <c r="H9926" t="inlineStr">
        <is>
          <t>Type 1</t>
        </is>
      </c>
    </row>
    <row r="9927">
      <c r="A9927" t="inlineStr">
        <is>
          <t>hjkq9q</t>
        </is>
      </c>
      <c r="B9927" t="inlineStr">
        <is>
          <t>How do I cope?</t>
        </is>
      </c>
      <c r="C9927" t="inlineStr">
        <is>
          <t>Hey guys!
I was diagnosed 2years ago and I'm still on the pathway to slowly accept this illness but people around me keep telling me that it's my fault for getting type 1 which makes it very hard for me to cope plus they keep insinuating that everything that has to do with my illness is embarrassing. I keep trying to ignore the words but just wondering what your thoughts are?how did u guys cope with this? Has anyone had this type of experience?</t>
        </is>
      </c>
      <c r="D9927" t="n">
        <v>1</v>
      </c>
      <c r="E9927" t="n">
        <v>13</v>
      </c>
      <c r="F9927">
        <f>HYPERLINK("https://www.reddit.com/r/diabetes/comments/hjkq9q/how_do_i_cope/")</f>
        <v/>
      </c>
      <c r="G9927" t="inlineStr">
        <is>
          <t>2020-07-01 15:32:13</t>
        </is>
      </c>
      <c r="H9927" t="inlineStr">
        <is>
          <t>Type 1</t>
        </is>
      </c>
    </row>
    <row r="9928">
      <c r="A9928" t="inlineStr">
        <is>
          <t>hjm0p6</t>
        </is>
      </c>
      <c r="B9928" t="inlineStr">
        <is>
          <t>Accidentally injected 3 month old insulin</t>
        </is>
      </c>
      <c r="C9928" t="inlineStr">
        <is>
          <t>Title says it all really - found a pen the other day from around the end of March that had been unrefrigerated since then. Forgot to empty it, left it in a place where I mistook it for the one I’m using currently and injected about 6 units of it about 20 mins ago. Can’t seem to find any answers on if this is bad? I get that the insulin might not work, so I’m keeping a close eye on my levels, but is it bad other than that? Thanks!</t>
        </is>
      </c>
      <c r="D9928" t="n">
        <v>1</v>
      </c>
      <c r="E9928" t="n">
        <v>5</v>
      </c>
      <c r="F9928">
        <f>HYPERLINK("https://www.reddit.com/r/diabetes/comments/hjm0p6/accidentally_injected_3_month_old_insulin/")</f>
        <v/>
      </c>
      <c r="G9928" t="inlineStr">
        <is>
          <t>2020-07-01 16:43:54</t>
        </is>
      </c>
      <c r="H9928" t="inlineStr">
        <is>
          <t>Type 1</t>
        </is>
      </c>
    </row>
    <row r="9929">
      <c r="A9929" t="inlineStr">
        <is>
          <t>hjnez0</t>
        </is>
      </c>
      <c r="B9929" t="inlineStr">
        <is>
          <t>Seltzer Beers are great!</t>
        </is>
      </c>
      <c r="C9929" t="inlineStr">
        <is>
          <t>So far I have only tried the Smirnoff flavored ones, but at 90 Calories/1Carb/4.5%/12 ounces it does not seem to affect my Blood Sugar.
Tested 3 times now where I drink a 12 ounce 2 hours after Lunch, and then another 2 hours after Dinner.  6 months after not drinking any alcohol my tolerance was non-existent.  So that was a bonus.
Worth checking out.  Taste is good.</t>
        </is>
      </c>
      <c r="D9929" t="n">
        <v>1</v>
      </c>
      <c r="E9929" t="n">
        <v>1</v>
      </c>
      <c r="F9929">
        <f>HYPERLINK("https://www.reddit.com/r/diabetes/comments/hjnez0/seltzer_beers_are_great/")</f>
        <v/>
      </c>
      <c r="G9929" t="inlineStr">
        <is>
          <t>2020-07-01 18:08:17</t>
        </is>
      </c>
      <c r="H9929" t="inlineStr">
        <is>
          <t>Type 1.5/LADA</t>
        </is>
      </c>
    </row>
    <row r="9930">
      <c r="A9930" t="inlineStr">
        <is>
          <t>hjoa0b</t>
        </is>
      </c>
      <c r="B9930" t="inlineStr">
        <is>
          <t>Omnipod Dash PDM errors</t>
        </is>
      </c>
      <c r="C9930" t="inlineStr">
        <is>
          <t>I switched to the Dash earlier this year and have frankly been less than impressed. 
Does anyone else have consistent issues with the PDM? Mine responds very slowly to any input and gives me the "PDM error" at least once a week. The battery does not last, and will often get to 40% battery and then suddenly shut off completely. Any advice on troubleshooting this, or does it seem to just be part of the system? At this point I'm ready to switch back to the old PDM.</t>
        </is>
      </c>
      <c r="D9930" t="n">
        <v>1</v>
      </c>
      <c r="E9930" t="n">
        <v>2</v>
      </c>
      <c r="F9930">
        <f>HYPERLINK("https://www.reddit.com/r/diabetes/comments/hjoa0b/omnipod_dash_pdm_errors/")</f>
        <v/>
      </c>
      <c r="G9930" t="inlineStr">
        <is>
          <t>2020-07-01 19:03:24</t>
        </is>
      </c>
      <c r="H9930" t="inlineStr">
        <is>
          <t>Type 1</t>
        </is>
      </c>
    </row>
    <row r="9931">
      <c r="A9931" t="inlineStr">
        <is>
          <t>hjqzug</t>
        </is>
      </c>
      <c r="B9931" t="inlineStr">
        <is>
          <t>Looking for PWD Parent volunteers for a remote design project!</t>
        </is>
      </c>
      <c r="C9931" t="inlineStr">
        <is>
          <t>UCSD Design Lab is looking for PWD Parent volunteers to work with design students on CGM experiences! In light of the current COVID-19 (Coronavirus) pandemic, all of our work will be done remotely. If you're interested, please refer to the flyer for more information. Thank you!
https://preview.redd.it/2by7qbvlpd851.png?width=2550&amp;amp;format=png&amp;amp;auto=webp&amp;amp;s=1110de781716d00dff25ffe357fc642383b8751f</t>
        </is>
      </c>
      <c r="D9931" t="n">
        <v>1</v>
      </c>
      <c r="E9931" t="n">
        <v>0</v>
      </c>
      <c r="F9931">
        <f>HYPERLINK("https://www.reddit.com/r/diabetes/comments/hjqzug/looking_for_pwd_parent_volunteers_for_a_remote/")</f>
        <v/>
      </c>
      <c r="G9931" t="inlineStr">
        <is>
          <t>2020-07-01 22:22:25</t>
        </is>
      </c>
      <c r="H9931" t="inlineStr">
        <is>
          <t>Type 1</t>
        </is>
      </c>
    </row>
    <row r="9932">
      <c r="A9932" t="inlineStr">
        <is>
          <t>hjtcrt</t>
        </is>
      </c>
      <c r="B9932" t="inlineStr">
        <is>
          <t>Experiences of Adult-onset Type 1/LADA/1.5 in Australia [Research Survey]</t>
        </is>
      </c>
      <c r="C9932" t="inlineStr">
        <is>
          <t>[Adult-onset Type 1 Diabetes: diagnosis experience, access to care &amp;amp; post-diagnostic wellbeing](https://monash.az1.qualtrics.com/jfe/form/SV_5oloJza0OcUXvrT)
This survey aims to understand your experiences of being diagnosed with Type 1 diabetes as an adult, your access to health and support services and the impact Type 1 diabetes has had on your life and wellbeing. This information will be used to inform health and support services in Australia. 
We are asking for people who:
* Live in Australia
* Currently aged 18 years and over 
* Diagnosed with Type 1 diabetes or LADA/Type1.5 **when they were 18 years or older**
Estimated survey completion time: 20 minutes
Unfortunately there is no renumeration/compensation.
This study has been approved by the Monash University Human Research Ethics Committee. Should you have any concerns or complaints about the conduct of the project, you are welcome to contact:  
The Executive Officer, Monash University Human Research Ethics Committee (MUHREC)  
Tel: +61 3 9905 2052 | Fax: +61 3 9905 3831 | Email: [muhrec@monash.edu](mailto:muhrec@monash.edu)
If you have any questions about the study, please post them below or contact Rebecca: [rshu0005@student.monash.edu](mailto:rshu0005@student.monash.edu)  
&amp;amp;#x200B;
If you wish to participate, please follow this link :  [https://monash.az1.qualtrics.com/jfe/form/SV\_5oloJza0OcUXvrT](https://monash.az1.qualtrics.com/jfe/form/SV_5oloJza0OcUXvrT)  
Your involvement is very much appreciated and we thank you in advance for your time.</t>
        </is>
      </c>
      <c r="D9932" t="n">
        <v>1</v>
      </c>
      <c r="E9932" t="n">
        <v>0</v>
      </c>
      <c r="F9932">
        <f>HYPERLINK("https://www.reddit.com/r/diabetes/comments/hjtcrt/experiences_of_adultonset_type_1lada15_in/")</f>
        <v/>
      </c>
      <c r="G9932" t="inlineStr">
        <is>
          <t>2020-07-02 01:37:27</t>
        </is>
      </c>
      <c r="H9932" t="inlineStr">
        <is>
          <t>Type 1</t>
        </is>
      </c>
    </row>
    <row r="9933">
      <c r="A9933" t="inlineStr">
        <is>
          <t>hjwa1k</t>
        </is>
      </c>
      <c r="B9933" t="inlineStr">
        <is>
          <t>Questions about freestyle Libre</t>
        </is>
      </c>
      <c r="C9933" t="inlineStr">
        <is>
          <t>Anyone using freestyle Libre? Was wondering can I just buy sensors and use my phone if it’s compatible? I don’t currently have insurance and I’m a fairly new type2</t>
        </is>
      </c>
      <c r="D9933" t="n">
        <v>1</v>
      </c>
      <c r="E9933" t="n">
        <v>12</v>
      </c>
      <c r="F9933">
        <f>HYPERLINK("https://www.reddit.com/r/diabetes/comments/hjwa1k/questions_about_freestyle_libre/")</f>
        <v/>
      </c>
      <c r="G9933" t="inlineStr">
        <is>
          <t>2020-07-02 05:40:46</t>
        </is>
      </c>
      <c r="H9933" t="inlineStr">
        <is>
          <t>Type 2</t>
        </is>
      </c>
    </row>
    <row r="9934">
      <c r="A9934" t="inlineStr">
        <is>
          <t>hjx2r3</t>
        </is>
      </c>
      <c r="B9934" t="inlineStr">
        <is>
          <t>T1 Talks Podcast</t>
        </is>
      </c>
      <c r="C9934" t="inlineStr">
        <is>
          <t>Hi everyone! We (two T1Ds, age 23 and age 29) started a diabetic-focused podcast about a month ago now! The goal of the podcast is to use our experiences living with diabetes to share stories that hopefully create a larger sense of community for diabetes, dispel T1 myths, and just increase diabetic awareness in general. This week's episode is about the relationship between mental health and diabetes, something we don't believe is talked about nearly enough. If you would like to check it out, I'll link it here but feel free to reach out on Instagram as well (@t1talks) if you want to chat, have any questions, or want to offer some feedback! DMs are always open! :)</t>
        </is>
      </c>
      <c r="D9934" t="n">
        <v>1</v>
      </c>
      <c r="E9934" t="n">
        <v>6</v>
      </c>
      <c r="F9934">
        <f>HYPERLINK("https://www.reddit.com/r/diabetes/comments/hjx2r3/t1_talks_podcast/")</f>
        <v/>
      </c>
      <c r="G9934" t="inlineStr">
        <is>
          <t>2020-07-02 06:33:06</t>
        </is>
      </c>
      <c r="H9934" t="inlineStr">
        <is>
          <t>Type 1</t>
        </is>
      </c>
    </row>
    <row r="9935">
      <c r="A9935" t="inlineStr">
        <is>
          <t>hjz45z</t>
        </is>
      </c>
      <c r="B9935" t="inlineStr">
        <is>
          <t>Generic Insulin</t>
        </is>
      </c>
      <c r="C9935" t="inlineStr">
        <is>
          <t>So since the epidemic started I became unemployed and could no longer afford my Insurance payments and co payments.  I got medicaid and I tried to get scripts for Novolog and Lantus and both were denied.  I was even denied my test strips amount which was 200 a month.  I called Aetna and they started listing generic versions and I was wondering if anyone had tried any? Are they comparable; do they work just as well? I have a day, maybe 2 of fast acting left and have been without Lantus for a couple so I am waking up with high sugars.  The insurance said they would "make it a priority" to work this out with my new doctor.  Just ridiculous.</t>
        </is>
      </c>
      <c r="D9935" t="n">
        <v>1</v>
      </c>
      <c r="E9935" t="n">
        <v>7</v>
      </c>
      <c r="F9935">
        <f>HYPERLINK("https://www.reddit.com/r/diabetes/comments/hjz45z/generic_insulin/")</f>
        <v/>
      </c>
      <c r="G9935" t="inlineStr">
        <is>
          <t>2020-07-02 08:30:20</t>
        </is>
      </c>
      <c r="H9935" t="inlineStr">
        <is>
          <t>Type 1</t>
        </is>
      </c>
    </row>
    <row r="9936">
      <c r="A9936" t="inlineStr">
        <is>
          <t>hk5dqd</t>
        </is>
      </c>
      <c r="B9936" t="inlineStr">
        <is>
          <t>Theraflu</t>
        </is>
      </c>
      <c r="C9936" t="inlineStr">
        <is>
          <t>As a newly diabetic is it safe to take theraflu? If not what are some alternatives to it?</t>
        </is>
      </c>
      <c r="D9936" t="n">
        <v>1</v>
      </c>
      <c r="E9936" t="n">
        <v>3</v>
      </c>
      <c r="F9936">
        <f>HYPERLINK("https://www.reddit.com/r/diabetes/comments/hk5dqd/theraflu/")</f>
        <v/>
      </c>
      <c r="G9936" t="inlineStr">
        <is>
          <t>2020-07-02 14:03:33</t>
        </is>
      </c>
      <c r="H9936" t="inlineStr">
        <is>
          <t>Type 1.5/LADA</t>
        </is>
      </c>
    </row>
    <row r="9937">
      <c r="A9937" t="inlineStr">
        <is>
          <t>hk7fi6</t>
        </is>
      </c>
      <c r="B9937" t="inlineStr">
        <is>
          <t>Cgm</t>
        </is>
      </c>
      <c r="C9937" t="inlineStr">
        <is>
          <t>Does eversense fail less than dexcom?</t>
        </is>
      </c>
      <c r="D9937" t="n">
        <v>1</v>
      </c>
      <c r="E9937" t="n">
        <v>3</v>
      </c>
      <c r="F9937">
        <f>HYPERLINK("https://www.reddit.com/r/diabetes/comments/hk7fi6/cgm/")</f>
        <v/>
      </c>
      <c r="G9937" t="inlineStr">
        <is>
          <t>2020-07-02 15:53:36</t>
        </is>
      </c>
      <c r="H9937" t="inlineStr">
        <is>
          <t>Type 1</t>
        </is>
      </c>
    </row>
    <row r="9938">
      <c r="A9938" t="inlineStr">
        <is>
          <t>hk7quc</t>
        </is>
      </c>
      <c r="B9938" t="inlineStr">
        <is>
          <t>why does it make sense that Type 2 diabetes is more common in the US? ?</t>
        </is>
      </c>
      <c r="C9938" t="inlineStr">
        <is>
          <t>Just curious.</t>
        </is>
      </c>
      <c r="D9938" t="n">
        <v>1</v>
      </c>
      <c r="E9938" t="n">
        <v>18</v>
      </c>
      <c r="F9938">
        <f>HYPERLINK("https://www.reddit.com/r/diabetes/comments/hk7quc/why_does_it_make_sense_that_type_2_diabetes_is/")</f>
        <v/>
      </c>
      <c r="G9938" t="inlineStr">
        <is>
          <t>2020-07-02 16:11:16</t>
        </is>
      </c>
      <c r="H9938" t="inlineStr">
        <is>
          <t>Type 2</t>
        </is>
      </c>
    </row>
    <row r="9939">
      <c r="A9939" t="inlineStr">
        <is>
          <t>hk8x6z</t>
        </is>
      </c>
      <c r="B9939" t="inlineStr">
        <is>
          <t>gastroparesis??</t>
        </is>
      </c>
      <c r="C9939" t="inlineStr">
        <is>
          <t>Has anyone else experienced this? 
I’m a t1 diabetic. I haven’t been able to go number 2 for three days. Everytime I take a laxative/ stool softener I feel nauseous. My glucose levels have also been higher than usual (and I’m not sure if that has to do with my insulin ratios — I’m good at counting/injecting for carbs. Or just stress) 
I’ve mentioned it to my doctors before and I end up with a new prescription of the same fiber solution that makes me vomit.  
Any advice? Please and thank you</t>
        </is>
      </c>
      <c r="D9939" t="n">
        <v>1</v>
      </c>
      <c r="E9939" t="n">
        <v>2</v>
      </c>
      <c r="F9939">
        <f>HYPERLINK("https://www.reddit.com/r/diabetes/comments/hk8x6z/gastroparesis/")</f>
        <v/>
      </c>
      <c r="G9939" t="inlineStr">
        <is>
          <t>2020-07-02 17:21:14</t>
        </is>
      </c>
      <c r="H9939" t="inlineStr">
        <is>
          <t>Type 1</t>
        </is>
      </c>
    </row>
    <row r="9940">
      <c r="A9940" t="inlineStr">
        <is>
          <t>hk99of</t>
        </is>
      </c>
      <c r="B9940" t="inlineStr">
        <is>
          <t>Cheap Vegetarian Protein Suggestions?</t>
        </is>
      </c>
      <c r="C9940" t="inlineStr">
        <is>
          <t>my only non carnivorous proteins lately have been avocados and eggs. Any vegetarian protein suggestions?</t>
        </is>
      </c>
      <c r="D9940" t="n">
        <v>1</v>
      </c>
      <c r="E9940" t="n">
        <v>2</v>
      </c>
      <c r="F9940">
        <f>HYPERLINK("https://www.reddit.com/r/diabetes/comments/hk99of/cheap_vegetarian_protein_suggestions/")</f>
        <v/>
      </c>
      <c r="G9940" t="inlineStr">
        <is>
          <t>2020-07-02 17:42:13</t>
        </is>
      </c>
      <c r="H9940" t="inlineStr">
        <is>
          <t>Type 1</t>
        </is>
      </c>
    </row>
    <row r="9941">
      <c r="A9941" t="inlineStr">
        <is>
          <t>hkanck</t>
        </is>
      </c>
      <c r="B9941" t="inlineStr">
        <is>
          <t>Does eversense fail less than dexcom?</t>
        </is>
      </c>
      <c r="C9941" t="inlineStr">
        <is>
          <t>Is eversense better? I have been having lots of fails.</t>
        </is>
      </c>
      <c r="D9941" t="n">
        <v>1</v>
      </c>
      <c r="E9941" t="n">
        <v>5</v>
      </c>
      <c r="F9941">
        <f>HYPERLINK("https://www.reddit.com/r/diabetes/comments/hkanck/does_eversense_fail_less_than_dexcom/")</f>
        <v/>
      </c>
      <c r="G9941" t="inlineStr">
        <is>
          <t>2020-07-02 19:10:02</t>
        </is>
      </c>
      <c r="H9941" t="inlineStr">
        <is>
          <t>Type 1</t>
        </is>
      </c>
    </row>
    <row r="9942">
      <c r="A9942" t="inlineStr">
        <is>
          <t>hkbakz</t>
        </is>
      </c>
      <c r="B9942" t="inlineStr">
        <is>
          <t>Diabetes by itself doesn’t bother me, the way my parents treat it does</t>
        </is>
      </c>
      <c r="C9942" t="inlineStr">
        <is>
          <t>I (19F) was diagnosed with type 1 diabetes when I was 3. My parents have always been extremely lenient on my older brother — letting him go out with friends, turning a blind eye to him underage drinking, approving of trips with his girlfriend. But with me, they always say no. 
They are traditional parents who naturally just give boys more freedom. But what frustrates me most is that they always use my diabetes as an excuse.
Why can’t I go on a trip with my friends? Diabetes. Why is it okay for my brother to drink but not me? Diabetes. Why can’t I sleepover? Diabetes.
It frustrates me that they can and will always use diabetes as an excuse to control me. I know that part of their concern is probably from diabetes, but I am an adult now who fully controls her diabetes and they still use it as an excuse. Unfortunately because of everything that’s going on right now, I am living at home and have to abide by their rules.  
I guess I just realized that diabetes by itself isn’t what annoys me, what annoys me most is that my parents will always have this to hold over me/use as an excuse. Does anyone else feel that way?</t>
        </is>
      </c>
      <c r="D9942" t="n">
        <v>1</v>
      </c>
      <c r="E9942" t="n">
        <v>0</v>
      </c>
      <c r="F9942">
        <f>HYPERLINK("https://www.reddit.com/r/diabetes/comments/hkbakz/diabetes_by_itself_doesnt_bother_me_the_way_my/")</f>
        <v/>
      </c>
      <c r="G9942" t="inlineStr">
        <is>
          <t>2020-07-02 19:52:02</t>
        </is>
      </c>
      <c r="H9942" t="inlineStr">
        <is>
          <t>Type 1</t>
        </is>
      </c>
    </row>
    <row r="9943">
      <c r="A9943" t="inlineStr">
        <is>
          <t>hkd6na</t>
        </is>
      </c>
      <c r="B9943" t="inlineStr">
        <is>
          <t>I’m honestly ready to give up</t>
        </is>
      </c>
      <c r="C9943" t="inlineStr">
        <is>
          <t>I’ve been a T1D since I was 14, I’m 17 now and I’m sitting in my house alone. I live alone and on welfare because I can’t work in my condition or qualify for disability benefits 
I just checked my BGL, it just says “Hi” which I like to think is cute but I know my monitor isn’t greeting me. I haven’t seen a number on that thing in months , just “hi” every test.
I have been diagnosed with retinopathy, nephropathy and neuropathy with all the fun prizes that come with them, my body is a prison from which I cannot escape and it’s driven me to the point of suicidal thoughts, like how I don’t want to feel the constant pain that I feel everyday because of a condition that I have no say in receiving the burdens of, or maybe it’s because of the feeling of being useless to society in my current condition,
My body is cramping up, my vision is poor, my body feels like complete shit and I’m depressed and alone, 
I’m anorexic of course, I’m 6ft 3 and 53kg. I can’t eat most days. Even if I had enough food for 3 meals a day I’d throw up anyways
My last shot of insulin was about 3 days ago and I’ve not eaten since
It hurts because in my mind I have no excuse, I’m Australian and I’ve got healthcare
I just can’t cope with life, I don’t even know why I’m writing this shit, it’s just pathetic of me 
I can see all of my ribs through my skin, my clothes don’t fit me, and I don’t have the motivation to go on anymore, 
I hear if I either wait 2 more days I’ll be done, or I could inject my entire pen into me if that’s faster idk</t>
        </is>
      </c>
      <c r="D9943" t="n">
        <v>1</v>
      </c>
      <c r="E9943" t="n">
        <v>1</v>
      </c>
      <c r="F9943">
        <f>HYPERLINK("https://www.reddit.com/r/diabetes/comments/hkd6na/im_honestly_ready_to_give_up/")</f>
        <v/>
      </c>
      <c r="G9943" t="inlineStr">
        <is>
          <t>2020-07-02 22:10:35</t>
        </is>
      </c>
      <c r="H9943" t="inlineStr">
        <is>
          <t>Type 1</t>
        </is>
      </c>
    </row>
    <row r="9944">
      <c r="A9944" t="inlineStr">
        <is>
          <t>hkh2jq</t>
        </is>
      </c>
      <c r="B9944" t="inlineStr">
        <is>
          <t>T1 snacks uk</t>
        </is>
      </c>
      <c r="C9944" t="inlineStr">
        <is>
          <t>Hi, my friend recently found out she was T1 and has been finding it really tough, she says shes finding it hard to find snacks. I want to make her a little gift of T1 friendly snacks. Can anyone suggest some/where you get them in the uk? 
Also any other suggestions to add to the gift would be great thanks.</t>
        </is>
      </c>
      <c r="D9944" t="n">
        <v>1</v>
      </c>
      <c r="E9944" t="n">
        <v>9</v>
      </c>
      <c r="F9944">
        <f>HYPERLINK("https://www.reddit.com/r/diabetes/comments/hkh2jq/t1_snacks_uk/")</f>
        <v/>
      </c>
      <c r="G9944" t="inlineStr">
        <is>
          <t>2020-07-03 03:59:36</t>
        </is>
      </c>
      <c r="H9944" t="inlineStr">
        <is>
          <t>Type 1</t>
        </is>
      </c>
    </row>
    <row r="9945">
      <c r="A9945" t="inlineStr">
        <is>
          <t>hknq3l</t>
        </is>
      </c>
      <c r="B9945" t="inlineStr">
        <is>
          <t>Intermittent fasting and Diabetes Type 2</t>
        </is>
      </c>
      <c r="C9945" t="inlineStr">
        <is>
          <t>I've noticed after a 24 hour fast that my blood sugar levels can spike up a lot, often getting into the 225 range. After some reading on the Internet it appears that this is part due to the liver overcompensating and releasing more its stored glucose. 
The question is, assuming that I am currently living by an otherwise ideal healthy routine, is this goiong to always happen? Does the storage of glucose in the liver decrease over time? Should I avoid intermittent fasting?
I should also add that I am taking 2000mg of Janumet to manage my blood sugar levels. This used to work really well but seems to be less effective these days. I avoid nearly everything on the mid to high glycemic index and usually keep my carbs lower than 50g a day.</t>
        </is>
      </c>
      <c r="D9945" t="n">
        <v>1</v>
      </c>
      <c r="E9945" t="n">
        <v>0</v>
      </c>
      <c r="F9945">
        <f>HYPERLINK("https://www.reddit.com/r/diabetes/comments/hknq3l/intermittent_fasting_and_diabetes_type_2/")</f>
        <v/>
      </c>
      <c r="G9945" t="inlineStr">
        <is>
          <t>2020-07-03 10:57:52</t>
        </is>
      </c>
      <c r="H9945" t="inlineStr">
        <is>
          <t>Type 2</t>
        </is>
      </c>
    </row>
    <row r="9946">
      <c r="A9946" t="inlineStr">
        <is>
          <t>hko246</t>
        </is>
      </c>
      <c r="B9946" t="inlineStr">
        <is>
          <t>finding an endo for a long distance move</t>
        </is>
      </c>
      <c r="C9946" t="inlineStr">
        <is>
          <t>I'm moving several states away in about 6 weeks. Thinking ahead, it'd be nice if I could schedule an endo appointment now so I don't have to wait 500 weeks when I get there, but I'm not sure how getting into an office is going to work especially given the pandemic situation. I have an appointment with my current endo in september that I will probably cancel, though if needed I could fly back here for that.
My insurance is a PPO so I don't technically need a referral for them but I think most endocrinology offices require it. Would my current primary care physician be able to give me a referral for someone out of region? Can my current endo do that? Do I need to make an appointment with a doctor in my destination area? Should I just start calling offices there to see what they can do? I'm trying to figure out if I can do any of this before I get there so to reduce the stress of moving.
I have \~6 months of supplies so I'm not too worried from a safety point of view, I just want to get the switch over with.</t>
        </is>
      </c>
      <c r="D9946" t="n">
        <v>1</v>
      </c>
      <c r="E9946" t="n">
        <v>2</v>
      </c>
      <c r="F9946">
        <f>HYPERLINK("https://www.reddit.com/r/diabetes/comments/hko246/finding_an_endo_for_a_long_distance_move/")</f>
        <v/>
      </c>
      <c r="G9946" t="inlineStr">
        <is>
          <t>2020-07-03 11:16:47</t>
        </is>
      </c>
      <c r="H9946" t="inlineStr">
        <is>
          <t>Type 1</t>
        </is>
      </c>
    </row>
    <row r="9947">
      <c r="A9947" t="inlineStr">
        <is>
          <t>hkof6l</t>
        </is>
      </c>
      <c r="B9947" t="inlineStr">
        <is>
          <t>i was diagnosed as type 2/prediabetic and need some help</t>
        </is>
      </c>
      <c r="C9947" t="inlineStr">
        <is>
          <t>If I am thinking correctly, type 2 is like a insulin resistant type diabetes right? I went an did a checkup at the local health dept and my glucose was 268 and she told me that she "should" put me on insulin right then, but she prescribed me metformin and told me to change my eating habits.
Now, fast forward  about a week. I decided that I did not need metformin and was successfully controlling my glucose levels below 140 (not sure of the correct terminology, please excuse me). I eat a lot of sandwiches using the type of bread that is unrefined/high fiber/whole grain like "Arnolds 12 grain" brand. And using ham and cheese. This is about all I eat actually with the occasional bowl of popcorn or nature valley salted caramel nut bars etc but I'm moderating potions etc.
Here is one thing I have noticed though. If I let my glucose level drop down to about 80-85, I can eat a whole king sized kit kat and my glucose doesn't go above 105-110 and drops within 2 hours back to 80-90 range. If my glucose level is 80ish I can drink a whole large caramel frappe from mcdonalds and it also does not go above 105-110 and drops to an acceptable level (80-90) within less than 2 hours.
What I'm trying to figure out is... Is this normal for a diabetic? I did a home made tolerance test once and ate 3 king size kit kats and my glucose level barely got about 160. But that's like 200-210 carbs. 
So the question is, would a normal healthy person stay below 120-130 or would they also reach levels that I did? I'm just having a hard time finging something that is reasonably easy to make that is low on carbs or diabetic friendly. I wish there was a store that catered to diabetics or something. The grocery stores diabetic aisle (if they even have one) sucks tbh. But I just do not understand why I can eat kitkats and frappes, but if I eat 2 sadnwiches it drives up my glucose more than the sugars/sweets. Makes absolutely no sense ;(  
Also I forgot to say that after eating something like sandwiches, a lot of the time it will indeed take a while (3+ hours or more) for my glucose to come back down.</t>
        </is>
      </c>
      <c r="D9947" t="n">
        <v>0</v>
      </c>
      <c r="E9947" t="n">
        <v>4</v>
      </c>
      <c r="F9947">
        <f>HYPERLINK("https://www.reddit.com/r/diabetes/comments/hkof6l/i_was_diagnosed_as_type_2prediabetic_and_need/")</f>
        <v/>
      </c>
      <c r="G9947" t="inlineStr">
        <is>
          <t>2020-07-03 11:37:39</t>
        </is>
      </c>
      <c r="H9947" t="inlineStr">
        <is>
          <t>Type 2</t>
        </is>
      </c>
    </row>
    <row r="9948">
      <c r="A9948" t="inlineStr">
        <is>
          <t>hkrvu3</t>
        </is>
      </c>
      <c r="B9948" t="inlineStr">
        <is>
          <t>Newly diagnosed/alcohol</t>
        </is>
      </c>
      <c r="C9948" t="inlineStr">
        <is>
          <t>I had been feeling bad and having pain near chest so I went to the dr. My white blood cell count was a little high so dr figured I had an infection and gave me an antibiotic which I started. She tested my blood sugar and did an a1c for kicks. Blood sugar was 384. A1c was 6.5 
Now I had been drinking wine and eating crap the night before so I don’t know if this is a temporary thing but the dr put me on Metformin and told me to test my sugars three times a day. 
I haven’t started the Metformin yet (or the testing) because this doctor wasn’t my primary care doctor and I want to check with her first. But my sugars were so high that I wonder if I should start it. I was hoping to party some this weekend with a few beers etc but with Metformin you can’t drink. 
Anybody have thoughts? 
48 years old/female</t>
        </is>
      </c>
      <c r="D9948" t="n">
        <v>1</v>
      </c>
      <c r="E9948" t="n">
        <v>4</v>
      </c>
      <c r="F9948">
        <f>HYPERLINK("https://www.reddit.com/r/diabetes/comments/hkrvu3/newly_diagnosedalcohol/")</f>
        <v/>
      </c>
      <c r="G9948" t="inlineStr">
        <is>
          <t>2020-07-03 15:01:23</t>
        </is>
      </c>
      <c r="H9948" t="inlineStr">
        <is>
          <t>Type 2</t>
        </is>
      </c>
    </row>
    <row r="9949">
      <c r="A9949" t="inlineStr">
        <is>
          <t>hkryze</t>
        </is>
      </c>
      <c r="B9949" t="inlineStr">
        <is>
          <t>Should I consider an insulin pump?</t>
        </is>
      </c>
      <c r="C9949" t="inlineStr">
        <is>
          <t>Hi new around here I was diagnosed about 4 years ago with type 2 diabetes and am insulin dependent (beta cell death) I'm finding that although I can eventually get my numbers in check it takes quite some time and lots of injections (I'm at 6 or 7 injections per day if you include my 2 basal injections per day of NPH). I've been looking at some resources and alot of them say that insulin pumps are great for type 2 diabetics who are having issues keeping their numbers in check. Should I consider talking to my endocrinologist about getting one or should I just stay the course and keeping doing the 6 or 7 injections per day?</t>
        </is>
      </c>
      <c r="D9949" t="n">
        <v>1</v>
      </c>
      <c r="E9949" t="n">
        <v>18</v>
      </c>
      <c r="F9949">
        <f>HYPERLINK("https://www.reddit.com/r/diabetes/comments/hkryze/should_i_consider_an_insulin_pump/")</f>
        <v/>
      </c>
      <c r="G9949" t="inlineStr">
        <is>
          <t>2020-07-03 15:06:38</t>
        </is>
      </c>
      <c r="H9949" t="inlineStr">
        <is>
          <t>Type 2</t>
        </is>
      </c>
    </row>
    <row r="9950">
      <c r="A9950" t="inlineStr">
        <is>
          <t>hksq37</t>
        </is>
      </c>
      <c r="B9950" t="inlineStr">
        <is>
          <t>I have Covid-19 and type 1 diabetes. (29/m)</t>
        </is>
      </c>
      <c r="C9950" t="inlineStr">
        <is>
          <t>I began taking care of my partner(25/m) who was sick.
We got him a test last Thursday, I became sick Sunday  fever between 99°-102°and we received his results today... positive for covid-19. 
My worst fear of 2020 arrived, I definitely have covid. 
Symptoms have been shitty, chills, sweating, body and joint aches in every joint in my body. 
My first three days were the worst, I couldn’t get my blood sugar below 170 for more than an hour at a time.
To resolve that I’ve had to temporarily double both my long acting and short acting insulin. 
The worst symptom is lack of smell, one of my first signs of high blood sugar is sensitivity to smells. 
Overall I’ve had no breathing issues besides minor chest tightness. 
It hasn’t yet been as bad as I thought it would be. But it isn’t over yet... I’m open for questions... nothing but time on my hands 🙌🏻</t>
        </is>
      </c>
      <c r="D9950" t="n">
        <v>77</v>
      </c>
      <c r="E9950" t="n">
        <v>194</v>
      </c>
      <c r="F9950">
        <f>HYPERLINK("https://www.reddit.com/r/diabetes/comments/hksq37/i_have_covid19_and_type_1_diabetes_29m/")</f>
        <v/>
      </c>
      <c r="G9950" t="inlineStr">
        <is>
          <t>2020-07-03 15:53:24</t>
        </is>
      </c>
      <c r="H9950" t="inlineStr">
        <is>
          <t>Type 1</t>
        </is>
      </c>
    </row>
    <row r="9951">
      <c r="A9951" t="inlineStr">
        <is>
          <t>hktaov</t>
        </is>
      </c>
      <c r="B9951" t="inlineStr">
        <is>
          <t>A few questions from a fairly new t1 diabetic</t>
        </is>
      </c>
      <c r="C9951" t="inlineStr">
        <is>
          <t>Hello everyone hope you are doing well just had a few quick questions that you might be able to help me with. I had first low sugar a couple months  ago and since then I think I now have fear of hypoglycemia. My question to you is if you have active insulin say you did 16 units you were at 180 and 40 minutes later you were 65; you still have a ton of active insulin, do you have to eat more than 15 carbs? I am very worried all the time ..  will my insulin work faster than my new carbs ? I always feel like whenever I'm low my carbs are not going to work if I have active insulin I think it's starting to affect my day to day  life a lot. Has anyone had any experience with this? To be honest I'm feeling very hopeless about this disease thank you for listening and your help.</t>
        </is>
      </c>
      <c r="D9951" t="n">
        <v>1</v>
      </c>
      <c r="E9951" t="n">
        <v>5</v>
      </c>
      <c r="F9951">
        <f>HYPERLINK("https://www.reddit.com/r/diabetes/comments/hktaov/a_few_questions_from_a_fairly_new_t1_diabetic/")</f>
        <v/>
      </c>
      <c r="G9951" t="inlineStr">
        <is>
          <t>2020-07-03 16:29:47</t>
        </is>
      </c>
      <c r="H9951" t="inlineStr">
        <is>
          <t>Type 1</t>
        </is>
      </c>
    </row>
    <row r="9952">
      <c r="A9952" t="inlineStr">
        <is>
          <t>hktw3l</t>
        </is>
      </c>
      <c r="B9952" t="inlineStr">
        <is>
          <t>Using Novolin N after Lantus Vial breaks</t>
        </is>
      </c>
      <c r="C9952" t="inlineStr">
        <is>
          <t>Hi, I recently had to purchase a vial of Novolin N to hold me over as my last vial of Lantus broke and don't see my new endocrinologist for another month. (I cannot contact my old endocrinologist as it is 8pm on a weekend where I live) I know Novolin N is an intermediate acting insulin, is Novolin N supposed to be taken at half dose twice a day, or full dose once a day?</t>
        </is>
      </c>
      <c r="D9952" t="n">
        <v>1</v>
      </c>
      <c r="E9952" t="n">
        <v>4</v>
      </c>
      <c r="F9952">
        <f>HYPERLINK("https://www.reddit.com/r/diabetes/comments/hktw3l/using_novolin_n_after_lantus_vial_breaks/")</f>
        <v/>
      </c>
      <c r="G9952" t="inlineStr">
        <is>
          <t>2020-07-03 17:09:40</t>
        </is>
      </c>
      <c r="H9952" t="inlineStr">
        <is>
          <t>Type 1</t>
        </is>
      </c>
    </row>
    <row r="9953">
      <c r="A9953" t="inlineStr">
        <is>
          <t>hkvdki</t>
        </is>
      </c>
      <c r="B9953" t="inlineStr">
        <is>
          <t>Sedation and type 1 diabetes</t>
        </is>
      </c>
      <c r="C9953" t="inlineStr">
        <is>
          <t>I’m having all 4 wisdom teeth removed in a week, I will be put under sedation for an hour for the procedure. I’m just looking for some advice/ tips on how to control your blood sugar before the procedure and ensure I don’t have a low during the fast. 
Also, what foods should I be eating after the procedure to maintain blood sugar levels. Yogurt and jelly are at the top of the list at the moment.</t>
        </is>
      </c>
      <c r="D9953" t="n">
        <v>1</v>
      </c>
      <c r="E9953" t="n">
        <v>7</v>
      </c>
      <c r="F9953">
        <f>HYPERLINK("https://www.reddit.com/r/diabetes/comments/hkvdki/sedation_and_type_1_diabetes/")</f>
        <v/>
      </c>
      <c r="G9953" t="inlineStr">
        <is>
          <t>2020-07-03 18:57:40</t>
        </is>
      </c>
      <c r="H9953" t="inlineStr">
        <is>
          <t>Type 1</t>
        </is>
      </c>
    </row>
    <row r="9954">
      <c r="A9954" t="inlineStr">
        <is>
          <t>hkxwxs</t>
        </is>
      </c>
      <c r="B9954" t="inlineStr">
        <is>
          <t>I have T2 diabetes , planning to get CGM... which one is best and more reliable?</t>
        </is>
      </c>
      <c r="C9954" t="inlineStr">
        <is>
          <t>I have T2 diabetes ... wanted to purchase CGM... so I can get more accurate information about sugar levels... please suggest which one is best ?</t>
        </is>
      </c>
      <c r="D9954" t="n">
        <v>1</v>
      </c>
      <c r="E9954" t="n">
        <v>2</v>
      </c>
      <c r="F9954">
        <f>HYPERLINK("https://www.reddit.com/r/diabetes/comments/hkxwxs/i_have_t2_diabetes_planning_to_get_cgm_which_one/")</f>
        <v/>
      </c>
      <c r="G9954" t="inlineStr">
        <is>
          <t>2020-07-03 22:13:04</t>
        </is>
      </c>
      <c r="H9954" t="inlineStr">
        <is>
          <t>Type 2</t>
        </is>
      </c>
    </row>
    <row r="9955">
      <c r="A9955" t="inlineStr">
        <is>
          <t>hkyddd</t>
        </is>
      </c>
      <c r="B9955" t="inlineStr">
        <is>
          <t>Fasting can reverse type 2 diabetes until you no longer have it!</t>
        </is>
      </c>
      <c r="C9955" t="inlineStr">
        <is>
          <t xml:space="preserve">
You can reduce your insulin resistance just by fasting. Sugar/refined carbohydrates attach to the same receptor sites in your cells as insulin does, meaning you need more insulin each time to achieve the same result. Fasting clears up those sites and essentially reduces your insulin resistance. 
But fasting also cleans up your body let me explain: 
As time goes on, cells oxidise and die, that process is accelerated if you add oxidants to the body like refined carbs, drugs or alcohol. As the cell becomes senescent (dies) that causes some inflammation. Inflammation is your body releasing hydrogen peroxide and other bleach like chemicals, which is great if you have an open wound as it would prevent bacterial infection or other, but not that great the rest of the time. 
This inflammation kills other nearby cells making them senescent, which in turn, creates more inflammation! And so on and so forth. 
When you fast you up-regulate autophagy, which is your body eating up the dead and dying cells and replacing with new fresh ones and therefore, removing the inflammation in the process. 
The Hormone, NAD is important for autophagy and cleaning up the dead cells, but it’s also important for reading your DNA correctly, if you have many cells which are dead you don’t have much NAD to read your DNA, so the new cells you create don’t work properly, adding to your issue. By fasting you remove the dead cells, which frees up NAD, which means you can read DNA properly, which means the cells you create are proper! And so on and so forth</t>
        </is>
      </c>
      <c r="D9955" t="n">
        <v>1</v>
      </c>
      <c r="E9955" t="n">
        <v>32</v>
      </c>
      <c r="F9955">
        <f>HYPERLINK("https://www.reddit.com/r/diabetes/comments/hkyddd/fasting_can_reverse_type_2_diabetes_until_you_no/")</f>
        <v/>
      </c>
      <c r="G9955" t="inlineStr">
        <is>
          <t>2020-07-03 22:52:25</t>
        </is>
      </c>
      <c r="H9955" t="inlineStr">
        <is>
          <t>Type 2</t>
        </is>
      </c>
    </row>
    <row r="9956">
      <c r="A9956" t="inlineStr">
        <is>
          <t>hkyfvw</t>
        </is>
      </c>
      <c r="B9956" t="inlineStr">
        <is>
          <t>Freestyle Libre numerical readings</t>
        </is>
      </c>
      <c r="C9956" t="inlineStr">
        <is>
          <t>So, I just started using Libre. Is there anyway to get the numerical readings instead of the graph? I understand the sensors stores readings every 15 mins and then transmit them to the app upon scanning. But in the app, I can just see the "log" (which only shows the readings at the time of scanning), and the graph. But no way to get those numerical values every 15 mins?
Also, any recommendation for which adhesive tape and adhesive remover I will need?</t>
        </is>
      </c>
      <c r="D9956" t="n">
        <v>1</v>
      </c>
      <c r="E9956" t="n">
        <v>4</v>
      </c>
      <c r="F9956">
        <f>HYPERLINK("https://www.reddit.com/r/diabetes/comments/hkyfvw/freestyle_libre_numerical_readings/")</f>
        <v/>
      </c>
      <c r="G9956" t="inlineStr">
        <is>
          <t>2020-07-03 22:58:52</t>
        </is>
      </c>
      <c r="H9956" t="inlineStr">
        <is>
          <t>Type 2</t>
        </is>
      </c>
    </row>
    <row r="9957">
      <c r="A9957" t="inlineStr">
        <is>
          <t>hkzdwj</t>
        </is>
      </c>
      <c r="B9957" t="inlineStr">
        <is>
          <t>Adjusting insulin for different types of exercise</t>
        </is>
      </c>
      <c r="C9957" t="inlineStr">
        <is>
          <t>(M, 187cm, 80kg). I've had very good results lately with following a three-day cycle of exercise, which involves insulin changes across the days, in a 'mini bulk-cut' pattern. The cycle is based on the way in which body-builders use insulin, but adapted for a T1 Diabetic, who wants to gain muscle and loss fat as well. It's worked pretty well- I've gained a fair bit of muscle mass, and lowered my BF to about 10-12%, so my abs are finally showing through. My t-shirts are all now getting too small, and my belts are too big. My overall weight has remained virtually the same, though.
Day 1: (Muscle gaining day). 27 Units of lantus the night before. 12 Units of humalog in the morning, followed by heavy work on weights. 5 Units of humalog at lunch. 3 at night. Eat a lot of carbs and protein on this day.
Day 2 (Recovery day/neutral day): 27 units of lantus at night. 3 units of humalog in the morning. Eat 'regular' amount of carbs (more in the morning), and decent amount of protein in the morning. Do a good amount of cardio and some lighter weights in the afternoon.
Day 3 (Fat burning day): 25 Units of lantus at night, and no humalog during the day (if I can avoid it- perhaps 1 unit before meals, if necessary). Eat very little carbs and do a lot of cardio.   
Obviously, to do this cycle safely, its necessary to test BS frequently. But it does seem to be working well. I think for a T1 diabetic interesting in building muscle and losing fat, it's probably healthier than going on a more usual, longer-term bulk-cut cycle- as that would be to risk developing insulin resistance.</t>
        </is>
      </c>
      <c r="D9957" t="n">
        <v>1</v>
      </c>
      <c r="E9957" t="n">
        <v>0</v>
      </c>
      <c r="F9957">
        <f>HYPERLINK("https://www.reddit.com/r/diabetes/comments/hkzdwj/adjusting_insulin_for_different_types_of_exercise/")</f>
        <v/>
      </c>
      <c r="G9957" t="inlineStr">
        <is>
          <t>2020-07-04 00:27:09</t>
        </is>
      </c>
      <c r="H9957" t="inlineStr">
        <is>
          <t>Type 1</t>
        </is>
      </c>
    </row>
    <row r="9958">
      <c r="A9958" t="inlineStr">
        <is>
          <t>hl0bf4</t>
        </is>
      </c>
      <c r="B9958" t="inlineStr">
        <is>
          <t>My dad turns into a super-strength retard when he has LBS</t>
        </is>
      </c>
      <c r="C9958" t="inlineStr">
        <is>
          <t>I know LBS isn't the actual term, it's just what my family calls it (low blood sugar).  He's a type 1, and has always presented this way when his blood sugar goes low.  He will refuse juice or honey, and often will get combative when we tell him his blood sugar is low, though he's not a combative person when he's normal.  He literally turns into a retarded version of the hulk when it's REALLY low; during one instance it took four EMT's and two cops to hold him down to give him glucose after my mother gave up trying to coax him into drinking juice and called 911.
So, I guess PSA: some diabetics turn into super-strong psychos when they're hypoglycemic. I feel like he's going to wind up getting tazed by cops that think he's on PCP one of these days.  That'll be totally on him though, he purposely runs his blood sugar on the low end of what's acceptable for diabetics (which is actually healthier in the long run).  But he doesn't test frequently enough.  Rant over.</t>
        </is>
      </c>
      <c r="D9958" t="n">
        <v>1</v>
      </c>
      <c r="E9958" t="n">
        <v>9</v>
      </c>
      <c r="F9958">
        <f>HYPERLINK("https://www.reddit.com/r/diabetes/comments/hl0bf4/my_dad_turns_into_a_superstrength_retard_when_he/")</f>
        <v/>
      </c>
      <c r="G9958" t="inlineStr">
        <is>
          <t>2020-07-04 01:59:21</t>
        </is>
      </c>
      <c r="H9958" t="inlineStr">
        <is>
          <t>Type 1</t>
        </is>
      </c>
    </row>
    <row r="9959">
      <c r="A9959" t="inlineStr">
        <is>
          <t>hl3rzp</t>
        </is>
      </c>
      <c r="B9959" t="inlineStr">
        <is>
          <t>What do you do with white scabs on your body?</t>
        </is>
      </c>
      <c r="C9959" t="inlineStr">
        <is>
          <t>I have white scabs that is effected by sugar level. They haven’t gone away and I think my A1C is between 6.5-7.</t>
        </is>
      </c>
      <c r="D9959" t="n">
        <v>1</v>
      </c>
      <c r="E9959" t="n">
        <v>6</v>
      </c>
      <c r="F9959">
        <f>HYPERLINK("https://www.reddit.com/r/diabetes/comments/hl3rzp/what_do_you_do_with_white_scabs_on_your_body/")</f>
        <v/>
      </c>
      <c r="G9959" t="inlineStr">
        <is>
          <t>2020-07-04 07:01:43</t>
        </is>
      </c>
      <c r="H9959" t="inlineStr">
        <is>
          <t>Type 2</t>
        </is>
      </c>
    </row>
    <row r="9960">
      <c r="A9960" t="inlineStr">
        <is>
          <t>hl655f</t>
        </is>
      </c>
      <c r="B9960" t="inlineStr">
        <is>
          <t>Freestyle Libre App. Why does it require location/GPS to be switched on in order to deliver high or low alarms?</t>
        </is>
      </c>
      <c r="C9960" t="inlineStr">
        <is>
          <t>2 major concerns with this: 
- Location being constantly on drains the battery at a ridiculous rate
- I don't particularly want Abbot (or anyone really) having access to my location data
Does anyone know any workarounds? Or do I either have to tacitly consent to my location being visible or carry an additional device in the form of the reader around to be able to make use of this feature?
I am on Android and in Germany if that's at all relevant</t>
        </is>
      </c>
      <c r="D9960" t="n">
        <v>1</v>
      </c>
      <c r="E9960" t="n">
        <v>5</v>
      </c>
      <c r="F9960">
        <f>HYPERLINK("https://www.reddit.com/r/diabetes/comments/hl655f/freestyle_libre_app_why_does_it_require/")</f>
        <v/>
      </c>
      <c r="G9960" t="inlineStr">
        <is>
          <t>2020-07-04 09:31:02</t>
        </is>
      </c>
      <c r="H9960" t="inlineStr">
        <is>
          <t>Type 1</t>
        </is>
      </c>
    </row>
    <row r="9961">
      <c r="A9961" t="inlineStr">
        <is>
          <t>hl74fl</t>
        </is>
      </c>
      <c r="B9961" t="inlineStr">
        <is>
          <t>Blood Sugar Climb After Sleeping</t>
        </is>
      </c>
      <c r="C9961" t="inlineStr">
        <is>
          <t>So I was looking at my trending blood sugars overnight and it dips down to a 5 mmol/L and then while I'm sleeping it jumps up to a 7 mmol/L is there any explanation to this?</t>
        </is>
      </c>
      <c r="D9961" t="n">
        <v>1</v>
      </c>
      <c r="E9961" t="n">
        <v>3</v>
      </c>
      <c r="F9961">
        <f>HYPERLINK("https://www.reddit.com/r/diabetes/comments/hl74fl/blood_sugar_climb_after_sleeping/")</f>
        <v/>
      </c>
      <c r="G9961" t="inlineStr">
        <is>
          <t>2020-07-04 10:29:58</t>
        </is>
      </c>
      <c r="H9961" t="inlineStr">
        <is>
          <t>Type 2</t>
        </is>
      </c>
    </row>
    <row r="9962">
      <c r="A9962" t="inlineStr">
        <is>
          <t>hl8xjr</t>
        </is>
      </c>
      <c r="B9962" t="inlineStr">
        <is>
          <t>Those of you with tattoos, what advice would you give to a fellow Type 1 before I get one, and what do you wish you had known/ done before you got yours?</t>
        </is>
      </c>
      <c r="C9962" t="inlineStr">
        <is>
          <t>I’ve got some ideas for tattoos and once I feel that it’s safe to get one under the current circumstances (tattoo shops are still unable to open), I want to be prepared!</t>
        </is>
      </c>
      <c r="D9962" t="n">
        <v>1</v>
      </c>
      <c r="E9962" t="n">
        <v>5</v>
      </c>
      <c r="F9962">
        <f>HYPERLINK("https://www.reddit.com/r/diabetes/comments/hl8xjr/those_of_you_with_tattoos_what_advice_would_you/")</f>
        <v/>
      </c>
      <c r="G9962" t="inlineStr">
        <is>
          <t>2020-07-04 12:17:24</t>
        </is>
      </c>
      <c r="H9962" t="inlineStr">
        <is>
          <t>Type 1</t>
        </is>
      </c>
    </row>
    <row r="9963">
      <c r="A9963" t="inlineStr">
        <is>
          <t>hlay34</t>
        </is>
      </c>
      <c r="B9963" t="inlineStr">
        <is>
          <t>I might have coronavirus</t>
        </is>
      </c>
      <c r="C9963" t="inlineStr">
        <is>
          <t>Hey, I am 15 years old and today I’ve felt that I might be sick. Should I be afraid of coronavirus?</t>
        </is>
      </c>
      <c r="D9963" t="n">
        <v>1</v>
      </c>
      <c r="E9963" t="n">
        <v>4</v>
      </c>
      <c r="F9963">
        <f>HYPERLINK("https://www.reddit.com/r/diabetes/comments/hlay34/i_might_have_coronavirus/")</f>
        <v/>
      </c>
      <c r="G9963" t="inlineStr">
        <is>
          <t>2020-07-04 14:20:50</t>
        </is>
      </c>
      <c r="H9963" t="inlineStr">
        <is>
          <t>Type 1</t>
        </is>
      </c>
    </row>
    <row r="9964">
      <c r="A9964" t="inlineStr">
        <is>
          <t>hlb8oe</t>
        </is>
      </c>
      <c r="B9964" t="inlineStr">
        <is>
          <t>I'm eligible for a new pump system as a longtime Medtronic 530g user</t>
        </is>
      </c>
      <c r="C9964" t="inlineStr">
        <is>
          <t>Title says it.
I think I'm eligible for anything. I'd like to stick with Medtronic 670g if I'm able to use the medtronic infusion sets, reservoirs, and sensors since I have such a buildup of supplies from my current system. So that would rule all if I'm able to do that. Does anyone know if I can use the same supplies with the new 670g?
Besides that I hear a lot about the T Slim/Dexcom system. What is the general recommendation?</t>
        </is>
      </c>
      <c r="D9964" t="n">
        <v>2</v>
      </c>
      <c r="E9964" t="n">
        <v>6</v>
      </c>
      <c r="F9964">
        <f>HYPERLINK("https://www.reddit.com/r/diabetes/comments/hlb8oe/im_eligible_for_a_new_pump_system_as_a_longtime/")</f>
        <v/>
      </c>
      <c r="G9964" t="inlineStr">
        <is>
          <t>2020-07-04 14:38:26</t>
        </is>
      </c>
      <c r="H9964" t="inlineStr">
        <is>
          <t>Type 1</t>
        </is>
      </c>
    </row>
    <row r="9965">
      <c r="A9965" t="inlineStr">
        <is>
          <t>hlea0u</t>
        </is>
      </c>
      <c r="B9965" t="inlineStr">
        <is>
          <t>I've been diabetic five whole days!</t>
        </is>
      </c>
      <c r="C9965" t="inlineStr">
        <is>
          <t>And I have never been more confused over any of my health issues in my life. Without going into a big long explanation the endocrinologist didn't tell me any of the results of my testing. He just gave me general information. You're definitely diabetic. Your testosterone levels are quite low, your triglycerides are high, and your vitamin D was quite low.  Then he went on to explain the medication he was going to give to me and how it worked. I'm taking  xigduo and ozempic and a vitamin D supplement.
I know absolutely fuck all about my lab values. Everyone wants to know what was my A1c? I don't have a clue he didn't tell me. He sent me on my way and said the girls out front will schedule you an appointment in 2 weeks. No education about how to live a diabetic lifestyle or what changes to make. No materials to take home and look over. Nothing!
My friend's wife is type 2 diabetic but has completely reversed hers by using the keto diet. She has progressed to where she no longer takes any medication.  She is doing her best to support me and encourage me to follow the keto lifestyle also. When I told her what drugs I was on she flipped her lid. The xigduo can cause yeast infections and necrotizing fasciitis in the perineum. In layman's terms it means flesh eating bacteria will rot your cock off starting at your taint. The other medication is known to cause thyroid and pancreatic cancer. I talked to the pharmacist and they are also expensive as hell. There's no way, even with a manufacturer's discount, that I can afford to pay for it.
Please diabetics of Reddit. Give me some advice! Give me some encouragement! Give me an idea if this stuff is even possible or am I avoiding all the good food in my cabinet based on false information and fad dieting.
Losing my mind in Indiana,
Crackfiend76</t>
        </is>
      </c>
      <c r="D9965" t="n">
        <v>1</v>
      </c>
      <c r="E9965" t="n">
        <v>8</v>
      </c>
      <c r="F9965">
        <f>HYPERLINK("https://www.reddit.com/r/diabetes/comments/hlea0u/ive_been_diabetic_five_whole_days/")</f>
        <v/>
      </c>
      <c r="G9965" t="inlineStr">
        <is>
          <t>2020-07-04 18:11:59</t>
        </is>
      </c>
      <c r="H9965" t="inlineStr">
        <is>
          <t>Type 2</t>
        </is>
      </c>
    </row>
    <row r="9966">
      <c r="A9966" t="inlineStr">
        <is>
          <t>hlig1a</t>
        </is>
      </c>
      <c r="B9966" t="inlineStr">
        <is>
          <t>Asking for a friend.</t>
        </is>
      </c>
      <c r="C9966" t="inlineStr">
        <is>
          <t>My friend is Type 2 insulin dependent. She's really overweight and stopped taking all medication a while ago with the aim of losing weight quickly, and then restarting medication when she's lost a lot of weight. She is losing about 1kg every week now and has some blurry vision, very thirsty, everything you would expect. She is not taking any readings, so she doesn't know what her levels are. My question is, how dangerous is this in the short term?</t>
        </is>
      </c>
      <c r="D9966" t="n">
        <v>1</v>
      </c>
      <c r="E9966" t="n">
        <v>8</v>
      </c>
      <c r="F9966">
        <f>HYPERLINK("https://www.reddit.com/r/diabetes/comments/hlig1a/asking_for_a_friend/")</f>
        <v/>
      </c>
      <c r="G9966" t="inlineStr">
        <is>
          <t>2020-07-05 00:08:55</t>
        </is>
      </c>
      <c r="H9966" t="inlineStr">
        <is>
          <t>Type 2</t>
        </is>
      </c>
    </row>
    <row r="9967">
      <c r="A9967" t="inlineStr">
        <is>
          <t>hljsfw</t>
        </is>
      </c>
      <c r="B9967" t="inlineStr">
        <is>
          <t>Stop losing weight</t>
        </is>
      </c>
      <c r="C9967" t="inlineStr">
        <is>
          <t>Hi folks. I'm in my 20s and have just been diagnosed with diabetes. I've noticed that I have continuously lose weight even after following the treatment plan. Can anyone tell me what's wrong? I never have any hypos ever since the treatment plan have started (jan 2020).</t>
        </is>
      </c>
      <c r="D9967" t="n">
        <v>1</v>
      </c>
      <c r="E9967" t="n">
        <v>4</v>
      </c>
      <c r="F9967">
        <f>HYPERLINK("https://www.reddit.com/r/diabetes/comments/hljsfw/stop_losing_weight/")</f>
        <v/>
      </c>
      <c r="G9967" t="inlineStr">
        <is>
          <t>2020-07-05 02:22:15</t>
        </is>
      </c>
      <c r="H9967" t="inlineStr">
        <is>
          <t>Type 1</t>
        </is>
      </c>
    </row>
    <row r="9968">
      <c r="A9968" t="inlineStr">
        <is>
          <t>hlk5nb</t>
        </is>
      </c>
      <c r="B9968" t="inlineStr">
        <is>
          <t>Do you guys drink alcohol?</t>
        </is>
      </c>
      <c r="C9968" t="inlineStr">
        <is>
          <t>For example if I have drunk like 5 bears I just don't care enough about my diabetes ist still do some bolus about my high sugar but I'm not even close as attentive about it as usual. Maybe worth mentioning I'm a teenager and drink quite rare so 5 bears is a decent amount. What about you guys? And tips to cope with it?</t>
        </is>
      </c>
      <c r="D9968" t="n">
        <v>1</v>
      </c>
      <c r="E9968" t="n">
        <v>17</v>
      </c>
      <c r="F9968">
        <f>HYPERLINK("https://www.reddit.com/r/diabetes/comments/hlk5nb/do_you_guys_drink_alcohol/")</f>
        <v/>
      </c>
      <c r="G9968" t="inlineStr">
        <is>
          <t>2020-07-05 02:58:17</t>
        </is>
      </c>
      <c r="H9968" t="inlineStr">
        <is>
          <t>Type 1</t>
        </is>
      </c>
    </row>
    <row r="9969">
      <c r="A9969" t="inlineStr">
        <is>
          <t>hllny5</t>
        </is>
      </c>
      <c r="B9969" t="inlineStr">
        <is>
          <t>How do you guys take care of your insulin pump sites?</t>
        </is>
      </c>
      <c r="C9969" t="inlineStr">
        <is>
          <t>I’m noticing that I’m getting a lot of scarring and that it seems to be starting to affect my insulin absorption by delaying it or not working as well. I’ve only been pumping for about a year, but I guess I’ll probably need to consider doing alternate sites as well instead of all on my stomach</t>
        </is>
      </c>
      <c r="D9969" t="n">
        <v>1</v>
      </c>
      <c r="E9969" t="n">
        <v>3</v>
      </c>
      <c r="F9969">
        <f>HYPERLINK("https://www.reddit.com/r/diabetes/comments/hllny5/how_do_you_guys_take_care_of_your_insulin_pump/")</f>
        <v/>
      </c>
      <c r="G9969" t="inlineStr">
        <is>
          <t>2020-07-05 05:14:28</t>
        </is>
      </c>
      <c r="H9969" t="inlineStr">
        <is>
          <t>Type 1</t>
        </is>
      </c>
    </row>
    <row r="9970">
      <c r="A9970" t="inlineStr">
        <is>
          <t>hlp0kk</t>
        </is>
      </c>
      <c r="B9970" t="inlineStr">
        <is>
          <t>Dexcom G6 Transmitter Issues</t>
        </is>
      </c>
      <c r="C9970" t="inlineStr">
        <is>
          <t>Hi guys so I'm having issues with either my Dexcom G6 Transmitter or my phone which is a Samsung Galaxy S9+. My issue is my sensor stays connected for a while and for the most part its works amazingly but then comes the other part where if I'm using Androud Auto in my car to listen to music or whatever well it'll stay connected for a time and then boom it'll lose connection to the transmitter at which point I need to restart my phone and let it do it thing and half an hour later it connects again and then rinse and repeat. Is anyone else having this issue and if so is there anyway to fix this?</t>
        </is>
      </c>
      <c r="D9970" t="n">
        <v>1</v>
      </c>
      <c r="E9970" t="n">
        <v>3</v>
      </c>
      <c r="F9970">
        <f>HYPERLINK("https://www.reddit.com/r/diabetes/comments/hlp0kk/dexcom_g6_transmitter_issues/")</f>
        <v/>
      </c>
      <c r="G9970" t="inlineStr">
        <is>
          <t>2020-07-05 09:04:08</t>
        </is>
      </c>
      <c r="H9970" t="inlineStr">
        <is>
          <t>Type 2</t>
        </is>
      </c>
    </row>
    <row r="9971">
      <c r="A9971" t="inlineStr">
        <is>
          <t>hlqmqs</t>
        </is>
      </c>
      <c r="B9971" t="inlineStr">
        <is>
          <t>Liposuction and lipohypertrophy</t>
        </is>
      </c>
      <c r="C9971" t="inlineStr">
        <is>
          <t>I saw [this](https://care.diabetesjournals.org/content/16/6/929) short report from 1993 that says liposuction can cure lipohypertrophy. Has anyone had this procedure done? If so, were you able to inject insulin again into the site?</t>
        </is>
      </c>
      <c r="D9971" t="n">
        <v>6</v>
      </c>
      <c r="E9971" t="n">
        <v>2</v>
      </c>
      <c r="F9971">
        <f>HYPERLINK("https://www.reddit.com/r/diabetes/comments/hlqmqs/liposuction_and_lipohypertrophy/")</f>
        <v/>
      </c>
      <c r="G9971" t="inlineStr">
        <is>
          <t>2020-07-05 10:39:21</t>
        </is>
      </c>
      <c r="H9971" t="inlineStr">
        <is>
          <t>Type 1</t>
        </is>
      </c>
    </row>
    <row r="9972">
      <c r="A9972" t="inlineStr">
        <is>
          <t>hlwwzb</t>
        </is>
      </c>
      <c r="B9972" t="inlineStr">
        <is>
          <t>Anyone else forget if they've taken their insulin??</t>
        </is>
      </c>
      <c r="C9972" t="inlineStr">
        <is>
          <t>So this has only happened a handful of times to me in the 13 years of being diagnosed with type 1 diabetes, but every time it happens I always feel stuck and lost on what to do.
I have the tendancy to input the amount of insulin on my libre (on my phone) before I actually inject and most of the time I put in my long acting insulin, out of habit, before I take it, because I tend to take it at the same time every day.  
But today is one of them days where it's been a blur and I just can't remember for the life of me if I've taken my long acting insulin or not. And I can't rely on my blood sugar readings to give some insight because the last week or two has been major roller coasters and spikes, and I'm just stuck!  (Yay for insulin &amp;amp; regime changes) 
Looks like it's gonna be one of them sleepless nights of checking BS every few hours and correcting all night if needs be. 
God, it's is exhausting sometimes.</t>
        </is>
      </c>
      <c r="D9972" t="n">
        <v>55</v>
      </c>
      <c r="E9972" t="n">
        <v>69</v>
      </c>
      <c r="F9972">
        <f>HYPERLINK("https://www.reddit.com/r/diabetes/comments/hlwwzb/anyone_else_forget_if_theyve_taken_their_insulin/")</f>
        <v/>
      </c>
      <c r="G9972" t="inlineStr">
        <is>
          <t>2020-07-05 16:46:38</t>
        </is>
      </c>
      <c r="H9972" t="inlineStr">
        <is>
          <t>Type 1</t>
        </is>
      </c>
    </row>
    <row r="9973">
      <c r="A9973" t="inlineStr">
        <is>
          <t>hlzryo</t>
        </is>
      </c>
      <c r="B9973" t="inlineStr">
        <is>
          <t>One thing discouraging me from getting omnipod</t>
        </is>
      </c>
      <c r="C9973" t="inlineStr">
        <is>
          <t>Hello, I have had diabetes for 11 months I’m 16 and I’ve been put on a list to get a omnipod. My control is good my HBA1C is always in the 5-6 range nothing higher then 6.0, no longer in honeymoon I already have a Dexcom. 
I go out a lot with my friends and I hate having to inject near them. There are also a few house party’s coming up and I do not want to inject at a house party, basically I like everything about the omnipod and the fact it’s tubeless except the fact it beeps in public, I would hate for it to beep in front off everyone. Would it be more discreet then pens or not? I can’t decide do I stay on pens or get a pod why is it so hard for the company to just add a option to silence alerts?</t>
        </is>
      </c>
      <c r="D9973" t="n">
        <v>1</v>
      </c>
      <c r="E9973" t="n">
        <v>18</v>
      </c>
      <c r="F9973">
        <f>HYPERLINK("https://www.reddit.com/r/diabetes/comments/hlzryo/one_thing_discouraging_me_from_getting_omnipod/")</f>
        <v/>
      </c>
      <c r="G9973" t="inlineStr">
        <is>
          <t>2020-07-05 20:02:01</t>
        </is>
      </c>
      <c r="H9973" t="inlineStr">
        <is>
          <t>Type 1</t>
        </is>
      </c>
    </row>
    <row r="9974">
      <c r="A9974" t="inlineStr">
        <is>
          <t>hm33v1</t>
        </is>
      </c>
      <c r="B9974" t="inlineStr">
        <is>
          <t>What is your normal amount of time in range?</t>
        </is>
      </c>
      <c r="C9974" t="inlineStr">
        <is>
          <t>When you go to the doc with your cgm and get your data, what is a good ‘time in range’ percentage?</t>
        </is>
      </c>
      <c r="D9974" t="n">
        <v>1</v>
      </c>
      <c r="E9974" t="n">
        <v>3</v>
      </c>
      <c r="F9974">
        <f>HYPERLINK("https://www.reddit.com/r/diabetes/comments/hm33v1/what_is_your_normal_amount_of_time_in_range/")</f>
        <v/>
      </c>
      <c r="G9974" t="inlineStr">
        <is>
          <t>2020-07-06 00:24:52</t>
        </is>
      </c>
      <c r="H9974" t="inlineStr">
        <is>
          <t>Type 1</t>
        </is>
      </c>
    </row>
    <row r="9975">
      <c r="A9975" t="inlineStr">
        <is>
          <t>hm68pu</t>
        </is>
      </c>
      <c r="B9975" t="inlineStr">
        <is>
          <t>Have any T1 been diagnosed with anything in addition to insulin for their insulin resistance?</t>
        </is>
      </c>
      <c r="C9975" t="inlineStr">
        <is>
          <t>I have an appointment with my endo in a few weeks and I want to go in potentially with some questions or suggestions. My insulin resistance can be bad - especially in the night and in the morning. It's to the point where I hate eating early or late. 
I was wondering if anyone else found a medicine that helped? I've been diabetic for 19 yrs, so I know low to no carb diets and plenty of exercise can help.</t>
        </is>
      </c>
      <c r="D9975" t="n">
        <v>1</v>
      </c>
      <c r="E9975" t="n">
        <v>0</v>
      </c>
      <c r="F9975">
        <f>HYPERLINK("https://www.reddit.com/r/diabetes/comments/hm68pu/have_any_t1_been_diagnosed_with_anything_in/")</f>
        <v/>
      </c>
      <c r="G9975" t="inlineStr">
        <is>
          <t>2020-07-06 04:53:04</t>
        </is>
      </c>
      <c r="H9975" t="inlineStr">
        <is>
          <t>Type 1</t>
        </is>
      </c>
    </row>
    <row r="9976">
      <c r="A9976" t="inlineStr">
        <is>
          <t>hm69pr</t>
        </is>
      </c>
      <c r="B9976" t="inlineStr">
        <is>
          <t>Has anyone with T1 been prescribed something other than insulin for insulin resistance?</t>
        </is>
      </c>
      <c r="C9976" t="inlineStr">
        <is>
          <t>I have an appointment with my endo in a few weeks and I want to go in potentially with some questions or suggestions. My insulin resistance can be bad - especially in the night and in the morning. It's to the point where I hate eating early or late. 
I was wondering if anyone else found a medicine that helped? I've been diabetic for 19 yrs, so I know low to no carb diets and plenty of exercise can help.</t>
        </is>
      </c>
      <c r="D9976" t="n">
        <v>1</v>
      </c>
      <c r="E9976" t="n">
        <v>21</v>
      </c>
      <c r="F9976">
        <f>HYPERLINK("https://www.reddit.com/r/diabetes/comments/hm69pr/has_anyone_with_t1_been_prescribed_something/")</f>
        <v/>
      </c>
      <c r="G9976" t="inlineStr">
        <is>
          <t>2020-07-06 04:55:17</t>
        </is>
      </c>
      <c r="H9976" t="inlineStr">
        <is>
          <t>Type 1</t>
        </is>
      </c>
    </row>
    <row r="9977">
      <c r="A9977" t="inlineStr">
        <is>
          <t>hm6em9</t>
        </is>
      </c>
      <c r="B9977" t="inlineStr">
        <is>
          <t>Misdiagnosed as Type 2 in 2016 now diagnosed as Type 1 and on insulin. I’m exhausted!</t>
        </is>
      </c>
      <c r="C9977" t="inlineStr">
        <is>
          <t>I’m wondering if anyone else has experienced mega-fatigue when they started insulin? 
I was thought of as Type 2 and was on Metformin, until earlier this year when my Hba1c shot up to 117. 
A few more tests confirmed I was actually Type 1 all along and I was put on insulin. 
It’s been almost two weeks now and I’m experiencing absolutely debilitating fatigue. Achy joints, crashing to sleep at 7/8pm, waking up in the middle of the night ravenously hungry. 
My blood sugar levels haven’t dropped below 10 the whole time I’ve been on insulin, so I know I’m not having Hypos. 
Is this normal? Is there even a normal? I’m trying not to worry but it’s not easy 😂</t>
        </is>
      </c>
      <c r="D9977" t="n">
        <v>1</v>
      </c>
      <c r="E9977" t="n">
        <v>10</v>
      </c>
      <c r="F9977">
        <f>HYPERLINK("https://www.reddit.com/r/diabetes/comments/hm6em9/misdiagnosed_as_type_2_in_2016_now_diagnosed_as/")</f>
        <v/>
      </c>
      <c r="G9977" t="inlineStr">
        <is>
          <t>2020-07-06 05:05:05</t>
        </is>
      </c>
      <c r="H9977" t="inlineStr">
        <is>
          <t>Type 1</t>
        </is>
      </c>
    </row>
    <row r="9978">
      <c r="A9978" t="inlineStr">
        <is>
          <t>hm8slp</t>
        </is>
      </c>
      <c r="B9978" t="inlineStr">
        <is>
          <t>Hi! In general, what are the reasons why a young person with Type 1 diabetes would need an ambulance? Low blood sugar?</t>
        </is>
      </c>
      <c r="C9978" t="inlineStr">
        <is>
          <t>Thank you so much for answering! :)</t>
        </is>
      </c>
      <c r="D9978" t="n">
        <v>1</v>
      </c>
      <c r="E9978" t="n">
        <v>5</v>
      </c>
      <c r="F9978">
        <f>HYPERLINK("https://www.reddit.com/r/diabetes/comments/hm8slp/hi_in_general_what_are_the_reasons_why_a_young/")</f>
        <v/>
      </c>
      <c r="G9978" t="inlineStr">
        <is>
          <t>2020-07-06 07:37:38</t>
        </is>
      </c>
      <c r="H9978" t="inlineStr">
        <is>
          <t>Type 1</t>
        </is>
      </c>
    </row>
    <row r="9979">
      <c r="A9979" t="inlineStr">
        <is>
          <t>hmarxv</t>
        </is>
      </c>
      <c r="B9979" t="inlineStr">
        <is>
          <t>Any good hacks that you have that helps you keep your BG low?</t>
        </is>
      </c>
      <c r="C9979" t="inlineStr">
        <is>
          <t>.</t>
        </is>
      </c>
      <c r="D9979" t="n">
        <v>1</v>
      </c>
      <c r="E9979" t="n">
        <v>13</v>
      </c>
      <c r="F9979">
        <f>HYPERLINK("https://www.reddit.com/r/diabetes/comments/hmarxv/any_good_hacks_that_you_have_that_helps_you_keep/")</f>
        <v/>
      </c>
      <c r="G9979" t="inlineStr">
        <is>
          <t>2020-07-06 09:25:37</t>
        </is>
      </c>
      <c r="H9979" t="inlineStr">
        <is>
          <t>Type 2</t>
        </is>
      </c>
    </row>
    <row r="9980">
      <c r="A9980" t="inlineStr">
        <is>
          <t>hmhwn6</t>
        </is>
      </c>
      <c r="B9980" t="inlineStr">
        <is>
          <t>Basaglar and high BG in the morning</t>
        </is>
      </c>
      <c r="C9980" t="inlineStr">
        <is>
          <t>Hello,
I've switched from NPH to Basaglar a few months ago now, and it seems I really can't pinpoint how much I'm supposed to dose myself...
&amp;amp;nbsp;
I take my shot at 2200H (10 PM) everyday, but every morning, my BG is a _**mess!**_ - Varies from 12 mmol/L (216 mg/dL) to 19 mml/L (342 mg/dL)
&amp;amp;nbsp;
How are you supposed to ''calculate'' the dose? Back when I was on a pump, my basal rate was 1 unit per hour, so that should translate to 24 units of Basaglar - been ''prescribed'' 16 units, I wake with highs. I tried to slowly reduce my dosage by 1 unit every other day until I was down to 10 units, woke up with highs.
&amp;amp;nbsp;
I then tried to increment it every other day up to 24 units, still woke up with highs.
________________________________
I'll try to wake up every 3-4 hours to test myself (no continuous BG meter yet) to see the curve but it is infuriating...
________________________________
Anybody uses basaglar? How do you calculate your dose? How well does it work for you?</t>
        </is>
      </c>
      <c r="D9980" t="n">
        <v>1</v>
      </c>
      <c r="E9980" t="n">
        <v>6</v>
      </c>
      <c r="F9980">
        <f>HYPERLINK("https://www.reddit.com/r/diabetes/comments/hmhwn6/basaglar_and_high_bg_in_the_morning/")</f>
        <v/>
      </c>
      <c r="G9980" t="inlineStr">
        <is>
          <t>2020-07-06 15:20:17</t>
        </is>
      </c>
      <c r="H9980" t="inlineStr">
        <is>
          <t>Type 1</t>
        </is>
      </c>
    </row>
    <row r="9981">
      <c r="A9981" t="inlineStr">
        <is>
          <t>hml4vo</t>
        </is>
      </c>
      <c r="B9981" t="inlineStr">
        <is>
          <t>What’s your ideal yet yummy diet under 50 carbs?</t>
        </is>
      </c>
      <c r="C9981" t="inlineStr">
        <is>
          <t>.</t>
        </is>
      </c>
      <c r="D9981" t="n">
        <v>1</v>
      </c>
      <c r="E9981" t="n">
        <v>9</v>
      </c>
      <c r="F9981">
        <f>HYPERLINK("https://www.reddit.com/r/diabetes/comments/hml4vo/whats_your_ideal_yet_yummy_diet_under_50_carbs/")</f>
        <v/>
      </c>
      <c r="G9981" t="inlineStr">
        <is>
          <t>2020-07-06 18:33:10</t>
        </is>
      </c>
      <c r="H9981" t="inlineStr">
        <is>
          <t>Type 2</t>
        </is>
      </c>
    </row>
    <row r="9982">
      <c r="A9982" t="inlineStr">
        <is>
          <t>hmlv1a</t>
        </is>
      </c>
      <c r="B9982" t="inlineStr">
        <is>
          <t>How many sour cherries you can eat without your BG shooting up?</t>
        </is>
      </c>
      <c r="C9982" t="inlineStr">
        <is>
          <t>.</t>
        </is>
      </c>
      <c r="D9982" t="n">
        <v>1</v>
      </c>
      <c r="E9982" t="n">
        <v>5</v>
      </c>
      <c r="F9982">
        <f>HYPERLINK("https://www.reddit.com/r/diabetes/comments/hmlv1a/how_many_sour_cherries_you_can_eat_without_your/")</f>
        <v/>
      </c>
      <c r="G9982" t="inlineStr">
        <is>
          <t>2020-07-06 19:21:23</t>
        </is>
      </c>
      <c r="H9982" t="inlineStr">
        <is>
          <t>Type 2</t>
        </is>
      </c>
    </row>
    <row r="9983">
      <c r="A9983" t="inlineStr">
        <is>
          <t>hmmwbg</t>
        </is>
      </c>
      <c r="B9983" t="inlineStr">
        <is>
          <t>Arm Limb Numbness and the hell it is.</t>
        </is>
      </c>
      <c r="C9983" t="inlineStr">
        <is>
          <t>I experience a reasonably high amount and pings and stabbing pains regularly with my diabetes. Another rather unfortunate symptom I deal with is arm numbness and leg numbness most often on the left side. Even though I have been to doctors and ERs many times for this and my heart by all accounts was perfect, I still get the numbness, many times all day or other times somewhat rapidly and go insane thinking it’s a stroke or a heart attack. It’s making me borderline insane at this point.
Really reaching out for A) anyone have any similar symptoms stories? And B) anyone have any herbs or meds worth looking into that may help.
Short and sweet, thanks Reddit 💪🏼</t>
        </is>
      </c>
      <c r="D9983" t="n">
        <v>1</v>
      </c>
      <c r="E9983" t="n">
        <v>6</v>
      </c>
      <c r="F9983">
        <f>HYPERLINK("https://www.reddit.com/r/diabetes/comments/hmmwbg/arm_limb_numbness_and_the_hell_it_is/")</f>
        <v/>
      </c>
      <c r="G9983" t="inlineStr">
        <is>
          <t>2020-07-06 20:30:33</t>
        </is>
      </c>
      <c r="H9983" t="inlineStr">
        <is>
          <t>Type 1.5/LADA</t>
        </is>
      </c>
    </row>
    <row r="9984">
      <c r="A9984" t="inlineStr">
        <is>
          <t>hmpe1p</t>
        </is>
      </c>
      <c r="B9984" t="inlineStr">
        <is>
          <t>I did a mistake last evening</t>
        </is>
      </c>
      <c r="C9984" t="inlineStr">
        <is>
          <t>Last evening I reversed the doses between my slow and fast insulin. I noticed the mistake immediatly after the injection, I injected 27U of Humalog instead of 13 for a normal meal !!! 
I litteraly ran to m'y fridge, drank 4 orange juice, one coke, ans maybe 25 to avoid the severe hypo crisis, I was so stressed out!!
Finally I managed to stay over 60mg/dl but that was a fight to keep eating sugar.
Has this ever happened to one of you? Hiw did you managed it? Hope it will be lesson for me</t>
        </is>
      </c>
      <c r="D9984" t="n">
        <v>1</v>
      </c>
      <c r="E9984" t="n">
        <v>5</v>
      </c>
      <c r="F9984">
        <f>HYPERLINK("https://www.reddit.com/r/diabetes/comments/hmpe1p/i_did_a_mistake_last_evening/")</f>
        <v/>
      </c>
      <c r="G9984" t="inlineStr">
        <is>
          <t>2020-07-06 23:38:02</t>
        </is>
      </c>
      <c r="H9984" t="inlineStr">
        <is>
          <t>Type 1</t>
        </is>
      </c>
    </row>
    <row r="9985">
      <c r="A9985" t="inlineStr">
        <is>
          <t>hmqr9x</t>
        </is>
      </c>
      <c r="B9985" t="inlineStr">
        <is>
          <t>My GP has discovered the cure...(ranting)</t>
        </is>
      </c>
      <c r="C9985" t="inlineStr">
        <is>
          <t>TBH, I don't even have the energy to get upset enough with my doctors to write the whole thing.
TLDR: my doctor told me if I didn' t want to take statins, for the sake of my health, I must eat flora. (The sad thing is he was serious.)</t>
        </is>
      </c>
      <c r="D9985" t="n">
        <v>1</v>
      </c>
      <c r="E9985" t="n">
        <v>15</v>
      </c>
      <c r="F9985">
        <f>HYPERLINK("https://www.reddit.com/r/diabetes/comments/hmqr9x/my_gp_has_discovered_the_cureranting/")</f>
        <v/>
      </c>
      <c r="G9985" t="inlineStr">
        <is>
          <t>2020-07-07 01:35:39</t>
        </is>
      </c>
      <c r="H9985" t="inlineStr">
        <is>
          <t>Type 1</t>
        </is>
      </c>
    </row>
    <row r="9986">
      <c r="A9986" t="inlineStr">
        <is>
          <t>hmumin</t>
        </is>
      </c>
      <c r="B9986" t="inlineStr">
        <is>
          <t>A few questions about glucose levels and beeing sick..</t>
        </is>
      </c>
      <c r="C9986" t="inlineStr">
        <is>
          <t>Hey, i am a recently diagnosed type 1 diabetic. I have been doing my shots and things for a year now, about 4 months ago my honeymoon ended and i started on putting short working insuline in a 15/1 carb ratio. This has been going great, hba1c was 4.8% at first, then 5.4% after the honeymoon ended (currently 6.2%). So thus far i have not had any issues regarding controlling (with exception of the occasional pizza and pasta meals XD).  
Since about 2, 3 days i have had a hard time getting my glucose levels to go down agian, i am staying around 10 ( 180 ) and if i do nothing for an hour it goes to 15 ( 250+) or so. i changed my carb ratio to 7/1 and took out new insuline pens yesterday (cause maybe they were expired or something). but no differance, right now i how to shoot up every 2 hours just to supress the glucose level.  
I read that this kind of thing can happen when you are sick, and with this entire covid going around i rather not have a high glucose count since that can disrupt your immunesystem should you get sick (or your system gets disrupted when you get sick, so vice versa)  
How does these kind of things go for you people out there who have been dealing with this for longer time. What happens to your glucose levels when you are sick? Is it normal to have random days in a row in wich insuline just doesnt seem to work? i have somewhat of a normal patern in diet, and never had problems with it. Do some of you also have this problems randomly eventhough you have a wel balanced diet?  
sorry for al the questions, my doctor has been hard to reach during these times..</t>
        </is>
      </c>
      <c r="D9986" t="n">
        <v>1</v>
      </c>
      <c r="E9986" t="n">
        <v>8</v>
      </c>
      <c r="F9986">
        <f>HYPERLINK("https://www.reddit.com/r/diabetes/comments/hmumin/a_few_questions_about_glucose_levels_and_beeing/")</f>
        <v/>
      </c>
      <c r="G9986" t="inlineStr">
        <is>
          <t>2020-07-07 06:34:24</t>
        </is>
      </c>
      <c r="H9986" t="inlineStr">
        <is>
          <t>Type 1</t>
        </is>
      </c>
    </row>
    <row r="9987">
      <c r="A9987" t="inlineStr">
        <is>
          <t>hmx8le</t>
        </is>
      </c>
      <c r="B9987" t="inlineStr">
        <is>
          <t>Tandem progress</t>
        </is>
      </c>
      <c r="C9987" t="inlineStr">
        <is>
          <t>So I got the Dexcom a couple of months ago through a nifty pharmacy program that my local one had. Unfortunately, through my parent’s insurance, the Tandem was still expensive, but through my employer, the costs have dropped by over 3000 dollars. I’m definitely going to be getting it soon and am even more excited!</t>
        </is>
      </c>
      <c r="D9987" t="n">
        <v>1</v>
      </c>
      <c r="E9987" t="n">
        <v>0</v>
      </c>
      <c r="F9987">
        <f>HYPERLINK("https://www.reddit.com/r/diabetes/comments/hmx8le/tandem_progress/")</f>
        <v/>
      </c>
      <c r="G9987" t="inlineStr">
        <is>
          <t>2020-07-07 08:58:53</t>
        </is>
      </c>
      <c r="H9987" t="inlineStr">
        <is>
          <t>Type 1</t>
        </is>
      </c>
    </row>
    <row r="9988">
      <c r="A9988" t="inlineStr">
        <is>
          <t>hmzpma</t>
        </is>
      </c>
      <c r="B9988" t="inlineStr">
        <is>
          <t>4 y/o with Ketones present in urine, but not glucose.</t>
        </is>
      </c>
      <c r="C9988" t="inlineStr">
        <is>
          <t xml:space="preserve">
My 4 y/o son is presenting ketones in urine, however negative glucose. I am going to call the doctor tomorrow. My mum gave me a urinalysis stick today, thus the findings. He eats/ drinks well with a varied diet. Any clues? Is this still a sign of a type 1 diabetic? 
Thank you all.</t>
        </is>
      </c>
      <c r="D9988" t="n">
        <v>1</v>
      </c>
      <c r="E9988" t="n">
        <v>10</v>
      </c>
      <c r="F9988">
        <f>HYPERLINK("https://www.reddit.com/r/diabetes/comments/hmzpma/4_yo_with_ketones_present_in_urine_but_not_glucose/")</f>
        <v/>
      </c>
      <c r="G9988" t="inlineStr">
        <is>
          <t>2020-07-07 11:07:21</t>
        </is>
      </c>
      <c r="H9988" t="inlineStr">
        <is>
          <t>Type 1</t>
        </is>
      </c>
    </row>
    <row r="9989">
      <c r="A9989" t="inlineStr">
        <is>
          <t>hmzx5x</t>
        </is>
      </c>
      <c r="B9989" t="inlineStr">
        <is>
          <t>Can I eat sweets?</t>
        </is>
      </c>
      <c r="C9989" t="inlineStr">
        <is>
          <t>I've been diabetic for 3 years but I feel like I still don't understand it.
Can I eat sweets assuming I take the right amount of insulin and give it time to work?</t>
        </is>
      </c>
      <c r="D9989" t="n">
        <v>1</v>
      </c>
      <c r="E9989" t="n">
        <v>14</v>
      </c>
      <c r="F9989">
        <f>HYPERLINK("https://www.reddit.com/r/diabetes/comments/hmzx5x/can_i_eat_sweets/")</f>
        <v/>
      </c>
      <c r="G9989" t="inlineStr">
        <is>
          <t>2020-07-07 11:18:10</t>
        </is>
      </c>
      <c r="H9989" t="inlineStr">
        <is>
          <t>Type 1</t>
        </is>
      </c>
    </row>
    <row r="9990">
      <c r="A9990" t="inlineStr">
        <is>
          <t>hn17lm</t>
        </is>
      </c>
      <c r="B9990" t="inlineStr">
        <is>
          <t>New to humalog question!</t>
        </is>
      </c>
      <c r="C9990" t="inlineStr">
        <is>
          <t>Hi All, ok can you tell me when humalog generally kicks in? Or does it really all depend? For example, I took 4 units at lunch and haven’t seen any effect for 2-3 hours. Does that sound right? I have a Dexcom so I can see what it’s doing and my Dexcom is spot on with a finger test.</t>
        </is>
      </c>
      <c r="D9990" t="n">
        <v>1</v>
      </c>
      <c r="E9990" t="n">
        <v>4</v>
      </c>
      <c r="F9990">
        <f>HYPERLINK("https://www.reddit.com/r/diabetes/comments/hn17lm/new_to_humalog_question/")</f>
        <v/>
      </c>
      <c r="G9990" t="inlineStr">
        <is>
          <t>2020-07-07 12:25:05</t>
        </is>
      </c>
      <c r="H9990" t="inlineStr">
        <is>
          <t>Type 2</t>
        </is>
      </c>
    </row>
    <row r="9991">
      <c r="A9991" t="inlineStr">
        <is>
          <t>hn293w</t>
        </is>
      </c>
      <c r="B9991" t="inlineStr">
        <is>
          <t>My dad dropped his blood sugar levels from 220 to 160 mg/dl and I couldn't be more proud!</t>
        </is>
      </c>
      <c r="C9991" t="inlineStr">
        <is>
          <t>All he did was exercise more, stopped eating some "healthy" vegetables, and actively talked with his doctor!
&amp;amp;#x200B;
If you want to link to which healthy vegetables to stop eating, dm or leave a comment!</t>
        </is>
      </c>
      <c r="D9991" t="n">
        <v>1</v>
      </c>
      <c r="E9991" t="n">
        <v>4</v>
      </c>
      <c r="F9991">
        <f>HYPERLINK("https://www.reddit.com/r/diabetes/comments/hn293w/my_dad_dropped_his_blood_sugar_levels_from_220_to/")</f>
        <v/>
      </c>
      <c r="G9991" t="inlineStr">
        <is>
          <t>2020-07-07 13:20:08</t>
        </is>
      </c>
      <c r="H9991" t="inlineStr">
        <is>
          <t>Type 2</t>
        </is>
      </c>
    </row>
    <row r="9992">
      <c r="A9992" t="inlineStr">
        <is>
          <t>hn2a3h</t>
        </is>
      </c>
      <c r="B9992" t="inlineStr">
        <is>
          <t>Possibly diabetic?</t>
        </is>
      </c>
      <c r="C9992" t="inlineStr">
        <is>
          <t>Hello all,
I've been feeling miserable for the past several weeks, extremely dehydrated even though I drink a lot of water (especially in the morning). Anxiety and panic attacks after eating. Had a super white tongue last week. A few episodes of low blood sugar recently (trembling, extremely weak, starving).
I have blood tests (kidney, thyroid, blood glucose) scheduled tomorrow and a physical in 2 weeks. I do have a family history of diabetes (adult onset type 1 and type 2)). Is it possible that my blood glucose will be normal for the test? Especially if I'm fluctuating between low and high blood sugar? Will the kidney test show anything?
What should I do in the meantime because I'm afraid to eat but obviously have to. 
I haven't been prescribed a blood glucose monitor but should I buy one in the meantime to be on the safe side? Any advice would be great. Thanks!</t>
        </is>
      </c>
      <c r="D9992" t="n">
        <v>1</v>
      </c>
      <c r="E9992" t="n">
        <v>8</v>
      </c>
      <c r="F9992">
        <f>HYPERLINK("https://www.reddit.com/r/diabetes/comments/hn2a3h/possibly_diabetic/")</f>
        <v/>
      </c>
      <c r="G9992" t="inlineStr">
        <is>
          <t>2020-07-07 13:21:34</t>
        </is>
      </c>
      <c r="H9992" t="inlineStr">
        <is>
          <t>Type 1.5/LADA</t>
        </is>
      </c>
    </row>
    <row r="9993">
      <c r="A9993" t="inlineStr">
        <is>
          <t>hn2on3</t>
        </is>
      </c>
      <c r="B9993" t="inlineStr">
        <is>
          <t>Persistent oral thrush</t>
        </is>
      </c>
      <c r="C9993" t="inlineStr">
        <is>
          <t>Greetings all- this is super embarrassing but I have had oral thrush for 2.5 months now. I’ve tried a bunch of different meds, and now my MD wants me to see a naturopath and and ENT. A little background on me I’m a 34 y.o woman, I’m prediabetic, and I had to go on prednisone for a month back in May/June. 
I’m wondering if anyone else has had treatment resistant thrush? My doctor says prediabetes is probably playing a role. I feel like the only person ever to have this awful affliction. Thanks for reading</t>
        </is>
      </c>
      <c r="D9993" t="n">
        <v>1</v>
      </c>
      <c r="E9993" t="n">
        <v>14</v>
      </c>
      <c r="F9993">
        <f>HYPERLINK("https://www.reddit.com/r/diabetes/comments/hn2on3/persistent_oral_thrush/")</f>
        <v/>
      </c>
      <c r="G9993" t="inlineStr">
        <is>
          <t>2020-07-07 13:43:25</t>
        </is>
      </c>
      <c r="H9993" t="inlineStr">
        <is>
          <t>Type 2</t>
        </is>
      </c>
    </row>
    <row r="9994">
      <c r="A9994" t="inlineStr">
        <is>
          <t>hn42wh</t>
        </is>
      </c>
      <c r="B9994" t="inlineStr">
        <is>
          <t>Freestyle Libre Question</t>
        </is>
      </c>
      <c r="C9994" t="inlineStr">
        <is>
          <t>Okay so for the freestyle libre it says to remove it for x-ray devices but i was just wondering if anyone knows if this also would apply for dental x-rays? I know it’s obviously not near the mouth but would it still affect it the same way as a body scan?</t>
        </is>
      </c>
      <c r="D9994" t="n">
        <v>1</v>
      </c>
      <c r="E9994" t="n">
        <v>0</v>
      </c>
      <c r="F9994">
        <f>HYPERLINK("https://www.reddit.com/r/diabetes/comments/hn42wh/freestyle_libre_question/")</f>
        <v/>
      </c>
      <c r="G9994" t="inlineStr">
        <is>
          <t>2020-07-07 14:58:26</t>
        </is>
      </c>
      <c r="H9994" t="inlineStr">
        <is>
          <t>Type 1</t>
        </is>
      </c>
    </row>
    <row r="9995">
      <c r="A9995" t="inlineStr">
        <is>
          <t>hn432t</t>
        </is>
      </c>
      <c r="B9995" t="inlineStr">
        <is>
          <t>Freestyle Libre Question</t>
        </is>
      </c>
      <c r="C9995" t="inlineStr">
        <is>
          <t>Okay so for the freestyle libre it says to remove it for x-ray devices but i was just wondering if anyone knows if this also would apply for dental x-rays? I know it’s obviously not near the mouth but would it still affect it the same way as a body scan?</t>
        </is>
      </c>
      <c r="D9995" t="n">
        <v>1</v>
      </c>
      <c r="E9995" t="n">
        <v>2</v>
      </c>
      <c r="F9995">
        <f>HYPERLINK("https://www.reddit.com/r/diabetes/comments/hn432t/freestyle_libre_question/")</f>
        <v/>
      </c>
      <c r="G9995" t="inlineStr">
        <is>
          <t>2020-07-07 14:58:43</t>
        </is>
      </c>
      <c r="H9995" t="inlineStr">
        <is>
          <t>Type 1</t>
        </is>
      </c>
    </row>
    <row r="9996">
      <c r="A9996" t="inlineStr">
        <is>
          <t>hn8l4z</t>
        </is>
      </c>
      <c r="B9996" t="inlineStr">
        <is>
          <t>Thru-hiking with T1D</t>
        </is>
      </c>
      <c r="C9996" t="inlineStr">
        <is>
          <t>Any T1 diabetics in here ever thru-hike the PCT? Curious as to what the experience would be like having to carry all of the extra supplies/managing sugar levels!</t>
        </is>
      </c>
      <c r="D9996" t="n">
        <v>1</v>
      </c>
      <c r="E9996" t="n">
        <v>31</v>
      </c>
      <c r="F9996">
        <f>HYPERLINK("https://www.reddit.com/r/diabetes/comments/hn8l4z/thruhiking_with_t1d/")</f>
        <v/>
      </c>
      <c r="G9996" t="inlineStr">
        <is>
          <t>2020-07-07 19:24:25</t>
        </is>
      </c>
      <c r="H9996" t="inlineStr">
        <is>
          <t>Type 1</t>
        </is>
      </c>
    </row>
    <row r="9997">
      <c r="A9997" t="inlineStr">
        <is>
          <t>hn9rzv</t>
        </is>
      </c>
      <c r="B9997" t="inlineStr">
        <is>
          <t>Feeling hot when your sugar is low?</t>
        </is>
      </c>
      <c r="C9997" t="inlineStr">
        <is>
          <t>So my blood sugar is 53 right now (I am eating strawberries. Don't worry.) and I have a hot feeling all over my body. Not clammy, hot. Like a warm flushy feeling. Is this normal? I can't find anything about feeling warm all over. It has happened before when my sugar got down to 55. 
&amp;amp;#x200B;
Could use answers quick btw. Like if strawberries aren't enough for right now. I'd like to get to a less "I might pass out and I feel fucking weird" point as fast as possible.</t>
        </is>
      </c>
      <c r="D9997" t="n">
        <v>1</v>
      </c>
      <c r="E9997" t="n">
        <v>13</v>
      </c>
      <c r="F9997">
        <f>HYPERLINK("https://www.reddit.com/r/diabetes/comments/hn9rzv/feeling_hot_when_your_sugar_is_low/")</f>
        <v/>
      </c>
      <c r="G9997" t="inlineStr">
        <is>
          <t>2020-07-07 20:40:56</t>
        </is>
      </c>
      <c r="H9997" t="inlineStr">
        <is>
          <t>Type 2</t>
        </is>
      </c>
    </row>
    <row r="9998">
      <c r="A9998" t="inlineStr">
        <is>
          <t>hna870</t>
        </is>
      </c>
      <c r="B9998" t="inlineStr">
        <is>
          <t>New to decxom</t>
        </is>
      </c>
      <c r="C9998" t="inlineStr">
        <is>
          <t>Needing help.  Son just got g6 yesterday and his phone is not compatible and someone told me to download this app for a way forgetting reading and bypassing the restrictions for phone not compatible</t>
        </is>
      </c>
      <c r="D9998" t="n">
        <v>1</v>
      </c>
      <c r="E9998" t="n">
        <v>3</v>
      </c>
      <c r="F9998">
        <f>HYPERLINK("https://www.reddit.com/r/diabetes/comments/hna870/new_to_decxom/")</f>
        <v/>
      </c>
      <c r="G9998" t="inlineStr">
        <is>
          <t>2020-07-07 21:10:58</t>
        </is>
      </c>
      <c r="H9998" t="inlineStr">
        <is>
          <t>Type 1</t>
        </is>
      </c>
    </row>
    <row r="9999">
      <c r="A9999" t="inlineStr">
        <is>
          <t>hnawcu</t>
        </is>
      </c>
      <c r="B9999" t="inlineStr">
        <is>
          <t>Do freestyle libre have to go on your arm?</t>
        </is>
      </c>
      <c r="C9999" t="inlineStr">
        <is>
          <t>I alternate arms but was curious if you can put them else where like on your thigh or are they just meant for the arm? Also does anyone else get better reads depending on what arm your sensor is on? Like when I have it on my left arm the reads are pretty close to what it says on my meter when I use finger sticks but this last time when it was on my right arm the reads were way off, by about 40 points 😓.</t>
        </is>
      </c>
      <c r="D9999" t="n">
        <v>1</v>
      </c>
      <c r="E9999" t="n">
        <v>11</v>
      </c>
      <c r="F9999">
        <f>HYPERLINK("https://www.reddit.com/r/diabetes/comments/hnawcu/do_freestyle_libre_have_to_go_on_your_arm/")</f>
        <v/>
      </c>
      <c r="G9999" t="inlineStr">
        <is>
          <t>2020-07-07 21:59:07</t>
        </is>
      </c>
      <c r="H9999" t="inlineStr">
        <is>
          <t>Type 1</t>
        </is>
      </c>
    </row>
    <row r="10000">
      <c r="A10000" t="inlineStr">
        <is>
          <t>hng8v7</t>
        </is>
      </c>
      <c r="B10000" t="inlineStr">
        <is>
          <t>I have mild retinopathy from my T1-diabetes, and I'm worried about my eyes</t>
        </is>
      </c>
      <c r="C10000" t="inlineStr">
        <is>
          <t>I've been T1-diabetic for 12 years, and in the past few years there has been some changes in my eyes. Nothing major, but something to pay attention to. As I understand one common complication from diabetes is retinopathy. I just my most recent results back and I have microaneurysms in my left eye and more serious microinfarcts in my right eye. As a diagnosis I have mild background retinopathy (if I translated it correctly). It used to be very mild, so it's going to the wrong direction, and my next eye photoshoot will be just in six months (as compared to a year so, what it used to be). 
In a way, it's good that my doctors paying closer attention to it, but fucking worried. I'm under the impression that good sugar balance is key and with good enough balance retinopathy can go away. Right now my hbA1c is 6.7-6.8, basically best than it has ever been. There is still work to be done, but still, it's good, I think. 
I'm really worried for my eyesight, as retinopathy is a common cause for eyesight disabilities. While there are surgeries than can be performed if the retinopathy gets too intense, I have a job that relies on me having perfect or near perfect color perception (I colorgrade tv-shows), and I'm afraid of any unintended complications of surgeries that may affect my livelihood. And I like seeing things in general too. 
Does anyone have similar experiences? What I'm really hoping to hear are recovery stories, if someone's retinopathy did go away, and what it took to get there. 
Thanks for reading.</t>
        </is>
      </c>
      <c r="D10000" t="n">
        <v>1</v>
      </c>
      <c r="E10000" t="n">
        <v>5</v>
      </c>
      <c r="F10000">
        <f>HYPERLINK("https://www.reddit.com/r/diabetes/comments/hng8v7/i_have_mild_retinopathy_from_my_t1diabetes_and_im/")</f>
        <v/>
      </c>
      <c r="G10000" t="inlineStr">
        <is>
          <t>2020-07-08 05:34:09</t>
        </is>
      </c>
      <c r="H10000" t="inlineStr">
        <is>
          <t>Type 1</t>
        </is>
      </c>
    </row>
    <row r="10001">
      <c r="A10001" t="inlineStr">
        <is>
          <t>hngeir</t>
        </is>
      </c>
      <c r="B10001" t="inlineStr">
        <is>
          <t>What were your first Cvoid symptoms? And any advice for someone who MAY have a roommate showing signs?</t>
        </is>
      </c>
      <c r="C10001" t="inlineStr">
        <is>
          <t>T1D, 21 F in college. 
My roommates bf who is always over has been showing signs. He started coughing yesterday and felt bad. I keep my distance from them regardless due to my fear of everything. I wash my hands, wear face mask (actual ones, not just fabric cloth), and don’t touch my face. My bedroom door is always shut and i make sure to wash my hands after using common areas. 
I have no fever as of now, a running nose (but in my town it’s storming like CRAZY and that’s normal for me, and recently I’ve had diarrhea but also skipped a day of birth control and it’s gotten better each day. I’m not tired, not exhausted and my blood sugar levels have been expectedly stable. This has been the past few days. 
Not tightness of chest, no sneezing, no coughing, none of that. 
Am i showing anyone else has hD to later get a positive? I want to be okay and need to know if i should freak out or I’m fine bc I’m being safe. All my “symptoms” have normal explanations and I’ve been way more than safe, but just in case i want to know. If i need to get tested. I have anxiety so I’m freaking out and the idea of being tested just to be sure makes me full out panic</t>
        </is>
      </c>
      <c r="D10001" t="n">
        <v>1</v>
      </c>
      <c r="E10001" t="n">
        <v>23</v>
      </c>
      <c r="F10001">
        <f>HYPERLINK("https://www.reddit.com/r/diabetes/comments/hngeir/what_were_your_first_cvoid_symptoms_and_any/")</f>
        <v/>
      </c>
      <c r="G10001" t="inlineStr">
        <is>
          <t>2020-07-08 05:45:13</t>
        </is>
      </c>
      <c r="H10001" t="inlineStr">
        <is>
          <t>Type 1</t>
        </is>
      </c>
    </row>
    <row r="10002">
      <c r="A10002" t="inlineStr">
        <is>
          <t>hnhg0b</t>
        </is>
      </c>
      <c r="B10002" t="inlineStr">
        <is>
          <t>Does anyone else just not feel “sick”?</t>
        </is>
      </c>
      <c r="C10002" t="inlineStr">
        <is>
          <t>I was shocked when I received my T2 diagnosis. I don’t feel any different than I did 10+ years ago. Yes I’ve gained weight and my pcos isn’t pleasant but otherwise I feel good. I can go an entire day running around busy as can be and not have time to eat and not feel ill. I’m on a T2 board on FB and so many women talk about how sick they feel all the time, tingling in their extremities, bs spikes or drops. Is this normal to not feel bad?</t>
        </is>
      </c>
      <c r="D10002" t="n">
        <v>1</v>
      </c>
      <c r="E10002" t="n">
        <v>7</v>
      </c>
      <c r="F10002">
        <f>HYPERLINK("https://www.reddit.com/r/diabetes/comments/hnhg0b/does_anyone_else_just_not_feel_sick/")</f>
        <v/>
      </c>
      <c r="G10002" t="inlineStr">
        <is>
          <t>2020-07-08 06:53:27</t>
        </is>
      </c>
      <c r="H10002" t="inlineStr">
        <is>
          <t>Type 2</t>
        </is>
      </c>
    </row>
    <row r="10003">
      <c r="A10003" t="inlineStr">
        <is>
          <t>hnil08</t>
        </is>
      </c>
      <c r="B10003" t="inlineStr">
        <is>
          <t>How can I protect my pump and tubing from my kitten at night?</t>
        </is>
      </c>
      <c r="C10003" t="inlineStr">
        <is>
          <t>So my kitten has recently discovered that she loves tunneling under the covers when I’m laying in bed and either just cuddling with my legs or running around and playing under the covers. The only problem with this is she notices my pump tubing and wants to play with that too (she’s bitten through it in the past). Is there any way I can hide or protect my tubing from her shenanigans while I sleep? I hate wearing pants when I sleep so that’s a last resort. 😬</t>
        </is>
      </c>
      <c r="D10003" t="n">
        <v>1</v>
      </c>
      <c r="E10003" t="n">
        <v>4</v>
      </c>
      <c r="F10003">
        <f>HYPERLINK("https://www.reddit.com/r/diabetes/comments/hnil08/how_can_i_protect_my_pump_and_tubing_from_my/")</f>
        <v/>
      </c>
      <c r="G10003" t="inlineStr">
        <is>
          <t>2020-07-08 08:00:55</t>
        </is>
      </c>
      <c r="H10003" t="inlineStr">
        <is>
          <t>Type 1</t>
        </is>
      </c>
    </row>
    <row r="10004">
      <c r="A10004" t="inlineStr">
        <is>
          <t>hnldhg</t>
        </is>
      </c>
      <c r="B10004" t="inlineStr">
        <is>
          <t>Is it safe to hover in the 60s?</t>
        </is>
      </c>
      <c r="C10004" t="inlineStr">
        <is>
          <t>Hi all, I've been close looping with AndroidAPS for about a month now and it's been a godsend. Never had more stable bloodsugars. However, a lot of the time when I wake up or fast, my bloodsugars hover in the low 70s or mid to high 60s for hours. I have become accustomed to this and no longer really feel low in these territories but I have heard that hovering in low blood sugars is very dangerous for your brain. From my understanding, non-diabetics hover in the 60s all the time, is this low enough to be dangerous? Thanks.</t>
        </is>
      </c>
      <c r="D10004" t="n">
        <v>1</v>
      </c>
      <c r="E10004" t="n">
        <v>7</v>
      </c>
      <c r="F10004">
        <f>HYPERLINK("https://www.reddit.com/r/diabetes/comments/hnldhg/is_it_safe_to_hover_in_the_60s/")</f>
        <v/>
      </c>
      <c r="G10004" t="inlineStr">
        <is>
          <t>2020-07-08 10:31:13</t>
        </is>
      </c>
      <c r="H10004" t="inlineStr">
        <is>
          <t>Type 1</t>
        </is>
      </c>
    </row>
    <row r="10005">
      <c r="A10005" t="inlineStr">
        <is>
          <t>hnnbjl</t>
        </is>
      </c>
      <c r="B10005" t="inlineStr">
        <is>
          <t>My A1C was 9.6 a year ago</t>
        </is>
      </c>
      <c r="C10005" t="inlineStr">
        <is>
          <t>Today, it's 5.3</t>
        </is>
      </c>
      <c r="D10005" t="n">
        <v>3</v>
      </c>
      <c r="E10005" t="n">
        <v>12</v>
      </c>
      <c r="F10005">
        <f>HYPERLINK("https://www.reddit.com/r/diabetes/comments/hnnbjl/my_a1c_was_96_a_year_ago/")</f>
        <v/>
      </c>
      <c r="G10005" t="inlineStr">
        <is>
          <t>2020-07-08 12:10:44</t>
        </is>
      </c>
      <c r="H10005" t="inlineStr">
        <is>
          <t>Type 2</t>
        </is>
      </c>
    </row>
    <row r="10006">
      <c r="A10006" t="inlineStr">
        <is>
          <t>hnnec9</t>
        </is>
      </c>
      <c r="B10006" t="inlineStr">
        <is>
          <t>Does anyone here have experience with regular exercise using both MDI and the pump?</t>
        </is>
      </c>
      <c r="C10006" t="inlineStr">
        <is>
          <t>Not simultaneously, of course. I'm wondering whether long-acting injected insulin has less of an effect during exercise than a continuous drip of fast-acting due to the additives put in to slow absorption down over 24 hours. 
Can anyone with experience comment on this? I'm thinking about switching back to MDI after a few years of pumping and trying to weigh the pros and cons. I'm aware that pumping has the advantage of being able to do a temporarily lowered delivery rate to combat this, but that's not really part of my question here.
Thanks!</t>
        </is>
      </c>
      <c r="D10006" t="n">
        <v>2</v>
      </c>
      <c r="E10006" t="n">
        <v>12</v>
      </c>
      <c r="F10006">
        <f>HYPERLINK("https://www.reddit.com/r/diabetes/comments/hnnec9/does_anyone_here_have_experience_with_regular/")</f>
        <v/>
      </c>
      <c r="G10006" t="inlineStr">
        <is>
          <t>2020-07-08 12:14:33</t>
        </is>
      </c>
      <c r="H10006" t="inlineStr">
        <is>
          <t>Type 1</t>
        </is>
      </c>
    </row>
    <row r="10007">
      <c r="A10007" t="inlineStr">
        <is>
          <t>hnowzh</t>
        </is>
      </c>
      <c r="B10007" t="inlineStr">
        <is>
          <t>Free Type 2 Diabetic Conference (2hrs)</t>
        </is>
      </c>
      <c r="C10007" t="inlineStr">
        <is>
          <t>Taking Care of Your Diabetes is an excellent resource to help cope with any issue involving this draining desease.
Here's a free conference:
 [https://tcoyd.org/2020-spotlight-series-type-2-night/?org=1281&amp;amp;lvl=100&amp;amp;ite=1805&amp;amp;lea=1906228&amp;amp;ctr=0&amp;amp;par=1&amp;amp;trk=a0v1Q00000CZ31sQAD](https://tcoyd.org/2020-spotlight-series-type-2-night/?org=1281&amp;amp;lvl=100&amp;amp;ite=1805&amp;amp;lea=1906228&amp;amp;ctr=0&amp;amp;par=1&amp;amp;trk=a0v1Q00000CZ31sQAD)   
Hope to see you there,
\-israel</t>
        </is>
      </c>
      <c r="D10007" t="n">
        <v>1</v>
      </c>
      <c r="E10007" t="n">
        <v>0</v>
      </c>
      <c r="F10007">
        <f>HYPERLINK("https://www.reddit.com/r/diabetes/comments/hnowzh/free_type_2_diabetic_conference_2hrs/")</f>
        <v/>
      </c>
      <c r="G10007" t="inlineStr">
        <is>
          <t>2020-07-08 13:31:39</t>
        </is>
      </c>
      <c r="H10007" t="inlineStr">
        <is>
          <t>Type 2</t>
        </is>
      </c>
    </row>
    <row r="10008">
      <c r="A10008" t="inlineStr">
        <is>
          <t>hnq4sb</t>
        </is>
      </c>
      <c r="B10008" t="inlineStr">
        <is>
          <t>Having a hard time</t>
        </is>
      </c>
      <c r="C10008" t="inlineStr">
        <is>
          <t>Honestly this is just going to be a stream of consciousness rant so keep scrolling if you don’t wanna hear me being a WAH. 
I’m having such a hard time. I was diagnosed with t2 about 14 months ago. Earlier this year I was told that I was transitioning to type 1. Like, I took metformin for a year, then got put on Humalog and Teseba. I am constantly having to miss work because I wake up feeling foggy and my job requires a lot of concentration and quick thinking. Honestly I am having a way harder time with this than most people. I have nerve damage in my back from a car accident in 2013 which makes it hard to exercise. I just wish I could go back to when I was “normal”. Everything I read is like “you’ve got this” and “it’s an easy transition” from being a nondiabetic to being a diabetic and I just feel like the universe handed me one of the especially harder cases and I just want to give up. I’m not suicidal or anything, I promise, I just wish this was easier. I want to get back to being able to do my job every day, be a good partner, friend, and everything else I was before all this happened. All I want to do currently is sleep and be alone. I will likely have to go back on antidepressants as the Anhedonia is stronger than I am willing to admit IRL. 
Any advice?</t>
        </is>
      </c>
      <c r="D10008" t="n">
        <v>1</v>
      </c>
      <c r="E10008" t="n">
        <v>4</v>
      </c>
      <c r="F10008">
        <f>HYPERLINK("https://www.reddit.com/r/diabetes/comments/hnq4sb/having_a_hard_time/")</f>
        <v/>
      </c>
      <c r="G10008" t="inlineStr">
        <is>
          <t>2020-07-08 14:36:03</t>
        </is>
      </c>
      <c r="H10008" t="inlineStr">
        <is>
          <t>Type 1.5/LADA</t>
        </is>
      </c>
    </row>
    <row r="10009">
      <c r="A10009" t="inlineStr">
        <is>
          <t>hntxvr</t>
        </is>
      </c>
      <c r="B10009" t="inlineStr">
        <is>
          <t>Type 2 Diabetes questions for a dummie</t>
        </is>
      </c>
      <c r="C10009" t="inlineStr">
        <is>
          <t>Hi all, 
I will be going to the doctor to get tested for Type 2 diabetes (and will let you know of my results). But I had a few questions:
Question 1: Is there any other way to get an idea, or get tested for Type 2 Diabetes other than a blood test (I hate needles)?
Question 2: I have heard from a friend, and when researched about it, it seems that Type 2 Diabetes is something that you can get rid of IF you were to undertake lifestyle changes such as losing weight, exercising regularly etc? Is this true (as many years ago it wasn't the case - I used to be told that Type 2 Diabetes is something that you would have for the rest of your life, but it seems as though once you get it, there is a chance that with appropriate lifestyle changes, then next time you take a blood test it won't show up in your blood)?
Question 3: Apart from the obvious (blood test), what warning signs did you see that made you suggest you may have Type 2 Diabetes? For example, due to COVID-19, I have put on some extra weight and I am now about 6kg overweight; I eat A LOT of chocolate, and my partner has noticed that I always tend to drink a glass of water after eating chocolate. I thought it was normal to feel thirsty after eating chocolate? 
&amp;amp;#x200B;
God bless. Hope you're all having a great day.</t>
        </is>
      </c>
      <c r="D10009" t="n">
        <v>1</v>
      </c>
      <c r="E10009" t="n">
        <v>9</v>
      </c>
      <c r="F10009">
        <f>HYPERLINK("https://www.reddit.com/r/diabetes/comments/hntxvr/type_2_diabetes_questions_for_a_dummie/")</f>
        <v/>
      </c>
      <c r="G10009" t="inlineStr">
        <is>
          <t>2020-07-08 18:25:53</t>
        </is>
      </c>
      <c r="H10009" t="inlineStr">
        <is>
          <t>Type 2</t>
        </is>
      </c>
    </row>
    <row r="10010">
      <c r="A10010" t="inlineStr">
        <is>
          <t>hnvr2n</t>
        </is>
      </c>
      <c r="B10010" t="inlineStr">
        <is>
          <t>Has anyone else noticed lows days after stopping Glipizide Er?</t>
        </is>
      </c>
      <c r="C10010" t="inlineStr">
        <is>
          <t>I took my last 10 mg on Sunday and I’m still having lows today. I also take 2000 Metformin daily  and trulicity1.5 weekly.</t>
        </is>
      </c>
      <c r="D10010" t="n">
        <v>1</v>
      </c>
      <c r="E10010" t="n">
        <v>0</v>
      </c>
      <c r="F10010">
        <f>HYPERLINK("https://www.reddit.com/r/diabetes/comments/hnvr2n/has_anyone_else_noticed_lows_days_after_stopping/")</f>
        <v/>
      </c>
      <c r="G10010" t="inlineStr">
        <is>
          <t>2020-07-08 20:24:09</t>
        </is>
      </c>
      <c r="H10010" t="inlineStr">
        <is>
          <t>Type 2</t>
        </is>
      </c>
    </row>
    <row r="10011">
      <c r="A10011" t="inlineStr">
        <is>
          <t>hnx24j</t>
        </is>
      </c>
      <c r="B10011" t="inlineStr">
        <is>
          <t>Insulin needs overnight keep increasing</t>
        </is>
      </c>
      <c r="C10011" t="inlineStr">
        <is>
          <t>So I've been stressing out about this for the past few weeks, but it seems like my nighttime insulin needs keep increasing. For a while, if I had a strenuous workout during the day, my nighttime needs would be lower. This no longer appears to be the case. (No fucking idea why that is). And now it's starting to seem like every few days, I'll need to increase how much insulin I need. For a while, assuming I didn't exercise that day, I'd need to do 18 units of levemir, then a few weeks after that I needed to do 20 units a night, a few days passed, and I started to need to do 22 units a night. Now I'm here with 23 units of levemir in my body watching as my blood sugar climbs higher and higher. It's extremely frustrating for this level of inconsistency and it has me worried about finances in the future if this trend continues. I've only been diabetic for about two years now and I'm wondering if someone with more experience may have some information and advice for me about what, if anything I can do here</t>
        </is>
      </c>
      <c r="D10011" t="n">
        <v>1</v>
      </c>
      <c r="E10011" t="n">
        <v>6</v>
      </c>
      <c r="F10011">
        <f>HYPERLINK("https://www.reddit.com/r/diabetes/comments/hnx24j/insulin_needs_overnight_keep_increasing/")</f>
        <v/>
      </c>
      <c r="G10011" t="inlineStr">
        <is>
          <t>2020-07-08 21:57:31</t>
        </is>
      </c>
      <c r="H10011" t="inlineStr">
        <is>
          <t>Type 1</t>
        </is>
      </c>
    </row>
    <row r="10012">
      <c r="A10012" t="inlineStr">
        <is>
          <t>hnygt0</t>
        </is>
      </c>
      <c r="B10012" t="inlineStr">
        <is>
          <t>Does anyone have experience participating in clinical trials?</t>
        </is>
      </c>
      <c r="C10012" t="inlineStr">
        <is>
          <t>I would like to sign up for clinical trials.</t>
        </is>
      </c>
      <c r="D10012" t="n">
        <v>1</v>
      </c>
      <c r="E10012" t="n">
        <v>1</v>
      </c>
      <c r="F10012">
        <f>HYPERLINK("https://www.reddit.com/r/diabetes/comments/hnygt0/does_anyone_have_experience_participating_in/")</f>
        <v/>
      </c>
      <c r="G10012" t="inlineStr">
        <is>
          <t>2020-07-08 23:56:24</t>
        </is>
      </c>
      <c r="H10012" t="inlineStr">
        <is>
          <t>Type 1</t>
        </is>
      </c>
    </row>
    <row r="10013">
      <c r="A10013" t="inlineStr">
        <is>
          <t>ho1282</t>
        </is>
      </c>
      <c r="B10013" t="inlineStr">
        <is>
          <t>The Cost Of Diabetes - T1 Talks Podcast</t>
        </is>
      </c>
      <c r="C10013" t="inlineStr">
        <is>
          <t>We just posted another episode of our podcast last night, this time talking about the cost associated with a diabetic lifestyle. We also opened up a conversation about insulin affordability. The link is below if you want to check it out! Regardless, we would love to hear about your experience buying supplies so feel free to leave a comment on this post or DM us on here/Instagram (@t1talks). 
Link: [https://open.spotify.com/show/6xPO5gsea3j6tZl2kfilST](https://open.spotify.com/show/6xPO5gsea3j6tZl2kfilST)</t>
        </is>
      </c>
      <c r="D10013" t="n">
        <v>1</v>
      </c>
      <c r="E10013" t="n">
        <v>1</v>
      </c>
      <c r="F10013">
        <f>HYPERLINK("https://www.reddit.com/r/diabetes/comments/ho1282/the_cost_of_diabetes_t1_talks_podcast/")</f>
        <v/>
      </c>
      <c r="G10013" t="inlineStr">
        <is>
          <t>2020-07-09 03:54:51</t>
        </is>
      </c>
      <c r="H10013" t="inlineStr">
        <is>
          <t>Type 1</t>
        </is>
      </c>
    </row>
    <row r="10014">
      <c r="A10014" t="inlineStr">
        <is>
          <t>ho4s39</t>
        </is>
      </c>
      <c r="B10014" t="inlineStr">
        <is>
          <t>Question about a wrecked infusion set</t>
        </is>
      </c>
      <c r="C10014" t="inlineStr">
        <is>
          <t>Good morning!
So I am pretty new to the world of insulin pumps. And what a magical world this is. I can't believe I waited so long to get one of these things. 
But what do you all do when you have an infusion set that gets ripped out or the cannula is bent and doesn't deliver insulin? I put in a new site last night before bed and woke up to 350 this AM. Replaced the set and must have been careless because my second one was bent too. Third try was the charm and I've learned a valuable lesson, but now I'm down two infusion sets from my 90 day supply. 
Obviously I know I could order supplies at full price from Tandem w/o insurance if I need to. But i'm wondering what you do in this situation. Do you switch back to MDIs to cover the gap between supply refills? Do you try to squeeze a few extra days here-and-there out of your other sets to catch up? 
I know that with my Dexcom I can contact them if there's an issue with a sensor and they will send over a new one. Not sure if Tandem works that way as well.</t>
        </is>
      </c>
      <c r="D10014" t="n">
        <v>1</v>
      </c>
      <c r="E10014" t="n">
        <v>5</v>
      </c>
      <c r="F10014">
        <f>HYPERLINK("https://www.reddit.com/r/diabetes/comments/ho4s39/question_about_a_wrecked_infusion_set/")</f>
        <v/>
      </c>
      <c r="G10014" t="inlineStr">
        <is>
          <t>2020-07-09 08:11:25</t>
        </is>
      </c>
      <c r="H10014" t="inlineStr">
        <is>
          <t>Type 1</t>
        </is>
      </c>
    </row>
    <row r="10015">
      <c r="A10015" t="inlineStr">
        <is>
          <t>ho4txa</t>
        </is>
      </c>
      <c r="B10015" t="inlineStr">
        <is>
          <t>My blood sugar progress</t>
        </is>
      </c>
      <c r="C10015" t="inlineStr">
        <is>
          <t>Hey! My A1C is 6.6 and my fasted blood sugar started at 150 -160  
Through a massive change in diet and increased exercise I was able to lower my sugar by 30 points in half a week. 
Maybe this is a fluke but I am going to continue to check my sugar and keep working on moving my sugar lower!  
Fasted sugar 
7/6: 151
7/7: 160
7/8: 133
7/9: 128
Peak sugar: 
7/6: 209
7/7: 160
7/8: 181
7/9: 138
My peak sugar was my fasted on 7/7 because I did a massive cardio workout that got my sugar all the way down to 125</t>
        </is>
      </c>
      <c r="D10015" t="n">
        <v>3</v>
      </c>
      <c r="E10015" t="n">
        <v>2</v>
      </c>
      <c r="F10015">
        <f>HYPERLINK("https://www.reddit.com/r/diabetes/comments/ho4txa/my_blood_sugar_progress/")</f>
        <v/>
      </c>
      <c r="G10015" t="inlineStr">
        <is>
          <t>2020-07-09 08:14:18</t>
        </is>
      </c>
      <c r="H10015" t="inlineStr">
        <is>
          <t>Type 2</t>
        </is>
      </c>
    </row>
    <row r="10016">
      <c r="A10016" t="inlineStr">
        <is>
          <t>ho51ip</t>
        </is>
      </c>
      <c r="B10016" t="inlineStr">
        <is>
          <t>CGM Alarms on 670g vs Tslim</t>
        </is>
      </c>
      <c r="C10016" t="inlineStr">
        <is>
          <t>So I've been trying out the Medtronic 670g with the G3 sensor for the last month or so, and it's been helping me stay in target a lot more. The only thing is it has an annoying amount of alarms and they wake me up in the middle of the night most nights, sometimes more than once.
I can time the "Calibrate sensor" alarms well enough since they should happen every 12 hours, but it also has an "Enter new BG for auto mode" and that can happen at any time. It happened 3 times in one night a few days ago.
I'm thinking about switching to Tslim/Dexcom but not sure if I'll just have the same problems with it. Just wondering if anyone here who has the Tslim can let me know if it has less alarms or if its somewhat the same.</t>
        </is>
      </c>
      <c r="D10016" t="n">
        <v>1</v>
      </c>
      <c r="E10016" t="n">
        <v>5</v>
      </c>
      <c r="F10016">
        <f>HYPERLINK("https://www.reddit.com/r/diabetes/comments/ho51ip/cgm_alarms_on_670g_vs_tslim/")</f>
        <v/>
      </c>
      <c r="G10016" t="inlineStr">
        <is>
          <t>2020-07-09 08:26:17</t>
        </is>
      </c>
      <c r="H10016" t="inlineStr">
        <is>
          <t>Type 1</t>
        </is>
      </c>
    </row>
    <row r="10017">
      <c r="A10017" t="inlineStr">
        <is>
          <t>ho7emi</t>
        </is>
      </c>
      <c r="B10017" t="inlineStr">
        <is>
          <t>Different doctors saying different things</t>
        </is>
      </c>
      <c r="C10017" t="inlineStr">
        <is>
          <t>Both me and my friend are T2d. She’s been diagnosed for a few years, I was diagnosed in February. My endo is saying that if I exercise and lose weight then I’ll be able to stop using any kind of medication (I use Trulicity) 
My friend takes victoza and her a1c is down to 5 but her doctor says once a diabetic always a diabetic and she’ll be on management meds for the rest of her life. We’re only 49. 
So which doctor is right?</t>
        </is>
      </c>
      <c r="D10017" t="n">
        <v>1</v>
      </c>
      <c r="E10017" t="n">
        <v>10</v>
      </c>
      <c r="F10017">
        <f>HYPERLINK("https://www.reddit.com/r/diabetes/comments/ho7emi/different_doctors_saying_different_things/")</f>
        <v/>
      </c>
      <c r="G10017" t="inlineStr">
        <is>
          <t>2020-07-09 10:35:31</t>
        </is>
      </c>
      <c r="H10017" t="inlineStr">
        <is>
          <t>Type 2</t>
        </is>
      </c>
    </row>
    <row r="10018">
      <c r="A10018" t="inlineStr">
        <is>
          <t>ho890e</t>
        </is>
      </c>
      <c r="B10018" t="inlineStr">
        <is>
          <t>So happy I want to cry 😭</t>
        </is>
      </c>
      <c r="C10018" t="inlineStr">
        <is>
          <t>Its almost my 1 year diaiversary at the end of next month. When I first got diagnosed I was in dka at the ER with blood sugar over 500 and my ac1 was 15.3
Today was my endo 3rd appointment, my A1C was 5.9 My endo was so nice and informative and asked if I was interested in getting an insulin pump 😭 that had me so happy and excited.
When I first got diagnosed I thought things like cgms and insulin pumps would never happen for me and I would never understand diabetes and struggle. I thought I would be a failure of a diabetic and not be able to enjoy  the things I like ever again and blamed myself a lot. But here I am a year later and made so much progress. I'm proud of myself, and thank you to everyone on this reddit for being so helpful and giving input and advice, or just listen when I needed to post a rant and cry about the frustration of diabetes. 😭</t>
        </is>
      </c>
      <c r="D10018" t="n">
        <v>11</v>
      </c>
      <c r="E10018" t="n">
        <v>32</v>
      </c>
      <c r="F10018">
        <f>HYPERLINK("https://www.reddit.com/r/diabetes/comments/ho890e/so_happy_i_want_to_cry/")</f>
        <v/>
      </c>
      <c r="G10018" t="inlineStr">
        <is>
          <t>2020-07-09 11:20:26</t>
        </is>
      </c>
      <c r="H10018" t="inlineStr">
        <is>
          <t>Type 1</t>
        </is>
      </c>
    </row>
    <row r="10019">
      <c r="A10019" t="inlineStr">
        <is>
          <t>ho8rtt</t>
        </is>
      </c>
      <c r="B10019" t="inlineStr">
        <is>
          <t>Can someone recommend a bulking meal plan that won't have me chasing highs all day?</t>
        </is>
      </c>
      <c r="C10019" t="inlineStr">
        <is>
          <t>I have type 1.
The short and skinny of it is is that I want to gain weight. I've done all the necessary math and I need to consume 3100+ calories a day. I work full time so I really only have 3 times a day to eat. When I get up, once at work, and before bed. 
My issue is that there is absolutely no way I can eat 1033 calories within a meal and not have some kind of high blood glucose. Usually it's the worst before bed. I'll eat, be steady for 4 hours or so, and then shoot up to 300. 
My numbers have been complete shit for the past week. Maybe 50% in range, 50% not. Do I just give up? It doesn't seem like eating this much is going to be manageable for me.
I've been weight training for maybe 3 years now and I saw progress within the first year because I was eating a lot, but haven't made any progress since because I haven't been eating enough.
Any tips to not have to deal with high bgs would be great. Also I do not have a pump so any pump-related advice is of no use to me.
Thank you in advance.</t>
        </is>
      </c>
      <c r="D10019" t="n">
        <v>1</v>
      </c>
      <c r="E10019" t="n">
        <v>12</v>
      </c>
      <c r="F10019">
        <f>HYPERLINK("https://www.reddit.com/r/diabetes/comments/ho8rtt/can_someone_recommend_a_bulking_meal_plan_that/")</f>
        <v/>
      </c>
      <c r="G10019" t="inlineStr">
        <is>
          <t>2020-07-09 11:47:19</t>
        </is>
      </c>
      <c r="H10019" t="inlineStr">
        <is>
          <t>Type 1</t>
        </is>
      </c>
    </row>
    <row r="10020">
      <c r="A10020" t="inlineStr">
        <is>
          <t>hoabiu</t>
        </is>
      </c>
      <c r="B10020" t="inlineStr">
        <is>
          <t>Any US diabetics try to cross into Canada for insulin recently?</t>
        </is>
      </c>
      <c r="C10020" t="inlineStr">
        <is>
          <t>I've read that Canada may keep the border closed until at least next year.  I have no health insurance anymore, and have 3 months or so of insulin left on hand.  
Are they letting people into Canada to get insulin?  Or is it shut down tight?</t>
        </is>
      </c>
      <c r="D10020" t="n">
        <v>1</v>
      </c>
      <c r="E10020" t="n">
        <v>12</v>
      </c>
      <c r="F10020">
        <f>HYPERLINK("https://www.reddit.com/r/diabetes/comments/hoabiu/any_us_diabetics_try_to_cross_into_canada_for/")</f>
        <v/>
      </c>
      <c r="G10020" t="inlineStr">
        <is>
          <t>2020-07-09 13:10:08</t>
        </is>
      </c>
      <c r="H10020" t="inlineStr">
        <is>
          <t>Type 1</t>
        </is>
      </c>
    </row>
    <row r="10021">
      <c r="A10021" t="inlineStr">
        <is>
          <t>hobdsl</t>
        </is>
      </c>
      <c r="B10021" t="inlineStr">
        <is>
          <t>Seizures from high blood sugar?</t>
        </is>
      </c>
      <c r="C10021" t="inlineStr">
        <is>
          <t>Before I was diagnosed I’d have episodes where my eyes would roll back and I’d slur for minutes on end before either falling asleep or coming back. This happened many times. I was only undiagnosed for 9months (time as a diabetic was probably less). When this happens is it due to ketoacidosis? Or brain damage?</t>
        </is>
      </c>
      <c r="D10021" t="n">
        <v>1</v>
      </c>
      <c r="E10021" t="n">
        <v>7</v>
      </c>
      <c r="F10021">
        <f>HYPERLINK("https://www.reddit.com/r/diabetes/comments/hobdsl/seizures_from_high_blood_sugar/")</f>
        <v/>
      </c>
      <c r="G10021" t="inlineStr">
        <is>
          <t>2020-07-09 14:09:00</t>
        </is>
      </c>
      <c r="H10021" t="inlineStr">
        <is>
          <t>Type 1.5/LADA</t>
        </is>
      </c>
    </row>
    <row r="10022">
      <c r="A10022" t="inlineStr">
        <is>
          <t>hobfcn</t>
        </is>
      </c>
      <c r="B10022" t="inlineStr">
        <is>
          <t>Too many apps open.</t>
        </is>
      </c>
      <c r="C10022" t="inlineStr">
        <is>
          <t>Is there something I can do about the amount of apps I have open. I’ve got the dexcom app open, the Sugarmate app up and the tandem app running. Can I close these apps or will I lose connection if I do so?</t>
        </is>
      </c>
      <c r="D10022" t="n">
        <v>1</v>
      </c>
      <c r="E10022" t="n">
        <v>5</v>
      </c>
      <c r="F10022">
        <f>HYPERLINK("https://www.reddit.com/r/diabetes/comments/hobfcn/too_many_apps_open/")</f>
        <v/>
      </c>
      <c r="G10022" t="inlineStr">
        <is>
          <t>2020-07-09 14:11:29</t>
        </is>
      </c>
      <c r="H10022" t="inlineStr">
        <is>
          <t>Type 1</t>
        </is>
      </c>
    </row>
    <row r="10023">
      <c r="A10023" t="inlineStr">
        <is>
          <t>hockdu</t>
        </is>
      </c>
      <c r="B10023" t="inlineStr">
        <is>
          <t>Finally getting my Libre tomorrow</t>
        </is>
      </c>
      <c r="C10023" t="inlineStr">
        <is>
          <t>Hello my fellow diabetics! I'm finally getting my Libre sensor tomorrow and I was just curious about where to put it, I wouldn't always want to use my arm. So I was just wondering where does everyone put theirs? And if there are any advices about it, they are very welcome!</t>
        </is>
      </c>
      <c r="D10023" t="n">
        <v>2</v>
      </c>
      <c r="E10023" t="n">
        <v>10</v>
      </c>
      <c r="F10023">
        <f>HYPERLINK("https://www.reddit.com/r/diabetes/comments/hockdu/finally_getting_my_libre_tomorrow/")</f>
        <v/>
      </c>
      <c r="G10023" t="inlineStr">
        <is>
          <t>2020-07-09 15:12:35</t>
        </is>
      </c>
      <c r="H10023" t="inlineStr">
        <is>
          <t>Type 1</t>
        </is>
      </c>
    </row>
    <row r="10024">
      <c r="A10024" t="inlineStr">
        <is>
          <t>hognlx</t>
        </is>
      </c>
      <c r="B10024" t="inlineStr">
        <is>
          <t>dexcom g6 transmitter battery low</t>
        </is>
      </c>
      <c r="C10024" t="inlineStr">
        <is>
          <t>hi, i am very new to the whole CGM thing, and started with the dexcom g6. i got a notification from my my receiver that transmitter battery is low. does that mean when i change my sensor (in an hour), i have to put in a new transmitter, and throw away the old one? how long do these transmitters usually last? thanks</t>
        </is>
      </c>
      <c r="D10024" t="n">
        <v>1</v>
      </c>
      <c r="E10024" t="n">
        <v>11</v>
      </c>
      <c r="F10024">
        <f>HYPERLINK("https://www.reddit.com/r/diabetes/comments/hognlx/dexcom_g6_transmitter_battery_low/")</f>
        <v/>
      </c>
      <c r="G10024" t="inlineStr">
        <is>
          <t>2020-07-09 19:21:43</t>
        </is>
      </c>
      <c r="H10024" t="inlineStr">
        <is>
          <t>Type 1</t>
        </is>
      </c>
    </row>
    <row r="10025">
      <c r="A10025" t="inlineStr">
        <is>
          <t>hohrok</t>
        </is>
      </c>
      <c r="B10025" t="inlineStr">
        <is>
          <t>My A1C came back 5.6!</t>
        </is>
      </c>
      <c r="C10025" t="inlineStr">
        <is>
          <t>I found out today that my labs came back at 5.6! This whole time I have been thinking I was doing bad even though I have been working hard to keep my carbs and sugar under control. My cholesterol is still out of control. But better than last time I got bloodwork. I feel like I can do this now. I’ve lost 75 pounds in the last year and a half but it never hit that I was making a difference. Today I researched cholesterol and tomorrow I go shopping for nuts and seeds to take the place of my snacks and green tea to take the place of my Diet Coke. I can totally do this!</t>
        </is>
      </c>
      <c r="D10025" t="n">
        <v>1</v>
      </c>
      <c r="E10025" t="n">
        <v>1</v>
      </c>
      <c r="F10025">
        <f>HYPERLINK("https://www.reddit.com/r/diabetes/comments/hohrok/my_a1c_came_back_56/")</f>
        <v/>
      </c>
      <c r="G10025" t="inlineStr">
        <is>
          <t>2020-07-09 20:38:00</t>
        </is>
      </c>
      <c r="H10025" t="inlineStr">
        <is>
          <t>Type 2</t>
        </is>
      </c>
    </row>
    <row r="10026">
      <c r="A10026" t="inlineStr">
        <is>
          <t>hoig4f</t>
        </is>
      </c>
      <c r="B10026" t="inlineStr">
        <is>
          <t>Needing some advice on how to get back on top of things.</t>
        </is>
      </c>
      <c r="C10026" t="inlineStr">
        <is>
          <t>Hi everyone. I'm a Type 1 Diabetic, have been for several years and to be totally honest haven't taken the best care of myself. I'm looking to start fresh, so to speak--wanting advice on how to get back on top of things. I haven't been able to meet with my endocrinologist for a while because of everything going on. Mainly I'm wanting to lower my A1C, and hopefully be healthier all around. 
Where would you guys advise me to start? I have a lot of trouble remembering to check my blood sugar, for example, and usually run high throughout the day even though the one thing I always do is take my long-acting insulin. Thanks in advance for any tips you might be able to give!</t>
        </is>
      </c>
      <c r="D10026" t="n">
        <v>1</v>
      </c>
      <c r="E10026" t="n">
        <v>3</v>
      </c>
      <c r="F10026">
        <f>HYPERLINK("https://www.reddit.com/r/diabetes/comments/hoig4f/needing_some_advice_on_how_to_get_back_on_top_of/")</f>
        <v/>
      </c>
      <c r="G10026" t="inlineStr">
        <is>
          <t>2020-07-09 21:26:54</t>
        </is>
      </c>
      <c r="H10026" t="inlineStr">
        <is>
          <t>Type 1</t>
        </is>
      </c>
    </row>
    <row r="10027">
      <c r="A10027" t="inlineStr">
        <is>
          <t>hoj1tf</t>
        </is>
      </c>
      <c r="B10027" t="inlineStr">
        <is>
          <t>I think I have t2 with A1c of 6.5</t>
        </is>
      </c>
      <c r="C10027" t="inlineStr">
        <is>
          <t>I think I have t2 , a1c of 6.5 . Do I need insulin?
Hi Guys , as above I think I might have type 2 D . I am a 27 year old male I weigh 153 Kg with genetic history of diabetes t2 and A1c of 6.5 .  Do I need to start insulin. 
I just started keto and Intermittent ffasting. Is there any way I can put the diabetes down before it starts getting worse . And what’s should I watch for because this has blown my anxiety to a 1000% . 
I am afraid but determined to go through this . How do I start ?
Edit 1: only medication at the moment is Metformin 500mg  and Nexium for gerd.</t>
        </is>
      </c>
      <c r="D10027" t="n">
        <v>1</v>
      </c>
      <c r="E10027" t="n">
        <v>8</v>
      </c>
      <c r="F10027">
        <f>HYPERLINK("https://www.reddit.com/r/diabetes/comments/hoj1tf/i_think_i_have_t2_with_a1c_of_65/")</f>
        <v/>
      </c>
      <c r="G10027" t="inlineStr">
        <is>
          <t>2020-07-09 22:12:52</t>
        </is>
      </c>
      <c r="H10027" t="inlineStr">
        <is>
          <t>Type 2</t>
        </is>
      </c>
    </row>
    <row r="10028">
      <c r="A10028" t="inlineStr">
        <is>
          <t>hojfrp</t>
        </is>
      </c>
      <c r="B10028" t="inlineStr">
        <is>
          <t>Using Novorapid for an Insulin Pump</t>
        </is>
      </c>
      <c r="C10028" t="inlineStr">
        <is>
          <t>Hey guys so I managed to get a second hand Medtronic 630G and am gonna be grabbing it sometime soon my question is can I use Novorapid Penfill to fill a reservoir for the medtronic pump. I know in the states Novorapid is called something else but I forget what</t>
        </is>
      </c>
      <c r="D10028" t="n">
        <v>1</v>
      </c>
      <c r="E10028" t="n">
        <v>9</v>
      </c>
      <c r="F10028">
        <f>HYPERLINK("https://www.reddit.com/r/diabetes/comments/hojfrp/using_novorapid_for_an_insulin_pump/")</f>
        <v/>
      </c>
      <c r="G10028" t="inlineStr">
        <is>
          <t>2020-07-09 22:44:22</t>
        </is>
      </c>
      <c r="H10028" t="inlineStr">
        <is>
          <t>Type 2</t>
        </is>
      </c>
    </row>
    <row r="10029">
      <c r="A10029" t="inlineStr">
        <is>
          <t>holvec</t>
        </is>
      </c>
      <c r="B10029" t="inlineStr">
        <is>
          <t>Didn’t do anything for 2 years after diagnosis... too late?</t>
        </is>
      </c>
      <c r="C10029" t="inlineStr">
        <is>
          <t>Okay so hear me out: I got diagnosed with PCOS and T2 diabetes. I was put on metformin and lisinopril as a precaution, even though my blood pressure is more or less fine. My A1C went for a 9 something to 8.4 at my last check, but I still treat my body like shit. This change was mainly due to the medications I’m on. I still drink too much and exists mainly on carbs, a very deeply rooted habit I started when I was suicidal and thought if I could poison my body, my family wouldn’t have the survivors guilt of if I’d just “killed myself”. Now it just is a habit I stick with because I can’t seem to convince myself I deserve any better LOL! ¯\_(ツ)_/¯ 
Self deprecation aside, is it too late? Is my body now used to the metformin and if I did make the changes I need to make it wouldn’t help because it’s used to how the metformin works in my body anyways. My doctor told me that the metformin would help the body along while the other changes did the bulk of the work, but as I’ve mentioned I didn’t do any of the other changes. 
Have I basically ruined the chance of using metformin for myself with it’s more helpful purposes? Or will it still help even after 2 years of taking it, if I did the other things necessary?</t>
        </is>
      </c>
      <c r="D10029" t="n">
        <v>1</v>
      </c>
      <c r="E10029" t="n">
        <v>4</v>
      </c>
      <c r="F10029">
        <f>HYPERLINK("https://www.reddit.com/r/diabetes/comments/holvec/didnt_do_anything_for_2_years_after_diagnosis_too/")</f>
        <v/>
      </c>
      <c r="G10029" t="inlineStr">
        <is>
          <t>2020-07-10 02:24:05</t>
        </is>
      </c>
      <c r="H10029" t="inlineStr">
        <is>
          <t>Type 2</t>
        </is>
      </c>
    </row>
    <row r="10030">
      <c r="A10030" t="inlineStr">
        <is>
          <t>holzc9</t>
        </is>
      </c>
      <c r="B10030" t="inlineStr">
        <is>
          <t>Insulin dependent T2 struggling with seriously low BG.</t>
        </is>
      </c>
      <c r="C10030" t="inlineStr">
        <is>
          <t>I'm an insulin dependent T2. My BG was stable on Metformin 1000mg XR for 3 years post diagnosis and then fate struck. My health took a series of hits that has hospitalised me 5x in the last 3 years. I've also endured 3 surgeries on top of that. The last being 2 weeks ago (surgery in COVID times is an experience). 
None of my health issues are a direct result of being a diabetic but as you all know, being a diabetic does one no favours. All these health issues have pushed my diabetic disease progress forward dramatically (hence the need for insulin). My doc is of the opinion that my diabetes has progressed to roughly where I could have expected to be 15-20 years from now, over the last actual 3 years. 
The latest surgery (2 weeks ago) destroyed my appetite (no real reason why). I've also lost 8 kg. My surgeon has been firm that no exercise is allowed until mid August the earliest. I must note that I have been eating regularly but only because I know I have to.
Since I was discharged, I have struggled to control my BG. It hasn't been high, rather it's been too low to the extent that last night I dropped to 2.2 mmol/L. I've never been this low before. I really feel for all you T1's who have to deal with type of situation regularly. 
I have yet to see a reading over 6.8 no matter what I eat. Last night I ate 3 large spoons of sugar to correct the low and my BG peaked at 6.7. All this happened before I'd even injected (I take long acting insulin only). I skipped insulin last night, ate a high carb meal before bed and still woke up at 4.7
I'm fortunate in that I have excellent medical coverage, see private (not state) doctors and can afford other expenses. My doc is excellent and treats all the other members of my extended paternal family as well. 
T2 is a genetically strong 'gift' in the male line on my dad's side. My aunt and none of my female cousins have it, but my dad, 2 uncles, both my brothers and all my other paternal male cousins are all T2. None of them have ever experienced what I am going through now.
I have obviously seen my doc and communicated again with her this morning. I'm making the appropriate changes in terms of meds and insulin as prescribed by her and her explanation of why I'm experiencing this makes sense.
While I'm going to do what my doc says - has anybody else ever experienced something like this and how did you go about maintaining your BG?</t>
        </is>
      </c>
      <c r="D10030" t="n">
        <v>1</v>
      </c>
      <c r="E10030" t="n">
        <v>3</v>
      </c>
      <c r="F10030">
        <f>HYPERLINK("https://www.reddit.com/r/diabetes/comments/holzc9/insulin_dependent_t2_struggling_with_seriously/")</f>
        <v/>
      </c>
      <c r="G10030" t="inlineStr">
        <is>
          <t>2020-07-10 02:34:05</t>
        </is>
      </c>
      <c r="H10030" t="inlineStr">
        <is>
          <t>Type 2</t>
        </is>
      </c>
    </row>
    <row r="10031">
      <c r="A10031" t="inlineStr">
        <is>
          <t>hom2k3</t>
        </is>
      </c>
      <c r="B10031" t="inlineStr">
        <is>
          <t>t1's, if u were to estimate</t>
        </is>
      </c>
      <c r="C10031" t="inlineStr">
        <is>
          <t>how much insulin do u take for a meal on average?</t>
        </is>
      </c>
      <c r="D10031" t="n">
        <v>1</v>
      </c>
      <c r="E10031" t="n">
        <v>5</v>
      </c>
      <c r="F10031">
        <f>HYPERLINK("https://www.reddit.com/r/diabetes/comments/hom2k3/t1s_if_u_were_to_estimate/")</f>
        <v/>
      </c>
      <c r="G10031" t="inlineStr">
        <is>
          <t>2020-07-10 02:42:20</t>
        </is>
      </c>
      <c r="H10031" t="inlineStr">
        <is>
          <t>Type 1</t>
        </is>
      </c>
    </row>
    <row r="10032">
      <c r="A10032" t="inlineStr">
        <is>
          <t>hoo1an</t>
        </is>
      </c>
      <c r="B10032" t="inlineStr">
        <is>
          <t>Freestyle libre stuck on LO</t>
        </is>
      </c>
      <c r="C10032" t="inlineStr">
        <is>
          <t>I hope I’m doing this right, I’m new to reddit and to type 1 diabetes. For the last 5 hours my libre has been reading LO but when I prick my finger I get readings between 5-10 blood glucose. I still have this libre for another 9 days - can someone help?</t>
        </is>
      </c>
      <c r="D10032" t="n">
        <v>1</v>
      </c>
      <c r="E10032" t="n">
        <v>2</v>
      </c>
      <c r="F10032">
        <f>HYPERLINK("https://www.reddit.com/r/diabetes/comments/hoo1an/freestyle_libre_stuck_on_lo/")</f>
        <v/>
      </c>
      <c r="G10032" t="inlineStr">
        <is>
          <t>2020-07-10 05:26:39</t>
        </is>
      </c>
      <c r="H10032" t="inlineStr">
        <is>
          <t>Type 1</t>
        </is>
      </c>
    </row>
    <row r="10033">
      <c r="A10033" t="inlineStr">
        <is>
          <t>hop8io</t>
        </is>
      </c>
      <c r="B10033" t="inlineStr">
        <is>
          <t>Tape options for Tslim X2?</t>
        </is>
      </c>
      <c r="C10033" t="inlineStr">
        <is>
          <t>My family recently got a boat and I wear my pump out on the boat and take it off and put the cap on when I get in the water. I was looking for something similar to simipatch that I use for my G6 that I can put around the infusion site without covering the whole thing so it will still allow me to disconnect and reconnect my pump as I get in and out of the water. This way I can stop having to put a new site in halfway thru our lake days. 
Also, I have some skintac wipes but I am afraid to use them as I have sensitive skin and I am afraid it will irritate my skin.</t>
        </is>
      </c>
      <c r="D10033" t="n">
        <v>1</v>
      </c>
      <c r="E10033" t="n">
        <v>3</v>
      </c>
      <c r="F10033">
        <f>HYPERLINK("https://www.reddit.com/r/diabetes/comments/hop8io/tape_options_for_tslim_x2/")</f>
        <v/>
      </c>
      <c r="G10033" t="inlineStr">
        <is>
          <t>2020-07-10 06:48:01</t>
        </is>
      </c>
      <c r="H10033" t="inlineStr">
        <is>
          <t>Type 1</t>
        </is>
      </c>
    </row>
    <row r="10034">
      <c r="A10034" t="inlineStr">
        <is>
          <t>houzqk</t>
        </is>
      </c>
      <c r="B10034" t="inlineStr">
        <is>
          <t>CGM keeping me up at night. How to shut it up?</t>
        </is>
      </c>
      <c r="C10034" t="inlineStr">
        <is>
          <t>I have the 670G + Guardian Connect CGM.  Is it possible to silence it and let me sleep through the night?  My endo suggested I disable the "Auto Mode BG alert" (which I've done), but it still goes off through the night.</t>
        </is>
      </c>
      <c r="D10034" t="n">
        <v>1</v>
      </c>
      <c r="E10034" t="n">
        <v>5</v>
      </c>
      <c r="F10034">
        <f>HYPERLINK("https://www.reddit.com/r/diabetes/comments/houzqk/cgm_keeping_me_up_at_night_how_to_shut_it_up/")</f>
        <v/>
      </c>
      <c r="G10034" t="inlineStr">
        <is>
          <t>2020-07-10 12:05:13</t>
        </is>
      </c>
      <c r="H10034" t="inlineStr">
        <is>
          <t>Type 1</t>
        </is>
      </c>
    </row>
    <row r="10035">
      <c r="A10035" t="inlineStr">
        <is>
          <t>hovprs</t>
        </is>
      </c>
      <c r="B10035" t="inlineStr">
        <is>
          <t>stomach issue</t>
        </is>
      </c>
      <c r="C10035" t="inlineStr">
        <is>
          <t>Hello my diabetic friends. I have a question. I have had some chills and stomach pain for about a week. I have lots of built up gas and pain around my belly button and severe back pain. I went to the ER and I had a normal CT scan. I am having a lot of mucus in my stool. Any advice on if this is diabetic related or normal stomach issue? Thanks</t>
        </is>
      </c>
      <c r="D10035" t="n">
        <v>1</v>
      </c>
      <c r="E10035" t="n">
        <v>3</v>
      </c>
      <c r="F10035">
        <f>HYPERLINK("https://www.reddit.com/r/diabetes/comments/hovprs/stomach_issue/")</f>
        <v/>
      </c>
      <c r="G10035" t="inlineStr">
        <is>
          <t>2020-07-10 12:43:15</t>
        </is>
      </c>
      <c r="H10035" t="inlineStr">
        <is>
          <t>Type 1.5/LADA</t>
        </is>
      </c>
    </row>
    <row r="10036">
      <c r="A10036" t="inlineStr">
        <is>
          <t>hoxt48</t>
        </is>
      </c>
      <c r="B10036" t="inlineStr">
        <is>
          <t>Box full of Medtronic pump supplies for free</t>
        </is>
      </c>
      <c r="C10036" t="inlineStr">
        <is>
          <t>Hey guys. 
I’ve switched pumps and due to some weird stuff with insurance I’ve ended up with a box full of Medtronic various pump supplies and would love to send them somewhere where they are needed.</t>
        </is>
      </c>
      <c r="D10036" t="n">
        <v>1</v>
      </c>
      <c r="E10036" t="n">
        <v>0</v>
      </c>
      <c r="F10036">
        <f>HYPERLINK("https://www.reddit.com/r/diabetes/comments/hoxt48/box_full_of_medtronic_pump_supplies_for_free/")</f>
        <v/>
      </c>
      <c r="G10036" t="inlineStr">
        <is>
          <t>2020-07-10 14:39:51</t>
        </is>
      </c>
      <c r="H10036" t="inlineStr">
        <is>
          <t>Type 1</t>
        </is>
      </c>
    </row>
    <row r="10037">
      <c r="A10037" t="inlineStr">
        <is>
          <t>hoy1s4</t>
        </is>
      </c>
      <c r="B10037" t="inlineStr">
        <is>
          <t>question</t>
        </is>
      </c>
      <c r="C10037" t="inlineStr">
        <is>
          <t>so i just got a nintendo switch and it said that it may affect devises like pacemaker. so i am wondering, will it affect my tslim and transmitter? (sorry for grammar)</t>
        </is>
      </c>
      <c r="D10037" t="n">
        <v>1</v>
      </c>
      <c r="E10037" t="n">
        <v>2</v>
      </c>
      <c r="F10037">
        <f>HYPERLINK("https://www.reddit.com/r/diabetes/comments/hoy1s4/question/")</f>
        <v/>
      </c>
      <c r="G10037" t="inlineStr">
        <is>
          <t>2020-07-10 14:53:46</t>
        </is>
      </c>
      <c r="H10037" t="inlineStr">
        <is>
          <t>Type 1</t>
        </is>
      </c>
    </row>
    <row r="10038">
      <c r="A10038" t="inlineStr">
        <is>
          <t>hoye0m</t>
        </is>
      </c>
      <c r="B10038" t="inlineStr">
        <is>
          <t>Just diagnosed with type 2 Diabetes.</t>
        </is>
      </c>
      <c r="C10038" t="inlineStr">
        <is>
          <t>I was just diagnosed with diabetes. This is all new and pretty scary to me. My dad has diabetes. But he doesn’t manage it well at all. I want to be able to manage my diabetes and have a happy healthy life. 
On Sunday I care across a box of stuff I had. I went through it and found my moms old test kit (it’s six years old). I decided to test my blood glucose. It was 422. Not knowing if that was bad. I decided to look it up. I was very shocked at how high it was.  Trying not to panic, I went to bed. In the morning I decided to test it again. It was 355. I was very scared. I called my brother who is a nurse and talked to him. He told me to go to urgent care, and that when test kits get old they can give wrong readings. So I went there. They did a test there and it was 298. They gave me a prescription for met-forman and sent me on my way. I started the meds that evening. One that night and two on Tuesday. 
I had to wait until Wednesday to be seen by my doctor. I went to my appointment and they did an A1C test on me. I was informed that my A1C was 9.8 and that I had diabetes. He gave me two new prescriptions that I will start on Saturday because the pharmacy was out of one of them (met-formin has been a nightmare. Constant diarrhea and stomach pain). I’m hoping the new meds won’t be as bad. 
This whole ordeal has me very scared and confused. If there is any advice I can get from this group. I would greatly appreciate it. 
I know it’s not the end of the world or even close to the worst on this group. But I know diabetes causes kidney damage and I already have oxalate kidney stones. So that is also a major concern. 
Thank you for taking the time to read this.</t>
        </is>
      </c>
      <c r="D10038" t="n">
        <v>1</v>
      </c>
      <c r="E10038" t="n">
        <v>7</v>
      </c>
      <c r="F10038">
        <f>HYPERLINK("https://www.reddit.com/r/diabetes/comments/hoye0m/just_diagnosed_with_type_2_diabetes/")</f>
        <v/>
      </c>
      <c r="G10038" t="inlineStr">
        <is>
          <t>2020-07-10 15:13:14</t>
        </is>
      </c>
      <c r="H10038" t="inlineStr">
        <is>
          <t>Type 2</t>
        </is>
      </c>
    </row>
    <row r="10039">
      <c r="A10039" t="inlineStr">
        <is>
          <t>hp13pa</t>
        </is>
      </c>
      <c r="B10039" t="inlineStr">
        <is>
          <t>Talk to me about wearing Dexcom G6 on the arm.</t>
        </is>
      </c>
      <c r="C10039" t="inlineStr">
        <is>
          <t>Where do you like it on the atm? Do shirst pose a hazard? Does it hurt? Is it reliable?
Bonus question, how about the thigh? Is it reliable there, too? 
I wore my g5 on my thigh and loved that, ive been keeping the g6 on my stomach, but ive run out of room in the 3 inch gap between jeans and boobs. So...im ready to review my officially u approved but reliable options.</t>
        </is>
      </c>
      <c r="D10039" t="n">
        <v>1</v>
      </c>
      <c r="E10039" t="n">
        <v>13</v>
      </c>
      <c r="F10039">
        <f>HYPERLINK("https://www.reddit.com/r/diabetes/comments/hp13pa/talk_to_me_about_wearing_dexcom_g6_on_the_arm/")</f>
        <v/>
      </c>
      <c r="G10039" t="inlineStr">
        <is>
          <t>2020-07-10 18:05:39</t>
        </is>
      </c>
      <c r="H10039" t="inlineStr">
        <is>
          <t>Type 1</t>
        </is>
      </c>
    </row>
    <row r="10040">
      <c r="A10040" t="inlineStr">
        <is>
          <t>hp1y0y</t>
        </is>
      </c>
      <c r="B10040" t="inlineStr">
        <is>
          <t>Controlling or “reversing” diabetes</t>
        </is>
      </c>
      <c r="C10040" t="inlineStr">
        <is>
          <t>Hello all, I’m 24 and want to improve my health. A few years ago I was diagnosed with type 2 diabetes and ignored it for about 2 years and now I want to fix it. I had obtained an A1C of 10, which I am sad about. But ultimately it was my my choice that lead me here. Can I reverse it? Not the damages, I know any are already done. I want to improve though.</t>
        </is>
      </c>
      <c r="D10040" t="n">
        <v>1</v>
      </c>
      <c r="E10040" t="n">
        <v>7</v>
      </c>
      <c r="F10040">
        <f>HYPERLINK("https://www.reddit.com/r/diabetes/comments/hp1y0y/controlling_or_reversing_diabetes/")</f>
        <v/>
      </c>
      <c r="G10040" t="inlineStr">
        <is>
          <t>2020-07-10 19:04:46</t>
        </is>
      </c>
      <c r="H10040" t="inlineStr">
        <is>
          <t>Type 2</t>
        </is>
      </c>
    </row>
    <row r="10041">
      <c r="A10041" t="inlineStr">
        <is>
          <t>hp35np</t>
        </is>
      </c>
      <c r="B10041" t="inlineStr">
        <is>
          <t>I just realized that my POD is too close to my elbow. These are going to be a rough 72 hours.</t>
        </is>
      </c>
      <c r="C10041" t="inlineStr">
        <is>
          <t>I really don’t want to waste the insulin and pod. You guys get it.</t>
        </is>
      </c>
      <c r="D10041" t="n">
        <v>1</v>
      </c>
      <c r="E10041" t="n">
        <v>1</v>
      </c>
      <c r="F10041">
        <f>HYPERLINK("https://www.reddit.com/r/diabetes/comments/hp35np/i_just_realized_that_my_pod_is_too_close_to_my/")</f>
        <v/>
      </c>
      <c r="G10041" t="inlineStr">
        <is>
          <t>2020-07-10 20:30:18</t>
        </is>
      </c>
      <c r="H10041" t="inlineStr">
        <is>
          <t>Type 1</t>
        </is>
      </c>
    </row>
    <row r="10042">
      <c r="A10042" t="inlineStr">
        <is>
          <t>hp5w45</t>
        </is>
      </c>
      <c r="B10042" t="inlineStr">
        <is>
          <t>Hyper to hypo swings - infection?</t>
        </is>
      </c>
      <c r="C10042" t="inlineStr">
        <is>
          <t>Hi guys! First time poster, long time lurker. 
Context: I’m a 26 y/o Type 1, very well controlled (last Hba1c = 6%), on multiple daily injections and freestyle libre.
A few days ago, I noticed I was really low pretty much all day. I was going from having a bad hypo, to cruising at a pretty low level, to dipping back down to a hypo. Chalked it down to being a bit hectic because I’ve just moved back to London from Ireland.
But since yesterday, my blood sugars have been very, very high (&amp;gt;15mmol/L). Nothing seemed to bring them down yesterday, and then I hit one almighty hypo. But as soon as I treated the hypo, I ended up swinging all the way back up again, to 13. Woke up at 4am and it was 14, corrected and it didn’t do anything. 
Had urine ketones (++/+++) p much all yesterday. 
Insulin is in date and in good condition, pen is working. What I’m really worried about is having an infection (like, The Infection). I travelled by plane on Monday (we are now Saturday) and I’m worried I might be asymptomatic covid +, because I have no other symptoms than this. I have a test arriving later today and I’ll hopefully hear back from that soon.
In the meantime, I don’t know what to do. Insulin doesn’t seem to work and I don’t know if I should ring Out of Hours (it’s Saturday and I’m in the UK). Usually if you ring out of hours with a problem like this, you just get sent to A and E. 
TLDR; huge blood sugar swings in recent days: how do you cope with this? Could this be a coronavirus thing?</t>
        </is>
      </c>
      <c r="D10042" t="n">
        <v>1</v>
      </c>
      <c r="E10042" t="n">
        <v>2</v>
      </c>
      <c r="F10042">
        <f>HYPERLINK("https://www.reddit.com/r/diabetes/comments/hp5w45/hyper_to_hypo_swings_infection/")</f>
        <v/>
      </c>
      <c r="G10042" t="inlineStr">
        <is>
          <t>2020-07-11 00:18:54</t>
        </is>
      </c>
      <c r="H10042" t="inlineStr">
        <is>
          <t>Type 1</t>
        </is>
      </c>
    </row>
    <row r="10043">
      <c r="A10043" t="inlineStr">
        <is>
          <t>hpauro</t>
        </is>
      </c>
      <c r="B10043" t="inlineStr">
        <is>
          <t>Need More Comfort</t>
        </is>
      </c>
      <c r="C10043" t="inlineStr">
        <is>
          <t>Hello!
8 years in with type one and I’ve always just let my pump flop around when I go to bed. Obviously, this has always sucked, but certain types of clothes make me so uncomfortable when I sleep that wearing something that holds my pump makes me claustrophobic when I try to sleep. Does anyone have a soft, extremely comfortable item of clothing they’ve worn to hold their pump while they sleep?! And even work out? I’ve not liked the couple I’ve tried over the years! 
Thanks for any help!</t>
        </is>
      </c>
      <c r="D10043" t="n">
        <v>1</v>
      </c>
      <c r="E10043" t="n">
        <v>13</v>
      </c>
      <c r="F10043">
        <f>HYPERLINK("https://www.reddit.com/r/diabetes/comments/hpauro/need_more_comfort/")</f>
        <v/>
      </c>
      <c r="G10043" t="inlineStr">
        <is>
          <t>2020-07-11 07:26:38</t>
        </is>
      </c>
      <c r="H10043" t="inlineStr">
        <is>
          <t>Type 1</t>
        </is>
      </c>
    </row>
    <row r="10044">
      <c r="A10044" t="inlineStr">
        <is>
          <t>hpc4gv</t>
        </is>
      </c>
      <c r="B10044" t="inlineStr">
        <is>
          <t>Losing Virginity With Type 1 Diabetes?</t>
        </is>
      </c>
      <c r="C10044" t="inlineStr">
        <is>
          <t>Hey everybody here, I'm new to Reddit and on mobile so sorry if the formatting isn't great or whatever. 
So me and my girlfriend have been dating for about Five months now and we think we are both ready to lose our virginity. My girlfriend has Type 1 Diabetes and I just wanted to make sure there isn't any chance of something going wrong with that. I love her very much and I really trust her to be my first time, but I just want to make sure there isn't anything related to her Diabetes that could go wrong. I'm sorry if I sound ignorant at all, I'm just really stressed out about the whole thing and overthinking it I guess, if someone could just let me know that would be great :)
Have a great day everybody, stay safe</t>
        </is>
      </c>
      <c r="D10044" t="n">
        <v>1</v>
      </c>
      <c r="E10044" t="n">
        <v>18</v>
      </c>
      <c r="F10044">
        <f>HYPERLINK("https://www.reddit.com/r/diabetes/comments/hpc4gv/losing_virginity_with_type_1_diabetes/")</f>
        <v/>
      </c>
      <c r="G10044" t="inlineStr">
        <is>
          <t>2020-07-11 08:44:41</t>
        </is>
      </c>
      <c r="H10044" t="inlineStr">
        <is>
          <t>Type 1</t>
        </is>
      </c>
    </row>
    <row r="10045">
      <c r="A10045" t="inlineStr">
        <is>
          <t>hpcaqy</t>
        </is>
      </c>
      <c r="B10045" t="inlineStr">
        <is>
          <t>98% in range!!!</t>
        </is>
      </c>
      <c r="C10045" t="inlineStr">
        <is>
          <t>Don’t know many diabetics irl so I’m going to share here because I want to tell someone. I’ve been type one diabetic for years now and got the Omni pod last month. Yesterday I went to my endo and my a1c is a 5.2 and I have been 98% in range this month. I have never had numbers so good. Made my very happy</t>
        </is>
      </c>
      <c r="D10045" t="n">
        <v>1</v>
      </c>
      <c r="E10045" t="n">
        <v>3</v>
      </c>
      <c r="F10045">
        <f>HYPERLINK("https://www.reddit.com/r/diabetes/comments/hpcaqy/98_in_range/")</f>
        <v/>
      </c>
      <c r="G10045" t="inlineStr">
        <is>
          <t>2020-07-11 08:55:19</t>
        </is>
      </c>
      <c r="H10045" t="inlineStr">
        <is>
          <t>Type 1</t>
        </is>
      </c>
    </row>
    <row r="10046">
      <c r="A10046" t="inlineStr">
        <is>
          <t>hpcux1</t>
        </is>
      </c>
      <c r="B10046" t="inlineStr">
        <is>
          <t>Anyone else just cat seem to cover Oatmeal at all?</t>
        </is>
      </c>
      <c r="C10046" t="inlineStr">
        <is>
          <t>had 3/4 cup of Oats being about 45 carbs added a small spoonful of brown sugar and stevia.
took about 9 units for the meal and added an extra 3 units after eating just for good measure and still ended up at 260 2 hours later</t>
        </is>
      </c>
      <c r="D10046" t="n">
        <v>1</v>
      </c>
      <c r="E10046" t="n">
        <v>3</v>
      </c>
      <c r="F10046">
        <f>HYPERLINK("https://www.reddit.com/r/diabetes/comments/hpcux1/anyone_else_just_cat_seem_to_cover_oatmeal_at_all/")</f>
        <v/>
      </c>
      <c r="G10046" t="inlineStr">
        <is>
          <t>2020-07-11 09:27:12</t>
        </is>
      </c>
      <c r="H10046" t="inlineStr">
        <is>
          <t>Type 1</t>
        </is>
      </c>
    </row>
    <row r="10047">
      <c r="A10047" t="inlineStr">
        <is>
          <t>hpdxnr</t>
        </is>
      </c>
      <c r="B10047" t="inlineStr">
        <is>
          <t>Need help managing my moms type 2 diabetes</t>
        </is>
      </c>
      <c r="C10047" t="inlineStr">
        <is>
          <t>Hey guys, I am currently taking care of my 56yr old mother who has broken ankle. She is a severe diabetic with neuropathy, has already had 2 fingers amputated, and Im Trying to nurse this ankle so she doesn't lose her leg too. Anyways I have put her on a low carb diet and she is still taking her insulin as prescribed 85 in the am, 80 in the PM. Her blood sugar has been so low 70 one morning that scared me so I have been giving her carbs, this morning her sugar was 43. I dont know what to do I give her juice it come up to normal range. She was out of control before numbers in the 400, 300. She eats absolutely horrible normally like chips and cookies for breakfast but being at my house I am giving her real meals every meal. Protien, veggies and a carb/starch. I want to email the doc and ask for a lower dose on insulin but she is reluctant and saying she isnt ready for that. She is being so stubborn I'm thinking as soon as she gets home and is better she is going to eat like she was before that's why she doesnt want to contact the doc. What would you do in my position?</t>
        </is>
      </c>
      <c r="D10047" t="n">
        <v>1</v>
      </c>
      <c r="E10047" t="n">
        <v>3</v>
      </c>
      <c r="F10047">
        <f>HYPERLINK("https://www.reddit.com/r/diabetes/comments/hpdxnr/need_help_managing_my_moms_type_2_diabetes/")</f>
        <v/>
      </c>
      <c r="G10047" t="inlineStr">
        <is>
          <t>2020-07-11 10:27:47</t>
        </is>
      </c>
      <c r="H10047" t="inlineStr">
        <is>
          <t>Type 2</t>
        </is>
      </c>
    </row>
    <row r="10048">
      <c r="A10048" t="inlineStr">
        <is>
          <t>hpeob5</t>
        </is>
      </c>
      <c r="B10048" t="inlineStr">
        <is>
          <t>Flying during COVID?</t>
        </is>
      </c>
      <c r="C10048" t="inlineStr">
        <is>
          <t>Hello, unfortunately due to family emergencies I have to fly across the country. Has anyone flown during COVID so far? I know as diabetics we are more susceptible if we catch the virus but aren't more likely to contract it, just wondering if people have flown and what your experiences were?
I will be wearing N95 mask, face shield, bring hand sanitizer and wipe down surfaces. Also flying Jet Blue which looks like it's not booking middle seats. Anything else I should do/think about? Thank you in advance!</t>
        </is>
      </c>
      <c r="D10048" t="n">
        <v>1</v>
      </c>
      <c r="E10048" t="n">
        <v>4</v>
      </c>
      <c r="F10048">
        <f>HYPERLINK("https://www.reddit.com/r/diabetes/comments/hpeob5/flying_during_covid/")</f>
        <v/>
      </c>
      <c r="G10048" t="inlineStr">
        <is>
          <t>2020-07-11 11:09:33</t>
        </is>
      </c>
      <c r="H10048" t="inlineStr">
        <is>
          <t>Type 1</t>
        </is>
      </c>
    </row>
    <row r="10049">
      <c r="A10049" t="inlineStr">
        <is>
          <t>hpffyy</t>
        </is>
      </c>
      <c r="B10049" t="inlineStr">
        <is>
          <t>Thumbs up for Medtronic they replaced my 670G in less then 4 hrs</t>
        </is>
      </c>
      <c r="C10049" t="inlineStr">
        <is>
          <t>Hi new to this site i went swimming and when i got out my pump was beeping it was gone, both batterie and reservoir caps were tied so i call Medtronic and 3.5 hours later Fedex was at my door with a new pump and return label to ship the defect one and i live in the country 45 minutes north of Montréal , i’m sure the problem was the batterie contact on the cap that fell off when i remove the batterie after it went bad ?? Cheers</t>
        </is>
      </c>
      <c r="D10049" t="n">
        <v>1</v>
      </c>
      <c r="E10049" t="n">
        <v>0</v>
      </c>
      <c r="F10049">
        <f>HYPERLINK("https://www.reddit.com/r/diabetes/comments/hpffyy/thumbs_up_for_medtronic_they_replaced_my_670g_in/")</f>
        <v/>
      </c>
      <c r="G10049" t="inlineStr">
        <is>
          <t>2020-07-11 11:54:08</t>
        </is>
      </c>
      <c r="H10049" t="inlineStr">
        <is>
          <t>Type 1</t>
        </is>
      </c>
    </row>
    <row r="10050">
      <c r="A10050" t="inlineStr">
        <is>
          <t>hpfzft</t>
        </is>
      </c>
      <c r="B10050" t="inlineStr">
        <is>
          <t>What should my basal rate be?</t>
        </is>
      </c>
      <c r="C10050" t="inlineStr">
        <is>
          <t>Now I know I'm supposed to see my endocrinologist to get my basal rate but I went ahead and bought a pump myself and was wondering if there was a way to calculate a good basal rate using my NPH dosage? Any help would be awesome</t>
        </is>
      </c>
      <c r="D10050" t="n">
        <v>1</v>
      </c>
      <c r="E10050" t="n">
        <v>17</v>
      </c>
      <c r="F10050">
        <f>HYPERLINK("https://www.reddit.com/r/diabetes/comments/hpfzft/what_should_my_basal_rate_be/")</f>
        <v/>
      </c>
      <c r="G10050" t="inlineStr">
        <is>
          <t>2020-07-11 12:24:55</t>
        </is>
      </c>
      <c r="H10050" t="inlineStr">
        <is>
          <t>Type 2</t>
        </is>
      </c>
    </row>
    <row r="10051">
      <c r="A10051" t="inlineStr">
        <is>
          <t>hpgwp0</t>
        </is>
      </c>
      <c r="B10051" t="inlineStr">
        <is>
          <t>it would be nice if tandem didn’t make their pump forget all cartridge information if the pump died</t>
        </is>
      </c>
      <c r="C10051" t="inlineStr">
        <is>
          <t>why do i need to have it load a new cartridge? why do i have to waste insulin to fill the already filled tube?
it was dead for 10 minutes, like come on dude</t>
        </is>
      </c>
      <c r="D10051" t="n">
        <v>1</v>
      </c>
      <c r="E10051" t="n">
        <v>0</v>
      </c>
      <c r="F10051">
        <f>HYPERLINK("https://www.reddit.com/r/diabetes/comments/hpgwp0/it_would_be_nice_if_tandem_didnt_make_their_pump/")</f>
        <v/>
      </c>
      <c r="G10051" t="inlineStr">
        <is>
          <t>2020-07-11 13:18:12</t>
        </is>
      </c>
      <c r="H10051" t="inlineStr">
        <is>
          <t>Type 2</t>
        </is>
      </c>
    </row>
    <row r="10052">
      <c r="A10052" t="inlineStr">
        <is>
          <t>hph4z9</t>
        </is>
      </c>
      <c r="B10052" t="inlineStr">
        <is>
          <t>Doctor switched me to Novolin-R flex pens some questions</t>
        </is>
      </c>
      <c r="C10052" t="inlineStr">
        <is>
          <t>What’s the difference between fast acting (novolin-r) and rapid acting (admelog) the one I was on?
Isn’t Novolin-R the Walmart brand? Weird thing is these flex pens say Novartis and don’t say redimed on them so is this Novartis brand name insulin?</t>
        </is>
      </c>
      <c r="D10052" t="n">
        <v>1</v>
      </c>
      <c r="E10052" t="n">
        <v>1</v>
      </c>
      <c r="F10052">
        <f>HYPERLINK("https://www.reddit.com/r/diabetes/comments/hph4z9/doctor_switched_me_to_novolinr_flex_pens_some/")</f>
        <v/>
      </c>
      <c r="G10052" t="inlineStr">
        <is>
          <t>2020-07-11 13:31:15</t>
        </is>
      </c>
      <c r="H10052" t="inlineStr">
        <is>
          <t>Type 2</t>
        </is>
      </c>
    </row>
    <row r="10053">
      <c r="A10053" t="inlineStr">
        <is>
          <t>hpib85</t>
        </is>
      </c>
      <c r="B10053" t="inlineStr">
        <is>
          <t>Seizures from HIGH blood sugar</t>
        </is>
      </c>
      <c r="C10053" t="inlineStr">
        <is>
          <t>Anyone else ever had these? I’ve had multiple. Eyes would start rolling around and my jaw would hang open. This would happen for a few minutes before I’d regain awareness and be able to talk again. This happened 10+ times before being diagnosed with “Type 2 Diabetes” that ended up being Type 1 (discovered 1 year later after many monster ketone spills and blackouts). What damage does high blood sugar seizures cause? What kind of seizure would it be called?</t>
        </is>
      </c>
      <c r="D10053" t="n">
        <v>1</v>
      </c>
      <c r="E10053" t="n">
        <v>1</v>
      </c>
      <c r="F10053">
        <f>HYPERLINK("https://www.reddit.com/r/diabetes/comments/hpib85/seizures_from_high_blood_sugar/")</f>
        <v/>
      </c>
      <c r="G10053" t="inlineStr">
        <is>
          <t>2020-07-11 14:38:51</t>
        </is>
      </c>
      <c r="H10053" t="inlineStr">
        <is>
          <t>Type 1.5/LADA</t>
        </is>
      </c>
    </row>
    <row r="10054">
      <c r="A10054" t="inlineStr">
        <is>
          <t>hplrxk</t>
        </is>
      </c>
      <c r="B10054" t="inlineStr">
        <is>
          <t>Moving out with type one</t>
        </is>
      </c>
      <c r="C10054" t="inlineStr">
        <is>
          <t>Hello I am 19 and have been diagnosed since I was 5, I have a lot of other auto immune and health conditions and stuff like that. I am moving out of my parents house next month and I’m very worried. I will have a roommate and she is aware of my diabetes and is gonna learn how to use my glucagon and even get the dexcom follow app. My biggest concern right now is I’ve been getting a lot of urgent lows in the middle of the night and even my dexcom alarm doesn’t wake me up. Any tips on moving out with diabetes would be greatly appreciated!</t>
        </is>
      </c>
      <c r="D10054" t="n">
        <v>1</v>
      </c>
      <c r="E10054" t="n">
        <v>4</v>
      </c>
      <c r="F10054">
        <f>HYPERLINK("https://www.reddit.com/r/diabetes/comments/hplrxk/moving_out_with_type_one/")</f>
        <v/>
      </c>
      <c r="G10054" t="inlineStr">
        <is>
          <t>2020-07-11 18:14:28</t>
        </is>
      </c>
      <c r="H10054" t="inlineStr">
        <is>
          <t>Type 1</t>
        </is>
      </c>
    </row>
    <row r="10055">
      <c r="A10055" t="inlineStr">
        <is>
          <t>hpno69</t>
        </is>
      </c>
      <c r="B10055" t="inlineStr">
        <is>
          <t>Does this sound like diabetic neuropathy?</t>
        </is>
      </c>
      <c r="C10055" t="inlineStr">
        <is>
          <t>I'm going to see my doctor soon, but in the mean time I want to hear opinions from fellow diabetic.
Very recently I've been having nerve pain in various area of my body. It's not really specific areas. It's usually the front or side of my legs, on my toe, lower back, side of body, etc. Sometimes it even comes randomly in my anus, believe it or not. These pains are sharp shooting pains and the pain varies. It usually only occurs when my blood sugar is elevated, though sometimes it will happen after I'm waiting for my blood sugar to rise after a low. Sometimes they even happen with a normal blood sugar. Lately they've also been coming along with a feeling of nausea. 
I've been a type 1 diabetic since I was 9, and I'm 22 now, and I don't think there was a single instance during that period where my blood sugar was considered "under control". Only recently have I been taking very active steps to keep it under control with things such as basal testing, re adjusting card ratios and etc, but that seems to be failing.</t>
        </is>
      </c>
      <c r="D10055" t="n">
        <v>1</v>
      </c>
      <c r="E10055" t="n">
        <v>2</v>
      </c>
      <c r="F10055">
        <f>HYPERLINK("https://www.reddit.com/r/diabetes/comments/hpno69/does_this_sound_like_diabetic_neuropathy/")</f>
        <v/>
      </c>
      <c r="G10055" t="inlineStr">
        <is>
          <t>2020-07-11 20:30:57</t>
        </is>
      </c>
      <c r="H10055" t="inlineStr">
        <is>
          <t>Type 1</t>
        </is>
      </c>
    </row>
    <row r="10056">
      <c r="A10056" t="inlineStr">
        <is>
          <t>hpp3l3</t>
        </is>
      </c>
      <c r="B10056" t="inlineStr">
        <is>
          <t>sudden cold intolerance and drop in blood sugar levels?</t>
        </is>
      </c>
      <c r="C10056" t="inlineStr">
        <is>
          <t>so about 3 days ago, I've noticed that my blood glucose levels suddenly drop to about 5.3 from around 6.7 and I started to feel cold all the time. 
I live in a tropical country where the weather is always around 36°C. In normal circumstances, I'd leave the ceiling fan turned out throughout the day but now it feels cold even when the fan is off. my parents would complain about the weather being too hot but here I am feeling like I'm in an air conditioned room even when the fan is turned off.
could the drop in sugar levels cause the cold intolerance? though the drop is a mystery too as I didnt change my eating/exercising habits at all. could this be something serious although my body temperature is normal and I feel alright?</t>
        </is>
      </c>
      <c r="D10056" t="n">
        <v>1</v>
      </c>
      <c r="E10056" t="n">
        <v>4</v>
      </c>
      <c r="F10056">
        <f>HYPERLINK("https://www.reddit.com/r/diabetes/comments/hpp3l3/sudden_cold_intolerance_and_drop_in_blood_sugar/")</f>
        <v/>
      </c>
      <c r="G10056" t="inlineStr">
        <is>
          <t>2020-07-11 22:25:39</t>
        </is>
      </c>
      <c r="H10056" t="inlineStr">
        <is>
          <t>Type 2</t>
        </is>
      </c>
    </row>
    <row r="10057">
      <c r="A10057" t="inlineStr">
        <is>
          <t>hptl2x</t>
        </is>
      </c>
      <c r="B10057" t="inlineStr">
        <is>
          <t>Good tips for carb counting?</t>
        </is>
      </c>
      <c r="C10057" t="inlineStr">
        <is>
          <t>T1D, recently started using a dexcom and having tourble gaging carbs. I have limited knowledge and would love to gain some ideas.</t>
        </is>
      </c>
      <c r="D10057" t="n">
        <v>1</v>
      </c>
      <c r="E10057" t="n">
        <v>7</v>
      </c>
      <c r="F10057">
        <f>HYPERLINK("https://www.reddit.com/r/diabetes/comments/hptl2x/good_tips_for_carb_counting/")</f>
        <v/>
      </c>
      <c r="G10057" t="inlineStr">
        <is>
          <t>2020-07-12 05:24:24</t>
        </is>
      </c>
      <c r="H10057" t="inlineStr">
        <is>
          <t>Type 1</t>
        </is>
      </c>
    </row>
    <row r="10058">
      <c r="A10058" t="inlineStr">
        <is>
          <t>hpwmc2</t>
        </is>
      </c>
      <c r="B10058" t="inlineStr">
        <is>
          <t>Macular Oedema Left Eye advice or support..!?</t>
        </is>
      </c>
      <c r="C10058" t="inlineStr">
        <is>
          <t>Hi All,
Have posted on here with some good advice before so thought could try again...
I am 35yr old male and had T1 diabetes for 24 years now. Diabetes was well controlled up until moving away to university at 18/19.  For the period up until 30, my a1c was up and down from 7.5 - 9.5% but started to get under control around 4/5 years ago getting a1c to around 7.  I fortunately got a GCM last year and this plus plenty of personal research and learning has got my a1c down to 6% at last check.
In the last 3/4 years I have needed to have various lasering in both eye, more in my left recently.  Around February, I noticed that the vision started to deteriorate in my left eye by March I made an appointment for the hospital in April which was the postponed to middle of May due to Covid. After visiting in May, a consultant confirmed that I had a macular oedema in my left eye and needing referring for injections in my eye at another hospital.  
Due to current situation, I did not get a referral appointment but have returned to the original hospital for another ‘fail safe’ appointment and they have now re-referred me as a priority as my vision has deteriorated more. 
I am awaiting an appointment and aware that injections will be needed but my questions are: 
Is the vision in the left eye able to be restored at all?
Is it just a case of when and not if the right eye will do the same?
I’ve read somewhere that rapidly decreasing a1c can speed up damage to eyes but was completely unaware of this... is it possible dropping a1c from 7.6 to 6.2 over 6 months might have something to do with this?
Thanks for reading!</t>
        </is>
      </c>
      <c r="D10058" t="n">
        <v>1</v>
      </c>
      <c r="E10058" t="n">
        <v>0</v>
      </c>
      <c r="F10058">
        <f>HYPERLINK("https://www.reddit.com/r/diabetes/comments/hpwmc2/macular_oedema_left_eye_advice_or_support/")</f>
        <v/>
      </c>
      <c r="G10058" t="inlineStr">
        <is>
          <t>2020-07-12 08:54:59</t>
        </is>
      </c>
      <c r="H10058" t="inlineStr">
        <is>
          <t>Type 1</t>
        </is>
      </c>
    </row>
    <row r="10059">
      <c r="A10059" t="inlineStr">
        <is>
          <t>hpxp2v</t>
        </is>
      </c>
      <c r="B10059" t="inlineStr">
        <is>
          <t>Yesterday I won</t>
        </is>
      </c>
      <c r="C10059" t="inlineStr">
        <is>
          <t>I’m a 25 male with type 1 for 6 years more or less and yesterday evening, I won. What does that mean?!
I was 6.1 before dinner and after eating and also during the night I stood between 5.6 and 6.7.
I know. It can’t be a lot.
But today, I’m happy.</t>
        </is>
      </c>
      <c r="D10059" t="n">
        <v>1</v>
      </c>
      <c r="E10059" t="n">
        <v>1</v>
      </c>
      <c r="F10059">
        <f>HYPERLINK("https://www.reddit.com/r/diabetes/comments/hpxp2v/yesterday_i_won/")</f>
        <v/>
      </c>
      <c r="G10059" t="inlineStr">
        <is>
          <t>2020-07-12 09:57:37</t>
        </is>
      </c>
      <c r="H10059" t="inlineStr">
        <is>
          <t>Type 1</t>
        </is>
      </c>
    </row>
    <row r="10060">
      <c r="A10060" t="inlineStr">
        <is>
          <t>hpynrr</t>
        </is>
      </c>
      <c r="B10060" t="inlineStr">
        <is>
          <t>Eyesight</t>
        </is>
      </c>
      <c r="C10060" t="inlineStr">
        <is>
          <t>So, i've been wearing glasses for long distances for 2 years now. I'm a young guy. A week after i've been diagnosed and treated for diabetes, i can suddenly see PERFECTLY into any distance without glasses. This lasts for a week + a few days, and now it's gotten worse again. But it seems to balance on when i inject insulin, and also seems to worsen when i look into a screen.
Do you have any experience or advice with this? I should also add that i spend a LOT of time at a screen, PC or phone. How can such drastic changes just happen? Obviously my eyes themselves can't be screwed up, otherwise i wouldn't be able to see so well for a week. So i'm thinking it has to do with the nerves and sugar levels.</t>
        </is>
      </c>
      <c r="D10060" t="n">
        <v>1</v>
      </c>
      <c r="E10060" t="n">
        <v>25</v>
      </c>
      <c r="F10060">
        <f>HYPERLINK("https://www.reddit.com/r/diabetes/comments/hpynrr/eyesight/")</f>
        <v/>
      </c>
      <c r="G10060" t="inlineStr">
        <is>
          <t>2020-07-12 10:53:40</t>
        </is>
      </c>
      <c r="H10060" t="inlineStr">
        <is>
          <t>Type 1</t>
        </is>
      </c>
    </row>
    <row r="10061">
      <c r="A10061" t="inlineStr">
        <is>
          <t>hq0p7g</t>
        </is>
      </c>
      <c r="B10061" t="inlineStr">
        <is>
          <t>oef, overdosed</t>
        </is>
      </c>
      <c r="C10061" t="inlineStr">
        <is>
          <t>just decided to grab a snack and put in the carbs, thing is, I wasn't paying attention and instead of putting in 22 grams of carbs, I put in 22 units of insuline, fuck....
Am treating my idiot move with dextro tabs, chips, buenos and all other treats.</t>
        </is>
      </c>
      <c r="D10061" t="n">
        <v>1</v>
      </c>
      <c r="E10061" t="n">
        <v>26</v>
      </c>
      <c r="F10061">
        <f>HYPERLINK("https://www.reddit.com/r/diabetes/comments/hq0p7g/oef_overdosed/")</f>
        <v/>
      </c>
      <c r="G10061" t="inlineStr">
        <is>
          <t>2020-07-12 12:47:42</t>
        </is>
      </c>
      <c r="H10061" t="inlineStr">
        <is>
          <t>Type 1</t>
        </is>
      </c>
    </row>
    <row r="10062">
      <c r="A10062" t="inlineStr">
        <is>
          <t>hq0sd7</t>
        </is>
      </c>
      <c r="B10062" t="inlineStr">
        <is>
          <t>Diabetic in Denial</t>
        </is>
      </c>
      <c r="C10062" t="inlineStr">
        <is>
          <t>Hey y'all I've also posted this to r/loseit, just wanted to share my story here to get different perspecticve and get some advice/motivation/whatever.
 **I'm a newly(ish) fat person who is at my wit's end. I am 28 years old, female, 5'9, and tip the scales at 310lbs. Up until about 6 years ago, I had always weighed about 170lbs.** 160lbs at my lowest ever and 180lbs during holidays and winter and stuff.  I always worked out and did insanity style workouts 2 times a day and followed Sarah Solomon's IF protocol.
**My A1c is 6.6 as of February 2020, I'm not sure what it was when I was diagnosed but I think it was in this range.**
**I became obese because I joined a fitness MLM, started training to be in a fitness competition, and then broke my leg.** I was in a boot for 6 months, bedridden and totally depressed. I had been trying to move from 170 to 160 and no matter how much i worked out and how little I ate, the scale would not buddge, then I had my injury and all hell broke loose.
**Up unitl this point, my lifestyle consisted of barely eating because I was so busy all the time so food was just something I shoved in my mouth at some point during the day to keep me from passing out.** 
Once I had my injury, I started binge eating like crazy! A typical day was like this: I'm talking full breakfast at Squat and gobble, then fro yo, then Starbucks, croissants and then eating a pack of bulk cookies from Wholefoods and then a pint or 2 of ice cream. This went on for about a year and then I got even more depressed because at that point I finally had to buy new clothes and then I thought F it I'm already fat as hell. I'd probably really only gained 50lbs at that point. 
Anyway, It got to the point where I was struggling to even walk the distance from my car to the store. I'd be so winded and get hot. I managed to lose some weight and started exercising but at that point, I had gained over 100lbs.
**Then I started having blurry vision and having to pee every 10 minutes and my doctor diagnosed me as diabetic.** Again, I took it really seriously and cut out carbs and started exercising. I did not want to have to take medication. **Now it's been 2 years and while I'm doing much better, I still cannot get my binge eating under control. I now Intermittent fast and eat about 2 normal and even healthy meals a day, but when nightfalls, I still devour sweets.** I'm down to a pint of ice cream 3 days a week so while it's an improvement I still need to lose a lot of weight and have considered weight loss surgery because I'm so scared if I don't stop this I will have serious health complications.
**Tl;Dr: I was skinny, developed a  binge eating disorder, got fat and became diabetic, and am now desperate to lose weight and possibly considering weight loss surgery but want to try again to lose weight without.**</t>
        </is>
      </c>
      <c r="D10062" t="n">
        <v>1</v>
      </c>
      <c r="E10062" t="n">
        <v>12</v>
      </c>
      <c r="F10062">
        <f>HYPERLINK("https://www.reddit.com/r/diabetes/comments/hq0sd7/diabetic_in_denial/")</f>
        <v/>
      </c>
      <c r="G10062" t="inlineStr">
        <is>
          <t>2020-07-12 12:52:49</t>
        </is>
      </c>
      <c r="H10062" t="inlineStr">
        <is>
          <t>Type 2</t>
        </is>
      </c>
    </row>
    <row r="10063">
      <c r="A10063" t="inlineStr">
        <is>
          <t>hq3dt0</t>
        </is>
      </c>
      <c r="B10063" t="inlineStr">
        <is>
          <t>Meal planning apps for diabetes</t>
        </is>
      </c>
      <c r="C10063" t="inlineStr">
        <is>
          <t>Hi everyone, 
First time posting here, so please be gentle. 
Type 2 since 2013 on extended release Metformin and about to do an experiment (for lack of a better word) with the Freestyle Libre.
I definitely need to lose weight and, quite honestly, suck at meal planning. My endo and dietitian are sort of lacking in this area and I'm looking for suggestions as to apps and/or websites that can not only help me in my goal of losing weight, but understand being diabetic (and vegetarian) comes with some restrictions. 
Sorry for the long winded post, but any suggestions are truly appreciated.</t>
        </is>
      </c>
      <c r="D10063" t="n">
        <v>1</v>
      </c>
      <c r="E10063" t="n">
        <v>9</v>
      </c>
      <c r="F10063">
        <f>HYPERLINK("https://www.reddit.com/r/diabetes/comments/hq3dt0/meal_planning_apps_for_diabetes/")</f>
        <v/>
      </c>
      <c r="G10063" t="inlineStr">
        <is>
          <t>2020-07-12 15:23:37</t>
        </is>
      </c>
      <c r="H10063" t="inlineStr">
        <is>
          <t>Type 2</t>
        </is>
      </c>
    </row>
    <row r="10064">
      <c r="A10064" t="inlineStr">
        <is>
          <t>hq3fw0</t>
        </is>
      </c>
      <c r="B10064" t="inlineStr">
        <is>
          <t>Calf as a pod site?</t>
        </is>
      </c>
      <c r="C10064" t="inlineStr">
        <is>
          <t>I've seen some people do this online, wondering if any of you have and how badly it hurts if at all? I really wanna try it but I'm terrfied lol</t>
        </is>
      </c>
      <c r="D10064" t="n">
        <v>1</v>
      </c>
      <c r="E10064" t="n">
        <v>12</v>
      </c>
      <c r="F10064">
        <f>HYPERLINK("https://www.reddit.com/r/diabetes/comments/hq3fw0/calf_as_a_pod_site/")</f>
        <v/>
      </c>
      <c r="G10064" t="inlineStr">
        <is>
          <t>2020-07-12 15:27:07</t>
        </is>
      </c>
      <c r="H10064" t="inlineStr">
        <is>
          <t>Type 1</t>
        </is>
      </c>
    </row>
    <row r="10065">
      <c r="A10065" t="inlineStr">
        <is>
          <t>hq3or2</t>
        </is>
      </c>
      <c r="B10065" t="inlineStr">
        <is>
          <t>Out of insulin and pharmacies are closed</t>
        </is>
      </c>
      <c r="C10065" t="inlineStr">
        <is>
          <t>Am I fucked or is there anything I can aside from wait?</t>
        </is>
      </c>
      <c r="D10065" t="n">
        <v>1</v>
      </c>
      <c r="E10065" t="n">
        <v>2</v>
      </c>
      <c r="F10065">
        <f>HYPERLINK("https://www.reddit.com/r/diabetes/comments/hq3or2/out_of_insulin_and_pharmacies_are_closed/")</f>
        <v/>
      </c>
      <c r="G10065" t="inlineStr">
        <is>
          <t>2020-07-12 15:42:04</t>
        </is>
      </c>
      <c r="H10065" t="inlineStr">
        <is>
          <t>Type 1</t>
        </is>
      </c>
    </row>
    <row r="10066">
      <c r="A10066" t="inlineStr">
        <is>
          <t>hq46rk</t>
        </is>
      </c>
      <c r="B10066" t="inlineStr">
        <is>
          <t>Pumpers, what's your routine for a day at the pool?</t>
        </is>
      </c>
      <c r="C10066" t="inlineStr">
        <is>
          <t>If you're lounging in and around the pool all day how do you manage your time connected vs. disconnected, in the water and out of the water?
Is it safe to have your pump connected if you're on a floaty and not submerged? 
How long do you disconnect when you want to be in the water?</t>
        </is>
      </c>
      <c r="D10066" t="n">
        <v>1</v>
      </c>
      <c r="E10066" t="n">
        <v>2</v>
      </c>
      <c r="F10066">
        <f>HYPERLINK("https://www.reddit.com/r/diabetes/comments/hq46rk/pumpers_whats_your_routine_for_a_day_at_the_pool/")</f>
        <v/>
      </c>
      <c r="G10066" t="inlineStr">
        <is>
          <t>2020-07-12 16:13:16</t>
        </is>
      </c>
      <c r="H10066" t="inlineStr">
        <is>
          <t>Type 1</t>
        </is>
      </c>
    </row>
    <row r="10067">
      <c r="A10067" t="inlineStr">
        <is>
          <t>hq59dr</t>
        </is>
      </c>
      <c r="B10067" t="inlineStr">
        <is>
          <t>Indulgences aren't worth the recovery...</t>
        </is>
      </c>
      <c r="C10067" t="inlineStr">
        <is>
          <t>In true American fashion, I let my diet slip pretty hard during the week preceding 4th of July. My carb consumption doubled from &amp;lt;100 grams daily to almost 200 and stayed that way for 9 days. Needless to say, my BG has been higher to match.
Yesterday I cut back down to 80-ish grams. My blood sugar has been fabulous; not a reading over 150! But damn it, every time I stand up it feels like I'm having a low. This is what I get for trashing my body and I'll be fine in a day or two; it's just the universe reminding me that I am in fact diseased and my actions have consequences. Damn this stupid disease, let me eat my fresh grilled corn in peace! LOL</t>
        </is>
      </c>
      <c r="D10067" t="n">
        <v>1</v>
      </c>
      <c r="E10067" t="n">
        <v>5</v>
      </c>
      <c r="F10067">
        <f>HYPERLINK("https://www.reddit.com/r/diabetes/comments/hq59dr/indulgences_arent_worth_the_recovery/")</f>
        <v/>
      </c>
      <c r="G10067" t="inlineStr">
        <is>
          <t>2020-07-12 17:22:27</t>
        </is>
      </c>
      <c r="H10067" t="inlineStr">
        <is>
          <t>Type 2</t>
        </is>
      </c>
    </row>
    <row r="10068">
      <c r="A10068" t="inlineStr">
        <is>
          <t>hq5ou7</t>
        </is>
      </c>
      <c r="B10068" t="inlineStr">
        <is>
          <t>New Jardiance user!</t>
        </is>
      </c>
      <c r="C10068" t="inlineStr">
        <is>
          <t>Hello all! I’m new to this sub. I’ve been recently switched to Jardiance from metformin. The latter medication was tearing my stomach up. I also take 20 units of insulin. Has anyone done well on Jardiance? I haven’t noticed a change in having to frequent the bathroom but I drink water a lot so I’m used to it I suppose. I’ve heard it can help with weight loss? Just trying to get some different perspectives on this med. I’m type 2. Before this med, I was able to bring my A1C down from 14.9 to 7.8 with diet and exercise I’ve fallen off the healthy wagon so I’m trying to get back in control. So what have been your results?</t>
        </is>
      </c>
      <c r="D10068" t="n">
        <v>1</v>
      </c>
      <c r="E10068" t="n">
        <v>3</v>
      </c>
      <c r="F10068">
        <f>HYPERLINK("https://www.reddit.com/r/diabetes/comments/hq5ou7/new_jardiance_user/")</f>
        <v/>
      </c>
      <c r="G10068" t="inlineStr">
        <is>
          <t>2020-07-12 17:51:11</t>
        </is>
      </c>
      <c r="H10068" t="inlineStr">
        <is>
          <t>Type 2</t>
        </is>
      </c>
    </row>
    <row r="10069">
      <c r="A10069" t="inlineStr">
        <is>
          <t>hq69b7</t>
        </is>
      </c>
      <c r="B10069" t="inlineStr">
        <is>
          <t>Dexcom G6 says No Restarts</t>
        </is>
      </c>
      <c r="C10069" t="inlineStr">
        <is>
          <t>I put a new sensor in today and it wouldn't let me put in a code. Waited two or three hours and it finally let me put in a code. Seemed OK- the sensor started. But after about 20 minutes it said something like No Restarts. Tried code again with same result. I don't understand - I followed the directions. I gave up put in a new sensor. Hoping it doesn't screw up again. Does anyone know what happened?</t>
        </is>
      </c>
      <c r="D10069" t="n">
        <v>1</v>
      </c>
      <c r="E10069" t="n">
        <v>8</v>
      </c>
      <c r="F10069">
        <f>HYPERLINK("https://www.reddit.com/r/diabetes/comments/hq69b7/dexcom_g6_says_no_restarts/")</f>
        <v/>
      </c>
      <c r="G10069" t="inlineStr">
        <is>
          <t>2020-07-12 18:29:25</t>
        </is>
      </c>
      <c r="H10069" t="inlineStr">
        <is>
          <t>Type 2</t>
        </is>
      </c>
    </row>
    <row r="10070">
      <c r="A10070" t="inlineStr">
        <is>
          <t>hq9bto</t>
        </is>
      </c>
      <c r="B10070" t="inlineStr">
        <is>
          <t>Best app for tracking blood sugar</t>
        </is>
      </c>
      <c r="C10070" t="inlineStr">
        <is>
          <t>My dad is in his 70’s and recently diagnosed with diabetes. I’m looking for any suggestions for an app he can download on his iPhone to track his blood sugar levels and maybe see any trends. Ideally something easy to operate. This is all new to us and I’m trying to help him as we navigate the new reality. 
Thank you in advance!</t>
        </is>
      </c>
      <c r="D10070" t="n">
        <v>1</v>
      </c>
      <c r="E10070" t="n">
        <v>3</v>
      </c>
      <c r="F10070">
        <f>HYPERLINK("https://www.reddit.com/r/diabetes/comments/hq9bto/best_app_for_tracking_blood_sugar/")</f>
        <v/>
      </c>
      <c r="G10070" t="inlineStr">
        <is>
          <t>2020-07-12 22:11:23</t>
        </is>
      </c>
      <c r="H10070" t="inlineStr">
        <is>
          <t>Type 2</t>
        </is>
      </c>
    </row>
    <row r="10071">
      <c r="A10071" t="inlineStr">
        <is>
          <t>hq9f4g</t>
        </is>
      </c>
      <c r="B10071" t="inlineStr">
        <is>
          <t>I need to get up and calibrate my CGM, but my cat is sleeping on me for the first time in years!</t>
        </is>
      </c>
      <c r="C10071" t="inlineStr">
        <is>
          <t>No one likes to disturb a sleeping cat.</t>
        </is>
      </c>
      <c r="D10071" t="n">
        <v>1</v>
      </c>
      <c r="E10071" t="n">
        <v>8</v>
      </c>
      <c r="F10071">
        <f>HYPERLINK("https://www.reddit.com/r/diabetes/comments/hq9f4g/i_need_to_get_up_and_calibrate_my_cgm_but_my_cat/")</f>
        <v/>
      </c>
      <c r="G10071" t="inlineStr">
        <is>
          <t>2020-07-12 22:18:40</t>
        </is>
      </c>
      <c r="H10071" t="inlineStr">
        <is>
          <t>Type 1</t>
        </is>
      </c>
    </row>
    <row r="10072">
      <c r="A10072" t="inlineStr">
        <is>
          <t>hq9taq</t>
        </is>
      </c>
      <c r="B10072" t="inlineStr">
        <is>
          <t>What’s the easiest way to test my numbers?</t>
        </is>
      </c>
      <c r="C10072" t="inlineStr">
        <is>
          <t>I’m a T1 and continually go high after eating even though I carb count and get this info from whatever it is I’m eating so it’s not like I’m guessing. I’m afraid my I:C #s might be off so what would be the easiest way to test? Wait til I’m around 100, bolus at my current ratio, wait 20 mins and eat that amount in carbs and see if my BS rises or is there something else I can do?</t>
        </is>
      </c>
      <c r="D10072" t="n">
        <v>1</v>
      </c>
      <c r="E10072" t="n">
        <v>3</v>
      </c>
      <c r="F10072">
        <f>HYPERLINK("https://www.reddit.com/r/diabetes/comments/hq9taq/whats_the_easiest_way_to_test_my_numbers/")</f>
        <v/>
      </c>
      <c r="G10072" t="inlineStr">
        <is>
          <t>2020-07-12 22:50:18</t>
        </is>
      </c>
      <c r="H10072" t="inlineStr">
        <is>
          <t>Type 1</t>
        </is>
      </c>
    </row>
    <row r="10073">
      <c r="A10073" t="inlineStr">
        <is>
          <t>hqa9sb</t>
        </is>
      </c>
      <c r="B10073" t="inlineStr">
        <is>
          <t>Trending high, give me some support</t>
        </is>
      </c>
      <c r="C10073" t="inlineStr">
        <is>
          <t>Hey guys, 
Been a T1D for about 10 years now, so not new to this crap. 
Around a month ago I started out on my first pump, loving it so far! I'm on the T-Slim with G6 CGM. 
Now, maybe its just my diabetes misbehaving, which does happen from time to time, but i seem to be trending a bit high the last few days. 
High for me is 8.5 to 10.5 mmol/L.
I think its because I've been eating more white bread / chips the last few days lol.
I'm thinking the white flour &amp;amp; high fat are messing with my numbers. 
Not terrible, I know, but I'm used to being around 6 to 7.5. 
I think the profile setting on my pump is accurate, I've been having smooth lines, 89% in range! 
OK, rant over.</t>
        </is>
      </c>
      <c r="D10073" t="n">
        <v>1</v>
      </c>
      <c r="E10073" t="n">
        <v>2</v>
      </c>
      <c r="F10073">
        <f>HYPERLINK("https://www.reddit.com/r/diabetes/comments/hqa9sb/trending_high_give_me_some_support/")</f>
        <v/>
      </c>
      <c r="G10073" t="inlineStr">
        <is>
          <t>2020-07-12 23:29:26</t>
        </is>
      </c>
      <c r="H10073" t="inlineStr">
        <is>
          <t>Type 1</t>
        </is>
      </c>
    </row>
    <row r="10074">
      <c r="A10074" t="inlineStr">
        <is>
          <t>hqfl0a</t>
        </is>
      </c>
      <c r="B10074" t="inlineStr">
        <is>
          <t>Trulicity weight loss</t>
        </is>
      </c>
      <c r="C10074" t="inlineStr">
        <is>
          <t>So that’s how you lose weight on Trulicity....
It’s by getting all your steps in with the constant trips to the bathroom🙄</t>
        </is>
      </c>
      <c r="D10074" t="n">
        <v>1</v>
      </c>
      <c r="E10074" t="n">
        <v>3</v>
      </c>
      <c r="F10074">
        <f>HYPERLINK("https://www.reddit.com/r/diabetes/comments/hqfl0a/trulicity_weight_loss/")</f>
        <v/>
      </c>
      <c r="G10074" t="inlineStr">
        <is>
          <t>2020-07-13 06:49:33</t>
        </is>
      </c>
      <c r="H10074" t="inlineStr">
        <is>
          <t>Type 2</t>
        </is>
      </c>
    </row>
    <row r="10075">
      <c r="A10075" t="inlineStr">
        <is>
          <t>hqfndo</t>
        </is>
      </c>
      <c r="B10075" t="inlineStr">
        <is>
          <t>Pump sights seemingly not working correctly?</t>
        </is>
      </c>
      <c r="C10075" t="inlineStr">
        <is>
          <t>So I've been on the pump for about 5 or so years now. Generally no complaints. The sites I use are the stomachs and the legs (thigh etc). And I've never had an issue with insulin not working correctly until now. 
For about say a few weeks (I'm bad with time), my blood sugar is acting as if I'm not getting enough insulin. At night it appears okay, but I might be missing some pattern there. During the day is a different story. My blood sugar will randomly start to rise for no apparent reason. I will take EXTRA insulin for meals and my blood sugar will still rise.
Now at first glance this seems like a case of my rates needing to be adjusted. However a few months ago I really started kicking it in gear to get my blood sugar more under control. I started basal testing regularly to get correct rates and got extremely promising results. I was also testing cor correct carb ratios and etc and got good results from that. I was very happy that I was finally getting on the right path. Then a few weeks ago it just stops. I've thought about the possibility that my sites are the issue. But how likely is it that every single one if my sites that I use are damaged? 
I've considered the possibility that I've somehow become insulin resistant in a quick pace. Seems unlikely.
I'm trying to see my endo soon, but who knows if I'll actually get answers from that.
Until I get something sorted out, I'm just eating little to no carbs (huge pain in the ass). And every 15 minutes or so I'm giving a small bolus of insulin to keep my blood sugar from rising too much.
I just don't even know what to do at this point. It doesn't make any sense. And it's starting to make my legs feel weak and such and is probably linked to my nausea.
Anyone else experience something similar?</t>
        </is>
      </c>
      <c r="D10075" t="n">
        <v>1</v>
      </c>
      <c r="E10075" t="n">
        <v>2</v>
      </c>
      <c r="F10075">
        <f>HYPERLINK("https://www.reddit.com/r/diabetes/comments/hqfndo/pump_sights_seemingly_not_working_correctly/")</f>
        <v/>
      </c>
      <c r="G10075" t="inlineStr">
        <is>
          <t>2020-07-13 06:53:45</t>
        </is>
      </c>
      <c r="H10075" t="inlineStr">
        <is>
          <t>Type 1</t>
        </is>
      </c>
    </row>
    <row r="10076">
      <c r="A10076" t="inlineStr">
        <is>
          <t>hqgeau</t>
        </is>
      </c>
      <c r="B10076" t="inlineStr">
        <is>
          <t>High Calcium and Albumin levels</t>
        </is>
      </c>
      <c r="C10076" t="inlineStr">
        <is>
          <t>Type 1 here. Just received my complete metabolic levels. 5.2 A1C but my Calcium, Albumin, and A/G Ratio were high…anyone going through this or know any info?
Results were as follows:
Calcium: 10.1mg/dL
Albumin: 5.1g/dL
A/G Ratio: 2.3
&amp;amp;#x200B;
Thanks in advance!</t>
        </is>
      </c>
      <c r="D10076" t="n">
        <v>1</v>
      </c>
      <c r="E10076" t="n">
        <v>3</v>
      </c>
      <c r="F10076">
        <f>HYPERLINK("https://www.reddit.com/r/diabetes/comments/hqgeau/high_calcium_and_albumin_levels/")</f>
        <v/>
      </c>
      <c r="G10076" t="inlineStr">
        <is>
          <t>2020-07-13 07:38:22</t>
        </is>
      </c>
      <c r="H10076" t="inlineStr">
        <is>
          <t>Type 1</t>
        </is>
      </c>
    </row>
    <row r="10077">
      <c r="A10077" t="inlineStr">
        <is>
          <t>hqk37w</t>
        </is>
      </c>
      <c r="B10077" t="inlineStr">
        <is>
          <t>United Health Care</t>
        </is>
      </c>
      <c r="C10077" t="inlineStr">
        <is>
          <t>So done with this trash company. I developed type 2 diabetes after a liver TX almost a decade ago I have been trying to get a CGM for years. finally they sent me one two months ago. Great right?
Not really, today I told the nurse from United Health care that i was going back on Chemo for my cancer. She then informs me that they cannot send me any more supplies or cover my CGM because I have cancer. 
How in the hell? This company is the worst.</t>
        </is>
      </c>
      <c r="D10077" t="n">
        <v>1</v>
      </c>
      <c r="E10077" t="n">
        <v>1</v>
      </c>
      <c r="F10077">
        <f>HYPERLINK("https://www.reddit.com/r/diabetes/comments/hqk37w/united_health_care/")</f>
        <v/>
      </c>
      <c r="G10077" t="inlineStr">
        <is>
          <t>2020-07-13 10:51:25</t>
        </is>
      </c>
      <c r="H10077" t="inlineStr">
        <is>
          <t>Type 2</t>
        </is>
      </c>
    </row>
    <row r="10078">
      <c r="A10078" t="inlineStr">
        <is>
          <t>hqnlo8</t>
        </is>
      </c>
      <c r="B10078" t="inlineStr">
        <is>
          <t>A1C 0f 7.5 and my doctor keeps pushing insulin</t>
        </is>
      </c>
      <c r="C10078" t="inlineStr">
        <is>
          <t>I apologise if this is the wrong flair. first time ive visited here
TLDR: will taking an extra 250-500 mg of metformin (stacked with just a 500mg ER metformin) bring my A1c down half a A1C point.
Hello all ive known i was a diabetic since i was around 16, and am currently 22 in what id consider great general health.
my endo has always categorized me as a type 1 diabetic due to my natural insulin and C peptide results but ive been able to control the majority of my symptoms with just diet and exercise (i know this is not normal), but my A1Cs usually come right above 7. and my doctor demands that i go on insulin and will not discuss alternative options. Im currently seeking a new physician but i just have a few questions in the mean time.
im currently taking a 500mg ER metformin at night with no other medications or supplementation. I also have some 500mg NON extended release metformin with me currently. I was wondering if anyone had experience taking an extra 250 mg or an extra 500mg to bring them down to healthy levels. or if there is some other recommendations to bring my A1C down that few points.</t>
        </is>
      </c>
      <c r="D10078" t="n">
        <v>1</v>
      </c>
      <c r="E10078" t="n">
        <v>6</v>
      </c>
      <c r="F10078">
        <f>HYPERLINK("https://www.reddit.com/r/diabetes/comments/hqnlo8/a1c_0f_75_and_my_doctor_keeps_pushing_insulin/")</f>
        <v/>
      </c>
      <c r="G10078" t="inlineStr">
        <is>
          <t>2020-07-13 13:55:42</t>
        </is>
      </c>
      <c r="H10078" t="inlineStr">
        <is>
          <t>Type 1.5/LADA</t>
        </is>
      </c>
    </row>
    <row r="10079">
      <c r="A10079" t="inlineStr">
        <is>
          <t>hqop8f</t>
        </is>
      </c>
      <c r="B10079" t="inlineStr">
        <is>
          <t>Hey Keto diabetics!</t>
        </is>
      </c>
      <c r="C10079" t="inlineStr">
        <is>
          <t>My doctor keeps poo-pooing on my keto diet even though my A1C went from 12.1 to 7.1. I can't understand why. Anyone else experience this?</t>
        </is>
      </c>
      <c r="D10079" t="n">
        <v>1</v>
      </c>
      <c r="E10079" t="n">
        <v>14</v>
      </c>
      <c r="F10079">
        <f>HYPERLINK("https://www.reddit.com/r/diabetes/comments/hqop8f/hey_keto_diabetics/")</f>
        <v/>
      </c>
      <c r="G10079" t="inlineStr">
        <is>
          <t>2020-07-13 14:54:06</t>
        </is>
      </c>
      <c r="H10079" t="inlineStr">
        <is>
          <t>Type 2</t>
        </is>
      </c>
    </row>
    <row r="10080">
      <c r="A10080" t="inlineStr">
        <is>
          <t>hqpcw1</t>
        </is>
      </c>
      <c r="B10080" t="inlineStr">
        <is>
          <t>Freestyle Libre- False lows</t>
        </is>
      </c>
      <c r="C10080" t="inlineStr">
        <is>
          <t>I have been using the Freestyle Libre for about a year since I can't do the finger pricking and overall I love the product.
However, my last sensor (after in for a week) seemed like it was giving false lows to the point I thoughts was getting Hypoglycemia (but I felt okay). Once I put in a new one, and after the hour wait time my blood sugar went up 30/g. I did not eat anything during that waiting time for the new sensor, so I think the old one was giving faulty readings. Has this happened to anyone?
I am frustrated because I stopped taking my Metaphormin and was extremely worried because I was getting super low readings in the 50's, 40's and Lo that I was wondering if I had a huge medical issue..</t>
        </is>
      </c>
      <c r="D10080" t="n">
        <v>1</v>
      </c>
      <c r="E10080" t="n">
        <v>6</v>
      </c>
      <c r="F10080">
        <f>HYPERLINK("https://www.reddit.com/r/diabetes/comments/hqpcw1/freestyle_libre_false_lows/")</f>
        <v/>
      </c>
      <c r="G10080" t="inlineStr">
        <is>
          <t>2020-07-13 15:30:37</t>
        </is>
      </c>
      <c r="H10080" t="inlineStr">
        <is>
          <t>Type 2</t>
        </is>
      </c>
    </row>
    <row r="10081">
      <c r="A10081" t="inlineStr">
        <is>
          <t>hqqi4u</t>
        </is>
      </c>
      <c r="B10081" t="inlineStr">
        <is>
          <t>What can y'all tell me about the mini med 670g?</t>
        </is>
      </c>
      <c r="C10081" t="inlineStr">
        <is>
          <t>So hopefully soon I get a pump 😭 I'm so ecstatic about getting a pump! My endo is hoping to get me the minimed 670g! Anyway I will be doing lots of research on it. I'm curious how any of you like it? Anything I should I know that I might not find in researching it? Also any good questions I can ask the representative person when they call me again? Thank you all so much and ahh I'm so happy 😁😭</t>
        </is>
      </c>
      <c r="D10081" t="n">
        <v>1</v>
      </c>
      <c r="E10081" t="n">
        <v>9</v>
      </c>
      <c r="F10081">
        <f>HYPERLINK("https://www.reddit.com/r/diabetes/comments/hqqi4u/what_can_yall_tell_me_about_the_mini_med_670g/")</f>
        <v/>
      </c>
      <c r="G10081" t="inlineStr">
        <is>
          <t>2020-07-13 16:37:55</t>
        </is>
      </c>
      <c r="H10081" t="inlineStr">
        <is>
          <t>Type 1</t>
        </is>
      </c>
    </row>
    <row r="10082">
      <c r="A10082" t="inlineStr">
        <is>
          <t>hqtw0k</t>
        </is>
      </c>
      <c r="B10082" t="inlineStr">
        <is>
          <t>Dexcom insertion spots</t>
        </is>
      </c>
      <c r="C10082" t="inlineStr">
        <is>
          <t>What are some of the different spots you put your dexcom? I’ve been alternating using my outer thighs for too long and need to find some new spots</t>
        </is>
      </c>
      <c r="D10082" t="n">
        <v>1</v>
      </c>
      <c r="E10082" t="n">
        <v>5</v>
      </c>
      <c r="F10082">
        <f>HYPERLINK("https://www.reddit.com/r/diabetes/comments/hqtw0k/dexcom_insertion_spots/")</f>
        <v/>
      </c>
      <c r="G10082" t="inlineStr">
        <is>
          <t>2020-07-13 20:18:45</t>
        </is>
      </c>
      <c r="H10082" t="inlineStr">
        <is>
          <t>Type 1</t>
        </is>
      </c>
    </row>
    <row r="10083">
      <c r="A10083" t="inlineStr">
        <is>
          <t>hqtwny</t>
        </is>
      </c>
      <c r="B10083" t="inlineStr">
        <is>
          <t>Allergic to metals</t>
        </is>
      </c>
      <c r="C10083" t="inlineStr">
        <is>
          <t>I have a question. All my life I've been allergic to metals. Stainless steel, Nickle, gold, silver, etc. I can't wear any of it. Leave it on too long and I get a rash. I've noticed that when I give myself injections I itch like crazy wherever I give myself my shot. The location tends to get red and bumpy. It takes a few hours for it to go away. Is this because of some weird reaction to the medication? Is this because of my allergy to metals? My last doctor told me to "tough it out" and "put on my big girl panties". Is there some weird reason that I'm not aware of? Advise or help appreciated.</t>
        </is>
      </c>
      <c r="D10083" t="n">
        <v>1</v>
      </c>
      <c r="E10083" t="n">
        <v>11</v>
      </c>
      <c r="F10083">
        <f>HYPERLINK("https://www.reddit.com/r/diabetes/comments/hqtwny/allergic_to_metals/")</f>
        <v/>
      </c>
      <c r="G10083" t="inlineStr">
        <is>
          <t>2020-07-13 20:19:59</t>
        </is>
      </c>
      <c r="H10083" t="inlineStr">
        <is>
          <t>Type 2</t>
        </is>
      </c>
    </row>
    <row r="10084">
      <c r="A10084" t="inlineStr">
        <is>
          <t>hqw0eb</t>
        </is>
      </c>
      <c r="B10084" t="inlineStr">
        <is>
          <t>Diabetes advice for an upcoming college graduate!</t>
        </is>
      </c>
      <c r="C10084" t="inlineStr">
        <is>
          <t>Hello! I’m not much of a poster of reddit but I figured this topic warranted a post as I am seeking advice of adult diabetics.
I’ve had type 1 since 2005. I’m currently a 20 year old college student and since my diagnosis, I’ve always had some sort of daily routine when it came to managing my diabetes. I know reality is about to hit me soon where I will soon be 100% independent and my support system may decrease as life progresses so I want to get a head start on what I should know/expect. I’ve had my struggles and been through a lot with this disease but as i approach the “real world”, I seek advice from those who have experienced life while being a T1D. I’ve spoken with my endo and pcp and while they’re both amazing people who have been nothing but helpful, there are certain perspective they cannot give me as individuals who aren’t diabetic. 
So I ask for any advice or things you’ve learned as an adult with diabetes. I’d love to hear any tips on how to manage full-time jobs and diabetes, dealing with insurance, diabetes + relationships, or anything you wish you would’ve known. While I’ve dealt with this disease for a while, my time in the adult world has been not been extensive so I want to hear and learn as much as possible.</t>
        </is>
      </c>
      <c r="D10084" t="n">
        <v>1</v>
      </c>
      <c r="E10084" t="n">
        <v>3</v>
      </c>
      <c r="F10084">
        <f>HYPERLINK("https://www.reddit.com/r/diabetes/comments/hqw0eb/diabetes_advice_for_an_upcoming_college_graduate/")</f>
        <v/>
      </c>
      <c r="G10084" t="inlineStr">
        <is>
          <t>2020-07-13 22:54:53</t>
        </is>
      </c>
      <c r="H10084" t="inlineStr">
        <is>
          <t>Type 1</t>
        </is>
      </c>
    </row>
    <row r="10085">
      <c r="A10085" t="inlineStr">
        <is>
          <t>hqzs09</t>
        </is>
      </c>
      <c r="B10085" t="inlineStr">
        <is>
          <t>Freestyle libre</t>
        </is>
      </c>
      <c r="C10085" t="inlineStr">
        <is>
          <t>Hey everyone. So I'm really new to this and it fell off while I was showering. What is the best way to keep it on is there something that I can use to hold it in place while showering.</t>
        </is>
      </c>
      <c r="D10085" t="n">
        <v>1</v>
      </c>
      <c r="E10085" t="n">
        <v>11</v>
      </c>
      <c r="F10085">
        <f>HYPERLINK("https://www.reddit.com/r/diabetes/comments/hqzs09/freestyle_libre/")</f>
        <v/>
      </c>
      <c r="G10085" t="inlineStr">
        <is>
          <t>2020-07-14 04:28:34</t>
        </is>
      </c>
      <c r="H10085" t="inlineStr">
        <is>
          <t>Type 1</t>
        </is>
      </c>
    </row>
    <row r="10086">
      <c r="A10086" t="inlineStr">
        <is>
          <t>hr1eqr</t>
        </is>
      </c>
      <c r="B10086" t="inlineStr">
        <is>
          <t>Why am I not losing weight</t>
        </is>
      </c>
      <c r="C10086" t="inlineStr">
        <is>
          <t>I don’t want to be on medication to treat this. I’m currently taking Trulicity and would like to get my weight and numbers down so I can come off. I’ve been walking 2+ miles every day and where I live it’s all hills. According to my tracker I have a 163 elevation gain on my daily walks. Then my endo told me to add free weight upper body exercises and so I have. Since March I’ve only lost 12lbs., 3lbs a month, that’s discouraging. I only eat veggies &amp;amp; protein, no carbs, no sugar. I’m allergic to fruit and things like breads and pastas were killing my stomach so I had to stop eating them anyway. I lost my appetite and found I was barely eating 2 meals a day, less than 600 calories so I force myself to eat breakfast and now I’m closer to 1000 calories. Why can’t I get my weight to budge?</t>
        </is>
      </c>
      <c r="D10086" t="n">
        <v>0</v>
      </c>
      <c r="E10086" t="n">
        <v>27</v>
      </c>
      <c r="F10086">
        <f>HYPERLINK("https://www.reddit.com/r/diabetes/comments/hr1eqr/why_am_i_not_losing_weight/")</f>
        <v/>
      </c>
      <c r="G10086" t="inlineStr">
        <is>
          <t>2020-07-14 06:21:59</t>
        </is>
      </c>
      <c r="H10086" t="inlineStr">
        <is>
          <t>Type 2</t>
        </is>
      </c>
    </row>
    <row r="10087">
      <c r="A10087" t="inlineStr">
        <is>
          <t>hr78rz</t>
        </is>
      </c>
      <c r="B10087" t="inlineStr">
        <is>
          <t>Depression and diabetes</t>
        </is>
      </c>
      <c r="C10087" t="inlineStr">
        <is>
          <t>I (18,M) am going through a bout of depression. I've been diabetic for nearly five years now, and have never quite appreciated how my blood sugars affect my moods and general emotional state. To those of you who have depression too, how does it correlate to your blood sugar management? Thanks:-)</t>
        </is>
      </c>
      <c r="D10087" t="n">
        <v>3</v>
      </c>
      <c r="E10087" t="n">
        <v>10</v>
      </c>
      <c r="F10087">
        <f>HYPERLINK("https://www.reddit.com/r/diabetes/comments/hr78rz/depression_and_diabetes/")</f>
        <v/>
      </c>
      <c r="G10087" t="inlineStr">
        <is>
          <t>2020-07-14 11:42:54</t>
        </is>
      </c>
      <c r="H10087" t="inlineStr">
        <is>
          <t>Type 1</t>
        </is>
      </c>
    </row>
    <row r="10088">
      <c r="A10088" t="inlineStr">
        <is>
          <t>hrcpws</t>
        </is>
      </c>
      <c r="B10088" t="inlineStr">
        <is>
          <t>How can I know if I have inserted my Freestyle Libre sensor correctly?</t>
        </is>
      </c>
      <c r="C10088" t="inlineStr">
        <is>
          <t>Hi. I got diagnosed yesterday. Today I inserted Freestyle Libre connector on the back of my front arm. I followed all the instructions exactly.
To give a little context, I had blood work done last week and I saw my reports. I am overweight as well so I made some lifestyle changes. I started walking 8 kms everyday and took all rice and bread out of my diet. I am eating vegetables, chicken and red kidney beans. I also had eggs and sunflower seeds today. I am 32 years old (F).
My first reading today before meal was 5.9 mmol/L. I have had two meals since then and reading is constantly dropping and is now at 2.8 mmol/L. I have not even started taking metformin that my doctor prescribed.
I am thinking I made an error in inserting the sensor. Has it happened to anyone here?</t>
        </is>
      </c>
      <c r="D10088" t="n">
        <v>1</v>
      </c>
      <c r="E10088" t="n">
        <v>6</v>
      </c>
      <c r="F10088">
        <f>HYPERLINK("https://www.reddit.com/r/diabetes/comments/hrcpws/how_can_i_know_if_i_have_inserted_my_freestyle/")</f>
        <v/>
      </c>
      <c r="G10088" t="inlineStr">
        <is>
          <t>2020-07-14 16:39:24</t>
        </is>
      </c>
      <c r="H10088" t="inlineStr">
        <is>
          <t>Type 2</t>
        </is>
      </c>
    </row>
    <row r="10089">
      <c r="A10089" t="inlineStr">
        <is>
          <t>hrd0pj</t>
        </is>
      </c>
      <c r="B10089" t="inlineStr">
        <is>
          <t>Hypoglycemia due to mild exercise</t>
        </is>
      </c>
      <c r="C10089" t="inlineStr">
        <is>
          <t>Hi everyone,
18m T1D here. I use an Omnipod with Humalog. I am in despair because I don't know what to do in my situation. Even when I do mild exercise like some pushups or go for a walk during the day, I end up going low in the late evening and have to end up stuffing carbs in myself and reducing my basal rate by up to 70% for the night. I feel awful about this situation and it reduces my quality of life greatly. Has anyone of you had this situation as well? I was wondering if switching to different insulin like Novolog would help me at all (I've read that it works differently in some diabetics). Any help is appreciated.</t>
        </is>
      </c>
      <c r="D10089" t="n">
        <v>1</v>
      </c>
      <c r="E10089" t="n">
        <v>7</v>
      </c>
      <c r="F10089">
        <f>HYPERLINK("https://www.reddit.com/r/diabetes/comments/hrd0pj/hypoglycemia_due_to_mild_exercise/")</f>
        <v/>
      </c>
      <c r="G10089" t="inlineStr">
        <is>
          <t>2020-07-14 16:58:44</t>
        </is>
      </c>
      <c r="H10089" t="inlineStr">
        <is>
          <t>Type 1</t>
        </is>
      </c>
    </row>
    <row r="10090">
      <c r="A10090" t="inlineStr">
        <is>
          <t>hrgsrp</t>
        </is>
      </c>
      <c r="B10090" t="inlineStr">
        <is>
          <t>Celebration Day - Best A1C reading I've had in over 10 years</t>
        </is>
      </c>
      <c r="C10090" t="inlineStr">
        <is>
          <t>Component	Your Value	
Hemoglobin A1C	6.6 %	
I think I'll give my new Dexcom CGM the credit.  It's been a life saver.
However I suppose it could be the Jardiance since I started taking it a month before the Dexcom started.</t>
        </is>
      </c>
      <c r="D10090" t="n">
        <v>1</v>
      </c>
      <c r="E10090" t="n">
        <v>2</v>
      </c>
      <c r="F10090">
        <f>HYPERLINK("https://www.reddit.com/r/diabetes/comments/hrgsrp/celebration_day_best_a1c_reading_ive_had_in_over/")</f>
        <v/>
      </c>
      <c r="G10090" t="inlineStr">
        <is>
          <t>2020-07-14 21:09:42</t>
        </is>
      </c>
      <c r="H10090" t="inlineStr">
        <is>
          <t>Type 2</t>
        </is>
      </c>
    </row>
    <row r="10091">
      <c r="A10091" t="inlineStr">
        <is>
          <t>hrlwis</t>
        </is>
      </c>
      <c r="B10091" t="inlineStr">
        <is>
          <t>tips for losing weight</t>
        </is>
      </c>
      <c r="C10091" t="inlineStr">
        <is>
          <t>i’m an 18f that was diagnosed with T1D about a year ago and i’m really struggling with losing weight. i only need to lose about 10-15lbs, however, every time i work out, my sugar drops multiple times throughout the night. this causes me to binge on junk food to correct it. ex: i exercise for 1-2hrs, and i spend the next 6 hrs eating around 60-100g carbs to correct my lows. it’s really discouraging that i devote a few hours of my day to working out only to have to throw it all away by eating a ton of carbs. 
any tips regarding diet plan? and is keto bad for T1D?</t>
        </is>
      </c>
      <c r="D10091" t="n">
        <v>2</v>
      </c>
      <c r="E10091" t="n">
        <v>17</v>
      </c>
      <c r="F10091">
        <f>HYPERLINK("https://www.reddit.com/r/diabetes/comments/hrlwis/tips_for_losing_weight/")</f>
        <v/>
      </c>
      <c r="G10091" t="inlineStr">
        <is>
          <t>2020-07-15 04:31:03</t>
        </is>
      </c>
      <c r="H10091" t="inlineStr">
        <is>
          <t>Type 1</t>
        </is>
      </c>
    </row>
    <row r="10092">
      <c r="A10092" t="inlineStr">
        <is>
          <t>hrr3u4</t>
        </is>
      </c>
      <c r="B10092" t="inlineStr">
        <is>
          <t>Tattoos and Piercings</t>
        </is>
      </c>
      <c r="C10092" t="inlineStr">
        <is>
          <t>Anyone have any tips or good info for tattoos and/or piercings? I’m getting a tattoo in a couple weeks and I’m kind of nervous about it. I manage my blood sugar levels pretty good but just wondering if there is anything important I should know before going into it. 
Also, I have been thinking about getting my nose pierced but I’m very unsure about it. I had my ears pierced a few years ago but they never healed up good, I later found out I have to get those hypoallergenic earrings. I’m worried if a nose piercing doesn’t heal correctly I’ll have a big sore in the middle of my face. If anyone has any insight it would be very appreciated.</t>
        </is>
      </c>
      <c r="D10092" t="n">
        <v>2</v>
      </c>
      <c r="E10092" t="n">
        <v>13</v>
      </c>
      <c r="F10092">
        <f>HYPERLINK("https://www.reddit.com/r/diabetes/comments/hrr3u4/tattoos_and_piercings/")</f>
        <v/>
      </c>
      <c r="G10092" t="inlineStr">
        <is>
          <t>2020-07-15 09:47:35</t>
        </is>
      </c>
      <c r="H10092" t="inlineStr">
        <is>
          <t>Type 1</t>
        </is>
      </c>
    </row>
    <row r="10093">
      <c r="A10093" t="inlineStr">
        <is>
          <t>hrsj8f</t>
        </is>
      </c>
      <c r="B10093" t="inlineStr">
        <is>
          <t>So i today placed my freestyle libre Sensor.</t>
        </is>
      </c>
      <c r="C10093" t="inlineStr">
        <is>
          <t>I think i Kind of missed the part i put it while disinfecting it. Can something serious Happen?</t>
        </is>
      </c>
      <c r="D10093" t="n">
        <v>1</v>
      </c>
      <c r="E10093" t="n">
        <v>7</v>
      </c>
      <c r="F10093">
        <f>HYPERLINK("https://www.reddit.com/r/diabetes/comments/hrsj8f/so_i_today_placed_my_freestyle_libre_sensor/")</f>
        <v/>
      </c>
      <c r="G10093" t="inlineStr">
        <is>
          <t>2020-07-15 11:01:40</t>
        </is>
      </c>
      <c r="H10093" t="inlineStr">
        <is>
          <t>Type 1</t>
        </is>
      </c>
    </row>
    <row r="10094">
      <c r="A10094" t="inlineStr">
        <is>
          <t>hs2405</t>
        </is>
      </c>
      <c r="B10094" t="inlineStr">
        <is>
          <t>Cvoid vaccine?</t>
        </is>
      </c>
      <c r="C10094" t="inlineStr">
        <is>
          <t>Will any diabetics be getting the vaccine? 
I’m pro vaccination, LET ME MAKE THAT CLEAR, but i don’t get the flu shot every year because i once still got the flu from it and went to the hospital! I’m just wondering other diabetics opinions and takes on it! 
I’m wanting to get it when it comes out, but there no info on how it affect those at high risk yet!</t>
        </is>
      </c>
      <c r="D10094" t="n">
        <v>1</v>
      </c>
      <c r="E10094" t="n">
        <v>24</v>
      </c>
      <c r="F10094">
        <f>HYPERLINK("https://www.reddit.com/r/diabetes/comments/hs2405/cvoid_vaccine/")</f>
        <v/>
      </c>
      <c r="G10094" t="inlineStr">
        <is>
          <t>2020-07-15 20:12:57</t>
        </is>
      </c>
      <c r="H10094" t="inlineStr">
        <is>
          <t>Type 1</t>
        </is>
      </c>
    </row>
    <row r="10095">
      <c r="A10095" t="inlineStr">
        <is>
          <t>hs4jws</t>
        </is>
      </c>
      <c r="B10095" t="inlineStr">
        <is>
          <t>Serious question and I'm very scared.....</t>
        </is>
      </c>
      <c r="C10095" t="inlineStr">
        <is>
          <t>Hi all....so here's the situation......
I'm 45 been sick since January figured back to back flu due to high fever....then got bronchitis....all this time I have diarrhea.....blood work clean.....treated to bacterial infection in the gut.....then developed little twinges of pain do go along with the bowel issue....CT has been done on pancreas and gall bladder...clear....showed symptoms of pancreatitis so pulled off my metformin (I also use Toujeo)....
Thanks to covid I haven't actually seen a Dr since I was diagnosed with bronchitis (mid Feb).....
I hope someone here can answer this.....but is there a life with autonomic neuropathy? How bad are things going to get??
Anyone with experience??</t>
        </is>
      </c>
      <c r="D10095" t="n">
        <v>1</v>
      </c>
      <c r="E10095" t="n">
        <v>12</v>
      </c>
      <c r="F10095">
        <f>HYPERLINK("https://www.reddit.com/r/diabetes/comments/hs4jws/serious_question_and_im_very_scared/")</f>
        <v/>
      </c>
      <c r="G10095" t="inlineStr">
        <is>
          <t>2020-07-15 23:22:00</t>
        </is>
      </c>
      <c r="H10095" t="inlineStr">
        <is>
          <t>Type 2</t>
        </is>
      </c>
    </row>
    <row r="10096">
      <c r="A10096" t="inlineStr">
        <is>
          <t>hsa96c</t>
        </is>
      </c>
      <c r="B10096" t="inlineStr">
        <is>
          <t>Relationships - T1 Talks Podcast</t>
        </is>
      </c>
      <c r="C10096" t="inlineStr">
        <is>
          <t>Sharing another podcast episode with all of you! Within the past few months, we've seen quite a few online stories about people feeling like their diabetes is the reason they struggle to sustain a relationship. It's easy for a diabetic to feel like their lifestyle is a burden on others. Between diabetic mood swings, insane financial costs, and alarms that will keep you up all night, it's easy to see how someone without diabetes may be shocked by all that goes into the daily life of a diabetic. We created this episode to share our personal experiences to what does and doesn't work in our friendships and relationships. We want our listeners to know that it is totally possible to manage diabetes AND a successful social life/partnership. Don't settle for less than you deserve!
As usual, I’ll leave the link below if anyone wants to check it out! Feel free to DM us on Instagram (@t1talks) with any questions, concerns, feedback, whatever!</t>
        </is>
      </c>
      <c r="D10096" t="n">
        <v>1</v>
      </c>
      <c r="E10096" t="n">
        <v>7</v>
      </c>
      <c r="F10096">
        <f>HYPERLINK("https://www.reddit.com/r/diabetes/comments/hsa96c/relationships_t1_talks_podcast/")</f>
        <v/>
      </c>
      <c r="G10096" t="inlineStr">
        <is>
          <t>2020-07-16 07:07:02</t>
        </is>
      </c>
      <c r="H10096" t="inlineStr">
        <is>
          <t>Type 1</t>
        </is>
      </c>
    </row>
    <row r="10097">
      <c r="A10097" t="inlineStr">
        <is>
          <t>hsbqgt</t>
        </is>
      </c>
      <c r="B10097" t="inlineStr">
        <is>
          <t>Did anyone weight fluctuate before diagnosis?</t>
        </is>
      </c>
      <c r="C10097" t="inlineStr">
        <is>
          <t>Was it only me, or did anyone else's weight fluctuate before their diagnosis? I would lose weight, and then gain some again. Not a ton. Just a little. Did this happen to anyone else?</t>
        </is>
      </c>
      <c r="D10097" t="n">
        <v>1</v>
      </c>
      <c r="E10097" t="n">
        <v>13</v>
      </c>
      <c r="F10097">
        <f>HYPERLINK("https://www.reddit.com/r/diabetes/comments/hsbqgt/did_anyone_weight_fluctuate_before_diagnosis/")</f>
        <v/>
      </c>
      <c r="G10097" t="inlineStr">
        <is>
          <t>2020-07-16 08:34:04</t>
        </is>
      </c>
      <c r="H10097" t="inlineStr">
        <is>
          <t>Type 1</t>
        </is>
      </c>
    </row>
    <row r="10098">
      <c r="A10098" t="inlineStr">
        <is>
          <t>hsipys</t>
        </is>
      </c>
      <c r="B10098" t="inlineStr">
        <is>
          <t>Cheap Needle Pricks</t>
        </is>
      </c>
      <c r="C10098" t="inlineStr">
        <is>
          <t>Hello, 
I have diabetes, obviously. I am looking for Accuchek multiclix lancets. I’m currently paying 40 dollars for each pack of a hundred. Is there any other place to buy them? 
I found website that sells them in bulk for 7 dollars but I have to buy 100. 
I also was curious to know whether they truly do expire? They always have expiration dates but I don’t know if it changes their performance or cleanliness.
Thank you for your time!</t>
        </is>
      </c>
      <c r="D10098" t="n">
        <v>1</v>
      </c>
      <c r="E10098" t="n">
        <v>9</v>
      </c>
      <c r="F10098">
        <f>HYPERLINK("https://www.reddit.com/r/diabetes/comments/hsipys/cheap_needle_pricks/")</f>
        <v/>
      </c>
      <c r="G10098" t="inlineStr">
        <is>
          <t>2020-07-16 14:23:30</t>
        </is>
      </c>
      <c r="H10098" t="inlineStr">
        <is>
          <t>Type 2</t>
        </is>
      </c>
    </row>
    <row r="10099">
      <c r="A10099" t="inlineStr">
        <is>
          <t>hsiy1b</t>
        </is>
      </c>
      <c r="B10099" t="inlineStr">
        <is>
          <t>Imagine you wake up on and island like in the film cast away. How long would we survive ane do you think it would be possible at all?</t>
        </is>
      </c>
      <c r="C10099" t="inlineStr">
        <is>
          <t>Always thought damn, if I was tom hanks in cast away i'd be dead in a week. I guess just eating fish and drinking rainwater will still lead to the inevitable.</t>
        </is>
      </c>
      <c r="D10099" t="n">
        <v>1</v>
      </c>
      <c r="E10099" t="n">
        <v>15</v>
      </c>
      <c r="F10099">
        <f>HYPERLINK("https://www.reddit.com/r/diabetes/comments/hsiy1b/imagine_you_wake_up_on_and_island_like_in_the/")</f>
        <v/>
      </c>
      <c r="G10099" t="inlineStr">
        <is>
          <t>2020-07-16 14:35:51</t>
        </is>
      </c>
      <c r="H10099" t="inlineStr">
        <is>
          <t>Type 1</t>
        </is>
      </c>
    </row>
    <row r="10100">
      <c r="A10100" t="inlineStr">
        <is>
          <t>hslw4a</t>
        </is>
      </c>
      <c r="B10100" t="inlineStr">
        <is>
          <t>Anyone feel better in the 140-170 range?</t>
        </is>
      </c>
      <c r="C10100" t="inlineStr">
        <is>
          <t>New T2 here.
My blood sugar was 600 but I'm on Ozempic and Metformin and my sugar has come down dramatically. (Plus I'm eating better)
But I notice if I get my glucose down to 100 I get the shakes and feel real bad. Around 140-170 is where i feel "normal" even though it's technically high.
Anyone else experience this?</t>
        </is>
      </c>
      <c r="D10100" t="n">
        <v>1</v>
      </c>
      <c r="E10100" t="n">
        <v>7</v>
      </c>
      <c r="F10100">
        <f>HYPERLINK("https://www.reddit.com/r/diabetes/comments/hslw4a/anyone_feel_better_in_the_140170_range/")</f>
        <v/>
      </c>
      <c r="G10100" t="inlineStr">
        <is>
          <t>2020-07-16 17:34:27</t>
        </is>
      </c>
      <c r="H10100" t="inlineStr">
        <is>
          <t>Type 2</t>
        </is>
      </c>
    </row>
    <row r="10101">
      <c r="A10101" t="inlineStr">
        <is>
          <t>hsqc7a</t>
        </is>
      </c>
      <c r="B10101" t="inlineStr">
        <is>
          <t>30 Day In: My initial thoughts (T-Slim &amp;amp; G6)</t>
        </is>
      </c>
      <c r="C10101" t="inlineStr">
        <is>
          <t>Hey guys, 
So its been around 30 days now since I've begun using my new T-slim X2 insulin pump + Dexcom G6. 
I've been a T1D for around 10 years at this point, previously was on MDI + Freestyle Libre. 
Before I review my experience so far, here's some info about me: 
Around 5"9, 220 lbs, Caucasian, 26, Male. 
My pump profile is currently: 
- Basal 1.4 
- Correction: 1:1.8
- Carb Ratio: 1:7.2
Let me first start off by saying that I'm still in a learning,  and  adjustment phase. 
That being said, here are my initial thoughts. 
This post will contain a rant about Dexcom, be warned. 
Let's begin. 
There's not much negative I can say on the T-Slim pump as a stand alone product. The Basal IQ technology is pretty cool, and the pump itself is very user friendly. Its compact and well designed. A high quality build as well. Good job Tandem, well done indeed. 
My one and only critique of the pump at this stage is that its not tubeless, but thats like complaining that rent isn't free. Compromise must be made somewhere. 
Now, the Dexcom G6 well let's just say I haven't yet been converted to Dexcom fan boy status. 
My main complaints with the Dexcom, especially as someone who came from using the Freestyle is that its huge, cumbersome, and far too delicate!!! 
Allow me to elaborate: 
Its huge: compared to the Freestyle Libre, Dexcom's G6 is massive! And this is supposed to be their smaller, and more improved product! The Freestyle was practically invisible and undetectable, just a couple centimetres thick. Maybe less. The Dexcom is at least a quarter or third of an inch thick, and requires quite a bit more space to apply than the Freestyle. 
Its cumbersome: comparing the application devices required for the Dexcom Vs the Freestyle makes you want to go "what the hell?" The freestyles applicator is basically a plunger that is small and compact and can be applied within seconds and without difficulty. 
The Dexcom applicator on the other hand is about the size of a small stapler and depending on where your installing, it can be quite tricky to do easily. Then there's also the fact that with freestyle, the sensor lasts 14 days and gets replaced as one complete unit. The Dexcom requires removing the transmitter from the sensor and reinstalling that in the new sensor. Too many moving parts!!
Its too delicate: So what the heck is a compression low anyways? Well, just start using a Dexcom and you'll friggin find out! Compression lows happen when too much pressure is applied to the area immediately surrounding the sensor and the interstitial fluid that the Dexcom is relying on for its readings is either dispersed or pushed away from the sensor. Now, as someone who came from using the Freestyle for years I can tell you with absolute certainty that I never once heard of a "compression low" and had no idea what these were. The reason for these compression lows is attributed to the way the Dexcom probe is inserted &amp;amp; sits under the skin compared to how the Freestyle's probes is inserted. The Dexcom's probe is at approximately a 45° angle, versus the Freestyle which is at 90°.
Dexcom if your listening: please fix this.
I also don't know why Dexcom needs 2 hours to warm up, compared to 60 minutes for Freestyle. Chilling out for an hour without glucose info is fine, 2 hours is a bit much. 
Now that I've ranted about Dexcom, I'll close it out with some positive points about their system. 
Probably the best part of the Dexcom system is that it uses Bluetooth instead of NFC like the Freestyle. This means that unlike the Freestyle which must be physically scanned each time a glucose reading is needed, the Dexcom AUTOMATICALLY transmits a glucose reading to the pump, receiver or smartphone every 5 minutes. This has been awesome since you literally have a live and uninterrupted image of what's going on inside your own body. 
Another good thing about the Dexcom is that because of its shape, and the way the adhesive is designed they've been able to create custom TegaDerm over-patch stickers to help keep the sensor in place and provide an extra moisture barrier to the adhesive. This has been awesome since with the Freestyle I'd end up using a strip of medical tap to help keep the sensor attached to my arm. 
So, how have my numbers been? Not as tight as I'd like them to be, but T1D is a constant work in progress. I've been in range for an average of 85% of the time which I'm happy about. My target BG is 6.0. 
I have my range set for between 4.5 &amp;amp; 9.9. 
I'd like to work towards tightening up my range to 5.0 &amp;amp; 8.5 eventually but this is a marathon not a sprint. 
Some steps I plan on taking in the short term to help improve my insulin sensitivity &amp;amp; loose some weight include going for a 30 minute walk every day &amp;amp; reducing overall carb intake in favour of more leafy greens and proteins. 
Well, there you have it folks. 
Thats my first 30 days in. 
I'd rate the T-slim + G6 combo 80/100
The pump itself is great, but I want significant improvement on the Dexcom side. I hope to see some of those improvements in the upcoming G7.</t>
        </is>
      </c>
      <c r="D10101" t="n">
        <v>1</v>
      </c>
      <c r="E10101" t="n">
        <v>3</v>
      </c>
      <c r="F10101">
        <f>HYPERLINK("https://www.reddit.com/r/diabetes/comments/hsqc7a/30_day_in_my_initial_thoughts_tslim_g6/")</f>
        <v/>
      </c>
      <c r="G10101" t="inlineStr">
        <is>
          <t>2020-07-16 22:52:57</t>
        </is>
      </c>
      <c r="H10101" t="inlineStr">
        <is>
          <t>Type 1</t>
        </is>
      </c>
    </row>
    <row r="10102">
      <c r="A10102" t="inlineStr">
        <is>
          <t>hstq3u</t>
        </is>
      </c>
      <c r="B10102" t="inlineStr">
        <is>
          <t>How long do I have?</t>
        </is>
      </c>
      <c r="C10102" t="inlineStr">
        <is>
          <t>I'm a type 1 diabetic who is also an alcoholic. I've also lost health insurance and I now rely on insulin from Walmart. I drink heavily, and have done so for over 4 years. Should I expect to live to see next week? Next year?</t>
        </is>
      </c>
      <c r="D10102" t="n">
        <v>1</v>
      </c>
      <c r="E10102" t="n">
        <v>0</v>
      </c>
      <c r="F10102">
        <f>HYPERLINK("https://www.reddit.com/r/diabetes/comments/hstq3u/how_long_do_i_have/")</f>
        <v/>
      </c>
      <c r="G10102" t="inlineStr">
        <is>
          <t>2020-07-17 04:02:55</t>
        </is>
      </c>
      <c r="H10102" t="inlineStr">
        <is>
          <t>Type 1</t>
        </is>
      </c>
    </row>
    <row r="10103">
      <c r="A10103" t="inlineStr">
        <is>
          <t>hsttmr</t>
        </is>
      </c>
      <c r="B10103" t="inlineStr">
        <is>
          <t>I'm tired.</t>
        </is>
      </c>
      <c r="C10103" t="inlineStr">
        <is>
          <t>I'm a type 1 diabetic. Since I turned 26, I've had to rely on the insulin from Walmart. Good old fashioned syringes, no fancy pump or anything. I wish I could go back to what I had before. I don't even know what my a1c is. I'm fucked, right? I feel like I'm loosing my vision.</t>
        </is>
      </c>
      <c r="D10103" t="n">
        <v>1</v>
      </c>
      <c r="E10103" t="n">
        <v>4</v>
      </c>
      <c r="F10103">
        <f>HYPERLINK("https://www.reddit.com/r/diabetes/comments/hsttmr/im_tired/")</f>
        <v/>
      </c>
      <c r="G10103" t="inlineStr">
        <is>
          <t>2020-07-17 04:11:22</t>
        </is>
      </c>
      <c r="H10103" t="inlineStr">
        <is>
          <t>Type 1</t>
        </is>
      </c>
    </row>
    <row r="10104">
      <c r="A10104" t="inlineStr">
        <is>
          <t>hstzzm</t>
        </is>
      </c>
      <c r="B10104" t="inlineStr">
        <is>
          <t>Do I have a problem</t>
        </is>
      </c>
      <c r="C10104" t="inlineStr">
        <is>
          <t>I'm a type one diabetic teen, 15 years old, I have had it for about 8 years. Recently, over the past few months, I have been so hungry. I have almost been constantly eating, I never feel full. To stop eating I either have to stop myself, or I start to feel sick. I'm slim, 5' 11" 155lbs. I'm healthy and don't eat fast food ever.</t>
        </is>
      </c>
      <c r="D10104" t="n">
        <v>1</v>
      </c>
      <c r="E10104" t="n">
        <v>4</v>
      </c>
      <c r="F10104">
        <f>HYPERLINK("https://www.reddit.com/r/diabetes/comments/hstzzm/do_i_have_a_problem/")</f>
        <v/>
      </c>
      <c r="G10104" t="inlineStr">
        <is>
          <t>2020-07-17 04:26:17</t>
        </is>
      </c>
      <c r="H10104" t="inlineStr">
        <is>
          <t>Type 1</t>
        </is>
      </c>
    </row>
    <row r="10105">
      <c r="A10105" t="inlineStr">
        <is>
          <t>hsuoee</t>
        </is>
      </c>
      <c r="B10105" t="inlineStr">
        <is>
          <t>Freestyle Libre, worth it?</t>
        </is>
      </c>
      <c r="C10105" t="inlineStr">
        <is>
          <t>I live in Aus and the Libre here is $92.50 for 14 days unless you fit the criteria of under 21/ low income. 
Have only started using insulin again recently so I think it would be helpful to help me figure out ratios but guess could do the same with reg glucometer
Thoughts on whether it’s worth?</t>
        </is>
      </c>
      <c r="D10105" t="n">
        <v>1</v>
      </c>
      <c r="E10105" t="n">
        <v>4</v>
      </c>
      <c r="F10105">
        <f>HYPERLINK("https://www.reddit.com/r/diabetes/comments/hsuoee/freestyle_libre_worth_it/")</f>
        <v/>
      </c>
      <c r="G10105" t="inlineStr">
        <is>
          <t>2020-07-17 05:19:16</t>
        </is>
      </c>
      <c r="H10105" t="inlineStr">
        <is>
          <t>Type 1</t>
        </is>
      </c>
    </row>
    <row r="10106">
      <c r="A10106" t="inlineStr">
        <is>
          <t>hsx3qk</t>
        </is>
      </c>
      <c r="B10106" t="inlineStr">
        <is>
          <t>CGM Questions for anyone testing their blood glucose levels</t>
        </is>
      </c>
      <c r="C10106" t="inlineStr">
        <is>
          <t>I am a startup founder who is passionate about the idea that people make the best healthcare decisions with the best data. I have since talked with friends with diabetes and have started conducting research to better understand the condition. I want to better understand the demand for a better CGM. 
If you don't have time to complete the survey but have strong opinions about your CGM I would appreciate it if you could drop it below
[Here is the survey](https://forms.gle/LLMm4qzux7AaFD3a6)
You do not need a continuous glucose monitor to participate. This survey takes about 10 minutes and if you choose you can be entered to win a $10 Amazon gift card. Let me know if you run into issues.</t>
        </is>
      </c>
      <c r="D10106" t="n">
        <v>1</v>
      </c>
      <c r="E10106" t="n">
        <v>15</v>
      </c>
      <c r="F10106">
        <f>HYPERLINK("https://www.reddit.com/r/diabetes/comments/hsx3qk/cgm_questions_for_anyone_testing_their_blood/")</f>
        <v/>
      </c>
      <c r="G10106" t="inlineStr">
        <is>
          <t>2020-07-17 07:56:18</t>
        </is>
      </c>
      <c r="H10106" t="inlineStr">
        <is>
          <t>Type 1</t>
        </is>
      </c>
    </row>
    <row r="10107">
      <c r="A10107" t="inlineStr">
        <is>
          <t>hsyo9w</t>
        </is>
      </c>
      <c r="B10107" t="inlineStr">
        <is>
          <t>Bloodwork came back</t>
        </is>
      </c>
      <c r="C10107" t="inlineStr">
        <is>
          <t>Hi everyone. This is my first time posting. I was diagnosed with Type II back late December 2019 with an A1C of 12.6. I just had my bloodwork done yesterday (exactly 6 months to the day I was first diagnosed) and I’m now down to 6.6 without the need to take insulin. I was just super excited with my results and thought I’d share with others that would understand. 
I feel like I’ve been extremely lucky with the extent that having diabetes has effected me compared to how so many others have it off a lot worse than I do. I hope that everyone continues to stay strong with controlling their diabetes regardless of how bad it is. You can do it!</t>
        </is>
      </c>
      <c r="D10107" t="n">
        <v>1</v>
      </c>
      <c r="E10107" t="n">
        <v>5</v>
      </c>
      <c r="F10107">
        <f>HYPERLINK("https://www.reddit.com/r/diabetes/comments/hsyo9w/bloodwork_came_back/")</f>
        <v/>
      </c>
      <c r="G10107" t="inlineStr">
        <is>
          <t>2020-07-17 09:22:38</t>
        </is>
      </c>
      <c r="H10107" t="inlineStr">
        <is>
          <t>Type 2</t>
        </is>
      </c>
    </row>
    <row r="10108">
      <c r="A10108" t="inlineStr">
        <is>
          <t>ht1994</t>
        </is>
      </c>
      <c r="B10108" t="inlineStr">
        <is>
          <t>T1 and Celiac disease</t>
        </is>
      </c>
      <c r="C10108" t="inlineStr">
        <is>
          <t>Anyone else diagnosed with Celiac while T1? Especially interested in hearing experiences from people with asymptomatic Celiac or mild symptoms. I've had a positive Celiac antibody test and am getting endoscopy for the definitive diagnosis soon. Wouldn't have known this was a possibility if my vitamin D hadn't been low earlier this year because I don't have any major GI symptoms.
My GI doc said that it's more common for those with T1D to have asymptomatic Celiac, and that even if the endoscopy doesn't show signs in the small intestine, that I'll be at a relatively high risk of developing symptomatic Celiac disease down the road. Interested in hearing others' experiences.</t>
        </is>
      </c>
      <c r="D10108" t="n">
        <v>1</v>
      </c>
      <c r="E10108" t="n">
        <v>8</v>
      </c>
      <c r="F10108">
        <f>HYPERLINK("https://www.reddit.com/r/diabetes/comments/ht1994/t1_and_celiac_disease/")</f>
        <v/>
      </c>
      <c r="G10108" t="inlineStr">
        <is>
          <t>2020-07-17 11:40:44</t>
        </is>
      </c>
      <c r="H10108" t="inlineStr">
        <is>
          <t>Type 1</t>
        </is>
      </c>
    </row>
    <row r="10109">
      <c r="A10109" t="inlineStr">
        <is>
          <t>ht8t8q</t>
        </is>
      </c>
      <c r="B10109" t="inlineStr">
        <is>
          <t>Has anyone tested and found a sugar substitute ( preferably natural) that has had minimal impact on blood sugar?</t>
        </is>
      </c>
      <c r="C10109" t="inlineStr">
        <is>
          <t>What was your measured sugar level post the sweetener? Looking for monk fruit, Erythritol etc</t>
        </is>
      </c>
      <c r="D10109" t="n">
        <v>1</v>
      </c>
      <c r="E10109" t="n">
        <v>10</v>
      </c>
      <c r="F10109">
        <f>HYPERLINK("https://www.reddit.com/r/diabetes/comments/ht8t8q/has_anyone_tested_and_found_a_sugar_substitute/")</f>
        <v/>
      </c>
      <c r="G10109" t="inlineStr">
        <is>
          <t>2020-07-17 19:12:13</t>
        </is>
      </c>
      <c r="H10109" t="inlineStr">
        <is>
          <t>Type 2</t>
        </is>
      </c>
    </row>
    <row r="10110">
      <c r="A10110" t="inlineStr">
        <is>
          <t>ht8y3d</t>
        </is>
      </c>
      <c r="B10110" t="inlineStr">
        <is>
          <t>26yo recently diagnosed as Diabetic</t>
        </is>
      </c>
      <c r="C10110" t="inlineStr">
        <is>
          <t>All throughout college I was sick, stomach infections, urinary tract infections, throat infections.
I started fainting the next day whenever I pulled an all nighter during finals. I'm 26 and finally after years of being chronically ill, I was sent to the endocrinologist. He sent for a lot of lab tests, one of those was the glucose tolerance test. The results came back in late December 2019 and it turns out I have type II Diabetes, but I don't need insulin (yet).
I've been trying to get my diet right ever since. The quarantine helped the "sugar detox" because I wasn't able to go out and buy sugary snacks.
I have been trying so so hard. But I still can't seem to get it right. Sometimes my sugar gets so low when I'm exercising that I feel like I'm going to die. Some other times it's higher than it should be. Some other times when I exercise my blood pressure goes high and I get all sweaty and nauseous.
I'm 26 and I feel so sad and defeated, my health just seems to not be right regardless of what I do. 
I don't even understand why I have Diabetes in the first place. Mom raised me and my brothers with a very healthy way of eating, and I have mostly followed that way of eating all my life. I have never been obese, I drank alcohol moderately for like two years before deciding to quit it, I don't drink soda, I don't eat fast food, I don't drink sugary coffee, sweet tea or juices, I'm not vegetarian but I don't eat a lot of meat since I don't particularly like it. 
As a child and teen I enjoyed sweet snacks every once in a while but nothing crazy or out of the ordinary, l have friends who are basically alcoholics, have a horrible diet and habits and they don't have Diabetes or seemingly any other disease.
I feel like my body is charging me a very premature and pricey bill for things that others get away with for free. I can only imagine that I might already be dead if I lived a party life.</t>
        </is>
      </c>
      <c r="D10110" t="n">
        <v>1</v>
      </c>
      <c r="E10110" t="n">
        <v>10</v>
      </c>
      <c r="F10110">
        <f>HYPERLINK("https://www.reddit.com/r/diabetes/comments/ht8y3d/26yo_recently_diagnosed_as_diabetic/")</f>
        <v/>
      </c>
      <c r="G10110" t="inlineStr">
        <is>
          <t>2020-07-17 19:21:41</t>
        </is>
      </c>
      <c r="H10110" t="inlineStr">
        <is>
          <t>Type 2</t>
        </is>
      </c>
    </row>
    <row r="10111">
      <c r="A10111" t="inlineStr">
        <is>
          <t>htbc4d</t>
        </is>
      </c>
      <c r="B10111" t="inlineStr">
        <is>
          <t>Help I just overdosed on long acting insulin</t>
        </is>
      </c>
      <c r="C10111" t="inlineStr">
        <is>
          <t>Ok so I am type 1 and I take 36 units of long acting insulin each night. I just had a moment of confusion and injected a second dose of 36 units, thinking that I havent already but then remembering I did. What will happen and will I need to seek medical attention?</t>
        </is>
      </c>
      <c r="D10111" t="n">
        <v>1</v>
      </c>
      <c r="E10111" t="n">
        <v>5</v>
      </c>
      <c r="F10111">
        <f>HYPERLINK("https://www.reddit.com/r/diabetes/comments/htbc4d/help_i_just_overdosed_on_long_acting_insulin/")</f>
        <v/>
      </c>
      <c r="G10111" t="inlineStr">
        <is>
          <t>2020-07-17 22:24:55</t>
        </is>
      </c>
      <c r="H10111" t="inlineStr">
        <is>
          <t>Type 1</t>
        </is>
      </c>
    </row>
    <row r="10112">
      <c r="A10112" t="inlineStr">
        <is>
          <t>htdgg2</t>
        </is>
      </c>
      <c r="B10112" t="inlineStr">
        <is>
          <t>A1C testing during pandemic</t>
        </is>
      </c>
      <c r="C10112" t="inlineStr">
        <is>
          <t>T2 here, I was wondering if it would be a good idea to get my A1C tested during the COVID outbreak. I was supposed to get it a month ago however due to the fact that having diabetes makes us vulnerable to complications with COVID I decided to stay home. Lately I have been anxious as to what my number is because I’ve adopted some diet habits that I’m not too proud of. Should I wait out COVID or get my A1C tested?</t>
        </is>
      </c>
      <c r="D10112" t="n">
        <v>1</v>
      </c>
      <c r="E10112" t="n">
        <v>2</v>
      </c>
      <c r="F10112">
        <f>HYPERLINK("https://www.reddit.com/r/diabetes/comments/htdgg2/a1c_testing_during_pandemic/")</f>
        <v/>
      </c>
      <c r="G10112" t="inlineStr">
        <is>
          <t>2020-07-18 01:45:00</t>
        </is>
      </c>
      <c r="H10112" t="inlineStr">
        <is>
          <t>Type 2</t>
        </is>
      </c>
    </row>
    <row r="10113">
      <c r="A10113" t="inlineStr">
        <is>
          <t>htl2d5</t>
        </is>
      </c>
      <c r="B10113" t="inlineStr">
        <is>
          <t>How can diabetics raise alkalinity in the body?</t>
        </is>
      </c>
      <c r="C10113" t="inlineStr">
        <is>
          <t>.</t>
        </is>
      </c>
      <c r="D10113" t="n">
        <v>0</v>
      </c>
      <c r="E10113" t="n">
        <v>16</v>
      </c>
      <c r="F10113">
        <f>HYPERLINK("https://www.reddit.com/r/diabetes/comments/htl2d5/how_can_diabetics_raise_alkalinity_in_the_body/")</f>
        <v/>
      </c>
      <c r="G10113" t="inlineStr">
        <is>
          <t>2020-07-18 11:04:55</t>
        </is>
      </c>
      <c r="H10113" t="inlineStr">
        <is>
          <t>Type 2</t>
        </is>
      </c>
    </row>
    <row r="10114">
      <c r="A10114" t="inlineStr">
        <is>
          <t>htl9yl</t>
        </is>
      </c>
      <c r="B10114" t="inlineStr">
        <is>
          <t>Good diabetic snacks that aren't hard to chew??</t>
        </is>
      </c>
      <c r="C10114" t="inlineStr">
        <is>
          <t>Hello! I'm looking to get my dad some snacks. I'd like to get him some things to surprise him that he'll hopefully like. Anything you would recommend would be lovely, and I do need things that are soft to chew because he has no bottom teeth.</t>
        </is>
      </c>
      <c r="D10114" t="n">
        <v>1</v>
      </c>
      <c r="E10114" t="n">
        <v>19</v>
      </c>
      <c r="F10114">
        <f>HYPERLINK("https://www.reddit.com/r/diabetes/comments/htl9yl/good_diabetic_snacks_that_arent_hard_to_chew/")</f>
        <v/>
      </c>
      <c r="G10114" t="inlineStr">
        <is>
          <t>2020-07-18 11:17:08</t>
        </is>
      </c>
      <c r="H10114" t="inlineStr">
        <is>
          <t>Type 2</t>
        </is>
      </c>
    </row>
    <row r="10115">
      <c r="A10115" t="inlineStr">
        <is>
          <t>htlljq</t>
        </is>
      </c>
      <c r="B10115" t="inlineStr">
        <is>
          <t>Do you believe in regulating blood sugar through yogic exercises?</t>
        </is>
      </c>
      <c r="C10115" t="inlineStr">
        <is>
          <t>.</t>
        </is>
      </c>
      <c r="D10115" t="n">
        <v>0</v>
      </c>
      <c r="E10115" t="n">
        <v>6</v>
      </c>
      <c r="F10115">
        <f>HYPERLINK("https://www.reddit.com/r/diabetes/comments/htlljq/do_you_believe_in_regulating_blood_sugar_through/")</f>
        <v/>
      </c>
      <c r="G10115" t="inlineStr">
        <is>
          <t>2020-07-18 11:36:06</t>
        </is>
      </c>
      <c r="H10115" t="inlineStr">
        <is>
          <t>Type 2</t>
        </is>
      </c>
    </row>
    <row r="10116">
      <c r="A10116" t="inlineStr">
        <is>
          <t>htmoma</t>
        </is>
      </c>
      <c r="B10116" t="inlineStr">
        <is>
          <t>Can Gynecomastia be a side effect of T1D treatment?</t>
        </is>
      </c>
      <c r="C10116" t="inlineStr">
        <is>
          <t>Can Gynecomastia be a side effect of T1D treatment? 
Has anyone ever heard of increased breast growth or breast pain from exogenous insulin injections? Am wondering for research purposes. 
Theory I have is that my sugars have been a bit too low, leading to increase in prolactin which causes this and other problems e.g. low libido. 
So I'm going easier on the insulin, have an appointment with and endo soon, hopefully he can help me out (hopefully it's not a prolactinoma...) 
Will appreciate any response. Thanks, x.</t>
        </is>
      </c>
      <c r="D10116" t="n">
        <v>0</v>
      </c>
      <c r="E10116" t="n">
        <v>6</v>
      </c>
      <c r="F10116">
        <f>HYPERLINK("https://www.reddit.com/r/diabetes/comments/htmoma/can_gynecomastia_be_a_side_effect_of_t1d_treatment/")</f>
        <v/>
      </c>
      <c r="G10116" t="inlineStr">
        <is>
          <t>2020-07-18 12:38:09</t>
        </is>
      </c>
      <c r="H10116" t="inlineStr">
        <is>
          <t>Type 1</t>
        </is>
      </c>
    </row>
    <row r="10117">
      <c r="A10117" t="inlineStr">
        <is>
          <t>htq6lw</t>
        </is>
      </c>
      <c r="B10117" t="inlineStr">
        <is>
          <t>I broke my one big rule today.</t>
        </is>
      </c>
      <c r="C10117" t="inlineStr">
        <is>
          <t>Normally, I cook my meals or am involved in the food prep in some way. So, knowing when the food will be ready, I inject my insulin 5-10 mins in advance to help smooth things out. 
I NEVER inject before seeing the food if I'm not involved because that always leaves the possibility of you sitting in a restaurant, quickly going lower, while being told the chef forgot your meal or something similar. That's my big rule: never inject when you're trusting other people to produce food.
Today, I was round my sister's for a garden get together thing (all 2m apart). Sister knows I'm T1 and all that entails. I ask her when she thinks we'll eat and get told 5-10 mins max. I figured, as the cook, she knew what she was doing and knew not to mess me about with this so I broke my rule and pre-loaded my body with insulin.
Food hit plate almost 40 minutes later than planned by which point I'd already had to stuff myself with a fair few gluco-tabs which I would then have to do another injection later to correct for.
Moral of the story: Don't break your own rules.</t>
        </is>
      </c>
      <c r="D10117" t="n">
        <v>13</v>
      </c>
      <c r="E10117" t="n">
        <v>8</v>
      </c>
      <c r="F10117">
        <f>HYPERLINK("https://www.reddit.com/r/diabetes/comments/htq6lw/i_broke_my_one_big_rule_today/")</f>
        <v/>
      </c>
      <c r="G10117" t="inlineStr">
        <is>
          <t>2020-07-18 16:08:46</t>
        </is>
      </c>
      <c r="H10117" t="inlineStr">
        <is>
          <t>Type 1</t>
        </is>
      </c>
    </row>
    <row r="10118">
      <c r="A10118" t="inlineStr">
        <is>
          <t>htqj2p</t>
        </is>
      </c>
      <c r="B10118" t="inlineStr">
        <is>
          <t>Diabetic Type 2, 2 miscarriages in 2 years, pregnant again 5 months later as of today.</t>
        </is>
      </c>
      <c r="C10118" t="inlineStr">
        <is>
          <t>My husband and myself are very open to starting a family. I have not taken care of my diabetes before, it’s like I’m avoiding it or just don’t seem to care very much and I believe that my 2 miscarriages are due to this reason and initially my fault. Just last month I decided to begin taking much more care of myself and I came to find out I’m pregnant yet again, very terrified. My eating habits have changed a bit and I’m on metformin. Don’t exercise as much but it’s more often then before. I’m scared and doctors always tell me the same thing. I guess I’m just trying to find other women that have had type 2 diabetes and went full term with a beautiful blessing.</t>
        </is>
      </c>
      <c r="D10118" t="n">
        <v>4</v>
      </c>
      <c r="E10118" t="n">
        <v>8</v>
      </c>
      <c r="F10118">
        <f>HYPERLINK("https://www.reddit.com/r/diabetes/comments/htqj2p/diabetic_type_2_2_miscarriages_in_2_years/")</f>
        <v/>
      </c>
      <c r="G10118" t="inlineStr">
        <is>
          <t>2020-07-18 16:31:41</t>
        </is>
      </c>
      <c r="H10118" t="inlineStr">
        <is>
          <t>Type 2</t>
        </is>
      </c>
    </row>
    <row r="10119">
      <c r="A10119" t="inlineStr">
        <is>
          <t>htqjmd</t>
        </is>
      </c>
      <c r="B10119" t="inlineStr">
        <is>
          <t>Has anyone ever had their insulin prescription cancelled?</t>
        </is>
      </c>
      <c r="C10119" t="inlineStr">
        <is>
          <t>I placed a refill for my Novolog today at Walgreens and I saw online that their was a technical issue with my order. This prescription expires January 2021. I gave them a call and they said that my prescription had been cancelled &amp;amp; they'd have to get a new one from the doctor. They had no explanation other than saying if I didn't cancel it, the doctor must have. They said maybe I had to go in for a visit but I had a telehealth appointment this month. 
I'm inclined to believe this is some kind of mistake either with the doctor or pharmacy given that I just saw the doctor and my prescription still has 5.5 months on it. Has anyone had this happen before?</t>
        </is>
      </c>
      <c r="D10119" t="n">
        <v>2</v>
      </c>
      <c r="E10119" t="n">
        <v>6</v>
      </c>
      <c r="F10119">
        <f>HYPERLINK("https://www.reddit.com/r/diabetes/comments/htqjmd/has_anyone_ever_had_their_insulin_prescription/")</f>
        <v/>
      </c>
      <c r="G10119" t="inlineStr">
        <is>
          <t>2020-07-18 16:32:46</t>
        </is>
      </c>
      <c r="H10119" t="inlineStr">
        <is>
          <t>Type 1</t>
        </is>
      </c>
    </row>
    <row r="10120">
      <c r="A10120" t="inlineStr">
        <is>
          <t>htqq3d</t>
        </is>
      </c>
      <c r="B10120" t="inlineStr">
        <is>
          <t>omnipod patches</t>
        </is>
      </c>
      <c r="C10120" t="inlineStr">
        <is>
          <t>so you know how you can call dexcom and they’ll send you free overlay patches? does anyone know if omnipod does the same?</t>
        </is>
      </c>
      <c r="D10120" t="n">
        <v>1</v>
      </c>
      <c r="E10120" t="n">
        <v>8</v>
      </c>
      <c r="F10120">
        <f>HYPERLINK("https://www.reddit.com/r/diabetes/comments/htqq3d/omnipod_patches/")</f>
        <v/>
      </c>
      <c r="G10120" t="inlineStr">
        <is>
          <t>2020-07-18 16:44:38</t>
        </is>
      </c>
      <c r="H10120" t="inlineStr">
        <is>
          <t>Type 1</t>
        </is>
      </c>
    </row>
    <row r="10121">
      <c r="A10121" t="inlineStr">
        <is>
          <t>htqqdr</t>
        </is>
      </c>
      <c r="B10121" t="inlineStr">
        <is>
          <t>Warning!!! Check your feet. This can happen to you.</t>
        </is>
      </c>
      <c r="C10121" t="inlineStr">
        <is>
          <t>I stepped on something. I don't even know what it was. I was barefoot in my house and I noticed small blood spots on the carpet. A tiny hole. I but neosporin on it and then a band-aid and i thought that was it. I noticed several days later that it had no healed. I should have gone to the doctor then but no I was ignorant. A few days after that is when a tiny bit of pus came out. My wife convinced me to go to the Care Now Clinic. B/c of Covid they were all full and I finally made it to a CVS minute clinic.  They told me to go to the Emergency room. After 5 days of I.V. Antibiotics, surgery, x-rays, ct scan and countless other things, I got out. Now I am wearing a wound vac for the next 8 weeks. I am only posting this to warn others. I didn't think this would happen to me. Before and after pics for reference.
https://preview.redd.it/l6k0effjepb51.jpg?width=4032&amp;amp;format=pjpg&amp;amp;auto=webp&amp;amp;s=fbf3b431a0391526ff5efe37bad90fabd1226366
https://preview.redd.it/8iaq0zffdpb51.jpg?width=1950&amp;amp;format=pjpg&amp;amp;auto=webp&amp;amp;s=1247a7eb70b11dccf8b1ab0042885ea4b9580f9a</t>
        </is>
      </c>
      <c r="D10121" t="n">
        <v>38</v>
      </c>
      <c r="E10121" t="n">
        <v>55</v>
      </c>
      <c r="F10121">
        <f>HYPERLINK("https://www.reddit.com/r/diabetes/comments/htqqdr/warning_check_your_feet_this_can_happen_to_you/")</f>
        <v/>
      </c>
      <c r="G10121" t="inlineStr">
        <is>
          <t>2020-07-18 16:45:12</t>
        </is>
      </c>
      <c r="H10121" t="inlineStr">
        <is>
          <t>Type 2</t>
        </is>
      </c>
    </row>
    <row r="10122">
      <c r="A10122" t="inlineStr">
        <is>
          <t>htxc5h</t>
        </is>
      </c>
      <c r="B10122" t="inlineStr">
        <is>
          <t>Australian Insurance</t>
        </is>
      </c>
      <c r="C10122" t="inlineStr">
        <is>
          <t>Hello, I was wondering if any Australian has had any luck getting their insurance to cover a dexcom. I currently have the dexcom covered until I turn 21 later this year, and can't imagine going without it.</t>
        </is>
      </c>
      <c r="D10122" t="n">
        <v>1</v>
      </c>
      <c r="E10122" t="n">
        <v>2</v>
      </c>
      <c r="F10122">
        <f>HYPERLINK("https://www.reddit.com/r/diabetes/comments/htxc5h/australian_insurance/")</f>
        <v/>
      </c>
      <c r="G10122" t="inlineStr">
        <is>
          <t>2020-07-19 01:37:05</t>
        </is>
      </c>
      <c r="H10122" t="inlineStr">
        <is>
          <t>Type 1</t>
        </is>
      </c>
    </row>
    <row r="10123">
      <c r="A10123" t="inlineStr">
        <is>
          <t>htxuav</t>
        </is>
      </c>
      <c r="B10123" t="inlineStr">
        <is>
          <t>What to do if you miss a long lasting Injection</t>
        </is>
      </c>
      <c r="C10123" t="inlineStr">
        <is>
          <t>Hey guys I’m a new type 1 diabetic (around the 6 month mark now) and I usually take 1 12 unit dose of lantis around 10pm well I overslept and it’s now 5 am, what should I do? My blood sugar is relatively high at 235.</t>
        </is>
      </c>
      <c r="D10123" t="n">
        <v>1</v>
      </c>
      <c r="E10123" t="n">
        <v>6</v>
      </c>
      <c r="F10123">
        <f>HYPERLINK("https://www.reddit.com/r/diabetes/comments/htxuav/what_to_do_if_you_miss_a_long_lasting_injection/")</f>
        <v/>
      </c>
      <c r="G10123" t="inlineStr">
        <is>
          <t>2020-07-19 02:30:13</t>
        </is>
      </c>
      <c r="H10123" t="inlineStr">
        <is>
          <t>Type 1</t>
        </is>
      </c>
    </row>
    <row r="10124">
      <c r="A10124" t="inlineStr">
        <is>
          <t>htz2ab</t>
        </is>
      </c>
      <c r="B10124" t="inlineStr">
        <is>
          <t>Anyone tried Fiasp?</t>
        </is>
      </c>
      <c r="C10124" t="inlineStr">
        <is>
          <t>I've been type 1 diabetic for 20 years, and tried Humalog, NovoRapid and Fiasp, which are all fast-acting types of insulin that works for approximately 2-4 hours. The biggest difference is between Fiasp and NovoRapid/Humalog (starts working within 2 minutes vs 15 minutes, respectively). 
I ask because I'm very pleased with Fiasp, but whenever I see posts involving insulin, I've never seen anyone mention Fiasp. So, has anyone outside Scandinavia tried it? What do you think?</t>
        </is>
      </c>
      <c r="D10124" t="n">
        <v>2</v>
      </c>
      <c r="E10124" t="n">
        <v>24</v>
      </c>
      <c r="F10124">
        <f>HYPERLINK("https://www.reddit.com/r/diabetes/comments/htz2ab/anyone_tried_fiasp/")</f>
        <v/>
      </c>
      <c r="G10124" t="inlineStr">
        <is>
          <t>2020-07-19 04:32:41</t>
        </is>
      </c>
      <c r="H10124" t="inlineStr">
        <is>
          <t>Type 1</t>
        </is>
      </c>
    </row>
    <row r="10125">
      <c r="A10125" t="inlineStr">
        <is>
          <t>htzdto</t>
        </is>
      </c>
      <c r="B10125" t="inlineStr">
        <is>
          <t>Control IQ on sleep mode vs basal IQ for tight control?</t>
        </is>
      </c>
      <c r="C10125" t="inlineStr">
        <is>
          <t>For people with a T-Slim x2 who keep tight control of their blood sugar- what’s better for tight control- control IQ with sleep mode always on, or basal IQ? 
I have the impression that with basal IQ your target can be lower, and you can react factor for corrections instead of letting control IQ correct</t>
        </is>
      </c>
      <c r="D10125" t="n">
        <v>9</v>
      </c>
      <c r="E10125" t="n">
        <v>8</v>
      </c>
      <c r="F10125">
        <f>HYPERLINK("https://www.reddit.com/r/diabetes/comments/htzdto/control_iq_on_sleep_mode_vs_basal_iq_for_tight/")</f>
        <v/>
      </c>
      <c r="G10125" t="inlineStr">
        <is>
          <t>2020-07-19 05:00:34</t>
        </is>
      </c>
      <c r="H10125" t="inlineStr">
        <is>
          <t>Type 1</t>
        </is>
      </c>
    </row>
    <row r="10126">
      <c r="A10126" t="inlineStr">
        <is>
          <t>hu0aya</t>
        </is>
      </c>
      <c r="B10126" t="inlineStr">
        <is>
          <t>what recommendations would you make to my father?</t>
        </is>
      </c>
      <c r="C10126" t="inlineStr">
        <is>
          <t>so My father is a type 2, and he has been injecting himself with insulin for the past 10 years, often 3 times a day.
however, I read that in the West and USA, recently, diabetics use implanted sensors to monitor their insulin, and sensors can even administer insulin
this isn't covered by national insurance in Romania, so my father plans to pay out of pocket for the sensor and stuff.
How effective are sensors and where do you need to go to get them? Do you need a doctor to implant them? do you need your GP approval? 
How much did implanted sensors improve your life?
I have zero knowledge about diabetes treatments, especially the newer ones, so any advice and links to scientific or media sources would be helpful</t>
        </is>
      </c>
      <c r="D10126" t="n">
        <v>1</v>
      </c>
      <c r="E10126" t="n">
        <v>14</v>
      </c>
      <c r="F10126">
        <f>HYPERLINK("https://www.reddit.com/r/diabetes/comments/hu0aya/what_recommendations_would_you_make_to_my_father/")</f>
        <v/>
      </c>
      <c r="G10126" t="inlineStr">
        <is>
          <t>2020-07-19 06:14:39</t>
        </is>
      </c>
      <c r="H10126" t="inlineStr">
        <is>
          <t>Type 2</t>
        </is>
      </c>
    </row>
    <row r="10127">
      <c r="A10127" t="inlineStr">
        <is>
          <t>hu0z90</t>
        </is>
      </c>
      <c r="B10127" t="inlineStr">
        <is>
          <t>Anyone have a physical job and try to work out after? Need food advice</t>
        </is>
      </c>
      <c r="C10127" t="inlineStr">
        <is>
          <t>I've been working out after I get home from work, but I can't get my blood sugar to go up. Last week I ate about 20 carbs, waited a bit and then worked out. The past several days it hasn't worked. Yesterday and today I ate about 40 carbs (no insulin) and had basically 0 BG difference. Do I just eat more carbs? 
What do you guys eat before a workout? I'm not sure if I should eat more carbs without insulin because I feel like if my body works like it did last week that could make me 320+</t>
        </is>
      </c>
      <c r="D10127" t="n">
        <v>2</v>
      </c>
      <c r="E10127" t="n">
        <v>9</v>
      </c>
      <c r="F10127">
        <f>HYPERLINK("https://www.reddit.com/r/diabetes/comments/hu0z90/anyone_have_a_physical_job_and_try_to_work_out/")</f>
        <v/>
      </c>
      <c r="G10127" t="inlineStr">
        <is>
          <t>2020-07-19 07:03:42</t>
        </is>
      </c>
      <c r="H10127" t="inlineStr">
        <is>
          <t>Type 1</t>
        </is>
      </c>
    </row>
    <row r="10128">
      <c r="A10128" t="inlineStr">
        <is>
          <t>hu4iz3</t>
        </is>
      </c>
      <c r="B10128" t="inlineStr">
        <is>
          <t>Huawei &amp;amp; MySugr</t>
        </is>
      </c>
      <c r="C10128" t="inlineStr">
        <is>
          <t>I have a Huawei mobile phone and I use the Accu-Chek Instant glucometer. 
A few years ago the MySugr app worked perfectly but now, it doesn't work. It does not auto sync my readings etc.
I have asked MySugr for help but , yea, to no avail.
Has anyone experienced issues using a Huawei phone and this app?
If anyone has alternative suggestions, I'd welcome them.
Thank you</t>
        </is>
      </c>
      <c r="D10128" t="n">
        <v>1</v>
      </c>
      <c r="E10128" t="n">
        <v>8</v>
      </c>
      <c r="F10128">
        <f>HYPERLINK("https://www.reddit.com/r/diabetes/comments/hu4iz3/huawei_mysugr/")</f>
        <v/>
      </c>
      <c r="G10128" t="inlineStr">
        <is>
          <t>2020-07-19 10:43:41</t>
        </is>
      </c>
      <c r="H10128" t="inlineStr">
        <is>
          <t>Type 2</t>
        </is>
      </c>
    </row>
    <row r="10129">
      <c r="A10129" t="inlineStr">
        <is>
          <t>huazoo</t>
        </is>
      </c>
      <c r="B10129" t="inlineStr">
        <is>
          <t>Anyone have success with toddlers on a pump?</t>
        </is>
      </c>
      <c r="C10129" t="inlineStr">
        <is>
          <t>My daughter who is about to turn 3 was recently diagnosed. My wife also has T1 and is on tandem. She was previously on omni and not a big fan but tube free sounds like a big plus with an active toddler.
I guess im just wondering if people have success stories, horror stories, or tips for using a pump with toddlers.</t>
        </is>
      </c>
      <c r="D10129" t="n">
        <v>2</v>
      </c>
      <c r="E10129" t="n">
        <v>8</v>
      </c>
      <c r="F10129">
        <f>HYPERLINK("https://www.reddit.com/r/diabetes/comments/huazoo/anyone_have_success_with_toddlers_on_a_pump/")</f>
        <v/>
      </c>
      <c r="G10129" t="inlineStr">
        <is>
          <t>2020-07-19 16:57:43</t>
        </is>
      </c>
      <c r="H10129" t="inlineStr">
        <is>
          <t>Type 1</t>
        </is>
      </c>
    </row>
    <row r="10130">
      <c r="A10130" t="inlineStr">
        <is>
          <t>huccm0</t>
        </is>
      </c>
      <c r="B10130" t="inlineStr">
        <is>
          <t>I feel like the US wants me to die and I feel hopeless.</t>
        </is>
      </c>
      <c r="C10130" t="inlineStr">
        <is>
          <t>This is a rant. I'm not suicidal, but the last threads of my sanity are fraying. 
Like most here I'm still having to stick to a pretty strict quarantine and simple things like going to my lobby to collect mail or, at the farthest, picking up an order at my next door pizzeria- I'll see few masks. The news highlights the so called "freedom fighters" who refuse to put a small piece of fabric over their face as a way of mockery, but this has only allowed these cowards to spread their viral thought processes. They say a mask makes them "feel trapped" it's *almost* humorous to me. You know who feels trapped? Me. A HUGE percentages of the US population. The people on ventilators. Chemo patients. Many of us here.
The question that keeps being asked is, "What can we do to make you actually care about your community" but to break this down- it's 'how can I make you care about the elderly, the sick, hell- **children** with cancer? Along with those with immunity issues that usually allow them to live and work right beside you.' But simply- they don't care about the elderly, children with cancer, their neighbors. They are too far gone and I feel I could easily find evidence of them justifying purging the immunocompromised. 
I'm incredibly depressed and pleading to live- feels futile. I know I have an important job and I do add to society, but what is the benefit of helping a society that wants me to die?
I see in our future getting a vaccine but people continuing to childishly dig their heels in- refusing to get it- allowing the virus to quickly mutate and void any gains.   
I'm feeling hopeless- and trapped.</t>
        </is>
      </c>
      <c r="D10130" t="n">
        <v>27</v>
      </c>
      <c r="E10130" t="n">
        <v>20</v>
      </c>
      <c r="F10130">
        <f>HYPERLINK("https://www.reddit.com/r/diabetes/comments/huccm0/i_feel_like_the_us_wants_me_to_die_and_i_feel/")</f>
        <v/>
      </c>
      <c r="G10130" t="inlineStr">
        <is>
          <t>2020-07-19 18:28:03</t>
        </is>
      </c>
      <c r="H10130" t="inlineStr">
        <is>
          <t>Type 1</t>
        </is>
      </c>
    </row>
    <row r="10131">
      <c r="A10131" t="inlineStr">
        <is>
          <t>hufu9u</t>
        </is>
      </c>
      <c r="B10131" t="inlineStr">
        <is>
          <t>Health</t>
        </is>
      </c>
      <c r="C10131" t="inlineStr">
        <is>
          <t>Ladies - have you had any issues with hair falling out ? I am getting concerned with the amount of hair coming out.. if so what did you do??? 
Ughhh</t>
        </is>
      </c>
      <c r="D10131" t="n">
        <v>2</v>
      </c>
      <c r="E10131" t="n">
        <v>10</v>
      </c>
      <c r="F10131">
        <f>HYPERLINK("https://www.reddit.com/r/diabetes/comments/hufu9u/health/")</f>
        <v/>
      </c>
      <c r="G10131" t="inlineStr">
        <is>
          <t>2020-07-19 22:42:20</t>
        </is>
      </c>
      <c r="H10131" t="inlineStr">
        <is>
          <t>Type 1</t>
        </is>
      </c>
    </row>
    <row r="10132">
      <c r="A10132" t="inlineStr">
        <is>
          <t>hum53y</t>
        </is>
      </c>
      <c r="B10132" t="inlineStr">
        <is>
          <t>Anyone taking Gabapentin for nerve pain?</t>
        </is>
      </c>
      <c r="C10132" t="inlineStr">
        <is>
          <t>Has it helped or not? Thinking of switching to Lyrica.</t>
        </is>
      </c>
      <c r="D10132" t="n">
        <v>1</v>
      </c>
      <c r="E10132" t="n">
        <v>7</v>
      </c>
      <c r="F10132">
        <f>HYPERLINK("https://www.reddit.com/r/diabetes/comments/hum53y/anyone_taking_gabapentin_for_nerve_pain/")</f>
        <v/>
      </c>
      <c r="G10132" t="inlineStr">
        <is>
          <t>2020-07-20 07:24:46</t>
        </is>
      </c>
      <c r="H10132" t="inlineStr">
        <is>
          <t>Type 2</t>
        </is>
      </c>
    </row>
    <row r="10133">
      <c r="A10133" t="inlineStr">
        <is>
          <t>hurnks</t>
        </is>
      </c>
      <c r="B10133" t="inlineStr">
        <is>
          <t>My A1C is down by 5 points after my first bloodwork since being diagnosed</t>
        </is>
      </c>
      <c r="C10133" t="inlineStr">
        <is>
          <t>I was diagnosed with type 2 diabetes right before the lockdowns and I finally got my A1C checked for the first time since then.  When I was diagnosed, I was at 12.7 and now I'm at 7.7 from medication and diet!  I lost 28 pounds as well.  I was so scared that it would be bad even though I have been good about my food intake.  So I guess I'm just here to share the good news.  Tell people who actually understand what this means.  I feel like a massive weight has been lifted off my chest and I can see the light at the end of the tunnel.  My doctor said I might even be able to go off my meds eventually!</t>
        </is>
      </c>
      <c r="D10133" t="n">
        <v>9</v>
      </c>
      <c r="E10133" t="n">
        <v>7</v>
      </c>
      <c r="F10133">
        <f>HYPERLINK("https://www.reddit.com/r/diabetes/comments/hurnks/my_a1c_is_down_by_5_points_after_my_first/")</f>
        <v/>
      </c>
      <c r="G10133" t="inlineStr">
        <is>
          <t>2020-07-20 12:17:11</t>
        </is>
      </c>
      <c r="H10133" t="inlineStr">
        <is>
          <t>Type 2</t>
        </is>
      </c>
    </row>
    <row r="10134">
      <c r="A10134" t="inlineStr">
        <is>
          <t>hus5uv</t>
        </is>
      </c>
      <c r="B10134" t="inlineStr">
        <is>
          <t>Lsd and Diabetes</t>
        </is>
      </c>
      <c r="C10134" t="inlineStr">
        <is>
          <t>I am planning on taking lsd in the near future but I'm kinda worried that I will freak out if I have to inject insulin at all, like my background insulin. I just feel as if stabbing myself with a needle while on lsd would make me start to freak.
Does anyone have any experience with injecting insulin on lsd? I'm perfectly fine with it when smoking weed but, you know. Acid.</t>
        </is>
      </c>
      <c r="D10134" t="n">
        <v>7</v>
      </c>
      <c r="E10134" t="n">
        <v>41</v>
      </c>
      <c r="F10134">
        <f>HYPERLINK("https://www.reddit.com/r/diabetes/comments/hus5uv/lsd_and_diabetes/")</f>
        <v/>
      </c>
      <c r="G10134" t="inlineStr">
        <is>
          <t>2020-07-20 12:42:33</t>
        </is>
      </c>
      <c r="H10134" t="inlineStr">
        <is>
          <t>Type 1</t>
        </is>
      </c>
    </row>
    <row r="10135">
      <c r="A10135" t="inlineStr">
        <is>
          <t>huspjg</t>
        </is>
      </c>
      <c r="B10135" t="inlineStr">
        <is>
          <t>How do you guys keep it under control?</t>
        </is>
      </c>
      <c r="C10135" t="inlineStr">
        <is>
          <t>I am just now getting out of the hospital. I had a hest stroke and come to find my A1C was over 11. I just treat my body like shit and I know I wont live too much longer if I dont change things up.</t>
        </is>
      </c>
      <c r="D10135" t="n">
        <v>3</v>
      </c>
      <c r="E10135" t="n">
        <v>16</v>
      </c>
      <c r="F10135">
        <f>HYPERLINK("https://www.reddit.com/r/diabetes/comments/huspjg/how_do_you_guys_keep_it_under_control/")</f>
        <v/>
      </c>
      <c r="G10135" t="inlineStr">
        <is>
          <t>2020-07-20 13:10:25</t>
        </is>
      </c>
      <c r="H10135" t="inlineStr">
        <is>
          <t>Type 2</t>
        </is>
      </c>
    </row>
    <row r="10136">
      <c r="A10136" t="inlineStr">
        <is>
          <t>hut2n0</t>
        </is>
      </c>
      <c r="B10136" t="inlineStr">
        <is>
          <t>[T1] Stopped smoking weed over a week ago and my blood sugars have been crazy since. Struggling to keep them down even with double my normal insulin doses at meal times. Has anyone else ever experienced this?</t>
        </is>
      </c>
      <c r="C10136" t="inlineStr">
        <is>
          <t>Have been to my GP who’s going to run some blood tests tomorrow to rule out other causes but the only recent change I’ve made (somewhat forced due to a ‘drought’ where I’m from) is cutting out my daily smokes. Other than having crazy, vivid dreams again, I’m not really feeling any withdrawal symptoms. I guess it’s been a while since I last gave up weed for a while but I don’t remember this happening with my BS before.</t>
        </is>
      </c>
      <c r="D10136" t="n">
        <v>1</v>
      </c>
      <c r="E10136" t="n">
        <v>13</v>
      </c>
      <c r="F10136">
        <f>HYPERLINK("https://www.reddit.com/r/diabetes/comments/hut2n0/t1_stopped_smoking_weed_over_a_week_ago_and_my/")</f>
        <v/>
      </c>
      <c r="G10136" t="inlineStr">
        <is>
          <t>2020-07-20 13:29:30</t>
        </is>
      </c>
      <c r="H10136" t="inlineStr">
        <is>
          <t>Type 1</t>
        </is>
      </c>
    </row>
    <row r="10137">
      <c r="A10137" t="inlineStr">
        <is>
          <t>huvdby</t>
        </is>
      </c>
      <c r="B10137" t="inlineStr">
        <is>
          <t>Can anybody message me as I need some advice regarding my diabetes? (Sorry if not allowed)</t>
        </is>
      </c>
      <c r="C10137" t="inlineStr">
        <is>
          <t>I’ve been diagnosed during COVID-19 times. I have only had a few talks over the phone with my nurse but now I have an appointment with her in person on Wednesday. I was wondering if I could talk to anyone first and get some advice.</t>
        </is>
      </c>
      <c r="D10137" t="n">
        <v>0</v>
      </c>
      <c r="E10137" t="n">
        <v>8</v>
      </c>
      <c r="F10137">
        <f>HYPERLINK("https://www.reddit.com/r/diabetes/comments/huvdby/can_anybody_message_me_as_i_need_some_advice/")</f>
        <v/>
      </c>
      <c r="G10137" t="inlineStr">
        <is>
          <t>2020-07-20 15:32:12</t>
        </is>
      </c>
      <c r="H10137" t="inlineStr">
        <is>
          <t>Type 2</t>
        </is>
      </c>
    </row>
    <row r="10138">
      <c r="A10138" t="inlineStr">
        <is>
          <t>huw64p</t>
        </is>
      </c>
      <c r="B10138" t="inlineStr">
        <is>
          <t>BG Number Goes Up Without Eating</t>
        </is>
      </c>
      <c r="C10138" t="inlineStr">
        <is>
          <t>Type 2 for 20 years.  I'm using Trulicity 1.5mg every week and one 10 mg glipizide every morning.   I've been using diet to keep my A1C below 6 for the past 3 months.  I'll have a fasting BG of 80 at 7am and don't eat anything but by 12pm my bg will hit 150 to 180 and then head down.  I've tried eating and it doesn't go much higher than that.  My daily average for the past 3 months has been 112.
Any hints on how to keep the number from spiking even though I don't eat?</t>
        </is>
      </c>
      <c r="D10138" t="n">
        <v>1</v>
      </c>
      <c r="E10138" t="n">
        <v>4</v>
      </c>
      <c r="F10138">
        <f>HYPERLINK("https://www.reddit.com/r/diabetes/comments/huw64p/bg_number_goes_up_without_eating/")</f>
        <v/>
      </c>
      <c r="G10138" t="inlineStr">
        <is>
          <t>2020-07-20 16:17:36</t>
        </is>
      </c>
      <c r="H10138" t="inlineStr">
        <is>
          <t>Type 2</t>
        </is>
      </c>
    </row>
    <row r="10139">
      <c r="A10139" t="inlineStr">
        <is>
          <t>huxkog</t>
        </is>
      </c>
      <c r="B10139" t="inlineStr">
        <is>
          <t>Where can I find an Accu-chek Nano</t>
        </is>
      </c>
      <c r="C10139" t="inlineStr">
        <is>
          <t>I am a 25 year old who, for the first time, am truly trying my best to take care of myself. I've been diagnosed for 13 years now, and have now started to listen to everything. Only thing is, I was given some test strips that work with the Accu-chek Nano and I can't find it anywhere near me. I dont have the means to buy the strips I need outside of my insurance, so I'd like to k ow if anyone knows where to get an Accu-chek Nano glucose meter, to match the strips I have already. I have checked my local Walmart, cvs,  walgreens, target, and none have it in stock. Can you guys suggest I look elsewhere? (amazing won't have it in stock till August, I'd like a faster solution) thanks for any replies.</t>
        </is>
      </c>
      <c r="D10139" t="n">
        <v>1</v>
      </c>
      <c r="E10139" t="n">
        <v>4</v>
      </c>
      <c r="F10139">
        <f>HYPERLINK("https://www.reddit.com/r/diabetes/comments/huxkog/where_can_i_find_an_accuchek_nano/")</f>
        <v/>
      </c>
      <c r="G10139" t="inlineStr">
        <is>
          <t>2020-07-20 17:44:31</t>
        </is>
      </c>
      <c r="H10139" t="inlineStr">
        <is>
          <t>Type 1</t>
        </is>
      </c>
    </row>
    <row r="10140">
      <c r="A10140" t="inlineStr">
        <is>
          <t>huxuca</t>
        </is>
      </c>
      <c r="B10140" t="inlineStr">
        <is>
          <t>Nothing worse than being told what to eat when low</t>
        </is>
      </c>
      <c r="C10140" t="inlineStr">
        <is>
          <t>So I used to work as a paramedic and I had type 1 since I was 6. I had a call that required a transfer of a patient to a bigger hospital. I was in the back of the ambulance and my partner was driving. 
In Newfoundland, there is critical, advanced, primary care and emr. EMR stands for emergency medical responder and they don’t have the training to even check blood sugars. I was a primary care medic and can test, give drugs and diagnose some illnesses. 
Because I had more training I was usually in the back and this transfer required assistant breathing for the patient and we kept them hooked up to an AED. It was a 2 h drive and the patient made it alive to hospital. 
When the transfer was over I started to feel low and I told my partner that I could feel it low. I checked and it was and it was common to visit Tim’s otw back. So I grabbed a donut and just as I was about to take a bite, the emr starts freaking out at me.
“YOU CANT EAT THAT!!!”
I then explained to her again that my sugar was low and I need to eat something. 
“NO YOU NEED TO EAT THESE GRANOLA BARS THAT MY FRIEND EATS! WHAT DO YOU THINK YOU’RE DOING???” 
The thing is, not only am I a type 1 diabetic but also was struggling with bulimia and was starting treatment. I was challenging myself to allow food. After being yelled at over a donut, I was enraged. I said to her that my sugars were low and if I need to eat I’ll eat and since I’m low do not fucking mess with me! Do not mess with diabetics when they are low! 
I don’t think I have ever yelled at another medic like that but I’m glad I stood up for myself. I also knew that if she tried to report me, the staff wouldn’t be behind her. I knew how to treat my lows and no one except my dietician or dr has the right to do so.</t>
        </is>
      </c>
      <c r="D10140" t="n">
        <v>65</v>
      </c>
      <c r="E10140" t="n">
        <v>47</v>
      </c>
      <c r="F10140">
        <f>HYPERLINK("https://www.reddit.com/r/diabetes/comments/huxuca/nothing_worse_than_being_told_what_to_eat_when_low/")</f>
        <v/>
      </c>
      <c r="G10140" t="inlineStr">
        <is>
          <t>2020-07-20 18:02:10</t>
        </is>
      </c>
      <c r="H10140" t="inlineStr">
        <is>
          <t>Type 1</t>
        </is>
      </c>
    </row>
    <row r="10141">
      <c r="A10141" t="inlineStr">
        <is>
          <t>huxvfv</t>
        </is>
      </c>
      <c r="B10141" t="inlineStr">
        <is>
          <t>What are some sugar free recipes that I can make for my diabetic father in law?</t>
        </is>
      </c>
      <c r="C10141" t="inlineStr">
        <is>
          <t>My father in law recently got diagnosed with type 2 diabetes and he loves sweets but obviously can't have them too often now. I was wondering if anyone had some nice dessert recipes suitable for diabetics since I am new to this. I think it would be nice to bake him something he doesn't have to worry about eating.</t>
        </is>
      </c>
      <c r="D10141" t="n">
        <v>1</v>
      </c>
      <c r="E10141" t="n">
        <v>8</v>
      </c>
      <c r="F10141">
        <f>HYPERLINK("https://www.reddit.com/r/diabetes/comments/huxvfv/what_are_some_sugar_free_recipes_that_i_can_make/")</f>
        <v/>
      </c>
      <c r="G10141" t="inlineStr">
        <is>
          <t>2020-07-20 18:04:05</t>
        </is>
      </c>
      <c r="H10141" t="inlineStr">
        <is>
          <t>Type 2</t>
        </is>
      </c>
    </row>
    <row r="10142">
      <c r="A10142" t="inlineStr">
        <is>
          <t>huyd32</t>
        </is>
      </c>
      <c r="B10142" t="inlineStr">
        <is>
          <t>Omnipod itching/rash</t>
        </is>
      </c>
      <c r="C10142" t="inlineStr">
        <is>
          <t>So i (14f) has had the omnipod for a few years, 2-3 maybe. I haven’t had any issue with this before, but the last few months i’ve had itching when removing my pods, and it is quite severe. I stopped using a swab with alcohol (no better translation, sorry :/) just before this, but even when i use it now and , then, it still itches. 
Because of this, i’ve now gotten red marks on my upper arms, kind of what you get when you itch a bug bite very hard. When putting pods on these areas, after removing them, yellow pus has been on them. I don’t feel any pain because of it, but my arms are turning pretty ugly. They are red and a bit swollen, with scabs (couldn’t find a better translation)/dry flaky skin. As i said, it doesn’t hurt, but i feel the need to itch it a lot. 
I’ve sporadically treated this with a thick lotion for sensitive skin, and the redness/scabs has gone down, but not the itching. 
I just wanted to know if this has happened to anyone else and if anyone knows why this is happening now as it hasn’t happened before.</t>
        </is>
      </c>
      <c r="D10142" t="n">
        <v>2</v>
      </c>
      <c r="E10142" t="n">
        <v>4</v>
      </c>
      <c r="F10142">
        <f>HYPERLINK("https://www.reddit.com/r/diabetes/comments/huyd32/omnipod_itchingrash/")</f>
        <v/>
      </c>
      <c r="G10142" t="inlineStr">
        <is>
          <t>2020-07-20 18:35:30</t>
        </is>
      </c>
      <c r="H10142" t="inlineStr">
        <is>
          <t>Type 1</t>
        </is>
      </c>
    </row>
    <row r="10143">
      <c r="A10143" t="inlineStr">
        <is>
          <t>huz84w</t>
        </is>
      </c>
      <c r="B10143" t="inlineStr">
        <is>
          <t>Has anyone here have to resort to buying sensors/transmitters or insulin from internet sites?</t>
        </is>
      </c>
      <c r="C10143" t="inlineStr">
        <is>
          <t>I asked my primary for the freestyle libre 14 day a couple weeks after I was diagnosed type 2 in January. I'm getting the libre 14 day sensors from CVS for $30 each. I liked the libre but I was seeing people who were giving the G6 good reviews. So I wanted to try dexcom G6 but I didn't have insurance I am self pay. I emailed dexcom and the district salesman called me, I told him that I was self pay and if they had any discounts. He said no and quoted me $2000 for a one month start up. I told him straight out that I was not going to even entertain that quote at all and he said ok and hung up. So in the beginning of May I found someone selling a G6 receiver, G6 transmitter and 3 months supply of sensors for $750. I bought it and tried it and it's nice and all but I'm thinking of going back to pricking the finger even though it hurts after while. So far I've found good deals for the G6 and test strips on OfferUp. It's saved me a lot of money buying supplies 2nd hand, not used but people selling their extra products.</t>
        </is>
      </c>
      <c r="D10143" t="n">
        <v>2</v>
      </c>
      <c r="E10143" t="n">
        <v>21</v>
      </c>
      <c r="F10143">
        <f>HYPERLINK("https://www.reddit.com/r/diabetes/comments/huz84w/has_anyone_here_have_to_resort_to_buying/")</f>
        <v/>
      </c>
      <c r="G10143" t="inlineStr">
        <is>
          <t>2020-07-20 19:33:07</t>
        </is>
      </c>
      <c r="H10143" t="inlineStr">
        <is>
          <t>Type 2</t>
        </is>
      </c>
    </row>
    <row r="10144">
      <c r="A10144" t="inlineStr">
        <is>
          <t>huziki</t>
        </is>
      </c>
      <c r="B10144" t="inlineStr">
        <is>
          <t>I was diagnosed on friday. I feel like I know nothing.</t>
        </is>
      </c>
      <c r="C10144" t="inlineStr">
        <is>
          <t>And I know that I know nothing. I feel like I don’t even want to research it because I don’t want to admit that it’s happening. How do you wrap your head around this? What do I do now? What are good resources? I hate researching on the Internet because I feel like there’s so much false information out there that I shouldn’t listen to. My sugars were over 400, my A-1 C was 13.2. Where do I go from here? I feel helpless.</t>
        </is>
      </c>
      <c r="D10144" t="n">
        <v>8</v>
      </c>
      <c r="E10144" t="n">
        <v>23</v>
      </c>
      <c r="F10144">
        <f>HYPERLINK("https://www.reddit.com/r/diabetes/comments/huziki/i_was_diagnosed_on_friday_i_feel_like_i_know/")</f>
        <v/>
      </c>
      <c r="G10144" t="inlineStr">
        <is>
          <t>2020-07-20 19:52:52</t>
        </is>
      </c>
      <c r="H10144" t="inlineStr">
        <is>
          <t>Type 2</t>
        </is>
      </c>
    </row>
    <row r="10145">
      <c r="A10145" t="inlineStr">
        <is>
          <t>huzkkg</t>
        </is>
      </c>
      <c r="B10145" t="inlineStr">
        <is>
          <t>Can a pancreas just... restart? After 16 years?</t>
        </is>
      </c>
      <c r="C10145" t="inlineStr">
        <is>
          <t>Context:
My friend (AFAB) weighs 94 pounds but really can’t gain any, and his usual sugar is 200 to go to sleep on so that when he wakes up it’s closer to 150, since it naturally drops when you sleep. His air conditioner broke in his trailer and it’s now around 91° Fahrenheit inside. He’s legitimately dripping sweat all day. He is also type 1, so irreversible. Pancreas doesn’t work at all. He was 11 when he developed diabetes ALL OF A SUDDEN.
It was legitimately overnight. He had doctors visits as a kid and they never saw it coming, and then one day started to pass out and was rushed to the ER. After the fact when they did a bunch of tests they said “something is missing from his blood”. They said he was missing the antibodies associated with type 1. Even his endocrinologist isn’t sure how he got it overnight though or why he’s missing those antibodies.
On to what we need help figuring out:
Three times now he’s caught his sugar going really low for him. Not coma low, but it could have been if not caught. Once was in the middle of the day when it should have been around 130, he was getting ready to eat anyway and checked it first to know how much insulin to take. It was 100. We were on video call at the time and wrote it off. That was when it was getting really hot in the house.
The next time he caught it was more scary. It was last night. He started to feel shaky, but he has anxiety so he wrote it off. He started to get tired early for him, and said he was going to go to sleep. He checked it before he laid down just like he always does to make sure it’s at a safe level to sleep, which for him is 200, and 130-100 when he wakes up. IT WAS 70. He got up and of course rushed to eat and call his mom and sister who’s a nurse just to let them know why was happening and I stayed up until 2am with him until he finally hit 166 and went to sleep. 
Just now:
He took insulin for pizza an hour and a half ago about, almost 2 hours now. When he checked it his blood glucose was only 99!! So he took a unit LESS of insulin that he normally would, 6 instead of 7 units. He checked it 40 minutes after eating instead of the full hour he normally waits. It was only 163. Then checked it 20 minutes later when his timer went off. 120. How is that possible? How is his sugar dropping so quickly when he takes insulin and dropping almost dangerously low when he sleeps? This only started after his air conditioning broke and he’s been sweating so profusely. We started questioning is sweating can make you burn carbs, therefore your insulin is still in you but the carbs aren’t and it’s dropping the blood sugar. Or maybe... if he isn’t type 1 at all and somehow his pancreas is working again. Can that even happen? He’s been diabetic type 1 for 10 years, but overnight developed it, and now seemingly overnight his pancreas is working again. 
Edit and TL:DR: 
As of right now (11pm EST) it’s 165 after a cup of milk, lemon bars, and a nutrigrain bar. He was at 99, very low for him. Took 6 units instead of the normal 7 for his normal amount of pizza. And was 163, then 20 minutes later dropped to 120. Over the last few days it’s as if every time he takes insulin his and eats the insulin isn’t needed, and makes him drop very low. He’s been sweating very heavily due to a 91° house from a broken AC unit. Could sweating cause sugar to act as if the pancreas is working? Or can a Type 1 diabetics pancreas restart after years and years? Or could something else mimick diabetes for 10 years and not be that?
I’ve read the rules and I’m not looking for actual medical advice. But he’s not sure what to do so I’m asking on his behalf (he doesn’t have a reddit) if this has happened to anyone else, heat and sweating causing extreme carb and sugar loss, so much so you didn’t need insulin, or if this is a thing we’ve never heard of like the pancreas just- working again, because it’s scaring him how low it goes when he takes his insulin.</t>
        </is>
      </c>
      <c r="D10145" t="n">
        <v>0</v>
      </c>
      <c r="E10145" t="n">
        <v>27</v>
      </c>
      <c r="F10145">
        <f>HYPERLINK("https://www.reddit.com/r/diabetes/comments/huzkkg/can_a_pancreas_just_restart_after_16_years/")</f>
        <v/>
      </c>
      <c r="G10145" t="inlineStr">
        <is>
          <t>2020-07-20 19:56:44</t>
        </is>
      </c>
      <c r="H10145" t="inlineStr">
        <is>
          <t>Type 1</t>
        </is>
      </c>
    </row>
    <row r="10146">
      <c r="A10146" t="inlineStr">
        <is>
          <t>hv2090</t>
        </is>
      </c>
      <c r="B10146" t="inlineStr">
        <is>
          <t>iv prep vs skin-tac?</t>
        </is>
      </c>
      <c r="C10146" t="inlineStr">
        <is>
          <t>they're both made by the same company, smith and nephew. 
iv prep says it's just alcohol, but it's a sticky alcohol that, to me, seems like it's just skin tac but in a blue packet. 
is there a difference between the two? and if not, does anyone recommend one over the other?</t>
        </is>
      </c>
      <c r="D10146" t="n">
        <v>2</v>
      </c>
      <c r="E10146" t="n">
        <v>4</v>
      </c>
      <c r="F10146">
        <f>HYPERLINK("https://www.reddit.com/r/diabetes/comments/hv2090/iv_prep_vs_skintac/")</f>
        <v/>
      </c>
      <c r="G10146" t="inlineStr">
        <is>
          <t>2020-07-20 22:57:16</t>
        </is>
      </c>
      <c r="H10146" t="inlineStr">
        <is>
          <t>Type 2</t>
        </is>
      </c>
    </row>
    <row r="10147">
      <c r="A10147" t="inlineStr">
        <is>
          <t>hv4peb</t>
        </is>
      </c>
      <c r="B10147" t="inlineStr">
        <is>
          <t>Help with my new diagnosis</t>
        </is>
      </c>
      <c r="C10147" t="inlineStr">
        <is>
          <t xml:space="preserve"> Hello,
I am a 24 year old female. I was diagnosed as diabetic (type 2) last week following a HBA1C result of 51.  
I wasn't aware that the doctor was testing my blood sugar levels (I thought they were testing hormones). I also wasn't aware that they tested my blood sugar back in March 2020 and had a result of 49. This diagnosis has come as a complete shock. I knew I has a reasonably high blood sugar level (high 30s low 40s) but I thought it was under control. I have recently had a lot of stress in my life (past couple of months) as well as being at home more so potentially worse diet, I feel these surprise test have been extremely unfair.
Anyway.. I exercise regularly (gym and swimming) and I eat a healthy diet. I don't drink and I don't smoke. To me this diagnosis just doesn't make sense.
I have been to the doctors regularly complaining of not being able to lose weight (infact despite exercise and diet I seem to put on more!) as well as extreme tiredness and headaches. I have had absolutely no support with any of this. I am just so concerned I have something else underlying going on here.
All my doctor has done has prescribed me metformin - I have begged for a referal to an endocrinologist after a GP friend said I should be tested for MODY diabetes.  
Basically I am very lost and feel like this diagnosis has been thrown at me out the blue! Not quite sure if I am doing the right thing, am I just trying to convince myself I don't have type 2?? 
&amp;amp;#x200B;
Also to add, since I received my diagnosis I have been tracking my blood sugar (I forgot over the weekend though!)
15/07 @ 12pm (fasting) 3.7  
16/07 @ 8.30am (non fasting) 6.9  
20/07 @ 12pm (non fasting) 7  
21/07 @ 8 am (fasting) 5.8</t>
        </is>
      </c>
      <c r="D10147" t="n">
        <v>5</v>
      </c>
      <c r="E10147" t="n">
        <v>22</v>
      </c>
      <c r="F10147">
        <f>HYPERLINK("https://www.reddit.com/r/diabetes/comments/hv4peb/help_with_my_new_diagnosis/")</f>
        <v/>
      </c>
      <c r="G10147" t="inlineStr">
        <is>
          <t>2020-07-21 02:59:38</t>
        </is>
      </c>
      <c r="H10147" t="inlineStr">
        <is>
          <t>Type 2</t>
        </is>
      </c>
    </row>
    <row r="10148">
      <c r="A10148" t="inlineStr">
        <is>
          <t>hv55hk</t>
        </is>
      </c>
      <c r="B10148" t="inlineStr">
        <is>
          <t>I have a concern about ED, and I feel diabetes is the main reason. I'm really worried and want to find out if theres a way around this. I'm on 32 male. Type 1 and some features type 2</t>
        </is>
      </c>
      <c r="C10148" t="inlineStr">
        <is>
          <t>Help</t>
        </is>
      </c>
      <c r="D10148" t="n">
        <v>1</v>
      </c>
      <c r="E10148" t="n">
        <v>42</v>
      </c>
      <c r="F10148">
        <f>HYPERLINK("https://www.reddit.com/r/diabetes/comments/hv55hk/i_have_a_concern_about_ed_and_i_feel_diabetes_is/")</f>
        <v/>
      </c>
      <c r="G10148" t="inlineStr">
        <is>
          <t>2020-07-21 03:39:56</t>
        </is>
      </c>
      <c r="H10148" t="inlineStr">
        <is>
          <t>Type 1</t>
        </is>
      </c>
    </row>
    <row r="10149">
      <c r="A10149" t="inlineStr">
        <is>
          <t>hv76gu</t>
        </is>
      </c>
      <c r="B10149" t="inlineStr">
        <is>
          <t>New Dexcom G6 transmitter model - Doesn't work with xDrip+?</t>
        </is>
      </c>
      <c r="C10149" t="inlineStr">
        <is>
          <t>Reaching out a bit desperate for help. The latest transmitter I received is the one pictured [on the bottom here](https://www.reddit.com/r/diabetes/comments/cvj5c0/new_look_same_great_taste_top_is_old_bottom_i/).
I use xDrip+ because my phone (Pixel 3A) isn't supported by the official app. (xDrip+ is better anyway, but I always feel like I'm on borrowed time waiting on an issue such as this one to break everything.)
Went to change a sensor and pair this new transmitter this morning and got a bluetooth error: "Couldn't pair because of an incorrect PIN or passkey". The transmitter can't seem to connect and xDrip+ isn't getting data.
I thought this could be a phone issue, but now I notice in the link above, they say this transmitter doesn't work with xDrip+. Is this still the case? Is there some sort of built-in PIN with this model? 
I've switched back to an old transmitter for now, but what are my options long term? Has anyone else encountered this? As a last resort, can you sideload the Dexcom app?
Thank you!
Edit: Reading more about this since posting. I haven't yet found others experiencing this issue with the "Firefly" transmitters, mostly questions about how to reset them. FYI I have an 8Kxxxx transmitter, so possibly different than the 8Gs shipping last year.</t>
        </is>
      </c>
      <c r="D10149" t="n">
        <v>1</v>
      </c>
      <c r="E10149" t="n">
        <v>10</v>
      </c>
      <c r="F10149">
        <f>HYPERLINK("https://www.reddit.com/r/diabetes/comments/hv76gu/new_dexcom_g6_transmitter_model_doesnt_work_with/")</f>
        <v/>
      </c>
      <c r="G10149" t="inlineStr">
        <is>
          <t>2020-07-21 06:18:18</t>
        </is>
      </c>
      <c r="H10149" t="inlineStr">
        <is>
          <t>Type 1</t>
        </is>
      </c>
    </row>
    <row r="10150">
      <c r="A10150" t="inlineStr">
        <is>
          <t>hv7r6i</t>
        </is>
      </c>
      <c r="B10150" t="inlineStr">
        <is>
          <t>Diagnosed 2 months ago. is this normal?</t>
        </is>
      </c>
      <c r="C10150" t="inlineStr">
        <is>
          <t>Hi so,  Diabetes was on the horizon for me for a few years.. then winter 2020 hit, and I had a nasty back injury that sidelined me for about two months and slowed me down, and then once I felt like that was behind me, COVID hit.. and then a few months into that, my last checkup had my Blood Sugar sky high, so my diagnosis was official. 
Now, since that happened, and since I started Metformin and Slow acting insulin, I've noticed a lot of very significant changes. 
1. hot spot eczema on my hands has vanished. 
2. Acne has gone down dramatically
3. a lower calorie diet with MyFitnessPal and a virtual banishment of all white starches and any sweets, has resulted in me losing about 30 lbs since early May
4. Most significantly, my Asthma has improved to the point where I have gone weeks without even control medication. 
5. Also I used to get winded walking up this long hill to work every day, now I can do the hill no problem. 
I'm just wondering what the connection between blood sugar and some of these things are. especially Asthma. I cant really find any direct correlation.</t>
        </is>
      </c>
      <c r="D10150" t="n">
        <v>5</v>
      </c>
      <c r="E10150" t="n">
        <v>13</v>
      </c>
      <c r="F10150">
        <f>HYPERLINK("https://www.reddit.com/r/diabetes/comments/hv7r6i/diagnosed_2_months_ago_is_this_normal/")</f>
        <v/>
      </c>
      <c r="G10150" t="inlineStr">
        <is>
          <t>2020-07-21 06:56:14</t>
        </is>
      </c>
      <c r="H10150" t="inlineStr">
        <is>
          <t>Type 2</t>
        </is>
      </c>
    </row>
    <row r="10151">
      <c r="A10151" t="inlineStr">
        <is>
          <t>hv7u6o</t>
        </is>
      </c>
      <c r="B10151" t="inlineStr">
        <is>
          <t>Well I'll be damned. Cinnamon may actually help.</t>
        </is>
      </c>
      <c r="C10151" t="inlineStr">
        <is>
          <t>A [Recent Study](https://www.cnn.com/2020/07/21/health/cinnamon-prediabetes-wellness/index.html) reports that cinnamon may actually be useful.  Double blind placebo controlled study.  hmmm...</t>
        </is>
      </c>
      <c r="D10151" t="n">
        <v>0</v>
      </c>
      <c r="E10151" t="n">
        <v>8</v>
      </c>
      <c r="F10151">
        <f>HYPERLINK("https://www.reddit.com/r/diabetes/comments/hv7u6o/well_ill_be_damned_cinnamon_may_actually_help/")</f>
        <v/>
      </c>
      <c r="G10151" t="inlineStr">
        <is>
          <t>2020-07-21 07:01:22</t>
        </is>
      </c>
      <c r="H10151" t="inlineStr">
        <is>
          <t>Type 2</t>
        </is>
      </c>
    </row>
    <row r="10152">
      <c r="A10152" t="inlineStr">
        <is>
          <t>hvd2pu</t>
        </is>
      </c>
      <c r="B10152" t="inlineStr">
        <is>
          <t>Frio insulin cooling case</t>
        </is>
      </c>
      <c r="C10152" t="inlineStr">
        <is>
          <t>T1d. I go camping alot with my husband. I just found out about the frio cooling case. Is this any good. Or do you have any recommendations on how to keep your insulin pens cool. When you don't bring a cooler on camping, hiking trips?</t>
        </is>
      </c>
      <c r="D10152" t="n">
        <v>5</v>
      </c>
      <c r="E10152" t="n">
        <v>6</v>
      </c>
      <c r="F10152">
        <f>HYPERLINK("https://www.reddit.com/r/diabetes/comments/hvd2pu/frio_insulin_cooling_case/")</f>
        <v/>
      </c>
      <c r="G10152" t="inlineStr">
        <is>
          <t>2020-07-21 11:39:54</t>
        </is>
      </c>
      <c r="H10152" t="inlineStr">
        <is>
          <t>Type 1</t>
        </is>
      </c>
    </row>
    <row r="10153">
      <c r="A10153" t="inlineStr">
        <is>
          <t>hvdwdj</t>
        </is>
      </c>
      <c r="B10153" t="inlineStr">
        <is>
          <t>Question to all t1 who use pens</t>
        </is>
      </c>
      <c r="C10153" t="inlineStr">
        <is>
          <t>Have u ever accidentally injected ur insulin into the gap between ur skin and fat/muscle. 
I did last night by accident after waking up to my sugar being 24.7. I just wanted to know if I am the only one who has done this and if u haven’t I don’t recommend</t>
        </is>
      </c>
      <c r="D10153" t="n">
        <v>1</v>
      </c>
      <c r="E10153" t="n">
        <v>14</v>
      </c>
      <c r="F10153">
        <f>HYPERLINK("https://www.reddit.com/r/diabetes/comments/hvdwdj/question_to_all_t1_who_use_pens/")</f>
        <v/>
      </c>
      <c r="G10153" t="inlineStr">
        <is>
          <t>2020-07-21 12:22:57</t>
        </is>
      </c>
      <c r="H10153" t="inlineStr">
        <is>
          <t>Type 1</t>
        </is>
      </c>
    </row>
    <row r="10154">
      <c r="A10154" t="inlineStr">
        <is>
          <t>hvfaqu</t>
        </is>
      </c>
      <c r="B10154" t="inlineStr">
        <is>
          <t>my sugar went from 120 to 240.... after exercising on a bike ride.</t>
        </is>
      </c>
      <c r="C10154" t="inlineStr">
        <is>
          <t>my sugar was stable. i didn't eat before i went out for the ride. i drake tons of water. 
i rode 7 miles on a bmx bike and my sugar spiked higher and higher, even after using 10 units of insulin when i noticed it was going up. it just peaked to 240 and i added another 6 units of insulin with my pumps bolus. 
why is my sugar spiking so bad? normally i would expect my sugar to drop from such a hard bike ride. i wasn't expecting to go up. i've had about 7 bottles of water in the last 3 hours and its been about 1 hour sense i stopped riding and sat to relax and all of a sudden its peaking without food or anything. i just dont get it, its never done this to me on my bmx bike as my bmx makes me work harder then my road bike and or my mountain bike which are both down .
what can i do to handle something like this?</t>
        </is>
      </c>
      <c r="D10154" t="n">
        <v>6</v>
      </c>
      <c r="E10154" t="n">
        <v>29</v>
      </c>
      <c r="F10154">
        <f>HYPERLINK("https://www.reddit.com/r/diabetes/comments/hvfaqu/my_sugar_went_from_120_to_240_after_exercising_on/")</f>
        <v/>
      </c>
      <c r="G10154" t="inlineStr">
        <is>
          <t>2020-07-21 13:35:47</t>
        </is>
      </c>
      <c r="H10154" t="inlineStr">
        <is>
          <t>Type 1.5/LADA</t>
        </is>
      </c>
    </row>
    <row r="10155">
      <c r="A10155" t="inlineStr">
        <is>
          <t>hvfq4v</t>
        </is>
      </c>
      <c r="B10155" t="inlineStr">
        <is>
          <t>Only Me?</t>
        </is>
      </c>
      <c r="C10155" t="inlineStr">
        <is>
          <t xml:space="preserve"> Before my diagnoses my mouth would be extremely dry in the morning. I mean EXTREMELY dry. But then a few hours later i wasnt thirsty at all, and didnt use the bathroom nearly as much. Then around 5pm it would go back to me being thirsty all the time and going to the bathroom nearly every 30 minutes. Did this happen to anyone else? Or just me?</t>
        </is>
      </c>
      <c r="D10155" t="n">
        <v>1</v>
      </c>
      <c r="E10155" t="n">
        <v>6</v>
      </c>
      <c r="F10155">
        <f>HYPERLINK("https://www.reddit.com/r/diabetes/comments/hvfq4v/only_me/")</f>
        <v/>
      </c>
      <c r="G10155" t="inlineStr">
        <is>
          <t>2020-07-21 13:57:56</t>
        </is>
      </c>
      <c r="H10155" t="inlineStr">
        <is>
          <t>Type 1</t>
        </is>
      </c>
    </row>
    <row r="10156">
      <c r="A10156" t="inlineStr">
        <is>
          <t>hvhmep</t>
        </is>
      </c>
      <c r="B10156" t="inlineStr">
        <is>
          <t>T2 Carb Counters: what's your net carb limit?</t>
        </is>
      </c>
      <c r="C10156" t="inlineStr">
        <is>
          <t>Curious what those with Type II have set their limits to. Please clarify if it's total or net carbs, and whether it's for the whole day or a meal. How did you come to your number?</t>
        </is>
      </c>
      <c r="D10156" t="n">
        <v>2</v>
      </c>
      <c r="E10156" t="n">
        <v>36</v>
      </c>
      <c r="F10156">
        <f>HYPERLINK("https://www.reddit.com/r/diabetes/comments/hvhmep/t2_carb_counters_whats_your_net_carb_limit/")</f>
        <v/>
      </c>
      <c r="G10156" t="inlineStr">
        <is>
          <t>2020-07-21 15:39:40</t>
        </is>
      </c>
      <c r="H10156" t="inlineStr">
        <is>
          <t>Type 2</t>
        </is>
      </c>
    </row>
    <row r="10157">
      <c r="A10157" t="inlineStr">
        <is>
          <t>hvm0rk</t>
        </is>
      </c>
      <c r="B10157" t="inlineStr">
        <is>
          <t>Undiagnosed diabetic for years</t>
        </is>
      </c>
      <c r="C10157" t="inlineStr">
        <is>
          <t>28 years young. 
After graduating college and yoyoing weight I felt off just brushed it aside and kept going 
Constantly thirsty drinking at least 10 16 oz water bottles a day plus soda juice beers anything and everything else.  Always feeling thirsty and off I would also chug all my drinks like I havnt had a drink of water in days. . 
I would wake up and if I didn't eat after a while would beging to gag and throw up. Always tired and feeling crappy 
This went on for 6 years. 
2 years ago someone said I might be diabetic to get checked and never did 
2 weeks ago my sugar came in at a 14.5. 
I believe they said type 2 don't remember though 
I guess that is really high and the doctor and nurses were shocked at the number with no common diabetic  type of injuries. 
I was put on some pills twice a day that start with an M. 
I feel amazing. Completely different and just better. No more chugging drinks and drinking normal 8-12 cups of water a day and nothing else. 
Have a checkup in a month then at the 3 month point to see if my numbers dropped or if I'll have to take insulin 
Nothing really important in the post but extremely happy to be diagnosed. Thought the way I was feeling was just my body shutting down or a weak mindset</t>
        </is>
      </c>
      <c r="D10157" t="n">
        <v>8</v>
      </c>
      <c r="E10157" t="n">
        <v>13</v>
      </c>
      <c r="F10157">
        <f>HYPERLINK("https://www.reddit.com/r/diabetes/comments/hvm0rk/undiagnosed_diabetic_for_years/")</f>
        <v/>
      </c>
      <c r="G10157" t="inlineStr">
        <is>
          <t>2020-07-21 20:11:24</t>
        </is>
      </c>
      <c r="H10157" t="inlineStr">
        <is>
          <t>Type 2</t>
        </is>
      </c>
    </row>
    <row r="10158">
      <c r="A10158" t="inlineStr">
        <is>
          <t>hvncv4</t>
        </is>
      </c>
      <c r="B10158" t="inlineStr">
        <is>
          <t>Recent low blood sugar episodes</t>
        </is>
      </c>
      <c r="C10158" t="inlineStr">
        <is>
          <t xml:space="preserve"> First post here,  
I (22M) am a type 1 diabetic for 12 years now and I also have thyroid problems. For the last 8 months or so, I have been stable with doses and even when the quarantine hit, my blood sugar was reliable. Although, about 4 weeks ago, I've been experiencing episodes where my blood sugar drops rapidly. I usually correct this with glucose, but my blood sugar will remain unstable for a while. These episodes typically happen around the time of taking a shot of insulin (I don't have a pump, but I use basaglar and novolog). 
My advisor has told me that these episodes are due to my lifestyle, which hasn't changed much in years and I haven't had many problems with low blood sugar in the past. I have asked my advisor for help recently but their advice is to keep the sugar low for better A1C and get a pump to better regulate. I'm worried something more problematic is happening and a pump wont help imo, but I want to see if anybody else has had this happen to them before, and if so, what did you end up doing about it?
Thanks!</t>
        </is>
      </c>
      <c r="D10158" t="n">
        <v>6</v>
      </c>
      <c r="E10158" t="n">
        <v>8</v>
      </c>
      <c r="F10158">
        <f>HYPERLINK("https://www.reddit.com/r/diabetes/comments/hvncv4/recent_low_blood_sugar_episodes/")</f>
        <v/>
      </c>
      <c r="G10158" t="inlineStr">
        <is>
          <t>2020-07-21 21:43:56</t>
        </is>
      </c>
      <c r="H10158" t="inlineStr">
        <is>
          <t>Type 1</t>
        </is>
      </c>
    </row>
    <row r="10159">
      <c r="A10159" t="inlineStr">
        <is>
          <t>hvnwxn</t>
        </is>
      </c>
      <c r="B10159" t="inlineStr">
        <is>
          <t>My foot hurts a lot</t>
        </is>
      </c>
      <c r="C10159" t="inlineStr">
        <is>
          <t>Hi there. Long time diabetic. I’ve just gotten over a toe ulcer that lasted for months. Only to get a blood blister that is now open and looks infected. I am contemplating going to a wound care place but not sure if it warrants a trip to the Er since it’s my feet.</t>
        </is>
      </c>
      <c r="D10159" t="n">
        <v>0</v>
      </c>
      <c r="E10159" t="n">
        <v>31</v>
      </c>
      <c r="F10159">
        <f>HYPERLINK("https://www.reddit.com/r/diabetes/comments/hvnwxn/my_foot_hurts_a_lot/")</f>
        <v/>
      </c>
      <c r="G10159" t="inlineStr">
        <is>
          <t>2020-07-21 22:26:49</t>
        </is>
      </c>
      <c r="H10159" t="inlineStr">
        <is>
          <t>Type 2</t>
        </is>
      </c>
    </row>
    <row r="10160">
      <c r="A10160" t="inlineStr">
        <is>
          <t>hvofm2</t>
        </is>
      </c>
      <c r="B10160" t="inlineStr">
        <is>
          <t>Is it normal for back to back readings on the forefinger and the pinkie to differ drastically?</t>
        </is>
      </c>
      <c r="C10160" t="inlineStr">
        <is>
          <t>I measured my blood taken from my pinkie and it measured 7.2, I measure it from the forefinger right after and it reads 6.4.
What gives?</t>
        </is>
      </c>
      <c r="D10160" t="n">
        <v>1</v>
      </c>
      <c r="E10160" t="n">
        <v>14</v>
      </c>
      <c r="F10160">
        <f>HYPERLINK("https://www.reddit.com/r/diabetes/comments/hvofm2/is_it_normal_for_back_to_back_readings_on_the/")</f>
        <v/>
      </c>
      <c r="G10160" t="inlineStr">
        <is>
          <t>2020-07-21 23:09:50</t>
        </is>
      </c>
      <c r="H10160" t="inlineStr">
        <is>
          <t>Type 2</t>
        </is>
      </c>
    </row>
    <row r="10161">
      <c r="A10161" t="inlineStr">
        <is>
          <t>hvog2e</t>
        </is>
      </c>
      <c r="B10161" t="inlineStr">
        <is>
          <t>Vision loss</t>
        </is>
      </c>
      <c r="C10161" t="inlineStr">
        <is>
          <t>Hi all, I was diagnosed with diabetes in 2018. Lately I’ve been so worried hearing about people losing their vision with diabetes. How bad does your diabetes have to be to lose your vision or how long does it take? This is something I worry about a lot and hope it doesn’t happen to me.</t>
        </is>
      </c>
      <c r="D10161" t="n">
        <v>1</v>
      </c>
      <c r="E10161" t="n">
        <v>12</v>
      </c>
      <c r="F10161">
        <f>HYPERLINK("https://www.reddit.com/r/diabetes/comments/hvog2e/vision_loss/")</f>
        <v/>
      </c>
      <c r="G10161" t="inlineStr">
        <is>
          <t>2020-07-21 23:10:54</t>
        </is>
      </c>
      <c r="H10161" t="inlineStr">
        <is>
          <t>Type 1.5/LADA</t>
        </is>
      </c>
    </row>
    <row r="10162">
      <c r="A10162" t="inlineStr">
        <is>
          <t>hvp49a</t>
        </is>
      </c>
      <c r="B10162" t="inlineStr">
        <is>
          <t>I'm new</t>
        </is>
      </c>
      <c r="C10162" t="inlineStr">
        <is>
          <t>Hello my name is Alexander and about Five days ago I was diagnosed with type 1 diabetes. It's been a adventure for the past 5 days. and I would like to know how you guys found out you had diabetes because I guess "having a blood sugar level of 550 is not healthy and I need to go to the ER".and "it's not healthy to drink a lot of water and pee constantly and when your vision starts getting blurry" yeah I'm just joking now I count my carbs and I'm doing better I'm in like the 140 and I still drink a lot of water but that's more to get my blood sugar level down.</t>
        </is>
      </c>
      <c r="D10162" t="n">
        <v>4</v>
      </c>
      <c r="E10162" t="n">
        <v>34</v>
      </c>
      <c r="F10162">
        <f>HYPERLINK("https://www.reddit.com/r/diabetes/comments/hvp49a/im_new/")</f>
        <v/>
      </c>
      <c r="G10162" t="inlineStr">
        <is>
          <t>2020-07-22 00:08:46</t>
        </is>
      </c>
      <c r="H10162" t="inlineStr">
        <is>
          <t>Type 1</t>
        </is>
      </c>
    </row>
    <row r="10163">
      <c r="A10163" t="inlineStr">
        <is>
          <t>hvqlbs</t>
        </is>
      </c>
      <c r="B10163" t="inlineStr">
        <is>
          <t>Diabetic Neuropathy</t>
        </is>
      </c>
      <c r="C10163" t="inlineStr">
        <is>
          <t>20 F 
Metformin is the only medicine I’m on 
Tingling and burning on the top of my left foot. No symptoms in right foot at all. Feeling like sunburnt skin. Pain starts in big toe and second toe and travels up to calf. Symptoms are constant 24/7 burning. I have been icing but as soon as I take ice off it immediately burns.
diabetic neuropathy? Someone on here told me DN happens bilaterally not one foot at a time But I’m not sure of it now that the pain is growing worse.
As of now pain is not on the bottom of my left foot just the top skin part of my foot in addition to my two toes. :(</t>
        </is>
      </c>
      <c r="D10163" t="n">
        <v>7</v>
      </c>
      <c r="E10163" t="n">
        <v>38</v>
      </c>
      <c r="F10163">
        <f>HYPERLINK("https://www.reddit.com/r/diabetes/comments/hvqlbs/diabetic_neuropathy/")</f>
        <v/>
      </c>
      <c r="G10163" t="inlineStr">
        <is>
          <t>2020-07-22 02:17:12</t>
        </is>
      </c>
      <c r="H10163" t="inlineStr">
        <is>
          <t>Type 2</t>
        </is>
      </c>
    </row>
    <row r="10164">
      <c r="A10164" t="inlineStr">
        <is>
          <t>hvuasq</t>
        </is>
      </c>
      <c r="B10164" t="inlineStr">
        <is>
          <t>Why is my BS so high first thing in the morning?</t>
        </is>
      </c>
      <c r="C10164" t="inlineStr">
        <is>
          <t>Type 2 and just started Levemir which I take before bed. When I wake up I'm usually fasted about 10 hours, but my BS is always super high. 280-290 range. Is this normal?</t>
        </is>
      </c>
      <c r="D10164" t="n">
        <v>2</v>
      </c>
      <c r="E10164" t="n">
        <v>10</v>
      </c>
      <c r="F10164">
        <f>HYPERLINK("https://www.reddit.com/r/diabetes/comments/hvuasq/why_is_my_bs_so_high_first_thing_in_the_morning/")</f>
        <v/>
      </c>
      <c r="G10164" t="inlineStr">
        <is>
          <t>2020-07-22 07:01:49</t>
        </is>
      </c>
      <c r="H10164" t="inlineStr">
        <is>
          <t>Type 2</t>
        </is>
      </c>
    </row>
    <row r="10165">
      <c r="A10165" t="inlineStr">
        <is>
          <t>hvuw0b</t>
        </is>
      </c>
      <c r="B10165" t="inlineStr">
        <is>
          <t>basal</t>
        </is>
      </c>
      <c r="C10165" t="inlineStr">
        <is>
          <t>I went to the hospital yesterday and my endo ended up changing my basal ratings and I’m not sure if that’s the reason my blood sugar is going on a rollercoaster. I’ve been on automode for 55% of the day and I’ve had a hypo for 10% (2:25 hr) of the day so far and 18% (4:30 hr) on hyperglycemia. My blood sugar randomly goes down and when I treat it with the typical tbs of honey it goes to a stable blood sugar. Later on it suddenly shoots up to around 15mmol and stays there for at least an hour despite all the insulin dosages. I don’t know what to do, my body feels exhausted from the back and forth change in blood sugar.</t>
        </is>
      </c>
      <c r="D10165" t="n">
        <v>5</v>
      </c>
      <c r="E10165" t="n">
        <v>2</v>
      </c>
      <c r="F10165">
        <f>HYPERLINK("https://www.reddit.com/r/diabetes/comments/hvuw0b/basal/")</f>
        <v/>
      </c>
      <c r="G10165" t="inlineStr">
        <is>
          <t>2020-07-22 07:36:44</t>
        </is>
      </c>
      <c r="H10165" t="inlineStr">
        <is>
          <t>Type 1</t>
        </is>
      </c>
    </row>
    <row r="10166">
      <c r="A10166" t="inlineStr">
        <is>
          <t>hvxe4p</t>
        </is>
      </c>
      <c r="B10166" t="inlineStr">
        <is>
          <t>Fuck diabetes!</t>
        </is>
      </c>
      <c r="C10166" t="inlineStr">
        <is>
          <t>Just want everybody to say this with me! Thank you!</t>
        </is>
      </c>
      <c r="D10166" t="n">
        <v>346</v>
      </c>
      <c r="E10166" t="n">
        <v>280</v>
      </c>
      <c r="F10166">
        <f>HYPERLINK("https://www.reddit.com/r/diabetes/comments/hvxe4p/fuck_diabetes/")</f>
        <v/>
      </c>
      <c r="G10166" t="inlineStr">
        <is>
          <t>2020-07-22 09:55:13</t>
        </is>
      </c>
      <c r="H10166" t="inlineStr">
        <is>
          <t>Type 2</t>
        </is>
      </c>
    </row>
    <row r="10167">
      <c r="A10167" t="inlineStr">
        <is>
          <t>hvxoox</t>
        </is>
      </c>
      <c r="B10167" t="inlineStr">
        <is>
          <t>got diagnosed yesterday night at the emergency with 400 glucose</t>
        </is>
      </c>
      <c r="C10167" t="inlineStr">
        <is>
          <t>hello everyone, I'll be seeing speacialist tomorrow or later but I don't know what to eat now for dinner and feeling confused, got blurry vision and tired to look for recipes. can somebody please just tell me what to eat for dinner? I can't cook and I have to order takeout. it'll be so much appreciated.</t>
        </is>
      </c>
      <c r="D10167" t="n">
        <v>6</v>
      </c>
      <c r="E10167" t="n">
        <v>23</v>
      </c>
      <c r="F10167">
        <f>HYPERLINK("https://www.reddit.com/r/diabetes/comments/hvxoox/got_diagnosed_yesterday_night_at_the_emergency/")</f>
        <v/>
      </c>
      <c r="G10167" t="inlineStr">
        <is>
          <t>2020-07-22 10:10:21</t>
        </is>
      </c>
      <c r="H10167" t="inlineStr">
        <is>
          <t>Type 2</t>
        </is>
      </c>
    </row>
    <row r="10168">
      <c r="A10168" t="inlineStr">
        <is>
          <t>hvxsja</t>
        </is>
      </c>
      <c r="B10168" t="inlineStr">
        <is>
          <t>keto for type 1?</t>
        </is>
      </c>
      <c r="C10168" t="inlineStr">
        <is>
          <t>Is the keto diet safe for type 1 diabetics? I’m still confused about the difference between ketosis and ketoacidosis because i’m afraid ill go into DKA.</t>
        </is>
      </c>
      <c r="D10168" t="n">
        <v>4</v>
      </c>
      <c r="E10168" t="n">
        <v>18</v>
      </c>
      <c r="F10168">
        <f>HYPERLINK("https://www.reddit.com/r/diabetes/comments/hvxsja/keto_for_type_1/")</f>
        <v/>
      </c>
      <c r="G10168" t="inlineStr">
        <is>
          <t>2020-07-22 10:16:05</t>
        </is>
      </c>
      <c r="H10168" t="inlineStr">
        <is>
          <t>Type 1</t>
        </is>
      </c>
    </row>
    <row r="10169">
      <c r="A10169" t="inlineStr">
        <is>
          <t>hvyeyu</t>
        </is>
      </c>
      <c r="B10169" t="inlineStr">
        <is>
          <t>Why do type 2 diadiabetes go loqlow in blood sugar ?</t>
        </is>
      </c>
      <c r="C10169" t="inlineStr">
        <is>
          <t>I am trying to understand why when I wake up in the morning I sometimes can get out of bed and simply keep falling back asleep. I know it’s low blood sugar since thus happens when I have t eaten as well. I am overweight and plenty of fat reserves . Won’t the liver convert it to glucose so my brain continues to get glucose ?</t>
        </is>
      </c>
      <c r="D10169" t="n">
        <v>0</v>
      </c>
      <c r="E10169" t="n">
        <v>10</v>
      </c>
      <c r="F10169">
        <f>HYPERLINK("https://www.reddit.com/r/diabetes/comments/hvyeyu/why_do_type_2_diadiabetes_go_loqlow_in_blood_sugar/")</f>
        <v/>
      </c>
      <c r="G10169" t="inlineStr">
        <is>
          <t>2020-07-22 10:49:20</t>
        </is>
      </c>
      <c r="H10169" t="inlineStr">
        <is>
          <t>Type 2</t>
        </is>
      </c>
    </row>
    <row r="10170">
      <c r="A10170" t="inlineStr">
        <is>
          <t>hvzojo</t>
        </is>
      </c>
      <c r="B10170" t="inlineStr">
        <is>
          <t>Unexplained high.. help needed</t>
        </is>
      </c>
      <c r="C10170" t="inlineStr">
        <is>
          <t>Hi I use tujeo pen for long term insulin and Humalog for short term. Recently Ive been waking up with high sugar 250-350. I tried different thing and none of it help (exercise, going bed hight, going to bed low, going to bed normal, give myself more unit of long term insulin before bed, etc). Have any of you shared the similar experience like this ? any tips that can help my sugar go down during sleep? It's been a few months... and my sugar have been normal during daytime.
Any advice will be appreciated.
Thx</t>
        </is>
      </c>
      <c r="D10170" t="n">
        <v>1</v>
      </c>
      <c r="E10170" t="n">
        <v>12</v>
      </c>
      <c r="F10170">
        <f>HYPERLINK("https://www.reddit.com/r/diabetes/comments/hvzojo/unexplained_high_help_needed/")</f>
        <v/>
      </c>
      <c r="G10170" t="inlineStr">
        <is>
          <t>2020-07-22 11:56:19</t>
        </is>
      </c>
      <c r="H10170" t="inlineStr">
        <is>
          <t>Type 1</t>
        </is>
      </c>
    </row>
    <row r="10171">
      <c r="A10171" t="inlineStr">
        <is>
          <t>hw25ii</t>
        </is>
      </c>
      <c r="B10171" t="inlineStr">
        <is>
          <t>Sensor Stickers - SVG file</t>
        </is>
      </c>
      <c r="C10171" t="inlineStr">
        <is>
          <t>Hey everyone! 
I am looking into trying to make my own stickers for my freestyle libre sensor and also my omnipod. I have a Silhouette Cameo 3. Does anyone have any idea where I can find a SVG file for diabetic devices ? I just want to be able to make some so I feel more comfortable wearing them, especially during the summer months when the pump and sensor are more visible! 
Any help is greatly appreciated!</t>
        </is>
      </c>
      <c r="D10171" t="n">
        <v>2</v>
      </c>
      <c r="E10171" t="n">
        <v>0</v>
      </c>
      <c r="F10171">
        <f>HYPERLINK("https://www.reddit.com/r/diabetes/comments/hw25ii/sensor_stickers_svg_file/")</f>
        <v/>
      </c>
      <c r="G10171" t="inlineStr">
        <is>
          <t>2020-07-22 14:04:46</t>
        </is>
      </c>
      <c r="H10171" t="inlineStr">
        <is>
          <t>Type 1</t>
        </is>
      </c>
    </row>
    <row r="10172">
      <c r="A10172" t="inlineStr">
        <is>
          <t>hw6kuy</t>
        </is>
      </c>
      <c r="B10172" t="inlineStr">
        <is>
          <t>Covid-19 Positive</t>
        </is>
      </c>
      <c r="C10172" t="inlineStr">
        <is>
          <t>I’m 25 years old with type 2 diabetes. In May, my a1c was 6.7, so overall under control. It’s very rare for my glucose to be over 180 mg/dl.
Anyways, I started experiencing a sore throat towards the end of last week and a headache on Sunday. I took some Tylenol for my headache, but it never went away and I thought it was so weird since my headache never last that long. Then my dad ended up coughing and having a fever for one day. 
He decided to go test himself on Tuesday and it came back positive. I decided to test myself since I’m high risk and turns out I was positive for Covid-19 as well.
I was honestly surprise because I was expecting the worst symptoms. I haven’t felt any body pains, fever, coughing, etc. 
I really hope that the sore throat and headache are the only symptoms I experience and that I do not have to go to the hospital. Fingers crossed! 🤞🏻
Update: Didn’t realize this until now, but other symptoms I am having are night sweats and a runny nose. I did get my allergies two days ago and I thought it was due to that, but not anymore. My allergies usually last that one day and it rarely leads to a runny nose.</t>
        </is>
      </c>
      <c r="D10172" t="n">
        <v>7</v>
      </c>
      <c r="E10172" t="n">
        <v>24</v>
      </c>
      <c r="F10172">
        <f>HYPERLINK("https://www.reddit.com/r/diabetes/comments/hw6kuy/covid19_positive/")</f>
        <v/>
      </c>
      <c r="G10172" t="inlineStr">
        <is>
          <t>2020-07-22 18:24:19</t>
        </is>
      </c>
      <c r="H10172" t="inlineStr">
        <is>
          <t>Type 2</t>
        </is>
      </c>
    </row>
    <row r="10173">
      <c r="A10173" t="inlineStr">
        <is>
          <t>hw6z42</t>
        </is>
      </c>
      <c r="B10173" t="inlineStr">
        <is>
          <t>My brother is T1 Diabetic, he needs help, so I want to help him...</t>
        </is>
      </c>
      <c r="C10173" t="inlineStr">
        <is>
          <t>My brother recently turned 20. He was diagnosed with type 1 since birth pretty much. My parents had my brother quite late on in their lives (I'm 36).
They really struggled with the whole Diabetes thing and I can honestly say that my bro has never had his sugars under control. My mum always worried about the high readings and dad worried about the lows, so as you can imagine, my brother's sugars have always been up and down like a yo-yo. I don't blame them, nobody can be prepared for this awful disease. I really feel for him and for you all who suffer with it.
I dread to think what damage has been caused inside his body, I'm really worried about him. To make matters worse, only recently he was diagnosed with ADD and Asperger's syndrome, so as you can imagine, not the easiest guy to deal with. Constantly battling with his diabetes and severe depression.
I feel like it's time for me to step in now. Sadly, here in the UK, our health service is not great with Diabetes. They kind of leave you to your own accord. They are severely lacking resources, so we're not getting the right level of care.
Fortunately, I'm in a good financial position, so I'm willing to do what it takes to get my brother sorted. To that extent, I would love to hear your feedback and learn from your experiences so that I can hopefully make the right decisions moving forward.
I'm keen to understand where I should go from here. 
Many thanks for taking the time to read this.</t>
        </is>
      </c>
      <c r="D10173" t="n">
        <v>2</v>
      </c>
      <c r="E10173" t="n">
        <v>16</v>
      </c>
      <c r="F10173">
        <f>HYPERLINK("https://www.reddit.com/r/diabetes/comments/hw6z42/my_brother_is_t1_diabetic_he_needs_help_so_i_want/")</f>
        <v/>
      </c>
      <c r="G10173" t="inlineStr">
        <is>
          <t>2020-07-22 18:50:22</t>
        </is>
      </c>
      <c r="H10173" t="inlineStr">
        <is>
          <t>Type 1</t>
        </is>
      </c>
    </row>
    <row r="10174">
      <c r="A10174" t="inlineStr">
        <is>
          <t>hw72l7</t>
        </is>
      </c>
      <c r="B10174" t="inlineStr">
        <is>
          <t>Can you guys explain how you bolus for higher fat/protein meals.</t>
        </is>
      </c>
      <c r="C10174" t="inlineStr">
        <is>
          <t>I'm trying to gain weight and I need to eat a lot (3500 calories between 3 meals). I got the carbs down, but like 3 hours later after I eat breakfast it spikes up from fats and proteins. I eat the same meal for breakfast usually but it seems like the spike is different on different days. Some days 3 units is good, sometimes too much, sometimes not enough, despite being the same meal.
So, how do you guys calculate your bolus for a high protein/fat meal?
I do MDI btw. I also don't have time to eat more than 3 meals. Thanks!</t>
        </is>
      </c>
      <c r="D10174" t="n">
        <v>2</v>
      </c>
      <c r="E10174" t="n">
        <v>14</v>
      </c>
      <c r="F10174">
        <f>HYPERLINK("https://www.reddit.com/r/diabetes/comments/hw72l7/can_you_guys_explain_how_you_bolus_for_higher/")</f>
        <v/>
      </c>
      <c r="G10174" t="inlineStr">
        <is>
          <t>2020-07-22 18:56:46</t>
        </is>
      </c>
      <c r="H10174" t="inlineStr">
        <is>
          <t>Type 1</t>
        </is>
      </c>
    </row>
    <row r="10175">
      <c r="A10175" t="inlineStr">
        <is>
          <t>hw9bcm</t>
        </is>
      </c>
      <c r="B10175" t="inlineStr">
        <is>
          <t>It runs in the family I guess...</t>
        </is>
      </c>
      <c r="C10175" t="inlineStr">
        <is>
          <t>My one year old has been more fussy than normal the past week. We chalked it up to teething but after she drank 16 ounces of water and wanted more, my wife wanted to test her sugar. It came back at 590. My wife is type 1 and I have type 2. I really didn’t want my baby to have to deal with this so young. Thanks for reading I just wanted to vent.</t>
        </is>
      </c>
      <c r="D10175" t="n">
        <v>15</v>
      </c>
      <c r="E10175" t="n">
        <v>60</v>
      </c>
      <c r="F10175">
        <f>HYPERLINK("https://www.reddit.com/r/diabetes/comments/hw9bcm/it_runs_in_the_family_i_guess/")</f>
        <v/>
      </c>
      <c r="G10175" t="inlineStr">
        <is>
          <t>2020-07-22 21:33:24</t>
        </is>
      </c>
      <c r="H10175" t="inlineStr">
        <is>
          <t>Type 2</t>
        </is>
      </c>
    </row>
    <row r="10176">
      <c r="A10176" t="inlineStr">
        <is>
          <t>hw9gif</t>
        </is>
      </c>
      <c r="B10176" t="inlineStr">
        <is>
          <t>Hi, what apps do you all usually use to manage your diabetes, and whats missing</t>
        </is>
      </c>
      <c r="C10176" t="inlineStr">
        <is>
          <t>I feel that there is no one mobile app which guides me daily to eat healthy and stay fit or manage my stress. What do you all think ? Yet tracks and estimates my A1c</t>
        </is>
      </c>
      <c r="D10176" t="n">
        <v>1</v>
      </c>
      <c r="E10176" t="n">
        <v>15</v>
      </c>
      <c r="F10176">
        <f>HYPERLINK("https://www.reddit.com/r/diabetes/comments/hw9gif/hi_what_apps_do_you_all_usually_use_to_manage/")</f>
        <v/>
      </c>
      <c r="G10176" t="inlineStr">
        <is>
          <t>2020-07-22 21:44:22</t>
        </is>
      </c>
      <c r="H10176" t="inlineStr">
        <is>
          <t>Type 2</t>
        </is>
      </c>
    </row>
    <row r="10177">
      <c r="A10177" t="inlineStr">
        <is>
          <t>hwalgo</t>
        </is>
      </c>
      <c r="B10177" t="inlineStr">
        <is>
          <t>Waiting on test results</t>
        </is>
      </c>
      <c r="C10177" t="inlineStr">
        <is>
          <t>I was diagnosed with hypothyroidism 7 years ago. I've always had muscle fatigue and could push through it everyday. I'm pretty active with the 3 dogs I have that are high energy. In the past I've always consumed a low amount of food and everytime after I ate I would be lightheaded but it would pass and I would continue on. Recently in the past couple months my muscle fatigue has taken over as well as the lightheadedness. I take naps often and can barely get through everyday, which is not like me.  I am always thirsty, but figured it was bc of my thyroid meds. I do urinate very often and just completely exhausted. I had thyroid blood work done today as well as a blood sugar test and have to wait 2-4 days for results. Doesnt sound long but I'm in so much pain from the fatigue. I'm scared I have diabetes 2 and not sure what to expect but on the other end just want to feel better.
This disease does not run in my family but I'm pretty sure the results may be positive. I'm expecting some abnormal results from the tests. And if not I dont know what I will do bc this is a horrible feeling. 
I've googled hypothyroidism and diabetes 2 together and its showing it's a pretty good chance of being the issue. 
I'm just wondering if I'm over stressing. And it's going to be a long few days if they are like I have been feeling. 
You cant believe everything on the internet so I wanted to reach out and see what others opionions were on my symptoms</t>
        </is>
      </c>
      <c r="D10177" t="n">
        <v>5</v>
      </c>
      <c r="E10177" t="n">
        <v>11</v>
      </c>
      <c r="F10177">
        <f>HYPERLINK("https://www.reddit.com/r/diabetes/comments/hwalgo/waiting_on_test_results/")</f>
        <v/>
      </c>
      <c r="G10177" t="inlineStr">
        <is>
          <t>2020-07-22 23:15:07</t>
        </is>
      </c>
      <c r="H10177" t="inlineStr">
        <is>
          <t>Type 2</t>
        </is>
      </c>
    </row>
    <row r="10178">
      <c r="A10178" t="inlineStr">
        <is>
          <t>hwbbd5</t>
        </is>
      </c>
      <c r="B10178" t="inlineStr">
        <is>
          <t>Missing long term insulin shot</t>
        </is>
      </c>
      <c r="C10178" t="inlineStr">
        <is>
          <t>So log story short, I’m a type 1 diabetic, and I forgot to take my nighttime/long term insulin and it’s been over 4 hours, should I be worried, if so what are the side effects?(sorry, I’m still new to all of this) **not intended as asking for medical advice**</t>
        </is>
      </c>
      <c r="D10178" t="n">
        <v>1</v>
      </c>
      <c r="E10178" t="n">
        <v>7</v>
      </c>
      <c r="F10178">
        <f>HYPERLINK("https://www.reddit.com/r/diabetes/comments/hwbbd5/missing_long_term_insulin_shot/")</f>
        <v/>
      </c>
      <c r="G10178" t="inlineStr">
        <is>
          <t>2020-07-23 00:19:18</t>
        </is>
      </c>
      <c r="H10178" t="inlineStr">
        <is>
          <t>Type 1</t>
        </is>
      </c>
    </row>
    <row r="10179">
      <c r="A10179" t="inlineStr">
        <is>
          <t>hwbit7</t>
        </is>
      </c>
      <c r="B10179" t="inlineStr">
        <is>
          <t>Coffee Spikes My Sugar HARD</t>
        </is>
      </c>
      <c r="C10179" t="inlineStr">
        <is>
          <t>I have always been a coffee drinker, and it has consistently had an effect on my blood glucose, regardless of the time of day or the added creamers or sweeteners.
My struggle has been manageable by adjusting my insulin and not drinking too much on an empty stomach.
About a month ago I began strictly following a ketogenic diet (to manage my quarantine weight, LOL) and have made adjustments to insulin accordingly.  It's been successful aside from the terrible spikes from coffee.
I typically drink my coffee strong with half &amp;amp; half and a little artificial sweetener, but recently I tested several different combinations (black, black with sugar free Torani syrup, black with splenda, tablespoon of half &amp;amp; half, etc.) and three different types of unflavored coffee beans, different times of the day, and NO other carbs in my diet.
ALL forms of coffee caused my blood sugar to spike, with plain black coffee being the least dramatic (spiked up from 106 to 146) and the most severe change was from 134 to 236 in about 35 minutes (very strong black with half &amp;amp; half and sugar free Torani syrup).
Considering I pay attention to the nutrition labels (including all forms of carbs) as well as suspicious ingredients, the only conclusion I see is the debated caffeine/adrenaline liver phenomenon and stored glucose from breaking down fats.</t>
        </is>
      </c>
      <c r="D10179" t="n">
        <v>2</v>
      </c>
      <c r="E10179" t="n">
        <v>19</v>
      </c>
      <c r="F10179">
        <f>HYPERLINK("https://www.reddit.com/r/diabetes/comments/hwbit7/coffee_spikes_my_sugar_hard/")</f>
        <v/>
      </c>
      <c r="G10179" t="inlineStr">
        <is>
          <t>2020-07-23 00:38:32</t>
        </is>
      </c>
      <c r="H10179" t="inlineStr">
        <is>
          <t>Type 1</t>
        </is>
      </c>
    </row>
    <row r="10180">
      <c r="A10180" t="inlineStr">
        <is>
          <t>hwbsl9</t>
        </is>
      </c>
      <c r="B10180" t="inlineStr">
        <is>
          <t>Creatinine High</t>
        </is>
      </c>
      <c r="C10180" t="inlineStr">
        <is>
          <t>My Creatinine is high 1.3(male)
And there is 2+ protein in urine test
My Hb1ac is 5.1
Should I worry?</t>
        </is>
      </c>
      <c r="D10180" t="n">
        <v>1</v>
      </c>
      <c r="E10180" t="n">
        <v>8</v>
      </c>
      <c r="F10180">
        <f>HYPERLINK("https://www.reddit.com/r/diabetes/comments/hwbsl9/creatinine_high/")</f>
        <v/>
      </c>
      <c r="G10180" t="inlineStr">
        <is>
          <t>2020-07-23 01:05:20</t>
        </is>
      </c>
      <c r="H10180" t="inlineStr">
        <is>
          <t>Type 2</t>
        </is>
      </c>
    </row>
    <row r="10181">
      <c r="A10181" t="inlineStr">
        <is>
          <t>hwdp3u</t>
        </is>
      </c>
      <c r="B10181" t="inlineStr">
        <is>
          <t>Diamyths - T1 Talks Podcast</t>
        </is>
      </c>
      <c r="C10181" t="inlineStr">
        <is>
          <t>We put out another T1 Talks episode dispelling a ton of frustrating and potentially harmful myths about diabetes!  Definitely a great episode to send to your non-diabetic friends when you don't feel like breaking down the whole diabetes thing yourself. Leave a comment below or on our Instagram (@t1talks) with whatever diamyth you find most annoying. As always, find the episode below to listen on Spotify or search for us on various other platforms!
***Link:***
[https://open.spotify.com/show/6xPO5gsea3j6tZl2kfilST](https://open.spotify.com/show/6xPO5gsea3j6tZl2kfilST)</t>
        </is>
      </c>
      <c r="D10181" t="n">
        <v>5</v>
      </c>
      <c r="E10181" t="n">
        <v>0</v>
      </c>
      <c r="F10181">
        <f>HYPERLINK("https://www.reddit.com/r/diabetes/comments/hwdp3u/diamyths_t1_talks_podcast/")</f>
        <v/>
      </c>
      <c r="G10181" t="inlineStr">
        <is>
          <t>2020-07-23 04:02:21</t>
        </is>
      </c>
      <c r="H10181" t="inlineStr">
        <is>
          <t>Type 1</t>
        </is>
      </c>
    </row>
    <row r="10182">
      <c r="A10182" t="inlineStr">
        <is>
          <t>hwe67m</t>
        </is>
      </c>
      <c r="B10182" t="inlineStr">
        <is>
          <t>A1C is non-diabetic and I’m stunned</t>
        </is>
      </c>
      <c r="C10182" t="inlineStr">
        <is>
          <t>My insurance doesn’t cover sensors so I’ve had to use pricks since I was diagnosed with T1 8 months ago. I’ve been struggling with keeping my BS down the past few months, my 90-day average since my last A1C had increased from 6.1 to 7.0.
Turns out I had nothing to worry about!! I got another test 2 days ago, and my new A1C is 5.7!!! I’m beyond shocked, I thought because my readings have been so high and I’ve had such few lows that it would be higher than my A1C in May, which was 6.1. I was also happy with this, like BEYOND happy, because when I was diagnosed (Nov 2019) I was OVER 15%, I was lucky I didn’t die.
I’m starting the omnipod in less than 2 weeks, but I use Novorapid and Tresiba insulins and the OneTouch Verio Reflect meter. The meter really lead me to believe that my A1C was going to be awful. To celebrate, I’m going to get a tattoo for The Beetus instead of a medical alert item that I’m very likely to lose. I don’t really have anyone that understands the excitement I’m feeling right now, so I thought I’d share it with y’all.
I wish everyone here a blessed A1C during these difficult times! I believe in each and everyone one of you!</t>
        </is>
      </c>
      <c r="D10182" t="n">
        <v>13</v>
      </c>
      <c r="E10182" t="n">
        <v>19</v>
      </c>
      <c r="F10182">
        <f>HYPERLINK("https://www.reddit.com/r/diabetes/comments/hwe67m/a1c_is_nondiabetic_and_im_stunned/")</f>
        <v/>
      </c>
      <c r="G10182" t="inlineStr">
        <is>
          <t>2020-07-23 04:42:36</t>
        </is>
      </c>
      <c r="H10182" t="inlineStr">
        <is>
          <t>Type 1</t>
        </is>
      </c>
    </row>
    <row r="10183">
      <c r="A10183" t="inlineStr">
        <is>
          <t>hwet7n</t>
        </is>
      </c>
      <c r="B10183" t="inlineStr">
        <is>
          <t>Newly diagnosed, just looking for advice and support</t>
        </is>
      </c>
      <c r="C10183" t="inlineStr">
        <is>
          <t>Hi everyone! I was recently diagnosed with LADA, which is essentially Type 1 diabetes.  I'm still in my honeymoon phase, but I expect my pancreatic function to be depleted by the end of the year based on my readings. 
It's ironic.  As a pharmacist, I know all these things about which medications to employ, what insulin would be necessary, and what changes need to be made to a diet, but I never thought I would be doing this myself.  If anything, this will make me a more humble and empathetic provider.  I'm grateful for that.  But the part that scares me the most is the hobbies that I currently have that I may not be able to continue.  I love hiking. I love mountain biking.  I love climbing.  And I put in a relatively large amount of time into each. I try and hike at least 14 miles a week.  I visit the climbing gym weekly.  I mountain bike for hours whenever weather permits.  And my goal in life has been to always go harder and harder, to continue conquering mountains.  But I do all of these things alone.  And of all the information and knowledge I have about diabetes, I have no idea if I can realistically and safely continue to do these things. 
So for all my type 1's out there, hi! Y'all are really supportive here and it's a good feeling to join such a positive community.  My question to you would be is my current lifestyle sustainable?  I want to be realistic and safe about this. Any tips would be greatly welcome, as backpacking and hiking are such an important thing to me.  Thank you for your time and your replies in advance!</t>
        </is>
      </c>
      <c r="D10183" t="n">
        <v>21</v>
      </c>
      <c r="E10183" t="n">
        <v>25</v>
      </c>
      <c r="F10183">
        <f>HYPERLINK("https://www.reddit.com/r/diabetes/comments/hwet7n/newly_diagnosed_just_looking_for_advice_and/")</f>
        <v/>
      </c>
      <c r="G10183" t="inlineStr">
        <is>
          <t>2020-07-23 05:31:40</t>
        </is>
      </c>
      <c r="H10183" t="inlineStr">
        <is>
          <t>Type 1.5/LADA</t>
        </is>
      </c>
    </row>
    <row r="10184">
      <c r="A10184" t="inlineStr">
        <is>
          <t>hwhfby</t>
        </is>
      </c>
      <c r="B10184" t="inlineStr">
        <is>
          <t>Increased Metformin from 500mg to 1000mg and now my blood sugar is higher?</t>
        </is>
      </c>
      <c r="C10184" t="inlineStr">
        <is>
          <t>I used to be around 100-120mg/dL but now it's up to 140-160mg/dL after doctor doubled my Metformin dosage. Haven't made any other changes to lifestyle, just the difference in dose. What's that about?
Recently diagnosed type 2</t>
        </is>
      </c>
      <c r="D10184" t="n">
        <v>1</v>
      </c>
      <c r="E10184" t="n">
        <v>6</v>
      </c>
      <c r="F10184">
        <f>HYPERLINK("https://www.reddit.com/r/diabetes/comments/hwhfby/increased_metformin_from_500mg_to_1000mg_and_now/")</f>
        <v/>
      </c>
      <c r="G10184" t="inlineStr">
        <is>
          <t>2020-07-23 08:16:45</t>
        </is>
      </c>
      <c r="H10184" t="inlineStr">
        <is>
          <t>Type 2</t>
        </is>
      </c>
    </row>
    <row r="10185">
      <c r="A10185" t="inlineStr">
        <is>
          <t>hwjway</t>
        </is>
      </c>
      <c r="B10185" t="inlineStr">
        <is>
          <t>New to this and feel like I already have failed</t>
        </is>
      </c>
      <c r="C10185" t="inlineStr">
        <is>
          <t>Hey there, looking for some guidance to try and get beyond feeling like crap from my diagnosis. 
My GP decided the best way to let me know I have diabetes was via message in digital portal. I had to seek her out for more information. Finally got ahold of her via video chat. The look on her face the whole time we spoke was somewhere between disinterest and “told you so fattie”. (Sorry for the self deprecation).
I cannot stop crying over this and I have not eaten in 2 days because I am afraid to. Prior to this, I have lived with depression and anxiety. The only thing that has helped curb my negative thinking at all are meds I was on previously for panic attacks. 
I don’t know how to feel or where to go. Maybe it is just feeling overwhelmed, but I feel frozen right now.</t>
        </is>
      </c>
      <c r="D10185" t="n">
        <v>2</v>
      </c>
      <c r="E10185" t="n">
        <v>20</v>
      </c>
      <c r="F10185">
        <f>HYPERLINK("https://www.reddit.com/r/diabetes/comments/hwjway/new_to_this_and_feel_like_i_already_have_failed/")</f>
        <v/>
      </c>
      <c r="G10185" t="inlineStr">
        <is>
          <t>2020-07-23 10:27:15</t>
        </is>
      </c>
      <c r="H10185" t="inlineStr">
        <is>
          <t>Type 2</t>
        </is>
      </c>
    </row>
    <row r="10186">
      <c r="A10186" t="inlineStr">
        <is>
          <t>hwm0t1</t>
        </is>
      </c>
      <c r="B10186" t="inlineStr">
        <is>
          <t>Food that barely had an effect before now spiking blood sugar dramatically, despite higher insulin dose?</t>
        </is>
      </c>
      <c r="C10186" t="inlineStr">
        <is>
          <t>So, my boyfriend was recently (about 2 weeks ago) discovered to be a type 1.5 diabetic and is still trying to figure out what dosage to use for different kinds of food. They’ve been avoiding high carbs and high sugars and doing a good job keeping their readings at around 8-9 mmol/L. 
All of a sudden though, one of their regular breakfasts that used to be controlled with only 6 units of insulin is now spiking exponentially higher, despite them taking up to 10 units before eating. Their glucose levels last time went from 9.3 all the way up to 19.9 in the span of half an hour. Anybody know why this would be? They’re a new diabetic and still struggling immensely with the diagnosis, so this is utterly heartbreaking for them and really makes them feel like a failure.
For clarity’s sake, the food causing this is a slice of sourdough bread with some low-fat cheese and a thin slice of ham. Again though, 6 units used to be enough for them to prevent their blood sugar from going up more than 2 points.</t>
        </is>
      </c>
      <c r="D10186" t="n">
        <v>1</v>
      </c>
      <c r="E10186" t="n">
        <v>5</v>
      </c>
      <c r="F10186">
        <f>HYPERLINK("https://www.reddit.com/r/diabetes/comments/hwm0t1/food_that_barely_had_an_effect_before_now_spiking/")</f>
        <v/>
      </c>
      <c r="G10186" t="inlineStr">
        <is>
          <t>2020-07-23 12:16:02</t>
        </is>
      </c>
      <c r="H10186" t="inlineStr">
        <is>
          <t>Type 1.5/LADA</t>
        </is>
      </c>
    </row>
    <row r="10187">
      <c r="A10187" t="inlineStr">
        <is>
          <t>hwm9uo</t>
        </is>
      </c>
      <c r="B10187" t="inlineStr">
        <is>
          <t>Dexcom Bleeders</t>
        </is>
      </c>
      <c r="C10187" t="inlineStr">
        <is>
          <t>I’ve had a bad run with Dexcoms recently. About 12 days ago I put on a new sensor and it immediately started gushing blood and was unusable. I got a new one and it showed some blood where the needle was inserted but not a terrible amount. I just put in the transmitter and called it a day, but I honestly think the reading were a bit wonky because of it (nothing too bad though). It was time for me to put on a new sensor two nights ago, and everything seemed fine until this morning when I noticed quite a bit of blood under the adhesive. Due to my work uniform I can’t have the sensor on my stomach so I always rotate on my upper arms. The sensor is reading fine but I can’t leave it bloody like that.. 
Does anyone else have a lot of bleeders? Or what are some other places that work well?</t>
        </is>
      </c>
      <c r="D10187" t="n">
        <v>4</v>
      </c>
      <c r="E10187" t="n">
        <v>7</v>
      </c>
      <c r="F10187">
        <f>HYPERLINK("https://www.reddit.com/r/diabetes/comments/hwm9uo/dexcom_bleeders/")</f>
        <v/>
      </c>
      <c r="G10187" t="inlineStr">
        <is>
          <t>2020-07-23 12:29:11</t>
        </is>
      </c>
      <c r="H10187" t="inlineStr">
        <is>
          <t>Type 1</t>
        </is>
      </c>
    </row>
    <row r="10188">
      <c r="A10188" t="inlineStr">
        <is>
          <t>hwntol</t>
        </is>
      </c>
      <c r="B10188" t="inlineStr">
        <is>
          <t>Keto breath, but not in ketosis.</t>
        </is>
      </c>
      <c r="C10188" t="inlineStr">
        <is>
          <t>I've been having keto breath but I'm not doing a keto  diet or low carb. I don't know what is going on. I have good oral hygiene, hydrated, and eating carbs. Does anyone have some input that could shed some light</t>
        </is>
      </c>
      <c r="D10188" t="n">
        <v>1</v>
      </c>
      <c r="E10188" t="n">
        <v>12</v>
      </c>
      <c r="F10188">
        <f>HYPERLINK("https://www.reddit.com/r/diabetes/comments/hwntol/keto_breath_but_not_in_ketosis/")</f>
        <v/>
      </c>
      <c r="G10188" t="inlineStr">
        <is>
          <t>2020-07-23 13:49:58</t>
        </is>
      </c>
      <c r="H10188" t="inlineStr">
        <is>
          <t>Type 1</t>
        </is>
      </c>
    </row>
    <row r="10189">
      <c r="A10189" t="inlineStr">
        <is>
          <t>hwolps</t>
        </is>
      </c>
      <c r="B10189" t="inlineStr">
        <is>
          <t>Can someone give me some insight on this illness?</t>
        </is>
      </c>
      <c r="C10189" t="inlineStr">
        <is>
          <t>Hey everyone! My mom was recently diagnosed with type 2 Diabetes. She’s been obese all her life with a standard American diet.
I’ve been on an intermittent fasting diet, and she’s been following my lead for the past 6 weeks. She’s already lost 22 pounds, is eating very clean, and exercising regularly. I’ve never seen her be this healthy, and she’s never felt so great.
Her diet is like this : a protein shake in the morning, a bigggggg salad filled with proteins and healthy fats, whole grains and vegetables. She eats from 12pm-8pm, and fasts for the rest.
She hasn’t seen a doctor that has told her anything about Diabetes yet or what to do. Her appointment is in a few weeks, unfortunately it was the fastest she can get.
She’s on Metformin as well as a blood pressure medication because she has high blood pressure as well. 
Is intermittent fasting hurting her? What are her blood sugar levels supposed to be before and after eating? She’s checking her blood before and after each meal, but will say things like “cool, my blood sugar is 108!” but we have no idea if that’s good or bad. It ranges from 95 to 145 depending on her meals, and it seems like potatoes make it low and eggs make it high. Weird.
We don’t know if she can have fruit, or anything. I know we should follow the doctors advice but since it s few weeks away, some insight or tips would be really appreciated!!!
The plan is to get her to a healthy weight, but if this plan is doing her more harm than good I don’t want her to continue on it .
She’s felt generally fine, but today while she’s eating she feels like she’s going to pass out. She says everything is spinning but her blood sugar is 123 and her meal that she’s eating right now has some carbs in it and her blood pressure is fine.
Thanks’</t>
        </is>
      </c>
      <c r="D10189" t="n">
        <v>0</v>
      </c>
      <c r="E10189" t="n">
        <v>24</v>
      </c>
      <c r="F10189">
        <f>HYPERLINK("https://www.reddit.com/r/diabetes/comments/hwolps/can_someone_give_me_some_insight_on_this_illness/")</f>
        <v/>
      </c>
      <c r="G10189" t="inlineStr">
        <is>
          <t>2020-07-23 14:34:50</t>
        </is>
      </c>
      <c r="H10189" t="inlineStr">
        <is>
          <t>Type 2</t>
        </is>
      </c>
    </row>
    <row r="10190">
      <c r="A10190" t="inlineStr">
        <is>
          <t>hwrhqo</t>
        </is>
      </c>
      <c r="B10190" t="inlineStr">
        <is>
          <t>I am so frustrated *rant*</t>
        </is>
      </c>
      <c r="C10190" t="inlineStr">
        <is>
          <t>So I’ve been having issues with insurance (shocking ikr) and my primary insurance doesn’t cover my novolog anymore but they will cover humolog. Not sure what the difference between the two is but anyways I found out that my secondary insurance covers novolog and when I went to the pharmacy they’re telling me that the secondary insurance has to approve it, but I thought the already did and now I’m going home with no insulin and I have barely any left and just am so frustrated because I clearly have no idea what the fuck I’m doing. 
Anyways I’m tired, I’m tired of dealing with insurance and Medtronic and them constantly asking me how many supplies I have left and then having to talk to insurance to have it approved so fucking often.
Listen I know I am fortunate to still have two insurances through my parents but dealing with two insurances is annoying. 
Being diabetic is just so fucking annoying.
And I just am so mentally unhealthy. I had a zoom call with my endo and they just tell me everything I’m doing wrong. I already know I’m not taking care of myself. It’s just tough. I’m going in next week so I’ll know what my A1c is. It just is hard to not have a support system and just kinda thrown to the dogs of insurance. I know I’m an adult just tired.</t>
        </is>
      </c>
      <c r="D10190" t="n">
        <v>1</v>
      </c>
      <c r="E10190" t="n">
        <v>5</v>
      </c>
      <c r="F10190">
        <f>HYPERLINK("https://www.reddit.com/r/diabetes/comments/hwrhqo/i_am_so_frustrated_rant/")</f>
        <v/>
      </c>
      <c r="G10190" t="inlineStr">
        <is>
          <t>2020-07-23 17:19:59</t>
        </is>
      </c>
      <c r="H10190" t="inlineStr">
        <is>
          <t>Type 1</t>
        </is>
      </c>
    </row>
    <row r="10191">
      <c r="A10191" t="inlineStr">
        <is>
          <t>hwridi</t>
        </is>
      </c>
      <c r="B10191" t="inlineStr">
        <is>
          <t>30 year old; Asking for advice</t>
        </is>
      </c>
      <c r="C10191" t="inlineStr">
        <is>
          <t>Feel off
So I have been treating my type 2 for a little over 2 years now. Started A1C of 10.2 and am down to 6.9.
My sugars have been higher lately in the 200-240 range and I just checked it and it’s around 138 and I feel like it’s low. Shaky, nauseous, etc. 
Any advice on cutting back the soda that I know caused it? I am still drinking 3-4 20oz bottle or cans a day and I haven’t been able to cut back... I used to drink 7-8 cans/bottles a day.
30 year old male looking to do better and be around much longer for my 3 year old son.</t>
        </is>
      </c>
      <c r="D10191" t="n">
        <v>1</v>
      </c>
      <c r="E10191" t="n">
        <v>13</v>
      </c>
      <c r="F10191">
        <f>HYPERLINK("https://www.reddit.com/r/diabetes/comments/hwridi/30_year_old_asking_for_advice/")</f>
        <v/>
      </c>
      <c r="G10191" t="inlineStr">
        <is>
          <t>2020-07-23 17:21:07</t>
        </is>
      </c>
      <c r="H10191" t="inlineStr">
        <is>
          <t>Type 2</t>
        </is>
      </c>
    </row>
    <row r="10192">
      <c r="A10192" t="inlineStr">
        <is>
          <t>hwt05p</t>
        </is>
      </c>
      <c r="B10192" t="inlineStr">
        <is>
          <t>To what extent do you bedazzle your diabetes gear?</t>
        </is>
      </c>
      <c r="C10192" t="inlineStr">
        <is>
          <t>I wanna put rhinestones on my Libre but fear it will mess with the sensor. I just got the circular Pump Peelz to help it stay on and got an aurora borealis type design. There’s something about decorating the medical equipment that makes it feel less hospital-ish and sterile. 
Was diagnosed in January so it’s all new to me. I figure I might as well make these things a part of me. 
What do you do?</t>
        </is>
      </c>
      <c r="D10192" t="n">
        <v>2</v>
      </c>
      <c r="E10192" t="n">
        <v>7</v>
      </c>
      <c r="F10192">
        <f>HYPERLINK("https://www.reddit.com/r/diabetes/comments/hwt05p/to_what_extent_do_you_bedazzle_your_diabetes_gear/")</f>
        <v/>
      </c>
      <c r="G10192" t="inlineStr">
        <is>
          <t>2020-07-23 18:56:48</t>
        </is>
      </c>
      <c r="H10192" t="inlineStr">
        <is>
          <t>Type 1</t>
        </is>
      </c>
    </row>
    <row r="10193">
      <c r="A10193" t="inlineStr">
        <is>
          <t>hwu012</t>
        </is>
      </c>
      <c r="B10193" t="inlineStr">
        <is>
          <t>Help! Advice for newly diagnosed T2 Mum experiencing for week-long hyperglycemia</t>
        </is>
      </c>
      <c r="C10193" t="inlineStr">
        <is>
          <t>Hey team, 
So my poor mum, 71, living alone in another part of the country, has just been diagnosed with type 2 about a month ago and her medical/diabetes team are so persistently unhelpful with real-life strategies for management that I feel the need to step in a bit. 
Mum's currently on long acting Lantus each night, and Novorapid with each meal. This was initially working really well! However for the last week she's only been under 20 mmol/L like 3 times, and even then, has only ever got down to 10 mmol/L briefly before swinging back up again. 
Her diet hasn't changed from when things were initially going well, neither has her lifestyle, and her diabetes nurse has just upped her insulin doses slightly following these prolonged highs as of yesterday, but today we're coasting in the early 20s again. 
I don't understand how she is meant to manage this at home - none of her team have suggested 'if you're over 20 take an extra unit of Novorapid and retest in an hour' or anything like that that I'd expect to be a rational method of treatment. Nor have they actually provided ANY means of management for this at home? Just 'call us if it's bad, and test for ketones if over 14 mmol/L'. 
The issue with this is that often these highs are happening out of business hours, when her medical team don't work, and there isn't an after hours hospital in her town, so she is just shit outta luck until morning! 
She's tested for ketones and got a 0.0 reading, and doesn't seem to FEEL like she's terribly unwell, so we just don't know what to do? 
We live in NZ, so it's more of an inconvenience than anything to have to call the ambulance for this, but I'm wondering if she should because she's not able to get in under control herself right now. 
Could I get you good folk's opinion on this, because we're totally confused?</t>
        </is>
      </c>
      <c r="D10193" t="n">
        <v>2</v>
      </c>
      <c r="E10193" t="n">
        <v>16</v>
      </c>
      <c r="F10193">
        <f>HYPERLINK("https://www.reddit.com/r/diabetes/comments/hwu012/help_advice_for_newly_diagnosed_t2_mum/")</f>
        <v/>
      </c>
      <c r="G10193" t="inlineStr">
        <is>
          <t>2020-07-23 20:02:40</t>
        </is>
      </c>
      <c r="H10193" t="inlineStr">
        <is>
          <t>Type 2</t>
        </is>
      </c>
    </row>
    <row r="10194">
      <c r="A10194" t="inlineStr">
        <is>
          <t>hwucjc</t>
        </is>
      </c>
      <c r="B10194" t="inlineStr">
        <is>
          <t>Newly diagnosed testing supplies</t>
        </is>
      </c>
      <c r="C10194" t="inlineStr">
        <is>
          <t>My insurance isn’t any help, what is the best/most affordable glucose meter and testing strips?  I ordered a contour from Amazon, but the strips look expensive.</t>
        </is>
      </c>
      <c r="D10194" t="n">
        <v>1</v>
      </c>
      <c r="E10194" t="n">
        <v>5</v>
      </c>
      <c r="F10194">
        <f>HYPERLINK("https://www.reddit.com/r/diabetes/comments/hwucjc/newly_diagnosed_testing_supplies/")</f>
        <v/>
      </c>
      <c r="G10194" t="inlineStr">
        <is>
          <t>2020-07-23 20:26:42</t>
        </is>
      </c>
      <c r="H10194" t="inlineStr">
        <is>
          <t>Type 2</t>
        </is>
      </c>
    </row>
    <row r="10195">
      <c r="A10195" t="inlineStr">
        <is>
          <t>hwvqdl</t>
        </is>
      </c>
      <c r="B10195" t="inlineStr">
        <is>
          <t>Issues controlling blood sugar (20 M)</t>
        </is>
      </c>
      <c r="C10195" t="inlineStr">
        <is>
          <t>Hello all,
I have been a type 1 diabetic for about 16 years now, I've had my fair share of ups and downs however lately my blood sugar has been very erratic.
My Dexcom has been reading for the past week that almost every time I experience a change in my blood sugar, it is rapidly falling or rising, with little warning or gradual change. Generally the mornings are rough, waking up just fine, but after eating even a small amount of carbs, my BG goes as high as 180-200's. It'll sit there for an hour or more after adjusting, then suddenly rapidly fall.
Throughout the day, my blood sugar will tend to stabilize somewhat, but has a tendency to just keep rapidly dropping or rising. In some cases after taking my normal correction for a previous high, my blood sugar drops below what I had expected, while other times my correction brings my blood sugar right within the target range. It happens, however the effects have been very extreme lately. Just like my highs, I feel like there is a larger disconnect between when I take in carbs when my body reacts to it, which makes adjusting appropriately harder as well.
My most significant change of lifestyle lately has been the integration of a full body routine and a fairly consistent gym schedule. I started this about a month ago, but it has only been this past week or so I've been experiencing these issues. A change in my insulin resistance is something I have accounted for and started to adjust around, which does help mitigate lower readings. However I am having trouble explaining the very rapid changes in my blood sugar, sometimes changing as many as 30-40 points within less than 10 minutes. I have been consuming larger quantities of protein lately (130g / day and I am about 131 lbs), however I am unsure if higher protein consumption can lead to such complications with my blood sugar. 
While I'd like to see my blood sugar sit in a fairly straight line, if you look at the whole day you can clearly see while a majority of readings are in my target range,  they are always going up or down, rarely staying in one spot. 
I know this is a huge wall of text, and I can't include every gritty detail of my routine, diet, etc, however any feedback or ideas as to what may be happening, or what I might be doing wrong here, would be much appreciated. If I can elaborate or clarify something, I'll be happy to.</t>
        </is>
      </c>
      <c r="D10195" t="n">
        <v>2</v>
      </c>
      <c r="E10195" t="n">
        <v>6</v>
      </c>
      <c r="F10195">
        <f>HYPERLINK("https://www.reddit.com/r/diabetes/comments/hwvqdl/issues_controlling_blood_sugar_20_m/")</f>
        <v/>
      </c>
      <c r="G10195" t="inlineStr">
        <is>
          <t>2020-07-23 22:06:11</t>
        </is>
      </c>
      <c r="H10195" t="inlineStr">
        <is>
          <t>Type 1</t>
        </is>
      </c>
    </row>
    <row r="10196">
      <c r="A10196" t="inlineStr">
        <is>
          <t>hwyf42</t>
        </is>
      </c>
      <c r="B10196" t="inlineStr">
        <is>
          <t>Who here uses the much - loved (sarcasm!) Medtronic 670g with CGM? I need help with when the pump won't accept the BG after starting a new sensor.</t>
        </is>
      </c>
      <c r="C10196" t="inlineStr">
        <is>
          <t>My diabetes nurse had told me a trick to do after the first BG rejection so it doesn't reject the sensor...but I can't remember the trick.</t>
        </is>
      </c>
      <c r="D10196" t="n">
        <v>1</v>
      </c>
      <c r="E10196" t="n">
        <v>3</v>
      </c>
      <c r="F10196">
        <f>HYPERLINK("https://www.reddit.com/r/diabetes/comments/hwyf42/who_here_uses_the_much_loved_sarcasm_medtronic/")</f>
        <v/>
      </c>
      <c r="G10196" t="inlineStr">
        <is>
          <t>2020-07-24 01:56:43</t>
        </is>
      </c>
      <c r="H10196" t="inlineStr">
        <is>
          <t>Type 1</t>
        </is>
      </c>
    </row>
    <row r="10197">
      <c r="A10197" t="inlineStr">
        <is>
          <t>hwyxvo</t>
        </is>
      </c>
      <c r="B10197" t="inlineStr">
        <is>
          <t>Lantus Losing Potency</t>
        </is>
      </c>
      <c r="C10197" t="inlineStr">
        <is>
          <t>MDI here, Lately struggling with high BS in mornings. I take My Lantus same time every night, 18u. I have always left the cap off so, is it possible the indoor light, not sunlight, could degrade it over time? I do store it out of sunlight but it is exposed to light always.</t>
        </is>
      </c>
      <c r="D10197" t="n">
        <v>1</v>
      </c>
      <c r="E10197" t="n">
        <v>3</v>
      </c>
      <c r="F10197">
        <f>HYPERLINK("https://www.reddit.com/r/diabetes/comments/hwyxvo/lantus_losing_potency/")</f>
        <v/>
      </c>
      <c r="G10197" t="inlineStr">
        <is>
          <t>2020-07-24 02:47:14</t>
        </is>
      </c>
      <c r="H10197" t="inlineStr">
        <is>
          <t>Type 1.5/LADA</t>
        </is>
      </c>
    </row>
    <row r="10198">
      <c r="A10198" t="inlineStr">
        <is>
          <t>hwz6az</t>
        </is>
      </c>
      <c r="B10198" t="inlineStr">
        <is>
          <t>How did people managed diabetes in olden times?</t>
        </is>
      </c>
      <c r="C10198" t="inlineStr">
        <is>
          <t>I am assuming everybody died early because how lethal the disease is.</t>
        </is>
      </c>
      <c r="D10198" t="n">
        <v>2</v>
      </c>
      <c r="E10198" t="n">
        <v>21</v>
      </c>
      <c r="F10198">
        <f>HYPERLINK("https://www.reddit.com/r/diabetes/comments/hwz6az/how_did_people_managed_diabetes_in_olden_times/")</f>
        <v/>
      </c>
      <c r="G10198" t="inlineStr">
        <is>
          <t>2020-07-24 03:08:25</t>
        </is>
      </c>
      <c r="H10198" t="inlineStr">
        <is>
          <t>Type 2</t>
        </is>
      </c>
    </row>
    <row r="10199">
      <c r="A10199" t="inlineStr">
        <is>
          <t>hwzmr6</t>
        </is>
      </c>
      <c r="B10199" t="inlineStr">
        <is>
          <t>Can you use actrapid insulin and novorapid insulin together?</t>
        </is>
      </c>
      <c r="C10199" t="inlineStr">
        <is>
          <t>Im changing to actrapid insulin from novorapid. I have an insulin pump and I was wondering if I could only use my pump for the basal which will be in actrapid insulin, and use novorapid insulin for meals? So I was wondering if the two could work together since they are different type of insulins. Thanks in advance.</t>
        </is>
      </c>
      <c r="D10199" t="n">
        <v>2</v>
      </c>
      <c r="E10199" t="n">
        <v>2</v>
      </c>
      <c r="F10199">
        <f>HYPERLINK("https://www.reddit.com/r/diabetes/comments/hwzmr6/can_you_use_actrapid_insulin_and_novorapid/")</f>
        <v/>
      </c>
      <c r="G10199" t="inlineStr">
        <is>
          <t>2020-07-24 03:50:36</t>
        </is>
      </c>
      <c r="H10199" t="inlineStr">
        <is>
          <t>Type 1</t>
        </is>
      </c>
    </row>
    <row r="10200">
      <c r="A10200" t="inlineStr">
        <is>
          <t>hx0a26</t>
        </is>
      </c>
      <c r="B10200" t="inlineStr">
        <is>
          <t>I’m Struggling</t>
        </is>
      </c>
      <c r="C10200" t="inlineStr">
        <is>
          <t>I’ve put this in multiple sub Reddit’s but I follow the rules I test my blood then calculate my insulin but I keep dropping and having hypos.. low gi foods does nothing I just keep dropping</t>
        </is>
      </c>
      <c r="D10200" t="n">
        <v>5</v>
      </c>
      <c r="E10200" t="n">
        <v>20</v>
      </c>
      <c r="F10200">
        <f>HYPERLINK("https://www.reddit.com/r/diabetes/comments/hx0a26/im_struggling/")</f>
        <v/>
      </c>
      <c r="G10200" t="inlineStr">
        <is>
          <t>2020-07-24 04:43:27</t>
        </is>
      </c>
      <c r="H10200" t="inlineStr">
        <is>
          <t>Type 1</t>
        </is>
      </c>
    </row>
    <row r="10201">
      <c r="A10201" t="inlineStr">
        <is>
          <t>hx20ij</t>
        </is>
      </c>
      <c r="B10201" t="inlineStr">
        <is>
          <t>Quick Question? Are pumps for Type 1's or do Type 2's use them to?</t>
        </is>
      </c>
      <c r="C10201" t="inlineStr">
        <is>
          <t>I was wondering if it's only Type 1's that use pumps. If a Type 2 doesn't take care of themselves does that lead to having to have a pump. Also can a Type 2 become a Type 1?</t>
        </is>
      </c>
      <c r="D10201" t="n">
        <v>2</v>
      </c>
      <c r="E10201" t="n">
        <v>16</v>
      </c>
      <c r="F10201">
        <f>HYPERLINK("https://www.reddit.com/r/diabetes/comments/hx20ij/quick_question_are_pumps_for_type_1s_or_do_type/")</f>
        <v/>
      </c>
      <c r="G10201" t="inlineStr">
        <is>
          <t>2020-07-24 06:43:21</t>
        </is>
      </c>
      <c r="H10201" t="inlineStr">
        <is>
          <t>Type 2</t>
        </is>
      </c>
    </row>
    <row r="10202">
      <c r="A10202" t="inlineStr">
        <is>
          <t>hx30a6</t>
        </is>
      </c>
      <c r="B10202" t="inlineStr">
        <is>
          <t>I prefer checking my glucose with the normal test strips but my parents are forcing me to wear the freestyle libre</t>
        </is>
      </c>
      <c r="C10202" t="inlineStr">
        <is>
          <t>Hey guys so I’ve been checking my blood sugar using the finger pricking method for most of my life and I can’t adjust to the freestyle libre sensor. I’m very active and athletic and it itches my skin and tends to fall off before after days of putting it on. It doesn’t seem to be compatible with me at all. Any advice?</t>
        </is>
      </c>
      <c r="D10202" t="n">
        <v>4</v>
      </c>
      <c r="E10202" t="n">
        <v>10</v>
      </c>
      <c r="F10202">
        <f>HYPERLINK("https://www.reddit.com/r/diabetes/comments/hx30a6/i_prefer_checking_my_glucose_with_the_normal_test/")</f>
        <v/>
      </c>
      <c r="G10202" t="inlineStr">
        <is>
          <t>2020-07-24 07:44:16</t>
        </is>
      </c>
      <c r="H10202" t="inlineStr">
        <is>
          <t>Type 1</t>
        </is>
      </c>
    </row>
    <row r="10203">
      <c r="A10203" t="inlineStr">
        <is>
          <t>hx34za</t>
        </is>
      </c>
      <c r="B10203" t="inlineStr">
        <is>
          <t>Need a real endocrinologist doctor referral.</t>
        </is>
      </c>
      <c r="C10203" t="inlineStr">
        <is>
          <t>Anyone please refer me to a endocrinologist who works directly with SSI and can get me a A Residual Functional Capacity form completed for SS. I live in KC can travel up to 500 miles. Most doctor just send documents to lawyers and I refuse to work with lawyers when I am clearly disabled.</t>
        </is>
      </c>
      <c r="D10203" t="n">
        <v>0</v>
      </c>
      <c r="E10203" t="n">
        <v>11</v>
      </c>
      <c r="F10203">
        <f>HYPERLINK("https://www.reddit.com/r/diabetes/comments/hx34za/need_a_real_endocrinologist_doctor_referral/")</f>
        <v/>
      </c>
      <c r="G10203" t="inlineStr">
        <is>
          <t>2020-07-24 07:51:59</t>
        </is>
      </c>
      <c r="H10203" t="inlineStr">
        <is>
          <t>Type 2</t>
        </is>
      </c>
    </row>
    <row r="10204">
      <c r="A10204" t="inlineStr">
        <is>
          <t>hx3g7z</t>
        </is>
      </c>
      <c r="B10204" t="inlineStr">
        <is>
          <t>Time for my daughter’s “Call this nurse or we won’t think you have diabetes anymore “</t>
        </is>
      </c>
      <c r="C10204" t="inlineStr">
        <is>
          <t>So my kid is 13 an we go to endo quarterly. I also have to call my insurance care line 4 times a year or they will stop covering her insulin and supplies 
The nurse asks what her a1c is, how her sites look, etc. this is all the shit that I go to the doctor for
Then they give me tips like “ keep carbs low” and “ bolus before eating “. Jesus Christ
Thanks for listening. Rant over</t>
        </is>
      </c>
      <c r="D10204" t="n">
        <v>12</v>
      </c>
      <c r="E10204" t="n">
        <v>16</v>
      </c>
      <c r="F10204">
        <f>HYPERLINK("https://www.reddit.com/r/diabetes/comments/hx3g7z/time_for_my_daughters_call_this_nurse_or_we_wont/")</f>
        <v/>
      </c>
      <c r="G10204" t="inlineStr">
        <is>
          <t>2020-07-24 08:09:34</t>
        </is>
      </c>
      <c r="H10204" t="inlineStr">
        <is>
          <t>Type 1</t>
        </is>
      </c>
    </row>
    <row r="10205">
      <c r="A10205" t="inlineStr">
        <is>
          <t>hx3u0h</t>
        </is>
      </c>
      <c r="B10205" t="inlineStr">
        <is>
          <t>Is having Diarrhea or soft stool normal for taking metformin everyday?</t>
        </is>
      </c>
      <c r="C10205" t="inlineStr">
        <is>
          <t>I have just been diagnosed as type 2 diabetes in last month so I started to take 500mg metformin twice a day. I know that the side effects of metformin is diarrhea but it should be temporary right？ I keep having diarrhea or soft stool almost everyday since I started my weight loss plan and taking metformin... is it normal or is it something wrong with my stomach？</t>
        </is>
      </c>
      <c r="D10205" t="n">
        <v>0</v>
      </c>
      <c r="E10205" t="n">
        <v>10</v>
      </c>
      <c r="F10205">
        <f>HYPERLINK("https://www.reddit.com/r/diabetes/comments/hx3u0h/is_having_diarrhea_or_soft_stool_normal_for/")</f>
        <v/>
      </c>
      <c r="G10205" t="inlineStr">
        <is>
          <t>2020-07-24 08:30:49</t>
        </is>
      </c>
      <c r="H10205" t="inlineStr">
        <is>
          <t>Type 2</t>
        </is>
      </c>
    </row>
    <row r="10206">
      <c r="A10206" t="inlineStr">
        <is>
          <t>hx5e7p</t>
        </is>
      </c>
      <c r="B10206" t="inlineStr">
        <is>
          <t>Figuring out carbs</t>
        </is>
      </c>
      <c r="C10206" t="inlineStr">
        <is>
          <t>Does the “subtract fiber from carbs” thing really work?</t>
        </is>
      </c>
      <c r="D10206" t="n">
        <v>1</v>
      </c>
      <c r="E10206" t="n">
        <v>13</v>
      </c>
      <c r="F10206">
        <f>HYPERLINK("https://www.reddit.com/r/diabetes/comments/hx5e7p/figuring_out_carbs/")</f>
        <v/>
      </c>
      <c r="G10206" t="inlineStr">
        <is>
          <t>2020-07-24 09:54:23</t>
        </is>
      </c>
      <c r="H10206" t="inlineStr">
        <is>
          <t>Type 2</t>
        </is>
      </c>
    </row>
    <row r="10207">
      <c r="A10207" t="inlineStr">
        <is>
          <t>hx9h6b</t>
        </is>
      </c>
      <c r="B10207" t="inlineStr">
        <is>
          <t>Best Canadian Pharmacy</t>
        </is>
      </c>
      <c r="C10207" t="inlineStr">
        <is>
          <t>What’s the best Canadian I like pharmacy that is safe, reliable and cheap? Thanks.</t>
        </is>
      </c>
      <c r="D10207" t="n">
        <v>1</v>
      </c>
      <c r="E10207" t="n">
        <v>13</v>
      </c>
      <c r="F10207">
        <f>HYPERLINK("https://www.reddit.com/r/diabetes/comments/hx9h6b/best_canadian_pharmacy/")</f>
        <v/>
      </c>
      <c r="G10207" t="inlineStr">
        <is>
          <t>2020-07-24 13:32:13</t>
        </is>
      </c>
      <c r="H10207" t="inlineStr">
        <is>
          <t>Type 1</t>
        </is>
      </c>
    </row>
    <row r="10208">
      <c r="A10208" t="inlineStr">
        <is>
          <t>hxaqlj</t>
        </is>
      </c>
      <c r="B10208" t="inlineStr">
        <is>
          <t>Got my first A1C since diagnosis</t>
        </is>
      </c>
      <c r="C10208" t="inlineStr">
        <is>
          <t>So I was diagnosed in January with an A1C of 9.8 and my blood sugar was 312 that day. I went yesterday finally to get my bloodwork done. I was nervous because even though I do low carb, I don’t exercise really. I lost a lot of weight and I’m afraid to lose any more weight. Also, I do have the occasional bread , fruit, pretzels ( like 5 of them at a time)and rice. I figured maybe it would go down to 7 if I was lucky. Imagine my surprise today when the test showed my A1C now 5.6! I honestly don’t know how that happened but I’m happy. My cholesterol panels all came down as well.  I. Still in shock with these results , hopefully I can be a little bit less restrictive, not go crazy but maybe not be so uptight. Anyway , I just thought I’d share something nice since I’m usually pretty sad and depressed when I post on these boards.</t>
        </is>
      </c>
      <c r="D10208" t="n">
        <v>16</v>
      </c>
      <c r="E10208" t="n">
        <v>12</v>
      </c>
      <c r="F10208">
        <f>HYPERLINK("https://www.reddit.com/r/diabetes/comments/hxaqlj/got_my_first_a1c_since_diagnosis/")</f>
        <v/>
      </c>
      <c r="G10208" t="inlineStr">
        <is>
          <t>2020-07-24 14:44:23</t>
        </is>
      </c>
      <c r="H10208" t="inlineStr">
        <is>
          <t>Type 2</t>
        </is>
      </c>
    </row>
    <row r="10209">
      <c r="A10209" t="inlineStr">
        <is>
          <t>hxe25h</t>
        </is>
      </c>
      <c r="B10209" t="inlineStr">
        <is>
          <t>Dexcom G6 CGM &amp;amp; InPen</t>
        </is>
      </c>
      <c r="C10209" t="inlineStr">
        <is>
          <t>Does anyone else use this combination of hardware and have the issue of the InPen pulling data 2-3 hours behind current?
Is there any way to resolve this and make it pull real time data so InPen has correct information to calculate a dose?</t>
        </is>
      </c>
      <c r="D10209" t="n">
        <v>1</v>
      </c>
      <c r="E10209" t="n">
        <v>12</v>
      </c>
      <c r="F10209">
        <f>HYPERLINK("https://www.reddit.com/r/diabetes/comments/hxe25h/dexcom_g6_cgm_inpen/")</f>
        <v/>
      </c>
      <c r="G10209" t="inlineStr">
        <is>
          <t>2020-07-24 18:17:33</t>
        </is>
      </c>
      <c r="H10209" t="inlineStr">
        <is>
          <t>Type 2</t>
        </is>
      </c>
    </row>
    <row r="10210">
      <c r="A10210" t="inlineStr">
        <is>
          <t>hxfq7v</t>
        </is>
      </c>
      <c r="B10210" t="inlineStr">
        <is>
          <t>Just jumped from 20 years with Medtronic pumps to Tandem and Dexcom. Looking for any advice, tricks and tips you all have discovered using them</t>
        </is>
      </c>
      <c r="C10210" t="inlineStr">
        <is>
          <t>As I am writing this it has officially been 24 hours since switching over. I am absolutely blown away with this setup. I’ve been on Medtronic pumps for 20 years with my most recent being the 670g. Now with Tandem-control IQ and Dexcom. I can’t remember the last time I was excited upgrading a pump. 
As the title states though I am looking for any advice, tricks and tips anyone might have using this setup</t>
        </is>
      </c>
      <c r="D10210" t="n">
        <v>6</v>
      </c>
      <c r="E10210" t="n">
        <v>12</v>
      </c>
      <c r="F10210">
        <f>HYPERLINK("https://www.reddit.com/r/diabetes/comments/hxfq7v/just_jumped_from_20_years_with_medtronic_pumps_to/")</f>
        <v/>
      </c>
      <c r="G10210" t="inlineStr">
        <is>
          <t>2020-07-24 20:14:14</t>
        </is>
      </c>
      <c r="H10210" t="inlineStr">
        <is>
          <t>Type 1</t>
        </is>
      </c>
    </row>
    <row r="10211">
      <c r="A10211" t="inlineStr">
        <is>
          <t>hxiqhb</t>
        </is>
      </c>
      <c r="B10211" t="inlineStr">
        <is>
          <t>THANK YOU!</t>
        </is>
      </c>
      <c r="C10211" t="inlineStr">
        <is>
          <t>Hey guys, new member here, DM1 since 2013!
I want to sincerely thank each and everyone of you for being such funny and relatable bunch. I'm struggling for the past  months with gastrointestinal problems and anxiety attacks, a not so pleasant combination for my glucose levels, I've been in the hospital 2 times with ketoacidosis in the last 30/40 days and my family seems to think it's all my fault.. but in the last hour I discovered this amazing sub! For the first time in a long time I have this huge smile, reading your stories and laughing at the amazing memes found here! Sometimes it's so easy to feel alone in this pancreas filled world, but reading the adventures of my fellas diabetics gives me so much hope for a healthy and happy future, so thank you for the amazing content! After all, now I know I'm not alone!</t>
        </is>
      </c>
      <c r="D10211" t="n">
        <v>8</v>
      </c>
      <c r="E10211" t="n">
        <v>8</v>
      </c>
      <c r="F10211">
        <f>HYPERLINK("https://www.reddit.com/r/diabetes/comments/hxiqhb/thank_you/")</f>
        <v/>
      </c>
      <c r="G10211" t="inlineStr">
        <is>
          <t>2020-07-25 00:24:41</t>
        </is>
      </c>
      <c r="H10211" t="inlineStr">
        <is>
          <t>Type 1</t>
        </is>
      </c>
    </row>
    <row r="10212">
      <c r="A10212" t="inlineStr">
        <is>
          <t>hxjbmv</t>
        </is>
      </c>
      <c r="B10212" t="inlineStr">
        <is>
          <t>Need help</t>
        </is>
      </c>
      <c r="C10212" t="inlineStr">
        <is>
          <t>Hi My Mum is having a hyperglycaemic attack, she hadn’t been taking her medications and is drowsy and confused, I’ve given her medications, and am checking her BGL every 15mins, what else can I do, not sure if this is the group to post in but just need any type of help, thank you</t>
        </is>
      </c>
      <c r="D10212" t="n">
        <v>1</v>
      </c>
      <c r="E10212" t="n">
        <v>6</v>
      </c>
      <c r="F10212">
        <f>HYPERLINK("https://www.reddit.com/r/diabetes/comments/hxjbmv/need_help/")</f>
        <v/>
      </c>
      <c r="G10212" t="inlineStr">
        <is>
          <t>2020-07-25 01:21:26</t>
        </is>
      </c>
      <c r="H10212" t="inlineStr">
        <is>
          <t>Type 2</t>
        </is>
      </c>
    </row>
    <row r="10213">
      <c r="A10213" t="inlineStr">
        <is>
          <t>hxn836</t>
        </is>
      </c>
      <c r="B10213" t="inlineStr">
        <is>
          <t>Conflict with Father over Insulin dosages</t>
        </is>
      </c>
      <c r="C10213" t="inlineStr">
        <is>
          <t>My father keeps on telling me to skip out on my morning insulin because of advice his customers with presumably Type 1 Diabetes.
I dont want to trust him but on the other hand I heard things about trying to last your tiny bottle of insulin for more than the normal month.
Should I just listen to doctors and inject my fast acting Insulin the recommended each time before meals? Should I try to curve down my carb count? He keeps going on and on about it and it’s driving me nuts.</t>
        </is>
      </c>
      <c r="D10213" t="n">
        <v>1</v>
      </c>
      <c r="E10213" t="n">
        <v>9</v>
      </c>
      <c r="F10213">
        <f>HYPERLINK("https://www.reddit.com/r/diabetes/comments/hxn836/conflict_with_father_over_insulin_dosages/")</f>
        <v/>
      </c>
      <c r="G10213" t="inlineStr">
        <is>
          <t>2020-07-25 07:03:17</t>
        </is>
      </c>
      <c r="H10213" t="inlineStr">
        <is>
          <t>Type 1</t>
        </is>
      </c>
    </row>
    <row r="10214">
      <c r="A10214" t="inlineStr">
        <is>
          <t>hxnqhh</t>
        </is>
      </c>
      <c r="B10214" t="inlineStr">
        <is>
          <t>Plant-based diet for type 1 diabetes?</t>
        </is>
      </c>
      <c r="C10214" t="inlineStr">
        <is>
          <t>This [study](https://www.longdom.org/open-access/plantbased-diets-for-type-1-diabetes.pdf) of (only) two individuals indicate that a plant-based diet can be beneficial for Type 1 diabetes and reduce HbA1c. I found the paper in [this article](https://medicalxpress.com/news/2020-07-plant-based-diets-high-carbs-diabetes.html) that summarises the content.
As a high intake of carbs is **contrary to everything I know about type 1 diabetes management**, I thought it could be interesting for others in this community.
From what I can tell, the authors indicate that the benefits stem from increased insulin sensitivity due to weight loss (i.e. less body fat) and gene expression triggered by a high intake of carbs. Seems plausible to me.
**Has any T1D in this forum tried a plant-based diet?**
As for myself I would find it very hard to give up dairy and eggs though I think I could live without meat...
Please note that the author's conclusion is only that the evidence presented is enough to warrant further studies to see if it the results can be generalised, so don't take their findings as the final word on nutrition advice for type 1 diabetics... :-)</t>
        </is>
      </c>
      <c r="D10214" t="n">
        <v>1</v>
      </c>
      <c r="E10214" t="n">
        <v>20</v>
      </c>
      <c r="F10214">
        <f>HYPERLINK("https://www.reddit.com/r/diabetes/comments/hxnqhh/plantbased_diet_for_type_1_diabetes/")</f>
        <v/>
      </c>
      <c r="G10214" t="inlineStr">
        <is>
          <t>2020-07-25 07:37:40</t>
        </is>
      </c>
      <c r="H10214" t="inlineStr">
        <is>
          <t>Type 1</t>
        </is>
      </c>
    </row>
    <row r="10215">
      <c r="A10215" t="inlineStr">
        <is>
          <t>hxpixx</t>
        </is>
      </c>
      <c r="B10215" t="inlineStr">
        <is>
          <t>How important is control test fluid?</t>
        </is>
      </c>
      <c r="C10215" t="inlineStr">
        <is>
          <t>I'm still very new to this.  I have all the supplies except the fluid.  Do I really need to do a couple of control tests on my reader?</t>
        </is>
      </c>
      <c r="D10215" t="n">
        <v>1</v>
      </c>
      <c r="E10215" t="n">
        <v>6</v>
      </c>
      <c r="F10215">
        <f>HYPERLINK("https://www.reddit.com/r/diabetes/comments/hxpixx/how_important_is_control_test_fluid/")</f>
        <v/>
      </c>
      <c r="G10215" t="inlineStr">
        <is>
          <t>2020-07-25 09:28:25</t>
        </is>
      </c>
      <c r="H10215" t="inlineStr">
        <is>
          <t>Type 2</t>
        </is>
      </c>
    </row>
    <row r="10216">
      <c r="A10216" t="inlineStr">
        <is>
          <t>hxpxlb</t>
        </is>
      </c>
      <c r="B10216" t="inlineStr">
        <is>
          <t>Anyone else feel nauseated when fasting bg is higher than normal?</t>
        </is>
      </c>
      <c r="C10216" t="inlineStr">
        <is>
          <t>Recently my endo wanted to adjust my long acting insulin to a lower amount and to do that for a week and adjust it 1u up a week until my bg was at or under 130. I was doing fine with the amount I was taking before but I tried even though I had a feeling it wouldn't be enough. Anyway after trying it for a week now my fasting bg has been higher in the morning than what I'm used to and now when I wake up I feel a little nauseous until my bg goes down. Just curious if this happens with anyone else?</t>
        </is>
      </c>
      <c r="D10216" t="n">
        <v>1</v>
      </c>
      <c r="E10216" t="n">
        <v>10</v>
      </c>
      <c r="F10216">
        <f>HYPERLINK("https://www.reddit.com/r/diabetes/comments/hxpxlb/anyone_else_feel_nauseated_when_fasting_bg_is/")</f>
        <v/>
      </c>
      <c r="G10216" t="inlineStr">
        <is>
          <t>2020-07-25 09:53:21</t>
        </is>
      </c>
      <c r="H10216" t="inlineStr">
        <is>
          <t>Type 1</t>
        </is>
      </c>
    </row>
    <row r="10217">
      <c r="A10217" t="inlineStr">
        <is>
          <t>hxrt7a</t>
        </is>
      </c>
      <c r="B10217" t="inlineStr">
        <is>
          <t>Good News Story and Question</t>
        </is>
      </c>
      <c r="C10217" t="inlineStr">
        <is>
          <t>Last October I had my Diabetes checkup and the A1C had creeped up to 9.1... the doc started talking about needing insulin if I couldn’t get it back down. SCARY. I set a follow-up to Last January. He also upped my Glypizide to 2 x 10mg daily and continued 2000mg of metformin.
I researched reversing diabetes and learned about the impact of Carbs, etc. starting a low carb diet and exercise. I also started “eating to my BS meter”.
January comes and SURPRISE, my A1C was down to 5.7 and I had taken off 25 pounds. Doctors seemed happy and cut my Glypizide to 1X10mg to help with the weight loss. Then COVID struck.
It was time to either sink or swim, I decided to swim. Over the next 6 months I took of another 25 pounds and got my blood sugar down on my meter. 
Last week I had another follow up.... down 50+ pounds and the A1C was 5.4! The doctor again agreed to take me off the rest of the Glypizide. She wants to see me again in the fall.
BUT- since coming off Glypizide my BS has creeped back up to 140 at fasting. Still doing the LCHF and excercise. Still doing the Metformin.
Is this the Blood Sugar something that will readjust? Or is my pancreases just too beat up to function without the aid of Glypizide? I’m going to continue the LCHF ... but any ideas how long it will take to rebalance itself?
Thanks</t>
        </is>
      </c>
      <c r="D10217" t="n">
        <v>1</v>
      </c>
      <c r="E10217" t="n">
        <v>2</v>
      </c>
      <c r="F10217">
        <f>HYPERLINK("https://www.reddit.com/r/diabetes/comments/hxrt7a/good_news_story_and_question/")</f>
        <v/>
      </c>
      <c r="G10217" t="inlineStr">
        <is>
          <t>2020-07-25 11:41:53</t>
        </is>
      </c>
      <c r="H10217" t="inlineStr">
        <is>
          <t>Type 2</t>
        </is>
      </c>
    </row>
    <row r="10218">
      <c r="A10218" t="inlineStr">
        <is>
          <t>hxuevz</t>
        </is>
      </c>
      <c r="B10218" t="inlineStr">
        <is>
          <t>Question about working out with high blood sugar</t>
        </is>
      </c>
      <c r="C10218" t="inlineStr">
        <is>
          <t>The last while I've been wondering about working out with high blood sugar. I've read that high blood sugar can cause muscles atrophy and break down muscle whereas obviously we want to work for the opposite. Today I started my workout with blood sugar at 4.0 and when I tested my sugar at the end it was at 19.8. Now I was just curious as to what this means for my muscle building efforts. Does working out with high blood sugar completely negate any effects of said workout or does it not really have that big of an effect in the short term?</t>
        </is>
      </c>
      <c r="D10218" t="n">
        <v>1</v>
      </c>
      <c r="E10218" t="n">
        <v>6</v>
      </c>
      <c r="F10218">
        <f>HYPERLINK("https://www.reddit.com/r/diabetes/comments/hxuevz/question_about_working_out_with_high_blood_sugar/")</f>
        <v/>
      </c>
      <c r="G10218" t="inlineStr">
        <is>
          <t>2020-07-25 14:17:05</t>
        </is>
      </c>
      <c r="H10218" t="inlineStr">
        <is>
          <t>Type 1</t>
        </is>
      </c>
    </row>
    <row r="10219">
      <c r="A10219" t="inlineStr">
        <is>
          <t>hxwvdd</t>
        </is>
      </c>
      <c r="B10219" t="inlineStr">
        <is>
          <t>Insulin</t>
        </is>
      </c>
      <c r="C10219" t="inlineStr">
        <is>
          <t>Hi, I live in canada and wanted to know, when you guys have too much insulin in stock at home what do you usually do? ( I’m asking because I recently change lantus for toujeo and I don’t know what to do with the lantus now? )</t>
        </is>
      </c>
      <c r="D10219" t="n">
        <v>1</v>
      </c>
      <c r="E10219" t="n">
        <v>4</v>
      </c>
      <c r="F10219">
        <f>HYPERLINK("https://www.reddit.com/r/diabetes/comments/hxwvdd/insulin/")</f>
        <v/>
      </c>
      <c r="G10219" t="inlineStr">
        <is>
          <t>2020-07-25 16:53:49</t>
        </is>
      </c>
      <c r="H10219" t="inlineStr">
        <is>
          <t>Type 1</t>
        </is>
      </c>
    </row>
    <row r="10220">
      <c r="A10220" t="inlineStr">
        <is>
          <t>hxygnb</t>
        </is>
      </c>
      <c r="B10220" t="inlineStr">
        <is>
          <t>Did I have a seizure? Woke up at 4am with issues.</t>
        </is>
      </c>
      <c r="C10220" t="inlineStr">
        <is>
          <t>Today I woke up at 4am, barely able to move at all. It was extremely taxing to even lift my head, and i felt like total crap just laying there. I managed to get to the sink, got some water, then later I got some milk. By the time I tested, my sugar was 69.
I noticed there was a sandwich on the table with a few bites out of it, that I really didn't remember making, and my lip and tongue were bitten pretty badly.
My speech was slurred and I was having a bit of trouble breathing, so after I sat there for an hour I finally decided to call an ambulance. They came and conned me into taking a ride to the hospital(they said I could be having a stroke). They took me there and I was fine after a few hours, for the most part.
Once I was discharged, I tried to order an uber or something, but no one was available or willing. Since I didn't have my wallet for a cab or bus, I just had to walk/stumble the two miles home, barefoot.
So yeah, never had a diabetic seizure before, but may have today? I had a CGM last year but it was too expensive so I cancelled it. I might get it again since I'll probably meet my deductible pretty soon.</t>
        </is>
      </c>
      <c r="D10220" t="n">
        <v>1</v>
      </c>
      <c r="E10220" t="n">
        <v>18</v>
      </c>
      <c r="F10220">
        <f>HYPERLINK("https://www.reddit.com/r/diabetes/comments/hxygnb/did_i_have_a_seizure_woke_up_at_4am_with_issues/")</f>
        <v/>
      </c>
      <c r="G10220" t="inlineStr">
        <is>
          <t>2020-07-25 18:45:55</t>
        </is>
      </c>
      <c r="H10220" t="inlineStr">
        <is>
          <t>Type 1</t>
        </is>
      </c>
    </row>
    <row r="10221">
      <c r="A10221" t="inlineStr">
        <is>
          <t>hy32al</t>
        </is>
      </c>
      <c r="B10221" t="inlineStr">
        <is>
          <t>My cartridge can’t slide into the slot on my T-Slim X2</t>
        </is>
      </c>
      <c r="C10221" t="inlineStr">
        <is>
          <t>So as the title describes, that is my current issue at hand. I’m also not at my house right now so I’m out of cartridges to try this with and don’t really want to go on shots. I was wondering if you guys had any tips. I tried lining it up and fitting it along the little spot that sticks out on the pump, but it just won’t slide all the way in.</t>
        </is>
      </c>
      <c r="D10221" t="n">
        <v>1</v>
      </c>
      <c r="E10221" t="n">
        <v>3</v>
      </c>
      <c r="F10221">
        <f>HYPERLINK("https://www.reddit.com/r/diabetes/comments/hy32al/my_cartridge_cant_slide_into_the_slot_on_my_tslim/")</f>
        <v/>
      </c>
      <c r="G10221" t="inlineStr">
        <is>
          <t>2020-07-26 00:57:42</t>
        </is>
      </c>
      <c r="H10221" t="inlineStr">
        <is>
          <t>Type 1</t>
        </is>
      </c>
    </row>
    <row r="10222">
      <c r="A10222" t="inlineStr">
        <is>
          <t>hy5lpj</t>
        </is>
      </c>
      <c r="B10222" t="inlineStr">
        <is>
          <t>I don’t want a pump</t>
        </is>
      </c>
      <c r="C10222" t="inlineStr">
        <is>
          <t>This might be a bit long but it’s just how I feel, so I’m sorry in advance.
I know that a pump would make my life significantly easier and healthier, but I just prefer the insulin pens. I’m 14 and I’ve used them for the past 5/6 years and I actually just got my pump today. I know it might be early to complain and stuff but I have a gut feeling I will not like it. I’m a very active person and I’m a football/soccer player. I just find it extremely frustrating to run around with this thing attached to you that costs an absolute fortune to replace if it gets broken. I’m a very competitive person as well and don’t back away from challenges in the game, so I can easily see it being damaged. Some people might say to just take it off but that would mess up my blood sugars and affect my performance, which I really am serious about. It’s also not just about breaking it though, but just the thought of having to change all the settings in the pump when I do something different. I live my life not knowing what will come next, and that is a major source of excitement for me, so when my life is planned out, I don’t really feel like living it if you know what I mean. But, I kinda feel like I have to live by the pump’s settings, otherwise I would have to change them so much, and it would become very tedious and frustrating. It just seems easier to me RIGHT NOW, to use pens. Take medicine when eating/high, eat/drink something when low.
Obviously I don’t know if these are 100% gonna happen, but they are big worries for me. Again, sorry this is long I just had to rant.</t>
        </is>
      </c>
      <c r="D10222" t="n">
        <v>1</v>
      </c>
      <c r="E10222" t="n">
        <v>14</v>
      </c>
      <c r="F10222">
        <f>HYPERLINK("https://www.reddit.com/r/diabetes/comments/hy5lpj/i_dont_want_a_pump/")</f>
        <v/>
      </c>
      <c r="G10222" t="inlineStr">
        <is>
          <t>2020-07-26 04:46:44</t>
        </is>
      </c>
      <c r="H10222" t="inlineStr">
        <is>
          <t>Type 1</t>
        </is>
      </c>
    </row>
    <row r="10223">
      <c r="A10223" t="inlineStr">
        <is>
          <t>hy6b7z</t>
        </is>
      </c>
      <c r="B10223" t="inlineStr">
        <is>
          <t>High blood sugar</t>
        </is>
      </c>
      <c r="C10223" t="inlineStr">
        <is>
          <t>Last night before going to sleep my blood sugar was at 5.2 and this morning it was at 17,1 mmol/L, and I don’t understand why, has this ever happened to you? ( I didn’t eat last night and I put the same amount of insulin as always)</t>
        </is>
      </c>
      <c r="D10223" t="n">
        <v>1</v>
      </c>
      <c r="E10223" t="n">
        <v>8</v>
      </c>
      <c r="F10223">
        <f>HYPERLINK("https://www.reddit.com/r/diabetes/comments/hy6b7z/high_blood_sugar/")</f>
        <v/>
      </c>
      <c r="G10223" t="inlineStr">
        <is>
          <t>2020-07-26 05:44:23</t>
        </is>
      </c>
      <c r="H10223" t="inlineStr">
        <is>
          <t>Type 1</t>
        </is>
      </c>
    </row>
    <row r="10224">
      <c r="A10224" t="inlineStr">
        <is>
          <t>hy7tcw</t>
        </is>
      </c>
      <c r="B10224" t="inlineStr">
        <is>
          <t>Would love some input... medication for T2</t>
        </is>
      </c>
      <c r="C10224" t="inlineStr">
        <is>
          <t>I’ll start by saying, we’re going to go back to the doctor next week.
My husband is T2. Since being diagnosed, he’s completely changed his life with the goal to come off the Glipizide eventually.
His latest A1C was 5.1
He’s been taking Glipizide in the morning plus 2 Metformin (1000mg) and two Metformin at dinner (1000mg).
However, the last two weeks he’s been getting lows in the late afternoon before dinner. 54. 57. 61. In that range.
A couple days ago we decided he should skip the Glipizide and we’d keep an extra eye on his numbers. 
No lows. So far his before meal readings have been in the range of 105-115 and post meals 150-160 with one being 165. The 165 came after a small treat of a kids sized ice cream in the afternoon (which is very rare).
His fasting number this morning, after sleeping in a bit (10am), was 141 though. I thought that was high for being first thing.
I’d love some thoughts on this.... as I started with, we are going to go back to the doctor next week, but I thought some input from others might be helpful.</t>
        </is>
      </c>
      <c r="D10224" t="n">
        <v>1</v>
      </c>
      <c r="E10224" t="n">
        <v>3</v>
      </c>
      <c r="F10224">
        <f>HYPERLINK("https://www.reddit.com/r/diabetes/comments/hy7tcw/would_love_some_input_medication_for_t2/")</f>
        <v/>
      </c>
      <c r="G10224" t="inlineStr">
        <is>
          <t>2020-07-26 07:27:00</t>
        </is>
      </c>
      <c r="H10224" t="inlineStr">
        <is>
          <t>Type 2</t>
        </is>
      </c>
    </row>
    <row r="10225">
      <c r="A10225" t="inlineStr">
        <is>
          <t>hy8f72</t>
        </is>
      </c>
      <c r="B10225" t="inlineStr">
        <is>
          <t>My blood sugar just won’t drop!</t>
        </is>
      </c>
      <c r="C10225" t="inlineStr">
        <is>
          <t>So I was recently diagnosed as type 2 diabetes and I am taking metformin for 2 months now. I eat very healthy and exercise everyday! The first month was fine, my blood sugar drop from 10 mmol to 6 mmol. But my doctor said that since I am young, my blood sugar have to stay under 5 mmol so she gives me a heavier dose of metformin...but it won’t drop! No matter what I eat or do, my blood sugar just stay around 7 ~ 6 mmol! What can I do? Should I ask for more medicine?</t>
        </is>
      </c>
      <c r="D10225" t="n">
        <v>1</v>
      </c>
      <c r="E10225" t="n">
        <v>6</v>
      </c>
      <c r="F10225">
        <f>HYPERLINK("https://www.reddit.com/r/diabetes/comments/hy8f72/my_blood_sugar_just_wont_drop/")</f>
        <v/>
      </c>
      <c r="G10225" t="inlineStr">
        <is>
          <t>2020-07-26 08:04:19</t>
        </is>
      </c>
      <c r="H10225" t="inlineStr">
        <is>
          <t>Type 2</t>
        </is>
      </c>
    </row>
    <row r="10226">
      <c r="A10226" t="inlineStr">
        <is>
          <t>hy8hts</t>
        </is>
      </c>
      <c r="B10226" t="inlineStr">
        <is>
          <t>Much to learn- exercise edition</t>
        </is>
      </c>
      <c r="C10226" t="inlineStr">
        <is>
          <t>Woke up at 159 fasting much better than the 280 fasting when I was diagnosed  I went for a walk around the lake and tested after and it was 214. WTF. I didn’t eat before the walk.  I guess I’m supposed to eat first now they I’m researching.  There is lots to learn.</t>
        </is>
      </c>
      <c r="D10226" t="n">
        <v>1</v>
      </c>
      <c r="E10226" t="n">
        <v>2</v>
      </c>
      <c r="F10226">
        <f>HYPERLINK("https://www.reddit.com/r/diabetes/comments/hy8hts/much_to_learn_exercise_edition/")</f>
        <v/>
      </c>
      <c r="G10226" t="inlineStr">
        <is>
          <t>2020-07-26 08:08:58</t>
        </is>
      </c>
      <c r="H10226" t="inlineStr">
        <is>
          <t>Type 2</t>
        </is>
      </c>
    </row>
    <row r="10227">
      <c r="A10227" t="inlineStr">
        <is>
          <t>hy9f2g</t>
        </is>
      </c>
      <c r="B10227" t="inlineStr">
        <is>
          <t>How well does the Dexcom Control-IQ closed loop system work for fragile diabetics?</t>
        </is>
      </c>
      <c r="C10227" t="inlineStr">
        <is>
          <t>I am a fragile T1.5 and I use a infant pen to inject 0.5 units. It's always a bit of a gamble of how I will react to my doses. Usually, it's fine but occasionally I will crash for basically no reason. I would love to try the new closed loop systems but they scare me. 
Are they good enough for fragile diabetics? Is it going to kill me in the middle of the night?
Thanks!</t>
        </is>
      </c>
      <c r="D10227" t="n">
        <v>1</v>
      </c>
      <c r="E10227" t="n">
        <v>6</v>
      </c>
      <c r="F10227">
        <f>HYPERLINK("https://www.reddit.com/r/diabetes/comments/hy9f2g/how_well_does_the_dexcom_controliq_closed_loop/")</f>
        <v/>
      </c>
      <c r="G10227" t="inlineStr">
        <is>
          <t>2020-07-26 09:04:37</t>
        </is>
      </c>
      <c r="H10227" t="inlineStr">
        <is>
          <t>Type 1.5/LADA</t>
        </is>
      </c>
    </row>
    <row r="10228">
      <c r="A10228" t="inlineStr">
        <is>
          <t>hyacpj</t>
        </is>
      </c>
      <c r="B10228" t="inlineStr">
        <is>
          <t>This Friday I'm going to start a giveaway to help some people in need of a meter and test strips. It will be only once a week.</t>
        </is>
      </c>
      <c r="C10228" t="inlineStr">
        <is>
          <t>I'm poor just like some of you out there. I'm going to send a Relion Premier Classic out with some test strips every Friday. I will be doing it via Walmart to Walmart so you can pick it up directly. I want to help out people that are in real need. So if anyone knows of anyone in real need and can use a glucose meter please let me know.</t>
        </is>
      </c>
      <c r="D10228" t="n">
        <v>1</v>
      </c>
      <c r="E10228" t="n">
        <v>3</v>
      </c>
      <c r="F10228">
        <f>HYPERLINK("https://www.reddit.com/r/diabetes/comments/hyacpj/this_friday_im_going_to_start_a_giveaway_to_help/")</f>
        <v/>
      </c>
      <c r="G10228" t="inlineStr">
        <is>
          <t>2020-07-26 09:59:11</t>
        </is>
      </c>
      <c r="H10228" t="inlineStr">
        <is>
          <t>Type 2</t>
        </is>
      </c>
    </row>
    <row r="10229">
      <c r="A10229" t="inlineStr">
        <is>
          <t>hyahyp</t>
        </is>
      </c>
      <c r="B10229" t="inlineStr">
        <is>
          <t>Looking for someone who controls their diabetes with just diet</t>
        </is>
      </c>
      <c r="C10229" t="inlineStr">
        <is>
          <t>I've not officially been diagnosed with diabetes yet but I feel it's coming soon. I would just like to find someone who is able to control their diabetes with diet. If I can I'd like to try to focus on my diet before I go on medication. 
Would love to get an idea of what you would eat....</t>
        </is>
      </c>
      <c r="D10229" t="n">
        <v>1</v>
      </c>
      <c r="E10229" t="n">
        <v>9</v>
      </c>
      <c r="F10229">
        <f>HYPERLINK("https://www.reddit.com/r/diabetes/comments/hyahyp/looking_for_someone_who_controls_their_diabetes/")</f>
        <v/>
      </c>
      <c r="G10229" t="inlineStr">
        <is>
          <t>2020-07-26 10:07:13</t>
        </is>
      </c>
      <c r="H10229" t="inlineStr">
        <is>
          <t>Type 2</t>
        </is>
      </c>
    </row>
    <row r="10230">
      <c r="A10230" t="inlineStr">
        <is>
          <t>hycfus</t>
        </is>
      </c>
      <c r="B10230" t="inlineStr">
        <is>
          <t>Learning more about the diagnosis process</t>
        </is>
      </c>
      <c r="C10230" t="inlineStr">
        <is>
          <t>I'm really sorry if this comes off as insensitive but could I possibly have a conversation with someone with type 2 diabetes about the process of diagnosis and how you dealt with diabetes? DMs or in this thread would be fine.</t>
        </is>
      </c>
      <c r="D10230" t="n">
        <v>1</v>
      </c>
      <c r="E10230" t="n">
        <v>7</v>
      </c>
      <c r="F10230">
        <f>HYPERLINK("https://www.reddit.com/r/diabetes/comments/hycfus/learning_more_about_the_diagnosis_process/")</f>
        <v/>
      </c>
      <c r="G10230" t="inlineStr">
        <is>
          <t>2020-07-26 11:55:07</t>
        </is>
      </c>
      <c r="H10230" t="inlineStr">
        <is>
          <t>Type 2</t>
        </is>
      </c>
    </row>
    <row r="10231">
      <c r="A10231" t="inlineStr">
        <is>
          <t>hyd70w</t>
        </is>
      </c>
      <c r="B10231" t="inlineStr">
        <is>
          <t>How to deal with Halloween?</t>
        </is>
      </c>
      <c r="C10231" t="inlineStr">
        <is>
          <t>Hey! I was diagnosed with type 1 a few weeks ago, and just this morning, I realized that Halloween is in just a few months. I feel like Covid might have died down enough by then that some trick r treating wouldn't be too harmful, and I'm still young enough to go. Halloween has always been my favorite holiday, and it sucks to know that I can't enjoy it like I used to, or how I see all of my friends enjoy it. I don't really know any other diabetics in real life, so I don't have anyone to ask. At least I can still dress up and enjoy all the scary stuff, I assume I'll just have to give away all my candy and maybe keep a few good ones in case of future lows. Does anyone have any advice?</t>
        </is>
      </c>
      <c r="D10231" t="n">
        <v>1</v>
      </c>
      <c r="E10231" t="n">
        <v>9</v>
      </c>
      <c r="F10231">
        <f>HYPERLINK("https://www.reddit.com/r/diabetes/comments/hyd70w/how_to_deal_with_halloween/")</f>
        <v/>
      </c>
      <c r="G10231" t="inlineStr">
        <is>
          <t>2020-07-26 12:35:31</t>
        </is>
      </c>
      <c r="H10231" t="inlineStr">
        <is>
          <t>Type 1</t>
        </is>
      </c>
    </row>
    <row r="10232">
      <c r="A10232" t="inlineStr">
        <is>
          <t>hydde0</t>
        </is>
      </c>
      <c r="B10232" t="inlineStr">
        <is>
          <t>How to avoid lows during exercise?</t>
        </is>
      </c>
      <c r="C10232" t="inlineStr">
        <is>
          <t>So I’ve started exercising at home the past month through lockdown. I am a healthy weight but would like to lose a little fat and gain more muscle. I’m struggling to figure out what to do about my levels and exercise - I take about 20-30% less insulin than usual at meal time if I know I will be exercising soon after. My Dexcom shows that my level is going up quickly after eating and is around 10 / 11 mmol. I start exercising and then I am crashing by 30 mins and have to stop to drink juice. This is really annoying because I do not want to stop and start exercising over a long period of time in a day. How do I stop this yo yo? I use an Omnipod btw.</t>
        </is>
      </c>
      <c r="D10232" t="n">
        <v>1</v>
      </c>
      <c r="E10232" t="n">
        <v>7</v>
      </c>
      <c r="F10232">
        <f>HYPERLINK("https://www.reddit.com/r/diabetes/comments/hydde0/how_to_avoid_lows_during_exercise/")</f>
        <v/>
      </c>
      <c r="G10232" t="inlineStr">
        <is>
          <t>2020-07-26 12:45:40</t>
        </is>
      </c>
      <c r="H10232" t="inlineStr">
        <is>
          <t>Type 1</t>
        </is>
      </c>
    </row>
    <row r="10233">
      <c r="A10233" t="inlineStr">
        <is>
          <t>hyfa5w</t>
        </is>
      </c>
      <c r="B10233" t="inlineStr">
        <is>
          <t>How do I keep my tandem pump site attached while swimming?</t>
        </is>
      </c>
      <c r="C10233" t="inlineStr">
        <is>
          <t>Hi everyone,
Whenever I go swimming, I disconnect my tandem t-slim pump but leave my infusion set on. However, the infusion set always seems to come off while swimming. Does anyone have any tips on how to keep my infusion set attached to my body while swimming? It's becoming a pain to change my infusion set every time after I swim. Thanks!</t>
        </is>
      </c>
      <c r="D10233" t="n">
        <v>1</v>
      </c>
      <c r="E10233" t="n">
        <v>1</v>
      </c>
      <c r="F10233">
        <f>HYPERLINK("https://www.reddit.com/r/diabetes/comments/hyfa5w/how_do_i_keep_my_tandem_pump_site_attached_while/")</f>
        <v/>
      </c>
      <c r="G10233" t="inlineStr">
        <is>
          <t>2020-07-26 14:33:17</t>
        </is>
      </c>
      <c r="H10233" t="inlineStr">
        <is>
          <t>Type 1</t>
        </is>
      </c>
    </row>
    <row r="10234">
      <c r="A10234" t="inlineStr">
        <is>
          <t>hyjnae</t>
        </is>
      </c>
      <c r="B10234" t="inlineStr">
        <is>
          <t>Now I understand what he meant... (Rant)</t>
        </is>
      </c>
      <c r="C10234" t="inlineStr">
        <is>
          <t>T1D here since 1989 (37 years old now ). Just had a flashback of understanding. I was looking for an Endo at the time and was directed to a diabetes educator. He asked me what I do for a living. At the time I was working an office job I hated and had aspirations to working in film/video production. He told me that film production was not suited for people like me. I didn't understand and pushed back on that idea. But after 15-20 years I finally get what he probably meant. It's not the crazy scheduling or traveling that made it hard for a T1D. It's the high cost of living without insurance in the USA. 
I didn't pursue a career in film because I sought a job with good insurance. I'm happily now but who knows how much happier I could have been? 
\rant</t>
        </is>
      </c>
      <c r="D10234" t="n">
        <v>1</v>
      </c>
      <c r="E10234" t="n">
        <v>3</v>
      </c>
      <c r="F10234">
        <f>HYPERLINK("https://www.reddit.com/r/diabetes/comments/hyjnae/now_i_understand_what_he_meant_rant/")</f>
        <v/>
      </c>
      <c r="G10234" t="inlineStr">
        <is>
          <t>2020-07-26 19:10:59</t>
        </is>
      </c>
      <c r="H10234" t="inlineStr">
        <is>
          <t>Type 1</t>
        </is>
      </c>
    </row>
    <row r="10235">
      <c r="A10235" t="inlineStr">
        <is>
          <t>hym36a</t>
        </is>
      </c>
      <c r="B10235" t="inlineStr">
        <is>
          <t>Unexplained high</t>
        </is>
      </c>
      <c r="C10235" t="inlineStr">
        <is>
          <t>Does anyone else have unexplained highs? I ate two toasts and drank a cup of tea taking 14 units of humalog my ICR is 1:8, after 10 minutes sugar rises to 312 then I take 20 units of humalog to treat that and after 1 hour sugar decreases to 147 my ISF is 30 and taking this much insulin I should have been low by now. Also Does anyone also feel like it hurts a lot more while injecting when your sugar is high? I'm just 16 years old</t>
        </is>
      </c>
      <c r="D10235" t="n">
        <v>1</v>
      </c>
      <c r="E10235" t="n">
        <v>14</v>
      </c>
      <c r="F10235">
        <f>HYPERLINK("https://www.reddit.com/r/diabetes/comments/hym36a/unexplained_high/")</f>
        <v/>
      </c>
      <c r="G10235" t="inlineStr">
        <is>
          <t>2020-07-26 22:11:13</t>
        </is>
      </c>
      <c r="H10235" t="inlineStr">
        <is>
          <t>Type 1</t>
        </is>
      </c>
    </row>
    <row r="10236">
      <c r="A10236" t="inlineStr">
        <is>
          <t>hyoaf6</t>
        </is>
      </c>
      <c r="B10236" t="inlineStr">
        <is>
          <t>T2 Diabetes is mostly a scam</t>
        </is>
      </c>
      <c r="C10236" t="inlineStr">
        <is>
          <t>There really is little risk of having high blood sugar. If the body doesn’t even get a coma until 600, and that’s even rare, I don’t think being constantly in 150-300 range naturally is dangerous. It’s just a money grab. The fact that the “levels of danger” in glucose levels got even lower right as the pharmaceutical industry began to rise higher prices my point further. 
It’s a scam. Being in higher ranges (under 300) with no frequent urination, thirst, etc. means that everything is fine. People swear the body is stupid and the doctor is right.
Wake up guys. More than half of you don’t even need to be spending extra money. You’re just causing a higher demand so people who really need it (t1) have to pay more.</t>
        </is>
      </c>
      <c r="D10236" t="n">
        <v>1</v>
      </c>
      <c r="E10236" t="n">
        <v>10</v>
      </c>
      <c r="F10236">
        <f>HYPERLINK("https://www.reddit.com/r/diabetes/comments/hyoaf6/t2_diabetes_is_mostly_a_scam/")</f>
        <v/>
      </c>
      <c r="G10236" t="inlineStr">
        <is>
          <t>2020-07-27 01:19:53</t>
        </is>
      </c>
      <c r="H10236" t="inlineStr">
        <is>
          <t>Type 2</t>
        </is>
      </c>
    </row>
    <row r="10237">
      <c r="A10237" t="inlineStr">
        <is>
          <t>hyrcci</t>
        </is>
      </c>
      <c r="B10237" t="inlineStr">
        <is>
          <t>Dexcom G6 - Calibration and Sensor Errors</t>
        </is>
      </c>
      <c r="C10237" t="inlineStr">
        <is>
          <t>I continue to experience a lot of sensor errors even though I always have my phone with me. I have even tried also carrying my PDM but it doesn't seem to make any difference. Today my Dexcom G6 reported a blood sugar of 103 before I took my bolus for my morning meal. Within about 20 minutes, I got a warning that my glucose was 57. That didn't feel or sound right so I got out my BG monitor and it reported 191! Now I wonder if my glucose could have been high all night! The device told me to recalibrate in 15 minutes after I entered the new reading. Fifteen minutes later when I attempted to add a new calibration, the device was in error. I called TS and they are replacing. She told me not to calibrate so soon when it is more than 100 points off. Are my experiences like this unique, or are any of you having similar problems? It seems like I get a replacement G6 once or twice a week now.</t>
        </is>
      </c>
      <c r="D10237" t="n">
        <v>1</v>
      </c>
      <c r="E10237" t="n">
        <v>8</v>
      </c>
      <c r="F10237">
        <f>HYPERLINK("https://www.reddit.com/r/diabetes/comments/hyrcci/dexcom_g6_calibration_and_sensor_errors/")</f>
        <v/>
      </c>
      <c r="G10237" t="inlineStr">
        <is>
          <t>2020-07-27 05:28:44</t>
        </is>
      </c>
      <c r="H10237" t="inlineStr">
        <is>
          <t>Type 2</t>
        </is>
      </c>
    </row>
    <row r="10238">
      <c r="A10238" t="inlineStr">
        <is>
          <t>hyuz6e</t>
        </is>
      </c>
      <c r="B10238" t="inlineStr">
        <is>
          <t>Humulin 70/30 Pen</t>
        </is>
      </c>
      <c r="C10238" t="inlineStr">
        <is>
          <t>I am T2 and was using medicines (Invokana + Metformin), which kept my BS under control. However, I was experiencing side effects and my doctor suggested me to shift towards Insulin to minimize the side effects. He prescribed Lantus Solostar, but it didn't work well. Now he has prescribed me Humulin 70/30.
My question is, how do you guys rate Humulin 70/30? Is anyone else using it successfully? I read somewhere that it is an old Insulin formula and is not that effective. Should I be worried?</t>
        </is>
      </c>
      <c r="D10238" t="n">
        <v>1</v>
      </c>
      <c r="E10238" t="n">
        <v>10</v>
      </c>
      <c r="F10238">
        <f>HYPERLINK("https://www.reddit.com/r/diabetes/comments/hyuz6e/humulin_7030_pen/")</f>
        <v/>
      </c>
      <c r="G10238" t="inlineStr">
        <is>
          <t>2020-07-27 09:00:17</t>
        </is>
      </c>
      <c r="H10238" t="inlineStr">
        <is>
          <t>Type 2</t>
        </is>
      </c>
    </row>
    <row r="10239">
      <c r="A10239" t="inlineStr">
        <is>
          <t>hyxnyg</t>
        </is>
      </c>
      <c r="B10239" t="inlineStr">
        <is>
          <t>This weekend I climbed a mountain for the first time since my T1D diagnosis. I was terrified. It was amazing.</t>
        </is>
      </c>
      <c r="C10239" t="inlineStr">
        <is>
          <t>It's been 2 years since I was diagnosed with T1D, and I've always felt constrained by the insulin therapy. Can't go too far, be alone for too long, for fear of going too low. Exercise in particular has been difficult, as my beloved distance running causes my sugar to nosedive. Hiking and trail running were my favorites, but they're too dangerous-- what if something goes wrong, and I can't get help?
This weekend I said "fuck that." My friends wanted to climb a mountain, and dammit I wanted to join.  
Leading up, I was nervous as hell, but I prepared. Adjusted my basal the night before, abstained from bolus day-of, and stuffed my backpack with a ludicrous amount of juice, gummy bears, and glucagon. Over 4 hours and 3,200 ft of elevation, I stayed in range 100% of the time. 
The sense of freedom and accomplishment I feel is incredible. It wasn't a superhuman feat, but to me it felt like a turning point. 
I want all of you to know that you are NOT limited by a disease. You may need to think ahead, to plan and prepare, but you can do whatever you want..</t>
        </is>
      </c>
      <c r="D10239" t="n">
        <v>1</v>
      </c>
      <c r="E10239" t="n">
        <v>23</v>
      </c>
      <c r="F10239">
        <f>HYPERLINK("https://www.reddit.com/r/diabetes/comments/hyxnyg/this_weekend_i_climbed_a_mountain_for_the_first/")</f>
        <v/>
      </c>
      <c r="G10239" t="inlineStr">
        <is>
          <t>2020-07-27 11:18:44</t>
        </is>
      </c>
      <c r="H10239" t="inlineStr">
        <is>
          <t>Type 1</t>
        </is>
      </c>
    </row>
    <row r="10240">
      <c r="A10240" t="inlineStr">
        <is>
          <t>hyxz4s</t>
        </is>
      </c>
      <c r="B10240" t="inlineStr">
        <is>
          <t>Weird LADA diagnosis stories?</t>
        </is>
      </c>
      <c r="C10240" t="inlineStr">
        <is>
          <t>At diagnosis, I had a fasting BS at 331 and an A1C at 9.6.  A month later, I tested positive for GAD antibodies, had lower than normal c-peptide, and was diagnosed as LADA.  I was unhappy with my doctor, so sought out another one, who ordered another set of tests.  I just got them back and I'm within normal ranges for the other antibodies (IA2 and Znt8).  My GAD is still elevated, but significantly lower and within spitting distance of normal.  In those two months my A1C has dropped to 6.7 with diet, exercise, and metformin (no insulin).  This last week especially my BS has been great - consistently below 110, even after meals.
I am just looking for experiences from others who may have had similar experiences.  I don't want to read too much into these results and believe that the LADA was a misdiagnosis and that I actually have T2 (or something else altogether).  My mother has T1, so I suppose MODY may also be possible.  
For any LADAs out there, did you have lab results for antibodies after your initial diagnosis that indicated a positive trend away from an autoimmune attack?  If so, how long did that last, how do you currently treat it, and what happened next?</t>
        </is>
      </c>
      <c r="D10240" t="n">
        <v>1</v>
      </c>
      <c r="E10240" t="n">
        <v>5</v>
      </c>
      <c r="F10240">
        <f>HYPERLINK("https://www.reddit.com/r/diabetes/comments/hyxz4s/weird_lada_diagnosis_stories/")</f>
        <v/>
      </c>
      <c r="G10240" t="inlineStr">
        <is>
          <t>2020-07-27 11:34:22</t>
        </is>
      </c>
      <c r="H10240" t="inlineStr">
        <is>
          <t>Type 1.5/LADA</t>
        </is>
      </c>
    </row>
    <row r="10241">
      <c r="A10241" t="inlineStr">
        <is>
          <t>hyxzxx</t>
        </is>
      </c>
      <c r="B10241" t="inlineStr">
        <is>
          <t>Untreated Diabetic ketoacidosis</t>
        </is>
      </c>
      <c r="C10241" t="inlineStr">
        <is>
          <t>A family member of mine has diabetes but refuses to acknowledge it. 
She will not listen when she is told that her excessive thirst, frequent and uncontrolled urination, exhaustion and other symptoms are related to her refusing to take her medication. 
She swears she is hypoglycemic, not diabetic. 
Yesterday, this family member who is morbidly obese and elderly told me that she had lost 18 pounds drinking slushes from sonic. 
She has started taking OTC fluid and UTI infection medication bc she believes the reason for her being suddenly unable to control her bladder is from a UTI. 
My question is:
Does diabetics ketoacidosis cause sudden weight loss? 
If a patient who has DK still refuses to treat the disease, what is the life expectancy? 
Are there any signs or symptoms I should be looking for that mean the situation has become an emergency? 
I'm trying to prepare myself for what I'm sure is inevitable</t>
        </is>
      </c>
      <c r="D10241" t="n">
        <v>1</v>
      </c>
      <c r="E10241" t="n">
        <v>16</v>
      </c>
      <c r="F10241">
        <f>HYPERLINK("https://www.reddit.com/r/diabetes/comments/hyxzxx/untreated_diabetic_ketoacidosis/")</f>
        <v/>
      </c>
      <c r="G10241" t="inlineStr">
        <is>
          <t>2020-07-27 11:35:31</t>
        </is>
      </c>
      <c r="H10241" t="inlineStr">
        <is>
          <t>Type 2</t>
        </is>
      </c>
    </row>
    <row r="10242">
      <c r="A10242" t="inlineStr">
        <is>
          <t>hyy9qo</t>
        </is>
      </c>
      <c r="B10242" t="inlineStr">
        <is>
          <t>T1D Group Me</t>
        </is>
      </c>
      <c r="C10242" t="inlineStr">
        <is>
          <t>Hey everybody, I, along with r/meeklys have decided to create a Type 1 Diabetic Group Me for all of us and anyone you know that is a Type 1 Diabetic that may not be active on this page. With this I hope to achieve a nice environment where we can all just talk, ask questions, seek advice, etc...much like we do on here! If you are unfamiliar with the app Group Me, feel free to send me a Direct Message and I would be more than happy to help you. I will leave the QR code and the link down below so you can gain access into the group. I look forward to seeing you all there! (Also I will share this post on other T1D subreddit's so if you see it again, my apologies)
Link: You're invited to my new group 'T1D’s' on GroupMe. Click here to join: [https://groupme.com/join\_group/60914271/LTRkgrW5](https://groupme.com/join_group/60914271/LTRkgrW5) 
&amp;amp;#x200B;
QR Code: 
&amp;amp;#x200B;
https://preview.redd.it/2n3kot8h4gd51.jpg?width=1242&amp;amp;format=pjpg&amp;amp;auto=webp&amp;amp;s=1c24e706bf8ff3e4767b78cdd900c217a6928aa2</t>
        </is>
      </c>
      <c r="D10242" t="n">
        <v>1</v>
      </c>
      <c r="E10242" t="n">
        <v>0</v>
      </c>
      <c r="F10242">
        <f>HYPERLINK("https://www.reddit.com/r/diabetes/comments/hyy9qo/t1d_group_me/")</f>
        <v/>
      </c>
      <c r="G10242" t="inlineStr">
        <is>
          <t>2020-07-27 11:49:37</t>
        </is>
      </c>
      <c r="H10242" t="inlineStr">
        <is>
          <t>Type 1</t>
        </is>
      </c>
    </row>
    <row r="10243">
      <c r="A10243" t="inlineStr">
        <is>
          <t>hz0d5f</t>
        </is>
      </c>
      <c r="B10243" t="inlineStr">
        <is>
          <t>should i halve my pump locations?</t>
        </is>
      </c>
      <c r="C10243" t="inlineStr">
        <is>
          <t>ive been diabetic for five years, and have owned a pump for four. i have four pump locations: left and right side of the stomach, and left and right side of the lower back. in the past year or so, i have developed an issue with my stomach sets, specifically the insertion of them. doing these front set changes has caused me to break down in tears most of the time (as i write this, im still slightly crying). this is causing very bad mental health issues and i am tempted to just do the back set changes, however i am aware of issues caused by repeated insertions and halving them would increase the risk (although to be honest, i’m reaching the point where I don’t exactly care about that). bearing in mind that i’m in my early teens and will be diabetic for a long while, should i do it?
sorry for the big wall of text :)</t>
        </is>
      </c>
      <c r="D10243" t="n">
        <v>1</v>
      </c>
      <c r="E10243" t="n">
        <v>2</v>
      </c>
      <c r="F10243">
        <f>HYPERLINK("https://www.reddit.com/r/diabetes/comments/hz0d5f/should_i_halve_my_pump_locations/")</f>
        <v/>
      </c>
      <c r="G10243" t="inlineStr">
        <is>
          <t>2020-07-27 13:38:34</t>
        </is>
      </c>
      <c r="H10243" t="inlineStr">
        <is>
          <t>Type 1</t>
        </is>
      </c>
    </row>
    <row r="10244">
      <c r="A10244" t="inlineStr">
        <is>
          <t>hz2d5o</t>
        </is>
      </c>
      <c r="B10244" t="inlineStr">
        <is>
          <t>Just got diagnosed with Type 2. Any tips?</t>
        </is>
      </c>
      <c r="C10244" t="inlineStr">
        <is>
          <t>Hi everyone. Got my diagnosis last Tuesday. Spent a week making some changes in diet. Got rid of all the white stuff and now have brown/wholemeal everything. Started looking at sugar content etc when buying things. Switched to 0 sugar fizzy and now limiting myself to one a day. Got rid of the orange juice and apple juices in the morning. Now use sweetener in my tea instead of sugar. 
Basically I made all the little diet changes I could, also cut down my portion size by a third or so. 
Is there anything I could be missing? My sugars are around 20-30mmol and I test 5 times a day. 
I know exercise is good. But right now I'm iffy about going to a gym etc. I live in a block of flats with no storage for a push bike, even though I used to love cycling well into my teens. 
Can anyone give me any tips. Much love and thanks.</t>
        </is>
      </c>
      <c r="D10244" t="n">
        <v>1</v>
      </c>
      <c r="E10244" t="n">
        <v>18</v>
      </c>
      <c r="F10244">
        <f>HYPERLINK("https://www.reddit.com/r/diabetes/comments/hz2d5o/just_got_diagnosed_with_type_2_any_tips/")</f>
        <v/>
      </c>
      <c r="G10244" t="inlineStr">
        <is>
          <t>2020-07-27 15:26:48</t>
        </is>
      </c>
      <c r="H10244" t="inlineStr">
        <is>
          <t>Type 2</t>
        </is>
      </c>
    </row>
    <row r="10245">
      <c r="A10245" t="inlineStr">
        <is>
          <t>hz4v21</t>
        </is>
      </c>
      <c r="B10245" t="inlineStr">
        <is>
          <t>Pre Diabetes?</t>
        </is>
      </c>
      <c r="C10245" t="inlineStr">
        <is>
          <t>Fat, 62 and sedentary. Had pre diabetes a few times and reversed with low carb and exercise 
Got hooked on valium and just finished 3 years withdrawal 
Had exercise intolerance then and it's worse than ever now. Getting weak in the morning now, blurred vision
What's good to eat in the morning to stabilise blood sugar?</t>
        </is>
      </c>
      <c r="D10245" t="n">
        <v>1</v>
      </c>
      <c r="E10245" t="n">
        <v>4</v>
      </c>
      <c r="F10245">
        <f>HYPERLINK("https://www.reddit.com/r/diabetes/comments/hz4v21/pre_diabetes/")</f>
        <v/>
      </c>
      <c r="G10245" t="inlineStr">
        <is>
          <t>2020-07-27 17:55:36</t>
        </is>
      </c>
      <c r="H10245" t="inlineStr">
        <is>
          <t>Type 2</t>
        </is>
      </c>
    </row>
    <row r="10246">
      <c r="A10246" t="inlineStr">
        <is>
          <t>hz5lm5</t>
        </is>
      </c>
      <c r="B10246" t="inlineStr">
        <is>
          <t>Is this site legit?</t>
        </is>
      </c>
      <c r="C10246" t="inlineStr">
        <is>
          <t>Hey guys, I was looking online for a freestyle libre, and came across a website selling them that I'm a bit hesitant to use, but I'm wondering if anyone of you have used it?  The main red flag is the URL doesn't match the branding of the site, but it is close... And when I googled for reviews of the site nothing really came up. I looked up the whois info and its registered under anonymous proxy, another red flag...
i don't want to put the url directly but its d i b a w o r l d . c o m
thanks in advance</t>
        </is>
      </c>
      <c r="D10246" t="n">
        <v>1</v>
      </c>
      <c r="E10246" t="n">
        <v>0</v>
      </c>
      <c r="F10246">
        <f>HYPERLINK("https://www.reddit.com/r/diabetes/comments/hz5lm5/is_this_site_legit/")</f>
        <v/>
      </c>
      <c r="G10246" t="inlineStr">
        <is>
          <t>2020-07-27 18:42:47</t>
        </is>
      </c>
      <c r="H10246" t="inlineStr">
        <is>
          <t>Type 1</t>
        </is>
      </c>
    </row>
    <row r="10247">
      <c r="A10247" t="inlineStr">
        <is>
          <t>hz7xhh</t>
        </is>
      </c>
      <c r="B10247" t="inlineStr">
        <is>
          <t>I’m new to this</t>
        </is>
      </c>
      <c r="C10247" t="inlineStr">
        <is>
          <t>I’m 15 and just got diagnosed with t2 diabetes and I don’t know, I’m not sure why I decided to post here. I guess I’m just looking for some advice? I just kinda feel like this is going to change so many things and I’m honestly devastated. The nurses have had to do finger pricks every few hours now and I still can’t get used to the pain, I guess i’m mainly scared and anxious about what my life’s going to be like from now on, I don’t know I feel kinda lost.</t>
        </is>
      </c>
      <c r="D10247" t="n">
        <v>1</v>
      </c>
      <c r="E10247" t="n">
        <v>5</v>
      </c>
      <c r="F10247">
        <f>HYPERLINK("https://www.reddit.com/r/diabetes/comments/hz7xhh/im_new_to_this/")</f>
        <v/>
      </c>
      <c r="G10247" t="inlineStr">
        <is>
          <t>2020-07-27 21:21:16</t>
        </is>
      </c>
      <c r="H10247" t="inlineStr">
        <is>
          <t>Type 2</t>
        </is>
      </c>
    </row>
    <row r="10248">
      <c r="A10248" t="inlineStr">
        <is>
          <t>hzf9oq</t>
        </is>
      </c>
      <c r="B10248" t="inlineStr">
        <is>
          <t>Anyone use the s20 for xdrip. I'm using the g5. Having connection issues. Won't stay connected for more than 20 minutes. Spent all last night trying to configure the settings. Nothing has worked so far.</t>
        </is>
      </c>
      <c r="C10248" t="inlineStr">
        <is>
          <t>G5 trouble with s20</t>
        </is>
      </c>
      <c r="D10248" t="n">
        <v>1</v>
      </c>
      <c r="E10248" t="n">
        <v>0</v>
      </c>
      <c r="F10248">
        <f>HYPERLINK("https://www.reddit.com/r/diabetes/comments/hzf9oq/anyone_use_the_s20_for_xdrip_im_using_the_g5/")</f>
        <v/>
      </c>
      <c r="G10248" t="inlineStr">
        <is>
          <t>2020-07-28 07:07:21</t>
        </is>
      </c>
      <c r="H10248" t="inlineStr">
        <is>
          <t>Type 1</t>
        </is>
      </c>
    </row>
    <row r="10249">
      <c r="A10249" t="inlineStr">
        <is>
          <t>hzfoe0</t>
        </is>
      </c>
      <c r="B10249" t="inlineStr">
        <is>
          <t>when do you guys take insulin before eating? help!! first time poster!!</t>
        </is>
      </c>
      <c r="C10249" t="inlineStr">
        <is>
          <t>hi! i’ve had t1 since i was 8 yrs old and im currently 22, so this is not new to me, but i’ve only recently (the last couple yrs or so) actively tried to take care of it (mostly due to poor mental health) 
anyways
i got the dexcom CGM about 3 months ago and it’s completely changed my life. i used to go days without checking my blood sugar which seems INSANE to me now since i’m constantly opening my app and checking. my main question here revolves around taking insulin at meal time and dealing with the spikes. 
i take my shot, eat my meal about 4 minutes later, and then i watch my blood sugar gradually (or something quickly) rise to like 280 until the insulin finally “hits” and it starts going back down. my initial reaction is to do a correction, but then i drop low bc i still have insulin in my system that hasn’t “worked” yet. is the solution here taking the insulin 30 mins before? sometimes i don’t know what im eating until 45 seconds before i even eat it! 
i know t1 is all about structure and finding what works for you, blah blah, but what do you guys do? what sort of meals are you eating and are you taking your insulin 40 mins before meal time? 30? even if you’re taking the insulin early, does your sugar spike and then flatten out if you’re eating a high carb/sugar meal? 
any comments or suggestions will be so helpful for me. i’ve been alone with this disease since i was 8, i have yet to meet one other person with it and it’s really hard for me 🥺
thanks so much, and please feel free to also send recipe suggestions, etc. thank you guys!!!!</t>
        </is>
      </c>
      <c r="D10249" t="n">
        <v>1</v>
      </c>
      <c r="E10249" t="n">
        <v>17</v>
      </c>
      <c r="F10249">
        <f>HYPERLINK("https://www.reddit.com/r/diabetes/comments/hzfoe0/when_do_you_guys_take_insulin_before_eating_help/")</f>
        <v/>
      </c>
      <c r="G10249" t="inlineStr">
        <is>
          <t>2020-07-28 07:31:24</t>
        </is>
      </c>
      <c r="H10249" t="inlineStr">
        <is>
          <t>Type 1</t>
        </is>
      </c>
    </row>
    <row r="10250">
      <c r="A10250" t="inlineStr">
        <is>
          <t>hzi5f1</t>
        </is>
      </c>
      <c r="B10250" t="inlineStr">
        <is>
          <t>Pump users, do you change your basal pattern on your own?</t>
        </is>
      </c>
      <c r="C10250" t="inlineStr">
        <is>
          <t>I usually change mine at the discretion of my endo, but I've been going to sleep with high numbers between 7mmol/L to 14mmol/L. I put in a correction bolus only to wake up around the same number (last night I corrected for 10mmol/L and woke up at 9.9mmol/L) It's really hard to get an appointment with my endo so I'm wondering if I should be changing my basal pattern myself or waiting to see my endo about it.</t>
        </is>
      </c>
      <c r="D10250" t="n">
        <v>1</v>
      </c>
      <c r="E10250" t="n">
        <v>8</v>
      </c>
      <c r="F10250">
        <f>HYPERLINK("https://www.reddit.com/r/diabetes/comments/hzi5f1/pump_users_do_you_change_your_basal_pattern_on/")</f>
        <v/>
      </c>
      <c r="G10250" t="inlineStr">
        <is>
          <t>2020-07-28 09:49:25</t>
        </is>
      </c>
      <c r="H10250" t="inlineStr">
        <is>
          <t>Type 1</t>
        </is>
      </c>
    </row>
    <row r="10251">
      <c r="A10251" t="inlineStr">
        <is>
          <t>hzm2cl</t>
        </is>
      </c>
      <c r="B10251" t="inlineStr">
        <is>
          <t>New diagnosis and an eye question</t>
        </is>
      </c>
      <c r="C10251" t="inlineStr">
        <is>
          <t>Last week I went to the ER because I (not diagnosed with diabetes at the time) felt like hot garbage, dry mouth, drinking gallons of water and still feeling thirsty, etc. Was admitted with blood sugar &amp;gt;800! They gave me a ton of insulin injections and pills, and sent me home with Metformin, a couple other blood sugar pills, and statins. 
In the week since, my sugar has dropped from ~250 at discharge to ~150 this AM. However, my eyesight has *drastically* changed over this week. I used to be mildly nearsighted, and now I can’t even focus on my computer monitor. I bought grocery store glasses yesterday just to be able to work.
I realize diabetics can have a host of eye conditions. I discount that a little since this only started once my sugars got under control! Did any of you experience eyesight changes when starting your meds?</t>
        </is>
      </c>
      <c r="D10251" t="n">
        <v>1</v>
      </c>
      <c r="E10251" t="n">
        <v>5</v>
      </c>
      <c r="F10251">
        <f>HYPERLINK("https://www.reddit.com/r/diabetes/comments/hzm2cl/new_diagnosis_and_an_eye_question/")</f>
        <v/>
      </c>
      <c r="G10251" t="inlineStr">
        <is>
          <t>2020-07-28 13:14:21</t>
        </is>
      </c>
      <c r="H10251" t="inlineStr">
        <is>
          <t>Type 2</t>
        </is>
      </c>
    </row>
    <row r="10252">
      <c r="A10252" t="inlineStr">
        <is>
          <t>hzm933</t>
        </is>
      </c>
      <c r="B10252" t="inlineStr">
        <is>
          <t>Is drinking coffee bad for people with diabetes?</t>
        </is>
      </c>
      <c r="C10252" t="inlineStr">
        <is>
          <t>I have type 2. I should be taking my Metformin but I’ve stopped because I feel it makes me constipated.
I know I need to change my diet a lot but coffee I love. I drink it with just a little milk, no sugar.
I want some advice please. Thank you.</t>
        </is>
      </c>
      <c r="D10252" t="n">
        <v>1</v>
      </c>
      <c r="E10252" t="n">
        <v>14</v>
      </c>
      <c r="F10252">
        <f>HYPERLINK("https://www.reddit.com/r/diabetes/comments/hzm933/is_drinking_coffee_bad_for_people_with_diabetes/")</f>
        <v/>
      </c>
      <c r="G10252" t="inlineStr">
        <is>
          <t>2020-07-28 13:24:00</t>
        </is>
      </c>
      <c r="H10252" t="inlineStr">
        <is>
          <t>Type 2</t>
        </is>
      </c>
    </row>
    <row r="10253">
      <c r="A10253" t="inlineStr">
        <is>
          <t>hzontc</t>
        </is>
      </c>
      <c r="B10253" t="inlineStr">
        <is>
          <t>So I suddenly have diabetes now?!</t>
        </is>
      </c>
      <c r="C10253" t="inlineStr">
        <is>
          <t>My entire life I never had any symptoms of diabetes. That all changed 5 days ago. I woke up with my vision twice as blurry as it normally is without my glasses on, a dry mouth and an overwhelming thirst. After realizing this wasn't normal, I spoke to my doctor and I just came back from the hospital today after having some tests done.
The results came back to show that my blood glucose level was 399 mg/dL.
Does this really happen so suddenly? Just on October of last year my glucose was 79 mg/dL, and up until 5 days ago I didn't even have any symptoms. Does Diabetes usually work like an on/off switch like this? I don't have any medications or monitoring supplies or any idea how this works, and now I'm scared that something serious might happen before the doctor gets back to me with the diagnosis and recommendations.</t>
        </is>
      </c>
      <c r="D10253" t="n">
        <v>1</v>
      </c>
      <c r="E10253" t="n">
        <v>13</v>
      </c>
      <c r="F10253">
        <f>HYPERLINK("https://www.reddit.com/r/diabetes/comments/hzontc/so_i_suddenly_have_diabetes_now/")</f>
        <v/>
      </c>
      <c r="G10253" t="inlineStr">
        <is>
          <t>2020-07-28 15:34:14</t>
        </is>
      </c>
      <c r="H10253" t="inlineStr">
        <is>
          <t>Type 2</t>
        </is>
      </c>
    </row>
    <row r="10254">
      <c r="A10254" t="inlineStr">
        <is>
          <t>hzpgtw</t>
        </is>
      </c>
      <c r="B10254" t="inlineStr">
        <is>
          <t>How do I change my bad habits around?</t>
        </is>
      </c>
      <c r="C10254" t="inlineStr">
        <is>
          <t>Hello, I’m an 18yr old been diabetic since I was 9. Ever since I was about 13 and I became a bit more independent as most teenagers do my diabetes was never ever my first thought. Over the years it becomes more noticeable how poor my control over my diabetes has become. I notice my highs better than I usually do but lack the motivation to correct them. My HAB1C is abysmal and this need to change! Dose anyone have any tips on how to be more motivated about it or any good routines to get into (especially night time insulin)?</t>
        </is>
      </c>
      <c r="D10254" t="n">
        <v>1</v>
      </c>
      <c r="E10254" t="n">
        <v>12</v>
      </c>
      <c r="F10254">
        <f>HYPERLINK("https://www.reddit.com/r/diabetes/comments/hzpgtw/how_do_i_change_my_bad_habits_around/")</f>
        <v/>
      </c>
      <c r="G10254" t="inlineStr">
        <is>
          <t>2020-07-28 16:21:54</t>
        </is>
      </c>
      <c r="H10254" t="inlineStr">
        <is>
          <t>Type 1</t>
        </is>
      </c>
    </row>
    <row r="10255">
      <c r="A10255" t="inlineStr">
        <is>
          <t>hzs7iq</t>
        </is>
      </c>
      <c r="B10255" t="inlineStr">
        <is>
          <t>Diagnosed with T2 at 21 and feel pretty awful</t>
        </is>
      </c>
      <c r="C10255" t="inlineStr">
        <is>
          <t>I am not overweight or obese. While my diet isn’t amazing, I don’t think it’s absolutely terrible. I don’t eat processed foods or candy very regularly.
I started to experience neuropathy and when I went to get it checked out, I was diagnosed with T2. I’ve heard neuropathy is a symptom of diabetes that’s in a more advanced stage, is this true?
It’s mostly a genetic thing apparently but now I feel pretty sad thinking I have to constantly watch what I eat and take medication and be worried about this for the rest of my life. I don’t have years of bad habits catching up to me. Most people my age can just live without thinking about all of this but I feel burdened by it. 
As people who’ve likely been managing it for a while, how do you continue to feel like doing it? It seems like a chore for me even now.</t>
        </is>
      </c>
      <c r="D10255" t="n">
        <v>1</v>
      </c>
      <c r="E10255" t="n">
        <v>14</v>
      </c>
      <c r="F10255">
        <f>HYPERLINK("https://www.reddit.com/r/diabetes/comments/hzs7iq/diagnosed_with_t2_at_21_and_feel_pretty_awful/")</f>
        <v/>
      </c>
      <c r="G10255" t="inlineStr">
        <is>
          <t>2020-07-28 19:16:38</t>
        </is>
      </c>
      <c r="H10255" t="inlineStr">
        <is>
          <t>Type 2</t>
        </is>
      </c>
    </row>
    <row r="10256">
      <c r="A10256" t="inlineStr">
        <is>
          <t>hzum5i</t>
        </is>
      </c>
      <c r="B10256" t="inlineStr">
        <is>
          <t>Is T1 remission possible?</t>
        </is>
      </c>
      <c r="C10256" t="inlineStr">
        <is>
          <t>About 5 days ago I, at the age of 28, suddenly began having diabetic symptoms after a lifetime of no diabetes whatsoever. I went to the doctor this morning and according to my test results my fasting blood glucose is at 399 mg/dL.
Just last year it was only 79 mg/dL.
I've been told that an overnight onset like this means it's likely type 1, but my doctor hasn't responded to me just yet. I feel like my life is over already, and a lifetime of injections every single day sounds like a nightmare. I've heard that type 2 diabetes can go into remission, but all I've heard about T1 is that it's a lifelong, ever-present problem. Is it possible for Type 1 diabetes to go into remission, or is that just an unrealistic wish?</t>
        </is>
      </c>
      <c r="D10256" t="n">
        <v>1</v>
      </c>
      <c r="E10256" t="n">
        <v>20</v>
      </c>
      <c r="F10256">
        <f>HYPERLINK("https://www.reddit.com/r/diabetes/comments/hzum5i/is_t1_remission_possible/")</f>
        <v/>
      </c>
      <c r="G10256" t="inlineStr">
        <is>
          <t>2020-07-28 22:03:35</t>
        </is>
      </c>
      <c r="H10256" t="inlineStr">
        <is>
          <t>Type 1</t>
        </is>
      </c>
    </row>
    <row r="10257">
      <c r="A10257" t="inlineStr">
        <is>
          <t>hzwp8j</t>
        </is>
      </c>
      <c r="B10257" t="inlineStr">
        <is>
          <t>Hard Work Pays Off!</t>
        </is>
      </c>
      <c r="C10257" t="inlineStr">
        <is>
          <t xml:space="preserve"> 
 Just wanna share my achievement. After having t2 diabetes and months and months of hard work and perseverance finally achieving my dream bod and it's been two weeks since my A1C hit is 5.5! Thanks to my friend that always motivates me who's the one that recommended my that perfect diet plan for me that actually helped a lot! For those struggling out there don't give up just believe in yourselves specially with this pandemic.  
https://preview.redd.it/9p5jyxg56rd51.jpg?width=609&amp;amp;format=pjpg&amp;amp;auto=webp&amp;amp;s=cad983c49dbc31027e957690bb63ccf96570a0b1</t>
        </is>
      </c>
      <c r="D10257" t="n">
        <v>1</v>
      </c>
      <c r="E10257" t="n">
        <v>1</v>
      </c>
      <c r="F10257">
        <f>HYPERLINK("https://www.reddit.com/r/diabetes/comments/hzwp8j/hard_work_pays_off/")</f>
        <v/>
      </c>
      <c r="G10257" t="inlineStr">
        <is>
          <t>2020-07-29 00:59:01</t>
        </is>
      </c>
      <c r="H10257" t="inlineStr">
        <is>
          <t>Type 2</t>
        </is>
      </c>
    </row>
    <row r="10258">
      <c r="A10258" t="inlineStr">
        <is>
          <t>hzy7ch</t>
        </is>
      </c>
      <c r="B10258" t="inlineStr">
        <is>
          <t>Zero sugar drink question?</t>
        </is>
      </c>
      <c r="C10258" t="inlineStr">
        <is>
          <t>Zero sugar drinks like Pepsi Max and Coke Zero. OK to drink as a type 2? Or will they raise blood sugar?</t>
        </is>
      </c>
      <c r="D10258" t="n">
        <v>1</v>
      </c>
      <c r="E10258" t="n">
        <v>9</v>
      </c>
      <c r="F10258">
        <f>HYPERLINK("https://www.reddit.com/r/diabetes/comments/hzy7ch/zero_sugar_drink_question/")</f>
        <v/>
      </c>
      <c r="G10258" t="inlineStr">
        <is>
          <t>2020-07-29 03:15:08</t>
        </is>
      </c>
      <c r="H10258" t="inlineStr">
        <is>
          <t>Type 2</t>
        </is>
      </c>
    </row>
    <row r="10259">
      <c r="A10259" t="inlineStr">
        <is>
          <t>i02159</t>
        </is>
      </c>
      <c r="B10259" t="inlineStr">
        <is>
          <t>Any T1’s teachers or partners of teachers?</t>
        </is>
      </c>
      <c r="C10259" t="inlineStr">
        <is>
          <t>My SO is a teacher and I am T1. Obviously the upcoming school year is a cause of a lot of worry in our home especially considering we are in a hot spot right now and our local government is doing next to nothing to help stop the spread. My SO is very worried about bringing covid home to me and says she could not live with herself if something were to happen to me and it was her fault (I would never blame her for this but she does). She is even considering moving home to her parents house which I desperately do not want to happen. I was just curious if anyone else is in this situation and what their plan is to try and mitigate risk was.</t>
        </is>
      </c>
      <c r="D10259" t="n">
        <v>1</v>
      </c>
      <c r="E10259" t="n">
        <v>11</v>
      </c>
      <c r="F10259">
        <f>HYPERLINK("https://www.reddit.com/r/diabetes/comments/i02159/any_t1s_teachers_or_partners_of_teachers/")</f>
        <v/>
      </c>
      <c r="G10259" t="inlineStr">
        <is>
          <t>2020-07-29 07:52:56</t>
        </is>
      </c>
      <c r="H10259" t="inlineStr">
        <is>
          <t>Type 1</t>
        </is>
      </c>
    </row>
    <row r="10260">
      <c r="A10260" t="inlineStr">
        <is>
          <t>i03jom</t>
        </is>
      </c>
      <c r="B10260" t="inlineStr">
        <is>
          <t>Probably having gastric bypass next summer</t>
        </is>
      </c>
      <c r="C10260" t="inlineStr">
        <is>
          <t>Just had an hour long appointment with my local weight loss clinic. My a1c got up to 7.0, I’m on Trulicity, I’m exercising, I’ve also been eating right but my body continues to fight me. I do have pcos, hormones don’t like me and it looks like I’m entering menopause. Even when I don’t have time to exercise like crazy I work 2 very active jobs. It’s just time to take the next step to be healthy</t>
        </is>
      </c>
      <c r="D10260" t="n">
        <v>1</v>
      </c>
      <c r="E10260" t="n">
        <v>1</v>
      </c>
      <c r="F10260">
        <f>HYPERLINK("https://www.reddit.com/r/diabetes/comments/i03jom/probably_having_gastric_bypass_next_summer/")</f>
        <v/>
      </c>
      <c r="G10260" t="inlineStr">
        <is>
          <t>2020-07-29 09:23:45</t>
        </is>
      </c>
      <c r="H10260" t="inlineStr">
        <is>
          <t>Type 2</t>
        </is>
      </c>
    </row>
    <row r="10261">
      <c r="A10261" t="inlineStr">
        <is>
          <t>i0486t</t>
        </is>
      </c>
      <c r="B10261" t="inlineStr">
        <is>
          <t>Weight gain??</t>
        </is>
      </c>
      <c r="C10261" t="inlineStr">
        <is>
          <t>Im new to the pump. Only 2 years into type 1 diagnosis. Since I've started insulin I've gained 20 pounds! Im eating better and have always been pretty fit as my job requires it. I know it's a common side effect but to this extent? Another more personal matter, depression. Wtf? Im more depressed than ever. To the point where im gonna ask a doctor for any prescription cause this has to stop asap as it's hurting my life and my family.</t>
        </is>
      </c>
      <c r="D10261" t="n">
        <v>1</v>
      </c>
      <c r="E10261" t="n">
        <v>3</v>
      </c>
      <c r="F10261">
        <f>HYPERLINK("https://www.reddit.com/r/diabetes/comments/i0486t/weight_gain/")</f>
        <v/>
      </c>
      <c r="G10261" t="inlineStr">
        <is>
          <t>2020-07-29 10:03:09</t>
        </is>
      </c>
      <c r="H10261" t="inlineStr">
        <is>
          <t>Type 1</t>
        </is>
      </c>
    </row>
    <row r="10262">
      <c r="A10262" t="inlineStr">
        <is>
          <t>i04ij7</t>
        </is>
      </c>
      <c r="B10262" t="inlineStr">
        <is>
          <t>Is it possible to have decreased a1C but relatively constant weight over a couple of months?</t>
        </is>
      </c>
      <c r="C10262" t="inlineStr">
        <is>
          <t>Nm</t>
        </is>
      </c>
      <c r="D10262" t="n">
        <v>1</v>
      </c>
      <c r="E10262" t="n">
        <v>5</v>
      </c>
      <c r="F10262">
        <f>HYPERLINK("https://www.reddit.com/r/diabetes/comments/i04ij7/is_it_possible_to_have_decreased_a1c_but/")</f>
        <v/>
      </c>
      <c r="G10262" t="inlineStr">
        <is>
          <t>2020-07-29 10:18:46</t>
        </is>
      </c>
      <c r="H10262" t="inlineStr">
        <is>
          <t>Type 2</t>
        </is>
      </c>
    </row>
    <row r="10263">
      <c r="A10263" t="inlineStr">
        <is>
          <t>i066km</t>
        </is>
      </c>
      <c r="B10263" t="inlineStr">
        <is>
          <t>Any anecdotal evidence from anyone on here that bitter melon has any effect on their blood sugar levels?</t>
        </is>
      </c>
      <c r="C10263" t="inlineStr">
        <is>
          <t>Nm</t>
        </is>
      </c>
      <c r="D10263" t="n">
        <v>1</v>
      </c>
      <c r="E10263" t="n">
        <v>0</v>
      </c>
      <c r="F10263">
        <f>HYPERLINK("https://www.reddit.com/r/diabetes/comments/i066km/any_anecdotal_evidence_from_anyone_on_here_that/")</f>
        <v/>
      </c>
      <c r="G10263" t="inlineStr">
        <is>
          <t>2020-07-29 11:48:48</t>
        </is>
      </c>
      <c r="H10263" t="inlineStr">
        <is>
          <t>Type 2</t>
        </is>
      </c>
    </row>
    <row r="10264">
      <c r="A10264" t="inlineStr">
        <is>
          <t>i06j1i</t>
        </is>
      </c>
      <c r="B10264" t="inlineStr">
        <is>
          <t>Need help and I'm confused kidney test results</t>
        </is>
      </c>
      <c r="C10264" t="inlineStr">
        <is>
          <t>Hello everyone 
I'm type 1 diabetic on insulin since 2017 
Lately i started lifting weights as I've set a goal for myself to transform my body and with diabetes it isn't easy but , will can crush stone , so I've been getting this pain the right side of my back and i had foamy urine which was there for a long time but i didn't payed much attention to , so i decided to go to the doctor which ordered some urine and blood tests
My tests came today and the doctor was off for holiday until the next month and I'm kinda worried
GFR is 89.11 ml/min/1.73m2
Normal is above 90
Ive stopped lifting a couple of days before the test and now im feeling bad and wanting to be training back again
 As i was taking whey protein supplement ( nitro tech power )( 30g  protein ) mixed with ( 3g ) of creatine once after my workout and since i have stopped taking this I've lost my muscle mass and so this energy that make you do two more reps after failure 
Im kinda stuck like should i continue on my workout while supplementing with protein and getting it from natural sources or will i be risking with my kidneys health ?</t>
        </is>
      </c>
      <c r="D10264" t="n">
        <v>1</v>
      </c>
      <c r="E10264" t="n">
        <v>11</v>
      </c>
      <c r="F10264">
        <f>HYPERLINK("https://www.reddit.com/r/diabetes/comments/i06j1i/need_help_and_im_confused_kidney_test_results/")</f>
        <v/>
      </c>
      <c r="G10264" t="inlineStr">
        <is>
          <t>2020-07-29 12:07:01</t>
        </is>
      </c>
      <c r="H10264" t="inlineStr">
        <is>
          <t>Type 1</t>
        </is>
      </c>
    </row>
    <row r="10265">
      <c r="A10265" t="inlineStr">
        <is>
          <t>i082ig</t>
        </is>
      </c>
      <c r="B10265" t="inlineStr">
        <is>
          <t>Any difference switching basal Tresiba dose from AM to PM?</t>
        </is>
      </c>
      <c r="C10265" t="inlineStr">
        <is>
          <t>Hi, I know Tresiba lasts beyond 24h so it should't really matter, but some people respond differently so I'm wondering if anyone's ever tried switching their Tresiba dose, from AM to PM (or PM to AM for that matter) and if they noticed any difference (specifically with DP/rising BG in the morning)?
TIA</t>
        </is>
      </c>
      <c r="D10265" t="n">
        <v>1</v>
      </c>
      <c r="E10265" t="n">
        <v>1</v>
      </c>
      <c r="F10265">
        <f>HYPERLINK("https://www.reddit.com/r/diabetes/comments/i082ig/any_difference_switching_basal_tresiba_dose_from/")</f>
        <v/>
      </c>
      <c r="G10265" t="inlineStr">
        <is>
          <t>2020-07-29 13:29:27</t>
        </is>
      </c>
      <c r="H10265" t="inlineStr">
        <is>
          <t>Type 1</t>
        </is>
      </c>
    </row>
    <row r="10266">
      <c r="A10266" t="inlineStr">
        <is>
          <t>i0basb</t>
        </is>
      </c>
      <c r="B10266" t="inlineStr">
        <is>
          <t>Advice for intensive running for T1D?</t>
        </is>
      </c>
      <c r="C10266" t="inlineStr">
        <is>
          <t>Hello! I've always run short distances and it has done well to moderate blood glucose swings. In my four years since diagnosis I've always learned that, while insulin resistances and blood glucose swings can vary widely, it's much easier to have greater control if you have a regiment of regular exercise, lower stress, and consumption of fewer carbs. 
&amp;amp;#x200B;
I have been getting back diminished returns in recent months. Running no longer pushes down blood glucose like it used to. This is a little disheartening but it has also allowed me to try to push myself to run more, especially considering my quarantine life situation. Before I would run two and at most 3 miles and anything more would sink my blood sugar and cause me to have to eat sugar pills and it all served to disincentivize me from pushing any further. But now with some pre-carb loading it has pushed me to go on regular 7-10 mile runs. These sometimes still have crashes which force me to walk the remainder but it is exciting to be able to push my body physically in this way again.
&amp;amp;#x200B;
The one problem with this is that every night now, I get two to four alerts on my CGM every night warning me about lows. And these are major lows that require eating a banana and multiple sugar pills. This is also at 2, 3 am after having dinner at 7/8. This is obviously not something that I want to live with, but I also want to continue these runs. Any advice on how should I address this? I'm down from 16 units of Lantus a night to 10 and my plan is, for now, to just drop down to four units because this seems to require something drastic. But I'm writing to ask about what different strategies people have as diabetic runners- prepping for runs, during run, post-run, etc in order to stay in control of blood glucose levels.</t>
        </is>
      </c>
      <c r="D10266" t="n">
        <v>1</v>
      </c>
      <c r="E10266" t="n">
        <v>3</v>
      </c>
      <c r="F10266">
        <f>HYPERLINK("https://www.reddit.com/r/diabetes/comments/i0basb/advice_for_intensive_running_for_t1d/")</f>
        <v/>
      </c>
      <c r="G10266" t="inlineStr">
        <is>
          <t>2020-07-29 16:34:24</t>
        </is>
      </c>
      <c r="H10266" t="inlineStr">
        <is>
          <t>Type 1</t>
        </is>
      </c>
    </row>
    <row r="10267">
      <c r="A10267" t="inlineStr">
        <is>
          <t>i0beor</t>
        </is>
      </c>
      <c r="B10267" t="inlineStr">
        <is>
          <t>Normal range Blood sugar reading- could I still have diabetes?</t>
        </is>
      </c>
      <c r="C10267" t="inlineStr">
        <is>
          <t>Hello people of reddit!
First I would just like to say that I have a doctors appointment scheduled soon where I will discuss all my concerns and get diagnostic testing. But, until then I'm kind of freaking out and was hoping that maybe those of you that have experience with diabetes may be able to provide some insight. I \[25f\] have been experiencing some odd symptoms for the past couple of weeks that seem like classic diabetes symptoms (more frequent urination/always feel like I need to pee, low energy, feeling thirst frequently). Diabetes runs throughout my dads side of the family but no one in my immediate family has the condition. To help ease my fears, a friend of mine offered their glucose monitor to test my blood sugar, this was probably 2 hours after I had dinner and the range was well within normal. So my question is, is it possible that I'm still an undiagnosed diabetic?</t>
        </is>
      </c>
      <c r="D10267" t="n">
        <v>1</v>
      </c>
      <c r="E10267" t="n">
        <v>0</v>
      </c>
      <c r="F10267">
        <f>HYPERLINK("https://www.reddit.com/r/diabetes/comments/i0beor/normal_range_blood_sugar_reading_could_i_still/")</f>
        <v/>
      </c>
      <c r="G10267" t="inlineStr">
        <is>
          <t>2020-07-29 16:41:06</t>
        </is>
      </c>
      <c r="H10267" t="inlineStr">
        <is>
          <t>Type 2</t>
        </is>
      </c>
    </row>
    <row r="10268">
      <c r="A10268" t="inlineStr">
        <is>
          <t>i0fftr</t>
        </is>
      </c>
      <c r="B10268" t="inlineStr">
        <is>
          <t>F it. I'm gonna eat.</t>
        </is>
      </c>
      <c r="C10268" t="inlineStr">
        <is>
          <t>Sometime I just want to eat a box of candy or drink a damn soda. It's been so long since I just enjoyed a damn snack.  I'm watching my phone beep over and over as my sugar goes up and I did the math so I should stick the landing but god damn I really enjoyed that fist full of red vines.</t>
        </is>
      </c>
      <c r="D10268" t="n">
        <v>1</v>
      </c>
      <c r="E10268" t="n">
        <v>5</v>
      </c>
      <c r="F10268">
        <f>HYPERLINK("https://www.reddit.com/r/diabetes/comments/i0fftr/f_it_im_gonna_eat/")</f>
        <v/>
      </c>
      <c r="G10268" t="inlineStr">
        <is>
          <t>2020-07-29 21:12:23</t>
        </is>
      </c>
      <c r="H10268" t="inlineStr">
        <is>
          <t>Type 1</t>
        </is>
      </c>
    </row>
    <row r="10269">
      <c r="A10269" t="inlineStr">
        <is>
          <t>i0h3fz</t>
        </is>
      </c>
      <c r="B10269" t="inlineStr">
        <is>
          <t>Low calorie foods when low?</t>
        </is>
      </c>
      <c r="C10269" t="inlineStr">
        <is>
          <t>I’m a diabetic and recently have gotten slightly overweight due to inactivity from COVID. I am trying to lose the weight but I simultaneously am trying to drop my a1c. While at first glance these two goals may seem to help each other, I find myself going low more frequently, due to my numbers staying more around the 80-90 range. Are there any low calorie foods that provide a significant rise in blood sugar?</t>
        </is>
      </c>
      <c r="D10269" t="n">
        <v>1</v>
      </c>
      <c r="E10269" t="n">
        <v>3</v>
      </c>
      <c r="F10269">
        <f>HYPERLINK("https://www.reddit.com/r/diabetes/comments/i0h3fz/low_calorie_foods_when_low/")</f>
        <v/>
      </c>
      <c r="G10269" t="inlineStr">
        <is>
          <t>2020-07-29 23:28:21</t>
        </is>
      </c>
      <c r="H10269" t="inlineStr">
        <is>
          <t>Type 1</t>
        </is>
      </c>
    </row>
    <row r="10270">
      <c r="A10270" t="inlineStr">
        <is>
          <t>i0js7g</t>
        </is>
      </c>
      <c r="B10270" t="inlineStr">
        <is>
          <t>Can homeopathic medicine cure diabetes?</t>
        </is>
      </c>
      <c r="C10270" t="inlineStr">
        <is>
          <t xml:space="preserve"> 
Homeopathy does not work in diabetes and I can give you 1 certain fact to prove to you that it doesn’t: The fact that I am not personally using it to treat my Type 1 Diabetes.
I was diagnosed with Type 1 diabetes when I was 27 years old. A really odd time to be diagnosed but not entirely outside of the realm of possibilities. The truth is that I come from a family with a high instance if thyroid and endocrine problems.
I was absolutely devastated by my diagnosis. At the time, I was probably in the best shape of my entire life. I was working as a bike messenger and pretty much pedaled my happy ass anywhere I went. Which meant somewhere between 40–60 miles on the road, every day. So, I was in great shape and was pretty much blindsided by my diagnosis. But, I knew very early on that it was correct. I read the literature, including the medical textbooks on the subject and I 100% fit the bill. The fact that I was regularly getting blood glucose readings in the mid 400mg/dL was a good clue.
During that time, I heard all kinds of ideas on how to “cure” me. It took me about 15 minutes to figure out how each and every one of them is a scam. Though I did actually try one or two. But, nothing let me discontinue insulin therapy without severe consequences. Trust me when I say that un-regulated type 1 diabetes is…unpleasant.
About 100 years ago, I had a relative who developed severe arthritis in the fingers of his right hand. To solve the problem, he went out to the barn and chopped his own fingers off with an ax. I would gladly do the same thing if it would solve my diabetes. Like literally, if you proved to me that chopping off my fingers would cure my type 1, but I had to do it myself for some reason, and I had to do it without anesthetic for some reason. I would 100% do it.
But, I still won’t take “homeopathic” remedies to treat my diabetes. What does that tell you?</t>
        </is>
      </c>
      <c r="D10270" t="n">
        <v>1</v>
      </c>
      <c r="E10270" t="n">
        <v>9</v>
      </c>
      <c r="F10270">
        <f>HYPERLINK("https://www.reddit.com/r/diabetes/comments/i0js7g/can_homeopathic_medicine_cure_diabetes/")</f>
        <v/>
      </c>
      <c r="G10270" t="inlineStr">
        <is>
          <t>2020-07-30 03:36:02</t>
        </is>
      </c>
      <c r="H10270" t="inlineStr">
        <is>
          <t>Type 1</t>
        </is>
      </c>
    </row>
    <row r="10271">
      <c r="A10271" t="inlineStr">
        <is>
          <t>i0klhd</t>
        </is>
      </c>
      <c r="B10271" t="inlineStr">
        <is>
          <t>Quesedilla</t>
        </is>
      </c>
      <c r="C10271" t="inlineStr">
        <is>
          <t>So my wife made some homemade quesadillas last night, counted carbs, took my Humalog and was at 131 BS at 6:15. An hour later I thought, damn, this meal gonna be similar to pizza with all the fat from the meat, cheese, guacamole, so I was waiting for the low. Never happened, took my nightly Lantus dose at 8:30. Sugars never really went up after eating and I hung around 110 most of night. Checked sugar on Libre, around 11:00, 105, nice. Had a handful of nuts, maybe 5-6 grams carbs went to bed. Woke at 5:00, 305 BS! WTF! So my question, could the amount of fat been just enough to delay absorption of the carbs without me going low but then a carb/protein dump started literally an hour after bed around midnight? I know that cause graph on Libre showed me. And confirmed with finger poke I was indeed that high. My only other thought is maybe hit some scar tissue on my Lantus shot. Never have been even close to this high since dx. Thanks</t>
        </is>
      </c>
      <c r="D10271" t="n">
        <v>1</v>
      </c>
      <c r="E10271" t="n">
        <v>6</v>
      </c>
      <c r="F10271">
        <f>HYPERLINK("https://www.reddit.com/r/diabetes/comments/i0klhd/quesedilla/")</f>
        <v/>
      </c>
      <c r="G10271" t="inlineStr">
        <is>
          <t>2020-07-30 04:43:57</t>
        </is>
      </c>
      <c r="H10271" t="inlineStr">
        <is>
          <t>Type 1.5/LADA</t>
        </is>
      </c>
    </row>
    <row r="10272">
      <c r="A10272" t="inlineStr">
        <is>
          <t>i0oo8g</t>
        </is>
      </c>
      <c r="B10272" t="inlineStr">
        <is>
          <t>Anyone Curalin?</t>
        </is>
      </c>
      <c r="C10272" t="inlineStr">
        <is>
          <t>A friend (also a T2) told me that she tried [this](https://curalife.com/product/curalin-single-unit/) and was able to come off Metformin completely. She doesn't do low carb, is never above 120 and wakes up to close to 90 every morning.
Would love to hear your experiences if you've tried it, before I drop $75 for a 2 month supply.</t>
        </is>
      </c>
      <c r="D10272" t="n">
        <v>1</v>
      </c>
      <c r="E10272" t="n">
        <v>6</v>
      </c>
      <c r="F10272">
        <f>HYPERLINK("https://www.reddit.com/r/diabetes/comments/i0oo8g/anyone_curalin/")</f>
        <v/>
      </c>
      <c r="G10272" t="inlineStr">
        <is>
          <t>2020-07-30 09:04:23</t>
        </is>
      </c>
      <c r="H10272" t="inlineStr">
        <is>
          <t>Type 2</t>
        </is>
      </c>
    </row>
    <row r="10273">
      <c r="A10273" t="inlineStr">
        <is>
          <t>i0pr7i</t>
        </is>
      </c>
      <c r="B10273" t="inlineStr">
        <is>
          <t>Day In The Life Of A Type One Diabetic: Victoria Watson - T1 Talks Podcast</t>
        </is>
      </c>
      <c r="C10273" t="inlineStr">
        <is>
          <t>We've really been enjoying sharing these episodes with everyone in the Reddit diabetic community! We super appreciate all of the support we've been getting from here! This episode is 1/2 of a two part series where we (the hosts of T1 Talks) are each sharing a day in our lives living with type one diabetes. We’re hoping this episode creates a sense of understanding for the 99% of our diabetic days that people don’t see/raises awareness for people living with diabetes. This week we focused on Victoria who was diagnosed just a few months ago at age 29! Check it out on Spotify below or search for us on various other platforms!
***Link:***
[https://open.spotify.com/show/6xPO5gsea3j6tZl2kfilST](https://open.spotify.com/show/6xPO5gsea3j6tZl2kfilST)</t>
        </is>
      </c>
      <c r="D10273" t="n">
        <v>1</v>
      </c>
      <c r="E10273" t="n">
        <v>0</v>
      </c>
      <c r="F10273">
        <f>HYPERLINK("https://www.reddit.com/r/diabetes/comments/i0pr7i/day_in_the_life_of_a_type_one_diabetic_victoria/")</f>
        <v/>
      </c>
      <c r="G10273" t="inlineStr">
        <is>
          <t>2020-07-30 10:03:34</t>
        </is>
      </c>
      <c r="H10273" t="inlineStr">
        <is>
          <t>Type 1</t>
        </is>
      </c>
    </row>
    <row r="10274">
      <c r="A10274" t="inlineStr">
        <is>
          <t>i0u89u</t>
        </is>
      </c>
      <c r="B10274" t="inlineStr">
        <is>
          <t>My mood</t>
        </is>
      </c>
      <c r="C10274" t="inlineStr">
        <is>
          <t>I just recently got diagnosed with type 2 diabetes back in May. Since then, I’ve noticed a whole bunch of changes but mainly in like 2 areas. I feel like Ive somehow developed a short term memory problem and on top of that my moods have been all over the place. Before the diagnosis I could get angry or irritated but I could always stay cool.after the diagnosis I cannot control the anger I feel like I’m starting to feel like I’m short with people or nor do I have  tolerance for dumb shit. I legit feel like that skit of Wilfred brimly from family guy. Well, the reason why I’m even posting is because I want to know is this normal, like does it happen to you guys too or am I just going crazy?</t>
        </is>
      </c>
      <c r="D10274" t="n">
        <v>1</v>
      </c>
      <c r="E10274" t="n">
        <v>5</v>
      </c>
      <c r="F10274">
        <f>HYPERLINK("https://www.reddit.com/r/diabetes/comments/i0u89u/my_mood/")</f>
        <v/>
      </c>
      <c r="G10274" t="inlineStr">
        <is>
          <t>2020-07-30 14:07:04</t>
        </is>
      </c>
      <c r="H10274" t="inlineStr">
        <is>
          <t>Type 2</t>
        </is>
      </c>
    </row>
    <row r="10275">
      <c r="A10275" t="inlineStr">
        <is>
          <t>i0uaef</t>
        </is>
      </c>
      <c r="B10275" t="inlineStr">
        <is>
          <t>Type 1? CGM user? May I have 2 minutes of your time please?</t>
        </is>
      </c>
      <c r="C10275" t="inlineStr">
        <is>
          <t>Hello diabetes community! 
I am writing a research paper on CGM use by type 1 diabetics and it’s effects on mental health. We so often focus on the numbers (what is your A1c? Time in range? What is your NUMBER??)— I want to shine a light on the human element of living while connected to this technology. I have created a very simple 10-question survey on survey monkey and I would GREATLY appreciate anyone who takes the time to complete it. 
I provided comment boxes under nearly every question, but if you would like to contribute anything on the topic of diabetes, smart tech, and mental health HERE, that is welcomed! 
Please note, I did have to squish some questions down into #4 in order to satisfy the 10-question limit. I am sorry, I know that is not ideal, please choose what feels most correct there. 
Link is here:
[CGM Technology and Mental Health in T1D](https://www.surveymonkey.com/r/2F7KW6G)</t>
        </is>
      </c>
      <c r="D10275" t="n">
        <v>1</v>
      </c>
      <c r="E10275" t="n">
        <v>20</v>
      </c>
      <c r="F10275">
        <f>HYPERLINK("https://www.reddit.com/r/diabetes/comments/i0uaef/type_1_cgm_user_may_i_have_2_minutes_of_your_time/")</f>
        <v/>
      </c>
      <c r="G10275" t="inlineStr">
        <is>
          <t>2020-07-30 14:10:30</t>
        </is>
      </c>
      <c r="H10275" t="inlineStr">
        <is>
          <t>Type 1</t>
        </is>
      </c>
    </row>
    <row r="10276">
      <c r="A10276" t="inlineStr">
        <is>
          <t>i103et</t>
        </is>
      </c>
      <c r="B10276" t="inlineStr">
        <is>
          <t>To CGM or to not CGM</t>
        </is>
      </c>
      <c r="C10276" t="inlineStr">
        <is>
          <t>That is the question... 
My Dietician brought it up in our last appointment and tomorrow I meet with my endo to discuss and possibly get the Rx for CGM. I’m still not sure if I should. Been on insulin for about six weeks and it’s been a journey with getting used to so many injections. I don’t mind finger pricking and know I’ll still have to do it to calibrate. I’ve seen people apply their sensor or whatever you call it and it seems to be ok. My worry is ripping it out. I sleep like a mad woman and toss and turn all night and I’m not graceful at all bumping into things constantly... so is the data worth the risk or ripping it out and eventually beIng traumatized by it ? Lol I’m only partly kidding cause I know I’ll be dramatic if it ever does happen to me. What do you think? I haven’t had any low scares but I do seem to be trending downward now that I’m on insulin and switched to trulicity so seeking experienced advice 
Tldr; t1.5/LADA unsure about CGM because of potential rip outs and I tend to be a restless sleeper is it worth it</t>
        </is>
      </c>
      <c r="D10276" t="n">
        <v>1</v>
      </c>
      <c r="E10276" t="n">
        <v>18</v>
      </c>
      <c r="F10276">
        <f>HYPERLINK("https://www.reddit.com/r/diabetes/comments/i103et/to_cgm_or_to_not_cgm/")</f>
        <v/>
      </c>
      <c r="G10276" t="inlineStr">
        <is>
          <t>2020-07-30 20:11:00</t>
        </is>
      </c>
      <c r="H10276" t="inlineStr">
        <is>
          <t>Type 1.5/LADA</t>
        </is>
      </c>
    </row>
    <row r="10277">
      <c r="A10277" t="inlineStr">
        <is>
          <t>i12eip</t>
        </is>
      </c>
      <c r="B10277" t="inlineStr">
        <is>
          <t>A1C 7.3%, good or bad?</t>
        </is>
      </c>
      <c r="C10277" t="inlineStr">
        <is>
          <t>I’ve (18F) had T1D for about a year now and my A1C would typically be 5-6%, however, my endo told me to lay off some insulin and let my sugar run higher. It’s now 7.3%, but I feel like that’s too high. Is this a good A1C to be at?</t>
        </is>
      </c>
      <c r="D10277" t="n">
        <v>1</v>
      </c>
      <c r="E10277" t="n">
        <v>11</v>
      </c>
      <c r="F10277">
        <f>HYPERLINK("https://www.reddit.com/r/diabetes/comments/i12eip/a1c_73_good_or_bad/")</f>
        <v/>
      </c>
      <c r="G10277" t="inlineStr">
        <is>
          <t>2020-07-30 23:07:30</t>
        </is>
      </c>
      <c r="H10277" t="inlineStr">
        <is>
          <t>Type 1</t>
        </is>
      </c>
    </row>
    <row r="10278">
      <c r="A10278" t="inlineStr">
        <is>
          <t>i14yvq</t>
        </is>
      </c>
      <c r="B10278" t="inlineStr">
        <is>
          <t>How can I gain muscle without gaining fat on insulin?</t>
        </is>
      </c>
      <c r="C10278" t="inlineStr">
        <is>
          <t>Hello,
I've started properly maintaining my blood sugar but the downside is that I've already gained a bit of weight, I strength train 5 times a week and although I've been eating healthy I've still gained. I know that to gain muscle I need to eat a lot. How can I make sure I'm not getting fat considering I'm alway consistent with my workouts?</t>
        </is>
      </c>
      <c r="D10278" t="n">
        <v>1</v>
      </c>
      <c r="E10278" t="n">
        <v>10</v>
      </c>
      <c r="F10278">
        <f>HYPERLINK("https://www.reddit.com/r/diabetes/comments/i14yvq/how_can_i_gain_muscle_without_gaining_fat_on/")</f>
        <v/>
      </c>
      <c r="G10278" t="inlineStr">
        <is>
          <t>2020-07-31 03:04:36</t>
        </is>
      </c>
      <c r="H10278" t="inlineStr">
        <is>
          <t>Type 1</t>
        </is>
      </c>
    </row>
    <row r="10279">
      <c r="A10279" t="inlineStr">
        <is>
          <t>i17v55</t>
        </is>
      </c>
      <c r="B10279" t="inlineStr">
        <is>
          <t>What happened to me?</t>
        </is>
      </c>
      <c r="C10279" t="inlineStr">
        <is>
          <t>I'm type 1 diabetic so I'm not sure if it had anything to do with it but I had a glucose of 193 when this happened.
I woke up and had to use the bathroom, I started feeling really nauseous like I had to lay down. My head became hot and numb and my hearing felt muffled.
Fell down the stairs a little bit but I'm not really hurt at all. I simply couldn't stand up or anything for a bit but my mom was helping me. This has happened to me before when my bg was like 350 one night when I was back in middle school but I'm still just unsure.
I feel it could've been either sleep paralysis or a seizure but I would like someone's opinion. I feel it does have something to do with diabetes though but I hardly have any complications with it.</t>
        </is>
      </c>
      <c r="D10279" t="n">
        <v>1</v>
      </c>
      <c r="E10279" t="n">
        <v>23</v>
      </c>
      <c r="F10279">
        <f>HYPERLINK("https://www.reddit.com/r/diabetes/comments/i17v55/what_happened_to_me/")</f>
        <v/>
      </c>
      <c r="G10279" t="inlineStr">
        <is>
          <t>2020-07-31 06:52:29</t>
        </is>
      </c>
      <c r="H10279" t="inlineStr">
        <is>
          <t>Type 1</t>
        </is>
      </c>
    </row>
    <row r="10280">
      <c r="A10280" t="inlineStr">
        <is>
          <t>i186cg</t>
        </is>
      </c>
      <c r="B10280" t="inlineStr">
        <is>
          <t>blood test question</t>
        </is>
      </c>
      <c r="C10280" t="inlineStr">
        <is>
          <t>can you drink alcohol before a blood test? its testing a1c and cholesterol.  I have 2 hours before the test but I need a drink</t>
        </is>
      </c>
      <c r="D10280" t="n">
        <v>1</v>
      </c>
      <c r="E10280" t="n">
        <v>15</v>
      </c>
      <c r="F10280">
        <f>HYPERLINK("https://www.reddit.com/r/diabetes/comments/i186cg/blood_test_question/")</f>
        <v/>
      </c>
      <c r="G10280" t="inlineStr">
        <is>
          <t>2020-07-31 07:11:07</t>
        </is>
      </c>
      <c r="H10280" t="inlineStr">
        <is>
          <t>Type 1</t>
        </is>
      </c>
    </row>
    <row r="10281">
      <c r="A10281" t="inlineStr">
        <is>
          <t>i19nzm</t>
        </is>
      </c>
      <c r="B10281" t="inlineStr">
        <is>
          <t>Pretty new, so kinda worried</t>
        </is>
      </c>
      <c r="C10281" t="inlineStr">
        <is>
          <t>So I have been taking diabetic drugs for 2 months now, was diagnosed as Type 2, I am from South Asian country Nepal, the cases of Covid here is increasing and there is lockdown in the area I am living, so I can't make an appointment to my doctor, lately I am so weak, my body has been responding differently and it seems like there is no energy left in muscle, is this some sort of symptoms, or side effects, it might be irrelevant to ask but just wanna know whether someone has gone through similar problem</t>
        </is>
      </c>
      <c r="D10281" t="n">
        <v>1</v>
      </c>
      <c r="E10281" t="n">
        <v>6</v>
      </c>
      <c r="F10281">
        <f>HYPERLINK("https://www.reddit.com/r/diabetes/comments/i19nzm/pretty_new_so_kinda_worried/")</f>
        <v/>
      </c>
      <c r="G10281" t="inlineStr">
        <is>
          <t>2020-07-31 08:39:53</t>
        </is>
      </c>
      <c r="H10281" t="inlineStr">
        <is>
          <t>Type 2</t>
        </is>
      </c>
    </row>
    <row r="10282">
      <c r="A10282" t="inlineStr">
        <is>
          <t>i19ufi</t>
        </is>
      </c>
      <c r="B10282" t="inlineStr">
        <is>
          <t>Type 2 Diabetes And Gastroparesis?</t>
        </is>
      </c>
      <c r="C10282" t="inlineStr">
        <is>
          <t>I have type 2 diabetes and gastroparesis.  I am looking for any individual support or support groups that might exist that cover this life combination?</t>
        </is>
      </c>
      <c r="D10282" t="n">
        <v>1</v>
      </c>
      <c r="E10282" t="n">
        <v>0</v>
      </c>
      <c r="F10282">
        <f>HYPERLINK("https://www.reddit.com/r/diabetes/comments/i19ufi/type_2_diabetes_and_gastroparesis/")</f>
        <v/>
      </c>
      <c r="G10282" t="inlineStr">
        <is>
          <t>2020-07-31 08:50:10</t>
        </is>
      </c>
      <c r="H10282" t="inlineStr">
        <is>
          <t>Type 2</t>
        </is>
      </c>
    </row>
    <row r="10283">
      <c r="A10283" t="inlineStr">
        <is>
          <t>i1ddmo</t>
        </is>
      </c>
      <c r="B10283" t="inlineStr">
        <is>
          <t>Dexcom G6 adhesive</t>
        </is>
      </c>
      <c r="C10283" t="inlineStr">
        <is>
          <t>So luckily I'm not allergic to whatever adhesive they're using now, for now at least, only been using one for a little over a month. But for the life of me I can't get the stuff to stick well for more than a day. Followed all the instructions to the letter, other than only placing on the abdomen cause that shit is not comfortable. Took a shower, stood in front of the A/C vent so I'd be 100% dry, went over the area twice with alcohol swabs, stood over the vent again to get that dry then applied a sensor and pushed all the adhesive down.
I thought at first it was due to working it in high humidity and already being a heavy sweater, but I put a new one in yesterday afternoon that's already falling off. Haven't worked out, really just sat around and been lazy since it's my day off. I tried the overpatch things they sent, which are totally worthless. I guess I'm just lucky it didn't fall all the way off so I can stick it down with a simpatch.
Got some skintac on the way, but you'd think given the cost of these things they be able to use a decent adhesive. Even the stuff on a $1 roll of 3M IV tape holds better. Anyone else have any other suggestions? Product recommendations or any tips/tricks to get the sensors to stick better in the first place?</t>
        </is>
      </c>
      <c r="D10283" t="n">
        <v>1</v>
      </c>
      <c r="E10283" t="n">
        <v>2</v>
      </c>
      <c r="F10283">
        <f>HYPERLINK("https://www.reddit.com/r/diabetes/comments/i1ddmo/dexcom_g6_adhesive/")</f>
        <v/>
      </c>
      <c r="G10283" t="inlineStr">
        <is>
          <t>2020-07-31 12:01:59</t>
        </is>
      </c>
      <c r="H10283" t="inlineStr">
        <is>
          <t>Type 1</t>
        </is>
      </c>
    </row>
    <row r="10284">
      <c r="A10284" t="inlineStr">
        <is>
          <t>i1fqcm</t>
        </is>
      </c>
      <c r="B10284" t="inlineStr">
        <is>
          <t>Ready for a little confusion?</t>
        </is>
      </c>
      <c r="C10284" t="inlineStr">
        <is>
          <t>Okay, so a few years ago I started to have some issues with my health. I started to get shaky, dizzy and eventually as it got worse i would pass out. I went to my doctor as let him know what was going on..... HE SAID IT WAS MY ANXIETY.... fast forward a year or so..... I was diagnosed with gastroparesis ( i couldn't eat without getting sick or drink) this caused me to have more shaking, dizziness and i continued  to be close to passing out ( it would hit so hard I would be sitting on the couch and everyone would think i was sleeping)...... I did blood work to see if i was diabetic..... it came back negative that i was okay. .... However, the doctor that diagnosed me with gastroparesis said that because my stomach is not digesting properly and is causing other issues it may be why i am showing signs of type 2.   FINALLY he decided to give me a glucose monitor which has helped so much with making sure i am not too low so that i am not going into shock. However, when i am 6.0+ i get exhausted, my legs are weak and I am fighting to not " fall asleep".  A friend of mine who is type 2 said i need insulin because my body is not dependable since my stomach takes forever to digest.  I wait it out but there are times when all of a sudden my sugars drop and i need to bring them back up, but it takes more than 15 mins because i don't digest properly.  So in a few hours, I register that i am at a high level  and I get stuck in this vicious cycle. Some days it feels like i have been hit by a car and it takes me days before my body can regulate again....... My problem is that because my blood work says I am not diabetic my family doctor thinks I am crazy, it took him 4 years and a specialist from a hospital before he thought of giving me a glucose monitor....  how am i suppose to make him take me seriously......  It's hard to get answers and help when either my diagnoses are in the air or when my doctor thinks i am crazy and its just my anxiety....... Does anyone have any advice?  or if anyone does agree with my friend that i should try insulin? She thinks it's too dangerous too keep going the way i am... which i know but i do not know what to do at this point 
&amp;amp;#x200B;
I put the flair as type 2, i hope i don't offend anyone.  I just thought it best fit here and hoped that those with type 2 may be able to give insight as they we not born with diabetes.</t>
        </is>
      </c>
      <c r="D10284" t="n">
        <v>1</v>
      </c>
      <c r="E10284" t="n">
        <v>4</v>
      </c>
      <c r="F10284">
        <f>HYPERLINK("https://www.reddit.com/r/diabetes/comments/i1fqcm/ready_for_a_little_confusion/")</f>
        <v/>
      </c>
      <c r="G10284" t="inlineStr">
        <is>
          <t>2020-07-31 14:14:09</t>
        </is>
      </c>
      <c r="H10284" t="inlineStr">
        <is>
          <t>Type 2</t>
        </is>
      </c>
    </row>
    <row r="10285">
      <c r="A10285" t="inlineStr">
        <is>
          <t>i1hs2a</t>
        </is>
      </c>
      <c r="B10285" t="inlineStr">
        <is>
          <t>If my insulin to carb ratio is low does that mean I have T2 diabetes?</t>
        </is>
      </c>
      <c r="C10285" t="inlineStr">
        <is>
          <t>Right now it’s about 1:2.4 So for breakfast if I eat 2 slices of bread (12g carbs total), a glass of water, and 2 tbsp of peanut butter (12g carbs) I would take 10 units of humalog.</t>
        </is>
      </c>
      <c r="D10285" t="n">
        <v>1</v>
      </c>
      <c r="E10285" t="n">
        <v>6</v>
      </c>
      <c r="F10285">
        <f>HYPERLINK("https://www.reddit.com/r/diabetes/comments/i1hs2a/if_my_insulin_to_carb_ratio_is_low_does_that_mean/")</f>
        <v/>
      </c>
      <c r="G10285" t="inlineStr">
        <is>
          <t>2020-07-31 16:15:29</t>
        </is>
      </c>
      <c r="H10285" t="inlineStr">
        <is>
          <t>Type 1</t>
        </is>
      </c>
    </row>
    <row r="10286">
      <c r="A10286" t="inlineStr">
        <is>
          <t>i1i0ps</t>
        </is>
      </c>
      <c r="B10286" t="inlineStr">
        <is>
          <t>AC1 @ 11.5 to 7.0 in 3 months</t>
        </is>
      </c>
      <c r="C10286" t="inlineStr">
        <is>
          <t>Been working hard. I was hoping to be lower though. But 7 is still good???</t>
        </is>
      </c>
      <c r="D10286" t="n">
        <v>1</v>
      </c>
      <c r="E10286" t="n">
        <v>0</v>
      </c>
      <c r="F10286">
        <f>HYPERLINK("https://www.reddit.com/r/diabetes/comments/i1i0ps/ac1_115_to_70_in_3_months/")</f>
        <v/>
      </c>
      <c r="G10286" t="inlineStr">
        <is>
          <t>2020-07-31 16:30:35</t>
        </is>
      </c>
      <c r="H10286" t="inlineStr">
        <is>
          <t>Type 2</t>
        </is>
      </c>
    </row>
    <row r="10287">
      <c r="A10287" t="inlineStr">
        <is>
          <t>i1i1co</t>
        </is>
      </c>
      <c r="B10287" t="inlineStr">
        <is>
          <t>A1C 11.5 to 7.0</t>
        </is>
      </c>
      <c r="C10287" t="inlineStr">
        <is>
          <t>I dropped in 3 months after being diagnosed in March.
7 still good though??</t>
        </is>
      </c>
      <c r="D10287" t="n">
        <v>1</v>
      </c>
      <c r="E10287" t="n">
        <v>7</v>
      </c>
      <c r="F10287">
        <f>HYPERLINK("https://www.reddit.com/r/diabetes/comments/i1i1co/a1c_115_to_70/")</f>
        <v/>
      </c>
      <c r="G10287" t="inlineStr">
        <is>
          <t>2020-07-31 16:31:37</t>
        </is>
      </c>
      <c r="H10287" t="inlineStr">
        <is>
          <t>Type 2</t>
        </is>
      </c>
    </row>
    <row r="10288">
      <c r="A10288" t="inlineStr">
        <is>
          <t>i1j4bo</t>
        </is>
      </c>
      <c r="B10288" t="inlineStr">
        <is>
          <t>At what point does type 2 remission become impossible?</t>
        </is>
      </c>
      <c r="C10288" t="inlineStr">
        <is>
          <t>I was recently diagnosed with type 2 diabetes when my blood sugar reached 400 and the symptoms started to become noticeable. Last year, my blood sugar was 79 mg/dL, but after picking up a set of extremely bad habits in the midst of the quarantine and eating an extremely bad diet, over the course of a year it appears I've developed the disease.
I'm hoping to put it into remission by drastically changing my lifestyle from here, but I'm curious if the fact that my glucose went to 400 means that it's too late. Is there a certain point at which Type 2 diabetes reaches a completely irreversable state?
*(Note: To all those who want to tell me that there's a possibility I might actually have type 1, yes, I am aware of the possibility and have requested further testing to make sure of that. Telling me that doesn't help and only makes me more worried. I'm simply asking a question based on the diagnosis I got from my doctor.)*</t>
        </is>
      </c>
      <c r="D10288" t="n">
        <v>1</v>
      </c>
      <c r="E10288" t="n">
        <v>4</v>
      </c>
      <c r="F10288">
        <f>HYPERLINK("https://www.reddit.com/r/diabetes/comments/i1j4bo/at_what_point_does_type_2_remission_become/")</f>
        <v/>
      </c>
      <c r="G10288" t="inlineStr">
        <is>
          <t>2020-07-31 17:42:16</t>
        </is>
      </c>
      <c r="H10288" t="inlineStr">
        <is>
          <t>Type 2</t>
        </is>
      </c>
    </row>
    <row r="10289">
      <c r="A10289" t="inlineStr">
        <is>
          <t>i1jpvk</t>
        </is>
      </c>
      <c r="B10289" t="inlineStr">
        <is>
          <t>My A1c</t>
        </is>
      </c>
      <c r="C10289" t="inlineStr">
        <is>
          <t>Today, my blood sugar in the office was 85.
My A1c was 6.1.
I'm stoked.</t>
        </is>
      </c>
      <c r="D10289" t="n">
        <v>1</v>
      </c>
      <c r="E10289" t="n">
        <v>7</v>
      </c>
      <c r="F10289">
        <f>HYPERLINK("https://www.reddit.com/r/diabetes/comments/i1jpvk/my_a1c/")</f>
        <v/>
      </c>
      <c r="G10289" t="inlineStr">
        <is>
          <t>2020-07-31 18:23:22</t>
        </is>
      </c>
      <c r="H10289" t="inlineStr">
        <is>
          <t>Type 2</t>
        </is>
      </c>
    </row>
    <row r="10290">
      <c r="A10290" t="inlineStr">
        <is>
          <t>i1me2l</t>
        </is>
      </c>
      <c r="B10290" t="inlineStr">
        <is>
          <t>What should I do?</t>
        </is>
      </c>
      <c r="C10290" t="inlineStr">
        <is>
          <t>I am type one diabetic. My a1c is 5.6. My endo is veering for me to have an a1c of 6.5 or higher. I only ever had one low blood sugar and she is pointing to that and saying what a risk that indicates for all the other times and imagine when I am sleeping, etc. My logic is that I want to be as close to normal as possible to avoid complications, and that by having an a1c of 6+ I am freely accepting complications to come to me in the future. 
I do a low carb diet and have a low basal rate and avoid taking Insulin/ I understand the doctor's perspective in that if she advised every patient to go low carb a lot of them would be irresponsible and end up dead, and she would be to blame, it's to protect her patients and herself, but I am responsible and educated here, but she is dead set and if I confront her she will get agressive make many arguments, etc, so what she will probably cut off my insulin supply or threaten me somehow.</t>
        </is>
      </c>
      <c r="D10290" t="n">
        <v>1</v>
      </c>
      <c r="E10290" t="n">
        <v>12</v>
      </c>
      <c r="F10290">
        <f>HYPERLINK("https://www.reddit.com/r/diabetes/comments/i1me2l/what_should_i_do/")</f>
        <v/>
      </c>
      <c r="G10290" t="inlineStr">
        <is>
          <t>2020-07-31 21:37:40</t>
        </is>
      </c>
      <c r="H10290" t="inlineStr">
        <is>
          <t>Type 1</t>
        </is>
      </c>
    </row>
    <row r="10291">
      <c r="A10291" t="inlineStr">
        <is>
          <t>i1n5fl</t>
        </is>
      </c>
      <c r="B10291" t="inlineStr">
        <is>
          <t>I want sleep. Stupid Low</t>
        </is>
      </c>
      <c r="C10291" t="inlineStr">
        <is>
          <t>I’m awake in bed right now after treating a Low with Apple juice and all I want to do is just sleep. Looking at my bf sleeping so peacefullly (no I don’t expect him to wake up and help him out, he was up I told him to go back to bed- before anybody calls him out or anything) 
Just venting and ranting. This disease is just so annoying and ruins the simple pleasures in life like just sleeping.</t>
        </is>
      </c>
      <c r="D10291" t="n">
        <v>1</v>
      </c>
      <c r="E10291" t="n">
        <v>7</v>
      </c>
      <c r="F10291">
        <f>HYPERLINK("https://www.reddit.com/r/diabetes/comments/i1n5fl/i_want_sleep_stupid_low/")</f>
        <v/>
      </c>
      <c r="G10291" t="inlineStr">
        <is>
          <t>2020-07-31 22:40:54</t>
        </is>
      </c>
      <c r="H10291" t="inlineStr">
        <is>
          <t>Type 1</t>
        </is>
      </c>
    </row>
    <row r="10292">
      <c r="A10292" t="inlineStr">
        <is>
          <t>i1rk3a</t>
        </is>
      </c>
      <c r="B10292" t="inlineStr">
        <is>
          <t>best place for sites?</t>
        </is>
      </c>
      <c r="C10292" t="inlineStr">
        <is>
          <t>i’m struggling with absorption in my abdomen. i have seen people use their boob, their forearms etc, i was wondering where y’all put your site and where it absorbs the best? upper buttocks doesn’t work for me since i constantly pull it out when i pull my pants up and down.</t>
        </is>
      </c>
      <c r="D10292" t="n">
        <v>1</v>
      </c>
      <c r="E10292" t="n">
        <v>9</v>
      </c>
      <c r="F10292">
        <f>HYPERLINK("https://www.reddit.com/r/diabetes/comments/i1rk3a/best_place_for_sites/")</f>
        <v/>
      </c>
      <c r="G10292" t="inlineStr">
        <is>
          <t>2020-08-01 05:38:51</t>
        </is>
      </c>
      <c r="H10292" t="inlineStr">
        <is>
          <t>Type 1</t>
        </is>
      </c>
    </row>
    <row r="10293">
      <c r="A10293" t="inlineStr">
        <is>
          <t>i1s9fs</t>
        </is>
      </c>
      <c r="B10293" t="inlineStr">
        <is>
          <t>A1C result down after testing more often</t>
        </is>
      </c>
      <c r="C10293" t="inlineStr">
        <is>
          <t>My A1c only went further down as I tested more over the years so I just want to know if you can post very simply what is your latest A1c result and how often on average do you check your blood sugar in a single day. My latest A1c test was 5.5 and I use a freestyle libre and miao2 which checks my BS every 5 minutes or about 288 times per day. I'm type 1 and 32 years old.</t>
        </is>
      </c>
      <c r="D10293" t="n">
        <v>1</v>
      </c>
      <c r="E10293" t="n">
        <v>6</v>
      </c>
      <c r="F10293">
        <f>HYPERLINK("https://www.reddit.com/r/diabetes/comments/i1s9fs/a1c_result_down_after_testing_more_often/")</f>
        <v/>
      </c>
      <c r="G10293" t="inlineStr">
        <is>
          <t>2020-08-01 06:32:27</t>
        </is>
      </c>
      <c r="H10293" t="inlineStr">
        <is>
          <t>Type 1</t>
        </is>
      </c>
    </row>
    <row r="10294">
      <c r="A10294" t="inlineStr">
        <is>
          <t>i1saxv</t>
        </is>
      </c>
      <c r="B10294" t="inlineStr">
        <is>
          <t>Know what sucks?</t>
        </is>
      </c>
      <c r="C10294" t="inlineStr">
        <is>
          <t>When you are Humalog dependant at mealtime, on MDI, you had a delicious grilled Ribeye, and you are at 87 at bedtime and you KNOW your sugars are gonna creep up overnight from the fat/protein in the steak, but you just can’t bring yourself to take a correction shot. Damn this disease....</t>
        </is>
      </c>
      <c r="D10294" t="n">
        <v>1</v>
      </c>
      <c r="E10294" t="n">
        <v>6</v>
      </c>
      <c r="F10294">
        <f>HYPERLINK("https://www.reddit.com/r/diabetes/comments/i1saxv/know_what_sucks/")</f>
        <v/>
      </c>
      <c r="G10294" t="inlineStr">
        <is>
          <t>2020-08-01 06:35:43</t>
        </is>
      </c>
      <c r="H10294" t="inlineStr">
        <is>
          <t>Type 1.5/LADA</t>
        </is>
      </c>
    </row>
    <row r="10295">
      <c r="A10295" t="inlineStr">
        <is>
          <t>i1stsd</t>
        </is>
      </c>
      <c r="B10295" t="inlineStr">
        <is>
          <t>High bloodsugar guilt..</t>
        </is>
      </c>
      <c r="C10295" t="inlineStr">
        <is>
          <t>Are you guys familiar with this? Cause i have some problems with this.. Sometimes i try to correct sugarlevels of 8 or 9 that actually should not be corrected and i shoot into hypo. Then for a couple days i am scared to eat to much due to the stupid rises and frantic correcting.
Wich is working the wrong way since if i skip breakfast and dont eat much at all my sugars will rise due to my liver giving off spare glucose. Then i correct that and i shoot into a low since i havent eaten anything.
All in all it's really hard to deal with the up and downs all the time, i mean it can be really tiring from time to time.</t>
        </is>
      </c>
      <c r="D10295" t="n">
        <v>1</v>
      </c>
      <c r="E10295" t="n">
        <v>3</v>
      </c>
      <c r="F10295">
        <f>HYPERLINK("https://www.reddit.com/r/diabetes/comments/i1stsd/high_bloodsugar_guilt/")</f>
        <v/>
      </c>
      <c r="G10295" t="inlineStr">
        <is>
          <t>2020-08-01 07:12:19</t>
        </is>
      </c>
      <c r="H10295" t="inlineStr">
        <is>
          <t>Type 1</t>
        </is>
      </c>
    </row>
    <row r="10296">
      <c r="A10296" t="inlineStr">
        <is>
          <t>i1t2m7</t>
        </is>
      </c>
      <c r="B10296" t="inlineStr">
        <is>
          <t>Stupid question can I use 80 % percent hand sanitizer in place of alcohol?</t>
        </is>
      </c>
      <c r="C10296" t="inlineStr">
        <is>
          <t>I am at my mother's house, so I  was trying to avoid having to get some.</t>
        </is>
      </c>
      <c r="D10296" t="n">
        <v>1</v>
      </c>
      <c r="E10296" t="n">
        <v>6</v>
      </c>
      <c r="F10296">
        <f>HYPERLINK("https://www.reddit.com/r/diabetes/comments/i1t2m7/stupid_question_can_i_use_80_percent_hand/")</f>
        <v/>
      </c>
      <c r="G10296" t="inlineStr">
        <is>
          <t>2020-08-01 07:29:02</t>
        </is>
      </c>
      <c r="H10296" t="inlineStr">
        <is>
          <t>Type 1</t>
        </is>
      </c>
    </row>
    <row r="10297">
      <c r="A10297" t="inlineStr">
        <is>
          <t>i1tmks</t>
        </is>
      </c>
      <c r="B10297" t="inlineStr">
        <is>
          <t>Tips on the frequent tslim and Dexcom sensor out of range?</t>
        </is>
      </c>
      <c r="C10297" t="inlineStr">
        <is>
          <t>Seem to be getting frequent sensor out of range on tslim. Any tips on how to reduce or eliminate? Or is it a pretty common thing</t>
        </is>
      </c>
      <c r="D10297" t="n">
        <v>1</v>
      </c>
      <c r="E10297" t="n">
        <v>3</v>
      </c>
      <c r="F10297">
        <f>HYPERLINK("https://www.reddit.com/r/diabetes/comments/i1tmks/tips_on_the_frequent_tslim_and_dexcom_sensor_out/")</f>
        <v/>
      </c>
      <c r="G10297" t="inlineStr">
        <is>
          <t>2020-08-01 08:05:12</t>
        </is>
      </c>
      <c r="H10297" t="inlineStr">
        <is>
          <t>Type 1</t>
        </is>
      </c>
    </row>
    <row r="10298">
      <c r="A10298" t="inlineStr">
        <is>
          <t>i1udko</t>
        </is>
      </c>
      <c r="B10298" t="inlineStr">
        <is>
          <t>High blood sugar 4 hours after meal</t>
        </is>
      </c>
      <c r="C10298" t="inlineStr">
        <is>
          <t>Hi, im 22/m. Last night 2 hours after meal checked my blood sugar ant it was 202. Made 1 dose insulin but 2 hours later i was feeling very sleepy. When i checked i saw 280. I did not eat anything later and meal was standart. I took extra two dose but 1 hour later it was still 280 and changed the pen and finally worked. Today i often checked my sugar and it's good and the first pen is still works when i try. What would be the reason?</t>
        </is>
      </c>
      <c r="D10298" t="n">
        <v>1</v>
      </c>
      <c r="E10298" t="n">
        <v>7</v>
      </c>
      <c r="F10298">
        <f>HYPERLINK("https://www.reddit.com/r/diabetes/comments/i1udko/high_blood_sugar_4_hours_after_meal/")</f>
        <v/>
      </c>
      <c r="G10298" t="inlineStr">
        <is>
          <t>2020-08-01 08:51:30</t>
        </is>
      </c>
      <c r="H10298" t="inlineStr">
        <is>
          <t>Type 1</t>
        </is>
      </c>
    </row>
    <row r="10299">
      <c r="A10299" t="inlineStr">
        <is>
          <t>i1uwv1</t>
        </is>
      </c>
      <c r="B10299" t="inlineStr">
        <is>
          <t>Tslim Pump: Accidentally Filled “New” Cartridge</t>
        </is>
      </c>
      <c r="C10299" t="inlineStr">
        <is>
          <t>My tubing ripped off this morning so I had to put new tubing on. Usually with the tslim I fill the tubing then the cannula and that’s it, however, today I accidentally filled a “new” cartridge while using the pre-existing one. 
In short, I accidentally “replaced” a cartridge that already had insulin in it from a previous cartridge / site change, instead of just filling the tubing and cannula.
Will this pose any issues for me for the next two days until I would change the cartridge again? This is the first time I did it so idk if it’s a huge deal.</t>
        </is>
      </c>
      <c r="D10299" t="n">
        <v>1</v>
      </c>
      <c r="E10299" t="n">
        <v>2</v>
      </c>
      <c r="F10299">
        <f>HYPERLINK("https://www.reddit.com/r/diabetes/comments/i1uwv1/tslim_pump_accidentally_filled_new_cartridge/")</f>
        <v/>
      </c>
      <c r="G10299" t="inlineStr">
        <is>
          <t>2020-08-01 09:24:36</t>
        </is>
      </c>
      <c r="H10299" t="inlineStr">
        <is>
          <t>Type 1</t>
        </is>
      </c>
    </row>
    <row r="10300">
      <c r="A10300" t="inlineStr">
        <is>
          <t>i20md2</t>
        </is>
      </c>
      <c r="B10300" t="inlineStr">
        <is>
          <t>DAE find reading really difficult when on a low?</t>
        </is>
      </c>
      <c r="C10300" t="inlineStr">
        <is>
          <t>Hey people of the world, I'm dyslexic and find being on a low really exacerbates my difficulty in reading and was wondering if this happens to anyone else?</t>
        </is>
      </c>
      <c r="D10300" t="n">
        <v>1</v>
      </c>
      <c r="E10300" t="n">
        <v>1</v>
      </c>
      <c r="F10300">
        <f>HYPERLINK("https://www.reddit.com/r/diabetes/comments/i20md2/dae_find_reading_really_difficult_when_on_a_low/")</f>
        <v/>
      </c>
      <c r="G10300" t="inlineStr">
        <is>
          <t>2020-08-01 14:54:14</t>
        </is>
      </c>
      <c r="H10300" t="inlineStr">
        <is>
          <t>Type 1</t>
        </is>
      </c>
    </row>
    <row r="10301">
      <c r="A10301" t="inlineStr">
        <is>
          <t>i20nhy</t>
        </is>
      </c>
      <c r="B10301" t="inlineStr">
        <is>
          <t>I went high for no reason.</t>
        </is>
      </c>
      <c r="C10301" t="inlineStr">
        <is>
          <t>So I did everything like I usually do but yesterday night I went up to 250. It took me an hour to go back down with like 8 or 10 units of fast acting insulin. Usually I will start to at least going down with 2 or 3 units. Is this normal sometimes?  I told my mom and she just said get it under control.</t>
        </is>
      </c>
      <c r="D10301" t="n">
        <v>1</v>
      </c>
      <c r="E10301" t="n">
        <v>4</v>
      </c>
      <c r="F10301">
        <f>HYPERLINK("https://www.reddit.com/r/diabetes/comments/i20nhy/i_went_high_for_no_reason/")</f>
        <v/>
      </c>
      <c r="G10301" t="inlineStr">
        <is>
          <t>2020-08-01 14:56:09</t>
        </is>
      </c>
      <c r="H10301" t="inlineStr">
        <is>
          <t>Type 1</t>
        </is>
      </c>
    </row>
    <row r="10302">
      <c r="A10302" t="inlineStr">
        <is>
          <t>i218g1</t>
        </is>
      </c>
      <c r="B10302" t="inlineStr">
        <is>
          <t>Monster Ultra and T1</t>
        </is>
      </c>
      <c r="C10302" t="inlineStr">
        <is>
          <t>***disclaimer:*** I rarely drank energy drinks before I became T1 and still won't, I had the odd one before all this happened if I needed to pull an all nighter for college work or if I had a jagerbomb when I went out out (again rarely). I'm just curious
What would happen with blood sugar levels and other things with drinking stuff such as Monster Ultra, my mother decided to buy me a can whilst she went out shopping. Ultra has 0g of sugar and I think it was 7 or 8g of carbohydrates in the entire can. I was told that drinks like Red Bull obviously had high amounts of sugar and would send me off the wall (obviously on about the regular/high asf sugar loaded ones)
* Is it safe to drink? or should I just tip it down the sink
* If safe to drink, is it better or worse than having a coffee per say (obviously when needed, I drank both energy drinks and coffees very rarely before)</t>
        </is>
      </c>
      <c r="D10302" t="n">
        <v>1</v>
      </c>
      <c r="E10302" t="n">
        <v>5</v>
      </c>
      <c r="F10302">
        <f>HYPERLINK("https://www.reddit.com/r/diabetes/comments/i218g1/monster_ultra_and_t1/")</f>
        <v/>
      </c>
      <c r="G10302" t="inlineStr">
        <is>
          <t>2020-08-01 15:32:50</t>
        </is>
      </c>
      <c r="H10302" t="inlineStr">
        <is>
          <t>Type 1</t>
        </is>
      </c>
    </row>
    <row r="10303">
      <c r="A10303" t="inlineStr">
        <is>
          <t>i227gl</t>
        </is>
      </c>
      <c r="B10303" t="inlineStr">
        <is>
          <t>Can A T1 Use Creatine?</t>
        </is>
      </c>
      <c r="C10303" t="inlineStr">
        <is>
          <t>I’m a 19 year old male. Lately I’ve been lifting weights a lot and was looking for some supplements to help me perform better. But whenever I search for info about Creatine I found so much conflicted information about whether is safe or not. If someone has use it or have information about it I would really appreciate if you share it.</t>
        </is>
      </c>
      <c r="D10303" t="n">
        <v>1</v>
      </c>
      <c r="E10303" t="n">
        <v>5</v>
      </c>
      <c r="F10303">
        <f>HYPERLINK("https://www.reddit.com/r/diabetes/comments/i227gl/can_a_t1_use_creatine/")</f>
        <v/>
      </c>
      <c r="G10303" t="inlineStr">
        <is>
          <t>2020-08-01 16:35:26</t>
        </is>
      </c>
      <c r="H10303" t="inlineStr">
        <is>
          <t>Type 1</t>
        </is>
      </c>
    </row>
    <row r="10304">
      <c r="A10304" t="inlineStr">
        <is>
          <t>i22zlx</t>
        </is>
      </c>
      <c r="B10304" t="inlineStr">
        <is>
          <t>Type 2 Diabetes reading came out to 560. Dad is being very persistent that he is fine. Force him to go or should it be waited out another hour or so?</t>
        </is>
      </c>
      <c r="C10304" t="inlineStr">
        <is>
          <t>Hello, I dont know a lot about diabetes, however my dads reading came out to 560, and last night it was in the 300s. I looked it up on google and it is telling me this is very dangerous, however my dad keeps telling me he doesn't need to go to the hospital and needs time for it to go down saying that he knows his own body. He's very stubborn and I am very worried. Is it too dangerous to wait?</t>
        </is>
      </c>
      <c r="D10304" t="n">
        <v>1</v>
      </c>
      <c r="E10304" t="n">
        <v>13</v>
      </c>
      <c r="F10304">
        <f>HYPERLINK("https://www.reddit.com/r/diabetes/comments/i22zlx/type_2_diabetes_reading_came_out_to_560_dad_is/")</f>
        <v/>
      </c>
      <c r="G10304" t="inlineStr">
        <is>
          <t>2020-08-01 17:28:06</t>
        </is>
      </c>
      <c r="H10304" t="inlineStr">
        <is>
          <t>Type 2</t>
        </is>
      </c>
    </row>
    <row r="10305">
      <c r="A10305" t="inlineStr">
        <is>
          <t>i23acl</t>
        </is>
      </c>
      <c r="B10305" t="inlineStr">
        <is>
          <t>What pump should I get?</t>
        </is>
      </c>
      <c r="C10305" t="inlineStr">
        <is>
          <t>Hello everyone, I am a new type 1 diabetic and only 13 years of age, i have had diabetes for around a month and a half and in like 1 month I can get a pump and on the 10th I am having my doctors appointment for having my doctor order the G6, what pump do you all think I should get? I have been looking at the T slim but I am still not sure on what to get, leave suggests please, thank you!</t>
        </is>
      </c>
      <c r="D10305" t="n">
        <v>1</v>
      </c>
      <c r="E10305" t="n">
        <v>10</v>
      </c>
      <c r="F10305">
        <f>HYPERLINK("https://www.reddit.com/r/diabetes/comments/i23acl/what_pump_should_i_get/")</f>
        <v/>
      </c>
      <c r="G10305" t="inlineStr">
        <is>
          <t>2020-08-01 17:49:16</t>
        </is>
      </c>
      <c r="H10305" t="inlineStr">
        <is>
          <t>Type 1</t>
        </is>
      </c>
    </row>
    <row r="10306">
      <c r="A10306" t="inlineStr">
        <is>
          <t>i23q3x</t>
        </is>
      </c>
      <c r="B10306" t="inlineStr">
        <is>
          <t>Hey guys I was wandering what are my chances of developing another autoimmune disease.</t>
        </is>
      </c>
      <c r="C10306" t="inlineStr">
        <is>
          <t>I have been diabetic for close to 7 years. I was diagnosed at age 11 and have really suffered any other problems sense my diagnosis. I have had went to er with health anxiety related issues and my blood came back fine the only thing they found was ketones in my pee. (Big surprise) I was just wandering my doctor said the worse I could get now is a thyroid problem or vitiligo. Which I’m not afraid of those what so ever the one I am afraid of is celiac diseases and was just wandering about. I’m happy to get a second chance at life and I want to make sure I don’t waste it. I will post my story about my journey through it later and how it felt growing up with type 1 and I am fearful for the years to come in life. I don’t understand all about diabetes just wanted to no more about it from you guys.</t>
        </is>
      </c>
      <c r="D10306" t="n">
        <v>1</v>
      </c>
      <c r="E10306" t="n">
        <v>4</v>
      </c>
      <c r="F10306">
        <f>HYPERLINK("https://www.reddit.com/r/diabetes/comments/i23q3x/hey_guys_i_was_wandering_what_are_my_chances_of/")</f>
        <v/>
      </c>
      <c r="G10306" t="inlineStr">
        <is>
          <t>2020-08-01 18:21:28</t>
        </is>
      </c>
      <c r="H10306" t="inlineStr">
        <is>
          <t>Type 1</t>
        </is>
      </c>
    </row>
    <row r="10307">
      <c r="A10307" t="inlineStr">
        <is>
          <t>i25jsq</t>
        </is>
      </c>
      <c r="B10307" t="inlineStr">
        <is>
          <t>Gallbladder surgery</t>
        </is>
      </c>
      <c r="C10307" t="inlineStr">
        <is>
          <t>My wife is type 2 diabetic her numbers are usually in the mid 200 to low 300 Her last a1c was 7.5 taken the day of her surgery this is down from 14 almost a year ago. She takes oral medication only. 2 weeks ago she had her gallbladder removed ever since the surgery her numbers have been dropping like crazy. They are around 70 to 130 shes hungry all the time and dizzy. Today she only took half her glipizide as thats what the doctor told her todo she just checked and they were 64. The surgeon and her normal doctor dont think it’s related to her surgery but there is no other change. Her pcp is a little difficult to get to right now as they have converted his office into a covid testing facility. We are hoping to get her in at some point next week. Tomorrow they are suggesting skipping her glipizide all together. We are at a total loss on what to do. So far she has been able to keep her sugars somewhat under control by eating or useing these tablets we were told to buy but this is getting terrifying. She really does not want to go to the hospital during covid. Other than this she has had nothing else out or the ordinary from her surgery.</t>
        </is>
      </c>
      <c r="D10307" t="n">
        <v>1</v>
      </c>
      <c r="E10307" t="n">
        <v>0</v>
      </c>
      <c r="F10307">
        <f>HYPERLINK("https://www.reddit.com/r/diabetes/comments/i25jsq/gallbladder_surgery/")</f>
        <v/>
      </c>
      <c r="G10307" t="inlineStr">
        <is>
          <t>2020-08-01 20:36:34</t>
        </is>
      </c>
      <c r="H10307" t="inlineStr">
        <is>
          <t>Type 2</t>
        </is>
      </c>
    </row>
    <row r="10308">
      <c r="A10308" t="inlineStr">
        <is>
          <t>i274pi</t>
        </is>
      </c>
      <c r="B10308" t="inlineStr">
        <is>
          <t>diabetes distress.</t>
        </is>
      </c>
      <c r="C10308" t="inlineStr">
        <is>
          <t>oh MY GOD I HAVE BEEN IN DIABETES DISTRESS SINCE MIDDLE SCHOOL! I recently turned 19 and I have been diabetic for 11 years. My a1C has not seen anything below 8.9 in 7 years...I need help getting out of this mess. My endo won’t understand the emotional part of it. Regular therapy didn’t help me because the root of my depression and anxiety is my diabetes. The psych meds help the symptoms but not the problem. I can’t find a therapist who specializes in diabetic patients. I don’t want it to get to a point where I can’t go back:(
None of this is my moms fault. She tries to help but I was the first in my family to get it and she doesn’t understand how much of a burden this disease is. I really want to change:’))</t>
        </is>
      </c>
      <c r="D10308" t="n">
        <v>1</v>
      </c>
      <c r="E10308" t="n">
        <v>4</v>
      </c>
      <c r="F10308">
        <f>HYPERLINK("https://www.reddit.com/r/diabetes/comments/i274pi/diabetes_distress/")</f>
        <v/>
      </c>
      <c r="G10308" t="inlineStr">
        <is>
          <t>2020-08-01 22:45:05</t>
        </is>
      </c>
      <c r="H10308" t="inlineStr">
        <is>
          <t>Type 1</t>
        </is>
      </c>
    </row>
    <row r="10309">
      <c r="A10309" t="inlineStr">
        <is>
          <t>i27tvi</t>
        </is>
      </c>
      <c r="B10309" t="inlineStr">
        <is>
          <t>Freestyle Libre Sensor Probs</t>
        </is>
      </c>
      <c r="C10309" t="inlineStr">
        <is>
          <t>I put on a new sensor after my old sensor ended and scanned it. The reader told me the sensor would be ready in 60 minutes. An hour later I scanned the new sensor and the reader is saying the sensor has ended and to start a new sensor. I’m not sure what to do. Anyone else have this problem before?</t>
        </is>
      </c>
      <c r="D10309" t="n">
        <v>1</v>
      </c>
      <c r="E10309" t="n">
        <v>2</v>
      </c>
      <c r="F10309">
        <f>HYPERLINK("https://www.reddit.com/r/diabetes/comments/i27tvi/freestyle_libre_sensor_probs/")</f>
        <v/>
      </c>
      <c r="G10309" t="inlineStr">
        <is>
          <t>2020-08-01 23:50:37</t>
        </is>
      </c>
      <c r="H10309" t="inlineStr">
        <is>
          <t>Type 2</t>
        </is>
      </c>
    </row>
    <row r="10310">
      <c r="A10310" t="inlineStr">
        <is>
          <t>i2axds</t>
        </is>
      </c>
      <c r="B10310" t="inlineStr">
        <is>
          <t>Newly Insulin Dependent - Struggling with 4 Injections/Day - Recommendations?</t>
        </is>
      </c>
      <c r="C10310" t="inlineStr">
        <is>
          <t>Hi, all. I've just started taking mealtime insulin in the past 6 months and it is really wearing me down. I was hoping for some advice around: injection sites (I already have some spots on my abdomen thickening up); the least painful pen needles; remembering to inject before meals; dealing with snacks... pretty much anything and everything. I'm feeling really discouraged and fatigued right now. My numbers are up due to quarantine weight gain and unemployment depression. So. Gotta just deal.</t>
        </is>
      </c>
      <c r="D10310" t="n">
        <v>1</v>
      </c>
      <c r="E10310" t="n">
        <v>12</v>
      </c>
      <c r="F10310">
        <f>HYPERLINK("https://www.reddit.com/r/diabetes/comments/i2axds/newly_insulin_dependent_struggling_with_4/")</f>
        <v/>
      </c>
      <c r="G10310" t="inlineStr">
        <is>
          <t>2020-08-02 05:00:04</t>
        </is>
      </c>
      <c r="H10310" t="inlineStr">
        <is>
          <t>Type 2</t>
        </is>
      </c>
    </row>
    <row r="10311">
      <c r="A10311" t="inlineStr">
        <is>
          <t>i2btqo</t>
        </is>
      </c>
      <c r="B10311" t="inlineStr">
        <is>
          <t>TB skin test</t>
        </is>
      </c>
      <c r="C10311" t="inlineStr">
        <is>
          <t>has anyone here ever had a positive TB skin test followed by a negative chest x-ray? 
i have never had a positive test up until a few months ago (maybe january), and i just had another done a few days ago that is definitely positive.. the first was followed with a negative chest x-ray, i was curious if there was maybe a link between type 1 or diabetes in general and TB tests? 
if anyone has or can find credible research that would be cool too, i’ve been looking for a while and have yet to find anything that matches what i’m looking for</t>
        </is>
      </c>
      <c r="D10311" t="n">
        <v>1</v>
      </c>
      <c r="E10311" t="n">
        <v>4</v>
      </c>
      <c r="F10311">
        <f>HYPERLINK("https://www.reddit.com/r/diabetes/comments/i2btqo/tb_skin_test/")</f>
        <v/>
      </c>
      <c r="G10311" t="inlineStr">
        <is>
          <t>2020-08-02 06:11:49</t>
        </is>
      </c>
      <c r="H10311" t="inlineStr">
        <is>
          <t>Type 1</t>
        </is>
      </c>
    </row>
    <row r="10312">
      <c r="A10312" t="inlineStr">
        <is>
          <t>i2d424</t>
        </is>
      </c>
      <c r="B10312" t="inlineStr">
        <is>
          <t>Still trying to catch that unicorn!</t>
        </is>
      </c>
      <c r="C10312" t="inlineStr">
        <is>
          <t>My numbers are great and so is my A1C after 5 months of diagnosing, but dang I’m still trying to get a screen shot of the unicorn. My Apple Watch showed it once but when I went to take a picture on my phone, it was actually 98! Like come on man🤷🏼‍♀️</t>
        </is>
      </c>
      <c r="D10312" t="n">
        <v>1</v>
      </c>
      <c r="E10312" t="n">
        <v>1</v>
      </c>
      <c r="F10312">
        <f>HYPERLINK("https://www.reddit.com/r/diabetes/comments/i2d424/still_trying_to_catch_that_unicorn/")</f>
        <v/>
      </c>
      <c r="G10312" t="inlineStr">
        <is>
          <t>2020-08-02 07:40:52</t>
        </is>
      </c>
      <c r="H10312" t="inlineStr">
        <is>
          <t>Type 1</t>
        </is>
      </c>
    </row>
    <row r="10313">
      <c r="A10313" t="inlineStr">
        <is>
          <t>i2di6o</t>
        </is>
      </c>
      <c r="B10313" t="inlineStr">
        <is>
          <t>New and sooo overwhelmed! Would love some help and advice.</t>
        </is>
      </c>
      <c r="C10313" t="inlineStr">
        <is>
          <t>Hey everyone, I'm 28F, probably T1.5/2 in the middle of the diagnosis. I'm so glad to have found this subreddit, I already feel better knowing that I'm not alone with all this.
I learned about my diabetes by suprise - last month I took blood tests because my dermatologist was trying to figure out why my hair is thinning. And boom, my BG was 163 fasting. Two next tests on separate days came up with 130 and 134 (over 12h of fasting). 
I have no symptoms besides weight loss , but that can be also cause of my hyperthyroidism, which appeared at the same time as my BG problems (my endo is not sure yet whether it's Graves or early stages od Hashimoto's disease - currently I'm taking 15mg of thiamazole). My A1C is 6.2, my C-peptide was 1.79 mg/ml fasting, with BG 134. This week I'll get my GAD results.  
I'm overwhelmed, scared and don't really know what to do. 
1. Is kt possibile that it's not diabetes yet? I read that hyperthyroid can elevate blood sugar and cause insulin resistance. I'm definitely hyperthyroid nie with TSH &amp;lt; 0.008 (0.45 last month). I measure my BG with my glucometer and the results are all over the place - healthy meals with minimal carbs can cause a spike, while f.e. a pack of potato chips can be barely noticable. According to my Contour app my average is around 130 but I usually don't test before meals only after - and multiple times, to see how fast my BG goes down. My fasting sugar went down a little after I changed my diet (eliminated sugar, sweetened products, only full grain bread and pasta), I'm usually around 115-120.  However after a meal it's a lottery. I'm usually over 140 after 2 hours, but around 100 after 3-4 hours.
2. Exercise lowers my BG pretty fast - 5 minutes on a stationary bike lowers me from 190 to 160 within 10 minutes, or even 230 to 120 within 40 minutes. Is it normal? Today is the first day that it didn't work - I'm hovering around 160 for the last hour after a bowl of spaghetti (went down to 152 after excercising and went up to 162 again).
3. Is my C-peptide good or bad? 1.79 seems to be in the middle of the norm, but I have no idea if it points more towards T2 or T1.5?
4. Is it possible to test positive for GAD antibodes and still have T2 or is it a definitive indicator od T1/1.5?
Thanks in advance for any advice. It's so overwhelming to get two diseases at the same time when I was always healthy, had a good diet and it all came out of nowhere. Sorry for any mistakes I might have missed, my English is a little rusty and my autocorrect is set to Polish :)</t>
        </is>
      </c>
      <c r="D10313" t="n">
        <v>1</v>
      </c>
      <c r="E10313" t="n">
        <v>4</v>
      </c>
      <c r="F10313">
        <f>HYPERLINK("https://www.reddit.com/r/diabetes/comments/i2di6o/new_and_sooo_overwhelmed_would_love_some_help_and/")</f>
        <v/>
      </c>
      <c r="G10313" t="inlineStr">
        <is>
          <t>2020-08-02 08:05:29</t>
        </is>
      </c>
      <c r="H10313" t="inlineStr">
        <is>
          <t>Type 1.5/LADA</t>
        </is>
      </c>
    </row>
    <row r="10314">
      <c r="A10314" t="inlineStr">
        <is>
          <t>i2etcu</t>
        </is>
      </c>
      <c r="B10314" t="inlineStr">
        <is>
          <t>18 Year old Male</t>
        </is>
      </c>
      <c r="C10314" t="inlineStr">
        <is>
          <t>Hey, I’m an 18 year old guy who’s had diabetes for 12 years. Recently my blood sugar has been out of control. I not say this because I find I am having some issues in the bedroom. I read online that diabetes can cause Erectile dysfunction. Is there anyway to treat this without viagra or other blood rushers. Please let me know if you have any advice.</t>
        </is>
      </c>
      <c r="D10314" t="n">
        <v>1</v>
      </c>
      <c r="E10314" t="n">
        <v>4</v>
      </c>
      <c r="F10314">
        <f>HYPERLINK("https://www.reddit.com/r/diabetes/comments/i2etcu/18_year_old_male/")</f>
        <v/>
      </c>
      <c r="G10314" t="inlineStr">
        <is>
          <t>2020-08-02 09:25:13</t>
        </is>
      </c>
      <c r="H10314" t="inlineStr">
        <is>
          <t>Type 1</t>
        </is>
      </c>
    </row>
    <row r="10315">
      <c r="A10315" t="inlineStr">
        <is>
          <t>i2h3qh</t>
        </is>
      </c>
      <c r="B10315" t="inlineStr">
        <is>
          <t>Misplaced my Miao Miao charger. Had a meltdown. I hate having my life depend on so many electronics.</t>
        </is>
      </c>
      <c r="C10315" t="inlineStr">
        <is>
          <t>I’m still crying about it. Not exactly sure why but I think it just reminded me how fragile my whole set up is. Misplacing one little charger can screw up my sleep for a week. I feel helpless in the grand scheme of things. 
Ordered more chargers for it  so this doesn’t happen to me again. But I’m still upset about it. My partner doesn’t understand why I can’t seem to ‘get over’ the fact that I have diabetes. 
I think I have accepted that I have diabetes, I still hate having it though. I hate being dependent on a drug and a few machines for the rest of my life. I hate having to worry more about covid than anyone else my age. My family doesn’t get it, they think I’m overreacting. I feel so scared. I’m suppose to start clinical rotations in a few weeks for school and I’m worried I’ll get covid and die. I told that to my therapist and she said well you are at an increased risk.... 
Vent? Help? I have no idea what I need. Just someone who gets it.</t>
        </is>
      </c>
      <c r="D10315" t="n">
        <v>1</v>
      </c>
      <c r="E10315" t="n">
        <v>1</v>
      </c>
      <c r="F10315">
        <f>HYPERLINK("https://www.reddit.com/r/diabetes/comments/i2h3qh/misplaced_my_miao_miao_charger_had_a_meltdown_i/")</f>
        <v/>
      </c>
      <c r="G10315" t="inlineStr">
        <is>
          <t>2020-08-02 11:36:06</t>
        </is>
      </c>
      <c r="H10315" t="inlineStr">
        <is>
          <t>Type 1</t>
        </is>
      </c>
    </row>
    <row r="10316">
      <c r="A10316" t="inlineStr">
        <is>
          <t>i2hobs</t>
        </is>
      </c>
      <c r="B10316" t="inlineStr">
        <is>
          <t>Need some advice about pre-proliferative retinopathy and how to help someone facing it</t>
        </is>
      </c>
      <c r="C10316" t="inlineStr">
        <is>
          <t>So my boyfriend got his eye test results back showing that he’s showing signs of Pre-proliferative retinopathy and he got himself rather upset about it. He’s been T1 for 18 years and is a true sugar fiend. We’re doing what we can to better control his levels but obviously he’s worried about losing his sight. I’ve assured him that I’ll be here with him every step of the way, but he said ‘I just don’t want to become a burden to you’ and honestly my heart is breaking. He could never be a burden to me. 
So anyway, does anyone have an experiences they can share, advice to give or words of encouragement?</t>
        </is>
      </c>
      <c r="D10316" t="n">
        <v>1</v>
      </c>
      <c r="E10316" t="n">
        <v>4</v>
      </c>
      <c r="F10316">
        <f>HYPERLINK("https://www.reddit.com/r/diabetes/comments/i2hobs/need_some_advice_about_preproliferative/")</f>
        <v/>
      </c>
      <c r="G10316" t="inlineStr">
        <is>
          <t>2020-08-02 12:07:30</t>
        </is>
      </c>
      <c r="H10316" t="inlineStr">
        <is>
          <t>Type 1</t>
        </is>
      </c>
    </row>
    <row r="10317">
      <c r="A10317" t="inlineStr">
        <is>
          <t>i2lskb</t>
        </is>
      </c>
      <c r="B10317" t="inlineStr">
        <is>
          <t>How do I keep my A1C below 6% - Life Hacks that I want to share</t>
        </is>
      </c>
      <c r="C10317" t="inlineStr">
        <is>
          <t>Hello friends, 
This is what I do keep my blood sugar under control and below 6% A1c. I have been a type diabetic since 6years old. Currently I am 37 . 
It's my first video, plenty of mistakes. And I was nervous all time. Anyways. I hope it helps,. I will be making more and better videos in the near future. Hugs.  
[https://youtu.be/GKbToKIVbtM](https://youtu.be/GKbToKIVbtM)
Alex</t>
        </is>
      </c>
      <c r="D10317" t="n">
        <v>1</v>
      </c>
      <c r="E10317" t="n">
        <v>1</v>
      </c>
      <c r="F10317">
        <f>HYPERLINK("https://www.reddit.com/r/diabetes/comments/i2lskb/how_do_i_keep_my_a1c_below_6_life_hacks_that_i/")</f>
        <v/>
      </c>
      <c r="G10317" t="inlineStr">
        <is>
          <t>2020-08-02 16:06:41</t>
        </is>
      </c>
      <c r="H10317" t="inlineStr">
        <is>
          <t>Type 1</t>
        </is>
      </c>
    </row>
    <row r="10318">
      <c r="A10318" t="inlineStr">
        <is>
          <t>i2ootu</t>
        </is>
      </c>
      <c r="B10318" t="inlineStr">
        <is>
          <t>I was searching aisles for diabetic food that’s what I found: NuPasta, Flaxseeds, Chia seeds, Cashew milk, what are your finds?</t>
        </is>
      </c>
      <c r="C10318" t="inlineStr">
        <is>
          <t>.</t>
        </is>
      </c>
      <c r="D10318" t="n">
        <v>1</v>
      </c>
      <c r="E10318" t="n">
        <v>7</v>
      </c>
      <c r="F10318">
        <f>HYPERLINK("https://www.reddit.com/r/diabetes/comments/i2ootu/i_was_searching_aisles_for_diabetic_food_thats/")</f>
        <v/>
      </c>
      <c r="G10318" t="inlineStr">
        <is>
          <t>2020-08-02 19:10:58</t>
        </is>
      </c>
      <c r="H10318" t="inlineStr">
        <is>
          <t>Type 2</t>
        </is>
      </c>
    </row>
    <row r="10319">
      <c r="A10319" t="inlineStr">
        <is>
          <t>i2por2</t>
        </is>
      </c>
      <c r="B10319" t="inlineStr">
        <is>
          <t>Bad day... Just want to lie and cry</t>
        </is>
      </c>
      <c r="C10319" t="inlineStr">
        <is>
          <t>Wanted to ask if anyone else has this sometimes... Yesterday my G6 transmitter went through all alarms it had and gave up on me 5 weeks into it. Error 20C. Thanks 
And today I woke up, searching for my pump in the bed.. Cannula ripped out, blood on my stomach. And not having reserve transmitter, I slept happily through it, 17,7 mmol (over 300 in us units).
I just want to stay in bed and cry</t>
        </is>
      </c>
      <c r="D10319" t="n">
        <v>1</v>
      </c>
      <c r="E10319" t="n">
        <v>7</v>
      </c>
      <c r="F10319">
        <f>HYPERLINK("https://www.reddit.com/r/diabetes/comments/i2por2/bad_day_just_want_to_lie_and_cry/")</f>
        <v/>
      </c>
      <c r="G10319" t="inlineStr">
        <is>
          <t>2020-08-02 20:20:22</t>
        </is>
      </c>
      <c r="H10319" t="inlineStr">
        <is>
          <t>Type 1</t>
        </is>
      </c>
    </row>
    <row r="10320">
      <c r="A10320" t="inlineStr">
        <is>
          <t>i2rq8f</t>
        </is>
      </c>
      <c r="B10320" t="inlineStr">
        <is>
          <t>I have Covid-19 and T2 AMA</t>
        </is>
      </c>
      <c r="C10320" t="inlineStr">
        <is>
          <t>As title says I just got diagnosed with Covid and am a Type 2 diabetic. Ask me Anything</t>
        </is>
      </c>
      <c r="D10320" t="n">
        <v>1</v>
      </c>
      <c r="E10320" t="n">
        <v>6</v>
      </c>
      <c r="F10320">
        <f>HYPERLINK("https://www.reddit.com/r/diabetes/comments/i2rq8f/i_have_covid19_and_t2_ama/")</f>
        <v/>
      </c>
      <c r="G10320" t="inlineStr">
        <is>
          <t>2020-08-02 22:58:46</t>
        </is>
      </c>
      <c r="H10320" t="inlineStr">
        <is>
          <t>Type 2</t>
        </is>
      </c>
    </row>
    <row r="10321">
      <c r="A10321" t="inlineStr">
        <is>
          <t>i2snlp</t>
        </is>
      </c>
      <c r="B10321" t="inlineStr">
        <is>
          <t>any T1s in the US military?</t>
        </is>
      </c>
      <c r="C10321" t="inlineStr">
        <is>
          <t>hey, I've been T1 since 13. I always wanted to enlist in the army or perhaps marines since the beginning of highschool but learned that diabetics can't join, which was really disheartening. it's been bothering me lately and i've heard of some T1s serving while other sources say it's impossible. can anyone chime in? my A1C is 6.6, have an insulin pump if it matters</t>
        </is>
      </c>
      <c r="D10321" t="n">
        <v>1</v>
      </c>
      <c r="E10321" t="n">
        <v>9</v>
      </c>
      <c r="F10321">
        <f>HYPERLINK("https://www.reddit.com/r/diabetes/comments/i2snlp/any_t1s_in_the_us_military/")</f>
        <v/>
      </c>
      <c r="G10321" t="inlineStr">
        <is>
          <t>2020-08-03 00:21:42</t>
        </is>
      </c>
      <c r="H10321" t="inlineStr">
        <is>
          <t>Type 1</t>
        </is>
      </c>
    </row>
    <row r="10322">
      <c r="A10322" t="inlineStr">
        <is>
          <t>i2u4yr</t>
        </is>
      </c>
      <c r="B10322" t="inlineStr">
        <is>
          <t>Just wondering</t>
        </is>
      </c>
      <c r="C10322" t="inlineStr">
        <is>
          <t>Am I really the only one on this redit to have ur sugarconcentation, checked in mmol/l
So between 4,0-15,0 it's a good niveau</t>
        </is>
      </c>
      <c r="D10322" t="n">
        <v>1</v>
      </c>
      <c r="E10322" t="n">
        <v>6</v>
      </c>
      <c r="F10322">
        <f>HYPERLINK("https://www.reddit.com/r/diabetes/comments/i2u4yr/just_wondering/")</f>
        <v/>
      </c>
      <c r="G10322" t="inlineStr">
        <is>
          <t>2020-08-03 02:41:51</t>
        </is>
      </c>
      <c r="H10322" t="inlineStr">
        <is>
          <t>Type 1</t>
        </is>
      </c>
    </row>
    <row r="10323">
      <c r="A10323" t="inlineStr">
        <is>
          <t>i2w2er</t>
        </is>
      </c>
      <c r="B10323" t="inlineStr">
        <is>
          <t>Sudden sensitivity to carbs</t>
        </is>
      </c>
      <c r="C10323" t="inlineStr">
        <is>
          <t>Hi all, for the past month and a half I’ve been eating right and losing weight. I’ve slowly gotten more sensitive to the insulin I’ve been taking as well. Things were going well. 
However about two weeks ago I very suddenly was having trouble getting my sugars down, needing a ton more insulin. Back and forth with doctors and tests, there’s nothing wrong with me. 
I’ve found I’m not resisting my insulin more but in fact the carbs I eat are doing this. I’ve been eating lower carb (~100 per day total) but not keto and my sugar shoots up and I need a lot more insulin. 
I saw some other posts where people mention this, and I’m looking for your experiences. Did this continue to happen? Does it go back to normal? I hate the idea of needing so much insulin, especially thinking about a meal that’s more carb-heavy than my usual. Looking for some help dealing with this, thank you.</t>
        </is>
      </c>
      <c r="D10323" t="n">
        <v>1</v>
      </c>
      <c r="E10323" t="n">
        <v>1</v>
      </c>
      <c r="F10323">
        <f>HYPERLINK("https://www.reddit.com/r/diabetes/comments/i2w2er/sudden_sensitivity_to_carbs/")</f>
        <v/>
      </c>
      <c r="G10323" t="inlineStr">
        <is>
          <t>2020-08-03 05:22:12</t>
        </is>
      </c>
      <c r="H10323" t="inlineStr">
        <is>
          <t>Type 1</t>
        </is>
      </c>
    </row>
    <row r="10324">
      <c r="A10324" t="inlineStr">
        <is>
          <t>i2z0z0</t>
        </is>
      </c>
      <c r="B10324" t="inlineStr">
        <is>
          <t>sucralose and insulin</t>
        </is>
      </c>
      <c r="C10324" t="inlineStr">
        <is>
          <t>hey! so i've been a t1d for 7 years; still a teen though.
i've read a lot about sucralose increasing fat storage and affecting the way a normal person's body will produce insulin. my question is, how does that affect a t1d's body ? is it ok that I drink stuff with sucralose ? (i like sparkling ices a lot lmao)
tia!</t>
        </is>
      </c>
      <c r="D10324" t="n">
        <v>1</v>
      </c>
      <c r="E10324" t="n">
        <v>12</v>
      </c>
      <c r="F10324">
        <f>HYPERLINK("https://www.reddit.com/r/diabetes/comments/i2z0z0/sucralose_and_insulin/")</f>
        <v/>
      </c>
      <c r="G10324" t="inlineStr">
        <is>
          <t>2020-08-03 08:27:00</t>
        </is>
      </c>
      <c r="H10324" t="inlineStr">
        <is>
          <t>Type 1</t>
        </is>
      </c>
    </row>
    <row r="10325">
      <c r="A10325" t="inlineStr">
        <is>
          <t>i300hy</t>
        </is>
      </c>
      <c r="B10325" t="inlineStr">
        <is>
          <t>Went from a 12.8 to 5.6 in 5 months!!</t>
        </is>
      </c>
      <c r="C10325" t="inlineStr">
        <is>
          <t>Remission here I cooooome</t>
        </is>
      </c>
      <c r="D10325" t="n">
        <v>1</v>
      </c>
      <c r="E10325" t="n">
        <v>28</v>
      </c>
      <c r="F10325">
        <f>HYPERLINK("https://www.reddit.com/r/diabetes/comments/i300hy/went_from_a_128_to_56_in_5_months/")</f>
        <v/>
      </c>
      <c r="G10325" t="inlineStr">
        <is>
          <t>2020-08-03 09:21:06</t>
        </is>
      </c>
      <c r="H10325" t="inlineStr">
        <is>
          <t>Type 2</t>
        </is>
      </c>
    </row>
    <row r="10326">
      <c r="A10326" t="inlineStr">
        <is>
          <t>i30h5b</t>
        </is>
      </c>
      <c r="B10326" t="inlineStr">
        <is>
          <t>Newly diagnosed. No idea what to do.</t>
        </is>
      </c>
      <c r="C10326" t="inlineStr">
        <is>
          <t>I got a call from my doctor's nurse on Friday saying my A1C was high and I've been prescribed metformin. Was told to go pick it up and start taking it, and that I was considered diabetic now. I told her, "no. That's probably not right, I ate some fruit snacks before coming in to the appointment because I wasn't expecting blood work. I'm definitely not diabetic." I was also in a chaotic area and didn't really ask questions. I just knew that eating high sugars can throw glucose tests off and assumed that's what she was talking about. 
I wasn't aware that A1C was over 3 months. I sent a message over the weekend apologizing for my abruptness, And told them I wanted to do another blood test to confirm. I added, "Unless the fruit snacks didn't matter and I'm just diabetic now" 
The nurse called me again and explained what the A1C was actually measuring, and that yes, I indeed am now a type 2 diabetic. She said they'd refer me to a nutritionist/dietician, and to "Take the metformin and watch your carbs and sugars"
The earliest they can get me in for the educator is September. I sent a message to my primary care doctor telling her that quite frankly I am completely freaked out by this diagnosis. It came completely out of left field, and came directly after also being told that I have an auto-immune disease that had yet to be diagnosed. I don't know if I need to be measuring my blood sugars, I don't know what to eat. I don't know-how to deal with the carb and sugar cravings my psychiatric medicine gives me at night. 
My doctor is working on scheduling an appointment with me to give me information and stuff, but I live on the coast in NC and likely won't be able to get in with her for a couple of days because of the Tropical Storm/Hurricane. 
I don't know..I'm just really freaked out and feel like I don't have enough information to combat this and figure out exactly what the bloody hell is wrong with my body now.</t>
        </is>
      </c>
      <c r="D10326" t="n">
        <v>1</v>
      </c>
      <c r="E10326" t="n">
        <v>47</v>
      </c>
      <c r="F10326">
        <f>HYPERLINK("https://www.reddit.com/r/diabetes/comments/i30h5b/newly_diagnosed_no_idea_what_to_do/")</f>
        <v/>
      </c>
      <c r="G10326" t="inlineStr">
        <is>
          <t>2020-08-03 09:45:09</t>
        </is>
      </c>
      <c r="H10326" t="inlineStr">
        <is>
          <t>Type 2</t>
        </is>
      </c>
    </row>
    <row r="10327">
      <c r="A10327" t="inlineStr">
        <is>
          <t>i32a7r</t>
        </is>
      </c>
      <c r="B10327" t="inlineStr">
        <is>
          <t>Any doctors with diabetes around, are you able to maintain your blood sugar level?</t>
        </is>
      </c>
      <c r="C10327" t="inlineStr">
        <is>
          <t>.</t>
        </is>
      </c>
      <c r="D10327" t="n">
        <v>1</v>
      </c>
      <c r="E10327" t="n">
        <v>4</v>
      </c>
      <c r="F10327">
        <f>HYPERLINK("https://www.reddit.com/r/diabetes/comments/i32a7r/any_doctors_with_diabetes_around_are_you_able_to/")</f>
        <v/>
      </c>
      <c r="G10327" t="inlineStr">
        <is>
          <t>2020-08-03 11:16:17</t>
        </is>
      </c>
      <c r="H10327" t="inlineStr">
        <is>
          <t>Type 2</t>
        </is>
      </c>
    </row>
    <row r="10328">
      <c r="A10328" t="inlineStr">
        <is>
          <t>i331ms</t>
        </is>
      </c>
      <c r="B10328" t="inlineStr">
        <is>
          <t>Clarification on how diabetes type 2 is caused</t>
        </is>
      </c>
      <c r="C10328" t="inlineStr">
        <is>
          <t>Type 2 diabetes isn’t necisarally caused by eating high amounts of sugar and carbohydrates. It is more from family history and being overweight. As long as you are active, eating high amounts of sugar (still bad) shouldn’t be the biggest risk factor. Yes? Correct me if I’m wrong.</t>
        </is>
      </c>
      <c r="D10328" t="n">
        <v>1</v>
      </c>
      <c r="E10328" t="n">
        <v>5</v>
      </c>
      <c r="F10328">
        <f>HYPERLINK("https://www.reddit.com/r/diabetes/comments/i331ms/clarification_on_how_diabetes_type_2_is_caused/")</f>
        <v/>
      </c>
      <c r="G10328" t="inlineStr">
        <is>
          <t>2020-08-03 11:54:45</t>
        </is>
      </c>
      <c r="H10328" t="inlineStr">
        <is>
          <t>Type 2</t>
        </is>
      </c>
    </row>
    <row r="10329">
      <c r="A10329" t="inlineStr">
        <is>
          <t>i34uz0</t>
        </is>
      </c>
      <c r="B10329" t="inlineStr">
        <is>
          <t>Pregnancy with Type 1; Blood Sugar Going Crazy.</t>
        </is>
      </c>
      <c r="C10329" t="inlineStr">
        <is>
          <t>My partner may be pregnant, and we won't find out until tomorrow afternoon. But recently we've found they're quite dizzy all the time, and are having difficultly eating a full meal. They've found even if they've eaten less they're blood sugar has gone higher then their typical range. They've tried over correcting it with their insulin but it ends up in the same area. 
Does anyone have experience with this? We aren't looking for advice, just want to know if this is common. 
They're afraid to eat now because they don't want to raise it high, and I don't know enough about this to help.</t>
        </is>
      </c>
      <c r="D10329" t="n">
        <v>1</v>
      </c>
      <c r="E10329" t="n">
        <v>6</v>
      </c>
      <c r="F10329">
        <f>HYPERLINK("https://www.reddit.com/r/diabetes/comments/i34uz0/pregnancy_with_type_1_blood_sugar_going_crazy/")</f>
        <v/>
      </c>
      <c r="G10329" t="inlineStr">
        <is>
          <t>2020-08-03 13:27:33</t>
        </is>
      </c>
      <c r="H10329" t="inlineStr">
        <is>
          <t>Type 1</t>
        </is>
      </c>
    </row>
    <row r="10330">
      <c r="A10330" t="inlineStr">
        <is>
          <t>i35mv9</t>
        </is>
      </c>
      <c r="B10330" t="inlineStr">
        <is>
          <t>Anyone with LADA? Did you get diagnosed from a GP or an Endocrinologist?</t>
        </is>
      </c>
      <c r="C10330" t="inlineStr">
        <is>
          <t>I'd love to hear people's stories with doctors and testing. Especially for LADA.
I'm booking a doctor's appointment to get some tests done. I don't have health insurance right now (I definitely will get it during open enrollment this year, but from what I see, none of the short term plans are worth it because they don't cover much. So I'm fine paying out of pocket for some tests). I'm considering just booking an Endo and skipping the GP.
My blood sugar goes as high 170-200 after eating meals and on top of that gives me very concerning heart pain. I've had this issue for years but it's been horrible these past few months and seriously affecting my work and personal life. I'm a 26 year old male and thin, so I doubt I have type 2. I've read up on LADA which could be a possibility. Or my blood sugar issues could be a sign of something else completely. I have celiac disease so I'm wondering if that has caused some other complication, and if it is diabetes related, perhaps LADA? I'm also considering that it might not be diabetes and that I'd need to see an Endo anyways to test for other things. I just don't want to waste money at a GP if it's not necessary, especially if the blood test only measures fasting levels (from what I can tell, it looks like the blood tests done at most general doctor's offices are to take one measurement for a fasting level). My resting levels are in the healthy range but I do get hyperglycemic after I eat. Is that something that you think the HBA1C would be able to diagnose if it were LADA? I've heard stories of wrong diagnoses and the wrong kind of testing, so I'd like to be sure with some thoughts here!</t>
        </is>
      </c>
      <c r="D10330" t="n">
        <v>1</v>
      </c>
      <c r="E10330" t="n">
        <v>8</v>
      </c>
      <c r="F10330">
        <f>HYPERLINK("https://www.reddit.com/r/diabetes/comments/i35mv9/anyone_with_lada_did_you_get_diagnosed_from_a_gp/")</f>
        <v/>
      </c>
      <c r="G10330" t="inlineStr">
        <is>
          <t>2020-08-03 14:07:47</t>
        </is>
      </c>
      <c r="H10330" t="inlineStr">
        <is>
          <t>Type 1.5/LADA</t>
        </is>
      </c>
    </row>
    <row r="10331">
      <c r="A10331" t="inlineStr">
        <is>
          <t>i36mbh</t>
        </is>
      </c>
      <c r="B10331" t="inlineStr">
        <is>
          <t>How dose CBD Oil effect your diabetes ?</t>
        </is>
      </c>
      <c r="C10331" t="inlineStr">
        <is>
          <t>If anyone has info about this would be much appreciated!</t>
        </is>
      </c>
      <c r="D10331" t="n">
        <v>1</v>
      </c>
      <c r="E10331" t="n">
        <v>3</v>
      </c>
      <c r="F10331">
        <f>HYPERLINK("https://www.reddit.com/r/diabetes/comments/i36mbh/how_dose_cbd_oil_effect_your_diabetes/")</f>
        <v/>
      </c>
      <c r="G10331" t="inlineStr">
        <is>
          <t>2020-08-03 15:00:16</t>
        </is>
      </c>
      <c r="H10331" t="inlineStr">
        <is>
          <t>Type 1</t>
        </is>
      </c>
    </row>
    <row r="10332">
      <c r="A10332" t="inlineStr">
        <is>
          <t>i3700h</t>
        </is>
      </c>
      <c r="B10332" t="inlineStr">
        <is>
          <t>My Journey to a preliminary LADA diagnosis</t>
        </is>
      </c>
      <c r="C10332" t="inlineStr">
        <is>
          <t>3 Months ago I got my first Diabetes diagnosis. I had spent the previous 6 weeks suffering from severe exhaustion, widespread muscle and joint pain, unquenchable thirst, frequent urination, failing vision, you all know the symptoms. Called the doctor and she ordered tests. BG over 500, A1C &amp;gt;14 and a TSH of 7.4. She started me on daily Basaglar 10u, 1000mg Metformin twice a day and Ozempic once a week. 
 6 weeks later i see this post in this sub, [LADA](https://www.reddit.com/r/diabetes/comments/hfn57p/as_many_as_1_in_10_adults_diagnosed_with_type_2/?utm_medium=android_app&amp;amp;utm_source=share)
Called my doc and had a televisit to discuss it. Of course she blew it off but she at least ordered new labs. At that point my vision is mostly restored, my  BG is down to 124 at fasting , A1C down to 8.4 and my TSH is still at 7.4 and my CPeptides are .62. Doc pulls all my insulin except for 1 script for when my fasting is over 150 and changed my metformin to jentadueto. 
Today I had my 3 month follow up. First thing she says is "I did some more research on LADA and it sounds like you were right" 
My first Endo appt is next Thursday. 
So much more to say here but my biggest takeaways are 
1. Be your own most vocal advocate!
2. If you dont feel like your doctor is taking you seriously, push them.
3. If that doesn't work, find a new doctor.
4. Get a endo for at least a consultation.
Thank you to everyone here who brought LADA to our attention. You have helped change my life and I'm sure many other. I vow to do the same moving forward.</t>
        </is>
      </c>
      <c r="D10332" t="n">
        <v>1</v>
      </c>
      <c r="E10332" t="n">
        <v>5</v>
      </c>
      <c r="F10332">
        <f>HYPERLINK("https://www.reddit.com/r/diabetes/comments/i3700h/my_journey_to_a_preliminary_lada_diagnosis/")</f>
        <v/>
      </c>
      <c r="G10332" t="inlineStr">
        <is>
          <t>2020-08-03 15:20:54</t>
        </is>
      </c>
      <c r="H10332" t="inlineStr">
        <is>
          <t>Type 1.5/LADA</t>
        </is>
      </c>
    </row>
    <row r="10333">
      <c r="A10333" t="inlineStr">
        <is>
          <t>i37tv1</t>
        </is>
      </c>
      <c r="B10333" t="inlineStr">
        <is>
          <t>Diagnosed as T2 in Feb, but I can't help but wonder if I have LADA. Help!</t>
        </is>
      </c>
      <c r="C10333" t="inlineStr">
        <is>
          <t>Hi All,
Posting here for opinions and advice while I wait another month+ to get in to see an Endo. So sorry for the wall of text, but I am trying to be thorough.
Here's my story:
Ironically, I became a T2 while losing weight and starting a LCHF diet. It began last summer when I weighed 334 lbs (I’m 6’5, 35 years old) and decided to try to overcome a lifetime of carb addiction by going keto (carnivore) for 60 days. My A1C at my physical 6 months prior had been 5.2.
I ate strict carnivore through Oct/Nov of last year, losing about 25 lbs and breaking my sugar dependency. I slowly reintroduced healthy carbs into my diet afterwards, and went for my physical in late December. My A1C at that time had risen from 5.2 at my prior physical to 5.9, and I was about 295 lbs.
Having received the pre-diabetes diagnosis, I began walking 3 miles+ 5 times a week in addition to the gym, and tightened up my diet even more. I was testing my BS at this point, and noticed some extremely high spikes, up to 400mg/dl at their worst, and realized at that point I had to completely give up refined carbs. I began taking Metformin (500mg twice a day), and between December and February I lost an additional 15 lbs, and at my follow-up appt. I was hoping for good news. 
Unfortunately, I now had an A1C of 7.4 and was told I was Type 2. My PCP upped my Metformin to 1000mg twice a day.
At this point I started to turn up the exercise even more, added in intermittent fasting and lost another  50 lbs by June, at which point my A1C was down to 6.4, but mostly through a ton of exercising to lower postprandial sugars.
Fast forward from June to now, and it feels like I'm going backwards. I'm eating just as clean as I was from Feb -&amp;gt; June, but my A1C has gone back up to 6.8 in a month, despite even more exercise. As an example, yesterday I ate a light breakfast of 2 eggs and some leftover curry sauce (low carb, home made lamb rogan josh), waking sugars of 160 rose to 190 within 90 minutes and didn't come down. I did some light cardio on my stationary bike to get sugars down to 145, and around 3PM ate my 2nd meal, about 9oz of steak, and some sauteed zucchini with a small side salad. My sugars rose from this meal to 220, so I went for a 13 mile bike ride, lowering my sugars to \~120.   
In the past few weeks, i've noticed that my sugars just constantly seem to rise, it's like a gradual slope where they rise hour by hour for 12+ hours, and the only thing I can do to stop the rise is exercise. The graphs below show the drops - and they are 100% from exercise - my BS doesn't come down on its own.
&amp;amp;#x200B;
&amp;amp;#x200B;
https://preview.redd.it/xb2x1ql7ave51.png?width=1364&amp;amp;format=png&amp;amp;auto=webp&amp;amp;s=f0b10714aa94de3289c12dd6f395faa62ddd75c6
&amp;amp;#x200B;
 **I finally bullied my PCP into testing me for antibodies, and got a positive result for insulin auto-antibodies (I was .5, reference is &amp;lt;.4).**
**So, there you have it. Does my experience seem typical for a T2, or does this read more like LADA? I've made lifestyle modifications like crazy, to the point my wife calls me an exercise addict and yet here I go watching my control getting worse and worse.** 
&amp;amp;#x200B;
See below tabular summary of my CGM data since April:
&amp;amp;#x200B;
&amp;amp;#x200B;
https://preview.redd.it/lc4xjnbp9ve51.png?width=464&amp;amp;format=png&amp;amp;auto=webp&amp;amp;s=13e769c803355bfdd26536e9e5b3b92b5210efa8</t>
        </is>
      </c>
      <c r="D10333" t="n">
        <v>1</v>
      </c>
      <c r="E10333" t="n">
        <v>7</v>
      </c>
      <c r="F10333">
        <f>HYPERLINK("https://www.reddit.com/r/diabetes/comments/i37tv1/diagnosed_as_t2_in_feb_but_i_cant_help_but_wonder/")</f>
        <v/>
      </c>
      <c r="G10333" t="inlineStr">
        <is>
          <t>2020-08-03 16:08:11</t>
        </is>
      </c>
      <c r="H10333" t="inlineStr">
        <is>
          <t>Type 1.5/LADA</t>
        </is>
      </c>
    </row>
    <row r="10334">
      <c r="A10334" t="inlineStr">
        <is>
          <t>i37ylw</t>
        </is>
      </c>
      <c r="B10334" t="inlineStr">
        <is>
          <t>Freestyle Libre- Readings vary by Arm</t>
        </is>
      </c>
      <c r="C10334" t="inlineStr">
        <is>
          <t>Hi, It seems when I put it on my Left Arm, I get false low readings. Does this happen to anyone else? Also, does anyone know why?</t>
        </is>
      </c>
      <c r="D10334" t="n">
        <v>1</v>
      </c>
      <c r="E10334" t="n">
        <v>5</v>
      </c>
      <c r="F10334">
        <f>HYPERLINK("https://www.reddit.com/r/diabetes/comments/i37ylw/freestyle_libre_readings_vary_by_arm/")</f>
        <v/>
      </c>
      <c r="G10334" t="inlineStr">
        <is>
          <t>2020-08-03 16:16:10</t>
        </is>
      </c>
      <c r="H10334" t="inlineStr">
        <is>
          <t>Type 2</t>
        </is>
      </c>
    </row>
    <row r="10335">
      <c r="A10335" t="inlineStr">
        <is>
          <t>i3byoo</t>
        </is>
      </c>
      <c r="B10335" t="inlineStr">
        <is>
          <t>Diagnosed with high blood sugar today, my A1c test is in two weeks</t>
        </is>
      </c>
      <c r="C10335" t="inlineStr">
        <is>
          <t>I'm 6'1 260.  42 year old male.  
 I wasn't feeling good today, stomach issues and dizziness.   This weekend I had alot of beer I dont usually drink.  Lots of pop, birthday cake, scootcharoos. Didn't drink much water, chicken salad sandwiches and hot dogs for meals on Sunday.
Didn't eat breakfast this morning is when I felt Ill.  Had a Pepsi at about 10.  That alleviated my symptoms somewhat. 11 my symptoms came back.   Had lunch at 1130.  Two breaded spicy chicken sandwiches, yes white buns, felt great.  Took a nap, had a handful of honey roasted peanuts left for appt.   Said my glucose was in the 300 range and I'll have a A1c test in two weeks.
Is 1 12oz pop ok in a day?  I'm a moderate pop drinker and that's going to be the hardest for me but think I can mant by substituting for black coffee or unsweetened iced tea
The other thing is potatoes.   Even though I had a upset stomach and mild diahrhea.  The one thing I was craving all day was mashed potatoes.  Are they or a baked ok to have every now and then?</t>
        </is>
      </c>
      <c r="D10335" t="n">
        <v>1</v>
      </c>
      <c r="E10335" t="n">
        <v>11</v>
      </c>
      <c r="F10335">
        <f>HYPERLINK("https://www.reddit.com/r/diabetes/comments/i3byoo/diagnosed_with_high_blood_sugar_today_my_a1c_test/")</f>
        <v/>
      </c>
      <c r="G10335" t="inlineStr">
        <is>
          <t>2020-08-03 20:32:59</t>
        </is>
      </c>
      <c r="H10335" t="inlineStr">
        <is>
          <t>Type 2</t>
        </is>
      </c>
    </row>
    <row r="10336">
      <c r="A10336" t="inlineStr">
        <is>
          <t>i3cxcn</t>
        </is>
      </c>
      <c r="B10336" t="inlineStr">
        <is>
          <t>Hypos at night</t>
        </is>
      </c>
      <c r="C10336" t="inlineStr">
        <is>
          <t>I’ve started having more hypos while I sleep over the past few months, and can’t feel them at all. I have a Dexcom but the alarms just don’t seem to wake me up. By the time my parents hear the alarm, I’m usually around 2.0. 
I also have anxiety, and I’ve haven’t been able to sleep because I’ve been able to sleep because I’ve been scared of going low. 
I really don’t know what to do, especially when I move out...
If anyone has any advice I’d really appreciate it!</t>
        </is>
      </c>
      <c r="D10336" t="n">
        <v>1</v>
      </c>
      <c r="E10336" t="n">
        <v>5</v>
      </c>
      <c r="F10336">
        <f>HYPERLINK("https://www.reddit.com/r/diabetes/comments/i3cxcn/hypos_at_night/")</f>
        <v/>
      </c>
      <c r="G10336" t="inlineStr">
        <is>
          <t>2020-08-03 21:41:42</t>
        </is>
      </c>
      <c r="H10336" t="inlineStr">
        <is>
          <t>Type 1</t>
        </is>
      </c>
    </row>
    <row r="10337">
      <c r="A10337" t="inlineStr">
        <is>
          <t>i3iojb</t>
        </is>
      </c>
      <c r="B10337" t="inlineStr">
        <is>
          <t>I just found out my 9 year old is type 1 and I am freaking out. Any other parents that can give me some reassurances that things will be ok?</t>
        </is>
      </c>
      <c r="C10337" t="inlineStr">
        <is>
          <t>I’m on day one of this.</t>
        </is>
      </c>
      <c r="D10337" t="n">
        <v>1</v>
      </c>
      <c r="E10337" t="n">
        <v>36</v>
      </c>
      <c r="F10337">
        <f>HYPERLINK("https://www.reddit.com/r/diabetes/comments/i3iojb/i_just_found_out_my_9_year_old_is_type_1_and_i_am/")</f>
        <v/>
      </c>
      <c r="G10337" t="inlineStr">
        <is>
          <t>2020-08-04 05:47:01</t>
        </is>
      </c>
      <c r="H10337" t="inlineStr">
        <is>
          <t>Type 1</t>
        </is>
      </c>
    </row>
    <row r="10338">
      <c r="A10338" t="inlineStr">
        <is>
          <t>i3keux</t>
        </is>
      </c>
      <c r="B10338" t="inlineStr">
        <is>
          <t>Wisdom Teeth Removal</t>
        </is>
      </c>
      <c r="C10338" t="inlineStr">
        <is>
          <t>Hello everyone! I’m getting my wisdom teeth removed this Friday. I’d love some advice on what to eat that won’t mess with my glucose levels too much. I’m dreading not being able to eat anything solid and having that empty stomach feeling constantly. This always gives me anxiety and my glucose levels drop because of it. Any tips would be greatly appreciated! Thank you!</t>
        </is>
      </c>
      <c r="D10338" t="n">
        <v>1</v>
      </c>
      <c r="E10338" t="n">
        <v>11</v>
      </c>
      <c r="F10338">
        <f>HYPERLINK("https://www.reddit.com/r/diabetes/comments/i3keux/wisdom_teeth_removal/")</f>
        <v/>
      </c>
      <c r="G10338" t="inlineStr">
        <is>
          <t>2020-08-04 07:35:40</t>
        </is>
      </c>
      <c r="H10338" t="inlineStr">
        <is>
          <t>Type 1</t>
        </is>
      </c>
    </row>
    <row r="10339">
      <c r="A10339" t="inlineStr">
        <is>
          <t>i3l2q7</t>
        </is>
      </c>
      <c r="B10339" t="inlineStr">
        <is>
          <t>Should I talk to my doctor and stop taking metformin?</t>
        </is>
      </c>
      <c r="C10339" t="inlineStr">
        <is>
          <t>I have been taken metformin for a while now (like almost 2 months) and I still have very very soft stool everyday, it’s like diarrhea without the stomach pain! And I also fart a lot lately...i tried to take metformin after meals and it won’t help. My blood sugar has been dropped quite nice tho.Beside the poop situation I don’t have other problems at all...so should I ask my doctor for another medicine or just keep taking it until the side effects stop?</t>
        </is>
      </c>
      <c r="D10339" t="n">
        <v>1</v>
      </c>
      <c r="E10339" t="n">
        <v>10</v>
      </c>
      <c r="F10339">
        <f>HYPERLINK("https://www.reddit.com/r/diabetes/comments/i3l2q7/should_i_talk_to_my_doctor_and_stop_taking/")</f>
        <v/>
      </c>
      <c r="G10339" t="inlineStr">
        <is>
          <t>2020-08-04 08:13:03</t>
        </is>
      </c>
      <c r="H10339" t="inlineStr">
        <is>
          <t>Type 2</t>
        </is>
      </c>
    </row>
    <row r="10340">
      <c r="A10340" t="inlineStr">
        <is>
          <t>i3mvsd</t>
        </is>
      </c>
      <c r="B10340" t="inlineStr">
        <is>
          <t>Microalbuminuria</t>
        </is>
      </c>
      <c r="C10340" t="inlineStr">
        <is>
          <t>Is there anybody on this sub with experience regarding microalbuminuria and its progression? Mine is still pretty moderate and my A1C is at 5.4. I‘m still worried that it might become an issue in the future. So I would like to hear from someone who managed to keep the albumin levels steady over multiple years.</t>
        </is>
      </c>
      <c r="D10340" t="n">
        <v>1</v>
      </c>
      <c r="E10340" t="n">
        <v>4</v>
      </c>
      <c r="F10340">
        <f>HYPERLINK("https://www.reddit.com/r/diabetes/comments/i3mvsd/microalbuminuria/")</f>
        <v/>
      </c>
      <c r="G10340" t="inlineStr">
        <is>
          <t>2020-08-04 09:49:58</t>
        </is>
      </c>
      <c r="H10340" t="inlineStr">
        <is>
          <t>Type 1</t>
        </is>
      </c>
    </row>
    <row r="10341">
      <c r="A10341" t="inlineStr">
        <is>
          <t>i3rm3m</t>
        </is>
      </c>
      <c r="B10341" t="inlineStr">
        <is>
          <t>Can Metformin be brought from MEX?</t>
        </is>
      </c>
      <c r="C10341" t="inlineStr">
        <is>
          <t>Hello, I have been in Mexico for the past month and have purchased some metformin from a pharmacy. Will I be able to bring it back to the US? Or are there consequences?</t>
        </is>
      </c>
      <c r="D10341" t="n">
        <v>1</v>
      </c>
      <c r="E10341" t="n">
        <v>5</v>
      </c>
      <c r="F10341">
        <f>HYPERLINK("https://www.reddit.com/r/diabetes/comments/i3rm3m/can_metformin_be_brought_from_mex/")</f>
        <v/>
      </c>
      <c r="G10341" t="inlineStr">
        <is>
          <t>2020-08-04 13:54:46</t>
        </is>
      </c>
      <c r="H10341" t="inlineStr">
        <is>
          <t>Type 2</t>
        </is>
      </c>
    </row>
    <row r="10342">
      <c r="A10342" t="inlineStr">
        <is>
          <t>i3vak1</t>
        </is>
      </c>
      <c r="B10342" t="inlineStr">
        <is>
          <t>When you made a positive turning point in your care, how long did it take to feel better overall?</t>
        </is>
      </c>
      <c r="C10342" t="inlineStr">
        <is>
          <t>I recently rededicated myself to being a better T1 diabetic after being hospitalized from DKA for the 3rd time. I have been a horrible diabetic and my A1c's were consistently between 10-12.9 at the highest point for a while. I have had some mild complications lately but were manageable. I've been on the Dexcom G6 for the last two months and my average is now 160 and still coming down. Equates to about a 7% A1c.
My question and reason why I'm posting is now that I'm taking better care of myself, I actually feel so much worse on a day to day basis. I have never had any type of nerve pain and now all of the sudden it's pins and sharp pains all day from my hips down. I can't sleep more than a few hours at a time throughout the night, even just laying in bed or on the couch is painful. Splitting headaches. My endo said that I should expect this and put me on 400mg of Gabapentin twice a day. I'm a 26 M 180lbs for reference. As I understand it, the medication should lessen the nerve pain. I've been taking the meds for 30 days and it feels like it's worse now. I'm genuinely concerned that this is going to be what my life is like for... well forever and it's terrifying.
I guess my question is... after making a positive turning point in your level of care, did you immediately feel better or was there a darkest before the dawn type of response?
Edit: When I say "immediately" I mean within a couple months.. not like overnight just to be clear.</t>
        </is>
      </c>
      <c r="D10342" t="n">
        <v>1</v>
      </c>
      <c r="E10342" t="n">
        <v>3</v>
      </c>
      <c r="F10342">
        <f>HYPERLINK("https://www.reddit.com/r/diabetes/comments/i3vak1/when_you_made_a_positive_turning_point_in_your/")</f>
        <v/>
      </c>
      <c r="G10342" t="inlineStr">
        <is>
          <t>2020-08-04 17:29:36</t>
        </is>
      </c>
      <c r="H10342" t="inlineStr">
        <is>
          <t>Type 1</t>
        </is>
      </c>
    </row>
    <row r="10343">
      <c r="A10343" t="inlineStr">
        <is>
          <t>i3wl7c</t>
        </is>
      </c>
      <c r="B10343" t="inlineStr">
        <is>
          <t>we are strong</t>
        </is>
      </c>
      <c r="C10343" t="inlineStr">
        <is>
          <t>hi! im kinda drunk, but ive been thinking about this. Isn’t it kinda ironic how most of us have weak immune systems but as people we are pretty strong? We are strong people with weak immune systems. I dare a healthy person to fight me.</t>
        </is>
      </c>
      <c r="D10343" t="n">
        <v>1</v>
      </c>
      <c r="E10343" t="n">
        <v>6</v>
      </c>
      <c r="F10343">
        <f>HYPERLINK("https://www.reddit.com/r/diabetes/comments/i3wl7c/we_are_strong/")</f>
        <v/>
      </c>
      <c r="G10343" t="inlineStr">
        <is>
          <t>2020-08-04 18:56:12</t>
        </is>
      </c>
      <c r="H10343" t="inlineStr">
        <is>
          <t>Type 1</t>
        </is>
      </c>
    </row>
    <row r="10344">
      <c r="A10344" t="inlineStr">
        <is>
          <t>i3xvm8</t>
        </is>
      </c>
      <c r="B10344" t="inlineStr">
        <is>
          <t>Do you feel like your endocrinologist is helpful?</t>
        </is>
      </c>
      <c r="C10344" t="inlineStr">
        <is>
          <t>I guess this post is partially investigative and partially a rant. 
I had an appointment with my endo today... while she is nice, I honestly don’t find her advice relevant. Or if it is at the time, it quickly becomes obsolete. An example is today, after talking about my great control, she criticizes how I achieve it. I stay in a 75-150 range about 90% of the time and am only low 2-3%, and rarely urgent low (&amp;lt;1% according to my Dexcom). My A1C is 5.6. But she told me not to use increased extended basal rates to correct higher blood sugar- and instead bolus corrections. The thing is, I find bolusing causes me to drop dramatically at once, and not always within a predictable timeframe. Whereas with an increased basal rate, I sweep down into range. With my active lifestyle, I prefer the sweep. Even if I touch low numbers, it’s easy to correct that way too, rather than dramatically swinging high, low, high, etc. 
It was not the first moment where I thought “thanks but no thanks” and prescribe me my insulin so we can be done. Plus, I feel like diabetes is such a perfectionist game... can’t I just get a pat on the back?! Tell me to keep up the good work??? 
Then she also suggested I switch from Omnipod to Tandem so it will sync with my dexcom... after I had talked about how much I love that Omnipod is tubeless. 
What are your experiences with endos and advice/support?</t>
        </is>
      </c>
      <c r="D10344" t="n">
        <v>1</v>
      </c>
      <c r="E10344" t="n">
        <v>35</v>
      </c>
      <c r="F10344">
        <f>HYPERLINK("https://www.reddit.com/r/diabetes/comments/i3xvm8/do_you_feel_like_your_endocrinologist_is_helpful/")</f>
        <v/>
      </c>
      <c r="G10344" t="inlineStr">
        <is>
          <t>2020-08-04 20:23:41</t>
        </is>
      </c>
      <c r="H10344" t="inlineStr">
        <is>
          <t>Type 1</t>
        </is>
      </c>
    </row>
    <row r="10345">
      <c r="A10345" t="inlineStr">
        <is>
          <t>i3zw9w</t>
        </is>
      </c>
      <c r="B10345" t="inlineStr">
        <is>
          <t>An interview with a nephrologist about chronic kidney disease</t>
        </is>
      </c>
      <c r="C10345" t="inlineStr">
        <is>
          <t>Ramona Wong, MD, is a nephrologist in Honolulu. She's interviewed about causes of chronic kidney disease (most often Type 2 Diabetes), it's treatment, and whether transplants are a cure.</t>
        </is>
      </c>
      <c r="D10345" t="n">
        <v>1</v>
      </c>
      <c r="E10345" t="n">
        <v>0</v>
      </c>
      <c r="F10345">
        <f>HYPERLINK("https://www.reddit.com/r/diabetes/comments/i3zw9w/an_interview_with_a_nephrologist_about_chronic/")</f>
        <v/>
      </c>
      <c r="G10345" t="inlineStr">
        <is>
          <t>2020-08-04 22:59:36</t>
        </is>
      </c>
      <c r="H10345" t="inlineStr">
        <is>
          <t>Type 2</t>
        </is>
      </c>
    </row>
    <row r="10346">
      <c r="A10346" t="inlineStr">
        <is>
          <t>i45ebu</t>
        </is>
      </c>
      <c r="B10346" t="inlineStr">
        <is>
          <t>Hello :) my partner (M29) was just recently diagnosed with Type 1. I'm (F30) just here looking how to be helpful and supportive.</t>
        </is>
      </c>
      <c r="C10346" t="inlineStr">
        <is>
          <t>It's been a rough month! He rarely ever gets sick, is super healthy, so he has been struggling to accept the diagnosis. His levels have been great so he thinks he's getting better and can be off insulin. I tried explaining the honeymoon phase but he refuses to listen to that. So now I just nod and go along with him, and will support him when he realizes this is a life long thing.
Luckily, I've been tracking my macros for years so it's second nature for me at this point which made it a little easier on us. I taught him how to track and he's now a pro.
This is a scary disease. I've lost so much sleep and afraid to leave him home alone because of lows. He's handling his levels really well, but I can't help but worry. 
What's the best way to be supportive and not so overbearing? And I know this isn't about me, but what can I do for myself to not worry so much all the damn time? How long did it take you and your partner to get used to this "new normal"? Because this shit sucks.</t>
        </is>
      </c>
      <c r="D10346" t="n">
        <v>1</v>
      </c>
      <c r="E10346" t="n">
        <v>38</v>
      </c>
      <c r="F10346">
        <f>HYPERLINK("https://www.reddit.com/r/diabetes/comments/i45ebu/hello_my_partner_m29_was_just_recently_diagnosed/")</f>
        <v/>
      </c>
      <c r="G10346" t="inlineStr">
        <is>
          <t>2020-08-05 06:32:18</t>
        </is>
      </c>
      <c r="H10346" t="inlineStr">
        <is>
          <t>Type 1</t>
        </is>
      </c>
    </row>
    <row r="10347">
      <c r="A10347" t="inlineStr">
        <is>
          <t>i460jm</t>
        </is>
      </c>
      <c r="B10347" t="inlineStr">
        <is>
          <t>NEED ADVICE FATIGUE AFTER EATING</t>
        </is>
      </c>
      <c r="C10347" t="inlineStr">
        <is>
          <t>Hi guys, type 1 diabetic, female, 22, I posted on here recently in regards to my fatigue after eating and I’ve just had both my thyroid and celiac disease tested and they were negative. I’m not sure I can cope with it much longer, every time I eat my eyes get really heavy and sore, I usually get a headache, and it feels as though I’m being forced to sleep, I feel a really big need to stretch my whole body constantly and I’m always yawning, it also feels very brain foggy and like I’m in a dream, as though things are fuzzy, I’m slow and I get very angry/agitated easily and feel myself losing concentration/ general energy. This can happen with anything from something as small as a yogurt to a big meaI, sometimes my bloods being in range or close to range. wondering if anyone has any advice on what to do as I’m losing the will to live and I can’t cope anymore. I’ve had this since becoming a diabetic 4 years ago and it’s not getting any better, only worse and my doctors are being pretty useless.</t>
        </is>
      </c>
      <c r="D10347" t="n">
        <v>1</v>
      </c>
      <c r="E10347" t="n">
        <v>12</v>
      </c>
      <c r="F10347">
        <f>HYPERLINK("https://www.reddit.com/r/diabetes/comments/i460jm/need_advice_fatigue_after_eating/")</f>
        <v/>
      </c>
      <c r="G10347" t="inlineStr">
        <is>
          <t>2020-08-05 07:10:01</t>
        </is>
      </c>
      <c r="H10347" t="inlineStr">
        <is>
          <t>Type 1</t>
        </is>
      </c>
    </row>
    <row r="10348">
      <c r="A10348" t="inlineStr">
        <is>
          <t>i46n1d</t>
        </is>
      </c>
      <c r="B10348" t="inlineStr">
        <is>
          <t>T2 Diabetic, Keto controlled blood sugar - Erectile Dysfunction</t>
        </is>
      </c>
      <c r="C10348" t="inlineStr">
        <is>
          <t>I am 48, 5'11", 195 lbs (down from 225-ish) and was diagnosed with T2 about 5 years ago (A1C at 9.9).  I was good for about a year (metformin only, awful), and then went off the reservation for about 4 years, and then got things under control since January using the keto diet.   I tested my A1C in May and it was at 5.4.  I don't take any diabetes medications.  I exercise 3-4 days a week doing a strength training program and a bit of cardio.  
&amp;amp;#x200B;
For a couple years my dick did not work.  Wet noodle, no or minimal arousal, insufficient to penetrate, even with viagra or similar.  In late May I started testosterone (100 mg/week split into two doses).  Since going on TRT I gained a few pounds (rats, but normal), my mood has improved, but bedroom-wise there are signs of life but generally limited results.  I have had penetrative sex twice with my wife but not to completion (and with the help of viagra/cialis).   Lots of other times I can't get it up so we do other stuff (which is fun).  
I have since learned that ED is a feature of diabetes.  That the arteries/veins suffer from excess blood sugar and its either a circulation problem or a leakage problem.   I think I am in a good place with my blood sugar - I consider myself to be in remission by controlling my carbs.  My weight is down and my energy is good.   My life is still stressful and I don't sleep that great which are strikes against.  But its better.  To the extent that the diabetes caused the ED, do people think there is a chance that controlled blood sugar will let the body heal?  Or do I need to investigate more radical interventions (like bi-mix or tri-mix injections)?
&amp;amp;#x200B;
I have a follow up appointment with my TRT (testosterone) doctor at the end of the month and will be discussing upping the TRT dose or other interventions.  I have follow up labs scheduled in a week or so.   Pre-TRT my free Testosterone was low, my SHBG was high, my prolactin was on the higher side of normal and almost everything else was in the normal range.  I have tried a bunch of supplements without effect.</t>
        </is>
      </c>
      <c r="D10348" t="n">
        <v>1</v>
      </c>
      <c r="E10348" t="n">
        <v>4</v>
      </c>
      <c r="F10348">
        <f>HYPERLINK("https://www.reddit.com/r/diabetes/comments/i46n1d/t2_diabetic_keto_controlled_blood_sugar_erectile/")</f>
        <v/>
      </c>
      <c r="G10348" t="inlineStr">
        <is>
          <t>2020-08-05 07:47:45</t>
        </is>
      </c>
      <c r="H10348" t="inlineStr">
        <is>
          <t>Type 2</t>
        </is>
      </c>
    </row>
    <row r="10349">
      <c r="A10349" t="inlineStr">
        <is>
          <t>i47vul</t>
        </is>
      </c>
      <c r="B10349" t="inlineStr">
        <is>
          <t>Safe energy supplements for my Dad?</t>
        </is>
      </c>
      <c r="C10349" t="inlineStr">
        <is>
          <t>My Dad is a 68 year old type 2 diabetic. He's getting up there in age and has really slowed down the past 10 years (obviously everyone does but I guess it's extra bad to the point it takes him forever to get out of bed and ready for the day) He also has sleep apnea and tries to wear the mask but I don't think it's working out for him.
So he texts me at work this morning asking if there's anything I know of that he could take. I'm not sure and don't really take any supplements, in fact when I lift or jog I prefer to just go in vanilla instead of  taking anything. I'm really looking for a supplement that can be taken long term without it having some sort of detrimental negative effect on this old mans body once he hits his 70's.</t>
        </is>
      </c>
      <c r="D10349" t="n">
        <v>1</v>
      </c>
      <c r="E10349" t="n">
        <v>3</v>
      </c>
      <c r="F10349">
        <f>HYPERLINK("https://www.reddit.com/r/diabetes/comments/i47vul/safe_energy_supplements_for_my_dad/")</f>
        <v/>
      </c>
      <c r="G10349" t="inlineStr">
        <is>
          <t>2020-08-05 08:55:44</t>
        </is>
      </c>
      <c r="H10349" t="inlineStr">
        <is>
          <t>Type 2</t>
        </is>
      </c>
    </row>
    <row r="10350">
      <c r="A10350" t="inlineStr">
        <is>
          <t>i48vvc</t>
        </is>
      </c>
      <c r="B10350" t="inlineStr">
        <is>
          <t>Anyone know if this study is true?</t>
        </is>
      </c>
      <c r="C10350" t="inlineStr">
        <is>
          <t>I once heard a story about a group of doctors who challenged themselves to live with diabetes as their patients did for a month. They checked their blood sugars, calculated their carbs and took saline injections to mimic the experience of taking insulin. Apparently most of them dropped out of the study within a week, and one lasted a whole two weeks. 
Anyone know if this is a true story or where I can find evidence about it? I want to include it in a book I'm writing.</t>
        </is>
      </c>
      <c r="D10350" t="n">
        <v>1</v>
      </c>
      <c r="E10350" t="n">
        <v>6</v>
      </c>
      <c r="F10350">
        <f>HYPERLINK("https://www.reddit.com/r/diabetes/comments/i48vvc/anyone_know_if_this_study_is_true/")</f>
        <v/>
      </c>
      <c r="G10350" t="inlineStr">
        <is>
          <t>2020-08-05 09:48:09</t>
        </is>
      </c>
      <c r="H10350" t="inlineStr">
        <is>
          <t>Type 1</t>
        </is>
      </c>
    </row>
    <row r="10351">
      <c r="A10351" t="inlineStr">
        <is>
          <t>i4964c</t>
        </is>
      </c>
      <c r="B10351" t="inlineStr">
        <is>
          <t>waterparks and diabetes</t>
        </is>
      </c>
      <c r="C10351" t="inlineStr">
        <is>
          <t>hiii! how do y'all handle waterparks and diabetes? I am on a medtronic 670G which is kind of waterproof for 24 hours... any tips on cases I can order to help with the waterproof-ing? I really don't want to have to send my pump in for a replacement if it gets water broken and be on shots for a week. HALP. (also, I am in Missouri where people can go to water parks... please no covid comments only diabetes comments pleaseeeeeee)</t>
        </is>
      </c>
      <c r="D10351" t="n">
        <v>1</v>
      </c>
      <c r="E10351" t="n">
        <v>10</v>
      </c>
      <c r="F10351">
        <f>HYPERLINK("https://www.reddit.com/r/diabetes/comments/i4964c/waterparks_and_diabetes/")</f>
        <v/>
      </c>
      <c r="G10351" t="inlineStr">
        <is>
          <t>2020-08-05 10:02:35</t>
        </is>
      </c>
      <c r="H10351" t="inlineStr">
        <is>
          <t>Type 1</t>
        </is>
      </c>
    </row>
    <row r="10352">
      <c r="A10352" t="inlineStr">
        <is>
          <t>i4bzu8</t>
        </is>
      </c>
      <c r="B10352" t="inlineStr">
        <is>
          <t>just diagnosed with type 2 diabetes &amp;amp; need advice</t>
        </is>
      </c>
      <c r="C10352" t="inlineStr">
        <is>
          <t>hey everyone. I’m a 19 y/o female &amp;amp; yesterday i was diagnosed with type 2 diabetes. honestly, my mind is WRECKED! i’m trying to take in everything and remain positive because i am able to reverse the diagnosis by making reasonable lifestyle changes (new eating habits, taking insulin, checking my blood sugar daily, etc.). i’m just scared because i’ve never really had to be tied down to medicine before &amp;amp; i don’t want to mess anything up by making careless mistakes. if anyone has any advice or tips on anything to help me get the ball rolling i’d very much appreciate if you shared! i’m just kind of on an information overload from having so many doctors explaining so many things at once and having other people who know what it’s like would be comforting. thanks in advance</t>
        </is>
      </c>
      <c r="D10352" t="n">
        <v>1</v>
      </c>
      <c r="E10352" t="n">
        <v>22</v>
      </c>
      <c r="F10352">
        <f>HYPERLINK("https://www.reddit.com/r/diabetes/comments/i4bzu8/just_diagnosed_with_type_2_diabetes_need_advice/")</f>
        <v/>
      </c>
      <c r="G10352" t="inlineStr">
        <is>
          <t>2020-08-05 12:28:34</t>
        </is>
      </c>
      <c r="H10352" t="inlineStr">
        <is>
          <t>Type 2</t>
        </is>
      </c>
    </row>
    <row r="10353">
      <c r="A10353" t="inlineStr">
        <is>
          <t>i4ctxs</t>
        </is>
      </c>
      <c r="B10353" t="inlineStr">
        <is>
          <t>6-Minute Revised Survey : CGM Technology and Mental Health in T1D</t>
        </is>
      </c>
      <c r="C10353" t="inlineStr">
        <is>
          <t>Hello diabetes community, 
After some discussion with the mods and much thought, I am coming to you with a revised version of the **CGM Technology and Mental Health in Type 1 Diabetics** survey. 
earlier post [here](https://www.reddit.com/r/diabetes/comments/i0uaef/type_1_cgm_user_may_i_have_2_minutes_of_your_time/) 
BACKGROUND : I am a college student, and nothing more. I am not a researcher, and, outside of this subreddit, this work is not contributing to the greater medical community. I was drawn to this topic from my own experiences. The data collected in this survey will be used to support a research paper for a single class. It will bolster my grade. I would be using your collective answers to support my conclusions about the effects of CGM technology on mental health in type 1 diabetics. 
It is my intention, upon the completion of the survey, to publish the results to this subreddit for the consideration of this community. 
CONTACT: For more information about this research paper assignment, you may contact my instructor at Green River College, Ian Sherman, via isherman@greenriver.edu.
SURVEY: The estimated completion time for the survey is 6 minutes, and responses are anonymous. [Survey can be found HERE](https://www.surveymonkey.com/r/cgmMentalHealthSurvey)
If you completed the earlier survey or contributed to that discussion, I thank you wholeheartedly, but also encourage you to take the new survey so that your responses are measured. You do not need to rewrite comments that you have already contributed. I have expanded the survey from 10 to 26 questions, all are quick and multiple choice.
**THANK YOU!**</t>
        </is>
      </c>
      <c r="D10353" t="n">
        <v>1</v>
      </c>
      <c r="E10353" t="n">
        <v>10</v>
      </c>
      <c r="F10353">
        <f>HYPERLINK("https://www.reddit.com/r/diabetes/comments/i4ctxs/6minute_revised_survey_cgm_technology_and_mental/")</f>
        <v/>
      </c>
      <c r="G10353" t="inlineStr">
        <is>
          <t>2020-08-05 13:10:52</t>
        </is>
      </c>
      <c r="H10353" t="inlineStr">
        <is>
          <t>Type 1</t>
        </is>
      </c>
    </row>
    <row r="10354">
      <c r="A10354" t="inlineStr">
        <is>
          <t>i4e0si</t>
        </is>
      </c>
      <c r="B10354" t="inlineStr">
        <is>
          <t>Can I simply add insulin to my Tslim if I need more for the night?</t>
        </is>
      </c>
      <c r="C10354" t="inlineStr">
        <is>
          <t>Hate to use up supplies, I still have another day on the site.</t>
        </is>
      </c>
      <c r="D10354" t="n">
        <v>1</v>
      </c>
      <c r="E10354" t="n">
        <v>4</v>
      </c>
      <c r="F10354">
        <f>HYPERLINK("https://www.reddit.com/r/diabetes/comments/i4e0si/can_i_simply_add_insulin_to_my_tslim_if_i_need/")</f>
        <v/>
      </c>
      <c r="G10354" t="inlineStr">
        <is>
          <t>2020-08-05 14:14:25</t>
        </is>
      </c>
      <c r="H10354" t="inlineStr">
        <is>
          <t>Type 1</t>
        </is>
      </c>
    </row>
    <row r="10355">
      <c r="A10355" t="inlineStr">
        <is>
          <t>i4f2jo</t>
        </is>
      </c>
      <c r="B10355" t="inlineStr">
        <is>
          <t>Average blood sugar for a 15 y/o</t>
        </is>
      </c>
      <c r="C10355" t="inlineStr">
        <is>
          <t>I’m 15, and have been diagnosed for about 3 years now. I’m finding my blood sugar is averaging at about 11-12 before meals every day. What can i do that will help to lower my numbers?</t>
        </is>
      </c>
      <c r="D10355" t="n">
        <v>1</v>
      </c>
      <c r="E10355" t="n">
        <v>10</v>
      </c>
      <c r="F10355">
        <f>HYPERLINK("https://www.reddit.com/r/diabetes/comments/i4f2jo/average_blood_sugar_for_a_15_yo/")</f>
        <v/>
      </c>
      <c r="G10355" t="inlineStr">
        <is>
          <t>2020-08-05 15:11:08</t>
        </is>
      </c>
      <c r="H10355" t="inlineStr">
        <is>
          <t>Type 1</t>
        </is>
      </c>
    </row>
    <row r="10356">
      <c r="A10356" t="inlineStr">
        <is>
          <t>i4fwur</t>
        </is>
      </c>
      <c r="B10356" t="inlineStr">
        <is>
          <t>Insight concerning T-slim or other pump alternatives</t>
        </is>
      </c>
      <c r="C10356" t="inlineStr">
        <is>
          <t>Hello all! My (21M) girlfriend (21F) is the absolute apple of my eye, and she has T1D. She is due next month to get a new pump and is thinking about the T-Slim, but she’s not completely sold on the idea. She was using a Medtronic MiniMed 630g, until it decided to die after changing the batteries.
For owners of the T-slim? How do you like it?
For owners of pumps other than the t-slim how do you like yours?
For all- What’s your two cents? Thank you for your time and insight!</t>
        </is>
      </c>
      <c r="D10356" t="n">
        <v>1</v>
      </c>
      <c r="E10356" t="n">
        <v>8</v>
      </c>
      <c r="F10356">
        <f>HYPERLINK("https://www.reddit.com/r/diabetes/comments/i4fwur/insight_concerning_tslim_or_other_pump/")</f>
        <v/>
      </c>
      <c r="G10356" t="inlineStr">
        <is>
          <t>2020-08-05 15:59:29</t>
        </is>
      </c>
      <c r="H10356" t="inlineStr">
        <is>
          <t>Type 1</t>
        </is>
      </c>
    </row>
    <row r="10357">
      <c r="A10357" t="inlineStr">
        <is>
          <t>i4gziu</t>
        </is>
      </c>
      <c r="B10357" t="inlineStr">
        <is>
          <t>Error or misinformation on the ADA website?</t>
        </is>
      </c>
      <c r="C10357" t="inlineStr">
        <is>
          <t>On the diabetes.org website, specifically on the page "[Myths about Diabetes](https://www.diabetes.org/diabetes-risk/prediabetes/myths-about-diabetes)", I found this blurb which I found highly disturbing -
&amp;gt; 
Q: Do people with diabetes need to avoid carbs?
&amp;gt;
A: There is no evidence to suggest that people with diabetes need to avoid carbs, though some people choose eating plans that avoid them.
*No* evidence?!  Really?  None?  A type 2 can eat 300+ carbs a day and there's *no evidence* this should be avoided?
I was so upset by this I wrote them for clarification.  And this is what they responded with -
&amp;gt;Thank you for contacting the American Diabetes Association. We received your email regarding the information on our website about carbohydrates. Please note that they are referring to both type 1 and type 1 diabetes. As mentioned, you must limit your carb intake, and also incorporate protein and non starchy vegetables. The amount of carbs you would consume however, will depend on many factors, such as your age, your health, whether you are physically active, or if you take medications. 
&amp;gt;If you have any additional questions please contact us at 1-800-DIABETES (1-800-342-2383), Monday-Friday 9:00 am - 5:30 pm ET.
&amp;gt;Sincerely,
&amp;gt;Nyiware Kodi
(Yes, they actually said type 1 twice.)
You'll notice they evaded my central point, that there was "NO EVIDENCE" to suggest people with type 2 should avoid carbs.
Am I in the wrong here or should I go eat some cake?</t>
        </is>
      </c>
      <c r="D10357" t="n">
        <v>1</v>
      </c>
      <c r="E10357" t="n">
        <v>11</v>
      </c>
      <c r="F10357">
        <f>HYPERLINK("https://www.reddit.com/r/diabetes/comments/i4gziu/error_or_misinformation_on_the_ada_website/")</f>
        <v/>
      </c>
      <c r="G10357" t="inlineStr">
        <is>
          <t>2020-08-05 17:02:51</t>
        </is>
      </c>
      <c r="H10357" t="inlineStr">
        <is>
          <t>Type 2</t>
        </is>
      </c>
    </row>
    <row r="10358">
      <c r="A10358" t="inlineStr">
        <is>
          <t>i4iann</t>
        </is>
      </c>
      <c r="B10358" t="inlineStr">
        <is>
          <t>Tslim cases</t>
        </is>
      </c>
      <c r="C10358" t="inlineStr">
        <is>
          <t>So in a week I have my appointment to get my pump training and I can’t wait. I’ve been doing research and have read that the case it comes with isn’t exactly great..
I was wondering what other alternatives are out there or what people prefer to do</t>
        </is>
      </c>
      <c r="D10358" t="n">
        <v>1</v>
      </c>
      <c r="E10358" t="n">
        <v>3</v>
      </c>
      <c r="F10358">
        <f>HYPERLINK("https://www.reddit.com/r/diabetes/comments/i4iann/tslim_cases/")</f>
        <v/>
      </c>
      <c r="G10358" t="inlineStr">
        <is>
          <t>2020-08-05 18:21:05</t>
        </is>
      </c>
      <c r="H10358" t="inlineStr">
        <is>
          <t>Type 1</t>
        </is>
      </c>
    </row>
    <row r="10359">
      <c r="A10359" t="inlineStr">
        <is>
          <t>i4pcpv</t>
        </is>
      </c>
      <c r="B10359" t="inlineStr">
        <is>
          <t>Can anybody give me a little advice please?</t>
        </is>
      </c>
      <c r="C10359" t="inlineStr">
        <is>
          <t>&amp;amp;#x200B;
https://preview.redd.it/7hxicirwxcf51.png?width=750&amp;amp;format=png&amp;amp;auto=webp&amp;amp;s=48361bf0ab90883011374a13eae5e702c054a1d4
Hi guys, I'm Type 1 and this is my first post here but I'm a long time lurker.
I've struggled to get an appointment with my Diabetes doctor due to Covid-19 but I have one in a couple of weeks, but before that I'm wondering if anyone could give me any advice on if I should change my background background insulin doses.
Lantus glargine dose on a morning (around 10am most days) is 14 units and on a night (around 10pm) is usually about 9 units. My HbA1c is currently 52.
Looking at my daily graph from the last 30 days would any of you suggest what I could change to get tighter control? I'm also on a 1:1 ratio for quick acting insulin (NovoRapid) which works pretty well for me, 1 unit lowers my blood sugar by about 3 mmol/l. Thanks in advance.</t>
        </is>
      </c>
      <c r="D10359" t="n">
        <v>1</v>
      </c>
      <c r="E10359" t="n">
        <v>0</v>
      </c>
      <c r="F10359">
        <f>HYPERLINK("https://www.reddit.com/r/diabetes/comments/i4pcpv/can_anybody_give_me_a_little_advice_please/")</f>
        <v/>
      </c>
      <c r="G10359" t="inlineStr">
        <is>
          <t>2020-08-06 03:31:24</t>
        </is>
      </c>
      <c r="H10359" t="inlineStr">
        <is>
          <t>Type 1</t>
        </is>
      </c>
    </row>
    <row r="10360">
      <c r="A10360" t="inlineStr">
        <is>
          <t>i4pvlx</t>
        </is>
      </c>
      <c r="B10360" t="inlineStr">
        <is>
          <t>those with the tslim x whatever, do your rubber doors still close properly?</t>
        </is>
      </c>
      <c r="C10360" t="inlineStr">
        <is>
          <t>the door that covers the charging port, does it close properly still?</t>
        </is>
      </c>
      <c r="D10360" t="n">
        <v>1</v>
      </c>
      <c r="E10360" t="n">
        <v>3</v>
      </c>
      <c r="F10360">
        <f>HYPERLINK("https://www.reddit.com/r/diabetes/comments/i4pvlx/those_with_the_tslim_x_whatever_do_your_rubber/")</f>
        <v/>
      </c>
      <c r="G10360" t="inlineStr">
        <is>
          <t>2020-08-06 04:13:33</t>
        </is>
      </c>
      <c r="H10360" t="inlineStr">
        <is>
          <t>Type 2</t>
        </is>
      </c>
    </row>
    <row r="10361">
      <c r="A10361" t="inlineStr">
        <is>
          <t>i4qbr5</t>
        </is>
      </c>
      <c r="B10361" t="inlineStr">
        <is>
          <t>diabetes reversal program</t>
        </is>
      </c>
      <c r="C10361" t="inlineStr">
        <is>
          <t xml:space="preserve"> Your 'one-stop shop' for type 2 diabetes care and management.
Our unique [diabetes reversal program](http://diaverza.com/) is available to help you reverse type 2 diabetes effectively and sustainably.  
https://preview.redd.it/9gdek5jyddf51.png?width=1137&amp;amp;format=png&amp;amp;auto=webp&amp;amp;s=00b0a580de724b48477d46c56690405f45c1d202</t>
        </is>
      </c>
      <c r="D10361" t="n">
        <v>1</v>
      </c>
      <c r="E10361" t="n">
        <v>0</v>
      </c>
      <c r="F10361">
        <f>HYPERLINK("https://www.reddit.com/r/diabetes/comments/i4qbr5/diabetes_reversal_program/")</f>
        <v/>
      </c>
      <c r="G10361" t="inlineStr">
        <is>
          <t>2020-08-06 04:46:13</t>
        </is>
      </c>
      <c r="H10361" t="inlineStr">
        <is>
          <t>Type 2</t>
        </is>
      </c>
    </row>
    <row r="10362">
      <c r="A10362" t="inlineStr">
        <is>
          <t>i4r04v</t>
        </is>
      </c>
      <c r="B10362" t="inlineStr">
        <is>
          <t>Day In The Life Of A Type One Diabetic: Gianna Pulitano - T1 Talks Podcast</t>
        </is>
      </c>
      <c r="C10362" t="inlineStr">
        <is>
          <t>We dropped episode 9 last night! If you missed our post from last week, this episode is part of a two part series where we (the hosts of T1 Talks) are each sharing a day in our lives living with type one diabetes. We’re hoping these episodes creates a sense of understanding for the 99% of our diabetic days that people don’t see/raise awareness for people living with diabetes. This episode focuses on Gianna, a diabetic of 13+ years, fresh out of a college, trying to balance diabetes with multiple jobs and a random schedule. This episode really goes to show that no matter how long you're living with diabetes, you're ALWAYS learning.
If you'd like to check it out, use the link below and listen on Spotify or search for us on various other platforms! **You can leave us a review on Apple Podcasts** to tell us how we're doing or reach out to us on our Instagram directly (@t1talks)!
Let us know which day you relate to more and why after listening to both episodes!
***Link:***
[https://open.spotify.com/show/6xPO5gsea3j6tZl2kfilST](https://open.spotify.com/show/6xPO5gsea3j6tZl2kfilST)</t>
        </is>
      </c>
      <c r="D10362" t="n">
        <v>1</v>
      </c>
      <c r="E10362" t="n">
        <v>0</v>
      </c>
      <c r="F10362">
        <f>HYPERLINK("https://www.reddit.com/r/diabetes/comments/i4r04v/day_in_the_life_of_a_type_one_diabetic_gianna/")</f>
        <v/>
      </c>
      <c r="G10362" t="inlineStr">
        <is>
          <t>2020-08-06 05:34:34</t>
        </is>
      </c>
      <c r="H10362" t="inlineStr">
        <is>
          <t>Type 1</t>
        </is>
      </c>
    </row>
    <row r="10363">
      <c r="A10363" t="inlineStr">
        <is>
          <t>i4r5s8</t>
        </is>
      </c>
      <c r="B10363" t="inlineStr">
        <is>
          <t>How often do you have to get bubbly urine in order to be worried?</t>
        </is>
      </c>
      <c r="C10363" t="inlineStr">
        <is>
          <t>I was diagnosed really late and already had kidney damage at diagnosis, and had to get a kidney transplant some years later.
It's been around 5-6 years since I've had the transplant. 
I've been getting bubbly urine for over a week. I can't see an endo until the start of September though. 
Are there any other signs I should look out for or be worried about? 
I don't know if this is normal or not, but I know that before I went on dialysis I had urine like this. I'm scared.</t>
        </is>
      </c>
      <c r="D10363" t="n">
        <v>1</v>
      </c>
      <c r="E10363" t="n">
        <v>19</v>
      </c>
      <c r="F10363">
        <f>HYPERLINK("https://www.reddit.com/r/diabetes/comments/i4r5s8/how_often_do_you_have_to_get_bubbly_urine_in/")</f>
        <v/>
      </c>
      <c r="G10363" t="inlineStr">
        <is>
          <t>2020-08-06 05:45:45</t>
        </is>
      </c>
      <c r="H10363" t="inlineStr">
        <is>
          <t>Type 1</t>
        </is>
      </c>
    </row>
    <row r="10364">
      <c r="A10364" t="inlineStr">
        <is>
          <t>i4sd5b</t>
        </is>
      </c>
      <c r="B10364" t="inlineStr">
        <is>
          <t>After 80lbs lost and a healthy eating habit, I no longer need medication to control my BG!</t>
        </is>
      </c>
      <c r="C10364" t="inlineStr">
        <is>
          <t>It has been 3.5 years since I been diagnosed and I been told many times by my doctor to lose weight and eat healthy. Both of these things are very hard for me to do since I am never physically active and I love to eat. About 6 month ago, I forced myself to exercise daily and have a stable healthy eating and sleeping schedule. Now after losing 80lbs and been eating healthy for 6 month, I no longer need any type of medication to control my BG and I occasionally reward myself with a soda after a big workout. I want to let all other type 2er out there to know, it is hard but we can beat it!</t>
        </is>
      </c>
      <c r="D10364" t="n">
        <v>1</v>
      </c>
      <c r="E10364" t="n">
        <v>29</v>
      </c>
      <c r="F10364">
        <f>HYPERLINK("https://www.reddit.com/r/diabetes/comments/i4sd5b/after_80lbs_lost_and_a_healthy_eating_habit_i_no/")</f>
        <v/>
      </c>
      <c r="G10364" t="inlineStr">
        <is>
          <t>2020-08-06 07:03:46</t>
        </is>
      </c>
      <c r="H10364" t="inlineStr">
        <is>
          <t>Type 2</t>
        </is>
      </c>
    </row>
    <row r="10365">
      <c r="A10365" t="inlineStr">
        <is>
          <t>i4xgfs</t>
        </is>
      </c>
      <c r="B10365" t="inlineStr">
        <is>
          <t>Has anyone had laser treatment to fix diabetic retinopathy?</t>
        </is>
      </c>
      <c r="C10365" t="inlineStr">
        <is>
          <t>So I just saw the retinopathist and it turns out my diabetic retinopathy has gotten worse. I’m 33 weeks pregnant, and it’s apparently very common to get worse over pregnancy. It’s now at a point where it needs to get treated, as it can also get significantly worse during labour/birth and postnatal. 
It’s stressful because they have to do the treatment once a week for four weeks, and it’s a tight fit to get it done before I’m due to be induced. Hopefully my little one doesn’t come sooner...
I’m just looking for advise and experience with this? I’m stressed and scared about it all and just want to know what it’s like. Is it painful? How much has your vision changed since then? Did you have any side effects after the treatment?
Thanks.</t>
        </is>
      </c>
      <c r="D10365" t="n">
        <v>1</v>
      </c>
      <c r="E10365" t="n">
        <v>3</v>
      </c>
      <c r="F10365">
        <f>HYPERLINK("https://www.reddit.com/r/diabetes/comments/i4xgfs/has_anyone_had_laser_treatment_to_fix_diabetic/")</f>
        <v/>
      </c>
      <c r="G10365" t="inlineStr">
        <is>
          <t>2020-08-06 11:39:48</t>
        </is>
      </c>
      <c r="H10365" t="inlineStr">
        <is>
          <t>Type 1</t>
        </is>
      </c>
    </row>
    <row r="10366">
      <c r="A10366" t="inlineStr">
        <is>
          <t>i4xl97</t>
        </is>
      </c>
      <c r="B10366" t="inlineStr">
        <is>
          <t>small rant</t>
        </is>
      </c>
      <c r="C10366" t="inlineStr">
        <is>
          <t>i don’t know if i’m the only type 1 that’s feels the same way, but i get sad (sometimes angry) when i see type 2’s losing weight/making better lifestyle choices and rejoicing that they don’t need their medications anymore. let me clarify that I’M NOT UPSET WITH THEM because i’m happy they’re getting better and don’t have to deal with the burden (at east not as heavy as it was before)! i’m upset with my body and the world for deciding that i’d be stuck doing the same shit with like 1,000 different results. i can’t believe non-diabetic people really think it’s always a + b = c. 
and no i don’t feel like being optimistic. i don’t wanna hear “but you get better blood sugars!” no karen, fuck off. i can’t even enjoy certain low carb foods and drinks because they’re stimulates. i wanna eat a whole pizza without worrying about my blood sugar, carbs, insulin and the outcome 2 hrs later.</t>
        </is>
      </c>
      <c r="D10366" t="n">
        <v>1</v>
      </c>
      <c r="E10366" t="n">
        <v>39</v>
      </c>
      <c r="F10366">
        <f>HYPERLINK("https://www.reddit.com/r/diabetes/comments/i4xl97/small_rant/")</f>
        <v/>
      </c>
      <c r="G10366" t="inlineStr">
        <is>
          <t>2020-08-06 11:46:29</t>
        </is>
      </c>
      <c r="H10366" t="inlineStr">
        <is>
          <t>Type 1</t>
        </is>
      </c>
    </row>
    <row r="10367">
      <c r="A10367" t="inlineStr">
        <is>
          <t>i4yz98</t>
        </is>
      </c>
      <c r="B10367" t="inlineStr">
        <is>
          <t>Mean and Standard Deviation</t>
        </is>
      </c>
      <c r="C10367" t="inlineStr">
        <is>
          <t>Question about Glucose levels. According to my Dexcom, my mean level is 150 mg/dL. and the Standard Deviation is 27. Is the Standard Deviation value useful? Do doctors look at this number as a sign of progress or anything like that?</t>
        </is>
      </c>
      <c r="D10367" t="n">
        <v>1</v>
      </c>
      <c r="E10367" t="n">
        <v>11</v>
      </c>
      <c r="F10367">
        <f>HYPERLINK("https://www.reddit.com/r/diabetes/comments/i4yz98/mean_and_standard_deviation/")</f>
        <v/>
      </c>
      <c r="G10367" t="inlineStr">
        <is>
          <t>2020-08-06 12:59:01</t>
        </is>
      </c>
      <c r="H10367" t="inlineStr">
        <is>
          <t>Type 2</t>
        </is>
      </c>
    </row>
    <row r="10368">
      <c r="A10368" t="inlineStr">
        <is>
          <t>i4z0a6</t>
        </is>
      </c>
      <c r="B10368" t="inlineStr">
        <is>
          <t>New type 1 at sixteen.</t>
        </is>
      </c>
      <c r="C10368" t="inlineStr">
        <is>
          <t>Hello! My name is Simon! I’m sixteen, and recently diagnosed with type 1 diabetes after peeing and drinking a lot for about two weeks. I’m currently in hospital and I’m really really worried My life is going to change. Can someone please give me some advice?</t>
        </is>
      </c>
      <c r="D10368" t="n">
        <v>1</v>
      </c>
      <c r="E10368" t="n">
        <v>32</v>
      </c>
      <c r="F10368">
        <f>HYPERLINK("https://www.reddit.com/r/diabetes/comments/i4z0a6/new_type_1_at_sixteen/")</f>
        <v/>
      </c>
      <c r="G10368" t="inlineStr">
        <is>
          <t>2020-08-06 13:00:33</t>
        </is>
      </c>
      <c r="H10368" t="inlineStr">
        <is>
          <t>Type 1</t>
        </is>
      </c>
    </row>
    <row r="10369">
      <c r="A10369" t="inlineStr">
        <is>
          <t>i5121i</t>
        </is>
      </c>
      <c r="B10369" t="inlineStr">
        <is>
          <t>Tips for the Partner of a type 1?</t>
        </is>
      </c>
      <c r="C10369" t="inlineStr">
        <is>
          <t>I cook most of the food at home and I want to make sure I’m doing my best in helping my gf manage her diabetes. Any tips I should know that make it easier?</t>
        </is>
      </c>
      <c r="D10369" t="n">
        <v>1</v>
      </c>
      <c r="E10369" t="n">
        <v>9</v>
      </c>
      <c r="F10369">
        <f>HYPERLINK("https://www.reddit.com/r/diabetes/comments/i5121i/tips_for_the_partner_of_a_type_1/")</f>
        <v/>
      </c>
      <c r="G10369" t="inlineStr">
        <is>
          <t>2020-08-06 14:49:51</t>
        </is>
      </c>
      <c r="H10369" t="inlineStr">
        <is>
          <t>Type 1</t>
        </is>
      </c>
    </row>
    <row r="10370">
      <c r="A10370" t="inlineStr">
        <is>
          <t>i5211x</t>
        </is>
      </c>
      <c r="B10370" t="inlineStr">
        <is>
          <t>CGM opinions?</t>
        </is>
      </c>
      <c r="C10370" t="inlineStr">
        <is>
          <t>Hi, everyone! I'm making the effort to take more control over my disease, and to that end, I'd like to try a continuous glucose monitor. My health plan has a few options available, and while I can sort of figure out things based on their coverages, I'd like to ask the community at large for their thoughts and experiences.
My insurance covers Dexcom, Freestyle, and Guardian CGMs (and one other brand that I couldn't quite understand) as durable medical equipment (DME) at 20% coinsurance after deductible. Aside from your opinions on these brands, I also noted that they only cover DME replacements once every 3 years, but don't you need to replace your CGM every month or two? 
The other option is their free meter program, which covers either OneTouch OR Contour meters at 100% if I go through their respective websites with a special code. This makes me feel a bit more wary, considering that I won't have to pay anything, but if the meters are serviceable, I'm happy to take them.
I appreciate any help y'all are able to provide! This is sort of a huge leap for me, so I'm a bit scared and want to collect as much information as I can. Thanks in advance!</t>
        </is>
      </c>
      <c r="D10370" t="n">
        <v>1</v>
      </c>
      <c r="E10370" t="n">
        <v>5</v>
      </c>
      <c r="F10370">
        <f>HYPERLINK("https://www.reddit.com/r/diabetes/comments/i5211x/cgm_opinions/")</f>
        <v/>
      </c>
      <c r="G10370" t="inlineStr">
        <is>
          <t>2020-08-06 15:43:54</t>
        </is>
      </c>
      <c r="H10370" t="inlineStr">
        <is>
          <t>Type 2</t>
        </is>
      </c>
    </row>
    <row r="10371">
      <c r="A10371" t="inlineStr">
        <is>
          <t>i52rll</t>
        </is>
      </c>
      <c r="B10371" t="inlineStr">
        <is>
          <t>Asume the likelihood of contracting type 2 with these circumstances</t>
        </is>
      </c>
      <c r="C10371" t="inlineStr">
        <is>
          <t>- Very High Sugar Intake
- Very High Carbohydrate Intake
- Abdolecent
- No increased thirst or urination
- Increased Hunger
- No family history of any diabetes
- Excersize of an average of 30 minutes daily 
——————————————————
It’s for an online project.</t>
        </is>
      </c>
      <c r="D10371" t="n">
        <v>1</v>
      </c>
      <c r="E10371" t="n">
        <v>8</v>
      </c>
      <c r="F10371">
        <f>HYPERLINK("https://www.reddit.com/r/diabetes/comments/i52rll/asume_the_likelihood_of_contracting_type_2_with/")</f>
        <v/>
      </c>
      <c r="G10371" t="inlineStr">
        <is>
          <t>2020-08-06 16:26:33</t>
        </is>
      </c>
      <c r="H10371" t="inlineStr">
        <is>
          <t>Type 2</t>
        </is>
      </c>
    </row>
    <row r="10372">
      <c r="A10372" t="inlineStr">
        <is>
          <t>i53xuv</t>
        </is>
      </c>
      <c r="B10372" t="inlineStr">
        <is>
          <t>Normal blood sugar after consuming large oreo milkshake?</t>
        </is>
      </c>
      <c r="C10372" t="inlineStr">
        <is>
          <t>I had a large oreo peanut butter milkshake from Sonic about an hour and a half ago. 178g of carbs and 115g of sugar. And I just tested my blood sugar and it's 104. I'm type 2 and take 2000mg of Metformin a day but I'm confused because I was expecting a super high blood sugar level?</t>
        </is>
      </c>
      <c r="D10372" t="n">
        <v>1</v>
      </c>
      <c r="E10372" t="n">
        <v>11</v>
      </c>
      <c r="F10372">
        <f>HYPERLINK("https://www.reddit.com/r/diabetes/comments/i53xuv/normal_blood_sugar_after_consuming_large_oreo/")</f>
        <v/>
      </c>
      <c r="G10372" t="inlineStr">
        <is>
          <t>2020-08-06 17:39:35</t>
        </is>
      </c>
      <c r="H10372" t="inlineStr">
        <is>
          <t>Type 2</t>
        </is>
      </c>
    </row>
    <row r="10373">
      <c r="A10373" t="inlineStr">
        <is>
          <t>i54z6w</t>
        </is>
      </c>
      <c r="B10373" t="inlineStr">
        <is>
          <t>Vaping and type 2</t>
        </is>
      </c>
      <c r="C10373" t="inlineStr">
        <is>
          <t>Should I quit, is this bad for the disease?</t>
        </is>
      </c>
      <c r="D10373" t="n">
        <v>1</v>
      </c>
      <c r="E10373" t="n">
        <v>2</v>
      </c>
      <c r="F10373">
        <f>HYPERLINK("https://www.reddit.com/r/diabetes/comments/i54z6w/vaping_and_type_2/")</f>
        <v/>
      </c>
      <c r="G10373" t="inlineStr">
        <is>
          <t>2020-08-06 18:48:11</t>
        </is>
      </c>
      <c r="H10373" t="inlineStr">
        <is>
          <t>Type 2</t>
        </is>
      </c>
    </row>
    <row r="10374">
      <c r="A10374" t="inlineStr">
        <is>
          <t>i565kh</t>
        </is>
      </c>
      <c r="B10374" t="inlineStr">
        <is>
          <t>Any good zero carb snacks out there (aside from celery and cucumbers) that are good for eating when the snack or meal you covered for isn’t enough?</t>
        </is>
      </c>
      <c r="C10374" t="inlineStr">
        <is>
          <t>I have looked online but I keep finding LOW carb snacks. I’d love to purchase something that I could give to my kid so she could have more to eat when we didn’t realize she was going to want more. She likes cucumbers but that will get old fast.</t>
        </is>
      </c>
      <c r="D10374" t="n">
        <v>1</v>
      </c>
      <c r="E10374" t="n">
        <v>12</v>
      </c>
      <c r="F10374">
        <f>HYPERLINK("https://www.reddit.com/r/diabetes/comments/i565kh/any_good_zero_carb_snacks_out_there_aside_from/")</f>
        <v/>
      </c>
      <c r="G10374" t="inlineStr">
        <is>
          <t>2020-08-06 20:07:28</t>
        </is>
      </c>
      <c r="H10374" t="inlineStr">
        <is>
          <t>Type 1</t>
        </is>
      </c>
    </row>
    <row r="10375">
      <c r="A10375" t="inlineStr">
        <is>
          <t>i57lsz</t>
        </is>
      </c>
      <c r="B10375" t="inlineStr">
        <is>
          <t>Have you ever thrown your CGM receiver (or smart phone receiving CGM data) in frustration?</t>
        </is>
      </c>
      <c r="C10375" t="inlineStr">
        <is>
          <t>I would like to open a discussion about this one, as the results of my casual survey of T1s is coming back with surprising results (surprising to me, personally, due to my own experiences).
[this survey](https://www.reddit.com/r/diabetes/comments/i4ctxs/6minute_revised_survey_cgm_technology_and_mental/)
Perhaps my participants are all very mild mannered? :) I would like to present this question to a wider audience. I often throw my phone down into my purse or onto my bed when I am sick of alerts. I am starting to think that I phrased the question poorly. 
Please make me feel like less of a short fuse ;)</t>
        </is>
      </c>
      <c r="D10375" t="n">
        <v>1</v>
      </c>
      <c r="E10375" t="n">
        <v>11</v>
      </c>
      <c r="F10375">
        <f>HYPERLINK("https://www.reddit.com/r/diabetes/comments/i57lsz/have_you_ever_thrown_your_cgm_receiver_or_smart/")</f>
        <v/>
      </c>
      <c r="G10375" t="inlineStr">
        <is>
          <t>2020-08-06 21:50:33</t>
        </is>
      </c>
      <c r="H10375" t="inlineStr">
        <is>
          <t>Type 1</t>
        </is>
      </c>
    </row>
    <row r="10376">
      <c r="A10376" t="inlineStr">
        <is>
          <t>i5dqzu</t>
        </is>
      </c>
      <c r="B10376" t="inlineStr">
        <is>
          <t>I'm tired of being diabetic</t>
        </is>
      </c>
      <c r="C10376" t="inlineStr">
        <is>
          <t>I'm just tired. I am 22 years old and my life revolves around being diabetic. I want nothing more than leave my house and just run and keep running, run without my supplies. Not worrying about dropping. Not worrying about the constant threat that diabetes brings.
I know i'm just being dramatic and that this feeling won't stick around forever but i'm just angry. Angry that my life is this. Numbers. Every day.
I can't remember my life before all this, and that may be a good thing but it would be nice to feel some hope. I'm genuinely sorry for how depressing this post is. I'm just going through it.
I just can't believe this is what my life is. It isn't a life a signed up for, a life i'm happy with. It's not ok to always be tired. 
Anyway, I hope I pulled no one into my depressive state right now. I just really needed to rant. I'm rooting for all of you.
Much love.</t>
        </is>
      </c>
      <c r="D10376" t="n">
        <v>1</v>
      </c>
      <c r="E10376" t="n">
        <v>0</v>
      </c>
      <c r="F10376">
        <f>HYPERLINK("https://www.reddit.com/r/diabetes/comments/i5dqzu/im_tired_of_being_diabetic/")</f>
        <v/>
      </c>
      <c r="G10376" t="inlineStr">
        <is>
          <t>2020-08-07 06:25:28</t>
        </is>
      </c>
      <c r="H10376" t="inlineStr">
        <is>
          <t>Type 1</t>
        </is>
      </c>
    </row>
    <row r="10377">
      <c r="A10377" t="inlineStr">
        <is>
          <t>i5g9gu</t>
        </is>
      </c>
      <c r="B10377" t="inlineStr">
        <is>
          <t>My doctor wants me to start insulin but I'm not sure about that</t>
        </is>
      </c>
      <c r="C10377" t="inlineStr">
        <is>
          <t>I came in for my A1C lab today and ended up doing a whole physical. My doctor said my A1C was way too high (12.1). I have changed my diet drastically to eat better and have been exercising in the gym 5 days a week so I was shocked when she said this number to me as it has never been so high. 
She asked if I wanted to go back to taking 1000MG of Metformin and I declined. The side effects I have had with that medication are too much. I currently take glimiperide and up until today my diabetes has been fine. But every time my doctor gives me a new medication she says it's forever. 
She is recommending I start to take insulin shots but she wants me to see an endocrine first to see what they say. When I asked how long I would be taking insulin for she said forever because diabetes will never go away. Although I understand there is no cure I strongly believe diabetes type 1 and 2 can be reversed. 
So it is a little bothersome when my dr wants me to take all these meds forever and start insulin forever too. What has your experience with insulin and diabetes been? Is there a way to get off diabetes meds or is it truly forever like my dr says?</t>
        </is>
      </c>
      <c r="D10377" t="n">
        <v>1</v>
      </c>
      <c r="E10377" t="n">
        <v>45</v>
      </c>
      <c r="F10377">
        <f>HYPERLINK("https://www.reddit.com/r/diabetes/comments/i5g9gu/my_doctor_wants_me_to_start_insulin_but_im_not/")</f>
        <v/>
      </c>
      <c r="G10377" t="inlineStr">
        <is>
          <t>2020-08-07 08:51:01</t>
        </is>
      </c>
      <c r="H10377" t="inlineStr">
        <is>
          <t>Type 2</t>
        </is>
      </c>
    </row>
    <row r="10378">
      <c r="A10378" t="inlineStr">
        <is>
          <t>i5kgtu</t>
        </is>
      </c>
      <c r="B10378" t="inlineStr">
        <is>
          <t>Discussion re Using Both MDI and Pump Therapy</t>
        </is>
      </c>
      <c r="C10378" t="inlineStr">
        <is>
          <t>I normally use Omnipod for insulin pump therapy, but during the COVID shutdown I've been giving my application sites a break and wanted to be able to do some stretches that aren't really possible with a bulky pod on.
Anyway, I've noticed that when I switched to MDI my BG responses are less predictable and harder to correct. FWIW, I use humalog in the pump, and humalog + lantus for MDI. 
I wanted to ask this sub whether anyone here switches back and forth from pump therapy and MDI and if they have any input on the subject. 
TIA and stay safe!!</t>
        </is>
      </c>
      <c r="D10378" t="n">
        <v>1</v>
      </c>
      <c r="E10378" t="n">
        <v>2</v>
      </c>
      <c r="F10378">
        <f>HYPERLINK("https://www.reddit.com/r/diabetes/comments/i5kgtu/discussion_re_using_both_mdi_and_pump_therapy/")</f>
        <v/>
      </c>
      <c r="G10378" t="inlineStr">
        <is>
          <t>2020-08-07 12:35:58</t>
        </is>
      </c>
      <c r="H10378" t="inlineStr">
        <is>
          <t>Type 1</t>
        </is>
      </c>
    </row>
    <row r="10379">
      <c r="A10379" t="inlineStr">
        <is>
          <t>i5nc6o</t>
        </is>
      </c>
      <c r="B10379" t="inlineStr">
        <is>
          <t>Running out of insulin before planned, new insurance not setup yet</t>
        </is>
      </c>
      <c r="C10379" t="inlineStr">
        <is>
          <t>Type 1 diabetic on an insulin pump for the last 15 years, Humalog insulin, living in Northern CA. Well I'm absolutely freaking out. I'm between insurance companies right now and thought I'd planned to have enough insulin to last me. Someone in my house ended up throwing out a brown paper bag full of insulin I had in the fridge and it got taken away by trash collection before I could get it back, not fun searching through every bit of trash. I've got maybe a day or two here. Any idea how much Humalog would cost without insurance? And I've heard that Walmart sells some of the older style insulin for very cheap, although I've heard it isn't very fast acting. I mainly eat veggies, fruits, meats, healthy fats, etc. Try to stay away from carbs except for exercise so luckily I don't go through it very fast. What are my options here, I know I'm incredibly dumb for getting into this situation. Please to God don't tell me I'm going to have to rob a pharmacy. Thank you all very much.</t>
        </is>
      </c>
      <c r="D10379" t="n">
        <v>1</v>
      </c>
      <c r="E10379" t="n">
        <v>19</v>
      </c>
      <c r="F10379">
        <f>HYPERLINK("https://www.reddit.com/r/diabetes/comments/i5nc6o/running_out_of_insulin_before_planned_new/")</f>
        <v/>
      </c>
      <c r="G10379" t="inlineStr">
        <is>
          <t>2020-08-07 15:13:46</t>
        </is>
      </c>
      <c r="H10379" t="inlineStr">
        <is>
          <t>Type 1</t>
        </is>
      </c>
    </row>
    <row r="10380">
      <c r="A10380" t="inlineStr">
        <is>
          <t>i5nngk</t>
        </is>
      </c>
      <c r="B10380" t="inlineStr">
        <is>
          <t>Closest thing to a cure for type 1 that I've found (also works for type 2). Anyone here heard of or tried a Nose-to-Tail Carnivore Diet or the Paleolithic Ketogenic Diet?</t>
        </is>
      </c>
      <c r="C10380" t="inlineStr">
        <is>
          <t>So I've been trying to take advantage of this down time I have while the world is still out of sorts and I decided that I want to try and see what I can do about potentially reversing my type 1 diabetes, or at least dramatically improving my control. I've had type 1 for about 8 years so I thought it would be interesting to see what has been done and what I can do. (Scroll down to the **\*\*\*\*\*\*** in my post if you want to skip some of the details and get right to the point haha)
I started googling and I came across a few stories or case studies in which type 1 has been effectively reversed. (Here they are in case you're interested):
[https://www.diabetes.co.uk/news/2018/jul/daniel-darkes-could-be-cured-of-type-1-diabetes-after-going-16-months-without-insulin-96077422.html](https://www.diabetes.co.uk/news/2018/jul/daniel-darkes-could-be-cured-of-type-1-diabetes-after-going-16-months-without-insulin-96077422.html) 
[https://www.youtube.com/watch?v=3UDaC30g\_HQ](https://www.youtube.com/watch?v=3UDaC30g_HQ) 
[https://www.alliedacademies.org/articles/reversal-of-type-1-diabetes-using-plantbased-diet-a-case-study-11462.html](https://www.alliedacademies.org/articles/reversal-of-type-1-diabetes-using-plantbased-diet-a-case-study-11462.html) 
[https://www.researchgate.net/publication/285152979\_A\_child\_with\_type\_1\_diabetes\_mellitus\_T1DM\_successfully\_treated\_with\_the\_Paleolithic\_ketogenic\_diet\_A\_19-month\_insulin\_freedom](https://www.researchgate.net/publication/285152979_A_child_with_type_1_diabetes_mellitus_T1DM_successfully_treated_with_the_Paleolithic_ketogenic_diet_A_19-month_insulin_freedom) 
This was very surprising and eye opening to me and made me even more optimistic about potentially curing it in myself. So I started doing some more digging and I realized that diet change seemed to be a very important factor in achieving these results. It wasn't long before I came across the story of Jordan Peterson and his daughter Mikhaila Peterson who have had great success curing or dramatically improving their autoimmune disorders, depression/anxiety, and other health issues using  the Carnivore Diet. Here's a clip about all that from Joe Rogan's podcast: [https://www.youtube.com/watch?v=HLF29w6YqXs](https://www.youtube.com/watch?v=HLF29w6YqXs) 
I was very skeptical at first but I came across a few doctors on youtube who seemed to be very huge proponents of this diet. These were: Shawn Baker MD, Ken Berry MD, and Paul Saladino MD. I encourage you to look them up on youtube if you're interested. There's a ton of great content from them explaining the diet and giving helpful tips. 
&amp;amp;#x200B;
**\*\*\*\*\*\***Anyway, this is the podcast (I'll link it below) that I came across from Paul Saladino that really got the ball rolling for me in my quest to reverse my diabetes. He talks with a woman from Hungary who is running a clinic called Paleomedicina that is having amazing success treating and curing people with all sorts of autoimmune disorders and diseases like Crohn's disease, diabetes (both types), epilepsy and even cancer using essentially a modified version of the Carnivore Diet called the Paleolithic Ketogenic Diet (PKD). (I'll link to the part specifically about type 1 reversal but I highly recommend watching the whole thing if you have the time): [https://youtu.be/tlm6dMHnNC0?t=4508](https://youtu.be/tlm6dMHnNC0?t=4508)
(The last case study I posted at the beginning of this post is actually from Paleomedicina using the PKD.) 
Before I continue here's a quick run down of the diets I mention in this post:
**Carnivore Diet**: Elimination of all plant foods and eating only food that comes from animals (meat, organ meat, bone (broth/stock/meal etc.), milk, cheese, eggs, etc.) 
**Nose-to-Tail Carnivore Diet**: Same as the carnivore diet with an emphasis on eating parts of the ENTIRE animal so that you get sufficient nutrients. 
**Paleolithic Ketogenic Diet**: Essentially the Nose-to-Tail Carnivore Diet with an emphasis on red, fatty meat with the aim of eating 2 grams of fat for every gram of protein. All processed foods, dairy, and most plant foods are strictly prohibited. Some of the safer, less toxic fruits and vegetables may be reincorporated into your diet in moderation if you are already healthy or fully recovered from an illness. However, they emphasize caution with this as many people have different tolerance levels.
All of these operate with the belief (with science to back it up) that you can get ALL of your required nutrients from animals, without using supplementation except for in specific scenarios.
One thing to note is that the PKD seems to only be a "cure" for all these disorders as long as you maintain your adherence to the diet. The idea is that as long as you aren't eating the foods that trigger the autoimmune response (many plants, dairy, processed foods etc.) you can be healed/healthy but straying from it can bring the symptoms back.
Here is a link to the Paleomedicina website if you want to find out more: [https://www.paleomedicina.com/en](https://www.paleomedicina.com/en) 
They are consulting with and helping people all over the world using this diet and I recently purchased a package from them which includes an initial consultation and two week follow-up to see if they can guide me through and offer any more info for potentially reversing my diabetes. I have actually recently started the diet anyway through doing a ton of research and watching multiple podcasts from Zsophia of Paleomedicina as well as people like Paul Saladino who have a ton of experience and knowledge of a Nose-to-Tail Carnivore Diet.
There is also a subreddit for the Paleolithic Ketogenic Diet with a good amount of info to get started if you read the wiki as well as the posts: [https://www.reddit.com/r/PaleolithicKetogenic/](https://www.reddit.com/r/PaleolithicKetogenic/) 
r/carnivore and r/zerocarb are also very helpful although not quite as specific or limited as the PKD
Also I realized that the success Paleomedicina was having with type 1 diabetics was pretty much exclusively with newly diagnosed, still in the honeymoon phase, diabetics. I hadn't yet heard of any long-standing type 1s having success reversing their diabetes with this type of diet until I came across this women and her facebook group (Her antibodies and c-peptide levels are back to normal after 13 years as a type 1 !!!):  [https://www.facebook.com/groups/2581694178779836](https://www.facebook.com/groups/2581694178779836)  (FYI it's a private group so you need to request entry but I can request some screenshots from her if you're interested)
So there it is! I know this is a ton of info and links but this is pretty much everything that I've discovered over the last few weeks and I'm really excited to share it with ya'll and give it a try myself. I hope this post is easy enough to understand but feel free to ask any questions! I will definitely post an update with my results in the future.</t>
        </is>
      </c>
      <c r="D10380" t="n">
        <v>1</v>
      </c>
      <c r="E10380" t="n">
        <v>43</v>
      </c>
      <c r="F10380">
        <f>HYPERLINK("https://www.reddit.com/r/diabetes/comments/i5nngk/closest_thing_to_a_cure_for_type_1_that_ive_found/")</f>
        <v/>
      </c>
      <c r="G10380" t="inlineStr">
        <is>
          <t>2020-08-07 15:31:37</t>
        </is>
      </c>
      <c r="H10380" t="inlineStr">
        <is>
          <t>Type 1</t>
        </is>
      </c>
    </row>
    <row r="10381">
      <c r="A10381" t="inlineStr">
        <is>
          <t>i5r7xg</t>
        </is>
      </c>
      <c r="B10381" t="inlineStr">
        <is>
          <t>Injection site reaction?</t>
        </is>
      </c>
      <c r="C10381" t="inlineStr">
        <is>
          <t>I’m on Levemir for pregnancy, 12 units. This is my third evening taking my insulin. 
Tonight a few minutes after injecting it I felt a little irritation and found a red [blotch](https://imgur.com/a/RbIXk4e)where I injected and it burns very slightly. 
Is that at all normal? Google tells me it might be an allergy to something in the brand. I was on this same brand two years ago and never had this happen. I feel okay and haven’t developed hives or a rash so I guess I will just call my doctor in the morning? 
Just wondering how common this is.</t>
        </is>
      </c>
      <c r="D10381" t="n">
        <v>1</v>
      </c>
      <c r="E10381" t="n">
        <v>7</v>
      </c>
      <c r="F10381">
        <f>HYPERLINK("https://www.reddit.com/r/diabetes/comments/i5r7xg/injection_site_reaction/")</f>
        <v/>
      </c>
      <c r="G10381" t="inlineStr">
        <is>
          <t>2020-08-07 19:21:51</t>
        </is>
      </c>
      <c r="H10381" t="inlineStr">
        <is>
          <t>Type 2</t>
        </is>
      </c>
    </row>
    <row r="10382">
      <c r="A10382" t="inlineStr">
        <is>
          <t>i5rz9m</t>
        </is>
      </c>
      <c r="B10382" t="inlineStr">
        <is>
          <t>Is my sensor faulty?</t>
        </is>
      </c>
      <c r="C10382" t="inlineStr">
        <is>
          <t>Applied my second ever freestlye libre sensor this morning (4 hours ago) and it won't start sensing. 
Just keeps saying "Please check your sensor. If it is loose from your skin please remove the sensor and start a new one. If it is applied properly, try starting sensor again."
Can confirm it is applied properly and I've started it a few times. Faulty?</t>
        </is>
      </c>
      <c r="D10382" t="n">
        <v>1</v>
      </c>
      <c r="E10382" t="n">
        <v>2</v>
      </c>
      <c r="F10382">
        <f>HYPERLINK("https://www.reddit.com/r/diabetes/comments/i5rz9m/is_my_sensor_faulty/")</f>
        <v/>
      </c>
      <c r="G10382" t="inlineStr">
        <is>
          <t>2020-08-07 20:15:49</t>
        </is>
      </c>
      <c r="H10382" t="inlineStr">
        <is>
          <t>Type 2</t>
        </is>
      </c>
    </row>
    <row r="10383">
      <c r="A10383" t="inlineStr">
        <is>
          <t>i5u22c</t>
        </is>
      </c>
      <c r="B10383" t="inlineStr">
        <is>
          <t>How many maximum units can be taken for T2 (Humulin 70/30 Pen)</t>
        </is>
      </c>
      <c r="C10383" t="inlineStr">
        <is>
          <t>I am currently at 46 units per day, but the sugar is still high. My doctor has asked me to keep increasing the units by an interval of 4 after every 3 days untill my sugar gets controlled. 
I am new to insulin, so still learning about it.
I was wondering how many units are considered dangerous or high enough? I know that with medicines, there are limits on the maximum quantity. I am not sure about Insulin. Can anyone guide? Thanks</t>
        </is>
      </c>
      <c r="D10383" t="n">
        <v>1</v>
      </c>
      <c r="E10383" t="n">
        <v>13</v>
      </c>
      <c r="F10383">
        <f>HYPERLINK("https://www.reddit.com/r/diabetes/comments/i5u22c/how_many_maximum_units_can_be_taken_for_t2/")</f>
        <v/>
      </c>
      <c r="G10383" t="inlineStr">
        <is>
          <t>2020-08-07 22:56:56</t>
        </is>
      </c>
      <c r="H10383" t="inlineStr">
        <is>
          <t>Type 2</t>
        </is>
      </c>
    </row>
    <row r="10384">
      <c r="A10384" t="inlineStr">
        <is>
          <t>i5wk85</t>
        </is>
      </c>
      <c r="B10384" t="inlineStr">
        <is>
          <t>How to convince a stubborn parent w/ diabetes to change their habits</t>
        </is>
      </c>
      <c r="C10384" t="inlineStr">
        <is>
          <t>My mom was diagnosed with type 2 diabetes 5 years ago but is completely clueless about the severity or details of her condition. It's not her fault per se, she's just not a very savvy person in general. She barely eats, so I think her condition is genetic. But when she does, she eats rice, baguettes and just generally very high carb foods that spike up her glucose levels.
Now she is beginning to have unhealthy weight loss due to the uncontrolled diabetes and also has hypertension. Her neck and face is looking emaciated but she is more worried about that than prioritizing her diet/health. She's religious and spends half the day worrying and the other half praying, both actions that make absolutely no sense to me. Why pray at all if you are just going to worry? 
I'm curious what to do as I'm exhausted. I'm sick of babysitting her all the time and I'm tired of yelling at her everytime she eats carbs. I'm trying to get her to remain on the keto diet but even that is hanging by a thread.
Any pointers on how you guys convinced a 55 y/o person to change their habits for the better?</t>
        </is>
      </c>
      <c r="D10384" t="n">
        <v>1</v>
      </c>
      <c r="E10384" t="n">
        <v>5</v>
      </c>
      <c r="F10384">
        <f>HYPERLINK("https://www.reddit.com/r/diabetes/comments/i5wk85/how_to_convince_a_stubborn_parent_w_diabetes_to/")</f>
        <v/>
      </c>
      <c r="G10384" t="inlineStr">
        <is>
          <t>2020-08-08 02:47:53</t>
        </is>
      </c>
      <c r="H10384" t="inlineStr">
        <is>
          <t>Type 2</t>
        </is>
      </c>
    </row>
    <row r="10385">
      <c r="A10385" t="inlineStr">
        <is>
          <t>i5wqpy</t>
        </is>
      </c>
      <c r="B10385" t="inlineStr">
        <is>
          <t>Dexcom G6 - Alarms Are Completely Missed (iOS app)</t>
        </is>
      </c>
      <c r="C10385" t="inlineStr">
        <is>
          <t>I had a Fun Diabetes Night (TM) last night as I went from fighting post-dinner hypoglycemia to 119 mg/dl before bed, to waking up at 325 in the middle of the night at 4:30am.
Normally this wouldn't be the worst thing ever, because the Dexcom would have alerted me at 140ish for the first high trigger alarm, then alerted me again if I was still high 2 hour later. Then 2 hours after that, etc.
However, it looks like I had only one single alert last night for the 140 threshold trigger, which I ignored (or didn't hear?) in sleepy delerium around 10:30pm. I can actually confirm on the Dexcom Clarity website that it shows no other alerts between 11pm and 4:30am. I would have expected \*3 follow up alarms\* before waking up on my own. Other days, it shows all the alerts that trigger, which look as expected according to my alarm schedule.
This isn't the first time I've observed not waking up to alarms, but I haven't actually been able to "prove" they never go off and assume I just slept through them. To see the device actually report that it did not trigger the alarms it said it would is really frustrating given I can confirm I have the alarm repeat set for every 2 hours. The only "solution" I've found is to restart my iPhone and hope that it works the next time.
Has anyone experienced this yet or have any feedback on how to prevent the application from missing alarms? Even just tips &amp;amp; tricks for your alert settings. Night time hypers suck and I pretty much rely on the Dexcom app to not be hot garbage in order to correct them.</t>
        </is>
      </c>
      <c r="D10385" t="n">
        <v>1</v>
      </c>
      <c r="E10385" t="n">
        <v>0</v>
      </c>
      <c r="F10385">
        <f>HYPERLINK("https://www.reddit.com/r/diabetes/comments/i5wqpy/dexcom_g6_alarms_are_completely_missed_ios_app/")</f>
        <v/>
      </c>
      <c r="G10385" t="inlineStr">
        <is>
          <t>2020-08-08 03:05:52</t>
        </is>
      </c>
      <c r="H10385" t="inlineStr">
        <is>
          <t>Type 1</t>
        </is>
      </c>
    </row>
    <row r="10386">
      <c r="A10386" t="inlineStr">
        <is>
          <t>i5xqap</t>
        </is>
      </c>
      <c r="B10386" t="inlineStr">
        <is>
          <t>Morning blood sugars</t>
        </is>
      </c>
      <c r="C10386" t="inlineStr">
        <is>
          <t>Only been dx’d LADA for 6+ months and wondering, how much does what you eat on previous day factor in to morning glucose levels? I can’t seem to put my finger on why I can get random high numbers like 200+ a few times per week and pretty good sub 120 numbers rest of the time. Tried light snack before bed, no snack before bed,early supper, late supper, etc. I was thinking it was the slow burn of protein ticking up my numbers after my humalog wears off, but last night had a nice ribeye with corn on the cob, scali bread, was at 112 at 11:30 5 hrs after eating. Fully expected to be pushing 200 or higher in morning and woke at 132. Any ideas? Thanks</t>
        </is>
      </c>
      <c r="D10386" t="n">
        <v>1</v>
      </c>
      <c r="E10386" t="n">
        <v>4</v>
      </c>
      <c r="F10386">
        <f>HYPERLINK("https://www.reddit.com/r/diabetes/comments/i5xqap/morning_blood_sugars/")</f>
        <v/>
      </c>
      <c r="G10386" t="inlineStr">
        <is>
          <t>2020-08-08 04:40:32</t>
        </is>
      </c>
      <c r="H10386" t="inlineStr">
        <is>
          <t>Type 1.5/LADA</t>
        </is>
      </c>
    </row>
    <row r="10387">
      <c r="A10387" t="inlineStr">
        <is>
          <t>i5y5ev</t>
        </is>
      </c>
      <c r="B10387" t="inlineStr">
        <is>
          <t>Mystery Symptom?</t>
        </is>
      </c>
      <c r="C10387" t="inlineStr">
        <is>
          <t>Hey guys, so yesterday I majorly messed up. When changing pump sites (I use a t-slim) I didn't realize until nearly 12 hours later that it hadn't been properly inserted. Fwiw I was high (around 250 which is unusual) when I took out the old site around 2pm. I put the new one in, saw a tiny dip in BG for a little while, so I figured the pump was doing it's job. Flash forward a few hours later, it was still rising. I figured it was just a messed up bolus on my end, so I bolused more and had dinner... Huge mistake. Around 7 or so my cgm just says HIGH so I'm bolusing more trying to get it down. I end up feeling so awful I went to bed a little early, around 10pm. Every two hours I was up to pee, just like I used to be before my diagnosis. That was when I realized what might have happened, and sure enough, the tubing of the inset was practically folded in half, never even broke skin. I'm so mad because this has never happened so badly before.
Anyway I change the site around 2am. It's just past 8am now, and I'm still high at 167.
The weird thing though is the past two times I went to get up to pee (still cycling through that nonsense), my body's getting these weird jolts, almost like static shocks. It's not painful, just weird and tingly for a short few seconds before it happens with another step. It's not in my extremities like my hands or feet but in my stomach, chest, and upper thighs, so I don't think it's neuropathy. Like it almost feels as if the fat from them might fall off (I'm a chunky girl). I experienced something like this years ago when I first started running (feeling it in the chest, stomach and upper arms), and my Endo had no clue. It went away eventually and I never experienced anything like it until tonight.
Any idea what this might be? Anyone else experience something similar?</t>
        </is>
      </c>
      <c r="D10387" t="n">
        <v>1</v>
      </c>
      <c r="E10387" t="n">
        <v>5</v>
      </c>
      <c r="F10387">
        <f>HYPERLINK("https://www.reddit.com/r/diabetes/comments/i5y5ev/mystery_symptom/")</f>
        <v/>
      </c>
      <c r="G10387" t="inlineStr">
        <is>
          <t>2020-08-08 05:16:22</t>
        </is>
      </c>
      <c r="H10387" t="inlineStr">
        <is>
          <t>Type 1</t>
        </is>
      </c>
    </row>
    <row r="10388">
      <c r="A10388" t="inlineStr">
        <is>
          <t>i5zdiq</t>
        </is>
      </c>
      <c r="B10388" t="inlineStr">
        <is>
          <t>At what point do you get hypos?</t>
        </is>
      </c>
      <c r="C10388" t="inlineStr">
        <is>
          <t>I would be hypoing when my mmol / mgdl reach 4 mmol / 72 mg/dl...
I would love to get it lower than that before hypoing. I think 4 is still should be high?</t>
        </is>
      </c>
      <c r="D10388" t="n">
        <v>1</v>
      </c>
      <c r="E10388" t="n">
        <v>10</v>
      </c>
      <c r="F10388">
        <f>HYPERLINK("https://www.reddit.com/r/diabetes/comments/i5zdiq/at_what_point_do_you_get_hypos/")</f>
        <v/>
      </c>
      <c r="G10388" t="inlineStr">
        <is>
          <t>2020-08-08 06:45:40</t>
        </is>
      </c>
      <c r="H10388" t="inlineStr">
        <is>
          <t>Type 2</t>
        </is>
      </c>
    </row>
    <row r="10389">
      <c r="A10389" t="inlineStr">
        <is>
          <t>i603fp</t>
        </is>
      </c>
      <c r="B10389" t="inlineStr">
        <is>
          <t>Tandem Aquires Sugarmate</t>
        </is>
      </c>
      <c r="C10389" t="inlineStr">
        <is>
          <t>Well this is cool. As a Tandem/Dexcom user, the Sugarmate app has been AWESOME. I just downloaded the t:connect app, which I'm assuming uses the recently acquired sugar mate technology. It's amazing. Separate graphs for BG levels and Basal rates on Control IQ, with notes for boluses. Holy shit! Why didn't tandem make a big deal about releasing this app?? Or am I just under a rock??
&amp;amp;#x200B;
If they can make your phone give the pump commands........ look out.</t>
        </is>
      </c>
      <c r="D10389" t="n">
        <v>1</v>
      </c>
      <c r="E10389" t="n">
        <v>4</v>
      </c>
      <c r="F10389">
        <f>HYPERLINK("https://www.reddit.com/r/diabetes/comments/i603fp/tandem_aquires_sugarmate/")</f>
        <v/>
      </c>
      <c r="G10389" t="inlineStr">
        <is>
          <t>2020-08-08 07:33:48</t>
        </is>
      </c>
      <c r="H10389" t="inlineStr">
        <is>
          <t>Type 1</t>
        </is>
      </c>
    </row>
    <row r="10390">
      <c r="A10390" t="inlineStr">
        <is>
          <t>i60rqu</t>
        </is>
      </c>
      <c r="B10390" t="inlineStr">
        <is>
          <t>What range do you keep on your Dexcom? I have set to 80 to 180. So mine was never in range. As I always goes above 180.</t>
        </is>
      </c>
      <c r="C10390" t="inlineStr">
        <is>
          <t>Is 80-180 normal?</t>
        </is>
      </c>
      <c r="D10390" t="n">
        <v>1</v>
      </c>
      <c r="E10390" t="n">
        <v>10</v>
      </c>
      <c r="F10390">
        <f>HYPERLINK("https://www.reddit.com/r/diabetes/comments/i60rqu/what_range_do_you_keep_on_your_dexcom_i_have_set/")</f>
        <v/>
      </c>
      <c r="G10390" t="inlineStr">
        <is>
          <t>2020-08-08 08:16:37</t>
        </is>
      </c>
      <c r="H10390" t="inlineStr">
        <is>
          <t>Type 2</t>
        </is>
      </c>
    </row>
    <row r="10391">
      <c r="A10391" t="inlineStr">
        <is>
          <t>i670yw</t>
        </is>
      </c>
      <c r="B10391" t="inlineStr">
        <is>
          <t>New to Dexcom issues</t>
        </is>
      </c>
      <c r="C10391" t="inlineStr">
        <is>
          <t>I received my Dexcom yesterday.  I had some initial connection issues.  When it finally started working I waited about 4 hours before I checked the calibrations.  Watching videos I was mindful of the lag in readings.
 I noticed the calibration was WAY off.  My finger stick showed 160 and the Dexcom showed 123.  I entered 160 in the calibration setting and the Dexcom only moved 1/2 way.  I entered it again and the readings matched.
It seemed to be working fairly well I went to bed but seemed to drift giving me 3 lows in the middle of the night that I really didn't feel.
Today I checked the calibration and saw that the Dexcom was again reading 40 low.  Once again I had to calibrate twice to get the readings to match.  Then I started getting signal loss.  I called Dexcom and got an English teacher that was not a technical person at all.  I took him over an hour just to create my account and call me back.  I understand people are working from home but...
We painfully went through all the steps I had taken and he had me try a few things.  He was obviously just reading menus off his screen.
They are sending me a new transmitter and sensor FedEx ground.  I'll try again in a few days when it arrives.  I don't think I can trust the one I am wearing at all.  It sure made me lose sleep last night.</t>
        </is>
      </c>
      <c r="D10391" t="n">
        <v>1</v>
      </c>
      <c r="E10391" t="n">
        <v>12</v>
      </c>
      <c r="F10391">
        <f>HYPERLINK("https://www.reddit.com/r/diabetes/comments/i670yw/new_to_dexcom_issues/")</f>
        <v/>
      </c>
      <c r="G10391" t="inlineStr">
        <is>
          <t>2020-08-08 14:18:07</t>
        </is>
      </c>
      <c r="H10391" t="inlineStr">
        <is>
          <t>Type 2</t>
        </is>
      </c>
    </row>
    <row r="10392">
      <c r="A10392" t="inlineStr">
        <is>
          <t>i67sys</t>
        </is>
      </c>
      <c r="B10392" t="inlineStr">
        <is>
          <t>you ever just not put your shirt back on after a site change</t>
        </is>
      </c>
      <c r="C10392" t="inlineStr">
        <is>
          <t>ya know</t>
        </is>
      </c>
      <c r="D10392" t="n">
        <v>1</v>
      </c>
      <c r="E10392" t="n">
        <v>0</v>
      </c>
      <c r="F10392">
        <f>HYPERLINK("https://www.reddit.com/r/diabetes/comments/i67sys/you_ever_just_not_put_your_shirt_back_on_after_a/")</f>
        <v/>
      </c>
      <c r="G10392" t="inlineStr">
        <is>
          <t>2020-08-08 15:04:18</t>
        </is>
      </c>
      <c r="H10392" t="inlineStr">
        <is>
          <t>Type 1</t>
        </is>
      </c>
    </row>
    <row r="10393">
      <c r="A10393" t="inlineStr">
        <is>
          <t>i6c522</t>
        </is>
      </c>
      <c r="B10393" t="inlineStr">
        <is>
          <t>Is my blood sugar good enough?</t>
        </is>
      </c>
      <c r="C10393" t="inlineStr">
        <is>
          <t>I was diagnosed as type 2 back in June so I was trying to make my blood sugar as low as possible. So after working hard for two months, my morning BG was 6.0 mmol and two hours after meal is 8.4 mmol. But my doctor said it’s not good enough, I have to get my morning BG lower than 5? Is it true? Isn’t it way too low?</t>
        </is>
      </c>
      <c r="D10393" t="n">
        <v>1</v>
      </c>
      <c r="E10393" t="n">
        <v>17</v>
      </c>
      <c r="F10393">
        <f>HYPERLINK("https://www.reddit.com/r/diabetes/comments/i6c522/is_my_blood_sugar_good_enough/")</f>
        <v/>
      </c>
      <c r="G10393" t="inlineStr">
        <is>
          <t>2020-08-08 19:55:18</t>
        </is>
      </c>
      <c r="H10393" t="inlineStr">
        <is>
          <t>Type 2</t>
        </is>
      </c>
    </row>
    <row r="10394">
      <c r="A10394" t="inlineStr">
        <is>
          <t>i6c5l1</t>
        </is>
      </c>
      <c r="B10394" t="inlineStr">
        <is>
          <t>Can having a high blood sugar cause you to have a loose stool?</t>
        </is>
      </c>
      <c r="C10394" t="inlineStr">
        <is>
          <t>I drank some orange juice and had a fruit to bring a low blood sugar up. Then about 20 minutes later I had to run to the restroom and my stool was really loose then I checked my BG and I was at 235. Currently correcting that now.</t>
        </is>
      </c>
      <c r="D10394" t="n">
        <v>1</v>
      </c>
      <c r="E10394" t="n">
        <v>9</v>
      </c>
      <c r="F10394">
        <f>HYPERLINK("https://www.reddit.com/r/diabetes/comments/i6c5l1/can_having_a_high_blood_sugar_cause_you_to_have_a/")</f>
        <v/>
      </c>
      <c r="G10394" t="inlineStr">
        <is>
          <t>2020-08-08 19:56:26</t>
        </is>
      </c>
      <c r="H10394" t="inlineStr">
        <is>
          <t>Type 1</t>
        </is>
      </c>
    </row>
    <row r="10395">
      <c r="A10395" t="inlineStr">
        <is>
          <t>i6cl5r</t>
        </is>
      </c>
      <c r="B10395" t="inlineStr">
        <is>
          <t>Newly diagnosed T1</t>
        </is>
      </c>
      <c r="C10395" t="inlineStr">
        <is>
          <t>So I ended up in the ER last night because I haven’t been feeling great for a couple weeks and lo and behold I find out I’m a T1 diabetic and was in DKA. I’m 38 years old and had no idea someone could be diagnosed with T1 this late in life. 
I’m a little overwhelmed with all of this now and just wanted to find a resource that might be able to help. I’d appreciate any words of wisdom from those of you who have been battling this.</t>
        </is>
      </c>
      <c r="D10395" t="n">
        <v>1</v>
      </c>
      <c r="E10395" t="n">
        <v>18</v>
      </c>
      <c r="F10395">
        <f>HYPERLINK("https://www.reddit.com/r/diabetes/comments/i6cl5r/newly_diagnosed_t1/")</f>
        <v/>
      </c>
      <c r="G10395" t="inlineStr">
        <is>
          <t>2020-08-08 20:29:07</t>
        </is>
      </c>
      <c r="H10395" t="inlineStr">
        <is>
          <t>Type 1</t>
        </is>
      </c>
    </row>
    <row r="10396">
      <c r="A10396" t="inlineStr">
        <is>
          <t>i6cr0m</t>
        </is>
      </c>
      <c r="B10396" t="inlineStr">
        <is>
          <t>Alternatives to finger pricking.</t>
        </is>
      </c>
      <c r="C10396" t="inlineStr">
        <is>
          <t>I'm newly diagnosed. Type 2. Finger pricking for me is difficult. It's not the pain but the fact I have big fingers and have trouble handling those tiny ass strips. Not just that but I never get enough blood to register on those stupid meters. Today I pricked five fingers to get one reading. This has me pretty frustrated and I don't feel like testing my sugar anymore but I don't want to give up. Are there any alternatives to finger pricking?</t>
        </is>
      </c>
      <c r="D10396" t="n">
        <v>1</v>
      </c>
      <c r="E10396" t="n">
        <v>9</v>
      </c>
      <c r="F10396">
        <f>HYPERLINK("https://www.reddit.com/r/diabetes/comments/i6cr0m/alternatives_to_finger_pricking/")</f>
        <v/>
      </c>
      <c r="G10396" t="inlineStr">
        <is>
          <t>2020-08-08 20:40:49</t>
        </is>
      </c>
      <c r="H10396" t="inlineStr">
        <is>
          <t>Type 2</t>
        </is>
      </c>
    </row>
    <row r="10397">
      <c r="A10397" t="inlineStr">
        <is>
          <t>i6cw1l</t>
        </is>
      </c>
      <c r="B10397" t="inlineStr">
        <is>
          <t>Question</t>
        </is>
      </c>
      <c r="C10397" t="inlineStr">
        <is>
          <t>Ok so im diagnosed with type 2 for 2 yrs recently in july my a1c1 was at 6.3 but my doctor didnt lower my med dosage  im still taking 2 500mg twice a day.... these past couple days i been noticing i been feeling real nauseous, shakey, rapid heart beat and sweating.... today again same thing i checked my bs it was at 73 and i had just eating 2hr prior ....should i tell my doctor to lower my dosage</t>
        </is>
      </c>
      <c r="D10397" t="n">
        <v>1</v>
      </c>
      <c r="E10397" t="n">
        <v>4</v>
      </c>
      <c r="F10397">
        <f>HYPERLINK("https://www.reddit.com/r/diabetes/comments/i6cw1l/question/")</f>
        <v/>
      </c>
      <c r="G10397" t="inlineStr">
        <is>
          <t>2020-08-08 20:51:24</t>
        </is>
      </c>
      <c r="H10397" t="inlineStr">
        <is>
          <t>Type 2</t>
        </is>
      </c>
    </row>
    <row r="10398">
      <c r="A10398" t="inlineStr">
        <is>
          <t>i6e4ok</t>
        </is>
      </c>
      <c r="B10398" t="inlineStr">
        <is>
          <t>Birthday snack ideas for friend with diabetes</t>
        </is>
      </c>
      <c r="C10398" t="inlineStr">
        <is>
          <t>Hey there! Im currently planning a surprise birthday party for one of my close friends that as type 2 diabetes and am struggling to plan snack foods that everyone can enjoy but most importantly will not be hard on her body. I’m open to preparing some foods/snacks but really need recommendations on easy and simple store bought stuff that is easy. I plan to make a spinach dip and guacamole, so recommendations on chips for dipping are appreciated, as well as recommendations on a cake or cake recipe!! Thanks in advance😊</t>
        </is>
      </c>
      <c r="D10398" t="n">
        <v>1</v>
      </c>
      <c r="E10398" t="n">
        <v>11</v>
      </c>
      <c r="F10398">
        <f>HYPERLINK("https://www.reddit.com/r/diabetes/comments/i6e4ok/birthday_snack_ideas_for_friend_with_diabetes/")</f>
        <v/>
      </c>
      <c r="G10398" t="inlineStr">
        <is>
          <t>2020-08-08 22:31:12</t>
        </is>
      </c>
      <c r="H10398" t="inlineStr">
        <is>
          <t>Type 2</t>
        </is>
      </c>
    </row>
    <row r="10399">
      <c r="A10399" t="inlineStr">
        <is>
          <t>i6ee9d</t>
        </is>
      </c>
      <c r="B10399" t="inlineStr">
        <is>
          <t>My Dissertation Study for African Americans with Type 2 Diabetes</t>
        </is>
      </c>
      <c r="C10399" t="inlineStr">
        <is>
          <t>**Get a gift card to complete a brief survey:**
**Individuals identifying as African American and who have Type 2 Diabetes** 
**are invited to complete a brief online survey about:**
**Use of Medical Services**
**Participants must be 18 years old and able to read English.** 
**Completed surveys eligible for a $3 gift card.**
**Link to survey below:**
[Health Survey](https://lasalle.co1.qualtrics.com/jfe/form/SV_0GjLXmdUmWs20kt)</t>
        </is>
      </c>
      <c r="D10399" t="n">
        <v>1</v>
      </c>
      <c r="E10399" t="n">
        <v>0</v>
      </c>
      <c r="F10399">
        <f>HYPERLINK("https://www.reddit.com/r/diabetes/comments/i6ee9d/my_dissertation_study_for_african_americans_with/")</f>
        <v/>
      </c>
      <c r="G10399" t="inlineStr">
        <is>
          <t>2020-08-08 22:54:32</t>
        </is>
      </c>
      <c r="H10399" t="inlineStr">
        <is>
          <t>Type 2</t>
        </is>
      </c>
    </row>
    <row r="10400">
      <c r="A10400" t="inlineStr">
        <is>
          <t>i6fcqx</t>
        </is>
      </c>
      <c r="B10400" t="inlineStr">
        <is>
          <t>Pringle’s are the best</t>
        </is>
      </c>
      <c r="C10400" t="inlineStr">
        <is>
          <t>Each chip is about 1 carb
They are easy to count
Each one is the same size
Makes counting carbs and bolusing really easy.</t>
        </is>
      </c>
      <c r="D10400" t="n">
        <v>1</v>
      </c>
      <c r="E10400" t="n">
        <v>5</v>
      </c>
      <c r="F10400">
        <f>HYPERLINK("https://www.reddit.com/r/diabetes/comments/i6fcqx/pringles_are_the_best/")</f>
        <v/>
      </c>
      <c r="G10400" t="inlineStr">
        <is>
          <t>2020-08-09 00:24:31</t>
        </is>
      </c>
      <c r="H10400" t="inlineStr">
        <is>
          <t>Type 1</t>
        </is>
      </c>
    </row>
    <row r="10401">
      <c r="A10401" t="inlineStr">
        <is>
          <t>i6g3w6</t>
        </is>
      </c>
      <c r="B10401" t="inlineStr">
        <is>
          <t>Starting a relationship as a diabetics</t>
        </is>
      </c>
      <c r="C10401" t="inlineStr">
        <is>
          <t>Hello, I(21M) have been diagnosed type 1 diabetics last simuler, si this is new for me, even after a year. I met a girl recently, we had a good feeling and we kissed each other just before leaving for the holydays. I'll be back in my town next week and she seems that she cannot wait to see me, and it is the same for me. 
However, it is the first time I start a relationship as a diabetics and I'm a little scared to tell her about it, I have difficulties in general to talk about it but I know that I have to be honnest with her at the beginning of the relationship. I decided  to wait to see her irl to talk about it, I think it is better.
How do you manage those situation ?
Thanks for the help!</t>
        </is>
      </c>
      <c r="D10401" t="n">
        <v>1</v>
      </c>
      <c r="E10401" t="n">
        <v>16</v>
      </c>
      <c r="F10401">
        <f>HYPERLINK("https://www.reddit.com/r/diabetes/comments/i6g3w6/starting_a_relationship_as_a_diabetics/")</f>
        <v/>
      </c>
      <c r="G10401" t="inlineStr">
        <is>
          <t>2020-08-09 01:39:25</t>
        </is>
      </c>
      <c r="H10401" t="inlineStr">
        <is>
          <t>Type 1</t>
        </is>
      </c>
    </row>
    <row r="10402">
      <c r="A10402" t="inlineStr">
        <is>
          <t>i6l92l</t>
        </is>
      </c>
      <c r="B10402" t="inlineStr">
        <is>
          <t>Tips for managing ketones</t>
        </is>
      </c>
      <c r="C10402" t="inlineStr">
        <is>
          <t>Hello, was just wondering if anyone had some tips for managing ketones. I usually have high ketones only when I have really high sugars but recently my ketones have been around 2.0 when my sugars are comparably normal or only mildly high (13-17, usually my ketones appear when I'm over 20-25). I am in a very hot climate having a particularly hot summer. I'm on a pump and CGM, really annoyingly unstable sugars if that info helps and obviously I've been trying to drink lots of water and my doctor suggested potassium supplements too when DKA. Always got great advice and suggestions here so far so thanks in advance :)</t>
        </is>
      </c>
      <c r="D10402" t="n">
        <v>1</v>
      </c>
      <c r="E10402" t="n">
        <v>4</v>
      </c>
      <c r="F10402">
        <f>HYPERLINK("https://www.reddit.com/r/diabetes/comments/i6l92l/tips_for_managing_ketones/")</f>
        <v/>
      </c>
      <c r="G10402" t="inlineStr">
        <is>
          <t>2020-08-09 08:32:48</t>
        </is>
      </c>
      <c r="H10402" t="inlineStr">
        <is>
          <t>Type 1</t>
        </is>
      </c>
    </row>
    <row r="10403">
      <c r="A10403" t="inlineStr">
        <is>
          <t>i6pfcu</t>
        </is>
      </c>
      <c r="B10403" t="inlineStr">
        <is>
          <t>Are my levels good?</t>
        </is>
      </c>
      <c r="C10403" t="inlineStr">
        <is>
          <t xml:space="preserve"> I was diagnosed as type 2 two weeks ago and since then I changed my diet started taking metformin and I started to check myself. My levels in the morning after I wake up are between 100 and 110 and two hourse after eating are between 80 and 90. Is this normal?</t>
        </is>
      </c>
      <c r="D10403" t="n">
        <v>1</v>
      </c>
      <c r="E10403" t="n">
        <v>5</v>
      </c>
      <c r="F10403">
        <f>HYPERLINK("https://www.reddit.com/r/diabetes/comments/i6pfcu/are_my_levels_good/")</f>
        <v/>
      </c>
      <c r="G10403" t="inlineStr">
        <is>
          <t>2020-08-09 12:28:33</t>
        </is>
      </c>
      <c r="H10403" t="inlineStr">
        <is>
          <t>Type 2</t>
        </is>
      </c>
    </row>
    <row r="10404">
      <c r="A10404" t="inlineStr">
        <is>
          <t>i6qrz1</t>
        </is>
      </c>
      <c r="B10404" t="inlineStr">
        <is>
          <t>Binge eating, don’t know why, hard to stop</t>
        </is>
      </c>
      <c r="C10404" t="inlineStr">
        <is>
          <t>The past few days I’ve been binge eating, junk that’s not good for me. I don’t know why and I don’t want to stop. I’m mad at myself.</t>
        </is>
      </c>
      <c r="D10404" t="n">
        <v>1</v>
      </c>
      <c r="E10404" t="n">
        <v>10</v>
      </c>
      <c r="F10404">
        <f>HYPERLINK("https://www.reddit.com/r/diabetes/comments/i6qrz1/binge_eating_dont_know_why_hard_to_stop/")</f>
        <v/>
      </c>
      <c r="G10404" t="inlineStr">
        <is>
          <t>2020-08-09 13:43:21</t>
        </is>
      </c>
      <c r="H10404" t="inlineStr">
        <is>
          <t>Type 2</t>
        </is>
      </c>
    </row>
    <row r="10405">
      <c r="A10405" t="inlineStr">
        <is>
          <t>i6ykzw</t>
        </is>
      </c>
      <c r="B10405" t="inlineStr">
        <is>
          <t>The time it takes to manage T1 Diabetes</t>
        </is>
      </c>
      <c r="C10405" t="inlineStr">
        <is>
          <t>Hello folks,  
How can one become 'certified' in the various technologies, CGMs &amp;amp; pumps etc, available to the community?
Pretty certain this will have crossed the minds of many of you here. Managing this disease takes a great deal of time, energy &amp;amp; the development of many new skills. I am thinking here of the T1 community as it would be ignorant of me to think that T1 management is transferable to to T2; similarities not withstanding.  
I'm lucky that I've spent 20 years in the IT industry, end-user &amp;amp; system support, &amp;amp; the technological aspects of modern diabetes management comes fairly easily; and still it's hard bloody work. What I'm certain has occurred to many is, "I spend so much time managing my T1, maybe I can earn a dollar in helping others manage theirs".
&amp;amp;#x200B;
I live in Australia to give you a reference point.</t>
        </is>
      </c>
      <c r="D10405" t="n">
        <v>1</v>
      </c>
      <c r="E10405" t="n">
        <v>6</v>
      </c>
      <c r="F10405">
        <f>HYPERLINK("https://www.reddit.com/r/diabetes/comments/i6ykzw/the_time_it_takes_to_manage_t1_diabetes/")</f>
        <v/>
      </c>
      <c r="G10405" t="inlineStr">
        <is>
          <t>2020-08-09 21:56:45</t>
        </is>
      </c>
      <c r="H10405" t="inlineStr">
        <is>
          <t>Type 1</t>
        </is>
      </c>
    </row>
    <row r="10406">
      <c r="A10406" t="inlineStr">
        <is>
          <t>i6za0r</t>
        </is>
      </c>
      <c r="B10406" t="inlineStr">
        <is>
          <t>Will becoming muscular “reverse” Type 2 in a way?</t>
        </is>
      </c>
      <c r="C10406" t="inlineStr">
        <is>
          <t>Will getting muscular and fit in a way “reverse” type 2 diabetes? Like if you stay muscular and solid without a belly can you eat like a normal person? Or is type 2 more of a progressive disease no matter how fit you keep yourself?</t>
        </is>
      </c>
      <c r="D10406" t="n">
        <v>1</v>
      </c>
      <c r="E10406" t="n">
        <v>21</v>
      </c>
      <c r="F10406">
        <f>HYPERLINK("https://www.reddit.com/r/diabetes/comments/i6za0r/will_becoming_muscular_reverse_type_2_in_a_way/")</f>
        <v/>
      </c>
      <c r="G10406" t="inlineStr">
        <is>
          <t>2020-08-09 22:52:16</t>
        </is>
      </c>
      <c r="H10406" t="inlineStr">
        <is>
          <t>Type 2</t>
        </is>
      </c>
    </row>
    <row r="10407">
      <c r="A10407" t="inlineStr">
        <is>
          <t>i709l2</t>
        </is>
      </c>
      <c r="B10407" t="inlineStr">
        <is>
          <t>Is Ketosis weight loss permanent</t>
        </is>
      </c>
      <c r="C10407" t="inlineStr">
        <is>
          <t>Hey been type 1 diabetic for 20 years and have had a rough hangover resulting in the lack of eating and plenty of vomiting.
Along with this I’ve noticed my weight has dropped in my face and stomach, noticeably too. The doctor said I have Ketosis and she can smell it on me?
I’m wondering is this weight loss permanent? As an already skinny guy I can’t afford to lose more weight.</t>
        </is>
      </c>
      <c r="D10407" t="n">
        <v>1</v>
      </c>
      <c r="E10407" t="n">
        <v>11</v>
      </c>
      <c r="F10407">
        <f>HYPERLINK("https://www.reddit.com/r/diabetes/comments/i709l2/is_ketosis_weight_loss_permanent/")</f>
        <v/>
      </c>
      <c r="G10407" t="inlineStr">
        <is>
          <t>2020-08-10 00:18:42</t>
        </is>
      </c>
      <c r="H10407" t="inlineStr">
        <is>
          <t>Type 1</t>
        </is>
      </c>
    </row>
    <row r="10408">
      <c r="A10408" t="inlineStr">
        <is>
          <t>i70km5</t>
        </is>
      </c>
      <c r="B10408" t="inlineStr">
        <is>
          <t>Neuropathy?</t>
        </is>
      </c>
      <c r="C10408" t="inlineStr">
        <is>
          <t>Hello. Wanted to hear opinions if this is neuropathy because it seems odd to me.
I get this tingling sensation in the outside of my upper right leg quite regularly. Usually in bed when laying in certain positions for some time, but also sometimes when standing for longer periods of time. It‘s always exactly the same spot and the same feeling.
So can neuropathy start in the upper leg or does it usually start elsewhere?</t>
        </is>
      </c>
      <c r="D10408" t="n">
        <v>1</v>
      </c>
      <c r="E10408" t="n">
        <v>3</v>
      </c>
      <c r="F10408">
        <f>HYPERLINK("https://www.reddit.com/r/diabetes/comments/i70km5/neuropathy/")</f>
        <v/>
      </c>
      <c r="G10408" t="inlineStr">
        <is>
          <t>2020-08-10 00:46:38</t>
        </is>
      </c>
      <c r="H10408" t="inlineStr">
        <is>
          <t>Type 1</t>
        </is>
      </c>
    </row>
    <row r="10409">
      <c r="A10409" t="inlineStr">
        <is>
          <t>i70tjb</t>
        </is>
      </c>
      <c r="B10409" t="inlineStr">
        <is>
          <t>Diabetes Tattoo</t>
        </is>
      </c>
      <c r="C10409" t="inlineStr">
        <is>
          <t>Hello everyone!
I have type 1 diabetes and I am from Hungary.
I would like to go to the UK and I was curious that
what if I got a tattoo that shows I have diabetes. (if anything goes wrong).
Any of you out there who has this type of tattoo:
Do you recommend it? Did you regret it? Did it help?
Thanks a lot if you help me. 
Have a great day!</t>
        </is>
      </c>
      <c r="D10409" t="n">
        <v>1</v>
      </c>
      <c r="E10409" t="n">
        <v>15</v>
      </c>
      <c r="F10409">
        <f>HYPERLINK("https://www.reddit.com/r/diabetes/comments/i70tjb/diabetes_tattoo/")</f>
        <v/>
      </c>
      <c r="G10409" t="inlineStr">
        <is>
          <t>2020-08-10 01:09:13</t>
        </is>
      </c>
      <c r="H10409" t="inlineStr">
        <is>
          <t>Type 1</t>
        </is>
      </c>
    </row>
    <row r="10410">
      <c r="A10410" t="inlineStr">
        <is>
          <t>i76a30</t>
        </is>
      </c>
      <c r="B10410" t="inlineStr">
        <is>
          <t>Does weight loss always help?</t>
        </is>
      </c>
      <c r="C10410" t="inlineStr">
        <is>
          <t>So I've lost like 30 lbs since my diagnosis of type 2, and it's done nothing for my blood sugar that I can tell. Now I'm starting to wonder if I was maybe misdiagnosed, or if type 2 isn't always improved by weight loss? Anyone else have a similar experience?</t>
        </is>
      </c>
      <c r="D10410" t="n">
        <v>1</v>
      </c>
      <c r="E10410" t="n">
        <v>7</v>
      </c>
      <c r="F10410">
        <f>HYPERLINK("https://www.reddit.com/r/diabetes/comments/i76a30/does_weight_loss_always_help/")</f>
        <v/>
      </c>
      <c r="G10410" t="inlineStr">
        <is>
          <t>2020-08-10 07:53:56</t>
        </is>
      </c>
      <c r="H10410" t="inlineStr">
        <is>
          <t>Type 2</t>
        </is>
      </c>
    </row>
    <row r="10411">
      <c r="A10411" t="inlineStr">
        <is>
          <t>i7768y</t>
        </is>
      </c>
      <c r="B10411" t="inlineStr">
        <is>
          <t>Yeast help please.</t>
        </is>
      </c>
      <c r="C10411" t="inlineStr">
        <is>
          <t>Long story short I found out I had diabetes through a yeast infection from hell that wouldn’t go away. I found out about 2-3 months ago. No matter what I do I still keep getting these yeast infections. So painful and itchy and uncomfortable. I take my meds accordingly and made diet changes. I’m currently only on Metformin. Idk what else to do. Did anyone else have this problem and did it ease up?</t>
        </is>
      </c>
      <c r="D10411" t="n">
        <v>1</v>
      </c>
      <c r="E10411" t="n">
        <v>17</v>
      </c>
      <c r="F10411">
        <f>HYPERLINK("https://www.reddit.com/r/diabetes/comments/i7768y/yeast_help_please/")</f>
        <v/>
      </c>
      <c r="G10411" t="inlineStr">
        <is>
          <t>2020-08-10 08:40:55</t>
        </is>
      </c>
      <c r="H10411" t="inlineStr">
        <is>
          <t>Type 1.5/LADA</t>
        </is>
      </c>
    </row>
    <row r="10412">
      <c r="A10412" t="inlineStr">
        <is>
          <t>i796lx</t>
        </is>
      </c>
      <c r="B10412" t="inlineStr">
        <is>
          <t>How many months of supplies do you have at home? What is your minimum?</t>
        </is>
      </c>
      <c r="C10412" t="inlineStr">
        <is>
          <t>I usually have 2 or 3 boxes of everything, but I'm suddenly thinking that's not enough.</t>
        </is>
      </c>
      <c r="D10412" t="n">
        <v>1</v>
      </c>
      <c r="E10412" t="n">
        <v>48</v>
      </c>
      <c r="F10412">
        <f>HYPERLINK("https://www.reddit.com/r/diabetes/comments/i796lx/how_many_months_of_supplies_do_you_have_at_home/")</f>
        <v/>
      </c>
      <c r="G10412" t="inlineStr">
        <is>
          <t>2020-08-10 10:24:15</t>
        </is>
      </c>
      <c r="H10412" t="inlineStr">
        <is>
          <t>Type 1</t>
        </is>
      </c>
    </row>
    <row r="10413">
      <c r="A10413" t="inlineStr">
        <is>
          <t>i79apy</t>
        </is>
      </c>
      <c r="B10413" t="inlineStr">
        <is>
          <t>Testing too much?</t>
        </is>
      </c>
      <c r="C10413" t="inlineStr">
        <is>
          <t>My diabetes isn't well controlled at the moment. I've been testing my fasting levels, sometimes before a meal to guide my carb intake, 2 hours after meals. Bedtime,  and then twice at night to test for dawn phenomenon or Somagyi effect. I also test if I feel high or low. Is that too much? How often do you test? My first doctor told me not to test and my second said just to test fasting or if I feel low.</t>
        </is>
      </c>
      <c r="D10413" t="n">
        <v>1</v>
      </c>
      <c r="E10413" t="n">
        <v>0</v>
      </c>
      <c r="F10413">
        <f>HYPERLINK("https://www.reddit.com/r/diabetes/comments/i79apy/testing_too_much/")</f>
        <v/>
      </c>
      <c r="G10413" t="inlineStr">
        <is>
          <t>2020-08-10 10:29:59</t>
        </is>
      </c>
      <c r="H10413" t="inlineStr">
        <is>
          <t>Type 2</t>
        </is>
      </c>
    </row>
    <row r="10414">
      <c r="A10414" t="inlineStr">
        <is>
          <t>i79aq0</t>
        </is>
      </c>
      <c r="B10414" t="inlineStr">
        <is>
          <t>Testing too much?</t>
        </is>
      </c>
      <c r="C10414" t="inlineStr">
        <is>
          <t>My diabetes isn't well controlled at the moment. I've been testing my fasting levels, sometimes before a meal to guide my carb intake, 2 hours after meals. Bedtime,  and then twice at night to test for dawn phenomenon or Somagyi effect. I also test if I feel high or low. Is that too much? How often do you test? My first doctor told me not to test and my second said just to test fasting or if I feel low.</t>
        </is>
      </c>
      <c r="D10414" t="n">
        <v>1</v>
      </c>
      <c r="E10414" t="n">
        <v>9</v>
      </c>
      <c r="F10414">
        <f>HYPERLINK("https://www.reddit.com/r/diabetes/comments/i79aq0/testing_too_much/")</f>
        <v/>
      </c>
      <c r="G10414" t="inlineStr">
        <is>
          <t>2020-08-10 10:29:59</t>
        </is>
      </c>
      <c r="H10414" t="inlineStr">
        <is>
          <t>Type 2</t>
        </is>
      </c>
    </row>
    <row r="10415">
      <c r="A10415" t="inlineStr">
        <is>
          <t>i7cnc1</t>
        </is>
      </c>
      <c r="B10415" t="inlineStr">
        <is>
          <t>Has anyone been advised to get a MMR vaccine?</t>
        </is>
      </c>
      <c r="C10415" t="inlineStr">
        <is>
          <t>Asking if anyone’s endo has recommended getting a MMR vaccine even if they are previously vaccinated? The recommendations are based on research that has shown it can prevent against the worst COVID symptoms.</t>
        </is>
      </c>
      <c r="D10415" t="n">
        <v>1</v>
      </c>
      <c r="E10415" t="n">
        <v>3</v>
      </c>
      <c r="F10415">
        <f>HYPERLINK("https://www.reddit.com/r/diabetes/comments/i7cnc1/has_anyone_been_advised_to_get_a_mmr_vaccine/")</f>
        <v/>
      </c>
      <c r="G10415" t="inlineStr">
        <is>
          <t>2020-08-10 13:16:47</t>
        </is>
      </c>
      <c r="H10415" t="inlineStr">
        <is>
          <t>Type 1.5/LADA</t>
        </is>
      </c>
    </row>
    <row r="10416">
      <c r="A10416" t="inlineStr">
        <is>
          <t>i7ffpi</t>
        </is>
      </c>
      <c r="B10416" t="inlineStr">
        <is>
          <t>What happens when I drink</t>
        </is>
      </c>
      <c r="C10416" t="inlineStr">
        <is>
          <t>I just wanna know for when I’m older</t>
        </is>
      </c>
      <c r="D10416" t="n">
        <v>1</v>
      </c>
      <c r="E10416" t="n">
        <v>7</v>
      </c>
      <c r="F10416">
        <f>HYPERLINK("https://www.reddit.com/r/diabetes/comments/i7ffpi/what_happens_when_i_drink/")</f>
        <v/>
      </c>
      <c r="G10416" t="inlineStr">
        <is>
          <t>2020-08-10 15:38:41</t>
        </is>
      </c>
      <c r="H10416" t="inlineStr">
        <is>
          <t>Type 1</t>
        </is>
      </c>
    </row>
    <row r="10417">
      <c r="A10417" t="inlineStr">
        <is>
          <t>i7h8ty</t>
        </is>
      </c>
      <c r="B10417" t="inlineStr">
        <is>
          <t>What is the best place (online) to buy A1C test kits ?</t>
        </is>
      </c>
      <c r="C10417" t="inlineStr">
        <is>
          <t>For those that self-monitor their own A1C at home, where do you buy your test kits ?  How much (on average) do you pay ?
I've purchased test kits from Walgreens and CVS before, but the over-the-counter price at the store seems a little pricey.   Recently, I purchased a box of four A1C test kits for $53 on Amazon - under the brand name "A1C Now," but my doctor told me to avoid using the test kits from this company, because his office used to use the same test kits, but no longer uses them, because they (allegedly) give false readings - inaccurate results.</t>
        </is>
      </c>
      <c r="D10417" t="n">
        <v>1</v>
      </c>
      <c r="E10417" t="n">
        <v>0</v>
      </c>
      <c r="F10417">
        <f>HYPERLINK("https://www.reddit.com/r/diabetes/comments/i7h8ty/what_is_the_best_place_online_to_buy_a1c_test_kits/")</f>
        <v/>
      </c>
      <c r="G10417" t="inlineStr">
        <is>
          <t>2020-08-10 17:21:45</t>
        </is>
      </c>
      <c r="H10417" t="inlineStr">
        <is>
          <t>Type 2</t>
        </is>
      </c>
    </row>
    <row r="10418">
      <c r="A10418" t="inlineStr">
        <is>
          <t>i7m4i4</t>
        </is>
      </c>
      <c r="B10418" t="inlineStr">
        <is>
          <t>CGM and Mental Health, a 5-minute Survey - Last Day</t>
        </is>
      </c>
      <c r="C10418" t="inlineStr">
        <is>
          <t>Hello everyone,
&amp;amp;nbsp;
I am making one final push to request participation in the revised CGM and Mental Health in Type 1 Diabetics survey, posted [HERE](https://www.reddit.com/r/diabetes/comments/i4ctxs/6minute_revised_survey_cgm_technology_and_mental/)
&amp;amp;nbsp;
The survey is closing tomorrow at noon, and if you have not already seen it floating past in your feed, please consider taking the time to participate. I appreciate all answers, and will be sharing the (anonymous) results with this sub for the curious.
&amp;amp;nbsp;
If you HAVE completed the survey, thank you. I appreciate you. 
&amp;amp;nbsp;
A NOTE: question 16 was poorly worded, and will be scratched from consideration. It was intended to ask if you have physically thrown the CGM aside in frustration (into a bag or across a table), not thrown with the intent to smash it :)
&amp;amp;nbsp;
Thanks All,</t>
        </is>
      </c>
      <c r="D10418" t="n">
        <v>1</v>
      </c>
      <c r="E10418" t="n">
        <v>3</v>
      </c>
      <c r="F10418">
        <f>HYPERLINK("https://www.reddit.com/r/diabetes/comments/i7m4i4/cgm_and_mental_health_a_5minute_survey_last_day/")</f>
        <v/>
      </c>
      <c r="G10418" t="inlineStr">
        <is>
          <t>2020-08-10 22:44:14</t>
        </is>
      </c>
      <c r="H10418" t="inlineStr">
        <is>
          <t>Type 1</t>
        </is>
      </c>
    </row>
    <row r="10419">
      <c r="A10419" t="inlineStr">
        <is>
          <t>i7m5mx</t>
        </is>
      </c>
      <c r="B10419" t="inlineStr">
        <is>
          <t>The strips market</t>
        </is>
      </c>
      <c r="C10419" t="inlineStr">
        <is>
          <t>I used to buy strips 300 at a time. As an unmedicated T2, each order would last me quite a while. I used to see great 3rd party deals on Amazon all the time; the elephant in the room was the yellow Medicare label on the product... Now I'm up for a restocking and Amazon is bare. The best online options are 2x the price a year ago. Why does the market for strips not resemble any free market?</t>
        </is>
      </c>
      <c r="D10419" t="n">
        <v>1</v>
      </c>
      <c r="E10419" t="n">
        <v>7</v>
      </c>
      <c r="F10419">
        <f>HYPERLINK("https://www.reddit.com/r/diabetes/comments/i7m5mx/the_strips_market/")</f>
        <v/>
      </c>
      <c r="G10419" t="inlineStr">
        <is>
          <t>2020-08-10 22:46:52</t>
        </is>
      </c>
      <c r="H10419" t="inlineStr">
        <is>
          <t>Type 2</t>
        </is>
      </c>
    </row>
    <row r="10420">
      <c r="A10420" t="inlineStr">
        <is>
          <t>i7uhw5</t>
        </is>
      </c>
      <c r="B10420" t="inlineStr">
        <is>
          <t>Invokana -&amp;gt; Jardiance -&amp;gt; Farxiga</t>
        </is>
      </c>
      <c r="C10420" t="inlineStr">
        <is>
          <t>Been taking Invokana for years, zero issue. Insurance no longer covers and told me to move to Jardiance or Farxiga. Dr. did the PA for Jardiance since it was required to be the next med before being able to move to Farxiga.
Due to some BS with insurance, all of a sudden I have to meet a deductible before I get a co-pay (35.00) on Jaridance (had a 35.00 on Invokana for years) -- anyhow, doctor gave me about 4 months worth of Farxiga samples to use in the meantime, and I've already filled one RX of Jardiance (though I still have 40 days or so of Invokana I'm finishing off first).
Is it best to finish my Invokana and then start using the Farxiga (versus using the 1 month of Jardiance since I likely won't fill it again this year), or use the Jardiance I have, then move to the Farxiga?
Also, anyone who's moved between these (1 or 2) drugs and had any negative effects? Thankfully I've had great success with Invokana and great numbers so I'm hopeful the switch won't go and mess things up.
Thanks.</t>
        </is>
      </c>
      <c r="D10420" t="n">
        <v>1</v>
      </c>
      <c r="E10420" t="n">
        <v>0</v>
      </c>
      <c r="F10420">
        <f>HYPERLINK("https://www.reddit.com/r/diabetes/comments/i7uhw5/invokana_jardiance_farxiga/")</f>
        <v/>
      </c>
      <c r="G10420" t="inlineStr">
        <is>
          <t>2020-08-11 09:08:42</t>
        </is>
      </c>
      <c r="H10420" t="inlineStr">
        <is>
          <t>Type 2</t>
        </is>
      </c>
    </row>
    <row r="10421">
      <c r="A10421" t="inlineStr">
        <is>
          <t>i7v0hr</t>
        </is>
      </c>
      <c r="B10421" t="inlineStr">
        <is>
          <t>Question don’t know if anyone can help</t>
        </is>
      </c>
      <c r="C10421" t="inlineStr">
        <is>
          <t>I take 45 u of novolin n every morning and try to eat low carb breakfast such as birch benders waffle mix and such and a lot of the time I deal with a nervous feeling around the 90 range should I be eating a higher carb breakfast for the insulin peak time? Any recommendations</t>
        </is>
      </c>
      <c r="D10421" t="n">
        <v>1</v>
      </c>
      <c r="E10421" t="n">
        <v>4</v>
      </c>
      <c r="F10421">
        <f>HYPERLINK("https://www.reddit.com/r/diabetes/comments/i7v0hr/question_dont_know_if_anyone_can_help/")</f>
        <v/>
      </c>
      <c r="G10421" t="inlineStr">
        <is>
          <t>2020-08-11 09:36:16</t>
        </is>
      </c>
      <c r="H10421" t="inlineStr">
        <is>
          <t>Type 2</t>
        </is>
      </c>
    </row>
    <row r="10422">
      <c r="A10422" t="inlineStr">
        <is>
          <t>i7vdfc</t>
        </is>
      </c>
      <c r="B10422" t="inlineStr">
        <is>
          <t>Having an MRI—what to do with my sensor?</t>
        </is>
      </c>
      <c r="C10422" t="inlineStr">
        <is>
          <t>I should have asked my endo this already but she’s out of the office today. I’m having a brain MRI and already know I have to remove my pump since I use an infusion set with metal in it (plus, also, the pump) and my Libre, but can my pump sensor stay on? I use the Medtronic 670G with the Guardian sensor and have heard conflicting things. I think I can leave the sensor on but remove the transmitter—is that correct?</t>
        </is>
      </c>
      <c r="D10422" t="n">
        <v>1</v>
      </c>
      <c r="E10422" t="n">
        <v>2</v>
      </c>
      <c r="F10422">
        <f>HYPERLINK("https://www.reddit.com/r/diabetes/comments/i7vdfc/having_an_mriwhat_to_do_with_my_sensor/")</f>
        <v/>
      </c>
      <c r="G10422" t="inlineStr">
        <is>
          <t>2020-08-11 09:55:29</t>
        </is>
      </c>
      <c r="H10422" t="inlineStr">
        <is>
          <t>Type 1</t>
        </is>
      </c>
    </row>
    <row r="10423">
      <c r="A10423" t="inlineStr">
        <is>
          <t>i7w6uz</t>
        </is>
      </c>
      <c r="B10423" t="inlineStr">
        <is>
          <t>Catalina Crunch Oreos</t>
        </is>
      </c>
      <c r="C10423" t="inlineStr">
        <is>
          <t>Has anyone tried these and then tested their blood sugar?  Just wondering what effect they would have.</t>
        </is>
      </c>
      <c r="D10423" t="n">
        <v>1</v>
      </c>
      <c r="E10423" t="n">
        <v>6</v>
      </c>
      <c r="F10423">
        <f>HYPERLINK("https://www.reddit.com/r/diabetes/comments/i7w6uz/catalina_crunch_oreos/")</f>
        <v/>
      </c>
      <c r="G10423" t="inlineStr">
        <is>
          <t>2020-08-11 10:38:20</t>
        </is>
      </c>
      <c r="H10423" t="inlineStr">
        <is>
          <t>Type 2</t>
        </is>
      </c>
    </row>
    <row r="10424">
      <c r="A10424" t="inlineStr">
        <is>
          <t>i84pk1</t>
        </is>
      </c>
      <c r="B10424" t="inlineStr">
        <is>
          <t>So much frustration lately</t>
        </is>
      </c>
      <c r="C10424" t="inlineStr">
        <is>
          <t>Recently had my best A1C after 12 years of type 1 and the last month I've had problem after problem with my Omnipods that has been driving me insane. First my PDM kept crashing in the middle of the night and would stop delivery of insulin, then I decided to start working out/riding dirt bikes again and my pods constantly fall off, caught my dexcom on a machine at work on Friday and ripped clean off, and then today the canula was apparently not strong enough to break through my scar tissue so I went through 2 pods in matter of seconds. 
Really close to switching off the pod but tubes scare me with how active I am and my work has ample opportunity to catch tubes.</t>
        </is>
      </c>
      <c r="D10424" t="n">
        <v>1</v>
      </c>
      <c r="E10424" t="n">
        <v>0</v>
      </c>
      <c r="F10424">
        <f>HYPERLINK("https://www.reddit.com/r/diabetes/comments/i84pk1/so_much_frustration_lately/")</f>
        <v/>
      </c>
      <c r="G10424" t="inlineStr">
        <is>
          <t>2020-08-11 18:36:18</t>
        </is>
      </c>
      <c r="H10424" t="inlineStr">
        <is>
          <t>Type 1</t>
        </is>
      </c>
    </row>
    <row r="10425">
      <c r="A10425" t="inlineStr">
        <is>
          <t>i8719f</t>
        </is>
      </c>
      <c r="B10425" t="inlineStr">
        <is>
          <t>Dry mouth, frequent urination (clear), a bit of light headedness, blood sugar all over the place -- possible ketones?</t>
        </is>
      </c>
      <c r="C10425" t="inlineStr">
        <is>
          <t>I've been experiencing the aforementioned symptoms, and threw up a tiny tiny bit in my mouth but it was as I was trying to force urine out because I felt like I had to pee so I think that's unrelated. I don't have my meter to test for ketones on me and I've also been experiencing congestion and sensitive sinuses so maybe it's that instead?</t>
        </is>
      </c>
      <c r="D10425" t="n">
        <v>1</v>
      </c>
      <c r="E10425" t="n">
        <v>5</v>
      </c>
      <c r="F10425">
        <f>HYPERLINK("https://www.reddit.com/r/diabetes/comments/i8719f/dry_mouth_frequent_urination_clear_a_bit_of_light/")</f>
        <v/>
      </c>
      <c r="G10425" t="inlineStr">
        <is>
          <t>2020-08-11 21:13:39</t>
        </is>
      </c>
      <c r="H10425" t="inlineStr">
        <is>
          <t>Type 1</t>
        </is>
      </c>
    </row>
    <row r="10426">
      <c r="A10426" t="inlineStr">
        <is>
          <t>i87xkk</t>
        </is>
      </c>
      <c r="B10426" t="inlineStr">
        <is>
          <t>A1C down by more than 1 point in 3 months to 6.4!</t>
        </is>
      </c>
      <c r="C10426" t="inlineStr">
        <is>
          <t>Today was the first time I’ve ever been excited to hear my A1C when visiting my Endo. I started using the dexcom and made some other changes after my last visit around three months when I was at 7.8. Today for the first time in 8? Years my A1C was under a 7 and I just felt like I wanted to celebrate somewhere where people would understand and share that joy!!!</t>
        </is>
      </c>
      <c r="D10426" t="n">
        <v>1</v>
      </c>
      <c r="E10426" t="n">
        <v>5</v>
      </c>
      <c r="F10426">
        <f>HYPERLINK("https://www.reddit.com/r/diabetes/comments/i87xkk/a1c_down_by_more_than_1_point_in_3_months_to_64/")</f>
        <v/>
      </c>
      <c r="G10426" t="inlineStr">
        <is>
          <t>2020-08-11 22:22:38</t>
        </is>
      </c>
      <c r="H10426" t="inlineStr">
        <is>
          <t>Type 1</t>
        </is>
      </c>
    </row>
    <row r="10427">
      <c r="A10427" t="inlineStr">
        <is>
          <t>i88ci2</t>
        </is>
      </c>
      <c r="B10427" t="inlineStr">
        <is>
          <t>Most insulin you've taken</t>
        </is>
      </c>
      <c r="C10427" t="inlineStr">
        <is>
          <t>What's the most insulin you've taken before a meal? And what the meal you took it with?
I once took 15 units of Humalog for baked Mac &amp;amp; Cheese with hot cheetos on top. 
First and last time haha</t>
        </is>
      </c>
      <c r="D10427" t="n">
        <v>1</v>
      </c>
      <c r="E10427" t="n">
        <v>14</v>
      </c>
      <c r="F10427">
        <f>HYPERLINK("https://www.reddit.com/r/diabetes/comments/i88ci2/most_insulin_youve_taken/")</f>
        <v/>
      </c>
      <c r="G10427" t="inlineStr">
        <is>
          <t>2020-08-11 22:56:53</t>
        </is>
      </c>
      <c r="H10427" t="inlineStr">
        <is>
          <t>Type 1</t>
        </is>
      </c>
    </row>
    <row r="10428">
      <c r="A10428" t="inlineStr">
        <is>
          <t>i88sfn</t>
        </is>
      </c>
      <c r="B10428" t="inlineStr">
        <is>
          <t>Wisdom teeth removal type 1</t>
        </is>
      </c>
      <c r="C10428" t="inlineStr">
        <is>
          <t>I need to get my wisdom teeth removed and I'm really scared. Do they monitor my blood sugar while I'm under? I'm afraid my blood sugar will go low and I will die in my sleep.</t>
        </is>
      </c>
      <c r="D10428" t="n">
        <v>1</v>
      </c>
      <c r="E10428" t="n">
        <v>6</v>
      </c>
      <c r="F10428">
        <f>HYPERLINK("https://www.reddit.com/r/diabetes/comments/i88sfn/wisdom_teeth_removal_type_1/")</f>
        <v/>
      </c>
      <c r="G10428" t="inlineStr">
        <is>
          <t>2020-08-11 23:33:42</t>
        </is>
      </c>
      <c r="H10428" t="inlineStr">
        <is>
          <t>Type 1</t>
        </is>
      </c>
    </row>
    <row r="10429">
      <c r="A10429" t="inlineStr">
        <is>
          <t>i8d202</t>
        </is>
      </c>
      <c r="B10429" t="inlineStr">
        <is>
          <t>Do you guys feel adventurous sometimes in trying to wish to live your life to the fullest because diabetes is a chronic disease?</t>
        </is>
      </c>
      <c r="C10429" t="inlineStr">
        <is>
          <t>I want to bike around as many places especially long distances. I desperately feel that I want to do long distances and leave everything that I’m trying to achieve right now. Health and mood are generally okay but the fact that diabetes is a fucking disaster and we all live short lives I feel I should give up on all my savings and leave. And along the way do some jobs to get by.</t>
        </is>
      </c>
      <c r="D10429" t="n">
        <v>1</v>
      </c>
      <c r="E10429" t="n">
        <v>16</v>
      </c>
      <c r="F10429">
        <f>HYPERLINK("https://www.reddit.com/r/diabetes/comments/i8d202/do_you_guys_feel_adventurous_sometimes_in_trying/")</f>
        <v/>
      </c>
      <c r="G10429" t="inlineStr">
        <is>
          <t>2020-08-12 05:43:24</t>
        </is>
      </c>
      <c r="H10429" t="inlineStr">
        <is>
          <t>Type 2</t>
        </is>
      </c>
    </row>
    <row r="10430">
      <c r="A10430" t="inlineStr">
        <is>
          <t>i8ehgt</t>
        </is>
      </c>
      <c r="B10430" t="inlineStr">
        <is>
          <t>You Can Beat Diabetes</t>
        </is>
      </c>
      <c r="C10430" t="inlineStr">
        <is>
          <t>In 2013 my vision went COMPLETELY  blurred. My optometrist did tests and told me to go to my doctor that day as he could tell I had diabetes. At the doctor, my glucose was 579 and bp was 180/110. Doctor loaded me down with armfuls of pills, insulin, and machines; and advised me to go directly to the hospital because I was likely to have a heart attack or slip onto a coma. I asked her how I could stop this from happening and she patted my back, chuckled, and said, "Honey, patients don't get off bp pills or stop Diabetes. This is your life now." I was furious as I left. I'd learned about Dr. John McDougall when my father had major heart disease.  So instead of the hospital I went home and studied about Diabetes and read [Dr. John McDougall](https://www.drmcdougall.com). Immediately went on his diet while I began walking to Leslie Sansone (she's on YouTube). Within 3 weeks of his diet and her walking, I weaned myself off all the pills and insulin. And my vision came back to normal as well. I lost 30 pounds and my life changed drastically for the good.  Seven years later, I'm still off all meds and am healthy. You can do it too.  Dr. John McDougall and Leslie Sansone were and still are my gurus of good health.</t>
        </is>
      </c>
      <c r="D10430" t="n">
        <v>1</v>
      </c>
      <c r="E10430" t="n">
        <v>0</v>
      </c>
      <c r="F10430">
        <f>HYPERLINK("https://www.reddit.com/r/diabetes/comments/i8ehgt/you_can_beat_diabetes/")</f>
        <v/>
      </c>
      <c r="G10430" t="inlineStr">
        <is>
          <t>2020-08-12 07:14:26</t>
        </is>
      </c>
      <c r="H10430" t="inlineStr">
        <is>
          <t>Type 2</t>
        </is>
      </c>
    </row>
    <row r="10431">
      <c r="A10431" t="inlineStr">
        <is>
          <t>i8er8x</t>
        </is>
      </c>
      <c r="B10431" t="inlineStr">
        <is>
          <t>My Girlfriend just got diagnosed with T1.</t>
        </is>
      </c>
      <c r="C10431" t="inlineStr">
        <is>
          <t>Last few days I've been in complete anguish. My girlfriend(29F) and the person I want to spend the rest of my life with got admitted to hospital with quite a high sugar level. Came out of the blue: one second everything conceivable is right with the world, next she's complaining about some pains in her stomach and is laying in the hospital on insulin. Over the next few days, doctors are pretty clear that it's diabetes T1. Caused by a pancreas inflammation of which the cause remains unknown. I have barely slept, eaten or done anything else since that Friday but think of just all the ways this messes up things for her and us. I've bawled my eyes out more times than I can remember. I break down randomly in public because of how bad I imagine she feels about the whole thing. When I'm with her, I do my best to be comforting, to be hopeful that it's a temporary situation as a result of the inflammation but everyone involved knows that that's less likely than the alternative. We all only dare not say it.  
Everyone of us is in shock: herself, myself, friends and family. Last week, our biggest worry was whether we'll be able to travel around before the end of summer; the beach and stuff. She likes that. I cannot believe how much happened in only 3 days. We'll probably still go on some trip - closer, shorter. It just won't be the same though. She's not the same person as before. I've certainly grown immensely the past few days.  
**
Does this ever get easier? Does it ever get less heavy? Is she ever going to be able to smile again without me wondering if that's just a smile to keep me from worrying or if it's one of genuine happiness. Does everyone ever stop taking pity on her the moment they see her with all the stuff she has to carry around just to surive a single day? This one hurts so bad because I know how much she dislikes people taking pity on her. Will she ever really feel like the average person again? Will she ever stop being angry and on the brink of tears every time we talk? Of course there's me too. She's the most amazing person I've ever met but am I up to the task? Am i (hu)man enough to take an episode when things don't go too well? Can I rescucitate a person falling into a coma and ever be the same again? What if she dies in my hands because I was a bit too slow getting her insulin fix? How do I ever look myself in the mirror after that? In short, is this relationship still for me? God knows I love this woman and she's always been there for me but there's just certain hurdles I'm not sure I can surmount.**
For now all I can do is take more antidepressants to ease the pain, try to sleep. Tomorrow we have an appointment with one of the many specialists she'll be seeing often now. We'll know more then. God, I've never felt half as bad as I do now. I'm in so much pain and yet, sadly, she's in even more. And that annihilates me.</t>
        </is>
      </c>
      <c r="D10431" t="n">
        <v>1</v>
      </c>
      <c r="E10431" t="n">
        <v>26</v>
      </c>
      <c r="F10431">
        <f>HYPERLINK("https://www.reddit.com/r/diabetes/comments/i8er8x/my_girlfriend_just_got_diagnosed_with_t1/")</f>
        <v/>
      </c>
      <c r="G10431" t="inlineStr">
        <is>
          <t>2020-08-12 07:31:02</t>
        </is>
      </c>
      <c r="H10431" t="inlineStr">
        <is>
          <t>Type 1</t>
        </is>
      </c>
    </row>
    <row r="10432">
      <c r="A10432" t="inlineStr">
        <is>
          <t>i8fwfe</t>
        </is>
      </c>
      <c r="B10432" t="inlineStr">
        <is>
          <t>Got my first A1C done since December yesterday and it was a 5.8</t>
        </is>
      </c>
      <c r="C10432" t="inlineStr">
        <is>
          <t>My last A1C was a 6.5 but I only had my t-slim x2 with basal iq at the time. Control IQ has made such a massive difference and I’m really glad with the results.</t>
        </is>
      </c>
      <c r="D10432" t="n">
        <v>1</v>
      </c>
      <c r="E10432" t="n">
        <v>2</v>
      </c>
      <c r="F10432">
        <f>HYPERLINK("https://www.reddit.com/r/diabetes/comments/i8fwfe/got_my_first_a1c_done_since_december_yesterday/")</f>
        <v/>
      </c>
      <c r="G10432" t="inlineStr">
        <is>
          <t>2020-08-12 08:35:49</t>
        </is>
      </c>
      <c r="H10432" t="inlineStr">
        <is>
          <t>Type 1</t>
        </is>
      </c>
    </row>
    <row r="10433">
      <c r="A10433" t="inlineStr">
        <is>
          <t>i8isi4</t>
        </is>
      </c>
      <c r="B10433" t="inlineStr">
        <is>
          <t>Recently taken off trulicity missed a couple doses of metformin blood sugar spiked</t>
        </is>
      </c>
      <c r="C10433" t="inlineStr">
        <is>
          <t>So I've been in kind of a celebratory mood this week, I went from an a1c of 9 to a 5.3 in three months was taken off of trulicity and decided I would have a celebration. ordered a pizza ate a little over half of it, and had some brewskis, something I hadn't done in three months. checked my blood sugar before I  went to bed was a 97 pretty normal wake up and have diarrhea, I guess because my body isn't used to alcohol or pizza and blood sugar is 137  fasting it hasn't been that high in 2 months. Has this happened to anyone else. I have one cheat day after three months of dieting and losing 30 pounds and I feel like I fucked it all up.</t>
        </is>
      </c>
      <c r="D10433" t="n">
        <v>1</v>
      </c>
      <c r="E10433" t="n">
        <v>7</v>
      </c>
      <c r="F10433">
        <f>HYPERLINK("https://www.reddit.com/r/diabetes/comments/i8isi4/recently_taken_off_trulicity_missed_a_couple/")</f>
        <v/>
      </c>
      <c r="G10433" t="inlineStr">
        <is>
          <t>2020-08-12 11:08:06</t>
        </is>
      </c>
      <c r="H10433" t="inlineStr">
        <is>
          <t>Type 2</t>
        </is>
      </c>
    </row>
    <row r="10434">
      <c r="A10434" t="inlineStr">
        <is>
          <t>i8jdl6</t>
        </is>
      </c>
      <c r="B10434" t="inlineStr">
        <is>
          <t>Pump issues</t>
        </is>
      </c>
      <c r="C10434" t="inlineStr">
        <is>
          <t>Hello. I'm pretty fresh with pump and i'm having lot of problems with cannulas. It happens to me a lot to see cannula twisted and that's why i'm very high kinda often. Can i get some tips from experienced pumpers? I know there are steel cannulas but i wanna know if this can be changed and then think about switch to steel.</t>
        </is>
      </c>
      <c r="D10434" t="n">
        <v>1</v>
      </c>
      <c r="E10434" t="n">
        <v>16</v>
      </c>
      <c r="F10434">
        <f>HYPERLINK("https://www.reddit.com/r/diabetes/comments/i8jdl6/pump_issues/")</f>
        <v/>
      </c>
      <c r="G10434" t="inlineStr">
        <is>
          <t>2020-08-12 11:38:42</t>
        </is>
      </c>
      <c r="H10434" t="inlineStr">
        <is>
          <t>Type 1</t>
        </is>
      </c>
    </row>
    <row r="10435">
      <c r="A10435" t="inlineStr">
        <is>
          <t>i8k48r</t>
        </is>
      </c>
      <c r="B10435" t="inlineStr">
        <is>
          <t>insomnia</t>
        </is>
      </c>
      <c r="C10435" t="inlineStr">
        <is>
          <t>Hi guys i just wanted to ask , does anybody have insomnia, i been type 1 for 24 years and i have insomnia   most my life, i feel type 1 diabetes prevents me from sleeping properly, worries of low blood suger and waking up because of low blood sugar i find it so hard to have peaceful sleep, type 1 is so hard, i don't know anybody who has it , would be great to chat to you guys.</t>
        </is>
      </c>
      <c r="D10435" t="n">
        <v>1</v>
      </c>
      <c r="E10435" t="n">
        <v>3</v>
      </c>
      <c r="F10435">
        <f>HYPERLINK("https://www.reddit.com/r/diabetes/comments/i8k48r/insomnia/")</f>
        <v/>
      </c>
      <c r="G10435" t="inlineStr">
        <is>
          <t>2020-08-12 12:15:48</t>
        </is>
      </c>
      <c r="H10435" t="inlineStr">
        <is>
          <t>Type 1</t>
        </is>
      </c>
    </row>
    <row r="10436">
      <c r="A10436" t="inlineStr">
        <is>
          <t>i8ktvh</t>
        </is>
      </c>
      <c r="B10436" t="inlineStr">
        <is>
          <t>670G question CALIBRATE</t>
        </is>
      </c>
      <c r="C10436" t="inlineStr">
        <is>
          <t>Hey all! I am new to this thread. What happens if I accidentally calibrate too soon? Will this mess up my readings? I just started Auto Mode 3 days ago. THank you!!</t>
        </is>
      </c>
      <c r="D10436" t="n">
        <v>1</v>
      </c>
      <c r="E10436" t="n">
        <v>4</v>
      </c>
      <c r="F10436">
        <f>HYPERLINK("https://www.reddit.com/r/diabetes/comments/i8ktvh/670g_question_calibrate/")</f>
        <v/>
      </c>
      <c r="G10436" t="inlineStr">
        <is>
          <t>2020-08-12 12:52:58</t>
        </is>
      </c>
      <c r="H10436" t="inlineStr">
        <is>
          <t>Type 1</t>
        </is>
      </c>
    </row>
    <row r="10437">
      <c r="A10437" t="inlineStr">
        <is>
          <t>i8n27w</t>
        </is>
      </c>
      <c r="B10437" t="inlineStr">
        <is>
          <t>Not to use basal insulin?</t>
        </is>
      </c>
      <c r="C10437" t="inlineStr">
        <is>
          <t>Hey everyone, is there anyone don't use basal insulin? About a year ago i saw some blogs and started to not using basal. When i go to my doctor for control, i said it and he said 'you can comtrol your blood sugar, a1c is good, you can continue if you want.' I'm still not using basal insulin and my last a1c value was good. Because of pandemic i did not go to doctor but i didnt see huge bad effects. 
So is there anyone like me and do you know potential harms for not using basal?</t>
        </is>
      </c>
      <c r="D10437" t="n">
        <v>1</v>
      </c>
      <c r="E10437" t="n">
        <v>21</v>
      </c>
      <c r="F10437">
        <f>HYPERLINK("https://www.reddit.com/r/diabetes/comments/i8n27w/not_to_use_basal_insulin/")</f>
        <v/>
      </c>
      <c r="G10437" t="inlineStr">
        <is>
          <t>2020-08-12 14:49:50</t>
        </is>
      </c>
      <c r="H10437" t="inlineStr">
        <is>
          <t>Type 1</t>
        </is>
      </c>
    </row>
    <row r="10438">
      <c r="A10438" t="inlineStr">
        <is>
          <t>i8nk70</t>
        </is>
      </c>
      <c r="B10438" t="inlineStr">
        <is>
          <t>Apple Watch Recommendations</t>
        </is>
      </c>
      <c r="C10438" t="inlineStr">
        <is>
          <t>I don’t own an Apple Watch yet but am going through the Dexcom/tSlim approval process. Does the CGM work with Gen4 or do I have to spend the extra $150 on Gen5? I like traditional watches but going full cyborg may change my mind.</t>
        </is>
      </c>
      <c r="D10438" t="n">
        <v>1</v>
      </c>
      <c r="E10438" t="n">
        <v>4</v>
      </c>
      <c r="F10438">
        <f>HYPERLINK("https://www.reddit.com/r/diabetes/comments/i8nk70/apple_watch_recommendations/")</f>
        <v/>
      </c>
      <c r="G10438" t="inlineStr">
        <is>
          <t>2020-08-12 15:17:09</t>
        </is>
      </c>
      <c r="H10438" t="inlineStr">
        <is>
          <t>Type 1</t>
        </is>
      </c>
    </row>
    <row r="10439">
      <c r="A10439" t="inlineStr">
        <is>
          <t>i8pfz7</t>
        </is>
      </c>
      <c r="B10439" t="inlineStr">
        <is>
          <t>Dealing with insulin hypertrophy</t>
        </is>
      </c>
      <c r="C10439" t="inlineStr">
        <is>
          <t>After almost 30 years of diabetes I'm having trouble managing insulin hypertrophy.
I try to change injection areas but it takes so long for improvement that I'm having trouble having clear areas without creating new hypertrophies.
It doesn't help that my body fat is extremely concentrated in some areas, and having none in others (for example, it is extremely painful for me using my legs as injection sites as I have very little fat there).
So I'm thinking, would stuff like massages help? Or is there anything not much evasive I could do?
Are there people here dealing with the same?</t>
        </is>
      </c>
      <c r="D10439" t="n">
        <v>1</v>
      </c>
      <c r="E10439" t="n">
        <v>2</v>
      </c>
      <c r="F10439">
        <f>HYPERLINK("https://www.reddit.com/r/diabetes/comments/i8pfz7/dealing_with_insulin_hypertrophy/")</f>
        <v/>
      </c>
      <c r="G10439" t="inlineStr">
        <is>
          <t>2020-08-12 17:07:05</t>
        </is>
      </c>
      <c r="H10439" t="inlineStr">
        <is>
          <t>Type 1</t>
        </is>
      </c>
    </row>
    <row r="10440">
      <c r="A10440" t="inlineStr">
        <is>
          <t>i8rf2x</t>
        </is>
      </c>
      <c r="B10440" t="inlineStr">
        <is>
          <t>Anyone selling used Omnipod PDM?</t>
        </is>
      </c>
      <c r="C10440" t="inlineStr">
        <is>
          <t>Anyone here selling used Omnipod PDM. Please and thank you.</t>
        </is>
      </c>
      <c r="D10440" t="n">
        <v>1</v>
      </c>
      <c r="E10440" t="n">
        <v>2</v>
      </c>
      <c r="F10440">
        <f>HYPERLINK("https://www.reddit.com/r/diabetes/comments/i8rf2x/anyone_selling_used_omnipod_pdm/")</f>
        <v/>
      </c>
      <c r="G10440" t="inlineStr">
        <is>
          <t>2020-08-12 19:13:21</t>
        </is>
      </c>
      <c r="H10440" t="inlineStr">
        <is>
          <t>Type 1</t>
        </is>
      </c>
    </row>
    <row r="10441">
      <c r="A10441" t="inlineStr">
        <is>
          <t>i8rhee</t>
        </is>
      </c>
      <c r="B10441" t="inlineStr">
        <is>
          <t>I started to be afraid of eating</t>
        </is>
      </c>
      <c r="C10441" t="inlineStr">
        <is>
          <t>I am on a battle of fighting diabetes and weight loss at the same time since I was diagnosed in June. I need to lose some weight ( I am 163cm, 66kg, female) since I am seriously overweight. I felt so bad abt myself and I change my diet. My blood sugar dropped from 10 to 6 in the morning. After working so hard for 2 months, I started to be afraid of eating anything in general...it’s like everything will make my BG higher and make me fat, I lost all my appetite and I am also having diaherra problem bc of metformin. It’s so many stress. I cried every night and my life is miserable now. I don’t know what to do, I felt so alone.</t>
        </is>
      </c>
      <c r="D10441" t="n">
        <v>1</v>
      </c>
      <c r="E10441" t="n">
        <v>3</v>
      </c>
      <c r="F10441">
        <f>HYPERLINK("https://www.reddit.com/r/diabetes/comments/i8rhee/i_started_to_be_afraid_of_eating/")</f>
        <v/>
      </c>
      <c r="G10441" t="inlineStr">
        <is>
          <t>2020-08-12 19:17:39</t>
        </is>
      </c>
      <c r="H10441" t="inlineStr">
        <is>
          <t>Type 2</t>
        </is>
      </c>
    </row>
    <row r="10442">
      <c r="A10442" t="inlineStr">
        <is>
          <t>i8tubg</t>
        </is>
      </c>
      <c r="B10442" t="inlineStr">
        <is>
          <t>I'm still trying to get a handle on all this, I was diagnosed late last year</t>
        </is>
      </c>
      <c r="C10442" t="inlineStr">
        <is>
          <t>I've been having a lot of trouble regulating my blood sugar, and it's really frustrating because nothing I do seems to work. My blood sugar raises a lot when I sleep, and I can't seem to get it down to 70.
Not to mention my freestyle libre sensor gives me a nasty rash under the adhesive which causes it to fall off, and I don't think I'm allergic because this only started happening recently, and I've been using the libre since before the quarantine in New York. 
Today it finally pushed me over the edge when my blood sugar went down after dinner, and then decided to rise again for no apparent reason. 
I'm just struggling so much with this and would appreciate any help with coping with the stress, and/or any advice on how to keep my blood sugar where I want it and advice on the libre issue. 
Sorry for the long post.
(P.s. I take 1000mg of metformin every night in conjunction with 16 units(?) Of an insulin pen)</t>
        </is>
      </c>
      <c r="D10442" t="n">
        <v>1</v>
      </c>
      <c r="E10442" t="n">
        <v>16</v>
      </c>
      <c r="F10442">
        <f>HYPERLINK("https://www.reddit.com/r/diabetes/comments/i8tubg/im_still_trying_to_get_a_handle_on_all_this_i_was/")</f>
        <v/>
      </c>
      <c r="G10442" t="inlineStr">
        <is>
          <t>2020-08-12 22:05:00</t>
        </is>
      </c>
      <c r="H10442" t="inlineStr">
        <is>
          <t>Type 2</t>
        </is>
      </c>
    </row>
    <row r="10443">
      <c r="A10443" t="inlineStr">
        <is>
          <t>i8tvat</t>
        </is>
      </c>
      <c r="B10443" t="inlineStr">
        <is>
          <t>lows</t>
        </is>
      </c>
      <c r="C10443" t="inlineStr">
        <is>
          <t>what do y’all consider to be a low sugar reading?  before my cgm, my a1c was 5.5-6 but now it’s 7.2% and i think it’s bc i’ve become more afraid of going low. i usually start correcting when my sugar goes below 90mg/dl but i honestly think i’m over correcting</t>
        </is>
      </c>
      <c r="D10443" t="n">
        <v>1</v>
      </c>
      <c r="E10443" t="n">
        <v>10</v>
      </c>
      <c r="F10443">
        <f>HYPERLINK("https://www.reddit.com/r/diabetes/comments/i8tvat/lows/")</f>
        <v/>
      </c>
      <c r="G10443" t="inlineStr">
        <is>
          <t>2020-08-12 22:07:10</t>
        </is>
      </c>
      <c r="H10443" t="inlineStr">
        <is>
          <t>Type 1</t>
        </is>
      </c>
    </row>
    <row r="10444">
      <c r="A10444" t="inlineStr">
        <is>
          <t>i8vce1</t>
        </is>
      </c>
      <c r="B10444" t="inlineStr">
        <is>
          <t>control iq</t>
        </is>
      </c>
      <c r="C10444" t="inlineStr">
        <is>
          <t>hello. i was bought used tandem tslim pump. so i want to update without prescription, who can hell me?  plz may be u knows who can help..,</t>
        </is>
      </c>
      <c r="D10444" t="n">
        <v>1</v>
      </c>
      <c r="E10444" t="n">
        <v>2</v>
      </c>
      <c r="F10444">
        <f>HYPERLINK("https://www.reddit.com/r/diabetes/comments/i8vce1/control_iq/")</f>
        <v/>
      </c>
      <c r="G10444" t="inlineStr">
        <is>
          <t>2020-08-13 00:12:31</t>
        </is>
      </c>
      <c r="H10444" t="inlineStr">
        <is>
          <t>Type 1</t>
        </is>
      </c>
    </row>
    <row r="10445">
      <c r="A10445" t="inlineStr">
        <is>
          <t>i8z45g</t>
        </is>
      </c>
      <c r="B10445" t="inlineStr">
        <is>
          <t>Either I have had two bad infusion sets in a row, or my new vial of insulin is dead.</t>
        </is>
      </c>
      <c r="C10445" t="inlineStr">
        <is>
          <t>Not sure what the problem is. BG yesterday was fine, and then when I put a new set on using a new vial of humalog last night it went to shit. 
New set, bolused for dinner. 270 and climbing after dinner, more insulin. Then 350.....hmmmm
Then 400, so new set, disregard all active insulin and take a much larger dose. An hour later 390. 
Took insulin via injection, will update with that reading once enough time passes.</t>
        </is>
      </c>
      <c r="D10445" t="n">
        <v>1</v>
      </c>
      <c r="E10445" t="n">
        <v>9</v>
      </c>
      <c r="F10445">
        <f>HYPERLINK("https://www.reddit.com/r/diabetes/comments/i8z45g/either_i_have_had_two_bad_infusion_sets_in_a_row/")</f>
        <v/>
      </c>
      <c r="G10445" t="inlineStr">
        <is>
          <t>2020-08-13 05:35:59</t>
        </is>
      </c>
      <c r="H10445" t="inlineStr">
        <is>
          <t>Type 1</t>
        </is>
      </c>
    </row>
    <row r="10446">
      <c r="A10446" t="inlineStr">
        <is>
          <t>i8zj3s</t>
        </is>
      </c>
      <c r="B10446" t="inlineStr">
        <is>
          <t>Just diagnosed, where do I start</t>
        </is>
      </c>
      <c r="C10446" t="inlineStr">
        <is>
          <t>As the title says I just got home from a 6 day stint in the hospital. 4 days in the ICU and the other two in general admission. I was diagnosed with type 2 and my A1C was 9.6. Additional my triglycerides were over 4000. Where do I start as far as diet, and what tips do you guys have in getting this under control. Thanks in advance!</t>
        </is>
      </c>
      <c r="D10446" t="n">
        <v>1</v>
      </c>
      <c r="E10446" t="n">
        <v>15</v>
      </c>
      <c r="F10446">
        <f>HYPERLINK("https://www.reddit.com/r/diabetes/comments/i8zj3s/just_diagnosed_where_do_i_start/")</f>
        <v/>
      </c>
      <c r="G10446" t="inlineStr">
        <is>
          <t>2020-08-13 06:03:53</t>
        </is>
      </c>
      <c r="H10446" t="inlineStr">
        <is>
          <t>Type 2</t>
        </is>
      </c>
    </row>
    <row r="10447">
      <c r="A10447" t="inlineStr">
        <is>
          <t>i90j1u</t>
        </is>
      </c>
      <c r="B10447" t="inlineStr">
        <is>
          <t>Any tips/advice?</t>
        </is>
      </c>
      <c r="C10447" t="inlineStr">
        <is>
          <t>So, I'm a 15yo who has recently been diagnosed with t2 diabetes and to be honest...I'm scared. It runs in my family so I had a feeling I would be diabetic, but I just didn't think it would happen so soon. Do any of you have any tips or advice that'll help me prevent certain things in the long run?</t>
        </is>
      </c>
      <c r="D10447" t="n">
        <v>1</v>
      </c>
      <c r="E10447" t="n">
        <v>9</v>
      </c>
      <c r="F10447">
        <f>HYPERLINK("https://www.reddit.com/r/diabetes/comments/i90j1u/any_tipsadvice/")</f>
        <v/>
      </c>
      <c r="G10447" t="inlineStr">
        <is>
          <t>2020-08-13 07:06:58</t>
        </is>
      </c>
      <c r="H10447" t="inlineStr">
        <is>
          <t>Type 2</t>
        </is>
      </c>
    </row>
    <row r="10448">
      <c r="A10448" t="inlineStr">
        <is>
          <t>i92oy4</t>
        </is>
      </c>
      <c r="B10448" t="inlineStr">
        <is>
          <t>Got recently diagnosed and I'm a bit scared</t>
        </is>
      </c>
      <c r="C10448" t="inlineStr">
        <is>
          <t>Hey guys!
I just recently got diagnosed and I'm a bit scared of my future. I'm scared of needles and I can't imagine injecting myself every day for the rest of my life. 
Any kind of advice would be appreciated.
Thank you for reading!</t>
        </is>
      </c>
      <c r="D10448" t="n">
        <v>1</v>
      </c>
      <c r="E10448" t="n">
        <v>11</v>
      </c>
      <c r="F10448">
        <f>HYPERLINK("https://www.reddit.com/r/diabetes/comments/i92oy4/got_recently_diagnosed_and_im_a_bit_scared/")</f>
        <v/>
      </c>
      <c r="G10448" t="inlineStr">
        <is>
          <t>2020-08-13 09:08:05</t>
        </is>
      </c>
      <c r="H10448" t="inlineStr">
        <is>
          <t>Type 1</t>
        </is>
      </c>
    </row>
    <row r="10449">
      <c r="A10449" t="inlineStr">
        <is>
          <t>i92r7b</t>
        </is>
      </c>
      <c r="B10449" t="inlineStr">
        <is>
          <t>Just left the doctors office and my a1c is 5.4 after lab work and I was 13.5 in January.</t>
        </is>
      </c>
      <c r="C10449" t="inlineStr">
        <is>
          <t>I was tested when I first went to the hospital in January with a a1c of 13.5 and now my a1c is 5.4 with medication and a changed lifestyle of eating habits.</t>
        </is>
      </c>
      <c r="D10449" t="n">
        <v>1</v>
      </c>
      <c r="E10449" t="n">
        <v>56</v>
      </c>
      <c r="F10449">
        <f>HYPERLINK("https://www.reddit.com/r/diabetes/comments/i92r7b/just_left_the_doctors_office_and_my_a1c_is_54/")</f>
        <v/>
      </c>
      <c r="G10449" t="inlineStr">
        <is>
          <t>2020-08-13 09:11:10</t>
        </is>
      </c>
      <c r="H10449" t="inlineStr">
        <is>
          <t>Type 2</t>
        </is>
      </c>
    </row>
    <row r="10450">
      <c r="A10450" t="inlineStr">
        <is>
          <t>i95zyg</t>
        </is>
      </c>
      <c r="B10450" t="inlineStr">
        <is>
          <t>Question about Tandem Slim</t>
        </is>
      </c>
      <c r="C10450" t="inlineStr">
        <is>
          <t>How do you deal with the receiver when sleeping at night?  Can you disconnect it or do you sleep with it on?  What about the tubing?  I'm considering this but I toss and turn a lot during the night.  I'm afraid it will tangle up and/or pop off.  Any other drawbacks?
Thanks!</t>
        </is>
      </c>
      <c r="D10450" t="n">
        <v>1</v>
      </c>
      <c r="E10450" t="n">
        <v>6</v>
      </c>
      <c r="F10450">
        <f>HYPERLINK("https://www.reddit.com/r/diabetes/comments/i95zyg/question_about_tandem_slim/")</f>
        <v/>
      </c>
      <c r="G10450" t="inlineStr">
        <is>
          <t>2020-08-13 12:02:34</t>
        </is>
      </c>
      <c r="H10450" t="inlineStr">
        <is>
          <t>Type 2</t>
        </is>
      </c>
    </row>
    <row r="10451">
      <c r="A10451" t="inlineStr">
        <is>
          <t>i96bnc</t>
        </is>
      </c>
      <c r="B10451" t="inlineStr">
        <is>
          <t>Help</t>
        </is>
      </c>
      <c r="C10451" t="inlineStr">
        <is>
          <t>My blood sugar device said HI Im rlly worried I googled it and it said that it's way too high what should I do z answer quick</t>
        </is>
      </c>
      <c r="D10451" t="n">
        <v>1</v>
      </c>
      <c r="E10451" t="n">
        <v>11</v>
      </c>
      <c r="F10451">
        <f>HYPERLINK("https://www.reddit.com/r/diabetes/comments/i96bnc/help/")</f>
        <v/>
      </c>
      <c r="G10451" t="inlineStr">
        <is>
          <t>2020-08-13 12:19:32</t>
        </is>
      </c>
      <c r="H10451" t="inlineStr">
        <is>
          <t>Type 1</t>
        </is>
      </c>
    </row>
    <row r="10452">
      <c r="A10452" t="inlineStr">
        <is>
          <t>i96tgm</t>
        </is>
      </c>
      <c r="B10452" t="inlineStr">
        <is>
          <t>How to reduce my A1C?</t>
        </is>
      </c>
      <c r="C10452" t="inlineStr">
        <is>
          <t>So I’m type 2, current a1c is 7.9 which I guess isn’t terribly high? I’m currently starting the process for bariatric surgery and was told I need to lower it to 7 or lower in order to proceed with the surgery. This is literally the only thing holding surgery up at this point. 
Does anyone have any helpful tips or changes I can make to lower it? What has worked for you guys? I was told whole grains and brown rice by my doc but I’m just not sure if there is anything else I can do to help it? Im not good at keto because I have a lot of food aversions but I’m willing to try anything else at this point.</t>
        </is>
      </c>
      <c r="D10452" t="n">
        <v>1</v>
      </c>
      <c r="E10452" t="n">
        <v>22</v>
      </c>
      <c r="F10452">
        <f>HYPERLINK("https://www.reddit.com/r/diabetes/comments/i96tgm/how_to_reduce_my_a1c/")</f>
        <v/>
      </c>
      <c r="G10452" t="inlineStr">
        <is>
          <t>2020-08-13 12:46:12</t>
        </is>
      </c>
      <c r="H10452" t="inlineStr">
        <is>
          <t>Type 2</t>
        </is>
      </c>
    </row>
    <row r="10453">
      <c r="A10453" t="inlineStr">
        <is>
          <t>i970gq</t>
        </is>
      </c>
      <c r="B10453" t="inlineStr">
        <is>
          <t>Just a vent about screwing up my kid’s pump</t>
        </is>
      </c>
      <c r="C10453" t="inlineStr">
        <is>
          <t>Was slightly reducing carb ratios yesterday.  Apparently I put in 1:1 for dinner.
Well she got 225 carbs worth of insulin.  Her dinner was 54.  And she got to stay up extra late watching cartoons while I pumped her full of carbs.  Hats off to Bryer’s Oreo ice cream for a sugary yet fatty finish. 
It terrified me for a hot second.  Technology has gotten so good, but you can still F it up.</t>
        </is>
      </c>
      <c r="D10453" t="n">
        <v>1</v>
      </c>
      <c r="E10453" t="n">
        <v>12</v>
      </c>
      <c r="F10453">
        <f>HYPERLINK("https://www.reddit.com/r/diabetes/comments/i970gq/just_a_vent_about_screwing_up_my_kids_pump/")</f>
        <v/>
      </c>
      <c r="G10453" t="inlineStr">
        <is>
          <t>2020-08-13 12:56:31</t>
        </is>
      </c>
      <c r="H10453" t="inlineStr">
        <is>
          <t>Type 1</t>
        </is>
      </c>
    </row>
    <row r="10454">
      <c r="A10454" t="inlineStr">
        <is>
          <t>i99s44</t>
        </is>
      </c>
      <c r="B10454" t="inlineStr">
        <is>
          <t>Advise On What to do Next</t>
        </is>
      </c>
      <c r="C10454" t="inlineStr">
        <is>
          <t>I was diagnosed with Type 2 June 19th.  I was put on 2000 of Metformin every day, that didn't seem to work.  Then 3 weeks ago I added Ozempic to the mix, the 2nd week my numbers actually went up.  Now on the 3rd week my fasting numbers are at 280, I just can't seem to get them down.  My doctor just keeps telling me to hang in there I'm doing great, everyone else tells me I need to be on insulin.  Eating right, drinking water, not getting as much exercise as I should, losing weight.  Just don't know what to do next and I know if I go though 2 more weeks of this I will have no hair literally.</t>
        </is>
      </c>
      <c r="D10454" t="n">
        <v>1</v>
      </c>
      <c r="E10454" t="n">
        <v>16</v>
      </c>
      <c r="F10454">
        <f>HYPERLINK("https://www.reddit.com/r/diabetes/comments/i99s44/advise_on_what_to_do_next/")</f>
        <v/>
      </c>
      <c r="G10454" t="inlineStr">
        <is>
          <t>2020-08-13 15:27:22</t>
        </is>
      </c>
      <c r="H10454" t="inlineStr">
        <is>
          <t>Type 2</t>
        </is>
      </c>
    </row>
    <row r="10455">
      <c r="A10455" t="inlineStr">
        <is>
          <t>i9a2dm</t>
        </is>
      </c>
      <c r="B10455" t="inlineStr">
        <is>
          <t>Travel help</t>
        </is>
      </c>
      <c r="C10455" t="inlineStr">
        <is>
          <t>I’m a type 1 diabetic, I’ve had diabetes since I was 8 years old, and I’m interested in going to college in Italy. But I’m curious as to how my medicine and diabetes would work. I use Novolog insulin and I have an Omnipod. So I wanted to ask if anyone knew if I would be able to purchase Novolog in Italy as well as whether or not I would be able to purchase omnipod pods. And if i need a prescription for both those things from an Italian endocrinologist, etc. usually I wouldn’t worry about these things if it were just a trip to Italy but I’m Interested in completely moving there to go to school. If anyone has any answers I’d really appreciate the help.</t>
        </is>
      </c>
      <c r="D10455" t="n">
        <v>1</v>
      </c>
      <c r="E10455" t="n">
        <v>1</v>
      </c>
      <c r="F10455">
        <f>HYPERLINK("https://www.reddit.com/r/diabetes/comments/i9a2dm/travel_help/")</f>
        <v/>
      </c>
      <c r="G10455" t="inlineStr">
        <is>
          <t>2020-08-13 15:43:14</t>
        </is>
      </c>
      <c r="H10455" t="inlineStr">
        <is>
          <t>Type 1</t>
        </is>
      </c>
    </row>
    <row r="10456">
      <c r="A10456" t="inlineStr">
        <is>
          <t>i9baze</t>
        </is>
      </c>
      <c r="B10456" t="inlineStr">
        <is>
          <t>Any tips on dealing with dexcom adhesive reactions? Here is what I’ve tried...</t>
        </is>
      </c>
      <c r="C10456" t="inlineStr">
        <is>
          <t>When I first started reacting to the adhesive, I started with applying skin tac directly to my skin. This helped a little, but with still itch like crazy and cause red raised bumps that would last over a week after removing the sensor. I started applying skin tac to both the adhesive part and directly to my skin, which helped a little more. 
Next, my doctor recommended spraying flonase nasal spray before the skin tac. This also helped at first, but after a while my sensitivity to the adhesive got even worse and I could barely keep it in the full 10 days from the horrible itching. 
I then tried putting tegaderm directly on my skin with a small hole punched out in the center for the sensor to go through and putting the adhesive on top of the sensor. Somehow I STILL had a reaction and lasted 5 days before ripping the sensor out because the itching red bumps got so bad. I thought maybe I had developed an allergy to the tegaderm as well so for the last week I’ve kept a strip of tegaderm by itself on my skin, and had zero reaction to that. No itching, no redness, nothing. 
What else can I try? My control over my blood sugars is like night and day comparing being off the dexcom to on it. I can’t not use it but I don’t know what to do! My body seems to be getting progressively more sensitive to dexcoms adhesive. Any tips and suggestions are greatly appreciated :)</t>
        </is>
      </c>
      <c r="D10456" t="n">
        <v>1</v>
      </c>
      <c r="E10456" t="n">
        <v>7</v>
      </c>
      <c r="F10456">
        <f>HYPERLINK("https://www.reddit.com/r/diabetes/comments/i9baze/any_tips_on_dealing_with_dexcom_adhesive/")</f>
        <v/>
      </c>
      <c r="G10456" t="inlineStr">
        <is>
          <t>2020-08-13 16:57:45</t>
        </is>
      </c>
      <c r="H10456" t="inlineStr">
        <is>
          <t>Type 1</t>
        </is>
      </c>
    </row>
    <row r="10457">
      <c r="A10457" t="inlineStr">
        <is>
          <t>i9ds1j</t>
        </is>
      </c>
      <c r="B10457" t="inlineStr">
        <is>
          <t>Pump Upgrade</t>
        </is>
      </c>
      <c r="C10457" t="inlineStr">
        <is>
          <t>I’ve had Medtronics 670 G for about three years now. I loved it when it first came out because it gave me better control over my blood sugar, however; I have been having a lot of issues with Medtronic and the pump itself the past few months. I was wondering for anyone that has a T-slim what are some of the pros and cons that you deal with?</t>
        </is>
      </c>
      <c r="D10457" t="n">
        <v>1</v>
      </c>
      <c r="E10457" t="n">
        <v>5</v>
      </c>
      <c r="F10457">
        <f>HYPERLINK("https://www.reddit.com/r/diabetes/comments/i9ds1j/pump_upgrade/")</f>
        <v/>
      </c>
      <c r="G10457" t="inlineStr">
        <is>
          <t>2020-08-13 19:36:20</t>
        </is>
      </c>
      <c r="H10457" t="inlineStr">
        <is>
          <t>Type 1</t>
        </is>
      </c>
    </row>
    <row r="10458">
      <c r="A10458" t="inlineStr">
        <is>
          <t>i9ea4q</t>
        </is>
      </c>
      <c r="B10458" t="inlineStr">
        <is>
          <t>Any Illinois folks here familiar with the $100 monthly cap?</t>
        </is>
      </c>
      <c r="C10458" t="inlineStr">
        <is>
          <t>Does anyone know if the law that JB Pritzker signed back in January applies to Humalog and other "designer" insulin? 
A friend (Type 1) does not do well with "traditional" insulin, and can't afford Humalog, which he does do well on. We, and other friends, can help him out if the cap is $100, but I want to know before I go in talking with my head up my hind end. 
&amp;amp;#x200B;
Apologies for the lack of correct terminology, I'm not diabetic myself.</t>
        </is>
      </c>
      <c r="D10458" t="n">
        <v>1</v>
      </c>
      <c r="E10458" t="n">
        <v>2</v>
      </c>
      <c r="F10458">
        <f>HYPERLINK("https://www.reddit.com/r/diabetes/comments/i9ea4q/any_illinois_folks_here_familiar_with_the_100/")</f>
        <v/>
      </c>
      <c r="G10458" t="inlineStr">
        <is>
          <t>2020-08-13 20:10:24</t>
        </is>
      </c>
      <c r="H10458" t="inlineStr">
        <is>
          <t>Type 1</t>
        </is>
      </c>
    </row>
    <row r="10459">
      <c r="A10459" t="inlineStr">
        <is>
          <t>i9epus</t>
        </is>
      </c>
      <c r="B10459" t="inlineStr">
        <is>
          <t>type 2 diabetic ate carbs today, then my blood sugar crashed.</t>
        </is>
      </c>
      <c r="C10459" t="inlineStr">
        <is>
          <t>I've been a on a low carb diet and my blood sugar has been between 100 and 130 after meals ( higher in the morning strangely when I wake up) I have also been doing intermittent fasting. 
Today, I couldn't help myself and I ate a fresh-out-of-the-oven-handmade Amish pretzel and it was amazing! Knowing I had blown my diet for the day I came home checked my blood sugar (182) and took my Metforman (1000mg 2x a day) that was about 8 hours ago or so. And I haven't eaten anything else since then. 
I just checked my blood sugar thinking it would still be high and I was shocked to find it at 72! I don't remember ever having such a low blood sugar. Now I'm anxious because I am in unknown waters. IS this too low? should I knock my meds down a notch? Is this something to worry about? Thanks!</t>
        </is>
      </c>
      <c r="D10459" t="n">
        <v>1</v>
      </c>
      <c r="E10459" t="n">
        <v>6</v>
      </c>
      <c r="F10459">
        <f>HYPERLINK("https://www.reddit.com/r/diabetes/comments/i9epus/type_2_diabetic_ate_carbs_today_then_my_blood/")</f>
        <v/>
      </c>
      <c r="G10459" t="inlineStr">
        <is>
          <t>2020-08-13 20:40:35</t>
        </is>
      </c>
      <c r="H10459" t="inlineStr">
        <is>
          <t>Type 2</t>
        </is>
      </c>
    </row>
    <row r="10460">
      <c r="A10460" t="inlineStr">
        <is>
          <t>i9ezzj</t>
        </is>
      </c>
      <c r="B10460" t="inlineStr">
        <is>
          <t>Weird question?!</t>
        </is>
      </c>
      <c r="C10460" t="inlineStr">
        <is>
          <t>Does anyone else get really itchy feet when your sugar was kinda high and then drops fast?!? It’s something I’ve noticed and wondered if anyone else has noticed.</t>
        </is>
      </c>
      <c r="D10460" t="n">
        <v>1</v>
      </c>
      <c r="E10460" t="n">
        <v>8</v>
      </c>
      <c r="F10460">
        <f>HYPERLINK("https://www.reddit.com/r/diabetes/comments/i9ezzj/weird_question/")</f>
        <v/>
      </c>
      <c r="G10460" t="inlineStr">
        <is>
          <t>2020-08-13 20:59:59</t>
        </is>
      </c>
      <c r="H10460" t="inlineStr">
        <is>
          <t>Type 1</t>
        </is>
      </c>
    </row>
    <row r="10461">
      <c r="A10461" t="inlineStr">
        <is>
          <t>i9huy1</t>
        </is>
      </c>
      <c r="B10461" t="inlineStr">
        <is>
          <t>Diabetes and Alcohol??</t>
        </is>
      </c>
      <c r="C10461" t="inlineStr">
        <is>
          <t>So i just turned 21 and as usual i decided to drink. And thank god i had someone trust worthy and sober with me. Because my blood glucose instantly shot down. And the anxiety that struck me plus not being sober wasnt great. Once i got my levels under control i was having a great time. Any tips on keeping them under control to begin with. Keep in mind i do not plan on drinking frequently. Its just something i want to enjoy without the spark of anxiety that im going to pass out due to a low.</t>
        </is>
      </c>
      <c r="D10461" t="n">
        <v>1</v>
      </c>
      <c r="E10461" t="n">
        <v>7</v>
      </c>
      <c r="F10461">
        <f>HYPERLINK("https://www.reddit.com/r/diabetes/comments/i9huy1/diabetes_and_alcohol/")</f>
        <v/>
      </c>
      <c r="G10461" t="inlineStr">
        <is>
          <t>2020-08-14 00:53:27</t>
        </is>
      </c>
      <c r="H10461" t="inlineStr">
        <is>
          <t>Type 1</t>
        </is>
      </c>
    </row>
    <row r="10462">
      <c r="A10462" t="inlineStr">
        <is>
          <t>i9kclw</t>
        </is>
      </c>
      <c r="B10462" t="inlineStr">
        <is>
          <t>Miso and blood sugar</t>
        </is>
      </c>
      <c r="C10462" t="inlineStr">
        <is>
          <t>I was wondering whether anyone has a similar problem. Everytime I eat something with a Miso sauce I have to at least double my units.  I really don't understand how it requires so much. Even after calculating the maximum amount of carbs possibly in the meal I have to adjust later because my sugar is rising to above 300 otherwise. Today I had rice with pork and the sauce. Without the sauce I would have used around 7 units. In the end I had to put 18.. the sauce should contain ~40g of carbs per 100g btw</t>
        </is>
      </c>
      <c r="D10462" t="n">
        <v>1</v>
      </c>
      <c r="E10462" t="n">
        <v>8</v>
      </c>
      <c r="F10462">
        <f>HYPERLINK("https://www.reddit.com/r/diabetes/comments/i9kclw/miso_and_blood_sugar/")</f>
        <v/>
      </c>
      <c r="G10462" t="inlineStr">
        <is>
          <t>2020-08-14 04:37:57</t>
        </is>
      </c>
      <c r="H10462" t="inlineStr">
        <is>
          <t>Type 1</t>
        </is>
      </c>
    </row>
    <row r="10463">
      <c r="A10463" t="inlineStr">
        <is>
          <t>i9mg7a</t>
        </is>
      </c>
      <c r="B10463" t="inlineStr">
        <is>
          <t>I've been losing weight lately for better BG management, and getting quite lean. The more weight I lose, the fewer fat deposits I have, and the harder it is to take insulin injections. Damned if you do, damned if you don't.</t>
        </is>
      </c>
      <c r="C10463" t="inlineStr">
        <is>
          <t>I don't mean this to discourage others from losing weight. The benefits are endless. But it's kind of a bitch that the best thing you can do for your diabetes also makes it more painful to actually take the shots.</t>
        </is>
      </c>
      <c r="D10463" t="n">
        <v>1</v>
      </c>
      <c r="E10463" t="n">
        <v>9</v>
      </c>
      <c r="F10463">
        <f>HYPERLINK("https://www.reddit.com/r/diabetes/comments/i9mg7a/ive_been_losing_weight_lately_for_better_bg/")</f>
        <v/>
      </c>
      <c r="G10463" t="inlineStr">
        <is>
          <t>2020-08-14 06:59:04</t>
        </is>
      </c>
      <c r="H10463" t="inlineStr">
        <is>
          <t>Type 1</t>
        </is>
      </c>
    </row>
    <row r="10464">
      <c r="A10464" t="inlineStr">
        <is>
          <t>i9otgc</t>
        </is>
      </c>
      <c r="B10464" t="inlineStr">
        <is>
          <t>Is Dexcom G6 worth it?</t>
        </is>
      </c>
      <c r="C10464" t="inlineStr">
        <is>
          <t>Hello, I’m was diagnosed with type 1 relatively recently and I just got done with my endo appointment. He recommended I get a Dexcom monitor and wrote me a script for it. I went to the pharmacy and they gave me the price and it was quite expensive. Is it worth the high expense? Or should I just keep pricking my finger?</t>
        </is>
      </c>
      <c r="D10464" t="n">
        <v>1</v>
      </c>
      <c r="E10464" t="n">
        <v>59</v>
      </c>
      <c r="F10464">
        <f>HYPERLINK("https://www.reddit.com/r/diabetes/comments/i9otgc/is_dexcom_g6_worth_it/")</f>
        <v/>
      </c>
      <c r="G10464" t="inlineStr">
        <is>
          <t>2020-08-14 09:11:12</t>
        </is>
      </c>
      <c r="H10464" t="inlineStr">
        <is>
          <t>Type 1</t>
        </is>
      </c>
    </row>
    <row r="10465">
      <c r="A10465" t="inlineStr">
        <is>
          <t>i9qcv4</t>
        </is>
      </c>
      <c r="B10465" t="inlineStr">
        <is>
          <t>Ran out of test strips and I'm so stressed.</t>
        </is>
      </c>
      <c r="C10465" t="inlineStr">
        <is>
          <t>I shouldn't have ran out, but someone messed with my supplies and now I can't find my test strips. My pharmacy can't refill them until the 28th, and the stores in my area that said they have the test strips, don't. This is my 3rd day without any and I feel like I'm going a little crazy. I hate not knowing, I hate being anxious about my BG, and I know I've been overeating because the first day without test strips, I'm 99% I got low and I felt awful and I just can't handle not knowing.
Just a rant, sorry. The people in my life don't really understand why I'm so stressed out about this, they don't have to constantly worry about blood sugar and carbs. I suppose I'll have to order online and hope that usps doesn't take...forever...</t>
        </is>
      </c>
      <c r="D10465" t="n">
        <v>1</v>
      </c>
      <c r="E10465" t="n">
        <v>5</v>
      </c>
      <c r="F10465">
        <f>HYPERLINK("https://www.reddit.com/r/diabetes/comments/i9qcv4/ran_out_of_test_strips_and_im_so_stressed/")</f>
        <v/>
      </c>
      <c r="G10465" t="inlineStr">
        <is>
          <t>2020-08-14 10:32:23</t>
        </is>
      </c>
      <c r="H10465" t="inlineStr">
        <is>
          <t>Type 2</t>
        </is>
      </c>
    </row>
    <row r="10466">
      <c r="A10466" t="inlineStr">
        <is>
          <t>i9td50</t>
        </is>
      </c>
      <c r="B10466" t="inlineStr">
        <is>
          <t>BG keeps rising despite multiple correction doses??</t>
        </is>
      </c>
      <c r="C10466" t="inlineStr">
        <is>
          <t>I’ve been type 1 for more than a decade now, and I don’t think I’ve ever been as frustrated with it as I am now. For reference, I’m on the Omnipod and use the G6 to manage my diabetes.
My management hasn’t exactly been stellar since the pandemic began due to interrupted schedules and depression, but I’ve been trying my hardest the last month or so to get back in routine, and nothing I do seems to be working out.
For almost 2 years now, I have consistent highs at night, and increasing my basal rate doesn’t bring it back down. It stays level all night, so my doctor told me to just get it under control before bed. Easier said than done.
And now, as I’ve been obsessing over it more than usual, I’ve noticed that taking multiple corrections to try and fix rising BG doesn’t do much of anything. I take my boluses for meals on time, and I feel I’m pretty good at counting carbs, but it still rises, and stays high for hours even when I take increased correction doses 3 or 4 times.
I’ve reached a point where I don’t know what to do...I think maybe trying to chat with my doctor about it again might be good, but has anyone here had this experience? Or does anyone know what might be causing it?</t>
        </is>
      </c>
      <c r="D10466" t="n">
        <v>1</v>
      </c>
      <c r="E10466" t="n">
        <v>12</v>
      </c>
      <c r="F10466">
        <f>HYPERLINK("https://www.reddit.com/r/diabetes/comments/i9td50/bg_keeps_rising_despite_multiple_correction_doses/")</f>
        <v/>
      </c>
      <c r="G10466" t="inlineStr">
        <is>
          <t>2020-08-14 13:14:06</t>
        </is>
      </c>
      <c r="H10466" t="inlineStr">
        <is>
          <t>Type 1</t>
        </is>
      </c>
    </row>
    <row r="10467">
      <c r="A10467" t="inlineStr">
        <is>
          <t>i9tvyn</t>
        </is>
      </c>
      <c r="B10467" t="inlineStr">
        <is>
          <t>New girlfriend asked about curing T1 with natural remedies..</t>
        </is>
      </c>
      <c r="C10467" t="inlineStr">
        <is>
          <t>Thought I would ask for some advice. I like her alot but she is into some holistic approaches to some stuff. That is fine with me to an extent as long as these approaches can be used in conjunction with modern, proven medicine. 
Last night she said something along the lines of "Have you ever heard of people getting rid of their diabetes from diet, natural remedies, and exercise?" Or something along those lines. I know she meant well and just doesn't understand type 1, but I quickly put it to a dead stop and said "Yeah, I think that sort of thing might work for some other diabetics but it will never ever work for a type 1. I will die quickly without insulin." And that was basically that. 
I am not mad at her at all but I don't want to be asked about it like that again. It makes me feel like people think I don't know about my own condition. How can I explain to her these feelings without being rude? I know she meant well but I can only handle a holistic mindstate to a point. Most of us would be dead if it weren't for scientists.</t>
        </is>
      </c>
      <c r="D10467" t="n">
        <v>1</v>
      </c>
      <c r="E10467" t="n">
        <v>3</v>
      </c>
      <c r="F10467">
        <f>HYPERLINK("https://www.reddit.com/r/diabetes/comments/i9tvyn/new_girlfriend_asked_about_curing_t1_with_natural/")</f>
        <v/>
      </c>
      <c r="G10467" t="inlineStr">
        <is>
          <t>2020-08-14 13:42:31</t>
        </is>
      </c>
      <c r="H10467" t="inlineStr">
        <is>
          <t>Type 1</t>
        </is>
      </c>
    </row>
    <row r="10468">
      <c r="A10468" t="inlineStr">
        <is>
          <t>i9u0pj</t>
        </is>
      </c>
      <c r="B10468" t="inlineStr">
        <is>
          <t>What is that Blood Sugar scale?</t>
        </is>
      </c>
      <c r="C10468" t="inlineStr">
        <is>
          <t>Hi from Sweden! I've been diagnosed with Type 1 Diabetes for about 14 years, i'm currently 20 years old.
I'm pretty new to this subreddit, and I've never seen the scale used to measure blood sugar, i see 600, 400 etc, according to the scale i use, 4-8 is considered a good level. Is it an American thing like Fahrenheit? :P</t>
        </is>
      </c>
      <c r="D10468" t="n">
        <v>1</v>
      </c>
      <c r="E10468" t="n">
        <v>10</v>
      </c>
      <c r="F10468">
        <f>HYPERLINK("https://www.reddit.com/r/diabetes/comments/i9u0pj/what_is_that_blood_sugar_scale/")</f>
        <v/>
      </c>
      <c r="G10468" t="inlineStr">
        <is>
          <t>2020-08-14 13:49:52</t>
        </is>
      </c>
      <c r="H10468" t="inlineStr">
        <is>
          <t>Type 1</t>
        </is>
      </c>
    </row>
    <row r="10469">
      <c r="A10469" t="inlineStr">
        <is>
          <t>i9ykkh</t>
        </is>
      </c>
      <c r="B10469" t="inlineStr">
        <is>
          <t>Brief Research Survey for Individuals with Type 2 Diabetes</t>
        </is>
      </c>
      <c r="C10469" t="inlineStr">
        <is>
          <t>**Study Recruitment Post for Social Media Distribution:**
My name is Kenneth Cruz-Dillard.  I am a fourth-year student in a graduate program in clinical psychology at La Salle University. I am conducting research that focuses on various aspects of adult health.
\*The research involves taking a 20-minute survey.  You will have the opportunity to receive a $3.00 Amazon eGift card for your participation. If your responses are approved, you will receive the Amazon eGift card via email.
To participate, please use this link: [Health Survey](https://lasalle.co1.qualtrics.com/jfe/form/SV_0GjLXmdUmWs20kt) .
If you have questions concerning this study, please email me at [cruzdillardk1@student.lasalle.edu](mailto:cruzdillardk1@student.lasalle.edu).
Thank you, 
Kenneth Cruz-Dillard, MA, MHS, Doctoral Student in Clinical Psychology
\*This study was reviewed and approved by the Institutional Review Board of La Salle University in Philadelphia, PA on 05/04/2020 (IRB#19-12-057-5.20-AM).</t>
        </is>
      </c>
      <c r="D10469" t="n">
        <v>1</v>
      </c>
      <c r="E10469" t="n">
        <v>0</v>
      </c>
      <c r="F10469">
        <f>HYPERLINK("https://www.reddit.com/r/diabetes/comments/i9ykkh/brief_research_survey_for_individuals_with_type_2/")</f>
        <v/>
      </c>
      <c r="G10469" t="inlineStr">
        <is>
          <t>2020-08-14 18:20:43</t>
        </is>
      </c>
      <c r="H10469" t="inlineStr">
        <is>
          <t>Type 2</t>
        </is>
      </c>
    </row>
    <row r="10470">
      <c r="A10470" t="inlineStr">
        <is>
          <t>i9yt4m</t>
        </is>
      </c>
      <c r="B10470" t="inlineStr">
        <is>
          <t>I think Dexcom has wised up to my sensor restarts... what are your techniques?</t>
        </is>
      </c>
      <c r="C10470" t="inlineStr">
        <is>
          <t>I would always just not touch my sensor/transmitter. When the session ended, I would say “new session” and “no code”, then set a timer for 15 minutes. After the 15 minutes, I would end that warm up, then restart the sensor and use the old/same code from 10 days ago. Then I would just let it live out the rest of its natural life. 
Unfortunately, the last three sensors I have tried this with have told me “no restarts” (and infuriatingly only after the two hour warm up was almost done). 
I think my latest app update might have fixed this loophole that I’ve been using. Does anyone have any other techniques to share?</t>
        </is>
      </c>
      <c r="D10470" t="n">
        <v>1</v>
      </c>
      <c r="E10470" t="n">
        <v>7</v>
      </c>
      <c r="F10470">
        <f>HYPERLINK("https://www.reddit.com/r/diabetes/comments/i9yt4m/i_think_dexcom_has_wised_up_to_my_sensor_restarts/")</f>
        <v/>
      </c>
      <c r="G10470" t="inlineStr">
        <is>
          <t>2020-08-14 18:36:55</t>
        </is>
      </c>
      <c r="H10470" t="inlineStr">
        <is>
          <t>Type 1</t>
        </is>
      </c>
    </row>
    <row r="10471">
      <c r="A10471" t="inlineStr">
        <is>
          <t>i9z4dh</t>
        </is>
      </c>
      <c r="B10471" t="inlineStr">
        <is>
          <t>Survey for type 2 diabetes patients (favor)</t>
        </is>
      </c>
      <c r="C10471" t="inlineStr">
        <is>
          <t>Hi everyone, 
Hope you are doing well. I wanted to ask if any of you will be interested in taking a 20-30 minutes survey on one type of diabetes products for type 2 patients through OWL solution market research firm. There is no incentive for participation, but your help would be greatly appreciated. 
Please find the survey link below. Thank you and hope you have a great weekend! 
https://preview.redd.it/pihuz71co2h51.png?width=828&amp;amp;format=png&amp;amp;auto=webp&amp;amp;s=85440777a9ae60c1f2642770e588d8571a70859e</t>
        </is>
      </c>
      <c r="D10471" t="n">
        <v>1</v>
      </c>
      <c r="E10471" t="n">
        <v>1</v>
      </c>
      <c r="F10471">
        <f>HYPERLINK("https://www.reddit.com/r/diabetes/comments/i9z4dh/survey_for_type_2_diabetes_patients_favor/")</f>
        <v/>
      </c>
      <c r="G10471" t="inlineStr">
        <is>
          <t>2020-08-14 18:58:23</t>
        </is>
      </c>
      <c r="H10471" t="inlineStr">
        <is>
          <t>Type 2</t>
        </is>
      </c>
    </row>
    <row r="10472">
      <c r="A10472" t="inlineStr">
        <is>
          <t>ia1cvo</t>
        </is>
      </c>
      <c r="B10472" t="inlineStr">
        <is>
          <t>Trulicity musings</t>
        </is>
      </c>
      <c r="C10472" t="inlineStr">
        <is>
          <t>I recently started trulicity.  I'm also eating low carb.  I'm a type 2.  Results are amazing.  My orchid previous a1c was a10 my blood sugar averaging 120s at the moment... Anyway I love the med and am exercising 3x a week currently
One weird thing... With trulicity I noticed a sensation in my throat.  Not choking.  Not really a physical feeling...
I used to get this feeling with my ex when things were really stressful
Is this possibly a hunger pain?  I've been eating significantly less.
I really love what this med is doing to my blood sugar.  The sensation is tolerable.  I think Im freaking myself out bc I read about side effects today when I was looking at sites to inject myself.  It's a bit of a ritual as in severely needlephobic.
Trying to tell myself this is much better than insulin.
Any help appreciated.</t>
        </is>
      </c>
      <c r="D10472" t="n">
        <v>1</v>
      </c>
      <c r="E10472" t="n">
        <v>0</v>
      </c>
      <c r="F10472">
        <f>HYPERLINK("https://www.reddit.com/r/diabetes/comments/ia1cvo/trulicity_musings/")</f>
        <v/>
      </c>
      <c r="G10472" t="inlineStr">
        <is>
          <t>2020-08-14 21:44:02</t>
        </is>
      </c>
      <c r="H10472" t="inlineStr">
        <is>
          <t>Type 2</t>
        </is>
      </c>
    </row>
    <row r="10473">
      <c r="A10473" t="inlineStr">
        <is>
          <t>ia30ev</t>
        </is>
      </c>
      <c r="B10473" t="inlineStr">
        <is>
          <t>super small rant: honeymoon phase</t>
        </is>
      </c>
      <c r="C10473" t="inlineStr">
        <is>
          <t>i’ve had type 1 for about a year now and i’ve just begun to get out of the honeymoon phase and god diabetes is SUCH a bitch. i feel like i’m constantly having to change my habits to accommodate to my bs levels and learn new things. ugh absolutely no one in my life knows how exhausting this is. i just wanna be a carefree teenager who only has to worry about work and school</t>
        </is>
      </c>
      <c r="D10473" t="n">
        <v>1</v>
      </c>
      <c r="E10473" t="n">
        <v>10</v>
      </c>
      <c r="F10473">
        <f>HYPERLINK("https://www.reddit.com/r/diabetes/comments/ia30ev/super_small_rant_honeymoon_phase/")</f>
        <v/>
      </c>
      <c r="G10473" t="inlineStr">
        <is>
          <t>2020-08-15 00:08:15</t>
        </is>
      </c>
      <c r="H10473" t="inlineStr">
        <is>
          <t>Type 1</t>
        </is>
      </c>
    </row>
    <row r="10474">
      <c r="A10474" t="inlineStr">
        <is>
          <t>ia3p4w</t>
        </is>
      </c>
      <c r="B10474" t="inlineStr">
        <is>
          <t>Can I use the same tube twice?</t>
        </is>
      </c>
      <c r="C10474" t="inlineStr">
        <is>
          <t>I'm on vacation right now and i forgot to bring an extra tube for when I'm changing my insulin phiol on my pump. Can I use the tube I'm using right now twice? Should I just fill it with the "new" insulin? 
Any advice is appreciated.</t>
        </is>
      </c>
      <c r="D10474" t="n">
        <v>1</v>
      </c>
      <c r="E10474" t="n">
        <v>12</v>
      </c>
      <c r="F10474">
        <f>HYPERLINK("https://www.reddit.com/r/diabetes/comments/ia3p4w/can_i_use_the_same_tube_twice/")</f>
        <v/>
      </c>
      <c r="G10474" t="inlineStr">
        <is>
          <t>2020-08-15 01:15:19</t>
        </is>
      </c>
      <c r="H10474" t="inlineStr">
        <is>
          <t>Type 1</t>
        </is>
      </c>
    </row>
    <row r="10475">
      <c r="A10475" t="inlineStr">
        <is>
          <t>ia3sp3</t>
        </is>
      </c>
      <c r="B10475" t="inlineStr">
        <is>
          <t>Bang energy drinks</t>
        </is>
      </c>
      <c r="C10475" t="inlineStr">
        <is>
          <t>My husband (t2) swears they are okay because they don't have sugar. But doesn't all that other crap in them throw of bs anyway?</t>
        </is>
      </c>
      <c r="D10475" t="n">
        <v>1</v>
      </c>
      <c r="E10475" t="n">
        <v>5</v>
      </c>
      <c r="F10475">
        <f>HYPERLINK("https://www.reddit.com/r/diabetes/comments/ia3sp3/bang_energy_drinks/")</f>
        <v/>
      </c>
      <c r="G10475" t="inlineStr">
        <is>
          <t>2020-08-15 01:25:42</t>
        </is>
      </c>
      <c r="H10475" t="inlineStr">
        <is>
          <t>Type 2</t>
        </is>
      </c>
    </row>
    <row r="10476">
      <c r="A10476" t="inlineStr">
        <is>
          <t>ia4s4d</t>
        </is>
      </c>
      <c r="B10476" t="inlineStr">
        <is>
          <t>You're type 1 no type 2 no actually 1 😭</t>
        </is>
      </c>
      <c r="C10476" t="inlineStr">
        <is>
          <t>About a year and few months i been diagnosed with diabetes above 12, using the bathroom every 3 minutes literally, started off with mixtard 30/70 as a type 1 but had so many hypos got scared and the doctor thought she made a mistake so she did say we will try orals and see, started giving me vildagluce 50/1000 and amiral 1mg it worked like charm for about a month ( idk if that's what's called honeymoon phase or not ) but never been below 180 after that avrg 300 for about 3 months, with so hard workouts and very strict foods i could get it stable but that is not possible to be done on daily basis.
Then i switched doctors because mine had troubles and wasn't available anymore the new doc said you are 100% type 1 and gave me mixtard again 15uni before breakfast and 10 before  lunch i mostly get hypos at night and above 250 at dinner and after dinner time.
My daily habits isn't stable and can't be and i really wish if i can understand how to deal with this according every day habits and just handle it on my own. Its very tiring but i make fun of it everyday instead of letting it make me cry I'm 25 and i feel as if I'm 70 sometimes, very bad nerve system and i also found out i got sexual issues too dysfunctional erection or whatever that's called making it difficult to stay turned on for the normal time period taking something called arcalion forte did help and i knew because of it, because ever since i took it, every time i have masturbated ( not married living in egypt ) i stay hard for a good while compared to instant relaxation before. 
I know its very long post, so I'm very thankful for whoever would read and or reply to me, i guess I'm just venting and desperate for any insight out of deep frustration. Thanks.</t>
        </is>
      </c>
      <c r="D10476" t="n">
        <v>1</v>
      </c>
      <c r="E10476" t="n">
        <v>9</v>
      </c>
      <c r="F10476">
        <f>HYPERLINK("https://www.reddit.com/r/diabetes/comments/ia4s4d/youre_type_1_no_type_2_no_actually_1/")</f>
        <v/>
      </c>
      <c r="G10476" t="inlineStr">
        <is>
          <t>2020-08-15 03:04:06</t>
        </is>
      </c>
      <c r="H10476" t="inlineStr">
        <is>
          <t>Type 1</t>
        </is>
      </c>
    </row>
    <row r="10477">
      <c r="A10477" t="inlineStr">
        <is>
          <t>ia5dsa</t>
        </is>
      </c>
      <c r="B10477" t="inlineStr">
        <is>
          <t>5 Ways To Manage Your Diet For Diabetes</t>
        </is>
      </c>
      <c r="C10477" t="inlineStr">
        <is>
          <t>&amp;amp;#x200B;
https://preview.redd.it/01e4jhtmd5h51.jpg?width=1024&amp;amp;format=pjpg&amp;amp;auto=webp&amp;amp;s=8f437f07797dc97b850da3641345fd9d433426a7
Since my diagnosis with diabetes at the age of eleven, my own diet has changed dramatically.  I maintain my current healthy weight with a great diet/eating plan. If you do plan on losing more than about a stone in weight then I would visit your doctor for more tips on how to do this without risk.  
I've had diabetes for seven years now, but to tell you that how I maintain weight is perfect would be totally wrong of me.  However, I can advise you to follow my steps because I know what works and what doesn't. Before I really begin I must also say that I have been brought up by great parents who taught me to eat everything, and so I do! If there is something that you don't like, there are loads of other diabetic recipes and ideas that you will eat and appreciate.
I am a university student, and I like to buy fresh and organic produce from where I live. I believe that this is important because it can be the best for your body and contain more nutrients and vitamins than most supermarket produce. I like to source food from my fortnightly farmers market in town, which sells amazing meat and dairy produce and fresh in-season fruit and vegetables. Another important thing to remember is eating fruit and vegetables in their season means that they will taste better as well as doing you good. I have a lot of influence from Western European cuisine (mainly France and Italy) as you will tell, but I do not profess to be a chef, and everything is easy to make and very convenient.
I have read countless diet books and diabetic recipe/diet books, and I came to the conclusion that I think really works. I fused all the good things from the diets (but not from every diet) and sort of put together my own one. I call this my Juvenile Diabetes Healthy Diet!
The "rules" that I would lay down are as follows:
[CLICK HERE](https://infosanctuary.blogspot.com/2020/07/5-ways-to-manage-your-diet-for-diabetes.html)to continue reading.</t>
        </is>
      </c>
      <c r="D10477" t="n">
        <v>1</v>
      </c>
      <c r="E10477" t="n">
        <v>0</v>
      </c>
      <c r="F10477">
        <f>HYPERLINK("https://www.reddit.com/r/diabetes/comments/ia5dsa/5_ways_to_manage_your_diet_for_diabetes/")</f>
        <v/>
      </c>
      <c r="G10477" t="inlineStr">
        <is>
          <t>2020-08-15 04:00:00</t>
        </is>
      </c>
      <c r="H10477" t="inlineStr">
        <is>
          <t>Type 2</t>
        </is>
      </c>
    </row>
    <row r="10478">
      <c r="A10478" t="inlineStr">
        <is>
          <t>ia67ua</t>
        </is>
      </c>
      <c r="B10478" t="inlineStr">
        <is>
          <t>Advice on finding right test strips sought.</t>
        </is>
      </c>
      <c r="C10478" t="inlineStr">
        <is>
          <t>Old man question: I bought a Contour next meter off Amazon but now I can find the strips for it. Are we supposed to use generics or am I missing something?  Thanks for help and BTW Covid and Diabetes is hell of a bad cocktail...</t>
        </is>
      </c>
      <c r="D10478" t="n">
        <v>1</v>
      </c>
      <c r="E10478" t="n">
        <v>4</v>
      </c>
      <c r="F10478">
        <f>HYPERLINK("https://www.reddit.com/r/diabetes/comments/ia67ua/advice_on_finding_right_test_strips_sought/")</f>
        <v/>
      </c>
      <c r="G10478" t="inlineStr">
        <is>
          <t>2020-08-15 05:08:51</t>
        </is>
      </c>
      <c r="H10478" t="inlineStr">
        <is>
          <t>Type 2</t>
        </is>
      </c>
    </row>
    <row r="10479">
      <c r="A10479" t="inlineStr">
        <is>
          <t>ia8we2</t>
        </is>
      </c>
      <c r="B10479" t="inlineStr">
        <is>
          <t>Vision problems after DKA</t>
        </is>
      </c>
      <c r="C10479" t="inlineStr">
        <is>
          <t>So I’m about a week post-diagnosis for Type 1 as a 38/m after winding up in the ICU with DKA. My sugars seem to be somewhat stable and manageable as I get used to giving myself insulin, etc. 
One problem that I’ve had since I got out of the hospital is blurry vision. I’ve read a couple places that DKA does something to the lens of the eye and it takes awhile to clear up but I’m wondering how long that is? Does anyone here have any experience that can tell me what to expect before it goes back to normal?</t>
        </is>
      </c>
      <c r="D10479" t="n">
        <v>1</v>
      </c>
      <c r="E10479" t="n">
        <v>6</v>
      </c>
      <c r="F10479">
        <f>HYPERLINK("https://www.reddit.com/r/diabetes/comments/ia8we2/vision_problems_after_dka/")</f>
        <v/>
      </c>
      <c r="G10479" t="inlineStr">
        <is>
          <t>2020-08-15 08:05:20</t>
        </is>
      </c>
      <c r="H10479" t="inlineStr">
        <is>
          <t>Type 1</t>
        </is>
      </c>
    </row>
    <row r="10480">
      <c r="A10480" t="inlineStr">
        <is>
          <t>ia9geo</t>
        </is>
      </c>
      <c r="B10480" t="inlineStr">
        <is>
          <t>Tandem Power Source Error</t>
        </is>
      </c>
      <c r="C10480" t="inlineStr">
        <is>
          <t>I left my pump charging at 80% while I was taking shower. 20 minutes later, I unplugged the charger to find my pump at 5% battery! I left it charging, and after a while, I got a power source error. I use Tandem's own cable but I also tried different cables and power outlets. 
Nothing worked and my pumped died in 30 mins! I was able to restart it after a few tries to find it at 100% batter again. However, I had just started a new Dexcom sensor yesterday, which was stopped! I'm still waiting in line for Tandem support. 
Has anyone come across this issue before?</t>
        </is>
      </c>
      <c r="D10480" t="n">
        <v>1</v>
      </c>
      <c r="E10480" t="n">
        <v>12</v>
      </c>
      <c r="F10480">
        <f>HYPERLINK("https://www.reddit.com/r/diabetes/comments/ia9geo/tandem_power_source_error/")</f>
        <v/>
      </c>
      <c r="G10480" t="inlineStr">
        <is>
          <t>2020-08-15 08:36:51</t>
        </is>
      </c>
      <c r="H10480" t="inlineStr">
        <is>
          <t>Type 1</t>
        </is>
      </c>
    </row>
    <row r="10481">
      <c r="A10481" t="inlineStr">
        <is>
          <t>iabm8p</t>
        </is>
      </c>
      <c r="B10481" t="inlineStr">
        <is>
          <t>Anyone here dealing with prolific diabetic retinopathy and macular edema?</t>
        </is>
      </c>
      <c r="C10481" t="inlineStr">
        <is>
          <t>Was diagnosed with both last fall after getting poked in the eyeball and subsequently having wisps of blood floating around it. Ive had 4 laser treatments and dr wants to do more after my recent issue with a bundle of blood vessels floating around in the left eye now.
Currently, right eye is practically useless. Dead zones in central vision. What I can see through it looks like a house of mirrors. Ppl have big bodies with shrunken heads and straight edges are wavy.
Up until Monday, left eye been ok. Got to work and started some work when I felt several pin pricks and then the bundle the veins appeared. Looked like a membrane has been holding them together. After the appeared, my vision went super blurry. I had a heck of a time reading anything.
2 days later and I was able to see my specialist. She sent me home with a note about restrictions for my driving and my performance visual may be limited. She wants me back in 3 weeks to inject me with dye (or attempt to) or drink it if that fails. She wants to laser both eyes again.
I'd be all for it, but 100% of the cost goes towards my $2500 deductible, which hasn't been touched yet. Plus, im still paying down the last 4 laser treatments. She keeps bringing up injections into the eye, but also tells me it's a huge risk that could cause the retinas to detach from the veins "crunching" too quickly. Last thing she wants to do is scrape out the scar tissue in both eyes.
This week has been mentally and emotionally rough on me. Every time something new happens, I feel as though I'm edging closer and closer to enough visual impairment that I cant work or drive. Heck, I cant drive at night now or during bad weather. Dr said DMV would have even tighter restrictions if they checked my sight.
I try to explain what I see (or dont) to other ppl and most look like I'm blowing smoke or think that it will go away. Currently, my boss thinks that the bundle of veins in my left eye will go away in a couple weeks, lol! Note from Dr says weeks to months.
I think what scares me more than anything is going blind alone. Sure, I have family, but I fly solo and in my late 30's (m). I wouldn't be opposed to a support group, just haven't found one yet.
In closing, I hope there are others who can provide some level of support, im gonna need it.</t>
        </is>
      </c>
      <c r="D10481" t="n">
        <v>1</v>
      </c>
      <c r="E10481" t="n">
        <v>2</v>
      </c>
      <c r="F10481">
        <f>HYPERLINK("https://www.reddit.com/r/diabetes/comments/iabm8p/anyone_here_dealing_with_prolific_diabetic/")</f>
        <v/>
      </c>
      <c r="G10481" t="inlineStr">
        <is>
          <t>2020-08-15 10:35:02</t>
        </is>
      </c>
      <c r="H10481" t="inlineStr">
        <is>
          <t>Type 2</t>
        </is>
      </c>
    </row>
    <row r="10482">
      <c r="A10482" t="inlineStr">
        <is>
          <t>iaeiy0</t>
        </is>
      </c>
      <c r="B10482" t="inlineStr">
        <is>
          <t>service dogs?</t>
        </is>
      </c>
      <c r="C10482" t="inlineStr">
        <is>
          <t>do any of yall have a service dog? im thinking about getting one because lately its been harder and harder to sense my lows :/</t>
        </is>
      </c>
      <c r="D10482" t="n">
        <v>1</v>
      </c>
      <c r="E10482" t="n">
        <v>5</v>
      </c>
      <c r="F10482">
        <f>HYPERLINK("https://www.reddit.com/r/diabetes/comments/iaeiy0/service_dogs/")</f>
        <v/>
      </c>
      <c r="G10482" t="inlineStr">
        <is>
          <t>2020-08-15 13:12:51</t>
        </is>
      </c>
      <c r="H10482" t="inlineStr">
        <is>
          <t>Type 1</t>
        </is>
      </c>
    </row>
    <row r="10483">
      <c r="A10483" t="inlineStr">
        <is>
          <t>iaiasu</t>
        </is>
      </c>
      <c r="B10483" t="inlineStr">
        <is>
          <t>T1 cyclists and stabilizing sugars</t>
        </is>
      </c>
      <c r="C10483" t="inlineStr">
        <is>
          <t>Hi everyone. I’m a T1 D (insulin pump and CGM) and am getting into cycling. I have to turn my pump completely off and am still eating roughly 24 glucose tabs for a 12 mi ride. 
Does someone have advice for stabilizing blood sugars while on rides? Also, is there an inexpensive glucose product that’s easy to consume so I don’t have to stop frequently? Thanks.</t>
        </is>
      </c>
      <c r="D10483" t="n">
        <v>1</v>
      </c>
      <c r="E10483" t="n">
        <v>5</v>
      </c>
      <c r="F10483">
        <f>HYPERLINK("https://www.reddit.com/r/diabetes/comments/iaiasu/t1_cyclists_and_stabilizing_sugars/")</f>
        <v/>
      </c>
      <c r="G10483" t="inlineStr">
        <is>
          <t>2020-08-15 16:57:17</t>
        </is>
      </c>
      <c r="H10483" t="inlineStr">
        <is>
          <t>Type 1</t>
        </is>
      </c>
    </row>
    <row r="10484">
      <c r="A10484" t="inlineStr">
        <is>
          <t>iail98</t>
        </is>
      </c>
      <c r="B10484" t="inlineStr">
        <is>
          <t>I finally put all the pieces together after 5+ years</t>
        </is>
      </c>
      <c r="C10484" t="inlineStr">
        <is>
          <t>Over the past week or so I’ve really been feeling crap, and I may have finally put together the fact that I’m about to receive a positive diagnosis. I’m really not going to try to drag this out, but I do want to share my background so that maybe, I can find other people who experienced the same symptoms leading to their discovery and I learn what happens next. If you read this whole shebang, thank you. If you don’t, I made a TL;DR at the bottom that might entice you to. Mods, I really hope you don't find this post violates rule 3.
&amp;amp;#x200B;
Although my problems began a few years ago. I never really put it together. I have to admit I’ve been crappy about annual blood work and health checkups, although I’ve always been active in visiting doctors whenever I’ve been sick or injured. I’m a bit angry with both myself and the doctors that blood work to check for signs of diabetes never really came up, but there is no point dwelling in the past. 
&amp;amp;#x200B;
I grew up relatively ok, health wise. As a teenager, I may have had a few extra pounds on me. But I played sports; soccer, football, basketball, etc. I grew up lower-middle class so my diet was a mixture of being broke (rice, beans, meat, soups, etc) and eating fast food; although not insane amounts. As soon as I went off to college though, I started to put on weight thanks to the added freedom, stress, and irregular schedules of balancing a full-time education and full-time work. I’m 5’8”, but I really don’t remember how much I weighed in high school. By the time I hit 220 pounds in school and started to look well, obese, I had a significant break down and decided I was going to turn my health around. I stopped playing video games and watching TV, and I started dedicating almost every minute of my life outside of school and work to getting fitter. I ate better, ran, weightlifted; religiously. In 7 months, I went from 220 pounds to 160 pounds. People around me were legitimately amazed and I was riding high. I kept trying to lift more, and lose more weight. I still had a belly, of course I could lose more weight. For 2 months, nothing. 
&amp;amp;#x200B;
Then something happened. I started to get really bad weakness and tingling in my arms. This wasn’t helped by the fact I sat at a computer all day when I wasn’t working out. I felt weaker even though I was lifting harder (250lb bench press, 200lb squats, could run for a whole hour). I saw doctors about it, they figured it was some kind of pinched nerves or carpal tunnel. I had everything you could imagine, MRIs, x-rays, nerve conduction studies; nothing turned up. I did physical therapy and things improved but never really went away; it was left at muscle spasms and probably carpal tunnel. In the meantime my morale was falling off a cliff, I stopped going to the gym often, diet slipped, I went on depression meds, and I slowly started creeping up in weight. 170. I finished school and had to find my first job; long hours, shitty commute, stress; 180, 190, 200. I had promised myself I would never go above 180 again but there I was. Still, I could travel and do absurdly long hikes without a problem. Occasionally I went to the gym to not let things get too bad, but I wasn’t ever consistent. I started to experience more weakness and tingling problems in my legs. I worked out less. I had a standard american diet composed of occasionally making things like chicken, rice, beef, and topped off with probably too much Chipotle, Pizza, and Chik-fil-a.
&amp;amp;#x200B;
Eventually I got sick of my first job and found something near where I lived. By that point I was 230lbs, and I started to have “normal days” and “bad days” where my energy and mood were either normal or entirely through the floor; I felt drowsy, tired, couldn’t focus, I was temperamental, my eyesight would go blurry my hand-eye coordination would be a little off, and I would get really bad anxiety (which made me eat more). I fought through it and after finally settling into this new job and getting a decent bonus after my probation period, I decided I was going to get back into shape, and so I started going to the gym and bought a road bike. Much like when I first lost a massive amount of weight, I went ham. I was riding at a high level 4x a week, going to the gym, and eating better, drinking a gallon of water a day, doing intermittent fasting. I was 25, and this time around the weight rolled off slower. In the 12 months I had done all this, I managed to only lose 35lbs, although I was now a very good cyclist. I figured at some point, I would shed the rest of the weight off. I felt better and the number of “bad days” seemed to be diminishing. In between all this, I had gotten admitted into a Master’s program and was lucky enough to meet my girlfriend (now fiancée). 
&amp;amp;#x200B;
Shortly after hitting 195lbs, two things happened. First, I suffered a bad hamstring tear. My cycling was over for the foreseeable future. Weight lifting, which was still a nuisance thanks to the tingling and numbness problem that really never went away, wasn’t something I enjoyed doing because it caused severe flare-ups. I really had to start controlling my eating until I could get back on the bike in 6-7 months, and had never been a fan of diets without exercise. For the first few months, I managed to control my weight and never went above 200lbs. Still, I would describe my energy levels as mediocre and my mood bordering depression again. Then life got more stressful and I started to gain more weight. I absolutely hated it. I couldn’t lift, I couldn’t ride my bike, and I was as fat as ever. I started having a lot of “bad days” again (again I felt drowsy, tired, couldn’t focus, I was temperamental, my eyesight would go blurry my hand-eye coordination would be a little off, and I would get really bad anxiety), some weeks were almost predominantly bad; but, I somehow held through it all. At some point I hit 230lbs and I resigned myself to picking a diet and trying it; that’s when I learned all about this hot thing called “Keto”, which was designed around (mostly) the needs of people with diabetes (which hello, I obviously couldn’t have, right?!).
&amp;amp;#x200B;
The first few days were miserable, but something happened after the 3 or 4th day. I had this out of body high. Everything was SHARP. I could focus. I didn’t deal with anxiety, my vision was somehow normal (I didn’t have to wear glasses to see well). It was amazing, I was blown away and followed this diet by the book for 2 and half weeks but man it was hard. The only thing I could compare it to at the time was the feeling I had after a long, hard bike ride. I lost about 15 pounds in those two and a half weeks and boy I felt good. Fucking jackpot. But the holidays were around the corner and I was moving in with my girlfriend, so I went back to a normal SAD diet for a little while figuring I’d try keto again once this was all over. 
&amp;amp;#x200B;
It was finally January 2020. My girlfriend and I had finished moving in together, holidays were over, I was ready to hit this keto thing again so I could shed off the holiday gains. It was a wonderful experience, and I had none of the keto flu symptoms. I lost 10lbs in two weeks and felt good. But further research about the diet suggested it wasn’t something you should do full-time unless absolutely needed, so I went back to SAD again. It was winter of course, and between all this and moving in with my girlfriend, she started to complain about my Elsa-tier freezing hands and feet when we cuddled in bed or on the couch. She would shiver when I touched her.  I liked sleeping cold and never made anything much of it other than the fact it was freaking cold inside the apartment unless we turned on the heater. We made it our little joke that she was always shedding heat in bed and I would tease her with my freezing extremities. Hindsight 20/20, right? The good news at that point was that my hamstring was healing up nicely after some initial difficulties. Before I knew it, I was gonna be riding my bike again.
&amp;amp;#x200B;
And so COVID hit and I’m 220lbs. Thankfully, riding your bike was one of the few things you could still do and I did. March, April, and May I was riding hard. My cycling endurance and power were completely lousy. I felt like I was starting over from nothing. It was hot as balls out now and I was getting up at 6am on the dot to do 20+ mile rides before temperatures climbed. Come about June, I’m finally hitting my stride and weight very slowly starts to come off. My power and speed are getting close to pre-injury levels, but something else isn’t. I’m still having shitty days. I need to hydrate more, eat more, sleep more. And I did switch to a heavier SAD style/intermittent fasting eating plan to eat more carbs and more protein which help you recover and perform on the bike, but the amount of bad days didn’t diminish. Something here was off and I was becoming a lot more paranoid, so I started to pay more attention and log how I felt. 
&amp;amp;#x200B;
If I fast &amp;gt; bike &amp;gt; eat light and healthy &amp;gt; I feel great. 
If I fast &amp;gt; bike &amp;gt; eat crappy &amp;gt; I feel okay.
If I fast &amp;gt; don’t bike &amp;gt; eat light &amp;gt; I still feel ok.
If I fast &amp;gt; don’t bike &amp;gt;  eat SAD &amp;gt; I feel like total shit right after. 
&amp;amp;#x200B;
It was early August and I’m just under 210lbs. I’ve mostly survived the COVID madness thanks to my bike and my girlfriend/family. The other night my girlfriend made a comment about how insanely cold my feet were and that they kept feeling colder; suddenly, it just clicked. I jumped out of bed and went to my desktop to Google what I had just come up with in my head. The tingling and weakness. The Keto diet response. The cold extremities. The response my body has to carbs and sugar. I pretty much had a full blown panic attack at 11pm at night realizing this was it, it had to be diabetes. Not that I hadn’t considered it before, but the pieces weren’t all there yet. The Mayo Clinic lists all the symptoms, and a few didn’t fit: the thirst, the frequent urination, unexplained weight less, the slow healing sores, or the skin infections. Those weren’t there. But everything else was. Fuck. I managed to wear myself out at some point and I woke up to make an appointment with my primary care doctor; who woohoo, is closed due to COVID. I had to find another doctor I could see, but the earliest I can see one is 3 weeks away. What I did find is that LabCorp and Quest now have websites where you can directly order blood work and get the results back from a doctor, all online. 
&amp;amp;#x200B;
So here I am today. My blood test is scheduled for Monday and I have an appointment for a new PCP in 11 days. I’m fully expecting to find that the results come back as positive for Type 2. Typing this at my desk, my feet feel cold as hell even though I’m wearing socks and it’s 78F in our apartment. Writing this all out here is basically a form of an anxiety attack. The treatment options seem overwhelming and I’m now sure how I’m going to handle all this mentally and financially. I just hope I find a good doctor to help, and that I’m not 5 years too late to this diagnosis.
&amp;amp;#x200B;
TL;DR: It took 5 years after first experiencing neuropathy and a range of other progressive symptoms to realize I may have Type 2.</t>
        </is>
      </c>
      <c r="D10484" t="n">
        <v>1</v>
      </c>
      <c r="E10484" t="n">
        <v>5</v>
      </c>
      <c r="F10484">
        <f>HYPERLINK("https://www.reddit.com/r/diabetes/comments/iail98/i_finally_put_all_the_pieces_together_after_5/")</f>
        <v/>
      </c>
      <c r="G10484" t="inlineStr">
        <is>
          <t>2020-08-15 17:15:26</t>
        </is>
      </c>
      <c r="H10484" t="inlineStr">
        <is>
          <t>Type 2</t>
        </is>
      </c>
    </row>
    <row r="10485">
      <c r="A10485" t="inlineStr">
        <is>
          <t>iam3ef</t>
        </is>
      </c>
      <c r="B10485" t="inlineStr">
        <is>
          <t>Mom: you need to work on lowering your A1C</t>
        </is>
      </c>
      <c r="C10485" t="inlineStr">
        <is>
          <t>Me, who’s actually been doing very good: &amp;gt;:(
Okay, I need an honest answer from people like me. Am I just a baby or is my mom just mean?
Ever since I started working retail, I’ve been more stressed. Meaning, my sweet tooth and eating habits have gotten worse. My last A1C was somewhere in the 8’s and my mom won’t stop bringing it up (mind you, this was pre-COVID. haven’t had it checked in months). I’ve been trying to carb up and give insulin to prevent the highs but she still talks about it.
I also deal with rhinitis, otitis media, feet pain, and (kind of) self harm. My depression has been doing worse as I am an “essential employee” and haven’t talked to my therapist in some time. I’m also trying to take care of animals in the middle of this and punch my habits out. But all my mom sees is me complaining and all the messes and nagging me about the things I am trying to change amongst everything.
So I guess am I just over-dramatic or is my mom just mean?</t>
        </is>
      </c>
      <c r="D10485" t="n">
        <v>1</v>
      </c>
      <c r="E10485" t="n">
        <v>9</v>
      </c>
      <c r="F10485">
        <f>HYPERLINK("https://www.reddit.com/r/diabetes/comments/iam3ef/mom_you_need_to_work_on_lowering_your_a1c/")</f>
        <v/>
      </c>
      <c r="G10485" t="inlineStr">
        <is>
          <t>2020-08-15 21:17:26</t>
        </is>
      </c>
      <c r="H10485" t="inlineStr">
        <is>
          <t>Type 1</t>
        </is>
      </c>
    </row>
    <row r="10486">
      <c r="A10486" t="inlineStr">
        <is>
          <t>iamqs2</t>
        </is>
      </c>
      <c r="B10486" t="inlineStr">
        <is>
          <t>I ate potatoes today and ......</t>
        </is>
      </c>
      <c r="C10486" t="inlineStr">
        <is>
          <t>I literally cried.  Potatoes are my favorite food in the world. When I was diagnosed I was crying nonstop for about 3 weeks. To me it’s torture to give up certain foods. Most, if not a ton of people on this and other type 2 subreddits are ok or seem to be ok to just stop eating all the foods they ate before diagnosis. To me that isn’t real , it’s not being honest. But I have had an extremely hard time. I hate the keto, low carb way of eating. I literally despise it and I’d rather not eat. That is backfiring, I’m losing a ton of weight and I hate the food I eat.  But tonight I said f**k it and was like, I’m gonna eat potatoes, and it was amazing . Was my blood sugar bad? Probably. Do I care today? Nope, not at all. I have cared and been perfect for 6 months, today I don’t care. I’m sure you sticklers will hate this, I don’t care, you’re not my people. I don’t want or need any reassurances a pass. I know it’s was bad but shit, sometimes I need a break.</t>
        </is>
      </c>
      <c r="D10486" t="n">
        <v>1</v>
      </c>
      <c r="E10486" t="n">
        <v>20</v>
      </c>
      <c r="F10486">
        <f>HYPERLINK("https://www.reddit.com/r/diabetes/comments/iamqs2/i_ate_potatoes_today_and/")</f>
        <v/>
      </c>
      <c r="G10486" t="inlineStr">
        <is>
          <t>2020-08-15 22:08:51</t>
        </is>
      </c>
      <c r="H10486" t="inlineStr">
        <is>
          <t>Type 2</t>
        </is>
      </c>
    </row>
    <row r="10487">
      <c r="A10487" t="inlineStr">
        <is>
          <t>ianaaq</t>
        </is>
      </c>
      <c r="B10487" t="inlineStr">
        <is>
          <t>I was 100 tonight</t>
        </is>
      </c>
      <c r="C10487" t="inlineStr">
        <is>
          <t>I am never that low when I take my reading at night which is when I take my Levamir. I didn't take it because of that. Is that smart?</t>
        </is>
      </c>
      <c r="D10487" t="n">
        <v>1</v>
      </c>
      <c r="E10487" t="n">
        <v>2</v>
      </c>
      <c r="F10487">
        <f>HYPERLINK("https://www.reddit.com/r/diabetes/comments/ianaaq/i_was_100_tonight/")</f>
        <v/>
      </c>
      <c r="G10487" t="inlineStr">
        <is>
          <t>2020-08-15 22:53:53</t>
        </is>
      </c>
      <c r="H10487" t="inlineStr">
        <is>
          <t>Type 2</t>
        </is>
      </c>
    </row>
    <row r="10488">
      <c r="A10488" t="inlineStr">
        <is>
          <t>iao1q8</t>
        </is>
      </c>
      <c r="B10488" t="inlineStr">
        <is>
          <t>Anybody else struggling with insulin resistance?</t>
        </is>
      </c>
      <c r="C10488" t="inlineStr">
        <is>
          <t>Just feeling frustrated lately. 
It might be party due to a slighly fluctuating thyroid (sometimes its a little underactive) or it might be because of the fact that I'm working from home and not very active, but damn. 
Lately it seems like no matter how much insulin I take, its never enough. I seem to always spike higher than I want after meals. So annoying. Ugh. 
Has anybody else been dealing with this crap lately?</t>
        </is>
      </c>
      <c r="D10488" t="n">
        <v>1</v>
      </c>
      <c r="E10488" t="n">
        <v>6</v>
      </c>
      <c r="F10488">
        <f>HYPERLINK("https://www.reddit.com/r/diabetes/comments/iao1q8/anybody_else_struggling_with_insulin_resistance/")</f>
        <v/>
      </c>
      <c r="G10488" t="inlineStr">
        <is>
          <t>2020-08-16 00:03:27</t>
        </is>
      </c>
      <c r="H10488" t="inlineStr">
        <is>
          <t>Type 1</t>
        </is>
      </c>
    </row>
    <row r="10489">
      <c r="A10489" t="inlineStr">
        <is>
          <t>iaoytt</t>
        </is>
      </c>
      <c r="B10489" t="inlineStr">
        <is>
          <t>Dexcom and salt water don’t mix</t>
        </is>
      </c>
      <c r="C10489" t="inlineStr">
        <is>
          <t>??</t>
        </is>
      </c>
      <c r="D10489" t="n">
        <v>1</v>
      </c>
      <c r="E10489" t="n">
        <v>5</v>
      </c>
      <c r="F10489">
        <f>HYPERLINK("https://www.reddit.com/r/diabetes/comments/iaoytt/dexcom_and_salt_water_dont_mix/")</f>
        <v/>
      </c>
      <c r="G10489" t="inlineStr">
        <is>
          <t>2020-08-16 01:35:48</t>
        </is>
      </c>
      <c r="H10489" t="inlineStr">
        <is>
          <t>Type 1</t>
        </is>
      </c>
    </row>
    <row r="10490">
      <c r="A10490" t="inlineStr">
        <is>
          <t>iaqlhc</t>
        </is>
      </c>
      <c r="B10490" t="inlineStr">
        <is>
          <t>Question about HGH and insulin</t>
        </is>
      </c>
      <c r="C10490" t="inlineStr">
        <is>
          <t>I've recently read that insulin and human growth hormone are complete opposites of each other and that a spike in insulin levels is very much unwanted because it can disrupt the way HGH is released. Recently I've stopped growing vertically, I've been staying at the same height for the last year. I'm a 16 year old male and right now I'm 6'1. Is it possibke that I've finished growing at 16 or could the insulin I inject have a part to play in this? Should I consider taking HGH injections too?</t>
        </is>
      </c>
      <c r="D10490" t="n">
        <v>1</v>
      </c>
      <c r="E10490" t="n">
        <v>3</v>
      </c>
      <c r="F10490">
        <f>HYPERLINK("https://www.reddit.com/r/diabetes/comments/iaqlhc/question_about_hgh_and_insulin/")</f>
        <v/>
      </c>
      <c r="G10490" t="inlineStr">
        <is>
          <t>2020-08-16 04:11:38</t>
        </is>
      </c>
      <c r="H10490" t="inlineStr">
        <is>
          <t>Type 1</t>
        </is>
      </c>
    </row>
    <row r="10491">
      <c r="A10491" t="inlineStr">
        <is>
          <t>iaw6n9</t>
        </is>
      </c>
      <c r="B10491" t="inlineStr">
        <is>
          <t>Burnt out T1D</t>
        </is>
      </c>
      <c r="C10491" t="inlineStr">
        <is>
          <t>Good morning, I rarely post on reddit but here it goes. 
37 y/o T1D who is a tad burnt out and am in funk. Playing it super safe with Corona and it has left me pretty isolated sometimes I don’t even want to leave the house. I  am seeing a therapist but it seems like I have to constantly provide a science TED talk about what’s going on. I get caught up in between physical and mental health realms and don’t find much help in either one. 
I don’t really have any diabuddies, just out of being hard headed and not wanting to be defined by my condition. 
How are you coping and what helps you get through the day? How have you developed a community of diabuddies?</t>
        </is>
      </c>
      <c r="D10491" t="n">
        <v>1</v>
      </c>
      <c r="E10491" t="n">
        <v>34</v>
      </c>
      <c r="F10491">
        <f>HYPERLINK("https://www.reddit.com/r/diabetes/comments/iaw6n9/burnt_out_t1d/")</f>
        <v/>
      </c>
      <c r="G10491" t="inlineStr">
        <is>
          <t>2020-08-16 10:14:26</t>
        </is>
      </c>
      <c r="H10491" t="inlineStr">
        <is>
          <t>Type 1</t>
        </is>
      </c>
    </row>
    <row r="10492">
      <c r="A10492" t="inlineStr">
        <is>
          <t>iawnf6</t>
        </is>
      </c>
      <c r="B10492" t="inlineStr">
        <is>
          <t>Newly Diagnosed, stressed.</t>
        </is>
      </c>
      <c r="C10492" t="inlineStr">
        <is>
          <t>I apologize if you guys get a ton of these or if these posts aren't allowed. [Rules seemed to indicate post asking if I have it aren't allowed].   
So I made the recipe for my own disaster. I'm 29 years old USMC veteran, currently a senior in Electrical Engineering. So that means I'm constantly a mountain of stress, I'm also diagnosed with PTSD, Anxiety, Depression, ADD, fun times everywhere.   
Once I got out of the military, my weight skyrocketed. Within months I went from 215lbs to over 270lbs, by March of this year I was 297lbs. 
Queue the symptoms. I noticed that I was thirsty all the time, and was going to the bathroom about twice an hour. This went on from April until July. I was exercising a lot more, had lost about 30lbs, and it's been hot here, so I thought I was just losing a lot of water. But the thirst did not end. 
It wasn't until I woke up 3 weeks ago with a pain in my lower left side of my abdomen that wouldn't go away. I called the VA and was put on hold for an hour, called back, and go their night crew and was instructed to go to the emergency room and that the trip would be covered.   
When I got there I decided to mention the other symptoms and they immediately took my blood sugar, which was over 300mg/dL. I was told that I was in DKA, and that I had pancreatitis going on. I was put on fluids and moved to the ICU where they kept me for 3 days. They were taking my glucose levels every hour or so and were doing labs every 4 hours.  
Now it's 3 weeks later. My sugars are looking like [this now](https://imgur.com/wpRyWvs), with [these numbers](https://imgur.com/SAuuBH4) I've given in to old eating habits twice now having McDonalds one night, and Chik-fil-A yesterday.   
I'm finding it hard to fit carbs into my diet because we cook only meats and veggies at home (most of my weight gain came from eating fast-food and alcohol). This is leading to me getting very hungry at night and trying not to eat more than one (low carb) protein bar at night. This is a huge change, and I'm sure as time goes on I'll adapt. I'm still committed to losing weight, but it's just a lot right now.   
I'm checking my sugar in the AM and PM every day before eating and taking my Lantus(?) shot every night at the same time. I've completely removed alcohol from my life, which is making things awkward with friends who do drink. 
Anyway, sorry about the long ramble, I'm just new to all this. Thanks for your time.</t>
        </is>
      </c>
      <c r="D10492" t="n">
        <v>1</v>
      </c>
      <c r="E10492" t="n">
        <v>22</v>
      </c>
      <c r="F10492">
        <f>HYPERLINK("https://www.reddit.com/r/diabetes/comments/iawnf6/newly_diagnosed_stressed/")</f>
        <v/>
      </c>
      <c r="G10492" t="inlineStr">
        <is>
          <t>2020-08-16 10:40:12</t>
        </is>
      </c>
      <c r="H10492" t="inlineStr">
        <is>
          <t>Type 2</t>
        </is>
      </c>
    </row>
    <row r="10493">
      <c r="A10493" t="inlineStr">
        <is>
          <t>iazi1u</t>
        </is>
      </c>
      <c r="B10493" t="inlineStr">
        <is>
          <t>22km backcountry hike this weekend.</t>
        </is>
      </c>
      <c r="C10493" t="inlineStr">
        <is>
          <t>Lowest reading was 3.8, highest was 6.8. Constant intake of sugar to maintain glucose levels, probably took in about 7500 calories on the uphill hike in day.
43lb pack, carried my dog for some of it as well, total carry weight for some sections was 80lb.
That... that is what I call a win! 
$30 bag of trailmix (sugared almonds, reeses pieces, honey roast peanuts), 5 dehydrated meals, 4 gatorades and a couple dozen granola bars was enough to keep me running. Dropped my basal by 50%, took no fast acting except for 5 units for dinner (on a meal that would have normally taken 25-30 units humalog)
Stopped every 30 minutes for a handful of candy and a quarter bottle of gatorade, that seemed to be the magic number on the 4 hour uphill hike in!</t>
        </is>
      </c>
      <c r="D10493" t="n">
        <v>1</v>
      </c>
      <c r="E10493" t="n">
        <v>6</v>
      </c>
      <c r="F10493">
        <f>HYPERLINK("https://www.reddit.com/r/diabetes/comments/iazi1u/22km_backcountry_hike_this_weekend/")</f>
        <v/>
      </c>
      <c r="G10493" t="inlineStr">
        <is>
          <t>2020-08-16 13:14:52</t>
        </is>
      </c>
      <c r="H10493" t="inlineStr">
        <is>
          <t>Type 1</t>
        </is>
      </c>
    </row>
    <row r="10494">
      <c r="A10494" t="inlineStr">
        <is>
          <t>ib0709</t>
        </is>
      </c>
      <c r="B10494" t="inlineStr">
        <is>
          <t>Does anyone need some One Touch ultra testing stripes?</t>
        </is>
      </c>
      <c r="C10494" t="inlineStr">
        <is>
          <t>My wife accidentally bought the wrong kind and didn't realize until she popped the seal. We're happy to pay for shipping for someone in need</t>
        </is>
      </c>
      <c r="D10494" t="n">
        <v>1</v>
      </c>
      <c r="E10494" t="n">
        <v>4</v>
      </c>
      <c r="F10494">
        <f>HYPERLINK("https://www.reddit.com/r/diabetes/comments/ib0709/does_anyone_need_some_one_touch_ultra_testing/")</f>
        <v/>
      </c>
      <c r="G10494" t="inlineStr">
        <is>
          <t>2020-08-16 13:53:17</t>
        </is>
      </c>
      <c r="H10494" t="inlineStr">
        <is>
          <t>Type 1</t>
        </is>
      </c>
    </row>
    <row r="10495">
      <c r="A10495" t="inlineStr">
        <is>
          <t>ib1nsy</t>
        </is>
      </c>
      <c r="B10495" t="inlineStr">
        <is>
          <t>I had to use my Glucagon kit, now everything has changed</t>
        </is>
      </c>
      <c r="C10495" t="inlineStr">
        <is>
          <t>After 10 years I finally had a low that required my Glucagon kit. I'm very lucky my girlfriend was able to give it to me at 2 AM, and grateful for my dog for waking her up. Has any one else had to use theirs? what was your experience like in the days after?
This happened a week ago, and since then all my markers have been off. My insulin sensitivity is increased, and I go low almost every morning before breakfast. I've had to adjust my basal rates, as well as my bolus ratios, and it seems to change through out the day. 
I plan on speaking with my endo when I get an appointment next week, but I'm just curious if anyone has seen or heard of anything like this? Thanks! (also, getting jammed several times in the leg kinda sucks. 0/10 would not recommend).</t>
        </is>
      </c>
      <c r="D10495" t="n">
        <v>1</v>
      </c>
      <c r="E10495" t="n">
        <v>50</v>
      </c>
      <c r="F10495">
        <f>HYPERLINK("https://www.reddit.com/r/diabetes/comments/ib1nsy/i_had_to_use_my_glucagon_kit_now_everything_has/")</f>
        <v/>
      </c>
      <c r="G10495" t="inlineStr">
        <is>
          <t>2020-08-16 15:15:01</t>
        </is>
      </c>
      <c r="H10495" t="inlineStr">
        <is>
          <t>Type 1</t>
        </is>
      </c>
    </row>
    <row r="10496">
      <c r="A10496" t="inlineStr">
        <is>
          <t>ib2yh2</t>
        </is>
      </c>
      <c r="B10496" t="inlineStr">
        <is>
          <t>Tricks for keeping a Libre Sensor on for the full 14 days?</t>
        </is>
      </c>
      <c r="C10496" t="inlineStr">
        <is>
          <t>I just got my first Libre Sensor. I've been wearing it for 5 days, 4 of which were camping (hiking, swimming, sweating). My pump infusion sets always fall off after swimming for a bit so I wasn't too surprised when on the fourth day my Libre Sensor started to peel slightly. I've slapped some bandaids over it to keep it in place but am looking for a better solution to keep it on for the next 9 days.
Best solutions to keep a sensor on for the full two weeks?</t>
        </is>
      </c>
      <c r="D10496" t="n">
        <v>1</v>
      </c>
      <c r="E10496" t="n">
        <v>10</v>
      </c>
      <c r="F10496">
        <f>HYPERLINK("https://www.reddit.com/r/diabetes/comments/ib2yh2/tricks_for_keeping_a_libre_sensor_on_for_the_full/")</f>
        <v/>
      </c>
      <c r="G10496" t="inlineStr">
        <is>
          <t>2020-08-16 16:31:47</t>
        </is>
      </c>
      <c r="H10496" t="inlineStr">
        <is>
          <t>Type 1</t>
        </is>
      </c>
    </row>
    <row r="10497">
      <c r="A10497" t="inlineStr">
        <is>
          <t>ib3ims</t>
        </is>
      </c>
      <c r="B10497" t="inlineStr">
        <is>
          <t>Dexcom G6 Issues</t>
        </is>
      </c>
      <c r="C10497" t="inlineStr">
        <is>
          <t>Hey everyone! I just have a quick question. I’m running Dexcom G6 in my phone, and my sensor is fine, Bluetooth is on, and nothing else is wrong. But, my G6 likes to disconnect. CONSTANTLY. It’ll show sensor error, and then I’ll have to wait 3+ hours for it to reconnect. Any suggestions?</t>
        </is>
      </c>
      <c r="D10497" t="n">
        <v>1</v>
      </c>
      <c r="E10497" t="n">
        <v>4</v>
      </c>
      <c r="F10497">
        <f>HYPERLINK("https://www.reddit.com/r/diabetes/comments/ib3ims/dexcom_g6_issues/")</f>
        <v/>
      </c>
      <c r="G10497" t="inlineStr">
        <is>
          <t>2020-08-16 17:06:43</t>
        </is>
      </c>
      <c r="H10497" t="inlineStr">
        <is>
          <t>Type 1</t>
        </is>
      </c>
    </row>
    <row r="10498">
      <c r="A10498" t="inlineStr">
        <is>
          <t>ib67nf</t>
        </is>
      </c>
      <c r="B10498" t="inlineStr">
        <is>
          <t>My insulin bolus ratio has gone from 1U per 8g to 1U per 3or4g without any changes to my basal needed (tandem pump)</t>
        </is>
      </c>
      <c r="C10498" t="inlineStr">
        <is>
          <t>I'm well over a year into my type 1 diagnosis now, been on a pump since October last year with my latest HbA1c being 6.7%. Over the course of the last few months my bolus quantity has almost doubled and some. I was thinking insulin resistance but I have not needed to make any changes to my basal deliveries apart from a few decreases in the night and late morning hours. I am super sensitive to carbohydrates now, where my BG will climb very fast even with a large bolus and become steady around 10/11mmol/L then drop after an hour or with another large bolus.  
Has anyone else experienced something like this? It's weird that I suddenly need 25U of insulin for a carb heavy meal (say take out noodles). This is stressing me out a little. I hate to have my BG over 10mmol/L as it makes me feel awful physically and mentally. I am having to be hypervigilant and instensive to maintain my comfortable range but my boluses are losing efficacy.</t>
        </is>
      </c>
      <c r="D10498" t="n">
        <v>1</v>
      </c>
      <c r="E10498" t="n">
        <v>11</v>
      </c>
      <c r="F10498">
        <f>HYPERLINK("https://www.reddit.com/r/diabetes/comments/ib67nf/my_insulin_bolus_ratio_has_gone_from_1u_per_8g_to/")</f>
        <v/>
      </c>
      <c r="G10498" t="inlineStr">
        <is>
          <t>2020-08-16 20:01:00</t>
        </is>
      </c>
      <c r="H10498" t="inlineStr">
        <is>
          <t>Type 1</t>
        </is>
      </c>
    </row>
    <row r="10499">
      <c r="A10499" t="inlineStr">
        <is>
          <t>ib6tua</t>
        </is>
      </c>
      <c r="B10499" t="inlineStr">
        <is>
          <t>Why pancreas no work?</t>
        </is>
      </c>
      <c r="C10499" t="inlineStr">
        <is>
          <t>Just work please :(</t>
        </is>
      </c>
      <c r="D10499" t="n">
        <v>1</v>
      </c>
      <c r="E10499" t="n">
        <v>59</v>
      </c>
      <c r="F10499">
        <f>HYPERLINK("https://www.reddit.com/r/diabetes/comments/ib6tua/why_pancreas_no_work/")</f>
        <v/>
      </c>
      <c r="G10499" t="inlineStr">
        <is>
          <t>2020-08-16 20:44:28</t>
        </is>
      </c>
      <c r="H10499" t="inlineStr">
        <is>
          <t>Type 1</t>
        </is>
      </c>
    </row>
    <row r="10500">
      <c r="A10500" t="inlineStr">
        <is>
          <t>ib7k2n</t>
        </is>
      </c>
      <c r="B10500" t="inlineStr">
        <is>
          <t>Here is my 3 month progress</t>
        </is>
      </c>
      <c r="C10500" t="inlineStr">
        <is>
          <t>3 months ago, I was devastated when I found out that my a1c had gone to 15.4, I decided to change my lifestyle. I watched what I ate and walked \~ 8K steps a way (3.5 miles). Here is my progress!</t>
        </is>
      </c>
      <c r="D10500" t="n">
        <v>1</v>
      </c>
      <c r="E10500" t="n">
        <v>8</v>
      </c>
      <c r="F10500">
        <f>HYPERLINK("https://www.reddit.com/r/diabetes/comments/ib7k2n/here_is_my_3_month_progress/")</f>
        <v/>
      </c>
      <c r="G10500" t="inlineStr">
        <is>
          <t>2020-08-16 21:37:59</t>
        </is>
      </c>
      <c r="H10500" t="inlineStr">
        <is>
          <t>Type 2</t>
        </is>
      </c>
    </row>
    <row r="10501">
      <c r="A10501" t="inlineStr">
        <is>
          <t>ib7rmg</t>
        </is>
      </c>
      <c r="B10501" t="inlineStr">
        <is>
          <t>Help keep a mindset</t>
        </is>
      </c>
      <c r="C10501" t="inlineStr">
        <is>
          <t>Hi guys, first time posting on here. Been a type 1 since I was 12 (m20 now) and honestly the past couple of months I've felt burned out. I dont know why but I cant get back into the habit of checking and putting insulin. And I have all the easiest ways to do it i have a pump and i have cgm and yet I still don't do it. I know people out there are people out there who can't afford either and I am so grateful im in a place where I can afford them but I need to get back in the mindset. My girlfriend she tries and tries but she can't be on top of me everyday im a grown ass man and on top of that she's 5 months pregnant. I have a kid coming and I still can't get it under control. Any tips or anyome else whos gone through this have any way to get past this gunk im in?</t>
        </is>
      </c>
      <c r="D10501" t="n">
        <v>1</v>
      </c>
      <c r="E10501" t="n">
        <v>4</v>
      </c>
      <c r="F10501">
        <f>HYPERLINK("https://www.reddit.com/r/diabetes/comments/ib7rmg/help_keep_a_mindset/")</f>
        <v/>
      </c>
      <c r="G10501" t="inlineStr">
        <is>
          <t>2020-08-16 21:53:50</t>
        </is>
      </c>
      <c r="H10501" t="inlineStr">
        <is>
          <t>Type 1</t>
        </is>
      </c>
    </row>
    <row r="10502">
      <c r="A10502" t="inlineStr">
        <is>
          <t>ibaupa</t>
        </is>
      </c>
      <c r="B10502" t="inlineStr">
        <is>
          <t>Survey on Type 2 Diabetes</t>
        </is>
      </c>
      <c r="C10502" t="inlineStr">
        <is>
          <t xml:space="preserve"> Hello, we are a group of students from Tampines Meridian Junior College in Singapore, and we are conducting this survey for our Project Work, an 'A' level national examination subject, to find out more about the needs and difficulties of Type 2 diabetes patients in Singapore. This survey responses would not contribute to any research on diabetes as this is only used to improve the personal grades of students. Your personal information will be kept confidential. This survey would take only about 1.5 min of your time so your response would be greatly appreciated!  
Disclaimer: There will not be any compensation for your time taken doing this survey  
If any queries, please feel free to email our Group Leader: [kohli5916c@tmjc.edu.sg](mailto:kohli5916c@tmjc.edu.sg)  
 [https://docs.google.com/forms/d/e/1FAIpQLSdeMOTa87n3s-ppPN3rhzObqrEns1lPYAW8DhvdsduJz1xE8A/viewform](https://docs.google.com/forms/d/e/1FAIpQLSdeMOTa87n3s-ppPN3rhzObqrEns1lPYAW8DhvdsduJz1xE8A/viewform)</t>
        </is>
      </c>
      <c r="D10502" t="n">
        <v>1</v>
      </c>
      <c r="E10502" t="n">
        <v>0</v>
      </c>
      <c r="F10502">
        <f>HYPERLINK("https://www.reddit.com/r/diabetes/comments/ibaupa/survey_on_type_2_diabetes/")</f>
        <v/>
      </c>
      <c r="G10502" t="inlineStr">
        <is>
          <t>2020-08-17 02:22:11</t>
        </is>
      </c>
      <c r="H10502" t="inlineStr">
        <is>
          <t>Type 2</t>
        </is>
      </c>
    </row>
    <row r="10503">
      <c r="A10503" t="inlineStr">
        <is>
          <t>ibavvn</t>
        </is>
      </c>
      <c r="B10503" t="inlineStr">
        <is>
          <t>School opening up</t>
        </is>
      </c>
      <c r="C10503" t="inlineStr">
        <is>
          <t>Hi I am type 2 and not very controlled but that is a whole other story.  I am 45 and overweight. My worry is about the schools opening up again. I have 2 girls who are 5 &amp;amp; 7 who have been at home since March along with everyone else’s children here in the UK. I don’t know what to do about sending them back in September. I cannot home school them effectively, it ends up in an argument or straight out refusal. I am working from home while my husband is at work. He is pushing for us not to send them back but I don’t know if I can face another 6 months with them at home. Please if anyone else is in this position can you let me know what you are planning on doing? I want them to go back but as I don’t want them catching it and bringing it home</t>
        </is>
      </c>
      <c r="D10503" t="n">
        <v>1</v>
      </c>
      <c r="E10503" t="n">
        <v>5</v>
      </c>
      <c r="F10503">
        <f>HYPERLINK("https://www.reddit.com/r/diabetes/comments/ibavvn/school_opening_up/")</f>
        <v/>
      </c>
      <c r="G10503" t="inlineStr">
        <is>
          <t>2020-08-17 02:24:58</t>
        </is>
      </c>
      <c r="H10503" t="inlineStr">
        <is>
          <t>Type 2</t>
        </is>
      </c>
    </row>
    <row r="10504">
      <c r="A10504" t="inlineStr">
        <is>
          <t>ibb07z</t>
        </is>
      </c>
      <c r="B10504" t="inlineStr">
        <is>
          <t>Kind of a strange question but I need to know, as a type 1 diabetic, there's been a few occasions where I'd "sleep walk" as a result of my blood sugar being low af. Is this normal?</t>
        </is>
      </c>
      <c r="C10504" t="inlineStr">
        <is>
          <t>Tbh it's not like sleep walking, it's more like I wake up and I have one hand on the steering wheel. I'll walk around, talk to people, sometimes even check my sugar or try to get food, but I don't have complete control over my actions. It's over ever happened a few times (5 as I remember) and each time has happened as I slept. I'd go to sleep with normal sugar, then wake up so low that I'd be unable to get food for myself and I'd act as if I'm on drugs or heavily drunk. I'd get easily confused and I'd feel like a passenger within my own body. 
I'd want to eat and not be low, but my body wouldn't listen to me and I'd get increasingly confused. Thankfully out of the five times this has happened I'd either gain enough control of myself to eat or a family member would come to my assistance. But I'm terrified of this happening in a situation where I'm alone and unable to control myself enough to eat something. 
So am I alone in this symptom? Has anyone else had the extreme discomfort of thinking they're going to go into a coma or die because they couldn't control their body enough to eat a fucking bowl of ice cream? If I'm not alone, is there a way to make sure this doesn't occur? Or is it just one of the many percs of not having a proper pancreas?</t>
        </is>
      </c>
      <c r="D10504" t="n">
        <v>1</v>
      </c>
      <c r="E10504" t="n">
        <v>2</v>
      </c>
      <c r="F10504">
        <f>HYPERLINK("https://www.reddit.com/r/diabetes/comments/ibb07z/kind_of_a_strange_question_but_i_need_to_know_as/")</f>
        <v/>
      </c>
      <c r="G10504" t="inlineStr">
        <is>
          <t>2020-08-17 02:35:54</t>
        </is>
      </c>
      <c r="H10504" t="inlineStr">
        <is>
          <t>Type 1</t>
        </is>
      </c>
    </row>
    <row r="10505">
      <c r="A10505" t="inlineStr">
        <is>
          <t>ibhvph</t>
        </is>
      </c>
      <c r="B10505" t="inlineStr">
        <is>
          <t>Has anyone had similar testing results pre-diagnosis? (Non-diabetic)</t>
        </is>
      </c>
      <c r="C10505" t="inlineStr">
        <is>
          <t>I've been experiencing large blood sugar swings for the past few months. I bought a glucometer and measured readings that go as low as 50 and as high as the 200's. I paid out of pocket to see an Endo (not health insurance, so this has been an expensive journey). He was very short and ordered a fasting glucose test and hba1c. Here are my lab results:
Fasting glucose: 90  
Hba1c: 5.1 
All normal so far, but I know something is up with my blood sugar. So I took the 2 hour OGTT at a lab and got this:  
Fasting: 83  
1 hour: 233  
2 hour: 91 (looks like I went back to normal, but I got big hypo symptoms and at the 3rd hour I checked and was 50)  
Obviously that 50 isn't on the lab report so if needed, I may retake the 3 hour one to document that.  
I found a lab to test my GAD 65 without a referral. I got my results today. Under 5.0 (it doesn't give me an exact #. I'm at a bit of a loss on the next step). I'm in my mid-20's and a slim male, so I'd be shocked if it's Type 2. Perhaps it's not diabetes at all but something else messing with me. I have an upcoming appt with the endo again, but every appt is over $200 so I'm hesitant and thinking I should just get another test done on my own first, before I spend money on a $200+ visit just to have him order a test and schedule another $200 visit to review it.  
With the symptoms and results I have, what makes the most sense here as to what to test next? C-peptide or islet antibody? What else could I be experiencing if it's not diabetes related?</t>
        </is>
      </c>
      <c r="D10505" t="n">
        <v>1</v>
      </c>
      <c r="E10505" t="n">
        <v>14</v>
      </c>
      <c r="F10505">
        <f>HYPERLINK("https://www.reddit.com/r/diabetes/comments/ibhvph/has_anyone_had_similar_testing_results/")</f>
        <v/>
      </c>
      <c r="G10505" t="inlineStr">
        <is>
          <t>2020-08-17 09:54:02</t>
        </is>
      </c>
      <c r="H10505" t="inlineStr">
        <is>
          <t>Type 1.5/LADA</t>
        </is>
      </c>
    </row>
    <row r="10506">
      <c r="A10506" t="inlineStr">
        <is>
          <t>ibkc5a</t>
        </is>
      </c>
      <c r="B10506" t="inlineStr">
        <is>
          <t>is there a way to get a refund for my pancreas? i have the receipt.</t>
        </is>
      </c>
      <c r="C10506" t="inlineStr">
        <is>
          <t>can i plz just return this one for a new, functioning one?</t>
        </is>
      </c>
      <c r="D10506" t="n">
        <v>1</v>
      </c>
      <c r="E10506" t="n">
        <v>23</v>
      </c>
      <c r="F10506">
        <f>HYPERLINK("https://www.reddit.com/r/diabetes/comments/ibkc5a/is_there_a_way_to_get_a_refund_for_my_pancreas_i/")</f>
        <v/>
      </c>
      <c r="G10506" t="inlineStr">
        <is>
          <t>2020-08-17 11:54:25</t>
        </is>
      </c>
      <c r="H10506" t="inlineStr">
        <is>
          <t>Type 1</t>
        </is>
      </c>
    </row>
    <row r="10507">
      <c r="A10507" t="inlineStr">
        <is>
          <t>ibnr0a</t>
        </is>
      </c>
      <c r="B10507" t="inlineStr">
        <is>
          <t>I can't get used to this lifestyle</t>
        </is>
      </c>
      <c r="C10507" t="inlineStr">
        <is>
          <t>Hello, I've lurked here since I was diagnosed, but this is my first post. I think this is more to get it off my chest, and see if anyone else went through similar.
Also a cross post from r/diabetes_t1
I was diagnosed in October 2019, and I live in the UK, I'm a 26F.
I discovered I was a T1D because over 3 or so days, I couldn't see across the shop I worked in, everything had just gone blurry, but 3 weeks prior, my reading glasses prescription had been lowered, so I booked for another appointment, as I had my driving test coming up, and they couldn't see a reason why. A gent I work with used to work in opticians, and mentions he'd seen that type of thing in diabetics, so the same evening I went to the pharmacy at my local store, and they checked my sugar levels, which just read "HI" (Over 30 mmol), and suggested I immediately went to A&amp;amp;E.
I got to A&amp;amp;E, explained everything, and ended up being told, "you're diabetic, likely T1, but come back in the morning after we get some results back and we'll confirm/deny". I went back, was confirmed T1, given everything I needed, a repeat prescription, some contact details for local resources and told they'd keep in touch especially being as I was 25 at the time of diagnoses.
I spent around 3/4 months in denial to start with. I cut sugary sweets/drinks out, and thought that was enough. I didn't understand enough about carbs to realise I needed to cut as much of them out as possible.
Early March, the BF and I go out for dinner and drinks, and the next day we both felt iffy, but I stayed ill for a couple of days, and got so bad I couldn't drink or hold down water. We called the non emergency line, and I was once again told to go immediately to hospital, where I spend the next 3 days, constantly having bloods drawn, being given IV Glucose, saline, and potassium. It turns out I had DKA.
While I'd been ill (Potentially from the food, maybe that was coincidence), I'd taken maybe 2 injections, and they were my daily long-acting ones, not the short-acting ones to have with food/drink. And it had just made me worse.
All this made me realise I can't bury my head in the sand and ignore it like I had been, but I'm just struggling so much. I'm not great with food, I dislike a lot (I'm improving, but it's slow progress), and although I've been even better with drinks than I had been, I love my latte's, especially caramel ones. Food wise, I love pasta, because of it's versatility, and crisps to go with lunch at work (I usually take leftover dinner or make sandwiches).
I've also lost a lot of weight. In January I weighed around 98KG, I now weigh closer to 63KG. I've dropped 3 (maybe 4) dress sizes, and although I feel better for it, I know I've lost all that weight because of being diabetic and handling it so poorly.
I can't get used to this life, and I still have nights/days where I have to ask my bf to go get my insulin because I've forgotten to take it and I'm feeling sick. I had my first lot of blood tests last week for HBA1C and a thyroid test (DR is concerned that may be behind the rapid weight loss), but I'm still waiting on the results. I've had a couple of changes to my dose levels for DMI's, but they're minor adjustments for now. I feel a bit ridiculous, but I also feel very alone through this so far. 
Did anyone else feel like this? Or am I just being absolutely stupid?</t>
        </is>
      </c>
      <c r="D10507" t="n">
        <v>1</v>
      </c>
      <c r="E10507" t="n">
        <v>9</v>
      </c>
      <c r="F10507">
        <f>HYPERLINK("https://www.reddit.com/r/diabetes/comments/ibnr0a/i_cant_get_used_to_this_lifestyle/")</f>
        <v/>
      </c>
      <c r="G10507" t="inlineStr">
        <is>
          <t>2020-08-17 14:48:59</t>
        </is>
      </c>
      <c r="H10507" t="inlineStr">
        <is>
          <t>Type 1</t>
        </is>
      </c>
    </row>
    <row r="10508">
      <c r="A10508" t="inlineStr">
        <is>
          <t>ibooxg</t>
        </is>
      </c>
      <c r="B10508" t="inlineStr">
        <is>
          <t>Looking for some advice concerning sports and T1D</t>
        </is>
      </c>
      <c r="C10508" t="inlineStr">
        <is>
          <t>Hello my fellow diabetics,
I recently got in to cycling (on a racing bike, I don’t know what the English term is, but like the guys in the tour de france). Everytime I go out I struggle with my bloodsugar, because it drops like crazy. I’ve resorted to bringing one bottle of soda with me next to my bottle of water, but even after I finished my round my bloodsugar still drops like crazy.
Long question short: how do you guys cope with low bloodsugars while/after working out?</t>
        </is>
      </c>
      <c r="D10508" t="n">
        <v>1</v>
      </c>
      <c r="E10508" t="n">
        <v>8</v>
      </c>
      <c r="F10508">
        <f>HYPERLINK("https://www.reddit.com/r/diabetes/comments/ibooxg/looking_for_some_advice_concerning_sports_and_t1d/")</f>
        <v/>
      </c>
      <c r="G10508" t="inlineStr">
        <is>
          <t>2020-08-17 15:38:54</t>
        </is>
      </c>
      <c r="H10508" t="inlineStr">
        <is>
          <t>Type 1</t>
        </is>
      </c>
    </row>
    <row r="10509">
      <c r="A10509" t="inlineStr">
        <is>
          <t>ibpqj4</t>
        </is>
      </c>
      <c r="B10509" t="inlineStr">
        <is>
          <t>I can’t believe I haven’t been using a Dexcom since the beginning.</t>
        </is>
      </c>
      <c r="C10509" t="inlineStr">
        <is>
          <t>I’ve been using a Dexcom G6 for the past 4 days and already I’ve noticed it’s amazing. To be able to monitor my BS throughout the entire day instead of guessing or pricking my finger is the best thing ever. I got diagnosed with T1 in December of last year so I’m relatively new at this but doing 4-5 finger pricked per day was already getting annoying. I’m baffled at the fact that I didn’t know about this for the past 8 months.</t>
        </is>
      </c>
      <c r="D10509" t="n">
        <v>1</v>
      </c>
      <c r="E10509" t="n">
        <v>1</v>
      </c>
      <c r="F10509">
        <f>HYPERLINK("https://www.reddit.com/r/diabetes/comments/ibpqj4/i_cant_believe_i_havent_been_using_a_dexcom_since/")</f>
        <v/>
      </c>
      <c r="G10509" t="inlineStr">
        <is>
          <t>2020-08-17 16:39:46</t>
        </is>
      </c>
      <c r="H10509" t="inlineStr">
        <is>
          <t>Type 1</t>
        </is>
      </c>
    </row>
    <row r="10510">
      <c r="A10510" t="inlineStr">
        <is>
          <t>ibs5m1</t>
        </is>
      </c>
      <c r="B10510" t="inlineStr">
        <is>
          <t>Pre bolus + Low GI meal</t>
        </is>
      </c>
      <c r="C10510" t="inlineStr">
        <is>
          <t>Anyone have issues with going low right after eating when pre bolusing for a meal that’s “high volume” and mostly low GI carbs?
I had a small apple and a veggie burger in a pita pocket.  But I also had a GIGANTIC bowl of lentil soup that was probably like 50% of all the carbs I ate. 
I’d say about 25 out of the 80 carbs I ate should’ve spiked my blood sugar fast. Only pre bolused 15 minutes. 
I didn’t actually go low, (only went from like 100 to 79), but it’s always nerve wracking when my blood sugar is falling before the insulin hits it’s peak strength.
I’m wondering if the volume of the soup maybe just like... basically engulfed all the other food in my stomach lol</t>
        </is>
      </c>
      <c r="D10510" t="n">
        <v>1</v>
      </c>
      <c r="E10510" t="n">
        <v>1</v>
      </c>
      <c r="F10510">
        <f>HYPERLINK("https://www.reddit.com/r/diabetes/comments/ibs5m1/pre_bolus_low_gi_meal/")</f>
        <v/>
      </c>
      <c r="G10510" t="inlineStr">
        <is>
          <t>2020-08-17 19:07:46</t>
        </is>
      </c>
      <c r="H10510" t="inlineStr">
        <is>
          <t>Type 1</t>
        </is>
      </c>
    </row>
    <row r="10511">
      <c r="A10511" t="inlineStr">
        <is>
          <t>ibs6ym</t>
        </is>
      </c>
      <c r="B10511" t="inlineStr">
        <is>
          <t>Pre bolus + low GI meal = low blood sugar??</t>
        </is>
      </c>
      <c r="C10511" t="inlineStr">
        <is>
          <t>Anyone have issues with going low right after eating when pre bolusing for a meal that’s “high volume” and mostly low GI carbs?
I had a small apple and a veggie burger in a pita pocket.  But I also had a GIGANTIC bowl of lentil soup that was probably like 50% of all the carbs I ate. 
I’d say about 25 out of the 80 carbs I ate should’ve spiked my blood sugar fast (apple + pita). Only pre bolused 15 minutes. 
I didn’t actually go low, (only went from like 100 to 79), but it’s always nerve wracking when my blood sugar is falling before the insulin even hits its peak strength.
I’m wondering if the volume of the soup maybe just like... basically engulfed all the other food in my stomach lol</t>
        </is>
      </c>
      <c r="D10511" t="n">
        <v>1</v>
      </c>
      <c r="E10511" t="n">
        <v>1</v>
      </c>
      <c r="F10511">
        <f>HYPERLINK("https://www.reddit.com/r/diabetes/comments/ibs6ym/pre_bolus_low_gi_meal_low_blood_sugar/")</f>
        <v/>
      </c>
      <c r="G10511" t="inlineStr">
        <is>
          <t>2020-08-17 19:10:05</t>
        </is>
      </c>
      <c r="H10511" t="inlineStr">
        <is>
          <t>Type 1</t>
        </is>
      </c>
    </row>
    <row r="10512">
      <c r="A10512" t="inlineStr">
        <is>
          <t>ibup1n</t>
        </is>
      </c>
      <c r="B10512" t="inlineStr">
        <is>
          <t>When to switch to pump</t>
        </is>
      </c>
      <c r="C10512" t="inlineStr">
        <is>
          <t>Hi I was diagnosed with type 1 a month ago. At first I figured I’d be happy with the pen for awhile as long as I got a cgm. Now I’m just wondering if there is a point in using pens when my insurance probably covers a tandem slim. Also any tips in dealing with doctors. Seems like half the time I have to inform my doctor of best practices.</t>
        </is>
      </c>
      <c r="D10512" t="n">
        <v>1</v>
      </c>
      <c r="E10512" t="n">
        <v>5</v>
      </c>
      <c r="F10512">
        <f>HYPERLINK("https://www.reddit.com/r/diabetes/comments/ibup1n/when_to_switch_to_pump/")</f>
        <v/>
      </c>
      <c r="G10512" t="inlineStr">
        <is>
          <t>2020-08-17 21:58:27</t>
        </is>
      </c>
      <c r="H10512" t="inlineStr">
        <is>
          <t>Type 1</t>
        </is>
      </c>
    </row>
    <row r="10513">
      <c r="A10513" t="inlineStr">
        <is>
          <t>ibz8eu</t>
        </is>
      </c>
      <c r="B10513" t="inlineStr">
        <is>
          <t>Just diagnosed, a little worried</t>
        </is>
      </c>
      <c r="C10513" t="inlineStr">
        <is>
          <t>So usually I exercise a lot but it appears the lack of gyms has caught up with me and I’ve basically just been diagnosed as type 2 diabetic. Of course I know to basically cut out sugar entirely but I’m wondering, would I still be able to have occasional sodas, candies etc., I don’t mean always I just mean if it’s a birthday can I have some cake or something like that, or is it basically a T total sort of thing. 
I’m a little worried tbh and just wondering how strict I have to be</t>
        </is>
      </c>
      <c r="D10513" t="n">
        <v>1</v>
      </c>
      <c r="E10513" t="n">
        <v>12</v>
      </c>
      <c r="F10513">
        <f>HYPERLINK("https://www.reddit.com/r/diabetes/comments/ibz8eu/just_diagnosed_a_little_worried/")</f>
        <v/>
      </c>
      <c r="G10513" t="inlineStr">
        <is>
          <t>2020-08-18 04:27:52</t>
        </is>
      </c>
      <c r="H10513" t="inlineStr">
        <is>
          <t>Type 2</t>
        </is>
      </c>
    </row>
    <row r="10514">
      <c r="A10514" t="inlineStr">
        <is>
          <t>ic0vrb</t>
        </is>
      </c>
      <c r="B10514" t="inlineStr">
        <is>
          <t>Is Basmati rice good?</t>
        </is>
      </c>
      <c r="C10514" t="inlineStr">
        <is>
          <t>Everyone says white rice is bad but I read that Basmati has a GI around 50-58</t>
        </is>
      </c>
      <c r="D10514" t="n">
        <v>1</v>
      </c>
      <c r="E10514" t="n">
        <v>3</v>
      </c>
      <c r="F10514">
        <f>HYPERLINK("https://www.reddit.com/r/diabetes/comments/ic0vrb/is_basmati_rice_good/")</f>
        <v/>
      </c>
      <c r="G10514" t="inlineStr">
        <is>
          <t>2020-08-18 06:22:05</t>
        </is>
      </c>
      <c r="H10514" t="inlineStr">
        <is>
          <t>Type 2</t>
        </is>
      </c>
    </row>
    <row r="10515">
      <c r="A10515" t="inlineStr">
        <is>
          <t>ic3bki</t>
        </is>
      </c>
      <c r="B10515" t="inlineStr">
        <is>
          <t>Any healthy breakfast recommendations for type 2?</t>
        </is>
      </c>
      <c r="C10515" t="inlineStr">
        <is>
          <t>I am having cherries and blueberries with one piece of whole wheat toast for breakfast almost everyday and I am kinda bored now. Any good recommendations for someone who blood sugar keep stay on 6.2mmol in the morning? I was also wondering is eating fruit for breakfast safe for diabetic ppl too</t>
        </is>
      </c>
      <c r="D10515" t="n">
        <v>1</v>
      </c>
      <c r="E10515" t="n">
        <v>19</v>
      </c>
      <c r="F10515">
        <f>HYPERLINK("https://www.reddit.com/r/diabetes/comments/ic3bki/any_healthy_breakfast_recommendations_for_type_2/")</f>
        <v/>
      </c>
      <c r="G10515" t="inlineStr">
        <is>
          <t>2020-08-18 08:38:28</t>
        </is>
      </c>
      <c r="H10515" t="inlineStr">
        <is>
          <t>Type 2</t>
        </is>
      </c>
    </row>
    <row r="10516">
      <c r="A10516" t="inlineStr">
        <is>
          <t>ic5yi3</t>
        </is>
      </c>
      <c r="B10516" t="inlineStr">
        <is>
          <t>Stigma and diabetes type 2</t>
        </is>
      </c>
      <c r="C10516" t="inlineStr">
        <is>
          <t>I was recently diagnosed with diabetes type 2 and I feel a lot of stigma.   A lot of people think you "brought this on yourself."  How do you deal with this?</t>
        </is>
      </c>
      <c r="D10516" t="n">
        <v>1</v>
      </c>
      <c r="E10516" t="n">
        <v>7</v>
      </c>
      <c r="F10516">
        <f>HYPERLINK("https://www.reddit.com/r/diabetes/comments/ic5yi3/stigma_and_diabetes_type_2/")</f>
        <v/>
      </c>
      <c r="G10516" t="inlineStr">
        <is>
          <t>2020-08-18 10:53:13</t>
        </is>
      </c>
      <c r="H10516" t="inlineStr">
        <is>
          <t>Type 2</t>
        </is>
      </c>
    </row>
    <row r="10517">
      <c r="A10517" t="inlineStr">
        <is>
          <t>ic71vs</t>
        </is>
      </c>
      <c r="B10517" t="inlineStr">
        <is>
          <t>Love/Hate my Libre Freestyle</t>
        </is>
      </c>
      <c r="C10517" t="inlineStr">
        <is>
          <t>Once again, a sensor is failing. I put on a new sensor this morning. Nice tight seal to my skin. Got two readings a few hours apart. It is still securely fastened and now the message is "check again in ten minutes".
Argh! I love the graphs and trend lines. I hate not knowing how long it will last. I'm close to giving up on it.</t>
        </is>
      </c>
      <c r="D10517" t="n">
        <v>1</v>
      </c>
      <c r="E10517" t="n">
        <v>3</v>
      </c>
      <c r="F10517">
        <f>HYPERLINK("https://www.reddit.com/r/diabetes/comments/ic71vs/lovehate_my_libre_freestyle/")</f>
        <v/>
      </c>
      <c r="G10517" t="inlineStr">
        <is>
          <t>2020-08-18 11:48:08</t>
        </is>
      </c>
      <c r="H10517" t="inlineStr">
        <is>
          <t>Type 2</t>
        </is>
      </c>
    </row>
    <row r="10518">
      <c r="A10518" t="inlineStr">
        <is>
          <t>ic8ydo</t>
        </is>
      </c>
      <c r="B10518" t="inlineStr">
        <is>
          <t>Glucose monitoring for T2</t>
        </is>
      </c>
      <c r="C10518" t="inlineStr">
        <is>
          <t>Anyone here using glucose monitoring device for type 2 such as Dexcom? I started using Dexcom month back and I feel obsessed as I keep checking my reading every 10/15 min. But sometime I also feel stressed when I see sugar going up. How you are holding up? Any tips or advice? Thanks. (I am always in control 90% of time. Just FYI)</t>
        </is>
      </c>
      <c r="D10518" t="n">
        <v>1</v>
      </c>
      <c r="E10518" t="n">
        <v>0</v>
      </c>
      <c r="F10518">
        <f>HYPERLINK("https://www.reddit.com/r/diabetes/comments/ic8ydo/glucose_monitoring_for_t2/")</f>
        <v/>
      </c>
      <c r="G10518" t="inlineStr">
        <is>
          <t>2020-08-18 13:24:44</t>
        </is>
      </c>
      <c r="H10518" t="inlineStr">
        <is>
          <t>Type 2</t>
        </is>
      </c>
    </row>
    <row r="10519">
      <c r="A10519" t="inlineStr">
        <is>
          <t>icamm1</t>
        </is>
      </c>
      <c r="B10519" t="inlineStr">
        <is>
          <t>Rant</t>
        </is>
      </c>
      <c r="C10519" t="inlineStr">
        <is>
          <t>I'm 23, I weigh 146 lbs. And I was diagnosed at 13 with T2. Not gonna lie, I am terrible about taking care of myself. I struggle with CPTSD and lately I've been slacking on taking my meds. I used to take metformin 3 times a day at 500mg, but the side effects were too much for me. I've gone through 3 different medications trying to control my diabetes. And I have a terrible habit of eating unhealthy as a way of self harm. 
The past couple days I've checked my bloodsugar and they've been running 400-500 fasting. And today I went in for a check up. My doctors said that they think im past the point of return and that I will be on insulin because even though I am healthy and eat pretty healthy, my A1C was 13. 
Whenever I tell someone I am diabetic, they treat me different and have no issues telling people and I get scolded for not saying anything. I just want to be normal and be able to enjoy the same things everyone else likes.</t>
        </is>
      </c>
      <c r="D10519" t="n">
        <v>1</v>
      </c>
      <c r="E10519" t="n">
        <v>9</v>
      </c>
      <c r="F10519">
        <f>HYPERLINK("https://www.reddit.com/r/diabetes/comments/icamm1/rant/")</f>
        <v/>
      </c>
      <c r="G10519" t="inlineStr">
        <is>
          <t>2020-08-18 14:53:31</t>
        </is>
      </c>
      <c r="H10519" t="inlineStr">
        <is>
          <t>Type 2</t>
        </is>
      </c>
    </row>
    <row r="10520">
      <c r="A10520" t="inlineStr">
        <is>
          <t>icasbm</t>
        </is>
      </c>
      <c r="B10520" t="inlineStr">
        <is>
          <t>omnipod vs tslim pump</t>
        </is>
      </c>
      <c r="C10520" t="inlineStr">
        <is>
          <t>what’s the difference like pros &amp;amp; cons? i (18f) have never had a pump because i hate the thought of having something attached to me 24/7 and malfunctions kinda just scare me. literally took me a year to even think about getting a dexcom g6, but having a pump is probably gonna be inevitable as i get older.</t>
        </is>
      </c>
      <c r="D10520" t="n">
        <v>1</v>
      </c>
      <c r="E10520" t="n">
        <v>4</v>
      </c>
      <c r="F10520">
        <f>HYPERLINK("https://www.reddit.com/r/diabetes/comments/icasbm/omnipod_vs_tslim_pump/")</f>
        <v/>
      </c>
      <c r="G10520" t="inlineStr">
        <is>
          <t>2020-08-18 15:02:04</t>
        </is>
      </c>
      <c r="H10520" t="inlineStr">
        <is>
          <t>Type 1</t>
        </is>
      </c>
    </row>
    <row r="10521">
      <c r="A10521" t="inlineStr">
        <is>
          <t>icb4jv</t>
        </is>
      </c>
      <c r="B10521" t="inlineStr">
        <is>
          <t>Fatigue on Janumet</t>
        </is>
      </c>
      <c r="C10521" t="inlineStr">
        <is>
          <t xml:space="preserve"> Hi, everyone. I'm newly diagnosed after being alarmed at what I thought was going to be a general visit with my doctor to find my blood sugar was more than 400. So ... that's not good. I had been on a couple of months of steroids, and likely that's what pushed it to the stratosphere.
My doctor put me on Janumet. I've been taking it for more than a week now. My initial dose started at two 50mg/500 mg pills a day. And I have felt ... like ... hell. Extremely tired. Around 2-3 each day, I just crash out. Now, to be fair, I did that some after big meals before taking the medicine, likely caused by the untreated diabetes. But this is different. This is like some sort of stupor. I feel just run-down.
I've been told by another physician that when you're first taking this stuff, it can be hard on your body as it works to draw blood sugar down. Mine this morning was around 157, which may not sound impressive but it's been constantly going down. It was 315 when I saw my doctor again when he gave me the medication, then steadily going down when I check it. So we're on the right track -- at the cost of me feeling like hell.
The samples he gave me jump up from the initial dose to 50/1000. As bad as I presently feel, I can't imagine taking twice as much of this stuff. I was supposed to see him Friday, but some further family commitments may mean I go to see him tomorrow or Thursday.
Is this unheard of? Typical? Should I be drinking more? My wife and I have really tried to watch my diet. I'm a big guy, and we've really cut calories and tried to switch to low-carb. Can that be a factor? 
I did have some stomach upset early on, but that seems to have mostly cleared. So that's good. 
Sorry for all the questions. Thanks for any advice.</t>
        </is>
      </c>
      <c r="D10521" t="n">
        <v>1</v>
      </c>
      <c r="E10521" t="n">
        <v>1</v>
      </c>
      <c r="F10521">
        <f>HYPERLINK("https://www.reddit.com/r/diabetes/comments/icb4jv/fatigue_on_janumet/")</f>
        <v/>
      </c>
      <c r="G10521" t="inlineStr">
        <is>
          <t>2020-08-18 15:20:49</t>
        </is>
      </c>
      <c r="H10521" t="inlineStr">
        <is>
          <t>Type 2</t>
        </is>
      </c>
    </row>
    <row r="10522">
      <c r="A10522" t="inlineStr">
        <is>
          <t>icd9u1</t>
        </is>
      </c>
      <c r="B10522" t="inlineStr">
        <is>
          <t>Looking for some insight</t>
        </is>
      </c>
      <c r="C10522" t="inlineStr">
        <is>
          <t>I've been a type 2 for 7-10 years, doing well on metformin and keeping my a1c in acceptable if not great range. Then cancer hit. Steroids from the chemo played havoc with my blood sugar. I went from 130 fasting to 300+. A cup of coffee with powdered creamer would shoot it up 400+. 
So off all the drugs and now insulin. For some reason, radiation treatments made it much worse and my a1c shot to 11. Checking at least 4 times a day (more if my Libre sensor is working). Eating to the meter has helped a lot. Some foods don't spike my blood sugar the way I would expect (apples or oranges are safe in moderation). My a1c has went down quickly and is now at 6.2.  I'm even taking less insulin, sometimes none during the day.
So where do I go from here? My diet is under control. I'd like to exercise more but, even after 8 months since my last chemo, I'm still ridiculously weak. I do all the hand, foot, and arm exercises I can but walking even a block is still a not viable.</t>
        </is>
      </c>
      <c r="D10522" t="n">
        <v>1</v>
      </c>
      <c r="E10522" t="n">
        <v>0</v>
      </c>
      <c r="F10522">
        <f>HYPERLINK("https://www.reddit.com/r/diabetes/comments/icd9u1/looking_for_some_insight/")</f>
        <v/>
      </c>
      <c r="G10522" t="inlineStr">
        <is>
          <t>2020-08-18 17:26:30</t>
        </is>
      </c>
      <c r="H10522" t="inlineStr">
        <is>
          <t>Type 2</t>
        </is>
      </c>
    </row>
    <row r="10523">
      <c r="A10523" t="inlineStr">
        <is>
          <t>icdh58</t>
        </is>
      </c>
      <c r="B10523" t="inlineStr">
        <is>
          <t>Omnipod screen broke - NEED HELP</t>
        </is>
      </c>
      <c r="C10523" t="inlineStr">
        <is>
          <t>My omnipod PDM screen just broke but it still works. If anyone currently has the Omnipod PDM and could help me get to the bolus screen by telling me which buttons I can figure out the rest. I would greatly appreciate it.</t>
        </is>
      </c>
      <c r="D10523" t="n">
        <v>1</v>
      </c>
      <c r="E10523" t="n">
        <v>3</v>
      </c>
      <c r="F10523">
        <f>HYPERLINK("https://www.reddit.com/r/diabetes/comments/icdh58/omnipod_screen_broke_need_help/")</f>
        <v/>
      </c>
      <c r="G10523" t="inlineStr">
        <is>
          <t>2020-08-18 17:39:30</t>
        </is>
      </c>
      <c r="H10523" t="inlineStr">
        <is>
          <t>Type 1</t>
        </is>
      </c>
    </row>
    <row r="10524">
      <c r="A10524" t="inlineStr">
        <is>
          <t>ichi79</t>
        </is>
      </c>
      <c r="B10524" t="inlineStr">
        <is>
          <t>High urine creatinine with normal blood creatinine levels. 34M DM2.</t>
        </is>
      </c>
      <c r="C10524" t="inlineStr">
        <is>
          <t>Hi,
I was diagnosed with DM2 about a year ago and started taking metformin and crestor as directed by Doc.
In recent test I have seen this as an anomaly.
Should I be worried? or this is just random test and maybe due to dehydration or something its high?
HA1C 5.7
Sodium 141 mmol/L
Potassium 4.6 mmol/L
Creatinine 79 umol/L
Glomerular Filtration Rate (eGFR) 111  
**Albumin Creatinine Ratio Urine**
Albumin (Urine) 24 mg/L
Creatinine (Urine) **HI 28.6** mmol/L
Albumin/Creatinine 0.8&amp;lt; 2.0 mg/mmol</t>
        </is>
      </c>
      <c r="D10524" t="n">
        <v>1</v>
      </c>
      <c r="E10524" t="n">
        <v>2</v>
      </c>
      <c r="F10524">
        <f>HYPERLINK("https://www.reddit.com/r/diabetes/comments/ichi79/high_urine_creatinine_with_normal_blood/")</f>
        <v/>
      </c>
      <c r="G10524" t="inlineStr">
        <is>
          <t>2020-08-18 22:08:34</t>
        </is>
      </c>
      <c r="H10524" t="inlineStr">
        <is>
          <t>Type 2</t>
        </is>
      </c>
    </row>
    <row r="10525">
      <c r="A10525" t="inlineStr">
        <is>
          <t>icmnxo</t>
        </is>
      </c>
      <c r="B10525" t="inlineStr">
        <is>
          <t>New to insulin and extremely tired?</t>
        </is>
      </c>
      <c r="C10525" t="inlineStr">
        <is>
          <t>I was diagnosed T1 in June and started long acting insulin this week.  I take a low dose: 5 units of basaglar at night.  No meal time insulin yet.  
I have been *unbelievably* tired and hungry since starting insulin.  This morning my alarm went off for 1.5 hours before I finally woke up.  When I tested, by BS was 130 - really high for me (likely because I ate too much last night).  And I haven't gone below 70.  So, I don't think the tiredness is because I am too low.
Could the tiredness just be part of the transition to insulin?  Any tips for getting over it?  I realize there could be any number of factors causing this - just curious if anyone else had this experience.  Thanks in advance!</t>
        </is>
      </c>
      <c r="D10525" t="n">
        <v>1</v>
      </c>
      <c r="E10525" t="n">
        <v>9</v>
      </c>
      <c r="F10525">
        <f>HYPERLINK("https://www.reddit.com/r/diabetes/comments/icmnxo/new_to_insulin_and_extremely_tired/")</f>
        <v/>
      </c>
      <c r="G10525" t="inlineStr">
        <is>
          <t>2020-08-19 05:27:07</t>
        </is>
      </c>
      <c r="H10525" t="inlineStr">
        <is>
          <t>Type 1.5/LADA</t>
        </is>
      </c>
    </row>
    <row r="10526">
      <c r="A10526" t="inlineStr">
        <is>
          <t>icqajq</t>
        </is>
      </c>
      <c r="B10526" t="inlineStr">
        <is>
          <t>Smartwatch for dexcom G6</t>
        </is>
      </c>
      <c r="C10526" t="inlineStr">
        <is>
          <t>Hello, I was wondering what the best smartwatch is for the G6, my only issue is that my wrists are small (teenager) so I don't want a massive watch, but I also want something durable and something which works well.</t>
        </is>
      </c>
      <c r="D10526" t="n">
        <v>1</v>
      </c>
      <c r="E10526" t="n">
        <v>18</v>
      </c>
      <c r="F10526">
        <f>HYPERLINK("https://www.reddit.com/r/diabetes/comments/icqajq/smartwatch_for_dexcom_g6/")</f>
        <v/>
      </c>
      <c r="G10526" t="inlineStr">
        <is>
          <t>2020-08-19 08:54:34</t>
        </is>
      </c>
      <c r="H10526" t="inlineStr">
        <is>
          <t>Type 1</t>
        </is>
      </c>
    </row>
    <row r="10527">
      <c r="A10527" t="inlineStr">
        <is>
          <t>icqss0</t>
        </is>
      </c>
      <c r="B10527" t="inlineStr">
        <is>
          <t>Suggestions for easy to carry, fast acting carbs?</t>
        </is>
      </c>
      <c r="C10527" t="inlineStr">
        <is>
          <t>I am going on hiking trip to Bryce and Zion national parks in a few weeks and was looking for something easy to carry, that was ok if it got hot. I was looking into those little get packs or gummy blocks that have like 20g carbs, which is the perfect amount for me if I go low. Anyone have any recommendations or suggestions?</t>
        </is>
      </c>
      <c r="D10527" t="n">
        <v>1</v>
      </c>
      <c r="E10527" t="n">
        <v>19</v>
      </c>
      <c r="F10527">
        <f>HYPERLINK("https://www.reddit.com/r/diabetes/comments/icqss0/suggestions_for_easy_to_carry_fast_acting_carbs/")</f>
        <v/>
      </c>
      <c r="G10527" t="inlineStr">
        <is>
          <t>2020-08-19 09:20:58</t>
        </is>
      </c>
      <c r="H10527" t="inlineStr">
        <is>
          <t>Type 1</t>
        </is>
      </c>
    </row>
    <row r="10528">
      <c r="A10528" t="inlineStr">
        <is>
          <t>icrvrx</t>
        </is>
      </c>
      <c r="B10528" t="inlineStr">
        <is>
          <t>How do fellow type 1’s account for protein?</t>
        </is>
      </c>
      <c r="C10528" t="inlineStr">
        <is>
          <t>Do any of you have a ‘rule of thumb’ so to speak when it comes to dosing for high protein meals? 
My current insulin to carb ratio is about 1U:8g of carbs. And I usually ignore protein entirely but I think it’s resulting in hypers way after the meal.</t>
        </is>
      </c>
      <c r="D10528" t="n">
        <v>1</v>
      </c>
      <c r="E10528" t="n">
        <v>14</v>
      </c>
      <c r="F10528">
        <f>HYPERLINK("https://www.reddit.com/r/diabetes/comments/icrvrx/how_do_fellow_type_1s_account_for_protein/")</f>
        <v/>
      </c>
      <c r="G10528" t="inlineStr">
        <is>
          <t>2020-08-19 10:14:41</t>
        </is>
      </c>
      <c r="H10528" t="inlineStr">
        <is>
          <t>Type 1</t>
        </is>
      </c>
    </row>
    <row r="10529">
      <c r="A10529" t="inlineStr">
        <is>
          <t>icxwim</t>
        </is>
      </c>
      <c r="B10529" t="inlineStr">
        <is>
          <t>670G Sensor Issues - Recommendations on new pump/CGM?</t>
        </is>
      </c>
      <c r="C10529" t="inlineStr">
        <is>
          <t>I've been on the 670G for a few years now - Automode mostly.  Some months are great and some months are terrible.  This month has been terrible.  Between calibration issues, sensor updates, transmitter signal loss, site bleeding, every issue that can go wrong has.   For instance, a sensor expired so i had to insert a new one.  Routine stuff.  After a full charge of the transmitter and 2 hours of sensor warm up, I immediately get a sensor updating message...WTF.  Eventually it tells me it's a bad sensor so i replace it.  So I do, and start the process all over again.  This time is warms up completely and prompts me to calibrate.  So I do (with no insulin on board).  Fast forward to the 3rd required calibration and it's like 150 points off from the finger prick.  Btw I still haven't eaten anything.  So this leads me to believe that certain boxes of sensors are LEMONS.  I call Medtronic and they ask me if i am following protocol, which I am.  I tell them this is a pattern but they never admit anything is wrong with the box/lot.  So they send me new sensors and sure enough, those are just fine.  I have had it up to my armpits with Medtronic.  When it works its great, but there's always issues.
End rant.
I am set to switch insurance companies this fall so I am going to get a new pump and sensor.
What do you all recommend?</t>
        </is>
      </c>
      <c r="D10529" t="n">
        <v>1</v>
      </c>
      <c r="E10529" t="n">
        <v>2</v>
      </c>
      <c r="F10529">
        <f>HYPERLINK("https://www.reddit.com/r/diabetes/comments/icxwim/670g_sensor_issues_recommendations_on_new_pumpcgm/")</f>
        <v/>
      </c>
      <c r="G10529" t="inlineStr">
        <is>
          <t>2020-08-19 15:23:47</t>
        </is>
      </c>
      <c r="H10529" t="inlineStr">
        <is>
          <t>Type 1</t>
        </is>
      </c>
    </row>
    <row r="10530">
      <c r="A10530" t="inlineStr">
        <is>
          <t>id3nyu</t>
        </is>
      </c>
      <c r="B10530" t="inlineStr">
        <is>
          <t>Do diabetics feel the heat more than non diabetics?</t>
        </is>
      </c>
      <c r="C10530" t="inlineStr">
        <is>
          <t>I have a late onset of type 1 and was diagnosed before the coronavirus lockdowns.I used to be able to be outside when it was hot, but after becoming a diabetic I get a bit nauseous when out in the heat. The only way I can explain it is that it kind of feels like my blood sugar is low, even though its not. Is this normal? Hopefully this kind of post is allowed here</t>
        </is>
      </c>
      <c r="D10530" t="n">
        <v>1</v>
      </c>
      <c r="E10530" t="n">
        <v>6</v>
      </c>
      <c r="F10530">
        <f>HYPERLINK("https://www.reddit.com/r/diabetes/comments/id3nyu/do_diabetics_feel_the_heat_more_than_non_diabetics/")</f>
        <v/>
      </c>
      <c r="G10530" t="inlineStr">
        <is>
          <t>2020-08-19 21:29:06</t>
        </is>
      </c>
      <c r="H10530" t="inlineStr">
        <is>
          <t>Type 1</t>
        </is>
      </c>
    </row>
    <row r="10531">
      <c r="A10531" t="inlineStr">
        <is>
          <t>id6ib1</t>
        </is>
      </c>
      <c r="B10531" t="inlineStr">
        <is>
          <t>Loss of appetite</t>
        </is>
      </c>
      <c r="C10531" t="inlineStr">
        <is>
          <t>I've been diabetic for 7 years. A couple years back i lost all my cravings towards sweet stuff (from cake to just some fruits, don't want any of them) which i thought was normal as i associated them all with high blood glucose and decided to rather not eat it.
Recently i've lost my appetite completely. During quarantine i tried to only eat when my blood glucose was low which worked but now it seems like the source of this problem. I just don't want to eat anything cause it reminds me of the feeling of low sugars and how it became a chore for me to eat.
Has anyone had similar problems before? Do you have any tips to gain back my appetite?</t>
        </is>
      </c>
      <c r="D10531" t="n">
        <v>1</v>
      </c>
      <c r="E10531" t="n">
        <v>8</v>
      </c>
      <c r="F10531">
        <f>HYPERLINK("https://www.reddit.com/r/diabetes/comments/id6ib1/loss_of_appetite/")</f>
        <v/>
      </c>
      <c r="G10531" t="inlineStr">
        <is>
          <t>2020-08-20 01:33:49</t>
        </is>
      </c>
      <c r="H10531" t="inlineStr">
        <is>
          <t>Type 1</t>
        </is>
      </c>
    </row>
    <row r="10532">
      <c r="A10532" t="inlineStr">
        <is>
          <t>id7e53</t>
        </is>
      </c>
      <c r="B10532" t="inlineStr">
        <is>
          <t>Hyperglicemia and insulin isnt helping</t>
        </is>
      </c>
      <c r="C10532" t="inlineStr">
        <is>
          <t>Hello, i am a 15 year old diabetic for 11 years, ive never really had this type of issue, but lately my sugar level has been worringly high, the insulin isnt really helpimg and only brings it down for 6-12hours before its higj again, (i need to take way higher doses than usual to feel okay) and right now my sugar has been 30mmol and it isnt going down , im getting very worried and my parents arent answering, i cant find any help on internet because all i can find is just "inject insulin" or how to spot it
for the past 3 hours i injected around 15 carbs to bring down blood sugar and im quickly beginning to feel sick, nkte that i also have problems with my kidneys and currently high coffeine level in my blood.</t>
        </is>
      </c>
      <c r="D10532" t="n">
        <v>1</v>
      </c>
      <c r="E10532" t="n">
        <v>0</v>
      </c>
      <c r="F10532">
        <f>HYPERLINK("https://www.reddit.com/r/diabetes/comments/id7e53/hyperglicemia_and_insulin_isnt_helping/")</f>
        <v/>
      </c>
      <c r="G10532" t="inlineStr">
        <is>
          <t>2020-08-20 02:53:15</t>
        </is>
      </c>
      <c r="H10532" t="inlineStr">
        <is>
          <t>Type 1</t>
        </is>
      </c>
    </row>
    <row r="10533">
      <c r="A10533" t="inlineStr">
        <is>
          <t>id7vfj</t>
        </is>
      </c>
      <c r="B10533" t="inlineStr">
        <is>
          <t>LG G6 and Glimp</t>
        </is>
      </c>
      <c r="C10533" t="inlineStr">
        <is>
          <t>Hi guys, I'm having some trouble with the Glimp app. I am currently using Glimp with a Freestyle Libre sensor and Miaomiao transmitter. Recently, Glimp hasn't been able to connect to my Miaomiao unless I actually have the app open. Does anyone know how to fix this? Thank you very much.</t>
        </is>
      </c>
      <c r="D10533" t="n">
        <v>1</v>
      </c>
      <c r="E10533" t="n">
        <v>1</v>
      </c>
      <c r="F10533">
        <f>HYPERLINK("https://www.reddit.com/r/diabetes/comments/id7vfj/lg_g6_and_glimp/")</f>
        <v/>
      </c>
      <c r="G10533" t="inlineStr">
        <is>
          <t>2020-08-20 03:34:25</t>
        </is>
      </c>
      <c r="H10533" t="inlineStr">
        <is>
          <t>Type 1</t>
        </is>
      </c>
    </row>
    <row r="10534">
      <c r="A10534" t="inlineStr">
        <is>
          <t>idaooq</t>
        </is>
      </c>
      <c r="B10534" t="inlineStr">
        <is>
          <t>A1C is down to 5.4%!</t>
        </is>
      </c>
      <c r="C10534" t="inlineStr">
        <is>
          <t>I just had an endo appointment this morning, and I found out that my A1C is the best it’s been since my prediabetic days! I was diagnosed about 2-2.5 years ago, and just recently got a pump this past April and it’s been a huge game changer. Still using manual control and finger sticks because Medtronic CGM sensors are hot garbage and I can’t bring myself to trust them, but I’m super happy with my progress and control with this pump. I don’t have many people that I can share this with that will share my excitement so I figured I’d post here as you all have helped me so much over the last couple years. Thank you all for making this feel like less of a disease and more of a way to prove to myself and hopefully to others as well that even though we are stuck with this for life, we CAN keep it under control and still live happy and fulfilling lives. Much love to you all!</t>
        </is>
      </c>
      <c r="D10534" t="n">
        <v>1</v>
      </c>
      <c r="E10534" t="n">
        <v>9</v>
      </c>
      <c r="F10534">
        <f>HYPERLINK("https://www.reddit.com/r/diabetes/comments/idaooq/a1c_is_down_to_54/")</f>
        <v/>
      </c>
      <c r="G10534" t="inlineStr">
        <is>
          <t>2020-08-20 06:53:18</t>
        </is>
      </c>
      <c r="H10534" t="inlineStr">
        <is>
          <t>Type 1.5/LADA</t>
        </is>
      </c>
    </row>
    <row r="10535">
      <c r="A10535" t="inlineStr">
        <is>
          <t>idce0b</t>
        </is>
      </c>
      <c r="B10535" t="inlineStr">
        <is>
          <t>Celebrating my numbers after one month being diagnosed as type 2.</t>
        </is>
      </c>
      <c r="C10535" t="inlineStr">
        <is>
          <t>Hello!  
   I don't really have anyone to talk to about my diabetes type 2, so I thought this forum would be a good way to share my excitement about my numbers.  A month ago I started a no carb diet.  I haven't lost any weight (story of my life, I am a 38 year old woman).  But my fasting blood sugar came down from 293 to 147.   And my cholesterol came down 53 points this month.  Obviously its been a month so its not time to check hemoglobin a1c yet, but I'm hopeful.  Before a month ago, for most of my life,  I was mostly plant based, eating a majority of whole grains and legumes (little to no sugar ever though).  Now I have cut out whole grains and legumes completely, as well as all sweeteners, and apparently it is working for my body.  I know every body is different and everyone will need a different diet depending on how their body processes and digests food, but so far this "Paleo" diet is working for me.  Also, I am getting in my 10,000 steps by going on hikes.  What diet has worked for you?  I would like to hear other people's successes and struggles with diet.  I don't have any friends with type 2 so this is my only community!</t>
        </is>
      </c>
      <c r="D10535" t="n">
        <v>1</v>
      </c>
      <c r="E10535" t="n">
        <v>5</v>
      </c>
      <c r="F10535">
        <f>HYPERLINK("https://www.reddit.com/r/diabetes/comments/idce0b/celebrating_my_numbers_after_one_month_being/")</f>
        <v/>
      </c>
      <c r="G10535" t="inlineStr">
        <is>
          <t>2020-08-20 08:28:26</t>
        </is>
      </c>
      <c r="H10535" t="inlineStr">
        <is>
          <t>Type 2</t>
        </is>
      </c>
    </row>
    <row r="10536">
      <c r="A10536" t="inlineStr">
        <is>
          <t>iddcp0</t>
        </is>
      </c>
      <c r="B10536" t="inlineStr">
        <is>
          <t>Loosing weight. If someone suffers from ed or is easily triggered when talking about calories please do not read.</t>
        </is>
      </c>
      <c r="C10536" t="inlineStr">
        <is>
          <t>So basically I have type1 diabetes and an underactive thyroid and the doctors are still trying to regulate the levels. I'm a bit overweight so during quarantine I decided to up my game. I have been eating less... I am a teenager and my doctor said that I have to eat 1200-1500 calories in order to loose weight and I have also been doing 2h walks and cycling for an hour. But for some reason I'm not loosing as much weight . I know I am in a calorie deficit because I have been weighing my food and calculating my intake. I also have problems with the scales as every scale tells me that I have lost a kg or it tells me that I have gained a massive amount. I know that scales have different readings and body weight fluctuates but this has been really mentally draining for me . Does anyone have any tips?</t>
        </is>
      </c>
      <c r="D10536" t="n">
        <v>1</v>
      </c>
      <c r="E10536" t="n">
        <v>7</v>
      </c>
      <c r="F10536">
        <f>HYPERLINK("https://www.reddit.com/r/diabetes/comments/iddcp0/loosing_weight_if_someone_suffers_from_ed_or_is/")</f>
        <v/>
      </c>
      <c r="G10536" t="inlineStr">
        <is>
          <t>2020-08-20 09:18:27</t>
        </is>
      </c>
      <c r="H10536" t="inlineStr">
        <is>
          <t>Type 1</t>
        </is>
      </c>
    </row>
    <row r="10537">
      <c r="A10537" t="inlineStr">
        <is>
          <t>idfqon</t>
        </is>
      </c>
      <c r="B10537" t="inlineStr">
        <is>
          <t>My insulin pump got approved 😭</t>
        </is>
      </c>
      <c r="C10537" t="inlineStr">
        <is>
          <t>That's it, I'm just really excited about it that it got approved by insurance lol soon no more stabby stab everytime I eat lol</t>
        </is>
      </c>
      <c r="D10537" t="n">
        <v>1</v>
      </c>
      <c r="E10537" t="n">
        <v>46</v>
      </c>
      <c r="F10537">
        <f>HYPERLINK("https://www.reddit.com/r/diabetes/comments/idfqon/my_insulin_pump_got_approved/")</f>
        <v/>
      </c>
      <c r="G10537" t="inlineStr">
        <is>
          <t>2020-08-20 11:22:20</t>
        </is>
      </c>
      <c r="H10537" t="inlineStr">
        <is>
          <t>Type 1</t>
        </is>
      </c>
    </row>
    <row r="10538">
      <c r="A10538" t="inlineStr">
        <is>
          <t>idh3yz</t>
        </is>
      </c>
      <c r="B10538" t="inlineStr">
        <is>
          <t>Breakfast ratio and highs</t>
        </is>
      </c>
      <c r="C10538" t="inlineStr">
        <is>
          <t>My kiddo is a type 1 he is 10. His current ratio for breakfast is 1:7 (it's pretty aggressive) especially for his age. Yet we still continue to struggle with the after breakfast spikes. 
He has Dawn phenomenon and I wake up 3 hours prior to him waking and I correct it before it starts. So he is typically between (85-140) when he wakes. 
I pre blouse and he eats....yet 2 hours later he is 300-400's🤦 or he is super low like 40's it's always a hit or miss with this kid. 
I've talked to his Endo and he doesn't want to adjust the ratio but rather thinks by keeping him in range before his breakfast will help.
This is the only thing that is keeping his A1C higher. I cannot seem to get him below 8 and it all comes back to breakfast. 
Anyone have any advice?</t>
        </is>
      </c>
      <c r="D10538" t="n">
        <v>1</v>
      </c>
      <c r="E10538" t="n">
        <v>9</v>
      </c>
      <c r="F10538">
        <f>HYPERLINK("https://www.reddit.com/r/diabetes/comments/idh3yz/breakfast_ratio_and_highs/")</f>
        <v/>
      </c>
      <c r="G10538" t="inlineStr">
        <is>
          <t>2020-08-20 12:32:20</t>
        </is>
      </c>
      <c r="H10538" t="inlineStr">
        <is>
          <t>Type 1</t>
        </is>
      </c>
    </row>
    <row r="10539">
      <c r="A10539" t="inlineStr">
        <is>
          <t>idlyv4</t>
        </is>
      </c>
      <c r="B10539" t="inlineStr">
        <is>
          <t>Staying home with t1 during covid19.</t>
        </is>
      </c>
      <c r="C10539" t="inlineStr">
        <is>
          <t>I am a type 1 diabetic and I have been home from work since April 1st due to covid19. I am a cable technician and thus deemed "essential" but because of the nature of the job (going from house to house all day long with no way to ensure things are safe) they (the state and my employer) gave me the option to stay home, and I did. My employer made me get FMLA paperwork filled out by my doctor and that will currently last until October. I know things are different state by state, but here in Minnesota, "high risk" people are still supposed to stay home as much as possible, and I have been. Because of this, I have been able to collect unemployment. It doesn't make sense to me that I go back to work in October just because my FMLA is up. If they deem it safe for me to go back to work by then, that's fine, but as of now, it is highly unlikely.
My question though, is should I go back to work when my current leave ends in October? Even if nothing has changed with the state? What have others been doing? I have long and short term disability coverage. Can I possibly get disability insurance coverage?
Any thoughts and/or insights are greatly appreciated!</t>
        </is>
      </c>
      <c r="D10539" t="n">
        <v>1</v>
      </c>
      <c r="E10539" t="n">
        <v>1</v>
      </c>
      <c r="F10539">
        <f>HYPERLINK("https://www.reddit.com/r/diabetes/comments/idlyv4/staying_home_with_t1_during_covid19/")</f>
        <v/>
      </c>
      <c r="G10539" t="inlineStr">
        <is>
          <t>2020-08-20 16:59:54</t>
        </is>
      </c>
      <c r="H10539" t="inlineStr">
        <is>
          <t>Type 1</t>
        </is>
      </c>
    </row>
    <row r="10540">
      <c r="A10540" t="inlineStr">
        <is>
          <t>idmqyl</t>
        </is>
      </c>
      <c r="B10540" t="inlineStr">
        <is>
          <t>How long have you had diabetes.</t>
        </is>
      </c>
      <c r="C10540" t="inlineStr">
        <is>
          <t>My Diaiversary was last Thursday. 17 years going strong.</t>
        </is>
      </c>
      <c r="D10540" t="n">
        <v>1</v>
      </c>
      <c r="E10540" t="n">
        <v>13</v>
      </c>
      <c r="F10540">
        <f>HYPERLINK("https://www.reddit.com/r/diabetes/comments/idmqyl/how_long_have_you_had_diabetes/")</f>
        <v/>
      </c>
      <c r="G10540" t="inlineStr">
        <is>
          <t>2020-08-20 17:48:58</t>
        </is>
      </c>
      <c r="H10540" t="inlineStr">
        <is>
          <t>Type 1</t>
        </is>
      </c>
    </row>
    <row r="10541">
      <c r="A10541" t="inlineStr">
        <is>
          <t>idmttu</t>
        </is>
      </c>
      <c r="B10541" t="inlineStr">
        <is>
          <t>Faux Lows</t>
        </is>
      </c>
      <c r="C10541" t="inlineStr">
        <is>
          <t>Okay, so I've (25F) had relatively high blood sugar for a *long* while now. Too long, I definitely admit, but true nonetheless. I say relatively high because I know people live with worse, but it's definitely not good, when I do measure my levels it's around \~200-250 after eating but can get down to \~120 after waking up or after not eating for a while during the day. I don't measure my numbers nearly as often as I should, maybe a few times a month, so I don't really have a baseline for how I'm doing other than my A1C which was recently around or 8.4, if I remember correctly. Also, I'm only on metformin for my diabetes - my doctor seems fairly confident that this along with the effort on my end will be enough to bring my numbers down... he's more confident in me than I am.
&amp;amp;#x200B;
All that said, I "frequently" (maybe once a week?} will experience faux low sensations and will feel as if I'm about to pass out or have a heart attack. I'll shake and start feeling chills as if I'm dying, so on par for my melodramatic ass. (I ***know*** I'm not about to have a heart attack LMAO - I have relatively healthy numbers aside from the diabetes related ones and have anxiety and panic attacks pretty frequently so it's just me stressing myself out.) Whenever I've tested my numbers during this time they come back fine, so I know it's just a faux low that I'm experiencing and my blood sugar is just coming out of the too high range and I'm not used to it.
&amp;amp;#x200B;
TL;DR - My main concern is this: Can someone **actually** pass out from a faux low? I know genuine lows are something to be concerned about, but what if your blood sugar is actually fine and your body is just in that "I'm ridiculous and don't understand how numbers work" phase? Is there any way to relieve the symptoms of a faux low other than just toughing it out until your body readjusts? I understand I did this to myself and need to do the hard time to remediate the results, but is there anything I can do to at least make the symptoms a tad less extreme until they fully subside? I'm sorry I'm so long winded, too! Quarantine has been long :(</t>
        </is>
      </c>
      <c r="D10541" t="n">
        <v>1</v>
      </c>
      <c r="E10541" t="n">
        <v>4</v>
      </c>
      <c r="F10541">
        <f>HYPERLINK("https://www.reddit.com/r/diabetes/comments/idmttu/faux_lows/")</f>
        <v/>
      </c>
      <c r="G10541" t="inlineStr">
        <is>
          <t>2020-08-20 17:54:05</t>
        </is>
      </c>
      <c r="H10541" t="inlineStr">
        <is>
          <t>Type 2</t>
        </is>
      </c>
    </row>
    <row r="10542">
      <c r="A10542" t="inlineStr">
        <is>
          <t>idn9e5</t>
        </is>
      </c>
      <c r="B10542" t="inlineStr">
        <is>
          <t>Hey can someone help me out?</t>
        </is>
      </c>
      <c r="C10542" t="inlineStr">
        <is>
          <t>I have an Omnipod dash and I don’t really like the bland black case. Does anyone know where I can get a case for it? Thank you in advanced</t>
        </is>
      </c>
      <c r="D10542" t="n">
        <v>1</v>
      </c>
      <c r="E10542" t="n">
        <v>0</v>
      </c>
      <c r="F10542">
        <f>HYPERLINK("https://www.reddit.com/r/diabetes/comments/idn9e5/hey_can_someone_help_me_out/")</f>
        <v/>
      </c>
      <c r="G10542" t="inlineStr">
        <is>
          <t>2020-08-20 18:21:50</t>
        </is>
      </c>
      <c r="H10542" t="inlineStr">
        <is>
          <t>Type 1</t>
        </is>
      </c>
    </row>
    <row r="10543">
      <c r="A10543" t="inlineStr">
        <is>
          <t>ido1tp</t>
        </is>
      </c>
      <c r="B10543" t="inlineStr">
        <is>
          <t>Dexcom will arrive tomorrow! Where to put it?</t>
        </is>
      </c>
      <c r="C10543" t="inlineStr">
        <is>
          <t>I'll get my Dexcom system tomorrow. I'm so nervous! 
Any suggestions on the best spot where to put it? 
How can you guys sleep with it on?</t>
        </is>
      </c>
      <c r="D10543" t="n">
        <v>1</v>
      </c>
      <c r="E10543" t="n">
        <v>10</v>
      </c>
      <c r="F10543">
        <f>HYPERLINK("https://www.reddit.com/r/diabetes/comments/ido1tp/dexcom_will_arrive_tomorrow_where_to_put_it/")</f>
        <v/>
      </c>
      <c r="G10543" t="inlineStr">
        <is>
          <t>2020-08-20 19:11:45</t>
        </is>
      </c>
      <c r="H10543" t="inlineStr">
        <is>
          <t>Type 1.5/LADA</t>
        </is>
      </c>
    </row>
    <row r="10544">
      <c r="A10544" t="inlineStr">
        <is>
          <t>idoe94</t>
        </is>
      </c>
      <c r="B10544" t="inlineStr">
        <is>
          <t>Anybody know some Type-2 safe cake recipes?</t>
        </is>
      </c>
      <c r="C10544" t="inlineStr">
        <is>
          <t>Not sure if allowed to post this, but..
My husband has type 2, and his birthday is coming up, does anybody know some good cake radioed that use very little sugar, or sweeteners that don’t spike blood sugar instead? I know that the carbs in flour will still be bad, so we’d have to space out the servings, but it would be great to make him something he’ll enjoy without me poisoning him with sugar</t>
        </is>
      </c>
      <c r="D10544" t="n">
        <v>1</v>
      </c>
      <c r="E10544" t="n">
        <v>8</v>
      </c>
      <c r="F10544">
        <f>HYPERLINK("https://www.reddit.com/r/diabetes/comments/idoe94/anybody_know_some_type2_safe_cake_recipes/")</f>
        <v/>
      </c>
      <c r="G10544" t="inlineStr">
        <is>
          <t>2020-08-20 19:33:49</t>
        </is>
      </c>
      <c r="H10544" t="inlineStr">
        <is>
          <t>Type 2</t>
        </is>
      </c>
    </row>
    <row r="10545">
      <c r="A10545" t="inlineStr">
        <is>
          <t>idosmu</t>
        </is>
      </c>
      <c r="B10545" t="inlineStr">
        <is>
          <t>Diabetes now overreacting to insulin</t>
        </is>
      </c>
      <c r="C10545" t="inlineStr">
        <is>
          <t>Dads been diabetic for years. Last year he got pancreatitis and had emergency surgery. The surgeon cleaned his pancreas out. Some odd cysts. In January we are relearning to manage his insulin. He is on long and short acting. He went from needing a ton to half. Now we’re trying to relearn and handle his body reacting to insulin. He’s having some crashes now. To clarify he used to check every 2 hours and dose accordingly but now we do every 4. He went from having glucose of 300 and 30 units doing very little. Now he was at 275 tonight and took 15 units fast and it dropped to 60. He does 10 units slow twice a day. Does anyone have recommendations? I know it’s good he’s gone down on insulin but he’s having weird drops. We keep cutting the insulin and just thought if there’s any other thoughts on management would be helpful.</t>
        </is>
      </c>
      <c r="D10545" t="n">
        <v>1</v>
      </c>
      <c r="E10545" t="n">
        <v>6</v>
      </c>
      <c r="F10545">
        <f>HYPERLINK("https://www.reddit.com/r/diabetes/comments/idosmu/diabetes_now_overreacting_to_insulin/")</f>
        <v/>
      </c>
      <c r="G10545" t="inlineStr">
        <is>
          <t>2020-08-20 20:01:04</t>
        </is>
      </c>
      <c r="H10545" t="inlineStr">
        <is>
          <t>Type 2</t>
        </is>
      </c>
    </row>
    <row r="10546">
      <c r="A10546" t="inlineStr">
        <is>
          <t>idrtkp</t>
        </is>
      </c>
      <c r="B10546" t="inlineStr">
        <is>
          <t>My Blood sugar after meal are always high?</t>
        </is>
      </c>
      <c r="C10546" t="inlineStr">
        <is>
          <t>My fasting blood sugar are ok (Around 6) but my after meal blood sugar just won’t drop! It’s always around 8~9 and I already skip all the carbs.... I am taking metformin in the morning and night, isn’t it supposed to help lower my blood sugar?</t>
        </is>
      </c>
      <c r="D10546" t="n">
        <v>1</v>
      </c>
      <c r="E10546" t="n">
        <v>10</v>
      </c>
      <c r="F10546">
        <f>HYPERLINK("https://www.reddit.com/r/diabetes/comments/idrtkp/my_blood_sugar_after_meal_are_always_high/")</f>
        <v/>
      </c>
      <c r="G10546" t="inlineStr">
        <is>
          <t>2020-08-20 23:45:34</t>
        </is>
      </c>
      <c r="H10546" t="inlineStr">
        <is>
          <t>Type 2</t>
        </is>
      </c>
    </row>
    <row r="10547">
      <c r="A10547" t="inlineStr">
        <is>
          <t>idtzl1</t>
        </is>
      </c>
      <c r="B10547" t="inlineStr">
        <is>
          <t>I have diabetes type 2.</t>
        </is>
      </c>
      <c r="C10547" t="inlineStr">
        <is>
          <t>Hello
My doctor Said that i have diabetes type 2! Is it chronic illness? Is it lethal ?</t>
        </is>
      </c>
      <c r="D10547" t="n">
        <v>1</v>
      </c>
      <c r="E10547" t="n">
        <v>13</v>
      </c>
      <c r="F10547">
        <f>HYPERLINK("https://www.reddit.com/r/diabetes/comments/idtzl1/i_have_diabetes_type_2/")</f>
        <v/>
      </c>
      <c r="G10547" t="inlineStr">
        <is>
          <t>2020-08-21 03:04:17</t>
        </is>
      </c>
      <c r="H10547" t="inlineStr">
        <is>
          <t>Type 2</t>
        </is>
      </c>
    </row>
    <row r="10548">
      <c r="A10548" t="inlineStr">
        <is>
          <t>idw6dt</t>
        </is>
      </c>
      <c r="B10548" t="inlineStr">
        <is>
          <t>Question about hyper</t>
        </is>
      </c>
      <c r="C10548" t="inlineStr">
        <is>
          <t>Hello, noob T1D here. 20yo diagnosed 8 months ago. Been managing it relatively ok. Just wanted to ask since im feeling particularly guilty every time I get strong hypers (14-15). How high does your bs need to be for the damage to start and how long before serious damage occurs. Can I afford one night of falling asleep with high sugars and a few hypers a week? Thanks</t>
        </is>
      </c>
      <c r="D10548" t="n">
        <v>1</v>
      </c>
      <c r="E10548" t="n">
        <v>6</v>
      </c>
      <c r="F10548">
        <f>HYPERLINK("https://www.reddit.com/r/diabetes/comments/idw6dt/question_about_hyper/")</f>
        <v/>
      </c>
      <c r="G10548" t="inlineStr">
        <is>
          <t>2020-08-21 05:54:56</t>
        </is>
      </c>
      <c r="H10548" t="inlineStr">
        <is>
          <t>Type 1</t>
        </is>
      </c>
    </row>
    <row r="10549">
      <c r="A10549" t="inlineStr">
        <is>
          <t>idwi73</t>
        </is>
      </c>
      <c r="B10549" t="inlineStr">
        <is>
          <t>Newly diagnosed with diabetes , fatigue and yawning excessively, and GADA test over 2000</t>
        </is>
      </c>
      <c r="C10549" t="inlineStr">
        <is>
          <t>Hello there 
I wanted to ask about my condition as I'm newly diagnosed like 1 month and a half ago my HA1C was 10.1% 
My problem right now and my worry is, I'm feeling fatigue and tired, yawning alot , I wasn't feeling like that before I get diabetes
So I wanted to ask, is this normal and I shouldn't worry that I have something else? 
Would it go away after the HA1C goes down, cuz now my blood sugar are controlled in normal range but I still have the fatigue for more than a month now 
So please let me know if you also suffered the same and does it go away 
And should I worry if my GADA test was more than 2000 , for other disease , or the number doesn't matter 
Thanks in advance</t>
        </is>
      </c>
      <c r="D10549" t="n">
        <v>1</v>
      </c>
      <c r="E10549" t="n">
        <v>4</v>
      </c>
      <c r="F10549">
        <f>HYPERLINK("https://www.reddit.com/r/diabetes/comments/idwi73/newly_diagnosed_with_diabetes_fatigue_and_yawning/")</f>
        <v/>
      </c>
      <c r="G10549" t="inlineStr">
        <is>
          <t>2020-08-21 06:15:23</t>
        </is>
      </c>
      <c r="H10549" t="inlineStr">
        <is>
          <t>Type 1.5/LADA</t>
        </is>
      </c>
    </row>
    <row r="10550">
      <c r="A10550" t="inlineStr">
        <is>
          <t>idy2l1</t>
        </is>
      </c>
      <c r="B10550" t="inlineStr">
        <is>
          <t>OMNIPOD TIPS WITH EXCESSIVE SWEATING</t>
        </is>
      </c>
      <c r="C10550" t="inlineStr">
        <is>
          <t>Yooo so I am starting to get wicked pissed off about pods falling off after like an hour of exercise; whether it be running or a casual round of disc golf, the adhesive always seems to loosen up and eventually fall off. 
Any tips on how to prevent this from happening? I hate using the tape it almost never works. 
&amp;amp;#x200B;
Thanks fam</t>
        </is>
      </c>
      <c r="D10550" t="n">
        <v>1</v>
      </c>
      <c r="E10550" t="n">
        <v>7</v>
      </c>
      <c r="F10550">
        <f>HYPERLINK("https://www.reddit.com/r/diabetes/comments/idy2l1/omnipod_tips_with_excessive_sweating/")</f>
        <v/>
      </c>
      <c r="G10550" t="inlineStr">
        <is>
          <t>2020-08-21 07:46:52</t>
        </is>
      </c>
      <c r="H10550" t="inlineStr">
        <is>
          <t>Type 1</t>
        </is>
      </c>
    </row>
    <row r="10551">
      <c r="A10551" t="inlineStr">
        <is>
          <t>idzdun</t>
        </is>
      </c>
      <c r="B10551" t="inlineStr">
        <is>
          <t>Truly, when should I be getting a new vial of insulin?</t>
        </is>
      </c>
      <c r="C10551" t="inlineStr">
        <is>
          <t>I've heard conflicting information that it's either as long as it says on the expiration, or 28 days after opening. I've been told the 28-day thing is only if it's out of the fridge, but my insulin definitely loses potency even though there's still a lot left in the vial.  My nightly lantus is not very much and i eat low carb, so I thought I'd be saving money on insulin but it's looking like that isn't the case.  
The reason I ask now, is because I woke up with my dexcom reading 266, calibrated it at an actual value of 294. Seems like my long acting did absolutely nothing last night, and the stupid dexcom only alerts you the first few times it's above threshold. It kept climbing for 7 hours and when I went to pee on a stick that shit was violet. I resolved the dexcom issue by making it more sensitive to rise/fall rates, so I guess my only other question is how long can I be DKA before I do lasting damage to my body? Thx in advance.</t>
        </is>
      </c>
      <c r="D10551" t="n">
        <v>1</v>
      </c>
      <c r="E10551" t="n">
        <v>14</v>
      </c>
      <c r="F10551">
        <f>HYPERLINK("https://www.reddit.com/r/diabetes/comments/idzdun/truly_when_should_i_be_getting_a_new_vial_of/")</f>
        <v/>
      </c>
      <c r="G10551" t="inlineStr">
        <is>
          <t>2020-08-21 08:58:16</t>
        </is>
      </c>
      <c r="H10551" t="inlineStr">
        <is>
          <t>Type 1.5/LADA</t>
        </is>
      </c>
    </row>
    <row r="10552">
      <c r="A10552" t="inlineStr">
        <is>
          <t>idzf5l</t>
        </is>
      </c>
      <c r="B10552" t="inlineStr">
        <is>
          <t>Meeting someone</t>
        </is>
      </c>
      <c r="C10552" t="inlineStr">
        <is>
          <t>Hi, I got kind of a wierd question for you guys. When you meet like a new person, when do you tell them, that you have Diabetes? It may sound wierd and you might just say:“Just tell them right away“ but im a bit socially akward and very shy and I dont like to share too much Information about myself right away. I hope you can understand me and give me an answer.</t>
        </is>
      </c>
      <c r="D10552" t="n">
        <v>1</v>
      </c>
      <c r="E10552" t="n">
        <v>21</v>
      </c>
      <c r="F10552">
        <f>HYPERLINK("https://www.reddit.com/r/diabetes/comments/idzf5l/meeting_someone/")</f>
        <v/>
      </c>
      <c r="G10552" t="inlineStr">
        <is>
          <t>2020-08-21 09:00:07</t>
        </is>
      </c>
      <c r="H10552" t="inlineStr">
        <is>
          <t>Type 1</t>
        </is>
      </c>
    </row>
    <row r="10553">
      <c r="A10553" t="inlineStr">
        <is>
          <t>ie1xi4</t>
        </is>
      </c>
      <c r="B10553" t="inlineStr">
        <is>
          <t>just put a dexcom sensor on and it’s already almost falling off</t>
        </is>
      </c>
      <c r="C10553" t="inlineStr">
        <is>
          <t>thanks summer weather, real cool of you
and this is with skinprep and an overpatch
# i hate it</t>
        </is>
      </c>
      <c r="D10553" t="n">
        <v>1</v>
      </c>
      <c r="E10553" t="n">
        <v>4</v>
      </c>
      <c r="F10553">
        <f>HYPERLINK("https://www.reddit.com/r/diabetes/comments/ie1xi4/just_put_a_dexcom_sensor_on_and_its_already/")</f>
        <v/>
      </c>
      <c r="G10553" t="inlineStr">
        <is>
          <t>2020-08-21 11:08:10</t>
        </is>
      </c>
      <c r="H10553" t="inlineStr">
        <is>
          <t>Type 2</t>
        </is>
      </c>
    </row>
    <row r="10554">
      <c r="A10554" t="inlineStr">
        <is>
          <t>ie2to7</t>
        </is>
      </c>
      <c r="B10554" t="inlineStr">
        <is>
          <t>Diagnosed this past May at 12.6 A1C. Brought it down to 6.2 in 3 months!</t>
        </is>
      </c>
      <c r="C10554" t="inlineStr">
        <is>
          <t>I'm only 28, so it was pretty disappointing when I got my diagnosis on May 19th of this year. Had a "come to Jesus" moment and decided I didn't want to die young, or go blind, lose a foot, etc. 3 months of 2000 mg Metformin, staying low carb by viewing bread, pasta, sugar etc as poison, and I'm really proud of how quickly I've been able to bring my blood sugars down and lose 25 pounds (just 100 more to go!). This sub helped me SO MUCH get through the first couple weeks before I knew what was really going on. I'm a little concerned I'll fall off the wagon in the future, but I have a really good support network. Decided to treat myself to a huge load of chik-fil-a grilled nuggets. Here's to hopefully 50 more years on the planet.</t>
        </is>
      </c>
      <c r="D10554" t="n">
        <v>1</v>
      </c>
      <c r="E10554" t="n">
        <v>5</v>
      </c>
      <c r="F10554">
        <f>HYPERLINK("https://www.reddit.com/r/diabetes/comments/ie2to7/diagnosed_this_past_may_at_126_a1c_brought_it/")</f>
        <v/>
      </c>
      <c r="G10554" t="inlineStr">
        <is>
          <t>2020-08-21 11:54:27</t>
        </is>
      </c>
      <c r="H10554" t="inlineStr">
        <is>
          <t>Type 2</t>
        </is>
      </c>
    </row>
    <row r="10555">
      <c r="A10555" t="inlineStr">
        <is>
          <t>ie43ju</t>
        </is>
      </c>
      <c r="B10555" t="inlineStr">
        <is>
          <t>Anyone using a Bluetooth connector With Libre</t>
        </is>
      </c>
      <c r="C10555" t="inlineStr">
        <is>
          <t>I know the libre 2 is coming out but there’s an insurance coverage period. Anyone using MiaoMiao or Ambrosia. Any other suggestions are welcome. We really need to add Bluetooth with Alerts.</t>
        </is>
      </c>
      <c r="D10555" t="n">
        <v>1</v>
      </c>
      <c r="E10555" t="n">
        <v>9</v>
      </c>
      <c r="F10555">
        <f>HYPERLINK("https://www.reddit.com/r/diabetes/comments/ie43ju/anyone_using_a_bluetooth_connector_with_libre/")</f>
        <v/>
      </c>
      <c r="G10555" t="inlineStr">
        <is>
          <t>2020-08-21 13:01:07</t>
        </is>
      </c>
      <c r="H10555" t="inlineStr">
        <is>
          <t>Type 2</t>
        </is>
      </c>
    </row>
    <row r="10556">
      <c r="A10556" t="inlineStr">
        <is>
          <t>ie6zp4</t>
        </is>
      </c>
      <c r="B10556" t="inlineStr">
        <is>
          <t>Diabetic foot turning red, goes away and comes back</t>
        </is>
      </c>
      <c r="C10556" t="inlineStr">
        <is>
          <t>I’m a type 2 diabetic male in my late twenties. Uncontrolled diabetes, a1c is high. For the past two weeks when ever my blood starts going down I notice my left foot turns bright reddish. It’s doesn’t hurt, but it tingles. If I eat something and the blood sugar goes up and it gets fixed. I googled it and I think it might be neuropathy. Along with this I’ve feeling low energy and brain fogginess. Besides lowering blood sugar, is there anything could help the foot issue. I have a follow up with my doctor next month. Is this serious enough that I should see urgent care clinic? Any one experience this?</t>
        </is>
      </c>
      <c r="D10556" t="n">
        <v>1</v>
      </c>
      <c r="E10556" t="n">
        <v>11</v>
      </c>
      <c r="F10556">
        <f>HYPERLINK("https://www.reddit.com/r/diabetes/comments/ie6zp4/diabetic_foot_turning_red_goes_away_and_comes_back/")</f>
        <v/>
      </c>
      <c r="G10556" t="inlineStr">
        <is>
          <t>2020-08-21 15:39:20</t>
        </is>
      </c>
      <c r="H10556" t="inlineStr">
        <is>
          <t>Type 2</t>
        </is>
      </c>
    </row>
    <row r="10557">
      <c r="A10557" t="inlineStr">
        <is>
          <t>ie87ou</t>
        </is>
      </c>
      <c r="B10557" t="inlineStr">
        <is>
          <t>My diabetes wellness newsletter.</t>
        </is>
      </c>
      <c r="C10557" t="inlineStr">
        <is>
          <t>This a wellness newsletter I send out. I have dropped my A1C from 7.0 to 5.8 and lost over 45 pounds since May. Subscribers get these first.
Welcome to the Diabetes Army blog. The real deal from a former pro wrestler who lives with type 2 diabetes. 
Please remember, I am not a doctor so please check with your doctor before doing anything related to diabetes. This is what works for me.
This week we talk about your wellness and keto.
Volume 1 Number 9
My Wellness?
As I carry on with my keto journey I am glad to report that I am now down about 45 pounds. Sort of strange how it goes. I will have have no movement for a while and even gain a pound or two. Then suddenly out of nowhere I will drop about four pounds. At first I panicked and thought I had screwed up. But in the end I think it is just part of my journey and I am good with it now. I simply let it play out.
Your Wellness?
Enough about me for the moment, let’s talk about you. I assume you are either on your journey or about to get on your journey. At this point I think we need to talk about a couple of things. First of all how are you going to measure your success? Will it just be weight loss? Will it be with body measurements? What about looser fitting cloths? And finally, what about mental health?
In the end, it doesn’t matter how you track your success, but contrary to what some people say, I believe you need to track something. What I don’t think is important is exactly what you track. I think that you should track what is important to you. You might want to pick one of the things that I mentioned and make that your focus.
Why Track?
So let’s talk about why you want to track something. The only way we can really start fine tuning a program is by having something we can use as a bar. If it is body measurements for example but not weight, then you need to be able to examine it and see if what you are doing is really working. If it is not working, you need to be able to to tweak it to move it along the path again.
I don’t believe that weight is the only thing you need to be aware of but I do think that something is important. We can’t grow on what we can’t measure.
In my case I track both my weight and body measurements. I also track my A1C level as I am diabetic. However my main focus is weight. I know if I drop the weight my A1C will drop as well as my need for insulin which will make it easier for me to continue to drop weight.
What if I Stall?
Don’t worry about it, this is called LIFE! It is not, IF, it is WHEN? We all stall and this is normal. The great news is that you will get unstuck and you will start moving forward again.
Personally, I don’t think that stalling is that bad. It gives us an opportunity to fine tune what we are doing. Did we take in more carbs? Have we dropped our level of walking steps? Did we cut out the gym? Did we get super stressed?
There are a number of reasons why somebody stalls in their journey. The key is to recognize the fact that you did stall and make the adjustments from there.
You are going to find great success if you are on the same keto journey that I am on in many cases. As a matter of fact there have been a lot of days when I am totally surprised with what is going on with my body. It is a long and fun ride. You have to learn to really enjoy the journey.
We will get into different ways to get out of the stalls in future editions but for now let’s just set a game plan up and start to execute. This is going to be fun!
You can follow along with my wellness program on my podcast which is called Diabetes Army Rebuild. It is on all of your favorite players. And they are less than 10 minutes in length so I won’t tie up your whole day. Check it out!
We are going to have some real talk here. I am going to share the things I am doing. I am not a doctor and I always encourage you to see your doctor, but this is what works for me.</t>
        </is>
      </c>
      <c r="D10557" t="n">
        <v>1</v>
      </c>
      <c r="E10557" t="n">
        <v>0</v>
      </c>
      <c r="F10557">
        <f>HYPERLINK("https://www.reddit.com/r/diabetes/comments/ie87ou/my_diabetes_wellness_newsletter/")</f>
        <v/>
      </c>
      <c r="G10557" t="inlineStr">
        <is>
          <t>2020-08-21 16:53:30</t>
        </is>
      </c>
      <c r="H10557" t="inlineStr">
        <is>
          <t>Type 2</t>
        </is>
      </c>
    </row>
    <row r="10558">
      <c r="A10558" t="inlineStr">
        <is>
          <t>ie8euz</t>
        </is>
      </c>
      <c r="B10558" t="inlineStr">
        <is>
          <t>Becoming a pro at making/advocating for your own insulin adjustments</t>
        </is>
      </c>
      <c r="C10558" t="inlineStr">
        <is>
          <t>Hi all! Longtime T1D here. Admittedly did not take care of my numbers for much of my teens/young adulthood and have only really begun to do so over the past year, so essentially am a "newbie" in this regard. The thing is, though, my endo team is rather unhelpful when it comes to making any insulin changes or answering any messages at all (am trying to switch providers currently). As a result, I've been largely having to make day-to-day adjustments with the help of texts like Think Like A Pancreas. 
I guess my question is how/when did y'all become comfortable enough in your diabetes management to make changes on your own (especially if on an insulin pump and in terms of basal)? Any resources you turned to in order to become more independent/well-versed with your diabetes care?
Thanks in advance! Sorry if this post comes across as rather uneducated btw.</t>
        </is>
      </c>
      <c r="D10558" t="n">
        <v>1</v>
      </c>
      <c r="E10558" t="n">
        <v>15</v>
      </c>
      <c r="F10558">
        <f>HYPERLINK("https://www.reddit.com/r/diabetes/comments/ie8euz/becoming_a_pro_at_makingadvocating_for_your_own/")</f>
        <v/>
      </c>
      <c r="G10558" t="inlineStr">
        <is>
          <t>2020-08-21 17:06:04</t>
        </is>
      </c>
      <c r="H10558" t="inlineStr">
        <is>
          <t>Type 1</t>
        </is>
      </c>
    </row>
    <row r="10559">
      <c r="A10559" t="inlineStr">
        <is>
          <t>ie90y7</t>
        </is>
      </c>
      <c r="B10559" t="inlineStr">
        <is>
          <t>Blurry vision</t>
        </is>
      </c>
      <c r="C10559" t="inlineStr">
        <is>
          <t>So I have blurry vision, which is usually a sign of high blood sugar. However, it happens even when my levels are normal (right now I'm at 128). When I say blurry, I mean that unless I purposely fucus my eyes, they blur. This could be me being tired, but not too sure. Anyone else have anything similar?</t>
        </is>
      </c>
      <c r="D10559" t="n">
        <v>1</v>
      </c>
      <c r="E10559" t="n">
        <v>25</v>
      </c>
      <c r="F10559">
        <f>HYPERLINK("https://www.reddit.com/r/diabetes/comments/ie90y7/blurry_vision/")</f>
        <v/>
      </c>
      <c r="G10559" t="inlineStr">
        <is>
          <t>2020-08-21 17:45:45</t>
        </is>
      </c>
      <c r="H10559" t="inlineStr">
        <is>
          <t>Type 1</t>
        </is>
      </c>
    </row>
    <row r="10560">
      <c r="A10560" t="inlineStr">
        <is>
          <t>iedcb1</t>
        </is>
      </c>
      <c r="B10560" t="inlineStr">
        <is>
          <t>Any good T2 medications out there?</t>
        </is>
      </c>
      <c r="C10560" t="inlineStr">
        <is>
          <t>I was on metformin for a long time and along with diet was still unable to lower my A1C. Fast forward this new doctor put me on lantus which is insulin and bydureon. My A1C came back at 7 this last week and I also lost 10 lbs. since my last appointment. I cannot stand the bydureon though. I am unhappy and it cause me IBS like symptoms. Bydureon is definitely working unfortunately, but is there another weight loss medication that doesn’t have horrible side effects. Doctor said there’s three types that help with weight loss and those were metformin, bydureon and I don’t remember the third one. My inability to lose weight has nothing to do with lack of motivation or overeating. It’s like I can gain muscle and have the energy and mindset to work up a sweat for a good hour but there’s always this stubborn layer of fat especially on my upper body plus I have big boobs (tmi) so I look disproportioned. Hence why I stopped resistance training. 
I just realized I asked 2 questions in one. Anyway, any advice is appreciated.</t>
        </is>
      </c>
      <c r="D10560" t="n">
        <v>1</v>
      </c>
      <c r="E10560" t="n">
        <v>6</v>
      </c>
      <c r="F10560">
        <f>HYPERLINK("https://www.reddit.com/r/diabetes/comments/iedcb1/any_good_t2_medications_out_there/")</f>
        <v/>
      </c>
      <c r="G10560" t="inlineStr">
        <is>
          <t>2020-08-21 23:03:03</t>
        </is>
      </c>
      <c r="H10560" t="inlineStr">
        <is>
          <t>Type 2</t>
        </is>
      </c>
    </row>
    <row r="10561">
      <c r="A10561" t="inlineStr">
        <is>
          <t>iedxcz</t>
        </is>
      </c>
      <c r="B10561" t="inlineStr">
        <is>
          <t>Morning numbers</t>
        </is>
      </c>
      <c r="C10561" t="inlineStr">
        <is>
          <t>Anyone else have higher numbers in the morning than at lunch with glucose testing?</t>
        </is>
      </c>
      <c r="D10561" t="n">
        <v>1</v>
      </c>
      <c r="E10561" t="n">
        <v>12</v>
      </c>
      <c r="F10561">
        <f>HYPERLINK("https://www.reddit.com/r/diabetes/comments/iedxcz/morning_numbers/")</f>
        <v/>
      </c>
      <c r="G10561" t="inlineStr">
        <is>
          <t>2020-08-21 23:56:26</t>
        </is>
      </c>
      <c r="H10561" t="inlineStr">
        <is>
          <t>Type 2</t>
        </is>
      </c>
    </row>
    <row r="10562">
      <c r="A10562" t="inlineStr">
        <is>
          <t>iee7rs</t>
        </is>
      </c>
      <c r="B10562" t="inlineStr">
        <is>
          <t>I need a Diabetes buddy! Anyone out there? Type 2?</t>
        </is>
      </c>
      <c r="C10562" t="inlineStr">
        <is>
          <t>I was diagnosed with Type 2 Diabetes about 6-9 months ago and I am not doing well. I’ve always been a person that has to do something with a friend. I always drag a buddy along. However, with this I’m on my own and very few people know i was diagnosed.
I’m 36 Married Female from California. I need a buddy.. hopefully someone else also newly diagnosed? Any sex, any age, any location!  
Maybe we can text a few times during the day or email? Someone to compare meals with/workouts/staying on track? 
Thanks so much!</t>
        </is>
      </c>
      <c r="D10562" t="n">
        <v>1</v>
      </c>
      <c r="E10562" t="n">
        <v>12</v>
      </c>
      <c r="F10562">
        <f>HYPERLINK("https://www.reddit.com/r/diabetes/comments/iee7rs/i_need_a_diabetes_buddy_anyone_out_there_type_2/")</f>
        <v/>
      </c>
      <c r="G10562" t="inlineStr">
        <is>
          <t>2020-08-22 00:23:08</t>
        </is>
      </c>
      <c r="H10562" t="inlineStr">
        <is>
          <t>Type 2</t>
        </is>
      </c>
    </row>
    <row r="10563">
      <c r="A10563" t="inlineStr">
        <is>
          <t>ieetmb</t>
        </is>
      </c>
      <c r="B10563" t="inlineStr">
        <is>
          <t>Type 2 diabetes</t>
        </is>
      </c>
      <c r="C10563" t="inlineStr">
        <is>
          <t>Hi everyone recently I was diagnosed with type 2 diabetes and I wanted some diet tips can anyone help? It would mean a lot</t>
        </is>
      </c>
      <c r="D10563" t="n">
        <v>1</v>
      </c>
      <c r="E10563" t="n">
        <v>6</v>
      </c>
      <c r="F10563">
        <f>HYPERLINK("https://www.reddit.com/r/diabetes/comments/ieetmb/type_2_diabetes/")</f>
        <v/>
      </c>
      <c r="G10563" t="inlineStr">
        <is>
          <t>2020-08-22 01:17:10</t>
        </is>
      </c>
      <c r="H10563" t="inlineStr">
        <is>
          <t>Type 2</t>
        </is>
      </c>
    </row>
    <row r="10564">
      <c r="A10564" t="inlineStr">
        <is>
          <t>iegtnb</t>
        </is>
      </c>
      <c r="B10564" t="inlineStr">
        <is>
          <t>Help my sugar is constantly to low</t>
        </is>
      </c>
      <c r="C10564" t="inlineStr">
        <is>
          <t>Hey Guys Im 22 years old and was diagnosed with Diabetes type 1 half a year ago. Right after that I started to have my honeymoonphase. My doctor told me that I need to pay attention because everyday could have a different need for insulin dosages. In the beginning I was fine. I used lantus and humalog. But then I started to constantly have to low sugar levels... Then I started to lower my lantus bolus till I stopped completely to inject anything. 
But I still kept having a lot of low sugars. My doctor prescribed me a new long acting insulin which I only take over the night. (Levenir) but even then I still was to low all the time. I don't use levenir as well now. I still need to inject humalog for meals because I will have high sugarlevel after a meal, but It always has a free fall after 2-3 hours. 
Its frustrating because I haven't really slept the last 7 days, because I need to wake up every 2-3 hours and eat even if I'm not hungry. Did somebody experience something similar? Am I doing something wrong? 
Please help.</t>
        </is>
      </c>
      <c r="D10564" t="n">
        <v>1</v>
      </c>
      <c r="E10564" t="n">
        <v>12</v>
      </c>
      <c r="F10564">
        <f>HYPERLINK("https://www.reddit.com/r/diabetes/comments/iegtnb/help_my_sugar_is_constantly_to_low/")</f>
        <v/>
      </c>
      <c r="G10564" t="inlineStr">
        <is>
          <t>2020-08-22 04:25:30</t>
        </is>
      </c>
      <c r="H10564" t="inlineStr">
        <is>
          <t>Type 1</t>
        </is>
      </c>
    </row>
    <row r="10565">
      <c r="A10565" t="inlineStr">
        <is>
          <t>ielcfq</t>
        </is>
      </c>
      <c r="B10565" t="inlineStr">
        <is>
          <t>Anyone having trouble being allowed to work from home because of covid 19?</t>
        </is>
      </c>
      <c r="C10565" t="inlineStr">
        <is>
          <t>I'm in the uk and I'm really worried. I don't want to give to many details but I just started working in a prison in an area with lots of outbreaks. I don't fully understand my risks but my dr said I'm 3x more likely to get serious complications if I get covid. Im late 20s, female.
My work means that I would normally see prisoners but atm it would be very rare so a lot is admin. I don't see why i cant do that from home.
Theres hand sanatiser but i have bad exzma that makes my hands bleed if i wash them too much. The keys and walkie talkies are shared, the corridprs arr less than 2m wide, i have to go through like 30 doors multiple times a day and touch them all. Phones, computers and desks are shared, there's no ventilation and everyone is acting like covid doesn't exist, they all stand close to each other etc.
I honestly feel like quitting. Every time i bring it up they tell me they wipe down the handles twice a day and that they follow the guidelines and have done risk assessments. Just use sanitiser and tell people to give you space. I don't know if I'm overreacting but I have a mild cold today and i had a panic attack about it. I'm so stressed. Im so new and on probation but this is really making me anxious.
Does anyone else count as an essential worker? How do you cope?</t>
        </is>
      </c>
      <c r="D10565" t="n">
        <v>1</v>
      </c>
      <c r="E10565" t="n">
        <v>0</v>
      </c>
      <c r="F10565">
        <f>HYPERLINK("https://www.reddit.com/r/diabetes/comments/ielcfq/anyone_having_trouble_being_allowed_to_work_from/")</f>
        <v/>
      </c>
      <c r="G10565" t="inlineStr">
        <is>
          <t>2020-08-22 09:20:54</t>
        </is>
      </c>
      <c r="H10565" t="inlineStr">
        <is>
          <t>Type 1</t>
        </is>
      </c>
    </row>
    <row r="10566">
      <c r="A10566" t="inlineStr">
        <is>
          <t>iemx2w</t>
        </is>
      </c>
      <c r="B10566" t="inlineStr">
        <is>
          <t>Diabetes and exercise</t>
        </is>
      </c>
      <c r="C10566" t="inlineStr">
        <is>
          <t>So, I've ben type one diabetic for about 7 years and my control seems to be ok for the most part, but one thing that seems to be getting worse is the impact it's having on exercise. I've found my blood sugar often goes low during a run, even when I start with very high blood sugar or eat sugar beforehand, which often gets in the way of having a good run. Does anyone have any advice?</t>
        </is>
      </c>
      <c r="D10566" t="n">
        <v>1</v>
      </c>
      <c r="E10566" t="n">
        <v>12</v>
      </c>
      <c r="F10566">
        <f>HYPERLINK("https://www.reddit.com/r/diabetes/comments/iemx2w/diabetes_and_exercise/")</f>
        <v/>
      </c>
      <c r="G10566" t="inlineStr">
        <is>
          <t>2020-08-22 10:47:36</t>
        </is>
      </c>
      <c r="H10566" t="inlineStr">
        <is>
          <t>Type 1</t>
        </is>
      </c>
    </row>
    <row r="10567">
      <c r="A10567" t="inlineStr">
        <is>
          <t>ienpsm</t>
        </is>
      </c>
      <c r="B10567" t="inlineStr">
        <is>
          <t>If I’m switching from a pump to pen, can I take my basal rate and use that total number for my once a day long acting shot?</t>
        </is>
      </c>
      <c r="C10567" t="inlineStr">
        <is>
          <t>Like if my basal is 25units a day can I take like 25-30 units of the long acting at the beginning of the day?
Also, is it safe to use my expired insulin? 
Lantus   7/2019 one pen and I used it 1.5 years ago
Basaglar 12/2019 four pens not sure which one I used.</t>
        </is>
      </c>
      <c r="D10567" t="n">
        <v>1</v>
      </c>
      <c r="E10567" t="n">
        <v>4</v>
      </c>
      <c r="F10567">
        <f>HYPERLINK("https://www.reddit.com/r/diabetes/comments/ienpsm/if_im_switching_from_a_pump_to_pen_can_i_take_my/")</f>
        <v/>
      </c>
      <c r="G10567" t="inlineStr">
        <is>
          <t>2020-08-22 11:30:57</t>
        </is>
      </c>
      <c r="H10567" t="inlineStr">
        <is>
          <t>Type 1</t>
        </is>
      </c>
    </row>
    <row r="10568">
      <c r="A10568" t="inlineStr">
        <is>
          <t>ieovhz</t>
        </is>
      </c>
      <c r="B10568" t="inlineStr">
        <is>
          <t>First time to this sub because I am struggling</t>
        </is>
      </c>
      <c r="C10568" t="inlineStr">
        <is>
          <t>I'm sure you all have read way too many "recently diagnosed" posts, but I'm so upset and have no one to talk to, so I turn to Reddit as always.
I was diagnosed as prediabetic a few months ago and was told to follow up this summer to check my levels; however, I had to see a new doctor because I changed insurance plans and my old beloved doctor doesn't take my new plan. This new doctor pointed out how fat I am, told me to "just eat less food," including "no carbs and no more fried food ever again." Then she sent me to the lab for testing. I get a call the next morning from a nurse saying "your diabetes is much worse, you need to start taking more Metformin and some Ozempic." They didn't even sugar coat it (pardon the bad pun), and they didn't refer me to any diabetes education or anything. Just "you're diabetic now, so eat less food."
I have been in recovery from bulimia for two years and while I haven't been doing super great, I haven't had any binges or purges in that whole time. But here I am, crying and fighting the urge to eat everything in my house or go to McDonald's because I have to radically change my diet to... what? I honestly have no idea what I'm doing and I have literally no support. I am scared and I'm mad at the doctor and I'm mad at myself because I feel like my bulimia caused my diabetes and I'm filled with self and body hatred.
I know there are probably hundreds of posts like mine but I couldn't find any in the search I did. If somebody could just tell me that it'll be ok and point me in the right direction as far as resources and education I would appreciate it, because right now I'm feeling like I would rather be dead than be in this situation.
Thanks for listening.</t>
        </is>
      </c>
      <c r="D10568" t="n">
        <v>1</v>
      </c>
      <c r="E10568" t="n">
        <v>18</v>
      </c>
      <c r="F10568">
        <f>HYPERLINK("https://www.reddit.com/r/diabetes/comments/ieovhz/first_time_to_this_sub_because_i_am_struggling/")</f>
        <v/>
      </c>
      <c r="G10568" t="inlineStr">
        <is>
          <t>2020-08-22 12:35:28</t>
        </is>
      </c>
      <c r="H10568" t="inlineStr">
        <is>
          <t>Type 2</t>
        </is>
      </c>
    </row>
    <row r="10569">
      <c r="A10569" t="inlineStr">
        <is>
          <t>ierjch</t>
        </is>
      </c>
      <c r="B10569" t="inlineStr">
        <is>
          <t>Sugar level at night</t>
        </is>
      </c>
      <c r="C10569" t="inlineStr">
        <is>
          <t>Hi, guys! I have never thought that there’s a huge problem here (and doctors in my country don’t really care) but recently I started living with my bf and he noticed me waking up at night and having low sugar, so he is worried it’s very bad. 
So, I usually go to sleep when my sugar is around 80 mg/dL (it can be 60 mg/dL in some cases but like once in 10 days or so), i eat some small candy and wake up at 3am and it’s 70-80 mg/dL again. I eat the same thing, wake up and sugar is alright. Around 100-120 mg/dL. I do as less insulin as possible for the last meal but I can’t make my sugar go higher than 140-150 mg/dL because when I go to sleep with a sugar like this, in most cases it doesn’t go down at all and I wake up with the same sugar level.
I thought about lowering lantus but I’m scared it will affect my sugar levels throughout the day and they are pretty much in range right now. 
Do you think I’m having a serious problem with my sugar at night? Thanks for response and reading all of these in advance.</t>
        </is>
      </c>
      <c r="D10569" t="n">
        <v>1</v>
      </c>
      <c r="E10569" t="n">
        <v>12</v>
      </c>
      <c r="F10569">
        <f>HYPERLINK("https://www.reddit.com/r/diabetes/comments/ierjch/sugar_level_at_night/")</f>
        <v/>
      </c>
      <c r="G10569" t="inlineStr">
        <is>
          <t>2020-08-22 15:09:21</t>
        </is>
      </c>
      <c r="H10569" t="inlineStr">
        <is>
          <t>Type 1</t>
        </is>
      </c>
    </row>
    <row r="10570">
      <c r="A10570" t="inlineStr">
        <is>
          <t>ies8fj</t>
        </is>
      </c>
      <c r="B10570" t="inlineStr">
        <is>
          <t>How can I get motivated to better my health?</t>
        </is>
      </c>
      <c r="C10570" t="inlineStr">
        <is>
          <t>I want to be healthy, but I cant seem to get motivated to change my ways. My latest A1C was 8.2, which is the lowest its been in a long time, so I am happy about that. But I cant tell if its the situation qith Covid sapping my mental energy or what, but I cant seem to make myself crack down on my blood sugars as much as I want to... I'm about to be on my own in college too... Do you guys have any advice?</t>
        </is>
      </c>
      <c r="D10570" t="n">
        <v>1</v>
      </c>
      <c r="E10570" t="n">
        <v>5</v>
      </c>
      <c r="F10570">
        <f>HYPERLINK("https://www.reddit.com/r/diabetes/comments/ies8fj/how_can_i_get_motivated_to_better_my_health/")</f>
        <v/>
      </c>
      <c r="G10570" t="inlineStr">
        <is>
          <t>2020-08-22 15:50:52</t>
        </is>
      </c>
      <c r="H10570" t="inlineStr">
        <is>
          <t>Type 1</t>
        </is>
      </c>
    </row>
    <row r="10571">
      <c r="A10571" t="inlineStr">
        <is>
          <t>iesr3k</t>
        </is>
      </c>
      <c r="B10571" t="inlineStr">
        <is>
          <t>Doozy</t>
        </is>
      </c>
      <c r="C10571" t="inlineStr">
        <is>
          <t>Was just diagnosed with Type 2 on Wednesday. Also positive for H Pylori. Doc put me on Metformin and meds to clear up bacteria. Did a number on me and have spent the last two days in the bathroom. Zofran also isn’t helping. Any suggestions as to how to ease up on the stomach pains and nausea?
I know it’s a common side effect with the Metformin. But I really want to get this under control and be able to start watching my nutrition and exercise. For now I’ve just been trying to stay hydrated and eating a small bland diet for fear of it all just coming back up. Hard to feel in control when I feel like I’ve been ran over by a semi truck. I do have a doctors appointment on Monday.</t>
        </is>
      </c>
      <c r="D10571" t="n">
        <v>1</v>
      </c>
      <c r="E10571" t="n">
        <v>6</v>
      </c>
      <c r="F10571">
        <f>HYPERLINK("https://www.reddit.com/r/diabetes/comments/iesr3k/doozy/")</f>
        <v/>
      </c>
      <c r="G10571" t="inlineStr">
        <is>
          <t>2020-08-22 16:23:49</t>
        </is>
      </c>
      <c r="H10571" t="inlineStr">
        <is>
          <t>Type 2</t>
        </is>
      </c>
    </row>
    <row r="10572">
      <c r="A10572" t="inlineStr">
        <is>
          <t>iett0r</t>
        </is>
      </c>
      <c r="B10572" t="inlineStr">
        <is>
          <t>Help for a potential newbie</t>
        </is>
      </c>
      <c r="C10572" t="inlineStr">
        <is>
          <t>Hello, this is my first time posting here so I hope this is okay. I am a 27 year old female, 5'6" and 130 lbs, decent diet, regular exercise. Have one child. Generally healthy overall. Over the past several months, I've been feeling a little "off", it's kind of hard to describe because it's not specific. But often I feel tired, like unusually so, and also dizzy. I don't have a doctor but I finally went to one and had some testing done. My a1c came back at 6.6 which was considered "high", but possibly more concerning was my urinalysis which came back at 29.1 mmol/L for glucose which was considered "extremely high". The doctor just said we need to run more tests. From what I am reading online, these results are diagnostic for type 2 diabetes. So, do I have diabetes? 
I am in remission from childhood cancer, and my radiation field may have included my pancreas. I remember years and years ago, the oncologist mentioning that diabetes may be in my future (I just thought maybe I'd be 40+, not 27). Is diabetes caused by radiation damaged classified or diagnosed any differently?
Thanks in advance!</t>
        </is>
      </c>
      <c r="D10572" t="n">
        <v>1</v>
      </c>
      <c r="E10572" t="n">
        <v>3</v>
      </c>
      <c r="F10572">
        <f>HYPERLINK("https://www.reddit.com/r/diabetes/comments/iett0r/help_for_a_potential_newbie/")</f>
        <v/>
      </c>
      <c r="G10572" t="inlineStr">
        <is>
          <t>2020-08-22 17:31:20</t>
        </is>
      </c>
      <c r="H10572" t="inlineStr">
        <is>
          <t>Type 2</t>
        </is>
      </c>
    </row>
    <row r="10573">
      <c r="A10573" t="inlineStr">
        <is>
          <t>ieumdv</t>
        </is>
      </c>
      <c r="B10573" t="inlineStr">
        <is>
          <t>Blucon + Freestyle Libre connection error with iPhone and Apple Watch</t>
        </is>
      </c>
      <c r="C10573" t="inlineStr">
        <is>
          <t>Hey everyone, my boyfriend is type1 diabetic and he’s been using the Blucon Nightreader with his sensor and keeping track on the app through his phone and Apple Watch. 
It has been working without any issues for the past 15 days or so and a couple hours ago it stopped reading the sensor. It only gave the number of days until the sensor ended and now it keeps connecting and disconnecting or says “patch reading error”. 
As you can imagine he’s getting frustrated and I’d like to know if you had any similar issues. The battery on the blucon is new btw. 
Thank you!</t>
        </is>
      </c>
      <c r="D10573" t="n">
        <v>1</v>
      </c>
      <c r="E10573" t="n">
        <v>1</v>
      </c>
      <c r="F10573">
        <f>HYPERLINK("https://www.reddit.com/r/diabetes/comments/ieumdv/blucon_freestyle_libre_connection_error_with/")</f>
        <v/>
      </c>
      <c r="G10573" t="inlineStr">
        <is>
          <t>2020-08-22 18:27:18</t>
        </is>
      </c>
      <c r="H10573" t="inlineStr">
        <is>
          <t>Type 1</t>
        </is>
      </c>
    </row>
    <row r="10574">
      <c r="A10574" t="inlineStr">
        <is>
          <t>ievcdf</t>
        </is>
      </c>
      <c r="B10574" t="inlineStr">
        <is>
          <t>I 'slept off' a hypo this morning...</t>
        </is>
      </c>
      <c r="C10574" t="inlineStr">
        <is>
          <t>A few hours after falling asleep, I was awoken by the sound of my Low Glucose alarm at 3am, I made the effort attempt a correction. I took a spoonful of golden syrup and rinsed it down with a mouthful or two of milk. I managed to nap for another short hour before being met with more urgent low glucose alarms I was at 2.9mmol/L and my parents were getting the alarm to so they come to check on me but I sent them away. I was too stubborn to fix it and forced my self to sleep again where I intermittently woke up every 15mins for the next 2hrs because of alarms I kept ignoring. My parents again woke my up at 6am where I sent them away again, but I atleast reduced my basal to 20% before sleeping again. my BG slowly rose to 5 by the time I woke up at 9am.   
https://preview.redd.it/bvfwd0rvvni51.jpg?width=960&amp;amp;format=pjpg&amp;amp;auto=webp&amp;amp;s=8161c694ae5be540dab5f5927f8f3a7d7ab817e7
I woke up feeling like absolute shit, but still intent on going to work. I got up, lethargic, weak, and mentally cloudy, dragging my feet the whole time getting ready. I got to work "parked" and went to go inside before a man called out to me, I turned around to see my car rolling forward and the man stopped it for me. I thanked him got back in the car to repark before making the decision to call work from the carpark and tell them I'm not going to be able to make it through the day and ringing in a sicky (my first in like 5years).   
Mum tried to drag me off to the doctors when I walked in home, but I opted against it due to a local COVID outbreak and massive wait times. They would just tell me what I already know. I still feel weak, and am mumbling/mixing up words. I don't have the fine control of mind and body I usually do, though my BGs have returned to normal.   
Somethings I should add, I'm somewhat insensitive/unaware of hypos without a CGM, so I don't feel the usual indicators during them unless they're severe &amp;lt;2.5mmol/L (even then it's just a feeling alike anxiety). I'm having a hard time caring, hypers make me feel bad and I am super intensive to correct it, but with hypos i'm more "it is what it is" and "I don't want to deal with this". I've also been having a super hard time controlling BG spikes after eating, I was adamant to not correct as last time I did i woke up &amp;gt;12mmol/L and hate dealing with hypers.
How long will these prolonged repercussions of neglecting a hypo last? has anyone experience something like this?</t>
        </is>
      </c>
      <c r="D10574" t="n">
        <v>1</v>
      </c>
      <c r="E10574" t="n">
        <v>8</v>
      </c>
      <c r="F10574">
        <f>HYPERLINK("https://www.reddit.com/r/diabetes/comments/ievcdf/i_slept_off_a_hypo_this_morning/")</f>
        <v/>
      </c>
      <c r="G10574" t="inlineStr">
        <is>
          <t>2020-08-22 19:19:31</t>
        </is>
      </c>
      <c r="H10574" t="inlineStr">
        <is>
          <t>Type 1</t>
        </is>
      </c>
    </row>
    <row r="10575">
      <c r="A10575" t="inlineStr">
        <is>
          <t>ievg3l</t>
        </is>
      </c>
      <c r="B10575" t="inlineStr">
        <is>
          <t>Spots in vision</t>
        </is>
      </c>
      <c r="C10575" t="inlineStr">
        <is>
          <t>So I posted this on another diabetes subreddit, but I am still curious if anyone else has had similar symptoms after seeing another eye related post.
I was diagnosed type 1 in 2013. My a1c went from great, to not great; highest, other then at diagnosis: 8.9; most recent: 8.4. 
For the past three weeks I've noticed a spot near the center of my vision that looks like I've looked at a bright light...but it doesn't go away. It kinda comes and goes and I can see through it. So it's not a particularly dark or black spot. Sometimes it kinda flickers.
It also seems to appear or get worse with fatigue or stress.
I haven't been diabetic for long, but at every eye exam, I've been "healthy" or "very healthy". So I am concerned that something changed drastically in a year.
I do have an appointment with a new eye doctor in oct (because I moved and an obvious delay from the virus).
I also have a history of migraines and high blood pressure since 2018. The closest thing to some of my symptoms is a visual migraine, but the spot never goes away. So I am concerned it is something serious.
Does this sound familiar to anyone? Has anyone had anything similar?
I'm not looking for a diagnosis. I am just curious.</t>
        </is>
      </c>
      <c r="D10575" t="n">
        <v>1</v>
      </c>
      <c r="E10575" t="n">
        <v>9</v>
      </c>
      <c r="F10575">
        <f>HYPERLINK("https://www.reddit.com/r/diabetes/comments/ievg3l/spots_in_vision/")</f>
        <v/>
      </c>
      <c r="G10575" t="inlineStr">
        <is>
          <t>2020-08-22 19:26:50</t>
        </is>
      </c>
      <c r="H10575" t="inlineStr">
        <is>
          <t>Type 1</t>
        </is>
      </c>
    </row>
    <row r="10576">
      <c r="A10576" t="inlineStr">
        <is>
          <t>iez7ef</t>
        </is>
      </c>
      <c r="B10576" t="inlineStr">
        <is>
          <t>Honeymoon phase??</t>
        </is>
      </c>
      <c r="C10576" t="inlineStr">
        <is>
          <t>I've been diabetic for about 6 months now and I was just curious as to when you all came out of the honeymoon phase, if you ever came out at all.. my a1c is 5.3 currently and i don't have a hard time managing my blood sugar (for the most part) what scares me is seeing many people waking up high and not having much control over their blood sugar. is there anyway i'd still be able to manage decent blood sugar even out of the honeymoon phase or does it get as bad as every says it does?</t>
        </is>
      </c>
      <c r="D10576" t="n">
        <v>1</v>
      </c>
      <c r="E10576" t="n">
        <v>8</v>
      </c>
      <c r="F10576">
        <f>HYPERLINK("https://www.reddit.com/r/diabetes/comments/iez7ef/honeymoon_phase/")</f>
        <v/>
      </c>
      <c r="G10576" t="inlineStr">
        <is>
          <t>2020-08-23 00:39:58</t>
        </is>
      </c>
      <c r="H10576" t="inlineStr">
        <is>
          <t>Type 1</t>
        </is>
      </c>
    </row>
    <row r="10577">
      <c r="A10577" t="inlineStr">
        <is>
          <t>iez802</t>
        </is>
      </c>
      <c r="B10577" t="inlineStr">
        <is>
          <t>Freestyle Libre vs BG meter</t>
        </is>
      </c>
      <c r="C10577" t="inlineStr">
        <is>
          <t>My bg meter and libre have severe differences with one another (50+ points sometimes). But my meter also has differences. I just checked 3 times on my meter and it was 212, 220, 91. I am so confused on what to do and this is stressing me out</t>
        </is>
      </c>
      <c r="D10577" t="n">
        <v>1</v>
      </c>
      <c r="E10577" t="n">
        <v>5</v>
      </c>
      <c r="F10577">
        <f>HYPERLINK("https://www.reddit.com/r/diabetes/comments/iez802/freestyle_libre_vs_bg_meter/")</f>
        <v/>
      </c>
      <c r="G10577" t="inlineStr">
        <is>
          <t>2020-08-23 00:41:23</t>
        </is>
      </c>
      <c r="H10577" t="inlineStr">
        <is>
          <t>Type 1</t>
        </is>
      </c>
    </row>
    <row r="10578">
      <c r="A10578" t="inlineStr">
        <is>
          <t>if3o8s</t>
        </is>
      </c>
      <c r="B10578" t="inlineStr">
        <is>
          <t>Advice needed. Should I start taking medication?</t>
        </is>
      </c>
      <c r="C10578" t="inlineStr">
        <is>
          <t>I have an a1c of 6.5 , and this has been the same in February 2020 and now July 2020. My BG is raised in the morning when I wake up, normally between 8 and 10, and slowly goes down during the day. I am 10 kg overweight but I'm exercising pretty much every day, good cardio workout for 45 mins. I'm thinking I can reverse these BG issues by losing weight and watching my diet (too much booze!). Should I be taking medication?</t>
        </is>
      </c>
      <c r="D10578" t="n">
        <v>1</v>
      </c>
      <c r="E10578" t="n">
        <v>4</v>
      </c>
      <c r="F10578">
        <f>HYPERLINK("https://www.reddit.com/r/diabetes/comments/if3o8s/advice_needed_should_i_start_taking_medication/")</f>
        <v/>
      </c>
      <c r="G10578" t="inlineStr">
        <is>
          <t>2020-08-23 07:01:10</t>
        </is>
      </c>
      <c r="H10578" t="inlineStr">
        <is>
          <t>Type 2</t>
        </is>
      </c>
    </row>
    <row r="10579">
      <c r="A10579" t="inlineStr">
        <is>
          <t>if4go6</t>
        </is>
      </c>
      <c r="B10579" t="inlineStr">
        <is>
          <t>Floaters</t>
        </is>
      </c>
      <c r="C10579" t="inlineStr">
        <is>
          <t>I'm 22 years old and in the past months i've had a blurry vision in my left eye and a floater also appeared....i'm just wondering how many people have had the same situation.....i did many eye exams but its apprently nothing important. 
The floaters are pretty annoying i must say</t>
        </is>
      </c>
      <c r="D10579" t="n">
        <v>1</v>
      </c>
      <c r="E10579" t="n">
        <v>5</v>
      </c>
      <c r="F10579">
        <f>HYPERLINK("https://www.reddit.com/r/diabetes/comments/if4go6/floaters/")</f>
        <v/>
      </c>
      <c r="G10579" t="inlineStr">
        <is>
          <t>2020-08-23 07:50:07</t>
        </is>
      </c>
      <c r="H10579" t="inlineStr">
        <is>
          <t>Type 1</t>
        </is>
      </c>
    </row>
    <row r="10580">
      <c r="A10580" t="inlineStr">
        <is>
          <t>if8p9q</t>
        </is>
      </c>
      <c r="B10580" t="inlineStr">
        <is>
          <t>how to counter high bg during exercise?</t>
        </is>
      </c>
      <c r="C10580" t="inlineStr">
        <is>
          <t>I play high-level lacrosse and MMA, but whenever I have a tournament/practice/fight and started out with low blood sugar, I suspend insulin. Even though the exercise is extremely challenging, my blood sugar would consistently go up, keep in mind I did not eat anything before or during the exercise. 
So to counter that, I brought my blood sugar up before exercise and did not suspend insulin, and my blood sugar crashed, which isn't too big of an issue but it gets in the way and sorta makes me look bad, especially to those who don't know I'm T1D. I'm fine with that but it can get a little annoying.
The fact that I'm a teenager might play a role, but idfk. Has anyone else faced this, and if so what did you do?
thanks to anyone read this far</t>
        </is>
      </c>
      <c r="D10580" t="n">
        <v>1</v>
      </c>
      <c r="E10580" t="n">
        <v>4</v>
      </c>
      <c r="F10580">
        <f>HYPERLINK("https://www.reddit.com/r/diabetes/comments/if8p9q/how_to_counter_high_bg_during_exercise/")</f>
        <v/>
      </c>
      <c r="G10580" t="inlineStr">
        <is>
          <t>2020-08-23 11:45:50</t>
        </is>
      </c>
      <c r="H10580" t="inlineStr">
        <is>
          <t>Type 1</t>
        </is>
      </c>
    </row>
    <row r="10581">
      <c r="A10581" t="inlineStr">
        <is>
          <t>ifbpdu</t>
        </is>
      </c>
      <c r="B10581" t="inlineStr">
        <is>
          <t>So, do you guys actually go .months without changing the lancet?</t>
        </is>
      </c>
      <c r="C10581" t="inlineStr">
        <is>
          <t>So far I've been changing it every few pricks, but I'd feel weird not changing it for even a week. Is it mostly a meme or do a lot of you guys actually not change them often? I have a set of 200 so even changing it every day would last me a while</t>
        </is>
      </c>
      <c r="D10581" t="n">
        <v>1</v>
      </c>
      <c r="E10581" t="n">
        <v>69</v>
      </c>
      <c r="F10581">
        <f>HYPERLINK("https://www.reddit.com/r/diabetes/comments/ifbpdu/so_do_you_guys_actually_go_months_without/")</f>
        <v/>
      </c>
      <c r="G10581" t="inlineStr">
        <is>
          <t>2020-08-23 14:28:07</t>
        </is>
      </c>
      <c r="H10581" t="inlineStr">
        <is>
          <t>Type 1</t>
        </is>
      </c>
    </row>
    <row r="10582">
      <c r="A10582" t="inlineStr">
        <is>
          <t>ifhjby</t>
        </is>
      </c>
      <c r="B10582" t="inlineStr">
        <is>
          <t>Newly Diagnosed T1D</t>
        </is>
      </c>
      <c r="C10582" t="inlineStr">
        <is>
          <t>Sorry in advance this post is all over the place. I was diagnosed with T1D a few weeks ago. So far it's been a little overwhelming, a little frustrating but generally under control, well depends on the day. Unfortunately, I don't know anyone with T1D so I'm looking for a place where I can learn from others rather than brochures and online articles that tell me I'm gonna have hundreds of conditions if I don't keep my BG under 130. Is r/diabetes a good place to connect with others, ask questions and learn?
I have a few questions that I'm still confused about and would love to hear some thoughts.
\- Does protein affect BG? I noticed that I got high levels a couple of times after eating tuna even though I counted whatever carbs I ate it with.
\- Is it normal to get high BG randomly without eating food? 
\- Sometimes I get high BG that won't go down no matter how much insulin I take to correct it. Is that normal?
\- When I get high BG I feel my eyes, hands and feet are dry with some tingling in fingers and toes. Anyone else feels something similar?
\- I had very high levels for at least a couple of months before being diagnosed. This caused me to lose a lot of hair. Anyone knows if this is reversible after the levels are back under control.
&amp;amp;#x200B;
Again, sorry the questions are all over the place but I'm looking for answers out of experience and not textbooks.</t>
        </is>
      </c>
      <c r="D10582" t="n">
        <v>1</v>
      </c>
      <c r="E10582" t="n">
        <v>3</v>
      </c>
      <c r="F10582">
        <f>HYPERLINK("https://www.reddit.com/r/diabetes/comments/ifhjby/newly_diagnosed_t1d/")</f>
        <v/>
      </c>
      <c r="G10582" t="inlineStr">
        <is>
          <t>2020-08-23 20:31:55</t>
        </is>
      </c>
      <c r="H10582" t="inlineStr">
        <is>
          <t>Type 1</t>
        </is>
      </c>
    </row>
    <row r="10583">
      <c r="A10583" t="inlineStr">
        <is>
          <t>ifiy8o</t>
        </is>
      </c>
      <c r="B10583" t="inlineStr">
        <is>
          <t>Birth Control Question</t>
        </is>
      </c>
      <c r="C10583" t="inlineStr">
        <is>
          <t>Okay, so I’m back again to ask another question. In my last post, I asked for some advice because my BG was consistently staying high or going up without me doing anything to make it do so, and despite the fact that I’ve been obsessively monitoring/correcting. I’ve tried out a few things, and had just *slightly* better results, but it’s still happening.
So, I wanted to ask; does taking birth control affect your BG regulation, or maybe your insulin resistance? I started taking mine in May, and I skip the placebo pills for a few different reasons. I hadn’t noticed any negative side-affects, but I wonder if maybe this is one? Does anyone have experience with this?</t>
        </is>
      </c>
      <c r="D10583" t="n">
        <v>1</v>
      </c>
      <c r="E10583" t="n">
        <v>6</v>
      </c>
      <c r="F10583">
        <f>HYPERLINK("https://www.reddit.com/r/diabetes/comments/ifiy8o/birth_control_question/")</f>
        <v/>
      </c>
      <c r="G10583" t="inlineStr">
        <is>
          <t>2020-08-23 22:15:56</t>
        </is>
      </c>
      <c r="H10583" t="inlineStr">
        <is>
          <t>Type 1</t>
        </is>
      </c>
    </row>
    <row r="10584">
      <c r="A10584" t="inlineStr">
        <is>
          <t>ifjy6o</t>
        </is>
      </c>
      <c r="B10584" t="inlineStr">
        <is>
          <t>Have to disconnect my pump for up to an hour</t>
        </is>
      </c>
      <c r="C10584" t="inlineStr">
        <is>
          <t>Hello! I’m a tt1d. I’m going in for an mri soon and I will need to take off dexcom (which I’m ok with) and omnipod. But I’m not sure how to deal with not getting insulin for up to an hour while not being able to monitor my blood sugar. Should I inject some insulin before I disconnect it? Any advice would be greatly appreciated.</t>
        </is>
      </c>
      <c r="D10584" t="n">
        <v>1</v>
      </c>
      <c r="E10584" t="n">
        <v>5</v>
      </c>
      <c r="F10584">
        <f>HYPERLINK("https://www.reddit.com/r/diabetes/comments/ifjy6o/have_to_disconnect_my_pump_for_up_to_an_hour/")</f>
        <v/>
      </c>
      <c r="G10584" t="inlineStr">
        <is>
          <t>2020-08-23 23:38:53</t>
        </is>
      </c>
      <c r="H10584" t="inlineStr">
        <is>
          <t>Type 1</t>
        </is>
      </c>
    </row>
    <row r="10585">
      <c r="A10585" t="inlineStr">
        <is>
          <t>ifkdys</t>
        </is>
      </c>
      <c r="B10585" t="inlineStr">
        <is>
          <t>Hypoglycemia response while fasting? Is it blunted?</t>
        </is>
      </c>
      <c r="C10585" t="inlineStr">
        <is>
          <t>Hello everyone - quick question if someone wants to weight in.  I'm a T1 IDDM, and have sadly become obese over the last few years (stressful job, life events etc...).  I need to turn it around and it seems that intermittent fasting is probably best for me (my endocrinologist says he has a lot of patients who have done amazing on IF).
My question is...  how does being on IF impact the body's response to hypoglycemia?  If I'm constantly running at a calorie deficit, won't that presumably tap into my glycogen stores, and then eventually beta-oxidation ("fat burning").  If my glycogen is low, and I have a hypoglycemic episode overnight (because I'm exercising more), will my body's ability to "make" glucose be sufficiently impaired I could end up in a bad situation?   It's something I'm curious about... (I had a T1 IDDM friend who passed away in his sleep at 20 years old.... terrified it'll happen to me)</t>
        </is>
      </c>
      <c r="D10585" t="n">
        <v>1</v>
      </c>
      <c r="E10585" t="n">
        <v>2</v>
      </c>
      <c r="F10585">
        <f>HYPERLINK("https://www.reddit.com/r/diabetes/comments/ifkdys/hypoglycemia_response_while_fasting_is_it_blunted/")</f>
        <v/>
      </c>
      <c r="G10585" t="inlineStr">
        <is>
          <t>2020-08-24 00:18:12</t>
        </is>
      </c>
      <c r="H10585" t="inlineStr">
        <is>
          <t>Type 1</t>
        </is>
      </c>
    </row>
    <row r="10586">
      <c r="A10586" t="inlineStr">
        <is>
          <t>ifpnej</t>
        </is>
      </c>
      <c r="B10586" t="inlineStr">
        <is>
          <t>Sugar Alcohols?</t>
        </is>
      </c>
      <c r="C10586" t="inlineStr">
        <is>
          <t>I need help understanding sugar alcohols, how to track and how they affect my readings. I have googled and I am still unclear.  For example- Brach's makes sugar free cinnamon disks.  Three candies have 35 calories, no fat, 17 carbs and 17 sugar alcohols. Do I count those carbs or not? Will sugar alcohols affect my readings?  Are all sugar alcohols equal?</t>
        </is>
      </c>
      <c r="D10586" t="n">
        <v>1</v>
      </c>
      <c r="E10586" t="n">
        <v>15</v>
      </c>
      <c r="F10586">
        <f>HYPERLINK("https://www.reddit.com/r/diabetes/comments/ifpnej/sugar_alcohols/")</f>
        <v/>
      </c>
      <c r="G10586" t="inlineStr">
        <is>
          <t>2020-08-24 07:07:36</t>
        </is>
      </c>
      <c r="H10586" t="inlineStr">
        <is>
          <t>Type 2</t>
        </is>
      </c>
    </row>
    <row r="10587">
      <c r="A10587" t="inlineStr">
        <is>
          <t>ifpzsp</t>
        </is>
      </c>
      <c r="B10587" t="inlineStr">
        <is>
          <t>Second time in a week that my Coke Zero from McD drive thru was obviously not.</t>
        </is>
      </c>
      <c r="C10587" t="inlineStr">
        <is>
          <t>I can usually taste the difference in sweetness, but guess its a bit harder with fountain drinks.</t>
        </is>
      </c>
      <c r="D10587" t="n">
        <v>1</v>
      </c>
      <c r="E10587" t="n">
        <v>95</v>
      </c>
      <c r="F10587">
        <f>HYPERLINK("https://www.reddit.com/r/diabetes/comments/ifpzsp/second_time_in_a_week_that_my_coke_zero_from_mcd/")</f>
        <v/>
      </c>
      <c r="G10587" t="inlineStr">
        <is>
          <t>2020-08-24 07:26:47</t>
        </is>
      </c>
      <c r="H10587" t="inlineStr">
        <is>
          <t>Type 1</t>
        </is>
      </c>
    </row>
    <row r="10588">
      <c r="A10588" t="inlineStr">
        <is>
          <t>ifqws1</t>
        </is>
      </c>
      <c r="B10588" t="inlineStr">
        <is>
          <t>How is microalbumineria diagnosed</t>
        </is>
      </c>
      <c r="C10588" t="inlineStr">
        <is>
          <t>I am 35 male diagnosed with Type 2 diabetes seven years back. I have been maintaining my sugar levels consistently below hba1c 7 till now. I have not taken any medication so far and have been controlling with diet and exercise. 
In my latest blood test, urine microalbumin was 48 and microalbumin to creatinine ratio was 466. My blood pressure was 130/80 and the cholesterol was high. This is the first time microalbumin was high. 
The doctor I visited has prescribed for medication for cholesterol and microalbumineria. Should any further diagnostic tests be done before taking medication for microalbumineria or should I consult with another doctor?
Note: I don’t know this is the right sub to post. Also, I am not sure if what I seek and medical advice and hence I am not following the rules of this sub.</t>
        </is>
      </c>
      <c r="D10588" t="n">
        <v>1</v>
      </c>
      <c r="E10588" t="n">
        <v>10</v>
      </c>
      <c r="F10588">
        <f>HYPERLINK("https://www.reddit.com/r/diabetes/comments/ifqws1/how_is_microalbumineria_diagnosed/")</f>
        <v/>
      </c>
      <c r="G10588" t="inlineStr">
        <is>
          <t>2020-08-24 08:16:30</t>
        </is>
      </c>
      <c r="H10588" t="inlineStr">
        <is>
          <t>Type 2</t>
        </is>
      </c>
    </row>
    <row r="10589">
      <c r="A10589" t="inlineStr">
        <is>
          <t>ifrnn4</t>
        </is>
      </c>
      <c r="B10589" t="inlineStr">
        <is>
          <t>Extra Pump Supplies</t>
        </is>
      </c>
      <c r="C10589" t="inlineStr">
        <is>
          <t>Hi everyone, first time poster here.  Type 1 Diabetic and I'm 27 year old, and I was diagnosed when I was 2 years old. I've been on a Medtronic Minimed for the better half of my life, and I'm finally due for an upgrade! I'll be getting the Omnipod in the next week or so, but came to realize I have a bunch of reservoirs leftover somehow. I have 4 unopened boxes of the 3.0 mL Minimed Reservoirs and no idea what to do with them.  
With COVID still being a problem, my local Diabetes centre isn't accepting any sorts of donations of this stuff. My problem is I bought it from a local pharmacy (Shoppers Drug Mart) and can't return them to Medtronic themselves. Medtronic only takes stuff thats been sold in the past 90 days, but these guys don't expire until late 2022! I've tried looking online locally for some kind of Diabetic outlet without much success.  
Just branching out and expanding my options here, wondering if someone needs some of these supplies? Maybe donations to an organization or something? Sorry if this is against the rules here, I'm just trying to offload this stuff to someone who could use them!
Thanks</t>
        </is>
      </c>
      <c r="D10589" t="n">
        <v>1</v>
      </c>
      <c r="E10589" t="n">
        <v>3</v>
      </c>
      <c r="F10589">
        <f>HYPERLINK("https://www.reddit.com/r/diabetes/comments/ifrnn4/extra_pump_supplies/")</f>
        <v/>
      </c>
      <c r="G10589" t="inlineStr">
        <is>
          <t>2020-08-24 08:55:37</t>
        </is>
      </c>
      <c r="H10589" t="inlineStr">
        <is>
          <t>Type 1</t>
        </is>
      </c>
    </row>
    <row r="10590">
      <c r="A10590" t="inlineStr">
        <is>
          <t>ifskuu</t>
        </is>
      </c>
      <c r="B10590" t="inlineStr">
        <is>
          <t>Type 2 Diabetes tips?</t>
        </is>
      </c>
      <c r="C10590" t="inlineStr">
        <is>
          <t>I want to ask advice here what would be good for a type 2 person could do, with diabetes to stay safe and healthy. Ive known for 2 years that my mom has gotten it from stress or some reason because she has worked hard all her life, and shes from Thailand but moved to Denmark with me and my brother and dad. Im really sad as im typing this right now, as i heard today she lost conciousness at work and passed out..
&amp;amp;#x200B;
So i want to ask what tips i can give her, and how can i help her the best? She used to work a lot before, always 10 hours everyday and it has been like that her whole life, and shes like 56 now. Now a days she works only 4 hours a day, the last 6 months but im really worried for my mom. I want to do everything for her so nothing bad happens to her. Im almost crying i know she only passed out, but i really dont want her to have a short life, and i want to live to the day i can give her everything she wants.</t>
        </is>
      </c>
      <c r="D10590" t="n">
        <v>1</v>
      </c>
      <c r="E10590" t="n">
        <v>3</v>
      </c>
      <c r="F10590">
        <f>HYPERLINK("https://www.reddit.com/r/diabetes/comments/ifskuu/type_2_diabetes_tips/")</f>
        <v/>
      </c>
      <c r="G10590" t="inlineStr">
        <is>
          <t>2020-08-24 09:43:16</t>
        </is>
      </c>
      <c r="H10590" t="inlineStr">
        <is>
          <t>Type 2</t>
        </is>
      </c>
    </row>
    <row r="10591">
      <c r="A10591" t="inlineStr">
        <is>
          <t>ifsora</t>
        </is>
      </c>
      <c r="B10591" t="inlineStr">
        <is>
          <t>Carb to Insulin Ratio</t>
        </is>
      </c>
      <c r="C10591" t="inlineStr">
        <is>
          <t>What is your insulin to carb ratio?  I am curious to know what other people use compared to me.  I does 1 unit of insulin for 6.1 carbs.  My correction factor is 21  mg/dL per unit of insulin.  I am curious to know what you are using???
For those who are intersted:  I am a type 1 diabetic. I am using a Tandem T:Slim X2 pump and a Dexcom G6.  I have been getting really good results recently and am very happy with the combination.  It has forced me to become much better at counting my carbs.  My last A1C came in at a 6.1.  Best score I have gotten.  
I hope you are well in this crazy time we live in!!</t>
        </is>
      </c>
      <c r="D10591" t="n">
        <v>1</v>
      </c>
      <c r="E10591" t="n">
        <v>18</v>
      </c>
      <c r="F10591">
        <f>HYPERLINK("https://www.reddit.com/r/diabetes/comments/ifsora/carb_to_insulin_ratio/")</f>
        <v/>
      </c>
      <c r="G10591" t="inlineStr">
        <is>
          <t>2020-08-24 09:48:22</t>
        </is>
      </c>
      <c r="H10591" t="inlineStr">
        <is>
          <t>Type 1</t>
        </is>
      </c>
    </row>
    <row r="10592">
      <c r="A10592" t="inlineStr">
        <is>
          <t>ifuwii</t>
        </is>
      </c>
      <c r="B10592" t="inlineStr">
        <is>
          <t>When will my dexcom even come uhhhh</t>
        </is>
      </c>
      <c r="C10592" t="inlineStr">
        <is>
          <t>so everyone, i posted on here about how i was getting my dexcom on monday(today) and now it's monday and there was an issue with the shipping sadly so i can get it on thursday now, this is sadly the 3rd time this has happened lol, okay that's all</t>
        </is>
      </c>
      <c r="D10592" t="n">
        <v>1</v>
      </c>
      <c r="E10592" t="n">
        <v>8</v>
      </c>
      <c r="F10592">
        <f>HYPERLINK("https://www.reddit.com/r/diabetes/comments/ifuwii/when_will_my_dexcom_even_come_uhhhh/")</f>
        <v/>
      </c>
      <c r="G10592" t="inlineStr">
        <is>
          <t>2020-08-24 11:38:10</t>
        </is>
      </c>
      <c r="H10592" t="inlineStr">
        <is>
          <t>Type 1</t>
        </is>
      </c>
    </row>
    <row r="10593">
      <c r="A10593" t="inlineStr">
        <is>
          <t>ifznav</t>
        </is>
      </c>
      <c r="B10593" t="inlineStr">
        <is>
          <t>How do you explain your Libre Sensor to little kids?</t>
        </is>
      </c>
      <c r="C10593" t="inlineStr">
        <is>
          <t>I went to a BBQ and some kids were following me around staring at me. I assumed it was the Sensor but none of them asked so I wasn't bothered. I have no problem talking about my diabetes, but wasnt 100% sure that's why they were following me around. 
Then when I was getting out of my parked car and little girl and her dad stopped and the dad told me she had asked what was on my arm. I gave a brief explanation but I know she definitely didnt understand me at all. I ended it with "I'm kind of like a robot." 
How do you explain your sensor to little kids when they are curious?</t>
        </is>
      </c>
      <c r="D10593" t="n">
        <v>1</v>
      </c>
      <c r="E10593" t="n">
        <v>6</v>
      </c>
      <c r="F10593">
        <f>HYPERLINK("https://www.reddit.com/r/diabetes/comments/ifznav/how_do_you_explain_your_libre_sensor_to_little/")</f>
        <v/>
      </c>
      <c r="G10593" t="inlineStr">
        <is>
          <t>2020-08-24 15:38:23</t>
        </is>
      </c>
      <c r="H10593" t="inlineStr">
        <is>
          <t>Type 1</t>
        </is>
      </c>
    </row>
    <row r="10594">
      <c r="A10594" t="inlineStr">
        <is>
          <t>ig2nv7</t>
        </is>
      </c>
      <c r="B10594" t="inlineStr">
        <is>
          <t>T2 Diabetic looking for recommendations</t>
        </is>
      </c>
      <c r="C10594" t="inlineStr">
        <is>
          <t>Heya, I've (36m) been diabetic for the past two years. When I was first diagnosed, a friend gave me a blood monitor which I've been using. It stopped working recently. I've asked my NHS doc for one but apparently they dont give them out now as it makes people test too often. I'm on metformin, and jardiance meds wise.
So I'm looking to purchase one, it can be test strip, but ideally I'd like something that can log numbers.</t>
        </is>
      </c>
      <c r="D10594" t="n">
        <v>1</v>
      </c>
      <c r="E10594" t="n">
        <v>3</v>
      </c>
      <c r="F10594">
        <f>HYPERLINK("https://www.reddit.com/r/diabetes/comments/ig2nv7/t2_diabetic_looking_for_recommendations/")</f>
        <v/>
      </c>
      <c r="G10594" t="inlineStr">
        <is>
          <t>2020-08-24 18:37:37</t>
        </is>
      </c>
      <c r="H10594" t="inlineStr">
        <is>
          <t>Type 2</t>
        </is>
      </c>
    </row>
    <row r="10595">
      <c r="A10595" t="inlineStr">
        <is>
          <t>ig92xz</t>
        </is>
      </c>
      <c r="B10595" t="inlineStr">
        <is>
          <t>Initial diagnosis, not from an endocrinologist</t>
        </is>
      </c>
      <c r="C10595" t="inlineStr">
        <is>
          <t>Fertility doctor ran tests and she told me I have diabetes and need to see an endocrinologist and get it under control before we move forward. I'll go see the endocrinologist she recommended in a few days. In the meantime, I want to learn as much as I can! Any good book recommendations? She said it isn't too bad (again she isn't an endo) but she believes I will need to be on medication. 
I really try to not stay on meds unless absolutely necessary! I am sure this is due to my recent completely sedentary life that's been going on since I moved and now Covid has me moving around even less. Would love to hear from anyone who takes a holistic approach and books books books please!!!!  TIA</t>
        </is>
      </c>
      <c r="D10595" t="n">
        <v>1</v>
      </c>
      <c r="E10595" t="n">
        <v>13</v>
      </c>
      <c r="F10595">
        <f>HYPERLINK("https://www.reddit.com/r/diabetes/comments/ig92xz/initial_diagnosis_not_from_an_endocrinologist/")</f>
        <v/>
      </c>
      <c r="G10595" t="inlineStr">
        <is>
          <t>2020-08-25 02:50:59</t>
        </is>
      </c>
      <c r="H10595" t="inlineStr">
        <is>
          <t>Type 2</t>
        </is>
      </c>
    </row>
    <row r="10596">
      <c r="A10596" t="inlineStr">
        <is>
          <t>igamip</t>
        </is>
      </c>
      <c r="B10596" t="inlineStr">
        <is>
          <t>Type 2 diabetics: Do you have food log that you can share?</t>
        </is>
      </c>
      <c r="C10596" t="inlineStr">
        <is>
          <t>Food logs for months or years?</t>
        </is>
      </c>
      <c r="D10596" t="n">
        <v>1</v>
      </c>
      <c r="E10596" t="n">
        <v>8</v>
      </c>
      <c r="F10596">
        <f>HYPERLINK("https://www.reddit.com/r/diabetes/comments/igamip/type_2_diabetics_do_you_have_food_log_that_you/")</f>
        <v/>
      </c>
      <c r="G10596" t="inlineStr">
        <is>
          <t>2020-08-25 04:52:17</t>
        </is>
      </c>
      <c r="H10596" t="inlineStr">
        <is>
          <t>Type 2</t>
        </is>
      </c>
    </row>
    <row r="10597">
      <c r="A10597" t="inlineStr">
        <is>
          <t>igbhhr</t>
        </is>
      </c>
      <c r="B10597" t="inlineStr">
        <is>
          <t>Humalog Pen Question</t>
        </is>
      </c>
      <c r="C10597" t="inlineStr">
        <is>
          <t>How long does everyone use their pen for ? i just started using humalog and it says it will last for 28 days. My endo said some people stretch it out longer. I keep the one i'm using at room temp.  I've had diabetes for about 25 years and i'm also on Janumet Xr also. just doing a starter dose of humalog at dinner for now</t>
        </is>
      </c>
      <c r="D10597" t="n">
        <v>1</v>
      </c>
      <c r="E10597" t="n">
        <v>3</v>
      </c>
      <c r="F10597">
        <f>HYPERLINK("https://www.reddit.com/r/diabetes/comments/igbhhr/humalog_pen_question/")</f>
        <v/>
      </c>
      <c r="G10597" t="inlineStr">
        <is>
          <t>2020-08-25 05:47:22</t>
        </is>
      </c>
      <c r="H10597" t="inlineStr">
        <is>
          <t>Type 2</t>
        </is>
      </c>
    </row>
    <row r="10598">
      <c r="A10598" t="inlineStr">
        <is>
          <t>igctqk</t>
        </is>
      </c>
      <c r="B10598" t="inlineStr">
        <is>
          <t>Advice with eating healthy (do delete if not allowed)</t>
        </is>
      </c>
      <c r="C10598" t="inlineStr">
        <is>
          <t>Basically went to my primary physician yesterday: dealing with Type 2 diabetes-it hasn't been anything severe to such a nature where it hinders everyday activities, and I can still go off Metformin (which is currently my end goal for the next year).   
My only question is this: HOW do you eat healthy? Not exactly proud to say that..."stress eating" is my biggest downfall with a constant 8.5 hour work schedule+other stress factors outside of work, but I want to start somewhere</t>
        </is>
      </c>
      <c r="D10598" t="n">
        <v>1</v>
      </c>
      <c r="E10598" t="n">
        <v>7</v>
      </c>
      <c r="F10598">
        <f>HYPERLINK("https://www.reddit.com/r/diabetes/comments/igctqk/advice_with_eating_healthy_do_delete_if_not/")</f>
        <v/>
      </c>
      <c r="G10598" t="inlineStr">
        <is>
          <t>2020-08-25 07:05:20</t>
        </is>
      </c>
      <c r="H10598" t="inlineStr">
        <is>
          <t>Type 2</t>
        </is>
      </c>
    </row>
    <row r="10599">
      <c r="A10599" t="inlineStr">
        <is>
          <t>igdk4d</t>
        </is>
      </c>
      <c r="B10599" t="inlineStr">
        <is>
          <t>Having issues with Occlusion Alarms and my Tandem Pump, any advice appreciated.</t>
        </is>
      </c>
      <c r="C10599" t="inlineStr">
        <is>
          <t>T1 since 2008, been on the Tandem T Slim X2 since April 2016. 
Never had a single occlusion alarm until June of this year. Then I started getting them multiple times a week. Nothing changed about how I insert or where I place the infusion sites. But all of a sudden I started getting the alarms. Every time I've been able to unplug the tubing, do a test bolus, and watch the right about of insulin come out. But the alarms keep happening. 
Twice so far, I got the occlusion alarm a few hours after changing my cartridge/tubing/etc. only to realize I hadn't been getting insulin at all from the pump. Ended up in the ER both times because I started vomiting so bad I got severely dehydrated. **Tandem replaced the pump after the first ER trip, then it happened again with the replacement!**
There has never been a kink in the tubing or bubbles or any blockage I could see. It has happened with infusion sites all over my torso. I have no idea when the pump is actually working or not until my blood sugar spikes two hours later. I has happened EIGHT times in the past two days. No one at Tandem has been able to help. 
I am at my wit's end. I'm close to giving up the pump entirely and just going back to Lantus. 
Has anyone here dealt with this? Is my body a freak anomaly that hates insulin pumps??? Any help would be a god-send.</t>
        </is>
      </c>
      <c r="D10599" t="n">
        <v>1</v>
      </c>
      <c r="E10599" t="n">
        <v>2</v>
      </c>
      <c r="F10599">
        <f>HYPERLINK("https://www.reddit.com/r/diabetes/comments/igdk4d/having_issues_with_occlusion_alarms_and_my_tandem/")</f>
        <v/>
      </c>
      <c r="G10599" t="inlineStr">
        <is>
          <t>2020-08-25 07:46:06</t>
        </is>
      </c>
      <c r="H10599" t="inlineStr">
        <is>
          <t>Type 1</t>
        </is>
      </c>
    </row>
    <row r="10600">
      <c r="A10600" t="inlineStr">
        <is>
          <t>iges9t</t>
        </is>
      </c>
      <c r="B10600" t="inlineStr">
        <is>
          <t>The Dawn Phenomenon</t>
        </is>
      </c>
      <c r="C10600" t="inlineStr">
        <is>
          <t>When I did my insulin last night, well after having a carb free dinner, my blood sugar was at 120
When I woke up this morning, it was at 160
Does anyone have any tips on how to stop the dawn Phenomenon? Because it's extremely discouraging, and when my blood sugar is anywhere about 150, I tend to not eat because I don't want it going any higher</t>
        </is>
      </c>
      <c r="D10600" t="n">
        <v>1</v>
      </c>
      <c r="E10600" t="n">
        <v>13</v>
      </c>
      <c r="F10600">
        <f>HYPERLINK("https://www.reddit.com/r/diabetes/comments/iges9t/the_dawn_phenomenon/")</f>
        <v/>
      </c>
      <c r="G10600" t="inlineStr">
        <is>
          <t>2020-08-25 08:51:13</t>
        </is>
      </c>
      <c r="H10600" t="inlineStr">
        <is>
          <t>Type 2</t>
        </is>
      </c>
    </row>
    <row r="10601">
      <c r="A10601" t="inlineStr">
        <is>
          <t>igexbl</t>
        </is>
      </c>
      <c r="B10601" t="inlineStr">
        <is>
          <t>TIFU</t>
        </is>
      </c>
      <c r="C10601" t="inlineStr">
        <is>
          <t>Last night I had a high sugar and went to sleep. ( nice dream about sloths )
Early this morning I came round to a paramedic, a bed covered in blood and had somehow pissed into my own mouth. My freestyle meter just said "LO" and it pretty much said the same thing when they took my temperature.
I had apparently ripped out 2 IVs. Which explains the blood.
That shit happens. If you are diabetic you will have some days like this.
BUT I fucked up by posting on social media. My brain was not working. Not only did I post bad advice on reddit I told all my friends and family about the mouth piss.
Seriously . If you have a bad hypo do not touch social media for at least 12 hours. You may be able to type but you really shouldn\`t.</t>
        </is>
      </c>
      <c r="D10601" t="n">
        <v>1</v>
      </c>
      <c r="E10601" t="n">
        <v>4</v>
      </c>
      <c r="F10601">
        <f>HYPERLINK("https://www.reddit.com/r/diabetes/comments/igexbl/tifu/")</f>
        <v/>
      </c>
      <c r="G10601" t="inlineStr">
        <is>
          <t>2020-08-25 08:58:36</t>
        </is>
      </c>
      <c r="H10601" t="inlineStr">
        <is>
          <t>Type 1</t>
        </is>
      </c>
    </row>
    <row r="10602">
      <c r="A10602" t="inlineStr">
        <is>
          <t>iggizc</t>
        </is>
      </c>
      <c r="B10602" t="inlineStr">
        <is>
          <t>What is the deal with the 'muh suggahs' type diabetics?</t>
        </is>
      </c>
      <c r="C10602" t="inlineStr">
        <is>
          <t>I was recently diagnosed and have it mostly under control now via metformin and lifestyle changes.  I had a lot of misconceptions about the disease due to Diabetics I've met in the past.  What are they talking about when they're going on about "muh suggahs" as an excuse to eat (often at the inconvenience of others).  In example, in college I was in a class with someone who claimed their suggahs were low and that's why they have to eat a very large meal during the lecture.
It's mostly morbidly obese people that have been playing that card, but is this something I have to watch out for as well?  I thought avoiding suggahs was the plan.</t>
        </is>
      </c>
      <c r="D10602" t="n">
        <v>1</v>
      </c>
      <c r="E10602" t="n">
        <v>15</v>
      </c>
      <c r="F10602">
        <f>HYPERLINK("https://www.reddit.com/r/diabetes/comments/iggizc/what_is_the_deal_with_the_muh_suggahs_type/")</f>
        <v/>
      </c>
      <c r="G10602" t="inlineStr">
        <is>
          <t>2020-08-25 10:17:30</t>
        </is>
      </c>
      <c r="H10602" t="inlineStr">
        <is>
          <t>Type 2</t>
        </is>
      </c>
    </row>
    <row r="10603">
      <c r="A10603" t="inlineStr">
        <is>
          <t>igjc1j</t>
        </is>
      </c>
      <c r="B10603" t="inlineStr">
        <is>
          <t>Adjust I:C ratio for weight lifting?</t>
        </is>
      </c>
      <c r="C10603" t="inlineStr">
        <is>
          <t>Does anyone find that they need to ever adjust their insulin to carb ratio due to the heightened insulin sensitivity in the days following weight training?
Or do you guys tend to only adjust basal rates? 
Just kinda getting a general idea of the various adjustments you guys make to your insulin following exercise.</t>
        </is>
      </c>
      <c r="D10603" t="n">
        <v>1</v>
      </c>
      <c r="E10603" t="n">
        <v>4</v>
      </c>
      <c r="F10603">
        <f>HYPERLINK("https://www.reddit.com/r/diabetes/comments/igjc1j/adjust_ic_ratio_for_weight_lifting/")</f>
        <v/>
      </c>
      <c r="G10603" t="inlineStr">
        <is>
          <t>2020-08-25 12:35:43</t>
        </is>
      </c>
      <c r="H10603" t="inlineStr">
        <is>
          <t>Type 1</t>
        </is>
      </c>
    </row>
    <row r="10604">
      <c r="A10604" t="inlineStr">
        <is>
          <t>igmebd</t>
        </is>
      </c>
      <c r="B10604" t="inlineStr">
        <is>
          <t>Ready made meals?</t>
        </is>
      </c>
      <c r="C10604" t="inlineStr">
        <is>
          <t>My kids' new nanny is type 1. 
I wanted to pick up some easy meals that she can pop in the microwave for herself while she's feeding the kids whatever I left for them. 
She hasn't asked me to, but ive been leaving her a list of ingredient labels for the stuff I make for my kids, but she usually doesn't eat it. Not sure if she is worried about her diet or if she just thinks it looks gross lol.
I want to pick up some easy meals like lean cuisines or single serve salads. I know nothing about diabetes, is there anything I should grab or anything I should avoid?
Anything else handy I can have for her? I asked her when she first started and she just asked for us to keep a juice in the house (we aren't juice drinkers).</t>
        </is>
      </c>
      <c r="D10604" t="n">
        <v>1</v>
      </c>
      <c r="E10604" t="n">
        <v>7</v>
      </c>
      <c r="F10604">
        <f>HYPERLINK("https://www.reddit.com/r/diabetes/comments/igmebd/ready_made_meals/")</f>
        <v/>
      </c>
      <c r="G10604" t="inlineStr">
        <is>
          <t>2020-08-25 15:15:50</t>
        </is>
      </c>
      <c r="H10604" t="inlineStr">
        <is>
          <t>Type 1</t>
        </is>
      </c>
    </row>
    <row r="10605">
      <c r="A10605" t="inlineStr">
        <is>
          <t>igp0f3</t>
        </is>
      </c>
      <c r="B10605" t="inlineStr">
        <is>
          <t>Pre-bolused for meal</t>
        </is>
      </c>
      <c r="C10605" t="inlineStr">
        <is>
          <t>I made an OOPS this evening. I had pre-bolused for my dinner and I went outside to chit chat with my husband (at which my timer went off) then ended up changing into pajamas. When I finally got around to eating my dinner I was feeling some low symptoms went to check and I was 56! About 4-5 mins later I checked again and I was 46! 😅😅</t>
        </is>
      </c>
      <c r="D10605" t="n">
        <v>1</v>
      </c>
      <c r="E10605" t="n">
        <v>3</v>
      </c>
      <c r="F10605">
        <f>HYPERLINK("https://www.reddit.com/r/diabetes/comments/igp0f3/prebolused_for_meal/")</f>
        <v/>
      </c>
      <c r="G10605" t="inlineStr">
        <is>
          <t>2020-08-25 17:53:18</t>
        </is>
      </c>
      <c r="H10605" t="inlineStr">
        <is>
          <t>Type 1</t>
        </is>
      </c>
    </row>
    <row r="10606">
      <c r="A10606" t="inlineStr">
        <is>
          <t>igqqi1</t>
        </is>
      </c>
      <c r="B10606" t="inlineStr">
        <is>
          <t>Weight loss in T1D - low carb?</t>
        </is>
      </c>
      <c r="C10606" t="inlineStr">
        <is>
          <t>Hi everyone,
I'm a 29 (soon to be 30) year old woman and I've had Type 1 Diabetes since I was 5 years old. I was on injections for many years until starting on insulin pumps when I was 16.
I've been steadily gaining weight for years now, I'm 5'1" and weighed in today at 194lbs. 
My blood sugars are great though, my a1c is around 7.5 which is the lowest it's been in years. 
I feel like I'm struggling and need some weight loss and weight management tips 😬 I've seen a lot of T1Ds say they've gone keto or low carb and has great success with it, because they're taking less insulin and that makes total sense to me. As of right now I'm using about 230 units of insulin every 3 days and I'd love to use less.
Does anyone have any tips for me? Good low carb recipes or snacks, high protein snacks and any success stories they've had with weight loss? 
Feeling pretty down on myself and discouraged, I feel like even when I reduce my carbs to less than 75 a day and exercise more I still don't see many results. 
Thank you all in advance 🥰</t>
        </is>
      </c>
      <c r="D10606" t="n">
        <v>1</v>
      </c>
      <c r="E10606" t="n">
        <v>8</v>
      </c>
      <c r="F10606">
        <f>HYPERLINK("https://www.reddit.com/r/diabetes/comments/igqqi1/weight_loss_in_t1d_low_carb/")</f>
        <v/>
      </c>
      <c r="G10606" t="inlineStr">
        <is>
          <t>2020-08-25 19:43:08</t>
        </is>
      </c>
      <c r="H10606" t="inlineStr">
        <is>
          <t>Type 1</t>
        </is>
      </c>
    </row>
    <row r="10607">
      <c r="A10607" t="inlineStr">
        <is>
          <t>igrest</t>
        </is>
      </c>
      <c r="B10607" t="inlineStr">
        <is>
          <t>MiaoMiao libre transmitter</t>
        </is>
      </c>
      <c r="C10607" t="inlineStr">
        <is>
          <t>So I’m looking at the MiaoMiao transmitter for the libre. It seems my best bet it to get an android phone for it. I don’t believe the IPhone 6s Plus with tomato is going to work. Tomato is having big issues. Xdrip looks like for the US 14 day only runs on android. So for those using can the sensor be recalibrated? I saw a post using a smart watch with it too. Would love comments and suggestions.</t>
        </is>
      </c>
      <c r="D10607" t="n">
        <v>1</v>
      </c>
      <c r="E10607" t="n">
        <v>7</v>
      </c>
      <c r="F10607">
        <f>HYPERLINK("https://www.reddit.com/r/diabetes/comments/igrest/miaomiao_libre_transmitter/")</f>
        <v/>
      </c>
      <c r="G10607" t="inlineStr">
        <is>
          <t>2020-08-25 20:27:20</t>
        </is>
      </c>
      <c r="H10607" t="inlineStr">
        <is>
          <t>Type 2</t>
        </is>
      </c>
    </row>
    <row r="10608">
      <c r="A10608" t="inlineStr">
        <is>
          <t>igrlf8</t>
        </is>
      </c>
      <c r="B10608" t="inlineStr">
        <is>
          <t>Is it okay to leave an insulin pump (omni pod) for more than 3 days?</t>
        </is>
      </c>
      <c r="C10608" t="inlineStr">
        <is>
          <t>My pod just ran out and i don't have any left i'm gonna buy one asap but is it okay to leave for more than 3 days? Also should i remove the pod or should it just stay on my arm till i apply a new one?</t>
        </is>
      </c>
      <c r="D10608" t="n">
        <v>1</v>
      </c>
      <c r="E10608" t="n">
        <v>6</v>
      </c>
      <c r="F10608">
        <f>HYPERLINK("https://www.reddit.com/r/diabetes/comments/igrlf8/is_it_okay_to_leave_an_insulin_pump_omni_pod_for/")</f>
        <v/>
      </c>
      <c r="G10608" t="inlineStr">
        <is>
          <t>2020-08-25 20:40:03</t>
        </is>
      </c>
      <c r="H10608" t="inlineStr">
        <is>
          <t>Type 1</t>
        </is>
      </c>
    </row>
    <row r="10609">
      <c r="A10609" t="inlineStr">
        <is>
          <t>igvv2o</t>
        </is>
      </c>
      <c r="B10609" t="inlineStr">
        <is>
          <t>Desperate student in need, looking for Type 2 Diabetes patients to complete my survey...</t>
        </is>
      </c>
      <c r="C10609" t="inlineStr">
        <is>
          <t>Hello, 
I am a student in Australia studying Research Project, in order to collect data for my project I would like to survey the general public.
My question in focus is "To what extent are diet and exercise changes effective in managing T2D in adults?".
It would be greatly appreciated if you could take just two minutes of your day to complete this quick survey. Your confidentiality will be maintained as you will not need to record your names/emails. The data collected will solely be for my Research Project and will be eradicated once my course has finished.
Here is the link to my survey: [https://forms.gle/Lt5za7iLZQm1srNS6](https://forms.gle/Lt5za7iLZQm1srNS6)
Thank you so much for your help</t>
        </is>
      </c>
      <c r="D10609" t="n">
        <v>1</v>
      </c>
      <c r="E10609" t="n">
        <v>1</v>
      </c>
      <c r="F10609">
        <f>HYPERLINK("https://www.reddit.com/r/diabetes/comments/igvv2o/desperate_student_in_need_looking_for_type_2/")</f>
        <v/>
      </c>
      <c r="G10609" t="inlineStr">
        <is>
          <t>2020-08-26 02:39:45</t>
        </is>
      </c>
      <c r="H10609" t="inlineStr">
        <is>
          <t>Type 2</t>
        </is>
      </c>
    </row>
    <row r="10610">
      <c r="A10610" t="inlineStr">
        <is>
          <t>igycl5</t>
        </is>
      </c>
      <c r="B10610" t="inlineStr">
        <is>
          <t>Any place that sells GCM worldwide?</t>
        </is>
      </c>
      <c r="C10610" t="inlineStr">
        <is>
          <t>Hello,
I've been wanting to try a GCM for a while now but they are not available in my country (Albania), and I doubt the govt. would ever bother to bring them in. And as such I've been trying to purchase them on my own but it seems there is no provider that ships internationally. As a worst case scenario, even if I can get them shipped in Italy it would be good as I can easily ship them over to Albania.
Does anyone know a place where I can buy a GCM (Dexcom or Libre, doesn't mater) that ships in my country?</t>
        </is>
      </c>
      <c r="D10610" t="n">
        <v>1</v>
      </c>
      <c r="E10610" t="n">
        <v>8</v>
      </c>
      <c r="F10610">
        <f>HYPERLINK("https://www.reddit.com/r/diabetes/comments/igycl5/any_place_that_sells_gcm_worldwide/")</f>
        <v/>
      </c>
      <c r="G10610" t="inlineStr">
        <is>
          <t>2020-08-26 05:59:05</t>
        </is>
      </c>
      <c r="H10610" t="inlineStr">
        <is>
          <t>Type 1</t>
        </is>
      </c>
    </row>
    <row r="10611">
      <c r="A10611" t="inlineStr">
        <is>
          <t>igza66</t>
        </is>
      </c>
      <c r="B10611" t="inlineStr">
        <is>
          <t>I'm confused.. can someone help me understand!</t>
        </is>
      </c>
      <c r="C10611" t="inlineStr">
        <is>
          <t>Hello diabetic redditors I can really use some help and knowledge about what my endocrinologists just said to me making me horribly confused and they were terrible at explaining the problem. 
I was diagnosed type 2 in november with A1C of 9.6.. 
Got my A1c done again 3 months later it was a 6.6 
I also found out I was pregant and put on insulin right away.. my sugars have been all over the place but they have me following guides for gestational diabetes which they didnt test me for just assumed I had it because I'm type 2 and pregant so my numbers become more strict.. well I have 4 weeks left of my pregnancy and was told today I'm insulin resistant as my fasting numbers (no matter what I snack on) are always higher then 100.. but post meals are very in range. My endocrinologists just said I'm I'm insulin resistant and can become diabetic??? I said in already diabetic and that makes no sense.. she said they would do blood work after I have the baby to see how insulin resistance i am?? So I'm really confused because my A1c as of last month is a 5.4.. which I thought is amazing how far iv come in less than a year and being pregant!!! What does she mean become diabetic.. I'm already there does she mean type 1!?? Please help!</t>
        </is>
      </c>
      <c r="D10611" t="n">
        <v>1</v>
      </c>
      <c r="E10611" t="n">
        <v>14</v>
      </c>
      <c r="F10611">
        <f>HYPERLINK("https://www.reddit.com/r/diabetes/comments/igza66/im_confused_can_someone_help_me_understand/")</f>
        <v/>
      </c>
      <c r="G10611" t="inlineStr">
        <is>
          <t>2020-08-26 06:56:47</t>
        </is>
      </c>
      <c r="H10611" t="inlineStr">
        <is>
          <t>Type 2</t>
        </is>
      </c>
    </row>
    <row r="10612">
      <c r="A10612" t="inlineStr">
        <is>
          <t>igzyvd</t>
        </is>
      </c>
      <c r="B10612" t="inlineStr">
        <is>
          <t>Need to gain more weight, questions about dosing for an extra serving of dinner</t>
        </is>
      </c>
      <c r="C10612" t="inlineStr">
        <is>
          <t>I've been T1 for one year and have had a pretty good handle on everything. The only problem is that I still am not at the weight I was prior to diagnosis. My normal weight before diagnosis was 165-170, I'm 6'0. At the time of diagnosis I was 146 and pretty skeletal. Now I can't seem to get above 158 no matter how many extra servings of peanuts or other fatty low carb snacks I consume. 
I'm thinking that I need to try eating another serving of dinner but am nervous how dosing for it would work. I've only done this a couple of times, but if I go out to dinner and split an appetizer with my girlfriend, I'll dose for the appetizer and then I'll dose for the entree when it comes out. The few times I've had to dose back to back, it seems like my BS drops pretty quickly soon after. 
As it stands, I'm pretty religious of just having 1 serving of dinner and keeping my dosage to 3-6 units of Humalog depending on the meal. It makes me a little uneasy thinking about dosing 6-12 units for one meal -- that's a lot of insulin. 
So I guess my question is, if I know that a meal of chicken, rice, and veggies requires me to take 4 units of insulin, could I have two servings of that meal and just take 8 units and my BS won't dip with the extra insulin activated? My rationale is that the extra insulin would act before the 2nd serving of food was digested but I could be totally wrong.
Any insight you could offer would be greatly appreciated! Thank you.</t>
        </is>
      </c>
      <c r="D10612" t="n">
        <v>1</v>
      </c>
      <c r="E10612" t="n">
        <v>4</v>
      </c>
      <c r="F10612">
        <f>HYPERLINK("https://www.reddit.com/r/diabetes/comments/igzyvd/need_to_gain_more_weight_questions_about_dosing/")</f>
        <v/>
      </c>
      <c r="G10612" t="inlineStr">
        <is>
          <t>2020-08-26 07:35:42</t>
        </is>
      </c>
      <c r="H10612" t="inlineStr">
        <is>
          <t>Type 1</t>
        </is>
      </c>
    </row>
    <row r="10613">
      <c r="A10613" t="inlineStr">
        <is>
          <t>ih1ol8</t>
        </is>
      </c>
      <c r="B10613" t="inlineStr">
        <is>
          <t>Did anyone else experience this?</t>
        </is>
      </c>
      <c r="C10613" t="inlineStr">
        <is>
          <t>Before i write this i know none of you with T1D are doctors. 
So the past few months ive had the symptoms of T1D but they have been on and off. All except the constant thirst. I always have that. I have for the past few months. But other wise my weight has been fluctuating. I would lose weight really fast, then i would gain it back. Same with my fatigue. I mean i always have fatigue but when the other symptoms flare up, it gets much worse. 
So I have a friend that has T1D and i asked her if she knew why it was happening. She said my pancreas could be studdering. 
Moral of the story, did anyone elses pancreas studder before their diagnoses? Or did anyone else symptoms happen like this before their diagnoses?</t>
        </is>
      </c>
      <c r="D10613" t="n">
        <v>1</v>
      </c>
      <c r="E10613" t="n">
        <v>10</v>
      </c>
      <c r="F10613">
        <f>HYPERLINK("https://www.reddit.com/r/diabetes/comments/ih1ol8/did_anyone_else_experience_this/")</f>
        <v/>
      </c>
      <c r="G10613" t="inlineStr">
        <is>
          <t>2020-08-26 09:08:14</t>
        </is>
      </c>
      <c r="H10613" t="inlineStr">
        <is>
          <t>Type 1</t>
        </is>
      </c>
    </row>
    <row r="10614">
      <c r="A10614" t="inlineStr">
        <is>
          <t>ih2h47</t>
        </is>
      </c>
      <c r="B10614" t="inlineStr">
        <is>
          <t>Diabetic alert tattoo</t>
        </is>
      </c>
      <c r="C10614" t="inlineStr">
        <is>
          <t>I want a diabetic alert tattoo but I'm unsure what part of my body to get it on and what kind of design I should use. Should it be small and simple or bigger and complex? Wrist or forearm or elsewhere? Should I go to a medical tattoo place (like the ones that cover up scars and such) or just a normal tattoo artist? I've never gotten a tattoo before so I have 0 experience or knowledge. Can someone help me?</t>
        </is>
      </c>
      <c r="D10614" t="n">
        <v>1</v>
      </c>
      <c r="E10614" t="n">
        <v>6</v>
      </c>
      <c r="F10614">
        <f>HYPERLINK("https://www.reddit.com/r/diabetes/comments/ih2h47/diabetic_alert_tattoo/")</f>
        <v/>
      </c>
      <c r="G10614" t="inlineStr">
        <is>
          <t>2020-08-26 09:49:40</t>
        </is>
      </c>
      <c r="H10614" t="inlineStr">
        <is>
          <t>Type 1</t>
        </is>
      </c>
    </row>
    <row r="10615">
      <c r="A10615" t="inlineStr">
        <is>
          <t>ih2hhf</t>
        </is>
      </c>
      <c r="B10615" t="inlineStr">
        <is>
          <t>Only 6 units left in Basaglar pen</t>
        </is>
      </c>
      <c r="C10615" t="inlineStr">
        <is>
          <t>I started Basaglar 2 weeks ago. I'm on 20 units. This morning I had only 6 units in the pen, so I started a new pen. My question is can I draw those 6 units and use a new pen to get to 20 units? Or do I just dump the pen with 6 units? Or should I do 2 injections with 6 and 14 units? I'd hate to waste the 6 units.</t>
        </is>
      </c>
      <c r="D10615" t="n">
        <v>1</v>
      </c>
      <c r="E10615" t="n">
        <v>5</v>
      </c>
      <c r="F10615">
        <f>HYPERLINK("https://www.reddit.com/r/diabetes/comments/ih2hhf/only_6_units_left_in_basaglar_pen/")</f>
        <v/>
      </c>
      <c r="G10615" t="inlineStr">
        <is>
          <t>2020-08-26 09:50:14</t>
        </is>
      </c>
      <c r="H10615" t="inlineStr">
        <is>
          <t>Type 2</t>
        </is>
      </c>
    </row>
    <row r="10616">
      <c r="A10616" t="inlineStr">
        <is>
          <t>ih420k</t>
        </is>
      </c>
      <c r="B10616" t="inlineStr">
        <is>
          <t>Anyone trying Intermittent fasting? Is it helping your sugars/weight loss?</t>
        </is>
      </c>
      <c r="C10616" t="inlineStr">
        <is>
          <t>Getting into the world of Intermittent Fasting, but most people who do it are not T1 IDDM and have to factor in insulin/meals/hypos... and even how it impacts other things like gastroparesis.  What are you experiences with trying.  My endocrinologist gave me the green light to do it (I think he's fed up with my never ending weight gain....).
Also, I happen to take a good dose of insulin in the morning (since I have pretty bad dawn phenomenon... my sugars sky rocket every 4-5am....).  Will that morning shot of insulin essentially "ruin" my fast (as in my body might treat that shot of insulin and sugar in the blood as a meal anyway)?</t>
        </is>
      </c>
      <c r="D10616" t="n">
        <v>1</v>
      </c>
      <c r="E10616" t="n">
        <v>7</v>
      </c>
      <c r="F10616">
        <f>HYPERLINK("https://www.reddit.com/r/diabetes/comments/ih420k/anyone_trying_intermittent_fasting_is_it_helping/")</f>
        <v/>
      </c>
      <c r="G10616" t="inlineStr">
        <is>
          <t>2020-08-26 11:11:21</t>
        </is>
      </c>
      <c r="H10616" t="inlineStr">
        <is>
          <t>Type 1</t>
        </is>
      </c>
    </row>
    <row r="10617">
      <c r="A10617" t="inlineStr">
        <is>
          <t>ihb4fy</t>
        </is>
      </c>
      <c r="B10617" t="inlineStr">
        <is>
          <t>Can I participate in boxing as a Type 1 diabetic?</t>
        </is>
      </c>
      <c r="C10617" t="inlineStr">
        <is>
          <t>Will it be possible for me to participate in sports such as boxing and if so what precautions will I need to take? I've been met with mixed feedback when asking various doctors and so was wondering if anyone has been in a similar situation?</t>
        </is>
      </c>
      <c r="D10617" t="n">
        <v>1</v>
      </c>
      <c r="E10617" t="n">
        <v>5</v>
      </c>
      <c r="F10617">
        <f>HYPERLINK("https://www.reddit.com/r/diabetes/comments/ihb4fy/can_i_participate_in_boxing_as_a_type_1_diabetic/")</f>
        <v/>
      </c>
      <c r="G10617" t="inlineStr">
        <is>
          <t>2020-08-26 17:38:56</t>
        </is>
      </c>
      <c r="H10617" t="inlineStr">
        <is>
          <t>Type 1</t>
        </is>
      </c>
    </row>
    <row r="10618">
      <c r="A10618" t="inlineStr">
        <is>
          <t>ihbwjz</t>
        </is>
      </c>
      <c r="B10618" t="inlineStr">
        <is>
          <t>Insurance advice</t>
        </is>
      </c>
      <c r="C10618" t="inlineStr">
        <is>
          <t>I’m totally new to most of this reddit stuff, but I thought I’d throw out my SOS, lol
I’m a T1D for 11 years now, but I’ll be 26 in December &amp;amp; will be kicked off of my dad’s insurance.  
Insurance confuses the heck out of me !!
I need some tips or info on what health insurances will cover or help with the costs of my Dexcom &amp;amp; Omnipod, let alone insulin. 
I live in California, &amp;amp; I have heard that my devices would not be covered with our state health insurance here. 
If you have any knowledge about this at all, it would really help me out !!</t>
        </is>
      </c>
      <c r="D10618" t="n">
        <v>1</v>
      </c>
      <c r="E10618" t="n">
        <v>1</v>
      </c>
      <c r="F10618">
        <f>HYPERLINK("https://www.reddit.com/r/diabetes/comments/ihbwjz/insurance_advice/")</f>
        <v/>
      </c>
      <c r="G10618" t="inlineStr">
        <is>
          <t>2020-08-26 18:30:04</t>
        </is>
      </c>
      <c r="H10618" t="inlineStr">
        <is>
          <t>Type 1</t>
        </is>
      </c>
    </row>
    <row r="10619">
      <c r="A10619" t="inlineStr">
        <is>
          <t>ihch90</t>
        </is>
      </c>
      <c r="B10619" t="inlineStr">
        <is>
          <t>Metformin and taste disturbances -</t>
        </is>
      </c>
      <c r="C10619" t="inlineStr">
        <is>
          <t>Hi folks! 
Posting on behalf of my dear Mum, who was diagnosed with Type 2 a couple of months ago. 
Just wanted to ask if anybody has experienced 'taste disturbances' while taking Metformin? 
Mum's been complaining that loads of foods and drinks she ordinarily enjoys have begun tasting really gross (she keeps saying 'vinegary'). 
Mum's only recently been put on Metformin, and due to how it can cause unpleasant GI issues amongst other things, I wondered if it may be the culprit? 
However, Mum has also recently been in hospital for pneumonia, and had a really severe allergic reaction to one of the antibiotics she was given to treat that, which included nausea and vomiting. I initially thought her taste complaints must have been linked to that, however it's been two weeks now since she's been off that, and the taste doesn't seem to be improving much if any. 
Thankfully it's only SOME foods and drinks that are affected, but with her newly limiting diabetes friendly eating, this is really complicating things further for her so I'm trying to find some answers! :)
Thanks in advance!!</t>
        </is>
      </c>
      <c r="D10619" t="n">
        <v>1</v>
      </c>
      <c r="E10619" t="n">
        <v>7</v>
      </c>
      <c r="F10619">
        <f>HYPERLINK("https://www.reddit.com/r/diabetes/comments/ihch90/metformin_and_taste_disturbances/")</f>
        <v/>
      </c>
      <c r="G10619" t="inlineStr">
        <is>
          <t>2020-08-26 19:07:20</t>
        </is>
      </c>
      <c r="H10619" t="inlineStr">
        <is>
          <t>Type 2</t>
        </is>
      </c>
    </row>
    <row r="10620">
      <c r="A10620" t="inlineStr">
        <is>
          <t>ihcyj1</t>
        </is>
      </c>
      <c r="B10620" t="inlineStr">
        <is>
          <t>Blood Glucose 92 after eating 1.5 hours ago, is it safe to take my Lantus?</t>
        </is>
      </c>
      <c r="C10620" t="inlineStr">
        <is>
          <t>I know this sub doesn't isn't for medical advice, but because it's late I don't know where else to ask. I take my Lantus at the same time every night, I just checked my glucose as stated above and I don't want it to tank my sugar overnight.   
I've only been living this lifestyle for about a month now, so I'm not sure what to do.</t>
        </is>
      </c>
      <c r="D10620" t="n">
        <v>1</v>
      </c>
      <c r="E10620" t="n">
        <v>4</v>
      </c>
      <c r="F10620">
        <f>HYPERLINK("https://www.reddit.com/r/diabetes/comments/ihcyj1/blood_glucose_92_after_eating_15_hours_ago_is_it/")</f>
        <v/>
      </c>
      <c r="G10620" t="inlineStr">
        <is>
          <t>2020-08-26 19:38:34</t>
        </is>
      </c>
      <c r="H10620" t="inlineStr">
        <is>
          <t>Type 2</t>
        </is>
      </c>
    </row>
    <row r="10621">
      <c r="A10621" t="inlineStr">
        <is>
          <t>ihd2wg</t>
        </is>
      </c>
      <c r="B10621" t="inlineStr">
        <is>
          <t>Switching fingers</t>
        </is>
      </c>
      <c r="C10621" t="inlineStr">
        <is>
          <t>Hey all! I'm newly diagnosed as of last week, just wondering about alternating fingers for the blood check. I've only been using my left pointer and left middle so far, should I be alternating amongst more than 2 fingers? 
TIA!!!</t>
        </is>
      </c>
      <c r="D10621" t="n">
        <v>1</v>
      </c>
      <c r="E10621" t="n">
        <v>12</v>
      </c>
      <c r="F10621">
        <f>HYPERLINK("https://www.reddit.com/r/diabetes/comments/ihd2wg/switching_fingers/")</f>
        <v/>
      </c>
      <c r="G10621" t="inlineStr">
        <is>
          <t>2020-08-26 19:46:39</t>
        </is>
      </c>
      <c r="H10621" t="inlineStr">
        <is>
          <t>Type 2</t>
        </is>
      </c>
    </row>
    <row r="10622">
      <c r="A10622" t="inlineStr">
        <is>
          <t>ihn11w</t>
        </is>
      </c>
      <c r="B10622" t="inlineStr">
        <is>
          <t>I don’t understand my body anymore</t>
        </is>
      </c>
      <c r="C10622" t="inlineStr">
        <is>
          <t>When I ate really healthy and clean(super low carbs, mostly veggies and meat), my stomach will always kills me with super soft stool and my blood sugar always went high. But last night I kinda give up a little bit and I ate potato chips, but my blood sugar actually got lower and my stomach is fine?? What the hell is wrong with my body? It made me felt so stupid</t>
        </is>
      </c>
      <c r="D10622" t="n">
        <v>1</v>
      </c>
      <c r="E10622" t="n">
        <v>1</v>
      </c>
      <c r="F10622">
        <f>HYPERLINK("https://www.reddit.com/r/diabetes/comments/ihn11w/i_dont_understand_my_body_anymore/")</f>
        <v/>
      </c>
      <c r="G10622" t="inlineStr">
        <is>
          <t>2020-08-27 08:25:09</t>
        </is>
      </c>
      <c r="H10622" t="inlineStr">
        <is>
          <t>Type 2</t>
        </is>
      </c>
    </row>
    <row r="10623">
      <c r="A10623" t="inlineStr">
        <is>
          <t>ihry1s</t>
        </is>
      </c>
      <c r="B10623" t="inlineStr">
        <is>
          <t>Libre2 Sensors w/ 14 Day monitor???</t>
        </is>
      </c>
      <c r="C10623" t="inlineStr">
        <is>
          <t>As the title says. Pharmacy gave me Libre2 Sensors and a Libre 14 day monitor. I applied the sensor but the monitor is saying "Incompatible Sensor" I'm screwed right?</t>
        </is>
      </c>
      <c r="D10623" t="n">
        <v>1</v>
      </c>
      <c r="E10623" t="n">
        <v>4</v>
      </c>
      <c r="F10623">
        <f>HYPERLINK("https://www.reddit.com/r/diabetes/comments/ihry1s/libre2_sensors_w_14_day_monitor/")</f>
        <v/>
      </c>
      <c r="G10623" t="inlineStr">
        <is>
          <t>2020-08-27 12:40:11</t>
        </is>
      </c>
      <c r="H10623" t="inlineStr">
        <is>
          <t>Type 1</t>
        </is>
      </c>
    </row>
    <row r="10624">
      <c r="A10624" t="inlineStr">
        <is>
          <t>ihs1dc</t>
        </is>
      </c>
      <c r="B10624" t="inlineStr">
        <is>
          <t>Wear OS Dexcom watch face</t>
        </is>
      </c>
      <c r="C10624" t="inlineStr">
        <is>
          <t>I cannot seem to get the Dexcom watch face through Wear OS for my smartphone after installing the build-your-own app on my new Samsung galaxy note 20 ultra .  The watch face did show on my old Galaxy note 10 connection through Wear OS but I was running the "official" dexcom G6 app.  
Thanks for any info you have.</t>
        </is>
      </c>
      <c r="D10624" t="n">
        <v>1</v>
      </c>
      <c r="E10624" t="n">
        <v>3</v>
      </c>
      <c r="F10624">
        <f>HYPERLINK("https://www.reddit.com/r/diabetes/comments/ihs1dc/wear_os_dexcom_watch_face/")</f>
        <v/>
      </c>
      <c r="G10624" t="inlineStr">
        <is>
          <t>2020-08-27 12:44:49</t>
        </is>
      </c>
      <c r="H10624" t="inlineStr">
        <is>
          <t>Type 1</t>
        </is>
      </c>
    </row>
    <row r="10625">
      <c r="A10625" t="inlineStr">
        <is>
          <t>ihsi61</t>
        </is>
      </c>
      <c r="B10625" t="inlineStr">
        <is>
          <t>How safe it is to drink coffee, either black or with milk when dealing with type 2 diabetes?</t>
        </is>
      </c>
      <c r="C10625" t="inlineStr">
        <is>
          <t>That also goes for any energy drink too.I want to drink coffee after a workout but when I check my blood sugar levels they are very high after a workout.
Any other tips and suggestions for managing type 2 is welcome</t>
        </is>
      </c>
      <c r="D10625" t="n">
        <v>1</v>
      </c>
      <c r="E10625" t="n">
        <v>7</v>
      </c>
      <c r="F10625">
        <f>HYPERLINK("https://www.reddit.com/r/diabetes/comments/ihsi61/how_safe_it_is_to_drink_coffee_either_black_or/")</f>
        <v/>
      </c>
      <c r="G10625" t="inlineStr">
        <is>
          <t>2020-08-27 13:08:42</t>
        </is>
      </c>
      <c r="H10625" t="inlineStr">
        <is>
          <t>Type 2</t>
        </is>
      </c>
    </row>
    <row r="10626">
      <c r="A10626" t="inlineStr">
        <is>
          <t>iht2m5</t>
        </is>
      </c>
      <c r="B10626" t="inlineStr">
        <is>
          <t>Glucose Buddy vs MySugr (i'm type 2)</t>
        </is>
      </c>
      <c r="C10626" t="inlineStr">
        <is>
          <t>Hi All - so much tech out there to track blood sugar! I'm using a basic CVS glucometer - and want to start tracking in an app (vs my google spreadsheet). I've been playing with Glucose Buddy and MySugr. Anyone have any suggestions on which is better? Or which is preferred? Thanks!</t>
        </is>
      </c>
      <c r="D10626" t="n">
        <v>1</v>
      </c>
      <c r="E10626" t="n">
        <v>2</v>
      </c>
      <c r="F10626">
        <f>HYPERLINK("https://www.reddit.com/r/diabetes/comments/iht2m5/glucose_buddy_vs_mysugr_im_type_2/")</f>
        <v/>
      </c>
      <c r="G10626" t="inlineStr">
        <is>
          <t>2020-08-27 13:38:51</t>
        </is>
      </c>
      <c r="H10626" t="inlineStr">
        <is>
          <t>Type 2</t>
        </is>
      </c>
    </row>
    <row r="10627">
      <c r="A10627" t="inlineStr">
        <is>
          <t>ihvq9g</t>
        </is>
      </c>
      <c r="B10627" t="inlineStr">
        <is>
          <t>Keto stick....</t>
        </is>
      </c>
      <c r="C10627" t="inlineStr">
        <is>
          <t>I peed on a keto stick today...do these look like they are normal or in the trace range? 
My blood sugar has been normal, my A1C is 6.4, I do a fairly decent job controlling my blood sugar. The highest it for today was 135, it’s now 70. My husband said last night that my breath smelled a little sweet (my blood sugar last night was 99). I do vape, non-nicotine. And the juice is sweet and apple flavored. Which I feel like my sweet smelling breath could have been because of that. It has a sweet alcohol smell to it.</t>
        </is>
      </c>
      <c r="D10627" t="n">
        <v>1</v>
      </c>
      <c r="E10627" t="n">
        <v>0</v>
      </c>
      <c r="F10627">
        <f>HYPERLINK("https://www.reddit.com/r/diabetes/comments/ihvq9g/keto_stick/")</f>
        <v/>
      </c>
      <c r="G10627" t="inlineStr">
        <is>
          <t>2020-08-27 16:07:40</t>
        </is>
      </c>
      <c r="H10627" t="inlineStr">
        <is>
          <t>Type 2</t>
        </is>
      </c>
    </row>
    <row r="10628">
      <c r="A10628" t="inlineStr">
        <is>
          <t>ii15wz</t>
        </is>
      </c>
      <c r="B10628" t="inlineStr">
        <is>
          <t>Seizure caused by hypoglycemia</t>
        </is>
      </c>
      <c r="C10628" t="inlineStr">
        <is>
          <t>About two weeks ago, I experienced my first seizure caused by low blood sugar. I wrote about the experience and thought I would share it here, since I think these types of stories are important for people with and without diabetes to hear:  [https://www.taylordenniswrites.com/hitting-a-new-low-my-first-seizure/](https://www.taylordenniswrites.com/hitting-a-new-low-my-first-seizure/) 
I also would like to hear about your experiences with seizures if you're comfortable sharing. Thanks all.  I really appreciate you guys.</t>
        </is>
      </c>
      <c r="D10628" t="n">
        <v>1</v>
      </c>
      <c r="E10628" t="n">
        <v>28</v>
      </c>
      <c r="F10628">
        <f>HYPERLINK("https://www.reddit.com/r/diabetes/comments/ii15wz/seizure_caused_by_hypoglycemia/")</f>
        <v/>
      </c>
      <c r="G10628" t="inlineStr">
        <is>
          <t>2020-08-27 22:15:57</t>
        </is>
      </c>
      <c r="H10628" t="inlineStr">
        <is>
          <t>Type 1</t>
        </is>
      </c>
    </row>
    <row r="10629">
      <c r="A10629" t="inlineStr">
        <is>
          <t>ii2n4k</t>
        </is>
      </c>
      <c r="B10629" t="inlineStr">
        <is>
          <t>Second opinion</t>
        </is>
      </c>
      <c r="C10629" t="inlineStr">
        <is>
          <t>I’ve getting really sick lately at night and throwing up. I work an 8-hour shift in seven hours (a 9-5 and it’s 1 AM) and I am probably going to throw up again for the fourth time in two months. Should I call out or brave it?</t>
        </is>
      </c>
      <c r="D10629" t="n">
        <v>1</v>
      </c>
      <c r="E10629" t="n">
        <v>3</v>
      </c>
      <c r="F10629">
        <f>HYPERLINK("https://www.reddit.com/r/diabetes/comments/ii2n4k/second_opinion/")</f>
        <v/>
      </c>
      <c r="G10629" t="inlineStr">
        <is>
          <t>2020-08-28 00:20:08</t>
        </is>
      </c>
      <c r="H10629" t="inlineStr">
        <is>
          <t>Type 1</t>
        </is>
      </c>
    </row>
    <row r="10630">
      <c r="A10630" t="inlineStr">
        <is>
          <t>ii4mda</t>
        </is>
      </c>
      <c r="B10630" t="inlineStr">
        <is>
          <t>Would they have found high blood sugar/diabetes in my blood test?</t>
        </is>
      </c>
      <c r="C10630" t="inlineStr">
        <is>
          <t>I’m 18, not obese, I was having chest pains and went to the hospital and the doctor did multiple blood tests and other stuff and said I was completely healthy and I was probably stressed. 
I’m asking this because diabeties type 2 runs heavily in my family. My grandfather died of complications of it. The thing is my family all got it because of their lifestyle when it comes to eating.</t>
        </is>
      </c>
      <c r="D10630" t="n">
        <v>1</v>
      </c>
      <c r="E10630" t="n">
        <v>2</v>
      </c>
      <c r="F10630">
        <f>HYPERLINK("https://www.reddit.com/r/diabetes/comments/ii4mda/would_they_have_found_high_blood_sugardiabetes_in/")</f>
        <v/>
      </c>
      <c r="G10630" t="inlineStr">
        <is>
          <t>2020-08-28 03:26:48</t>
        </is>
      </c>
      <c r="H10630" t="inlineStr">
        <is>
          <t>Type 2</t>
        </is>
      </c>
    </row>
    <row r="10631">
      <c r="A10631" t="inlineStr">
        <is>
          <t>ii4nfa</t>
        </is>
      </c>
      <c r="B10631" t="inlineStr">
        <is>
          <t>I probably am a diabetic now</t>
        </is>
      </c>
      <c r="C10631" t="inlineStr">
        <is>
          <t>I felt a bit weird two days ago. It felt a bit like an epileptic seizure but without uncontrolled movements and loss of conciousnes.
I remembered that after my first seizure they measured a blutsugar value of 220 mg/dL.
So I checked. It was above 200. So I kept measuringy it bare fell below 200. Even after 15 hours of not eating anything. It only fell to about 180.
Yesterday, about 3 hours after a medium sized Pizza,  it actually was 145.
Now, about 3 hours ago I had 4 slices of toas. My level is now 300 ....
Fuck.</t>
        </is>
      </c>
      <c r="D10631" t="n">
        <v>1</v>
      </c>
      <c r="E10631" t="n">
        <v>2</v>
      </c>
      <c r="F10631">
        <f>HYPERLINK("https://www.reddit.com/r/diabetes/comments/ii4nfa/i_probably_am_a_diabetic_now/")</f>
        <v/>
      </c>
      <c r="G10631" t="inlineStr">
        <is>
          <t>2020-08-28 03:29:18</t>
        </is>
      </c>
      <c r="H10631" t="inlineStr">
        <is>
          <t>Type 2</t>
        </is>
      </c>
    </row>
    <row r="10632">
      <c r="A10632" t="inlineStr">
        <is>
          <t>ii5k1r</t>
        </is>
      </c>
      <c r="B10632" t="inlineStr">
        <is>
          <t>Hey Everyone! Newbie here to say hello :)</t>
        </is>
      </c>
      <c r="C10632" t="inlineStr">
        <is>
          <t>Hey people!   
My name is Cristiana and I'm 27 - I've been riding the rollercoaster of the 'betes now for 16 years.  
My fiancé told me to explore the world of forums because it's something  i've never really participated in. Up until about two years ago I was  very reserved about my diabetes and I hid it from most of my friends and  kept it on the down low in front of family members. As i'm sure you can  all imagine this did not put me in a very great place!  
I found the DOC (diabetic online community) on instagram and i've not  looked back since! I created a page where I could vent, share and talk  about my experience with living with type one diabetes and it has  completely changed my life! If you're interested in checking it find me on insta [@t1diabetica](https://www.instagram.com/t1diabetica/) \- if you do follow me tell me that you've come from here! That would be cool !  
I can only hope that my page and my voice brings someone else the  courage and joy it has brought me in finding confidence with my type one  diabetes.  
I'm getting a pump soon!!! I'm nervous and scared and that's probably  why I'm rambling alot! I chose the omnipod so if there are any pro's on  here I may be posting alot of questions! I will probably be documenting  my change on my YouTube channel so if there are any people dubious or  scared not knowing what to expect when going from a lifetime of pens to a  first pump this might be something interesting! My channel is called  T1diabeticaTalks....please subscribe and say hi!  
[https://www.youtube.com/channel/UChPFbRZLpZ2s9MM9RMEMniA](https://www.youtube.com/channel/UChPFbRZLpZ2s9MM9RMEMniA)
 Anyhoo that's all from me for now! Come say hi!</t>
        </is>
      </c>
      <c r="D10632" t="n">
        <v>1</v>
      </c>
      <c r="E10632" t="n">
        <v>10</v>
      </c>
      <c r="F10632">
        <f>HYPERLINK("https://www.reddit.com/r/diabetes/comments/ii5k1r/hey_everyone_newbie_here_to_say_hello/")</f>
        <v/>
      </c>
      <c r="G10632" t="inlineStr">
        <is>
          <t>2020-08-28 04:44:55</t>
        </is>
      </c>
      <c r="H10632" t="inlineStr">
        <is>
          <t>Type 1</t>
        </is>
      </c>
    </row>
    <row r="10633">
      <c r="A10633" t="inlineStr">
        <is>
          <t>ii8poa</t>
        </is>
      </c>
      <c r="B10633" t="inlineStr">
        <is>
          <t>A few questions from newly diagnosed Type 2 diabetic</t>
        </is>
      </c>
      <c r="C10633" t="inlineStr">
        <is>
          <t>I'm a 39 y.o male, been relatively slim my whole life. Never weighing more than 180 lbs. I have a Type 1 daughter. I'm negative for all the anti-bodies. I had a suspicion of Type 2 for about a  year. A year ago I was in the best shape of my life, I weighed around 160lbs, was lifting weights, running around 16 miles a week. I was doing this for about 6 months, then I had an A1c done at a routine physical and it was pre-diabetic, around 5.9 I believe. Well since then life has gotten in the way ( I have 4 kids) and stopped exercising and gained a few pounds. Just had an at home A1c done and it was 9! I had an expired Dexcom G6 from my daughter, my fasting BG is anywhere from 180-220. Sooo short story long I have a few question regarding medications. My endo. wants me go on Farxiga. I'm kinda anxious about taking meds in general, I've never taken meds before and rarely even ever taken Advil and the like. I know peoples response will vary but I want to gather other peoples experience with Farxiga, Jardiance, and Metformin. I feel like I want to go on Metformin just because its been around forever. Kinda weary about taking newer drugs.</t>
        </is>
      </c>
      <c r="D10633" t="n">
        <v>1</v>
      </c>
      <c r="E10633" t="n">
        <v>13</v>
      </c>
      <c r="F10633">
        <f>HYPERLINK("https://www.reddit.com/r/diabetes/comments/ii8poa/a_few_questions_from_newly_diagnosed_type_2/")</f>
        <v/>
      </c>
      <c r="G10633" t="inlineStr">
        <is>
          <t>2020-08-28 08:06:35</t>
        </is>
      </c>
      <c r="H10633" t="inlineStr">
        <is>
          <t>Type 2</t>
        </is>
      </c>
    </row>
    <row r="10634">
      <c r="A10634" t="inlineStr">
        <is>
          <t>iia1np</t>
        </is>
      </c>
      <c r="B10634" t="inlineStr">
        <is>
          <t>Best diabetic cookie recipes?</t>
        </is>
      </c>
      <c r="C10634" t="inlineStr">
        <is>
          <t>I hope it’s okay that I post this here! My grandfather has type 2 diabetes and he isn’t the most careful when it comes to eating diabetic-friendly baked goods. He especially complains that cookies are too dry or the texture is off. I want to start baking some cookies for him that are at least similar in texture to regular ones and I’d love some tips because I’m always concerned about his sweet tooth (he does restrain himself a lot, but really loves dessert), and I’m always trying my best to make or find desserts for him that are both low on sugar and carbs and satisfy his idea of what a dessert should look and taste like. Any tips will help! Thanks :)</t>
        </is>
      </c>
      <c r="D10634" t="n">
        <v>1</v>
      </c>
      <c r="E10634" t="n">
        <v>8</v>
      </c>
      <c r="F10634">
        <f>HYPERLINK("https://www.reddit.com/r/diabetes/comments/iia1np/best_diabetic_cookie_recipes/")</f>
        <v/>
      </c>
      <c r="G10634" t="inlineStr">
        <is>
          <t>2020-08-28 09:16:30</t>
        </is>
      </c>
      <c r="H10634" t="inlineStr">
        <is>
          <t>Type 2</t>
        </is>
      </c>
    </row>
    <row r="10635">
      <c r="A10635" t="inlineStr">
        <is>
          <t>iia1v1</t>
        </is>
      </c>
      <c r="B10635" t="inlineStr">
        <is>
          <t>Looking to speak to people with T1D who have had gastric surgery</t>
        </is>
      </c>
      <c r="C10635" t="inlineStr">
        <is>
          <t>Hi all,
I'm doing some research for my T1D partner and I really need some help.
The internet is full of T2D people who have had gastric surgery (like a sleeve or a bypass). It's so, so easy to find information on these people and the effects of surgery on them. There's so much stuff on here, YouTube, etc.
But it's so, so hard to find good, detailed information and testimonies from people with ***T1D*** who have the surgery. So I'm posting this here to see if any T1D people here who have had the surgery would be willing to chat to me.
My partner is considering the surgery and is very nervous because she just wants to actually speak to someone like herself who would be able to actually tell her what their experiences are. 
I've done a lot of research but I would love to hear from a person who has actually gone through it and would be willing to share their stories.
If you're a T1D who has had gastric surgery, please contact me! I'd love to speak to you. Thanks!</t>
        </is>
      </c>
      <c r="D10635" t="n">
        <v>1</v>
      </c>
      <c r="E10635" t="n">
        <v>0</v>
      </c>
      <c r="F10635">
        <f>HYPERLINK("https://www.reddit.com/r/diabetes/comments/iia1v1/looking_to_speak_to_people_with_t1d_who_have_had/")</f>
        <v/>
      </c>
      <c r="G10635" t="inlineStr">
        <is>
          <t>2020-08-28 09:16:48</t>
        </is>
      </c>
      <c r="H10635" t="inlineStr">
        <is>
          <t>Type 1</t>
        </is>
      </c>
    </row>
    <row r="10636">
      <c r="A10636" t="inlineStr">
        <is>
          <t>iic2y3</t>
        </is>
      </c>
      <c r="B10636" t="inlineStr">
        <is>
          <t>How do you bolus for sushi?</t>
        </is>
      </c>
      <c r="C10636" t="inlineStr">
        <is>
          <t>I have pizza down, but my experience with sushi has been NEXT LEVEL highs, so I was wondering if anyone had any tried and true methods?</t>
        </is>
      </c>
      <c r="D10636" t="n">
        <v>1</v>
      </c>
      <c r="E10636" t="n">
        <v>16</v>
      </c>
      <c r="F10636">
        <f>HYPERLINK("https://www.reddit.com/r/diabetes/comments/iic2y3/how_do_you_bolus_for_sushi/")</f>
        <v/>
      </c>
      <c r="G10636" t="inlineStr">
        <is>
          <t>2020-08-28 11:02:58</t>
        </is>
      </c>
      <c r="H10636" t="inlineStr">
        <is>
          <t>Type 1</t>
        </is>
      </c>
    </row>
    <row r="10637">
      <c r="A10637" t="inlineStr">
        <is>
          <t>iichx2</t>
        </is>
      </c>
      <c r="B10637" t="inlineStr">
        <is>
          <t>I'm tired of this.</t>
        </is>
      </c>
      <c r="C10637" t="inlineStr">
        <is>
          <t>I wish I could just rip off my pump and my pancreas just magically works again. I'm tired of worrying about numbers. I hate numbers at this point since they run our lives. I'm so close to burnout but I am trying my hardest to overcome that feeling. I'm just mentally tired of it!</t>
        </is>
      </c>
      <c r="D10637" t="n">
        <v>1</v>
      </c>
      <c r="E10637" t="n">
        <v>26</v>
      </c>
      <c r="F10637">
        <f>HYPERLINK("https://www.reddit.com/r/diabetes/comments/iichx2/im_tired_of_this/")</f>
        <v/>
      </c>
      <c r="G10637" t="inlineStr">
        <is>
          <t>2020-08-28 11:24:13</t>
        </is>
      </c>
      <c r="H10637" t="inlineStr">
        <is>
          <t>Type 1</t>
        </is>
      </c>
    </row>
    <row r="10638">
      <c r="A10638" t="inlineStr">
        <is>
          <t>iidxy3</t>
        </is>
      </c>
      <c r="B10638" t="inlineStr">
        <is>
          <t>hard spot from omnipod?</t>
        </is>
      </c>
      <c r="C10638" t="inlineStr">
        <is>
          <t>I have the OmniPod for about a week now and noticed a hard red spot where the OmniPod was. It does not really hurt but when i touch it, it stings a bit.
Ofc I'll call my endo on monday, but maybe someone knows what that spot is.</t>
        </is>
      </c>
      <c r="D10638" t="n">
        <v>1</v>
      </c>
      <c r="E10638" t="n">
        <v>1</v>
      </c>
      <c r="F10638">
        <f>HYPERLINK("https://www.reddit.com/r/diabetes/comments/iidxy3/hard_spot_from_omnipod/")</f>
        <v/>
      </c>
      <c r="G10638" t="inlineStr">
        <is>
          <t>2020-08-28 12:40:32</t>
        </is>
      </c>
      <c r="H10638" t="inlineStr">
        <is>
          <t>Type 1</t>
        </is>
      </c>
    </row>
    <row r="10639">
      <c r="A10639" t="inlineStr">
        <is>
          <t>iieovp</t>
        </is>
      </c>
      <c r="B10639" t="inlineStr">
        <is>
          <t>Always feeling exhausted</t>
        </is>
      </c>
      <c r="C10639" t="inlineStr">
        <is>
          <t>I've been a type 1 for about 6 months now, and around the middle of last year i started getting really tired all day everyday for what i thought was no reason. To this day everyday is a struggle because i'm just so tired and never have any energy, am I the only one or does anyone else experience this too?</t>
        </is>
      </c>
      <c r="D10639" t="n">
        <v>1</v>
      </c>
      <c r="E10639" t="n">
        <v>3</v>
      </c>
      <c r="F10639">
        <f>HYPERLINK("https://www.reddit.com/r/diabetes/comments/iieovp/always_feeling_exhausted/")</f>
        <v/>
      </c>
      <c r="G10639" t="inlineStr">
        <is>
          <t>2020-08-28 13:20:20</t>
        </is>
      </c>
      <c r="H10639" t="inlineStr">
        <is>
          <t>Type 1</t>
        </is>
      </c>
    </row>
    <row r="10640">
      <c r="A10640" t="inlineStr">
        <is>
          <t>iifoeu</t>
        </is>
      </c>
      <c r="B10640" t="inlineStr">
        <is>
          <t>Thoughts on Tandem (with Decom G6) vs Medtronic</t>
        </is>
      </c>
      <c r="C10640" t="inlineStr">
        <is>
          <t>I recently switched from a Medtronic Minimed pump to the Tandem t:slim  X2 pump with the Dexcom G6 CGM. Here's some noticeable differences:
&amp;amp;#x200B;
Pros- The CGM makes it much easier to monitor your BG. The amount of information you receive can be a bit overwhelming, but once you get used to it, you're almost guaranteed to see a drop in your A1C.
&amp;amp;#x200B;
No finger pricks, for the most part. You still need to occasionally check, in order to calibrate the cgm. I went from taking finger pricks approximately three to four times a day to approximately three or four times a week.
&amp;amp;#x200B;
The Dexcom Clarity app/website is very nice. It displays your BG readings for the past 14 days, the website is easy to navigate, and there's multiple data sets (daily readings, patterns, trends, etc.) that you can check.
&amp;amp;#x200B;
Cons- Alarms. Some of the alarms are irritating, and can not be shut off. For example, you take your pump off for a shower. Roughly fifteen minutes afterwards, the loud alarm will go off, repeating every five minutes. I've just learned to stuff it under a pillow. Other alarms don't give you the option to shut them off- at best, you have to just set them to vibrate.
&amp;amp;#x200B;
The CGM comes with a display device, which is nice, but is rendered unusable if you pair the CGM with your pump. You can still use your phone to check the CGM readings, though. Would be nice to see the CGM pair with more than one device.
&amp;amp;#x200B;
The insulin cartridge refill system is a bit convoluted, in that it adds more steps for refilling insulin, when compared to the system used for Medtronic. With the Medtronic system, you insert the insulin reservoir over the vial, and use a plunger to fill the reservoir. The Tandem system introduces a needle, along with the need to void the air from the cartridge. The insert site on the cartridge is tiny, and might present a problem for older users that might shake a bit.</t>
        </is>
      </c>
      <c r="D10640" t="n">
        <v>1</v>
      </c>
      <c r="E10640" t="n">
        <v>0</v>
      </c>
      <c r="F10640">
        <f>HYPERLINK("https://www.reddit.com/r/diabetes/comments/iifoeu/thoughts_on_tandem_with_decom_g6_vs_medtronic/")</f>
        <v/>
      </c>
      <c r="G10640" t="inlineStr">
        <is>
          <t>2020-08-28 14:13:24</t>
        </is>
      </c>
      <c r="H10640" t="inlineStr">
        <is>
          <t>Type 2</t>
        </is>
      </c>
    </row>
    <row r="10641">
      <c r="A10641" t="inlineStr">
        <is>
          <t>iifz2u</t>
        </is>
      </c>
      <c r="B10641" t="inlineStr">
        <is>
          <t>Thoughts on Tandem (with Dexcom G6) vs Medtronic</t>
        </is>
      </c>
      <c r="C10641" t="inlineStr">
        <is>
          <t>I recently switched from a Medtronic Minimed pump to the Tandem t:slim  X2 pump with the Dexcom G6 CGM. Here's some noticeable differences:
&amp;amp;#x200B;
Pros- The CGM makes it much easier to monitor your BG. The amount of information you receive can be a bit overwhelming, but once you get used to it, you're almost guaranteed to see a drop in your A1C.
&amp;amp;#x200B;
No finger pricks, for the most part. You still need to occasionally check, in order to calibrate the cgm. I went from taking finger pricks approximately three to four times a day to approximately three or four times a week.
&amp;amp;#x200B;
The Dexcom Clarity app/website is very nice. It displays your BG readings for the past 14 days, the website is easy to navigate, and there's multiple data sets (daily readings, patterns, trends, etc.) that you can check.
&amp;amp;#x200B;
Cons- Alarms. Some of the alarms are irritating, and can not be shut off. For example, you take your pump off for a shower. Roughly fifteen minutes afterwards, the loud alarm will go off, repeating every five minutes. I've just learned to stuff it under a pillow. Other alarms don't give you the option to shut them off- at best, you have to just set them to vibrate.
&amp;amp;#x200B;
The CGM comes with a display device, which is nice, but is rendered unusable if you pair the CGM with your pump. You can still use your phone to check the CGM readings, though. Would be nice to see the CGM pair with more than one device.
&amp;amp;#x200B;
The insulin cartridge refill system is a bit convoluted, in that it adds more steps for refilling insulin, when compared to the system used for Medtronic. With the Medtronic system, you insert the insulin reservoir over the vial, and use a plunger to fill the reservoir. The Tandem system introduces a needle, along with the need to void the air from the cartridge. The insert site on the cartridge is tiny, and might present a problem for older users that might shake a bit.</t>
        </is>
      </c>
      <c r="D10641" t="n">
        <v>1</v>
      </c>
      <c r="E10641" t="n">
        <v>3</v>
      </c>
      <c r="F10641">
        <f>HYPERLINK("https://www.reddit.com/r/diabetes/comments/iifz2u/thoughts_on_tandem_with_dexcom_g6_vs_medtronic/")</f>
        <v/>
      </c>
      <c r="G10641" t="inlineStr">
        <is>
          <t>2020-08-28 14:29:07</t>
        </is>
      </c>
      <c r="H10641" t="inlineStr">
        <is>
          <t>Type 2</t>
        </is>
      </c>
    </row>
    <row r="10642">
      <c r="A10642" t="inlineStr">
        <is>
          <t>iigrsf</t>
        </is>
      </c>
      <c r="B10642" t="inlineStr">
        <is>
          <t>Milestone 1</t>
        </is>
      </c>
      <c r="C10642" t="inlineStr">
        <is>
          <t>I'm more of a lurker on here, but I wanted to share this somewhere.
I just got back the blood work results from my first a1c check since my diagnosis back in April. My current a1c is 5.8 which is half of what it was at the time of my diagnosis..
I'm pretty excited overall, but now just need to make sure I can keep it going.</t>
        </is>
      </c>
      <c r="D10642" t="n">
        <v>1</v>
      </c>
      <c r="E10642" t="n">
        <v>4</v>
      </c>
      <c r="F10642">
        <f>HYPERLINK("https://www.reddit.com/r/diabetes/comments/iigrsf/milestone_1/")</f>
        <v/>
      </c>
      <c r="G10642" t="inlineStr">
        <is>
          <t>2020-08-28 15:13:49</t>
        </is>
      </c>
      <c r="H10642" t="inlineStr">
        <is>
          <t>Type 2</t>
        </is>
      </c>
    </row>
    <row r="10643">
      <c r="A10643" t="inlineStr">
        <is>
          <t>iih36j</t>
        </is>
      </c>
      <c r="B10643" t="inlineStr">
        <is>
          <t>Autosoft30 or 90</t>
        </is>
      </c>
      <c r="C10643" t="inlineStr">
        <is>
          <t>I wanted to ask what infusion set you find better or more comfortable. I have been using tslim x2 for a year now and only used the 90s. I like the small foot print on my body but I find it harder for locations since I'm leaner. My nursing staff told me try the 30s.  Half a box later as they are more difficult to insert, I do find them ok and hurt less when giving a bolus. 
Just checking to see what others use and pros and cons.</t>
        </is>
      </c>
      <c r="D10643" t="n">
        <v>1</v>
      </c>
      <c r="E10643" t="n">
        <v>0</v>
      </c>
      <c r="F10643">
        <f>HYPERLINK("https://www.reddit.com/r/diabetes/comments/iih36j/autosoft30_or_90/")</f>
        <v/>
      </c>
      <c r="G10643" t="inlineStr">
        <is>
          <t>2020-08-28 15:32:36</t>
        </is>
      </c>
      <c r="H10643" t="inlineStr">
        <is>
          <t>Type 1</t>
        </is>
      </c>
    </row>
    <row r="10644">
      <c r="A10644" t="inlineStr">
        <is>
          <t>iih9i8</t>
        </is>
      </c>
      <c r="B10644" t="inlineStr">
        <is>
          <t>Omnipod help</t>
        </is>
      </c>
      <c r="C10644" t="inlineStr">
        <is>
          <t>Hi everyone!
I’ve been on pens since the age of 11...now I’m 27 and I’ve chosen to go onto a pump - specifically the omnipod.
Change makes me really nervous and my anxiety flares up although I am very excited !
I wanted to see if anybody can give me any tips for starting on an omnipod ! To calm my anxiety I like to always know what I’m in for ! 
How long is the transition period?
Are the first couple of weeks tricky?
Is it easy to learn?
Basically anything you can tell me or warn me about is great!
I’ll be documenting this change to omnipod on my YouTube channel so if anybody wants to see what it’s like please stay tuned there :)
Search T1DiabeticaTalks on YouTube :)
cant wait to hear all your advice !</t>
        </is>
      </c>
      <c r="D10644" t="n">
        <v>1</v>
      </c>
      <c r="E10644" t="n">
        <v>6</v>
      </c>
      <c r="F10644">
        <f>HYPERLINK("https://www.reddit.com/r/diabetes/comments/iih9i8/omnipod_help/")</f>
        <v/>
      </c>
      <c r="G10644" t="inlineStr">
        <is>
          <t>2020-08-28 15:42:55</t>
        </is>
      </c>
      <c r="H10644" t="inlineStr">
        <is>
          <t>Type 1</t>
        </is>
      </c>
    </row>
    <row r="10645">
      <c r="A10645" t="inlineStr">
        <is>
          <t>iij8il</t>
        </is>
      </c>
      <c r="B10645" t="inlineStr">
        <is>
          <t>Low carb and c-peptide test results</t>
        </is>
      </c>
      <c r="C10645" t="inlineStr">
        <is>
          <t>Just got test results back and my c-peptide showed .6 and Endo wants me to start insulin. Other test results show my A1c dropped from 6.9 to 6.0. I have maintained a low carb diet eating less than 20 carbs a day (sometimes 10) for more than 3 months. If my A1c is falling why is my c-peptide as well. Any certified or experienced folks seen anything like this?</t>
        </is>
      </c>
      <c r="D10645" t="n">
        <v>1</v>
      </c>
      <c r="E10645" t="n">
        <v>3</v>
      </c>
      <c r="F10645">
        <f>HYPERLINK("https://www.reddit.com/r/diabetes/comments/iij8il/low_carb_and_cpeptide_test_results/")</f>
        <v/>
      </c>
      <c r="G10645" t="inlineStr">
        <is>
          <t>2020-08-28 17:49:31</t>
        </is>
      </c>
      <c r="H10645" t="inlineStr">
        <is>
          <t>Type 2</t>
        </is>
      </c>
    </row>
    <row r="10646">
      <c r="A10646" t="inlineStr">
        <is>
          <t>iik4yu</t>
        </is>
      </c>
      <c r="B10646" t="inlineStr">
        <is>
          <t>Potentially undiagnosed type 2, 24y/o</t>
        </is>
      </c>
      <c r="C10646" t="inlineStr">
        <is>
          <t>I’ve been having seemingly random symptoms all over, from my legs hurting to my chest hurting, to isolated pain around my eyes. No idea what it is, every general blood test result came back within normal limits, a1c is still pending. At this point I’m assuming it’s diabetes. 
The only reason I’m assuming it’s diabetes is because it’s the weekend and I want to feel as well as possible throughout the weekend, what can I do with my diet to help me not have symptoms until Monday when my test results might show up?</t>
        </is>
      </c>
      <c r="D10646" t="n">
        <v>1</v>
      </c>
      <c r="E10646" t="n">
        <v>6</v>
      </c>
      <c r="F10646">
        <f>HYPERLINK("https://www.reddit.com/r/diabetes/comments/iik4yu/potentially_undiagnosed_type_2_24yo/")</f>
        <v/>
      </c>
      <c r="G10646" t="inlineStr">
        <is>
          <t>2020-08-28 18:52:10</t>
        </is>
      </c>
      <c r="H10646" t="inlineStr">
        <is>
          <t>Type 2</t>
        </is>
      </c>
    </row>
    <row r="10647">
      <c r="A10647" t="inlineStr">
        <is>
          <t>iilden</t>
        </is>
      </c>
      <c r="B10647" t="inlineStr">
        <is>
          <t>T2 - Still having acceptance issues. How do I get over it?</t>
        </is>
      </c>
      <c r="C10647" t="inlineStr">
        <is>
          <t>I've been diagnosed for three years now and I struggle with accepting the dx, though not to the point of self harm. I do the regular insulin/pill/BTs, and there are days I struggle with the blood sugar levels and have rediscovered running to keep it down. I'm height/weight appropriate.
But mentally I feel like I'm going the motions and, viewing myself as a third person, feel like an idiot that I've not come to terms with this.
Would like to hear from others that went through this. How did you turn the corner?</t>
        </is>
      </c>
      <c r="D10647" t="n">
        <v>1</v>
      </c>
      <c r="E10647" t="n">
        <v>6</v>
      </c>
      <c r="F10647">
        <f>HYPERLINK("https://www.reddit.com/r/diabetes/comments/iilden/t2_still_having_acceptance_issues_how_do_i_get/")</f>
        <v/>
      </c>
      <c r="G10647" t="inlineStr">
        <is>
          <t>2020-08-28 20:17:54</t>
        </is>
      </c>
      <c r="H10647" t="inlineStr">
        <is>
          <t>Type 2</t>
        </is>
      </c>
    </row>
    <row r="10648">
      <c r="A10648" t="inlineStr">
        <is>
          <t>iilgjc</t>
        </is>
      </c>
      <c r="B10648" t="inlineStr">
        <is>
          <t>Sugar-free gummy bears.</t>
        </is>
      </c>
      <c r="C10648" t="inlineStr">
        <is>
          <t>Has anyone ever tried to buy u sugar-free gummy bears. I had someone do it before in the early 2000's before it became a meme. I didnt have the terrible reaction but I was in the bathroom a few times. If u did what was ur reaction.</t>
        </is>
      </c>
      <c r="D10648" t="n">
        <v>1</v>
      </c>
      <c r="E10648" t="n">
        <v>9</v>
      </c>
      <c r="F10648">
        <f>HYPERLINK("https://www.reddit.com/r/diabetes/comments/iilgjc/sugarfree_gummy_bears/")</f>
        <v/>
      </c>
      <c r="G10648" t="inlineStr">
        <is>
          <t>2020-08-28 20:24:03</t>
        </is>
      </c>
      <c r="H10648" t="inlineStr">
        <is>
          <t>Type 1</t>
        </is>
      </c>
    </row>
    <row r="10649">
      <c r="A10649" t="inlineStr">
        <is>
          <t>iilo4u</t>
        </is>
      </c>
      <c r="B10649" t="inlineStr">
        <is>
          <t>Medicine question</t>
        </is>
      </c>
      <c r="C10649" t="inlineStr">
        <is>
          <t>My dr just switched my medicine from Lantus to Tresiba. My Lantus dose was 50 units twice daily and not they one me to take 120 units of Tresiba once daily. I thought 1 unit of Tresiba was like 2 units of Lantus? If so, this would be like taking 240 units of Lantus? I’m very confused. Also, since I’m new to Tresiba how does everyone like it?</t>
        </is>
      </c>
      <c r="D10649" t="n">
        <v>1</v>
      </c>
      <c r="E10649" t="n">
        <v>5</v>
      </c>
      <c r="F10649">
        <f>HYPERLINK("https://www.reddit.com/r/diabetes/comments/iilo4u/medicine_question/")</f>
        <v/>
      </c>
      <c r="G10649" t="inlineStr">
        <is>
          <t>2020-08-28 20:39:26</t>
        </is>
      </c>
      <c r="H10649" t="inlineStr">
        <is>
          <t>Type 2</t>
        </is>
      </c>
    </row>
    <row r="10650">
      <c r="A10650" t="inlineStr">
        <is>
          <t>iimcxm</t>
        </is>
      </c>
      <c r="B10650" t="inlineStr">
        <is>
          <t>Day at the ER</t>
        </is>
      </c>
      <c r="C10650" t="inlineStr">
        <is>
          <t>So I went to the er today because I was peeing ketones. They did all the blood work, an AGB test and Urine sample. Everything came back fine. I do however have a really bad UTI. The doctor said my sticks could have been picking that up and giving me a false positive. There are no ketones in my blood, my ANION gap is 6. My potassium/sodium is low end of normal, but that has been like that for 4 weeks. I had a spinal leak after a lumbar puncture and I am almost certain I’m still leaking a small bit still (but no one will listen). I am now on antibiotics and was told to keep up fluids, potassium and sodium. 
I am still going to inquire if I am type one or type two</t>
        </is>
      </c>
      <c r="D10650" t="n">
        <v>1</v>
      </c>
      <c r="E10650" t="n">
        <v>9</v>
      </c>
      <c r="F10650">
        <f>HYPERLINK("https://www.reddit.com/r/diabetes/comments/iimcxm/day_at_the_er/")</f>
        <v/>
      </c>
      <c r="G10650" t="inlineStr">
        <is>
          <t>2020-08-28 21:32:06</t>
        </is>
      </c>
      <c r="H10650" t="inlineStr">
        <is>
          <t>Type 2</t>
        </is>
      </c>
    </row>
    <row r="10651">
      <c r="A10651" t="inlineStr">
        <is>
          <t>iincxl</t>
        </is>
      </c>
      <c r="B10651" t="inlineStr">
        <is>
          <t>Gym lifting sessions and timing with T1 diabetes?</t>
        </is>
      </c>
      <c r="C10651" t="inlineStr">
        <is>
          <t>I was recently diagnosed with T1 and just got out of hospital 3 days ago. So, basically my question is when is it better to hit the gym for heavy lifting sessions. I enjoy doing it in a first half of the day. Is it better to do first thing in the morning fasted after only taking my basal or should I hit it somewhere around 1PM before lunch for example? And should I base my gym sessions around my BG levels? For reference, before I was diagnosed I used to do these full-body sessions, each lasted for about 1.5 hours. And I don't really do much cardio, if any.</t>
        </is>
      </c>
      <c r="D10651" t="n">
        <v>1</v>
      </c>
      <c r="E10651" t="n">
        <v>10</v>
      </c>
      <c r="F10651">
        <f>HYPERLINK("https://www.reddit.com/r/diabetes/comments/iincxl/gym_lifting_sessions_and_timing_with_t1_diabetes/")</f>
        <v/>
      </c>
      <c r="G10651" t="inlineStr">
        <is>
          <t>2020-08-28 22:55:31</t>
        </is>
      </c>
      <c r="H10651" t="inlineStr">
        <is>
          <t>Type 1</t>
        </is>
      </c>
    </row>
    <row r="10652">
      <c r="A10652" t="inlineStr">
        <is>
          <t>iiqs2y</t>
        </is>
      </c>
      <c r="B10652" t="inlineStr">
        <is>
          <t>You might get a kick out of this one...</t>
        </is>
      </c>
      <c r="C10652" t="inlineStr">
        <is>
          <t>I was recently diagnosed with type 1 two weeks ago. This wasn’t super surprising, or super difficult due to my sister having the same diagnosis, except she was diagnosed at a very young age. I was part of some trial net study that reported that I would have type 1 by the time I was 10! They were wrong.... I made it to 14. I was diagnosed on August 16 of this year. Here’s the kicker, my sister was diagnosed on the same exact day in 2001. It may not be super rare for a brother and sister to both get it, but I’m willing to bet you’ve never seen the diagnosis happen on the same day many years apart.
TL;DR: My sister and I were both diagnosed with type 1 on the same exact day many years apart.</t>
        </is>
      </c>
      <c r="D10652" t="n">
        <v>1</v>
      </c>
      <c r="E10652" t="n">
        <v>40</v>
      </c>
      <c r="F10652">
        <f>HYPERLINK("https://www.reddit.com/r/diabetes/comments/iiqs2y/you_might_get_a_kick_out_of_this_one/")</f>
        <v/>
      </c>
      <c r="G10652" t="inlineStr">
        <is>
          <t>2020-08-29 04:20:42</t>
        </is>
      </c>
      <c r="H10652" t="inlineStr">
        <is>
          <t>Type 1</t>
        </is>
      </c>
    </row>
    <row r="10653">
      <c r="A10653" t="inlineStr">
        <is>
          <t>iirzmr</t>
        </is>
      </c>
      <c r="B10653" t="inlineStr">
        <is>
          <t>Where to put my Libre 2?</t>
        </is>
      </c>
      <c r="C10653" t="inlineStr">
        <is>
          <t>I'm a type 1 diabetic for almost 2 years and I recently started working out. My triceps started hurting really bad during the workout. So... Where should I put my sensor instead?</t>
        </is>
      </c>
      <c r="D10653" t="n">
        <v>1</v>
      </c>
      <c r="E10653" t="n">
        <v>7</v>
      </c>
      <c r="F10653">
        <f>HYPERLINK("https://www.reddit.com/r/diabetes/comments/iirzmr/where_to_put_my_libre_2/")</f>
        <v/>
      </c>
      <c r="G10653" t="inlineStr">
        <is>
          <t>2020-08-29 06:00:53</t>
        </is>
      </c>
      <c r="H10653" t="inlineStr">
        <is>
          <t>Type 1</t>
        </is>
      </c>
    </row>
    <row r="10654">
      <c r="A10654" t="inlineStr">
        <is>
          <t>iitjg4</t>
        </is>
      </c>
      <c r="B10654" t="inlineStr">
        <is>
          <t>Newly diagnosed, some venting and some things I’ve learned.</t>
        </is>
      </c>
      <c r="C10654" t="inlineStr">
        <is>
          <t>So, I’m in Australia and was diagnosed a week ago. T2. On Metformin with instructions to cut diet and exercise more. Another blood test in 3 months. 
I’m a pretty pragmatic and logical person so I’m trying to deal with this as best I can. But what is frustrating me is the lack of consistency in information about diet, and the insane amount of confusion that comes from trying to buy better and eat better. 
Every report I read seems to have different recommendations on diet.
Every item I look at the supermarket seems to take a different approach to their nutritional information. 
I’m starting to be afraid of food. 
I don’t know what it is, maybe just psychosomatic, but since the diagnosis I’ve just been feeling completely off. Jumpy at every little ache, and pin and needle. I hope this passes. 
No one tells you about upping your health insurance coverage either, that shit is not easy to understand. And the wait periods are all over the place. 
Sorry for the rant. Just needed to vent. Anyway. Just trudging through until my next blood test in three months. In the meantime, watching diet and exercising to see where that takes me.</t>
        </is>
      </c>
      <c r="D10654" t="n">
        <v>1</v>
      </c>
      <c r="E10654" t="n">
        <v>12</v>
      </c>
      <c r="F10654">
        <f>HYPERLINK("https://www.reddit.com/r/diabetes/comments/iitjg4/newly_diagnosed_some_venting_and_some_things_ive/")</f>
        <v/>
      </c>
      <c r="G10654" t="inlineStr">
        <is>
          <t>2020-08-29 07:44:53</t>
        </is>
      </c>
      <c r="H10654" t="inlineStr">
        <is>
          <t>Type 2</t>
        </is>
      </c>
    </row>
    <row r="10655">
      <c r="A10655" t="inlineStr">
        <is>
          <t>iiv0wz</t>
        </is>
      </c>
      <c r="B10655" t="inlineStr">
        <is>
          <t>7 hours of concern.</t>
        </is>
      </c>
      <c r="C10655" t="inlineStr">
        <is>
          <t>So Thursday, I don’t know exactly what happened, I think I may have double shot my no plot, but don’t remember a second shot.
About an hour after lunch I feel the impending drop not yet detected by my Dexcom. I go to my works cafeteria (work at a large company) and bought a Mountain Dew code red and a snickers, expecting to take a few sips and then eat like half the snickers. 
About 30 minutes later I still feel the drop and devour all sugar.
After over 100 grams of sugar I can’t get above 135 or so, and even then it’s a short lived spike. I then request leaving early and my girlfriend picks me up, because I don’t trust myself to drive nor to be alone. I drink a full apple juice, and still can’t break above 150. 
I start to get concerned, so I take my glucagon (basqimi, which is very unpleasant to take, but immediately takes me way up.) gf made pasta for dinner and I finally leveled out around 7 pm, around 7 hours after the potential double dose. 
Diabetes is crazy and you can never expect to be perfect all the time. Now I’ve gotta go buy more juice boxes and such.
Stay safe friends.</t>
        </is>
      </c>
      <c r="D10655" t="n">
        <v>1</v>
      </c>
      <c r="E10655" t="n">
        <v>16</v>
      </c>
      <c r="F10655">
        <f>HYPERLINK("https://www.reddit.com/r/diabetes/comments/iiv0wz/7_hours_of_concern/")</f>
        <v/>
      </c>
      <c r="G10655" t="inlineStr">
        <is>
          <t>2020-08-29 09:10:09</t>
        </is>
      </c>
      <c r="H10655" t="inlineStr">
        <is>
          <t>Type 1</t>
        </is>
      </c>
    </row>
    <row r="10656">
      <c r="A10656" t="inlineStr">
        <is>
          <t>iix65s</t>
        </is>
      </c>
      <c r="B10656" t="inlineStr">
        <is>
          <t>Somebody told me soggy rice are more sugary than non-soggy rice and eating in small quantity is okay, can somebody confirm is that a risk I can take?</t>
        </is>
      </c>
      <c r="C10656" t="inlineStr">
        <is>
          <t>.</t>
        </is>
      </c>
      <c r="D10656" t="n">
        <v>1</v>
      </c>
      <c r="E10656" t="n">
        <v>7</v>
      </c>
      <c r="F10656">
        <f>HYPERLINK("https://www.reddit.com/r/diabetes/comments/iix65s/somebody_told_me_soggy_rice_are_more_sugary_than/")</f>
        <v/>
      </c>
      <c r="G10656" t="inlineStr">
        <is>
          <t>2020-08-29 11:09:54</t>
        </is>
      </c>
      <c r="H10656" t="inlineStr">
        <is>
          <t>Type 2</t>
        </is>
      </c>
    </row>
    <row r="10657">
      <c r="A10657" t="inlineStr">
        <is>
          <t>iixmac</t>
        </is>
      </c>
      <c r="B10657" t="inlineStr">
        <is>
          <t>Drinking with T1 diabetes</t>
        </is>
      </c>
      <c r="C10657" t="inlineStr">
        <is>
          <t>I’m turning 18 in a week and my friends want to go out drinking to celebrate. Only problem is (obviously) I’m diabetic. I know with this illness comes complications when it comes to drinking but I have no idea what those complications actually are so I’d there anything I should know before I go drinking?</t>
        </is>
      </c>
      <c r="D10657" t="n">
        <v>1</v>
      </c>
      <c r="E10657" t="n">
        <v>11</v>
      </c>
      <c r="F10657">
        <f>HYPERLINK("https://www.reddit.com/r/diabetes/comments/iixmac/drinking_with_t1_diabetes/")</f>
        <v/>
      </c>
      <c r="G10657" t="inlineStr">
        <is>
          <t>2020-08-29 11:34:52</t>
        </is>
      </c>
      <c r="H10657" t="inlineStr">
        <is>
          <t>Type 1</t>
        </is>
      </c>
    </row>
    <row r="10658">
      <c r="A10658" t="inlineStr">
        <is>
          <t>iiz8qf</t>
        </is>
      </c>
      <c r="B10658" t="inlineStr">
        <is>
          <t>Does anyone here also suffer from Generalized Anxiety Disorder and/or Panic Disorder? Are my symptoms from low blood sugar or anxiety? UGH</t>
        </is>
      </c>
      <c r="C10658" t="inlineStr">
        <is>
          <t>Hi, folks-
Recently-diagnosed as a T2 (although I’m not 100% convinced of that), and have been struggling. As soon as I was diagnosed, I made a change to my lifestyle. I cut out all refined sugars, starches, and have adopted a lazy keto diet. I try to stay below 50g of carbs a day, spaced out evenly between meals. Currently not on any medications. This is why I am thinking that T2 may not being right (see below). Getting a c-peptide test done next week to determine insulin production. 
I check my sugars eight times a day (morning, before and after each meal, and right before bed). I have yet to have a single high reading, and I have had consistent low readings right before lunch. Today was the worst, when I had a reading of 52. I was feeling a bit light-headed, so I knew I needed to eat. As soon as I saw the reading, I freaked out and had a panic attack. 
So I guess I am looking for insight as to how I can determine if the symptoms I am experiencing (light-headed, increased heart rate, shaking, dry mouth) are from a low blood sugar or from my stupid anxiety? 
Also, how can I make sure I don’t keep having these mid-day lows? 
Thank you so much for reading my long-winded post!</t>
        </is>
      </c>
      <c r="D10658" t="n">
        <v>1</v>
      </c>
      <c r="E10658" t="n">
        <v>7</v>
      </c>
      <c r="F10658">
        <f>HYPERLINK("https://www.reddit.com/r/diabetes/comments/iiz8qf/does_anyone_here_also_suffer_from_generalized/")</f>
        <v/>
      </c>
      <c r="G10658" t="inlineStr">
        <is>
          <t>2020-08-29 13:08:21</t>
        </is>
      </c>
      <c r="H10658" t="inlineStr">
        <is>
          <t>Type 2</t>
        </is>
      </c>
    </row>
    <row r="10659">
      <c r="A10659" t="inlineStr">
        <is>
          <t>iiza6g</t>
        </is>
      </c>
      <c r="B10659" t="inlineStr">
        <is>
          <t>Does anyone have any tips about backpacking across Europe while still maintaining your diabetes?</t>
        </is>
      </c>
      <c r="C10659" t="inlineStr">
        <is>
          <t>I have always fantasized about backpacking across Europe, but I am not sure how to do it for a long period of time if I have to bring all my medications and supplies? I am currently on a pump so that helps, does anyone have any tips?</t>
        </is>
      </c>
      <c r="D10659" t="n">
        <v>1</v>
      </c>
      <c r="E10659" t="n">
        <v>2</v>
      </c>
      <c r="F10659">
        <f>HYPERLINK("https://www.reddit.com/r/diabetes/comments/iiza6g/does_anyone_have_any_tips_about_backpacking/")</f>
        <v/>
      </c>
      <c r="G10659" t="inlineStr">
        <is>
          <t>2020-08-29 13:10:51</t>
        </is>
      </c>
      <c r="H10659" t="inlineStr">
        <is>
          <t>Type 1</t>
        </is>
      </c>
    </row>
    <row r="10660">
      <c r="A10660" t="inlineStr">
        <is>
          <t>iizl45</t>
        </is>
      </c>
      <c r="B10660" t="inlineStr">
        <is>
          <t>Blood sugar hovering around 110 to 130 no matter what I do.</t>
        </is>
      </c>
      <c r="C10660" t="inlineStr">
        <is>
          <t>About 5 months ago, I was diagnosed with late stage type 1 diabetes. I was put on my county's version of medicaid (I didn't have health insurance at the time), given insulin, and the doses I needed. 
Within a couple of weeks, I was able to keep my blood sugar generally between 85 - 100, and worked a retail job that kept my blood sugar down as well. 
About a month ago, I moved to another state to start a teaching job. At first, my blood sugar regiment was working normally, but in the past week things have been weird. 
I constantly wake up with my blood sugar between 110-120. During the day after taking insulin for my meals, I stay around 130 no matter how much short acting insulin I use. 
I'm on another health insurance for my job, so next week I'm going to be contacting doctors in the area, but I wonder what's going on? 
I will admit that I haven't been eating as well as I could be, but in the past I would adjust my insulin and things would be fine in a day or two. I have also gained some weight during quarantine, but I'm not obese (I'm 175 pounds at 5 foot 9). I have been drinking a fair amount of beer in the past week, but nothing that adjusting my insulin wouldn't fix before. Plus I've stopped that and increased my water intake. 
Is this normal? I'm still new-ish at being diabetic, so maybe I'm worried over nothing? But it's probably good to be cautious.</t>
        </is>
      </c>
      <c r="D10660" t="n">
        <v>1</v>
      </c>
      <c r="E10660" t="n">
        <v>9</v>
      </c>
      <c r="F10660">
        <f>HYPERLINK("https://www.reddit.com/r/diabetes/comments/iizl45/blood_sugar_hovering_around_110_to_130_no_matter/")</f>
        <v/>
      </c>
      <c r="G10660" t="inlineStr">
        <is>
          <t>2020-08-29 13:29:18</t>
        </is>
      </c>
      <c r="H10660" t="inlineStr">
        <is>
          <t>Type 1</t>
        </is>
      </c>
    </row>
    <row r="10661">
      <c r="A10661" t="inlineStr">
        <is>
          <t>ij1224</t>
        </is>
      </c>
      <c r="B10661" t="inlineStr">
        <is>
          <t>Anyone have problems with Tandem/Dexcom G6 Insulin Duration preset to 5 hours?</t>
        </is>
      </c>
      <c r="C10661" t="inlineStr">
        <is>
          <t>Typically, my IOB time is 3 hours, but when I turn control IQ on, it's preset to 5 hours which essentially gives me incorrect (under) bolus amounts.  Another way to think of this is imagine you bolus 40g for dinner; 2 hours later with a 3 hour IOB my remaining amount would be 13.3g as opposed to 24g with a 5 hour duration.  I find myself overriding my corrective dosing all the time.
Is their a more simple way of dealing with this?
Thank you for your help!</t>
        </is>
      </c>
      <c r="D10661" t="n">
        <v>1</v>
      </c>
      <c r="E10661" t="n">
        <v>10</v>
      </c>
      <c r="F10661">
        <f>HYPERLINK("https://www.reddit.com/r/diabetes/comments/ij1224/anyone_have_problems_with_tandemdexcom_g6_insulin/")</f>
        <v/>
      </c>
      <c r="G10661" t="inlineStr">
        <is>
          <t>2020-08-29 14:56:01</t>
        </is>
      </c>
      <c r="H10661" t="inlineStr">
        <is>
          <t>Type 1</t>
        </is>
      </c>
    </row>
    <row r="10662">
      <c r="A10662" t="inlineStr">
        <is>
          <t>ij1lyp</t>
        </is>
      </c>
      <c r="B10662" t="inlineStr">
        <is>
          <t>Low bs problems</t>
        </is>
      </c>
      <c r="C10662" t="inlineStr">
        <is>
          <t>I've had diabetes for 16 years and I recently changed from a pump to shots/Lantis in February of this year and at first, it was great, I didn't have to wear the bulky minimed anymore after 12 years, my blood sugars were still under control and I calculated how many units to give myself. But in May, I  was house-sitting for my mom with my friend and she couldn't wake me up until 12 pm and I didn't really register that there was a problem. I woke up and tested my bs and it was 59, nothing too low but I closely monitored it all day and the next day and I stayed around 120. The next time it happened was a few weeks later and I went to bed around 1 am and woke up around 3 pm. I was a little freaked out so I tested my bs again and it was 49, so I decreased my lantis and it worked for a few weeks but then every other day I would wake up with a bs of 200+, so I went back to my regular amt. But then my prolonged sleep happened three more times, where I could not wake up. I called my endocrinologist and she said to closely monitor my bs levels and I've been doing it religiously but I couldn't wake up again until 4 pm today. I don't really understand why it keeps happening. I guess I'm just asking if anyone else has had this problem, or if anyone knows what I should do.</t>
        </is>
      </c>
      <c r="D10662" t="n">
        <v>1</v>
      </c>
      <c r="E10662" t="n">
        <v>2</v>
      </c>
      <c r="F10662">
        <f>HYPERLINK("https://www.reddit.com/r/diabetes/comments/ij1lyp/low_bs_problems/")</f>
        <v/>
      </c>
      <c r="G10662" t="inlineStr">
        <is>
          <t>2020-08-29 15:29:32</t>
        </is>
      </c>
      <c r="H10662" t="inlineStr">
        <is>
          <t>Type 1</t>
        </is>
      </c>
    </row>
    <row r="10663">
      <c r="A10663" t="inlineStr">
        <is>
          <t>ij2exc</t>
        </is>
      </c>
      <c r="B10663" t="inlineStr">
        <is>
          <t>Any Tips for mom of 5yr old just diagnosed type 1 diabetes ?</t>
        </is>
      </c>
      <c r="C10663" t="inlineStr">
        <is>
          <t>Does anyone have some tips I can give my SIL,  her 5 yr old son was just diagnosed with type 1 diabetes and she doesn't know how she is going to be able to check his blood sugar and give him injections everyday without him screaming and crying. He is a very energetic kid and very smart she said he is so afraid of needles too.</t>
        </is>
      </c>
      <c r="D10663" t="n">
        <v>1</v>
      </c>
      <c r="E10663" t="n">
        <v>10</v>
      </c>
      <c r="F10663">
        <f>HYPERLINK("https://www.reddit.com/r/diabetes/comments/ij2exc/any_tips_for_mom_of_5yr_old_just_diagnosed_type_1/")</f>
        <v/>
      </c>
      <c r="G10663" t="inlineStr">
        <is>
          <t>2020-08-29 16:20:15</t>
        </is>
      </c>
      <c r="H10663" t="inlineStr">
        <is>
          <t>Type 1</t>
        </is>
      </c>
    </row>
    <row r="10664">
      <c r="A10664" t="inlineStr">
        <is>
          <t>ij2fa7</t>
        </is>
      </c>
      <c r="B10664" t="inlineStr">
        <is>
          <t>A1c was 6.5 but my fasting glucose is normal?</t>
        </is>
      </c>
      <c r="C10664" t="inlineStr">
        <is>
          <t>I did lab work yesterday and my fasting glucose was 87 which is in the "normal" range. But my A1c was 6.5 which is technically diabetic. Why is there conflicting results with different tests?</t>
        </is>
      </c>
      <c r="D10664" t="n">
        <v>1</v>
      </c>
      <c r="E10664" t="n">
        <v>5</v>
      </c>
      <c r="F10664">
        <f>HYPERLINK("https://www.reddit.com/r/diabetes/comments/ij2fa7/a1c_was_65_but_my_fasting_glucose_is_normal/")</f>
        <v/>
      </c>
      <c r="G10664" t="inlineStr">
        <is>
          <t>2020-08-29 16:20:58</t>
        </is>
      </c>
      <c r="H10664" t="inlineStr">
        <is>
          <t>Type 2</t>
        </is>
      </c>
    </row>
    <row r="10665">
      <c r="A10665" t="inlineStr">
        <is>
          <t>ij2vu9</t>
        </is>
      </c>
      <c r="B10665" t="inlineStr">
        <is>
          <t>Is there a link between vitamin d deficiency and diabetes ?</t>
        </is>
      </c>
      <c r="C10665" t="inlineStr">
        <is>
          <t>.</t>
        </is>
      </c>
      <c r="D10665" t="n">
        <v>1</v>
      </c>
      <c r="E10665" t="n">
        <v>4</v>
      </c>
      <c r="F10665">
        <f>HYPERLINK("https://www.reddit.com/r/diabetes/comments/ij2vu9/is_there_a_link_between_vitamin_d_deficiency_and/")</f>
        <v/>
      </c>
      <c r="G10665" t="inlineStr">
        <is>
          <t>2020-08-29 16:50:28</t>
        </is>
      </c>
      <c r="H10665" t="inlineStr">
        <is>
          <t>Type 2</t>
        </is>
      </c>
    </row>
    <row r="10666">
      <c r="A10666" t="inlineStr">
        <is>
          <t>ij3t8g</t>
        </is>
      </c>
      <c r="B10666" t="inlineStr">
        <is>
          <t>Recalibrating libre sensor</t>
        </is>
      </c>
      <c r="C10666" t="inlineStr">
        <is>
          <t>I’m looking at getting the MiaoMiao and it looks like I want to run it on an android phone with xdrip. I have seen something about an app to recalibrate it? Can anyone tell me what they are using? There are times it’s 30 off.</t>
        </is>
      </c>
      <c r="D10666" t="n">
        <v>1</v>
      </c>
      <c r="E10666" t="n">
        <v>3</v>
      </c>
      <c r="F10666">
        <f>HYPERLINK("https://www.reddit.com/r/diabetes/comments/ij3t8g/recalibrating_libre_sensor/")</f>
        <v/>
      </c>
      <c r="G10666" t="inlineStr">
        <is>
          <t>2020-08-29 17:52:49</t>
        </is>
      </c>
      <c r="H10666" t="inlineStr">
        <is>
          <t>Type 2</t>
        </is>
      </c>
    </row>
    <row r="10667">
      <c r="A10667" t="inlineStr">
        <is>
          <t>ij40mw</t>
        </is>
      </c>
      <c r="B10667" t="inlineStr">
        <is>
          <t>Anxiety</t>
        </is>
      </c>
      <c r="C10667" t="inlineStr">
        <is>
          <t>Hello, due to the coronavirus ive been stuck at home for a very long time. Ive never experienced this but ive had a huge flare up in health related anxiety. Im constantly in fear over things that are out of question. Like long term diabetic issues. Even though i have a good a1c and im still pretty young and healthy. Does anyone else experience this, and what can i do to stop it. Im tired of sitting here worried.</t>
        </is>
      </c>
      <c r="D10667" t="n">
        <v>1</v>
      </c>
      <c r="E10667" t="n">
        <v>8</v>
      </c>
      <c r="F10667">
        <f>HYPERLINK("https://www.reddit.com/r/diabetes/comments/ij40mw/anxiety/")</f>
        <v/>
      </c>
      <c r="G10667" t="inlineStr">
        <is>
          <t>2020-08-29 18:07:00</t>
        </is>
      </c>
      <c r="H10667" t="inlineStr">
        <is>
          <t>Type 1</t>
        </is>
      </c>
    </row>
    <row r="10668">
      <c r="A10668" t="inlineStr">
        <is>
          <t>ij56r1</t>
        </is>
      </c>
      <c r="B10668" t="inlineStr">
        <is>
          <t>Am I overreacting ?</t>
        </is>
      </c>
      <c r="C10668" t="inlineStr">
        <is>
          <t>Most of the time my levels are between 70 and 100 (taking metformin) but sometimes they are over 120 and I feel really bad with myself.</t>
        </is>
      </c>
      <c r="D10668" t="n">
        <v>1</v>
      </c>
      <c r="E10668" t="n">
        <v>8</v>
      </c>
      <c r="F10668">
        <f>HYPERLINK("https://www.reddit.com/r/diabetes/comments/ij56r1/am_i_overreacting/")</f>
        <v/>
      </c>
      <c r="G10668" t="inlineStr">
        <is>
          <t>2020-08-29 19:31:21</t>
        </is>
      </c>
      <c r="H10668" t="inlineStr">
        <is>
          <t>Type 2</t>
        </is>
      </c>
    </row>
    <row r="10669">
      <c r="A10669" t="inlineStr">
        <is>
          <t>ij6ao7</t>
        </is>
      </c>
      <c r="B10669" t="inlineStr">
        <is>
          <t>Ever feel like giving up?</t>
        </is>
      </c>
      <c r="C10669" t="inlineStr">
        <is>
          <t>Been diabetic for 14 years. Currently on long acting insulin, glipizide. amd metformin. Along with taking other shit for cholesterol and high blood pressure. Never had issues with cholesterol or high blood pressure but these meds “protect” other organs. When I don’t take my pills or insulin my blood sugar is 20-40 points higher. My morning blood sugar is 220-260 regardless if I take my nightly insulin of  if I don’t. I was over 400 pounds and dropped to 320, then I went in insulin, now I’m 340. My fitness routine was killed my covid. Doctor wants me to go on more insulin and increase my dose. I’m feeling stubborn and just feel like saying fuck it. I know I probably won’t but just wanted to vent. Thanks for reading.</t>
        </is>
      </c>
      <c r="D10669" t="n">
        <v>1</v>
      </c>
      <c r="E10669" t="n">
        <v>4</v>
      </c>
      <c r="F10669">
        <f>HYPERLINK("https://www.reddit.com/r/diabetes/comments/ij6ao7/ever_feel_like_giving_up/")</f>
        <v/>
      </c>
      <c r="G10669" t="inlineStr">
        <is>
          <t>2020-08-29 20:47:00</t>
        </is>
      </c>
      <c r="H10669" t="inlineStr">
        <is>
          <t>Type 2</t>
        </is>
      </c>
    </row>
    <row r="10670">
      <c r="A10670" t="inlineStr">
        <is>
          <t>ij6x46</t>
        </is>
      </c>
      <c r="B10670" t="inlineStr">
        <is>
          <t>Blood sugar spikes after hypo</t>
        </is>
      </c>
      <c r="C10670" t="inlineStr">
        <is>
          <t>For the first time in years today I'm experiencing a crazy spike in my glucose after a bad hypo. I forgot a meal for a few hours and was left rather dumb with my glucose in the 40's, and after eating I'm feeling like complete crap, and lo and behold a sudden reading of &amp;gt;500!
I haven't had these since I was a kid and I'm stumped. Feeling worse than I have in a long time and trying to bolus for the last hour and keeping up with fluids to keep it down. Anyone else had this happen?</t>
        </is>
      </c>
      <c r="D10670" t="n">
        <v>1</v>
      </c>
      <c r="E10670" t="n">
        <v>2</v>
      </c>
      <c r="F10670">
        <f>HYPERLINK("https://www.reddit.com/r/diabetes/comments/ij6x46/blood_sugar_spikes_after_hypo/")</f>
        <v/>
      </c>
      <c r="G10670" t="inlineStr">
        <is>
          <t>2020-08-29 21:35:22</t>
        </is>
      </c>
      <c r="H10670" t="inlineStr">
        <is>
          <t>Type 1</t>
        </is>
      </c>
    </row>
    <row r="10671">
      <c r="A10671" t="inlineStr">
        <is>
          <t>ija0zv</t>
        </is>
      </c>
      <c r="B10671" t="inlineStr">
        <is>
          <t>Anyone feel there healthier because they have TI diabetes?</t>
        </is>
      </c>
      <c r="C10671" t="inlineStr">
        <is>
          <t>I've had TI diabetes for over 35 year, now close to 50. Recently, I did a test to determine my 'physical age', and it came up as 21. 
I am sure this because of always following a strict diet and exercise regime (to keep control over the diabetes). Because of following the diet for many years, even the though of junk food is repulsive to me. I don't miss, and I don't miss desert and confectionary- really can't understand how any could eat that crap. I also have regular hypos- an inconvenience, to be sure; but one of the effect of hypo's is a huge boost in HGH, which has an anti-aging effect.
When I compare my present condition to most people of my age, I am sure that I am actually much, much healthier because I developed TI as a teenager. Does anyone else feel healthier, in the long term, for having TI?</t>
        </is>
      </c>
      <c r="D10671" t="n">
        <v>1</v>
      </c>
      <c r="E10671" t="n">
        <v>17</v>
      </c>
      <c r="F10671">
        <f>HYPERLINK("https://www.reddit.com/r/diabetes/comments/ija0zv/anyone_feel_there_healthier_because_they_have_ti/")</f>
        <v/>
      </c>
      <c r="G10671" t="inlineStr">
        <is>
          <t>2020-08-30 02:22:42</t>
        </is>
      </c>
      <c r="H10671" t="inlineStr">
        <is>
          <t>Type 1</t>
        </is>
      </c>
    </row>
    <row r="10672">
      <c r="A10672" t="inlineStr">
        <is>
          <t>ijahkx</t>
        </is>
      </c>
      <c r="B10672" t="inlineStr">
        <is>
          <t>Insulin aspart?</t>
        </is>
      </c>
      <c r="C10672" t="inlineStr">
        <is>
          <t>My work insurance won’t be covering Novolog, but insulin aspart (“generic” insulin). I’ve recently graduated to the Tandem/Dexcom combo, will this affect it at all? From what I understand, the only difference is the labeling, everything else is the same. I just want to be sure.</t>
        </is>
      </c>
      <c r="D10672" t="n">
        <v>1</v>
      </c>
      <c r="E10672" t="n">
        <v>4</v>
      </c>
      <c r="F10672">
        <f>HYPERLINK("https://www.reddit.com/r/diabetes/comments/ijahkx/insulin_aspart/")</f>
        <v/>
      </c>
      <c r="G10672" t="inlineStr">
        <is>
          <t>2020-08-30 03:10:13</t>
        </is>
      </c>
      <c r="H10672" t="inlineStr">
        <is>
          <t>Type 1</t>
        </is>
      </c>
    </row>
    <row r="10673">
      <c r="A10673" t="inlineStr">
        <is>
          <t>ijc1f4</t>
        </is>
      </c>
      <c r="B10673" t="inlineStr">
        <is>
          <t>Best place to put CGM on your body for most precise results</t>
        </is>
      </c>
      <c r="C10673" t="inlineStr">
        <is>
          <t>Title</t>
        </is>
      </c>
      <c r="D10673" t="n">
        <v>1</v>
      </c>
      <c r="E10673" t="n">
        <v>12</v>
      </c>
      <c r="F10673">
        <f>HYPERLINK("https://www.reddit.com/r/diabetes/comments/ijc1f4/best_place_to_put_cgm_on_your_body_for_most/")</f>
        <v/>
      </c>
      <c r="G10673" t="inlineStr">
        <is>
          <t>2020-08-30 05:37:59</t>
        </is>
      </c>
      <c r="H10673" t="inlineStr">
        <is>
          <t>Type 1</t>
        </is>
      </c>
    </row>
    <row r="10674">
      <c r="A10674" t="inlineStr">
        <is>
          <t>ijc3c7</t>
        </is>
      </c>
      <c r="B10674" t="inlineStr">
        <is>
          <t>Stress really does matter</t>
        </is>
      </c>
      <c r="C10674" t="inlineStr">
        <is>
          <t>Stress is one of those things that they say is bad for your blood sugar numbers but it is easily discounted as a factor by many - including me until recently.  
Over the 2.5 years since I was diagnosed, I’ve concentrated on carbs, exercise and weight to control my blood sugars with good success.  Whenever stress was brought up as another factor, my basic reaction was “yeah, ok, sure” but I didn’t really believe it.  
In mid-July, I was laid off from my job of the last 6 years.  Somewhat Covid related but mostly just a company that could never get its act together and was failing over time.  My personal situation at the company was miserable over the past 18 months.  We got a new CTO who made decisions based on “his gut”, not facts and hated anyone who pointed out reality to him.  There were a lot of days where I felt like vomiting before going in.  You basic completely toxic environment.  
Since getting laid off, my average fasting blood sugar has dropped 15 points.  I haven’t changed my diet or exercise.  The only difference is that I’m no longer in an incredibly stressful work environment.  So now I’m a believer - stress really does matter in diabetes control.  
Tl;dr.  Lost my job in a high stress environment.  A month later, my average testing blood sugar is down by 15.  Stress matters.</t>
        </is>
      </c>
      <c r="D10674" t="n">
        <v>1</v>
      </c>
      <c r="E10674" t="n">
        <v>8</v>
      </c>
      <c r="F10674">
        <f>HYPERLINK("https://www.reddit.com/r/diabetes/comments/ijc3c7/stress_really_does_matter/")</f>
        <v/>
      </c>
      <c r="G10674" t="inlineStr">
        <is>
          <t>2020-08-30 05:42:46</t>
        </is>
      </c>
      <c r="H10674" t="inlineStr">
        <is>
          <t>Type 2</t>
        </is>
      </c>
    </row>
    <row r="10675">
      <c r="A10675" t="inlineStr">
        <is>
          <t>ije4ja</t>
        </is>
      </c>
      <c r="B10675" t="inlineStr">
        <is>
          <t>Drew blood injecting insulin</t>
        </is>
      </c>
      <c r="C10675" t="inlineStr">
        <is>
          <t>I dont know if I applied too much pressure or what, but I drew a little bit of blood with my injection this morning. Is that something I should be worried about?</t>
        </is>
      </c>
      <c r="D10675" t="n">
        <v>1</v>
      </c>
      <c r="E10675" t="n">
        <v>10</v>
      </c>
      <c r="F10675">
        <f>HYPERLINK("https://www.reddit.com/r/diabetes/comments/ije4ja/drew_blood_injecting_insulin/")</f>
        <v/>
      </c>
      <c r="G10675" t="inlineStr">
        <is>
          <t>2020-08-30 08:07:02</t>
        </is>
      </c>
      <c r="H10675" t="inlineStr">
        <is>
          <t>Type 2</t>
        </is>
      </c>
    </row>
    <row r="10676">
      <c r="A10676" t="inlineStr">
        <is>
          <t>iji9yf</t>
        </is>
      </c>
      <c r="B10676" t="inlineStr">
        <is>
          <t>Not Sure What I'm Doing Wrong..</t>
        </is>
      </c>
      <c r="C10676" t="inlineStr">
        <is>
          <t>Hey there /r/diabetes.
I'm a Type II diabetic, diagnosed in January 2019. 38, female, currently 266 pounds. Originally, my doc put me on metformin, 500mg morning/night, but it made me super sick. I just dealt with the frequent trips to the bathroom and managed to lose 60 pounds over about 8 months. (probably from all the said trips to the bathroom immediately after eating)
I then started cutting my dose in half, that helped some, but I was still getting sick everyday. My doc gave me the 500mg slow release, and that still made me sick. I finally asked my doctor to prescribe me something else, so she put me on Glipizide 5mg once a day late last year. I gained about 30 pounds back. 
In February, I moved across the country for work/personal reasons. My blood sugar was on the high end of normal, but I'll admit I didn't take it and record it consistently. I started taking a 1200mg fish oil, 5000 IU vitamin D and 1000mg cinnamon in the morning with my Glipizide.
Three weeks ago, my heart was racing and wouldn't stop, so I drove myself to the hospital. I had eaten a meal I shouldn't have, but I didn't know why my heart was racing and was scared it was something else. They did an X-Ray, EKG and tested my blood. My sugar was 300, so they put me on an IV and sent me home. I tested it when I got home, and it was down to 200. I drank around 40oz of water before going to bed.
Since then, I've been trying to eat as many foods as I can that I found listed on a few sites as being blood sugar-friendly. My typical day: (1700ish calories)
**Breakfast**
one slice mulitgrain toast
one egg (fried with one spray of coconut oil, salt and pepper)
1oz fresh avocado
one slice pepper jack cheese
brewed coffee, one tbsp of natural bliss creamer
**Lunch**
3oz chicken breast
one flaxseed, low carb wrap
2 tsp caesar dressing
2 tsp parmesan cheese
2ish cups of organic spring mix greens
**Dinner**
3-4oz of chicken breast or pork tenderloin
2 cups roasted broccoli (misted with olive oil, salt and pepper)
usually either butternut squash (1/2 cup) or roasted mushrooms (1 cup)
**Snacks**
one bag of skinnypop popcorn
a smoothie made with 1 tbsp flaxseed, 1/2 cup plain fage 0% fat greek yogurt, 1/2 cup blueberries, and ice
Water consumption is 4x of my 32oz water bottle, so 128oz/day. I don't drink anything besides my water and the one cup of coffee in the morning.
My sugar reading in the morning, in these last three weeks, has steadily declined from ~200 down to 140-150, but now won't drop below that. The evening reading is almost always 95-115. I've been adding some exercise back into my routine, right now it's 30 minutes of cardio about 2x a week. I do plan on increasing this.
Is my diet wrong? I'm trying to keep my carbs to around 100-120g, should that be lower? Should I switch to something more like keto? I'm concerned the extra protein and fat will cause me to gain. Is not enough activity the problem?
I just feel lost. I've lost 3.5 pounds in these three weeks, but it seems like I'm doing things wrong. I did recently, finally, get a doctor in the area. (I'd been doing telehealth for checkups and med refills while I called doctors like crazy trying to find one to take me) I'm going for the full metabolic panel tomorrow. Should I wait for those results and see what the new doc says?
Help :(</t>
        </is>
      </c>
      <c r="D10676" t="n">
        <v>1</v>
      </c>
      <c r="E10676" t="n">
        <v>13</v>
      </c>
      <c r="F10676">
        <f>HYPERLINK("https://www.reddit.com/r/diabetes/comments/iji9yf/not_sure_what_im_doing_wrong/")</f>
        <v/>
      </c>
      <c r="G10676" t="inlineStr">
        <is>
          <t>2020-08-30 12:00:51</t>
        </is>
      </c>
      <c r="H10676" t="inlineStr">
        <is>
          <t>Type 2</t>
        </is>
      </c>
    </row>
    <row r="10677">
      <c r="A10677" t="inlineStr">
        <is>
          <t>ijl6ha</t>
        </is>
      </c>
      <c r="B10677" t="inlineStr">
        <is>
          <t>Got diagnosed with type 2 on Thursday. what do I need to know?</t>
        </is>
      </c>
      <c r="C10677" t="inlineStr">
        <is>
          <t>My A1C came back as a 7 and my doctor told me I am diabetic. I Was really blindsided by this and couldn't think of many questions to ask at the time. I'm on Metformin and I'm exercising, dieting, and watching my portion sizes. But I feel like there's a ton of stuff I don't know. Are there any rookie mistakes someone like me can avoid?</t>
        </is>
      </c>
      <c r="D10677" t="n">
        <v>1</v>
      </c>
      <c r="E10677" t="n">
        <v>11</v>
      </c>
      <c r="F10677">
        <f>HYPERLINK("https://www.reddit.com/r/diabetes/comments/ijl6ha/got_diagnosed_with_type_2_on_thursday_what_do_i/")</f>
        <v/>
      </c>
      <c r="G10677" t="inlineStr">
        <is>
          <t>2020-08-30 14:40:28</t>
        </is>
      </c>
      <c r="H10677" t="inlineStr">
        <is>
          <t>Type 2</t>
        </is>
      </c>
    </row>
    <row r="10678">
      <c r="A10678" t="inlineStr">
        <is>
          <t>ijlstl</t>
        </is>
      </c>
      <c r="B10678" t="inlineStr">
        <is>
          <t>Just did my 7th set change in a row</t>
        </is>
      </c>
      <c r="C10678" t="inlineStr">
        <is>
          <t>They're not working. Some had occlusion alarms, some simply aren't absorbing and when I take them out they bleed. Just woke up my level at 22. Did my 7th set change since Friday... 
What am I supposed to do? Why did they just stop working all of a sudden? I feel extremely sick and don't want to go into dka from this. Have had to use pens over the last few days to correct</t>
        </is>
      </c>
      <c r="D10678" t="n">
        <v>1</v>
      </c>
      <c r="E10678" t="n">
        <v>5</v>
      </c>
      <c r="F10678">
        <f>HYPERLINK("https://www.reddit.com/r/diabetes/comments/ijlstl/just_did_my_7th_set_change_in_a_row/")</f>
        <v/>
      </c>
      <c r="G10678" t="inlineStr">
        <is>
          <t>2020-08-30 15:13:27</t>
        </is>
      </c>
      <c r="H10678" t="inlineStr">
        <is>
          <t>Type 1</t>
        </is>
      </c>
    </row>
    <row r="10679">
      <c r="A10679" t="inlineStr">
        <is>
          <t>ijn2kb</t>
        </is>
      </c>
      <c r="B10679" t="inlineStr">
        <is>
          <t>Artificial Sweetener?</t>
        </is>
      </c>
      <c r="C10679" t="inlineStr">
        <is>
          <t>I'm looking in every nook and cranny for hidden sugars. Been putting one Splenda in my coffee because I like the taste. What's your experience and should I be using something else?</t>
        </is>
      </c>
      <c r="D10679" t="n">
        <v>1</v>
      </c>
      <c r="E10679" t="n">
        <v>6</v>
      </c>
      <c r="F10679">
        <f>HYPERLINK("https://www.reddit.com/r/diabetes/comments/ijn2kb/artificial_sweetener/")</f>
        <v/>
      </c>
      <c r="G10679" t="inlineStr">
        <is>
          <t>2020-08-30 16:29:49</t>
        </is>
      </c>
      <c r="H10679" t="inlineStr">
        <is>
          <t>Type 2</t>
        </is>
      </c>
    </row>
    <row r="10680">
      <c r="A10680" t="inlineStr">
        <is>
          <t>ijow5a</t>
        </is>
      </c>
      <c r="B10680" t="inlineStr">
        <is>
          <t>Type one on furlough</t>
        </is>
      </c>
      <c r="C10680" t="inlineStr">
        <is>
          <t>Hey diabuddies,
I have been furloughed for 6 months because of COVID and have been trying to remain as optimistic and diligent as possible when it comes to my diabetes. 
I live in CA and work in the service industry. My boss (little mom and pop pizza shop) doesn’t want me returning do to my diabetes and some of my coworkers whom don’t take the virus as seriously. With benefits from unemployment and government officials not putting forth bills to help people with preexisting conditions, I am running out of options. 
I guess I am here to ask for advice and to see what other diabetics have done in similar scenarios. 
Stay safe everyone, much love.</t>
        </is>
      </c>
      <c r="D10680" t="n">
        <v>1</v>
      </c>
      <c r="E10680" t="n">
        <v>6</v>
      </c>
      <c r="F10680">
        <f>HYPERLINK("https://www.reddit.com/r/diabetes/comments/ijow5a/type_one_on_furlough/")</f>
        <v/>
      </c>
      <c r="G10680" t="inlineStr">
        <is>
          <t>2020-08-30 18:29:16</t>
        </is>
      </c>
      <c r="H10680" t="inlineStr">
        <is>
          <t>Type 1</t>
        </is>
      </c>
    </row>
    <row r="10681">
      <c r="A10681" t="inlineStr">
        <is>
          <t>ijqhj4</t>
        </is>
      </c>
      <c r="B10681" t="inlineStr">
        <is>
          <t>Normal 5.4mmol blood glucose when fasting after meal goes up to 20mmol (high carb meal) Do I have diabetes???</t>
        </is>
      </c>
      <c r="C10681" t="inlineStr">
        <is>
          <t>Hi there,
I’m 28 year old female, quite healthy, normal weight, average active.
For the last couple of years, whenever I eat anything carb heavy for lunch (I fast until lunch daily) I get abnormally tired. I recently got a oral glucose test, and is still waiting for the results. Meanwhile I have been checking my blood sugar daily, waking up daily at around 4-6mmol. 
And whenever I eat anything very high carb (like 100g of fat chips), my blood sugar would rocket to 18 even 20mmol after one out of eating!!!
And two hours later it would go straight let down to 5mmol!
I’m so confused, everything is normal until I eat something carb heavy or sugary. 
Do I have diabetes????
If so is there a chance do I have type two or type one?
Thank you!!!!!</t>
        </is>
      </c>
      <c r="D10681" t="n">
        <v>1</v>
      </c>
      <c r="E10681" t="n">
        <v>8</v>
      </c>
      <c r="F10681">
        <f>HYPERLINK("https://www.reddit.com/r/diabetes/comments/ijqhj4/normal_54mmol_blood_glucose_when_fasting_after/")</f>
        <v/>
      </c>
      <c r="G10681" t="inlineStr">
        <is>
          <t>2020-08-30 20:16:09</t>
        </is>
      </c>
      <c r="H10681" t="inlineStr">
        <is>
          <t>Type 2</t>
        </is>
      </c>
    </row>
    <row r="10682">
      <c r="A10682" t="inlineStr">
        <is>
          <t>ijtw9a</t>
        </is>
      </c>
      <c r="B10682" t="inlineStr">
        <is>
          <t>10 Horrifying Things Doctors Don’t Tell You</t>
        </is>
      </c>
      <c r="C10682" t="inlineStr">
        <is>
          <t xml:space="preserve"> As a modern culture, we tend to put our faith wholeheartedly in doctors. They’re the experts, and more often than not we take their advice without question. But what we don’t take into account is that many of these doctors either don’t have a clue or actively withhold information that could be putting your life in jeopardy. And if you think that sounds sensationalist, take a look at these facts—facts that doctors know about but which they conveniently forget to mention as you sign the bill. 
Keep readin here : 
[https://listverse.com/2014/01/25/10-horrifying-things-doctors-dont-tell-you/](https://listverse.com/2014/01/25/10-horrifying-things-doctors-dont-tell-you/)
https://preview.redd.it/u26p22i7nak51.jpg?width=1920&amp;amp;format=pjpg&amp;amp;auto=webp&amp;amp;s=662b7107ffee5916215d1a13cee4d3e175809d1a</t>
        </is>
      </c>
      <c r="D10682" t="n">
        <v>1</v>
      </c>
      <c r="E10682" t="n">
        <v>1</v>
      </c>
      <c r="F10682">
        <f>HYPERLINK("https://www.reddit.com/r/diabetes/comments/ijtw9a/10_horrifying_things_doctors_dont_tell_you/")</f>
        <v/>
      </c>
      <c r="G10682" t="inlineStr">
        <is>
          <t>2020-08-31 00:53:01</t>
        </is>
      </c>
      <c r="H10682" t="inlineStr">
        <is>
          <t>Type 2</t>
        </is>
      </c>
    </row>
    <row r="10683">
      <c r="A10683" t="inlineStr">
        <is>
          <t>ijvkkx</t>
        </is>
      </c>
      <c r="B10683" t="inlineStr">
        <is>
          <t>Management</t>
        </is>
      </c>
      <c r="C10683" t="inlineStr">
        <is>
          <t>I have hadT1D since I was in year 2 and now I’m in year five. do you have any tips for managing the different emotions that come up?</t>
        </is>
      </c>
      <c r="D10683" t="n">
        <v>1</v>
      </c>
      <c r="E10683" t="n">
        <v>1</v>
      </c>
      <c r="F10683">
        <f>HYPERLINK("https://www.reddit.com/r/diabetes/comments/ijvkkx/management/")</f>
        <v/>
      </c>
      <c r="G10683" t="inlineStr">
        <is>
          <t>2020-08-31 03:31:47</t>
        </is>
      </c>
      <c r="H10683" t="inlineStr">
        <is>
          <t>Type 1</t>
        </is>
      </c>
    </row>
    <row r="10684">
      <c r="A10684" t="inlineStr">
        <is>
          <t>ijwi05</t>
        </is>
      </c>
      <c r="B10684" t="inlineStr">
        <is>
          <t>High blood sugars while waking up when i started taking methimazole</t>
        </is>
      </c>
      <c r="C10684" t="inlineStr">
        <is>
          <t>I have just been diagnosed with hyperthyroidism. I have been taking methimazole 20 mg for more than a month and i noticed that every day when i wake up i have +200mg, which makes little sense to me as i go to bed with less than 100mg most of the time, and i don´t have any snack at midnight.  My endocrinologist says is part of the process as my body gets used to the medicine so im not affraid of it, but still, those are so cheap shots to my bg since im sleeping and i cannot stop it from rising.
Is anybody else here in the same situation?</t>
        </is>
      </c>
      <c r="D10684" t="n">
        <v>1</v>
      </c>
      <c r="E10684" t="n">
        <v>1</v>
      </c>
      <c r="F10684">
        <f>HYPERLINK("https://www.reddit.com/r/diabetes/comments/ijwi05/high_blood_sugars_while_waking_up_when_i_started/")</f>
        <v/>
      </c>
      <c r="G10684" t="inlineStr">
        <is>
          <t>2020-08-31 04:49:12</t>
        </is>
      </c>
      <c r="H10684" t="inlineStr">
        <is>
          <t>Type 1</t>
        </is>
      </c>
    </row>
    <row r="10685">
      <c r="A10685" t="inlineStr">
        <is>
          <t>ijwjt9</t>
        </is>
      </c>
      <c r="B10685" t="inlineStr">
        <is>
          <t>My levels are fucked</t>
        </is>
      </c>
      <c r="C10685" t="inlineStr">
        <is>
          <t>I’ve Changed my Ratio for insulin, changed the 24 hour insulin yet they always go high. Help ? And tomorrow I’m starting a workout routine (Cardio first)</t>
        </is>
      </c>
      <c r="D10685" t="n">
        <v>1</v>
      </c>
      <c r="E10685" t="n">
        <v>10</v>
      </c>
      <c r="F10685">
        <f>HYPERLINK("https://www.reddit.com/r/diabetes/comments/ijwjt9/my_levels_are_fucked/")</f>
        <v/>
      </c>
      <c r="G10685" t="inlineStr">
        <is>
          <t>2020-08-31 04:53:00</t>
        </is>
      </c>
      <c r="H10685" t="inlineStr">
        <is>
          <t>Type 1</t>
        </is>
      </c>
    </row>
    <row r="10686">
      <c r="A10686" t="inlineStr">
        <is>
          <t>ijzxt8</t>
        </is>
      </c>
      <c r="B10686" t="inlineStr">
        <is>
          <t>Type 1 diabetes</t>
        </is>
      </c>
      <c r="C10686" t="inlineStr">
        <is>
          <t>I got the cgm and I feel better not checking 4 times a day but still, I feel like I cant accept diabetes in my life which is the worse thing you can ever do after I went to the hospital unconscious and I went 4 days in a coma and 1 week in itu I'm fed up of diabetes I feel I can't live my normal life. anyone feels the same sometimes I feel that no one understands what I'm going through and all the struggles we have when we're diabetic.</t>
        </is>
      </c>
      <c r="D10686" t="n">
        <v>1</v>
      </c>
      <c r="E10686" t="n">
        <v>8</v>
      </c>
      <c r="F10686">
        <f>HYPERLINK("https://www.reddit.com/r/diabetes/comments/ijzxt8/type_1_diabetes/")</f>
        <v/>
      </c>
      <c r="G10686" t="inlineStr">
        <is>
          <t>2020-08-31 08:21:55</t>
        </is>
      </c>
      <c r="H10686" t="inlineStr">
        <is>
          <t>Type 1</t>
        </is>
      </c>
    </row>
    <row r="10687">
      <c r="A10687" t="inlineStr">
        <is>
          <t>ik0gju</t>
        </is>
      </c>
      <c r="B10687" t="inlineStr">
        <is>
          <t>What happens in use the NPH before the right time?</t>
        </is>
      </c>
      <c r="C10687" t="inlineStr">
        <is>
          <t>Like, I'm supposed to use 12 to 12 hours. And I usually use 8:30 am and 8:30 pm. But by mistake and was not taking attention used know at mid day, and since I've done this mistake I'm thinking on only taking it again, tomorrow morning!   
What do y'all think?</t>
        </is>
      </c>
      <c r="D10687" t="n">
        <v>1</v>
      </c>
      <c r="E10687" t="n">
        <v>1</v>
      </c>
      <c r="F10687">
        <f>HYPERLINK("https://www.reddit.com/r/diabetes/comments/ik0gju/what_happens_in_use_the_nph_before_the_right_time/")</f>
        <v/>
      </c>
      <c r="G10687" t="inlineStr">
        <is>
          <t>2020-08-31 08:49:36</t>
        </is>
      </c>
      <c r="H10687" t="inlineStr">
        <is>
          <t>Type 1</t>
        </is>
      </c>
    </row>
    <row r="10688">
      <c r="A10688" t="inlineStr">
        <is>
          <t>ik114y</t>
        </is>
      </c>
      <c r="B10688" t="inlineStr">
        <is>
          <t>Is it ok to eat potato?</t>
        </is>
      </c>
      <c r="C10688" t="inlineStr">
        <is>
          <t>One of the biggest frustration abt diabetes is I can’t no longer eat potato. I LOVE potato so much. I love all the dishes that have potato in it. But some ppl told me that cooked potato are actually not that bad for me if I have portion control...is it true? Does the cooking method matters?</t>
        </is>
      </c>
      <c r="D10688" t="n">
        <v>1</v>
      </c>
      <c r="E10688" t="n">
        <v>31</v>
      </c>
      <c r="F10688">
        <f>HYPERLINK("https://www.reddit.com/r/diabetes/comments/ik114y/is_it_ok_to_eat_potato/")</f>
        <v/>
      </c>
      <c r="G10688" t="inlineStr">
        <is>
          <t>2020-08-31 09:18:54</t>
        </is>
      </c>
      <c r="H10688" t="inlineStr">
        <is>
          <t>Type 2</t>
        </is>
      </c>
    </row>
    <row r="10689">
      <c r="A10689" t="inlineStr">
        <is>
          <t>ik18cj</t>
        </is>
      </c>
      <c r="B10689" t="inlineStr">
        <is>
          <t>COVID with T1 Diabetes</t>
        </is>
      </c>
      <c r="C10689" t="inlineStr">
        <is>
          <t>I was curious if there is anyone who has had COVID and is also a diabetic, and what your symptoms were. Normally when I’m sick I notice my blood sugars begin to rise and I get ketones, but has anyone shown respiratory issues first? 
My blood sugar has been abnormally high the last couple of days, and I just tested my ketones which resulted in a moderate amount, however I feel fine besides the nausea from the ketones. I’ve been exposed to COVID at work, but I am taking all of the necessary precautions. I’m just curious as to what your experiences were. Thanks!</t>
        </is>
      </c>
      <c r="D10689" t="n">
        <v>1</v>
      </c>
      <c r="E10689" t="n">
        <v>3</v>
      </c>
      <c r="F10689">
        <f>HYPERLINK("https://www.reddit.com/r/diabetes/comments/ik18cj/covid_with_t1_diabetes/")</f>
        <v/>
      </c>
      <c r="G10689" t="inlineStr">
        <is>
          <t>2020-08-31 09:29:26</t>
        </is>
      </c>
      <c r="H10689" t="inlineStr">
        <is>
          <t>Type 1</t>
        </is>
      </c>
    </row>
    <row r="10690">
      <c r="A10690" t="inlineStr">
        <is>
          <t>ik1e9g</t>
        </is>
      </c>
      <c r="B10690" t="inlineStr">
        <is>
          <t>Paid Study Recruiting People with Type 2 Diabetes</t>
        </is>
      </c>
      <c r="C10690" t="inlineStr">
        <is>
          <t>Hi Everyone! My name is Haley and I'm an intern at Happify Health. We're running a paid study right now on digital interventions and Type 2 diabetes, and wanted to share here in case anyone is interested in participating. The study would run over the course of a year, with most of the time commitment in the first 9 weeks, and you'd get paid up to $164 with compensation sent out every month. If you're interested in participating, you can see if you qualify by filling out the screening survey here: [https://happify.iad1.qualtrics.com/jfe/form/SV\_8dp4ipkkNVMC7wp?source=reddit](https://happify.iad1.qualtrics.com/jfe/form/SV_8dp4ipkkNVMC7wp?source=reddit)</t>
        </is>
      </c>
      <c r="D10690" t="n">
        <v>1</v>
      </c>
      <c r="E10690" t="n">
        <v>0</v>
      </c>
      <c r="F10690">
        <f>HYPERLINK("https://www.reddit.com/r/diabetes/comments/ik1e9g/paid_study_recruiting_people_with_type_2_diabetes/")</f>
        <v/>
      </c>
      <c r="G10690" t="inlineStr">
        <is>
          <t>2020-08-31 09:38:07</t>
        </is>
      </c>
      <c r="H10690" t="inlineStr">
        <is>
          <t>Type 2</t>
        </is>
      </c>
    </row>
    <row r="10691">
      <c r="A10691" t="inlineStr">
        <is>
          <t>ik3fue</t>
        </is>
      </c>
      <c r="B10691" t="inlineStr">
        <is>
          <t>Glipiside overdose?</t>
        </is>
      </c>
      <c r="C10691" t="inlineStr">
        <is>
          <t>My (66 yr old) mom had extremely low blood sugar yesterday and went to the er. Im thinking it was because she took her glipiside for lunch (also on metformin and insulin) and didn't eat for a couple hours. 
In the morning, blood sugar was 89 when she woke up. Glipiside taken at like 11 and ate at 1p. She felt bad afterwards and blood sugar was at 54 (ish) when she got home from eating, around 2p. She ate cake, oranges, chocolate, and honey (and more I think) and it went up to 75. But then she was passing out and having bowel release and in and out of consciousness. So urgent care and the er! Her blood sugar was at like 20 something then. She was given dextrose and monitored. 
She's better now. Thank God! But this is something new and scary to deal with. Also, HMOs suck ass. She went to her in network urgent care. My brother drove her to the nearest er (out of network). They were going to keep her for 24 hour observation. But she was transfered to her hmo hospital, blood sugar checked and released. And charged $200 copay. So fuck HMOs. But also, is a glipiside overdose the cause of everything or something else?</t>
        </is>
      </c>
      <c r="D10691" t="n">
        <v>1</v>
      </c>
      <c r="E10691" t="n">
        <v>1</v>
      </c>
      <c r="F10691">
        <f>HYPERLINK("https://www.reddit.com/r/diabetes/comments/ik3fue/glipiside_overdose/")</f>
        <v/>
      </c>
      <c r="G10691" t="inlineStr">
        <is>
          <t>2020-08-31 11:22:00</t>
        </is>
      </c>
      <c r="H10691" t="inlineStr">
        <is>
          <t>Type 2</t>
        </is>
      </c>
    </row>
    <row r="10692">
      <c r="A10692" t="inlineStr">
        <is>
          <t>ik3u3f</t>
        </is>
      </c>
      <c r="B10692" t="inlineStr">
        <is>
          <t>Had my lowest A1c in years today (6.1)</t>
        </is>
      </c>
      <c r="C10692" t="inlineStr">
        <is>
          <t>It's nothing spectacular, but I'm proud of myself and just wanted to share.
I live a pretty normal lifestyle. I'm not on a keto diet or anything unusual like that, I have a serious sweet tooth, and I snack *way* more than I should. Pretty pleased that even **I** can get my A1c this decent.</t>
        </is>
      </c>
      <c r="D10692" t="n">
        <v>1</v>
      </c>
      <c r="E10692" t="n">
        <v>22</v>
      </c>
      <c r="F10692">
        <f>HYPERLINK("https://www.reddit.com/r/diabetes/comments/ik3u3f/had_my_lowest_a1c_in_years_today_61/")</f>
        <v/>
      </c>
      <c r="G10692" t="inlineStr">
        <is>
          <t>2020-08-31 11:41:37</t>
        </is>
      </c>
      <c r="H10692" t="inlineStr">
        <is>
          <t>Type 1</t>
        </is>
      </c>
    </row>
    <row r="10693">
      <c r="A10693" t="inlineStr">
        <is>
          <t>ik47rv</t>
        </is>
      </c>
      <c r="B10693" t="inlineStr">
        <is>
          <t>Er trip</t>
        </is>
      </c>
      <c r="C10693" t="inlineStr">
        <is>
          <t>I went to the er on Friday because I was peeing ketones. They did blood work and an ABG test. And nothing out of the normal was noted. There were. I ketones in my blood. However I am still peeing ketones. 
I don’t know if it’s from not eating enough carbs, the vitamins I take daily, I take a multi vitamin and then 500mg Vit C. I read vitamin C can cause a false positive.  I am tempted to go back to the er. Because this is really starting to scare me. 
I do have a pretty bad uti. And maybe that’s showing up in the sticks too. I don’t know.</t>
        </is>
      </c>
      <c r="D10693" t="n">
        <v>1</v>
      </c>
      <c r="E10693" t="n">
        <v>12</v>
      </c>
      <c r="F10693">
        <f>HYPERLINK("https://www.reddit.com/r/diabetes/comments/ik47rv/er_trip/")</f>
        <v/>
      </c>
      <c r="G10693" t="inlineStr">
        <is>
          <t>2020-08-31 12:01:39</t>
        </is>
      </c>
      <c r="H10693" t="inlineStr">
        <is>
          <t>Type 2</t>
        </is>
      </c>
    </row>
    <row r="10694">
      <c r="A10694" t="inlineStr">
        <is>
          <t>ik86o3</t>
        </is>
      </c>
      <c r="B10694" t="inlineStr">
        <is>
          <t>New to Omnipod woes/rant</t>
        </is>
      </c>
      <c r="C10694" t="inlineStr">
        <is>
          <t>Been on MDI for six months and just switched to the Omnipod five days ago. Was so excited and felt like this would be some kind of magic bullet. It hasn't been. 
Trainer said they want to be cautious and I could expect to be a little high initially before they figure out the dosages and to avoid dangerous lows. I'm going super high (for me 250+) after every meal and all night despite pre-bolusing, eating complex carbs, fiber, giving myself extra insulin, blah blah. I talked to the trainer today and we increased the basal by a bit. But here I am trying to work and getting clobbered by brain fog and high blood sugar. It feels like the corrections do nothing and take hours to see even a slight effect.
This disease is so frustrating. I'm blessed to be able to afford this kind of tech. But I just wish there wasn't so much trial and error and time spent being miserable and feeling like shit. I did feel like I was starting to have things under control and adapting to this new device is taking that away from me again. 
I hate diabetes today. Hate the way it gets in the way of life. Love you all. &amp;lt;3</t>
        </is>
      </c>
      <c r="D10694" t="n">
        <v>1</v>
      </c>
      <c r="E10694" t="n">
        <v>4</v>
      </c>
      <c r="F10694">
        <f>HYPERLINK("https://www.reddit.com/r/diabetes/comments/ik86o3/new_to_omnipod_woesrant/")</f>
        <v/>
      </c>
      <c r="G10694" t="inlineStr">
        <is>
          <t>2020-08-31 15:32:22</t>
        </is>
      </c>
      <c r="H10694" t="inlineStr">
        <is>
          <t>Type 1</t>
        </is>
      </c>
    </row>
    <row r="10695">
      <c r="A10695" t="inlineStr">
        <is>
          <t>ik8gpc</t>
        </is>
      </c>
      <c r="B10695" t="inlineStr">
        <is>
          <t>What the hell omnipod?!</t>
        </is>
      </c>
      <c r="C10695" t="inlineStr">
        <is>
          <t>We were having a good day together. I had a few hours till I had to change you. Then as I was getting ready to eat, "BEEEEEEEEEEEEEEEP. Insulin delivery stopped. Change pod now."
Thankfully my sugar was 72 and dropping. I was about to eat some brisket fries so the immediate need for a bolus wasn't urgent. Still, the frustration.</t>
        </is>
      </c>
      <c r="D10695" t="n">
        <v>1</v>
      </c>
      <c r="E10695" t="n">
        <v>0</v>
      </c>
      <c r="F10695">
        <f>HYPERLINK("https://www.reddit.com/r/diabetes/comments/ik8gpc/what_the_hell_omnipod/")</f>
        <v/>
      </c>
      <c r="G10695" t="inlineStr">
        <is>
          <t>2020-08-31 15:48:29</t>
        </is>
      </c>
      <c r="H10695" t="inlineStr">
        <is>
          <t>Type 1</t>
        </is>
      </c>
    </row>
    <row r="10696">
      <c r="A10696" t="inlineStr">
        <is>
          <t>ik8zde</t>
        </is>
      </c>
      <c r="B10696" t="inlineStr">
        <is>
          <t>No longer getting symptoms of low blood sugar</t>
        </is>
      </c>
      <c r="C10696" t="inlineStr">
        <is>
          <t>Hi all,
I saw someone posted here a while ago about having no low blood sugar symptoms when their blood sugar is dangerously low. This began happening to me. I use to have symptoms, shaky and hungry but now when I go low I have absolutely no symptoms which is not that good. Can anyone tell me why this happens? I’m also curious to see how common or uncommon it is. 
I’m a type 2 on a low dose of long acting insulin.</t>
        </is>
      </c>
      <c r="D10696" t="n">
        <v>1</v>
      </c>
      <c r="E10696" t="n">
        <v>3</v>
      </c>
      <c r="F10696">
        <f>HYPERLINK("https://www.reddit.com/r/diabetes/comments/ik8zde/no_longer_getting_symptoms_of_low_blood_sugar/")</f>
        <v/>
      </c>
      <c r="G10696" t="inlineStr">
        <is>
          <t>2020-08-31 16:18:16</t>
        </is>
      </c>
      <c r="H10696" t="inlineStr">
        <is>
          <t>Type 2</t>
        </is>
      </c>
    </row>
  </sheetData>
  <pageMargins bottom="1" footer="0.5" header="0.5" left="0.75" right="0.75" top="1"/>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2020-09-05T12:22:09Z</dcterms:created>
  <dcterms:modified xsi:type="dcterms:W3CDTF">2020-09-05T12:22:09Z</dcterms:modified>
</cp:coreProperties>
</file>